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58145CF3-D518-4132-AF3F-93AB857BCA6E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</calcChain>
</file>

<file path=xl/sharedStrings.xml><?xml version="1.0" encoding="utf-8"?>
<sst xmlns="http://schemas.openxmlformats.org/spreadsheetml/2006/main" count="14686" uniqueCount="66">
  <si>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</si>
  <si>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</si>
  <si>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</si>
  <si>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</si>
  <si>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</si>
  <si>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</si>
  <si>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</si>
  <si>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</si>
  <si>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</si>
  <si>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</si>
  <si>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</si>
  <si>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</si>
  <si>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</si>
  <si>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</si>
  <si>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</si>
  <si>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</si>
  <si>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</si>
  <si>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</si>
  <si>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</si>
  <si>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</si>
  <si>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</si>
  <si>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</si>
  <si>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</si>
  <si>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</si>
  <si>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</si>
  <si>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</si>
  <si>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</si>
  <si>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</si>
  <si>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</si>
  <si>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</si>
  <si>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</si>
  <si>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</si>
  <si>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</si>
  <si>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</si>
  <si>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</si>
  <si>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</si>
  <si>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</si>
  <si>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</si>
  <si>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</si>
  <si>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</si>
  <si>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</si>
  <si>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mcp_road_part_02</t>
  </si>
  <si>
    <t>Kooper</t>
  </si>
  <si>
    <t>Plane_01</t>
  </si>
  <si>
    <t>Building 18 (9)</t>
  </si>
  <si>
    <t>mcp_roads_turn_01 (1)</t>
  </si>
  <si>
    <t>mcp_roads_T_cross_01</t>
  </si>
  <si>
    <t>Building 15 (35)</t>
  </si>
  <si>
    <t>mcp_road_part_01</t>
  </si>
  <si>
    <t>mcp_roads_cross_01</t>
  </si>
  <si>
    <t>mcp_roads_cross_02</t>
  </si>
  <si>
    <t>mcp_roads_turn_01</t>
  </si>
  <si>
    <t>mcp_road_part_02 (1)</t>
  </si>
  <si>
    <t>mcp_road_part_02 (2)</t>
  </si>
  <si>
    <t>mcp_road_part_02 (3)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</si>
  <si>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</si>
  <si>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</si>
  <si>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</si>
  <si>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</si>
  <si>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</si>
  <si>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</si>
  <si>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07 (18)</t>
  </si>
  <si>
    <t>Building 15 (22)</t>
  </si>
  <si>
    <t>Building 24</t>
  </si>
  <si>
    <t>Plane_01 (1)</t>
  </si>
  <si>
    <t>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</si>
</sst>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324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"20190312163953698"</f>
        <v>20190312163953698</v>
      </c>
      <c r="B2" t="str">
        <f>"1552379993696686"</f>
        <v>1552379993696686</v>
      </c>
      <c r="C2" t="s">
        <v>40</v>
      </c>
      <c r="D2">
        <v>4.8918900000000001</v>
      </c>
      <c r="E2">
        <v>0.50866990000000001</v>
      </c>
      <c r="F2" t="s">
        <v>41</v>
      </c>
      <c r="G2">
        <v>-458.92</v>
      </c>
      <c r="H2" s="1">
        <v>-1.0885700000000001E-6</v>
      </c>
      <c r="I2">
        <v>366.85410000000002</v>
      </c>
      <c r="J2">
        <v>-476.60610000000003</v>
      </c>
      <c r="K2">
        <v>1.1095729999999999</v>
      </c>
      <c r="L2">
        <v>367.2174</v>
      </c>
      <c r="M2">
        <v>0.99996949999999996</v>
      </c>
      <c r="N2">
        <v>0</v>
      </c>
      <c r="O2">
        <v>1.0937550000000001E-3</v>
      </c>
      <c r="P2">
        <v>0.99726530000000002</v>
      </c>
      <c r="Q2">
        <v>7.3627250000000005E-2</v>
      </c>
      <c r="R2">
        <v>-6.427739E-3</v>
      </c>
      <c r="S2">
        <v>3.0212400000000001</v>
      </c>
      <c r="T2">
        <v>-0.18945600000000001</v>
      </c>
      <c r="U2">
        <v>-6.1950680000000001E-2</v>
      </c>
      <c r="V2">
        <v>7.4769700000000003E-3</v>
      </c>
      <c r="W2">
        <v>8.1351240000000005E-2</v>
      </c>
      <c r="X2">
        <v>0.99665740000000003</v>
      </c>
      <c r="Y2">
        <v>2.1549829999999999E-2</v>
      </c>
      <c r="Z2">
        <v>-7.434551E-4</v>
      </c>
      <c r="AA2">
        <v>0.99976750000000003</v>
      </c>
      <c r="AB2">
        <v>1</v>
      </c>
      <c r="AC2">
        <v>17.6861</v>
      </c>
      <c r="AD2">
        <v>-1.1095740885699901</v>
      </c>
      <c r="AE2">
        <v>-0.36329999999998103</v>
      </c>
      <c r="AF2">
        <v>0.38114508999282898</v>
      </c>
      <c r="AG2">
        <v>-1.1095740885699901</v>
      </c>
      <c r="AH2">
        <v>17.616384262164299</v>
      </c>
      <c r="AI2">
        <v>93.603192686099405</v>
      </c>
      <c r="AJ2">
        <v>88.760551646276497</v>
      </c>
      <c r="AK2">
        <v>17.6554076902767</v>
      </c>
      <c r="AL2">
        <v>85.333760496705494</v>
      </c>
      <c r="AM2">
        <v>89.570172470544506</v>
      </c>
      <c r="AN2">
        <v>0.99999995115233797</v>
      </c>
    </row>
    <row r="3" spans="1:40" x14ac:dyDescent="0.25">
      <c r="A3" t="str">
        <f>"20190312163953722"</f>
        <v>20190312163953722</v>
      </c>
      <c r="B3" t="str">
        <f>"1552379993716206"</f>
        <v>1552379993716206</v>
      </c>
      <c r="C3" t="s">
        <v>40</v>
      </c>
      <c r="D3">
        <v>4.8858550000000003</v>
      </c>
      <c r="E3">
        <v>0.50948950000000004</v>
      </c>
      <c r="F3" t="s">
        <v>41</v>
      </c>
      <c r="G3">
        <v>-459.43290000000002</v>
      </c>
      <c r="H3" s="1">
        <v>-9.1819419999999998E-7</v>
      </c>
      <c r="I3">
        <v>366.83839999999998</v>
      </c>
      <c r="J3">
        <v>-476.59269999999998</v>
      </c>
      <c r="K3">
        <v>1.109502</v>
      </c>
      <c r="L3">
        <v>367.21789999999999</v>
      </c>
      <c r="M3">
        <v>0.99997519999999995</v>
      </c>
      <c r="N3">
        <v>0</v>
      </c>
      <c r="O3">
        <v>1.5404170000000001E-3</v>
      </c>
      <c r="P3">
        <v>0.99716579999999999</v>
      </c>
      <c r="Q3">
        <v>7.494199E-2</v>
      </c>
      <c r="R3">
        <v>-6.6803979999999997E-3</v>
      </c>
      <c r="S3">
        <v>3.0222169999999999</v>
      </c>
      <c r="T3">
        <v>-0.1952661</v>
      </c>
      <c r="U3">
        <v>-6.6680909999999996E-2</v>
      </c>
      <c r="V3">
        <v>8.1741319999999902E-3</v>
      </c>
      <c r="W3">
        <v>8.1822210000000006E-2</v>
      </c>
      <c r="X3">
        <v>0.99661339999999998</v>
      </c>
      <c r="Y3">
        <v>2.3545980000000001E-2</v>
      </c>
      <c r="Z3">
        <v>-8.5918520000000001E-4</v>
      </c>
      <c r="AA3">
        <v>0.99972240000000001</v>
      </c>
      <c r="AB3">
        <v>1</v>
      </c>
      <c r="AC3">
        <v>17.159799999999901</v>
      </c>
      <c r="AD3">
        <v>-1.1095029181942</v>
      </c>
      <c r="AE3">
        <v>-0.379500000000007</v>
      </c>
      <c r="AF3">
        <v>0.40424428802325801</v>
      </c>
      <c r="AG3">
        <v>-1.1095029181942</v>
      </c>
      <c r="AH3">
        <v>17.087793743421098</v>
      </c>
      <c r="AI3">
        <v>93.713938787196</v>
      </c>
      <c r="AJ3">
        <v>88.644812043917597</v>
      </c>
      <c r="AK3">
        <v>17.1285464995598</v>
      </c>
      <c r="AL3">
        <v>85.306685775561206</v>
      </c>
      <c r="AM3">
        <v>89.530075791489494</v>
      </c>
      <c r="AN3">
        <v>0.99999997977139798</v>
      </c>
    </row>
    <row r="4" spans="1:40" x14ac:dyDescent="0.25">
      <c r="A4" t="str">
        <f>"20190312163953743"</f>
        <v>20190312163953743</v>
      </c>
      <c r="B4" t="str">
        <f>"1552379993736702"</f>
        <v>1552379993736702</v>
      </c>
      <c r="C4" t="s">
        <v>40</v>
      </c>
      <c r="D4">
        <v>4.8707779999999996</v>
      </c>
      <c r="E4">
        <v>0.51019820000000005</v>
      </c>
      <c r="F4" t="s">
        <v>41</v>
      </c>
      <c r="G4">
        <v>-460.21280000000002</v>
      </c>
      <c r="H4" s="1">
        <v>-4.6770159999999999E-6</v>
      </c>
      <c r="I4">
        <v>366.82</v>
      </c>
      <c r="J4">
        <v>-476.58109999999999</v>
      </c>
      <c r="K4">
        <v>1.1096140000000001</v>
      </c>
      <c r="L4">
        <v>367.21839999999997</v>
      </c>
      <c r="M4">
        <v>0.99997409999999998</v>
      </c>
      <c r="N4">
        <v>0</v>
      </c>
      <c r="O4">
        <v>1.776347E-3</v>
      </c>
      <c r="P4">
        <v>0.99717929999999999</v>
      </c>
      <c r="Q4">
        <v>7.4706380000000003E-2</v>
      </c>
      <c r="R4">
        <v>-7.2477139999999997E-3</v>
      </c>
      <c r="S4">
        <v>3.0234380000000001</v>
      </c>
      <c r="T4">
        <v>-0.20479310000000001</v>
      </c>
      <c r="U4">
        <v>-7.3425290000000004E-2</v>
      </c>
      <c r="V4">
        <v>8.9909540000000007E-3</v>
      </c>
      <c r="W4">
        <v>8.1683430000000001E-2</v>
      </c>
      <c r="X4">
        <v>0.9966178</v>
      </c>
      <c r="Y4">
        <v>2.599046E-2</v>
      </c>
      <c r="Z4">
        <v>-9.9926719999999993E-4</v>
      </c>
      <c r="AA4">
        <v>0.99966169999999999</v>
      </c>
      <c r="AB4">
        <v>1</v>
      </c>
      <c r="AC4">
        <v>16.368299999999898</v>
      </c>
      <c r="AD4">
        <v>-1.1096186770159999</v>
      </c>
      <c r="AE4">
        <v>-0.39839999999998099</v>
      </c>
      <c r="AF4">
        <v>0.42552149878602202</v>
      </c>
      <c r="AG4">
        <v>-1.1096186770159999</v>
      </c>
      <c r="AH4">
        <v>16.292736213255299</v>
      </c>
      <c r="AI4">
        <v>93.894795274175095</v>
      </c>
      <c r="AJ4">
        <v>88.503931782831501</v>
      </c>
      <c r="AK4">
        <v>16.336020796663799</v>
      </c>
      <c r="AL4">
        <v>85.314664224143399</v>
      </c>
      <c r="AM4">
        <v>89.483122072102802</v>
      </c>
      <c r="AN4">
        <v>1.00000002963361</v>
      </c>
    </row>
    <row r="5" spans="1:40" x14ac:dyDescent="0.25">
      <c r="A5" t="str">
        <f>"20190312163953765"</f>
        <v>20190312163953765</v>
      </c>
      <c r="B5" t="str">
        <f>"1552379993756225"</f>
        <v>1552379993756225</v>
      </c>
      <c r="C5" t="s">
        <v>40</v>
      </c>
      <c r="D5">
        <v>4.8694449999999998</v>
      </c>
      <c r="E5">
        <v>0.51073279999999999</v>
      </c>
      <c r="F5" t="s">
        <v>41</v>
      </c>
      <c r="G5">
        <v>-461.22899999999998</v>
      </c>
      <c r="H5" s="1">
        <v>-4.2421590000000002E-6</v>
      </c>
      <c r="I5">
        <v>366.81369999999998</v>
      </c>
      <c r="J5">
        <v>-476.56490000000002</v>
      </c>
      <c r="K5">
        <v>1.1094729999999999</v>
      </c>
      <c r="L5">
        <v>367.21899999999999</v>
      </c>
      <c r="M5">
        <v>0.99997899999999995</v>
      </c>
      <c r="N5">
        <v>0</v>
      </c>
      <c r="O5">
        <v>2.1684289999999999E-3</v>
      </c>
      <c r="P5">
        <v>0.99712190000000001</v>
      </c>
      <c r="Q5">
        <v>7.538214E-2</v>
      </c>
      <c r="R5">
        <v>-8.0768599999999999E-3</v>
      </c>
      <c r="S5">
        <v>3.0243229999999999</v>
      </c>
      <c r="T5">
        <v>-0.21859110000000001</v>
      </c>
      <c r="U5">
        <v>-7.9711909999999997E-2</v>
      </c>
      <c r="V5">
        <v>1.0212239999999999E-2</v>
      </c>
      <c r="W5">
        <v>8.1482399999999996E-2</v>
      </c>
      <c r="X5">
        <v>0.99662240000000002</v>
      </c>
      <c r="Y5">
        <v>2.843567E-2</v>
      </c>
      <c r="Z5">
        <v>-1.1826180000000001E-3</v>
      </c>
      <c r="AA5">
        <v>0.99959489999999995</v>
      </c>
      <c r="AB5">
        <v>1</v>
      </c>
      <c r="AC5">
        <v>15.335899999999899</v>
      </c>
      <c r="AD5">
        <v>-1.109477242159</v>
      </c>
      <c r="AE5">
        <v>-0.40530000000001098</v>
      </c>
      <c r="AF5">
        <v>0.43627270122324502</v>
      </c>
      <c r="AG5">
        <v>-1.109477242159</v>
      </c>
      <c r="AH5">
        <v>15.2551979257657</v>
      </c>
      <c r="AI5">
        <v>94.157979296311495</v>
      </c>
      <c r="AJ5">
        <v>88.361884692058993</v>
      </c>
      <c r="AK5">
        <v>15.3017102761419</v>
      </c>
      <c r="AL5">
        <v>85.326220496999795</v>
      </c>
      <c r="AM5">
        <v>89.412919302305795</v>
      </c>
      <c r="AN5">
        <v>0.99999993976866697</v>
      </c>
    </row>
    <row r="6" spans="1:40" x14ac:dyDescent="0.25">
      <c r="A6" t="str">
        <f>"20190312163953788"</f>
        <v>20190312163953788</v>
      </c>
      <c r="B6" t="str">
        <f>"1552379993776717"</f>
        <v>1552379993776717</v>
      </c>
      <c r="C6" t="s">
        <v>40</v>
      </c>
      <c r="D6">
        <v>4.8926629999999998</v>
      </c>
      <c r="E6">
        <v>0.51120810000000005</v>
      </c>
      <c r="F6" t="s">
        <v>42</v>
      </c>
      <c r="G6">
        <v>-475.81169999999997</v>
      </c>
      <c r="H6">
        <v>1.0526150000000001</v>
      </c>
      <c r="I6">
        <v>367.19729999999998</v>
      </c>
      <c r="J6">
        <v>-476.54520000000002</v>
      </c>
      <c r="K6">
        <v>1.1092919999999999</v>
      </c>
      <c r="L6">
        <v>367.21960000000001</v>
      </c>
      <c r="M6">
        <v>0.99998399999999998</v>
      </c>
      <c r="N6">
        <v>0</v>
      </c>
      <c r="O6">
        <v>2.7119409999999998E-3</v>
      </c>
      <c r="P6">
        <v>0.99704950000000003</v>
      </c>
      <c r="Q6">
        <v>7.6302880000000003E-2</v>
      </c>
      <c r="R6">
        <v>-8.3975070000000002E-3</v>
      </c>
      <c r="S6">
        <v>3.0252379999999999</v>
      </c>
      <c r="T6">
        <v>-0.22905310000000001</v>
      </c>
      <c r="U6">
        <v>-8.5906979999999994E-2</v>
      </c>
      <c r="V6">
        <v>1.107174E-2</v>
      </c>
      <c r="W6">
        <v>8.1285629999999998E-2</v>
      </c>
      <c r="X6">
        <v>0.9966294</v>
      </c>
      <c r="Y6">
        <v>3.099969E-2</v>
      </c>
      <c r="Z6">
        <v>-1.376646E-3</v>
      </c>
      <c r="AA6">
        <v>0.99951849999999998</v>
      </c>
      <c r="AB6">
        <v>2</v>
      </c>
      <c r="AC6">
        <v>0.733500000000049</v>
      </c>
      <c r="AD6">
        <v>-5.6676999999999998E-2</v>
      </c>
      <c r="AE6">
        <v>-2.2300000000029699E-2</v>
      </c>
      <c r="AF6">
        <v>2.4145124964379702E-2</v>
      </c>
      <c r="AG6">
        <v>-5.6676999999999998E-2</v>
      </c>
      <c r="AH6">
        <v>0.72908779890044795</v>
      </c>
      <c r="AI6">
        <v>94.442629070482198</v>
      </c>
      <c r="AJ6">
        <v>88.103234826237696</v>
      </c>
      <c r="AK6">
        <v>0.73168592161804402</v>
      </c>
      <c r="AL6">
        <v>85.337532621356104</v>
      </c>
      <c r="AM6">
        <v>89.363516790356698</v>
      </c>
      <c r="AN6">
        <v>1.0000000490077401</v>
      </c>
    </row>
    <row r="7" spans="1:40" x14ac:dyDescent="0.25">
      <c r="A7" t="str">
        <f>"20190312163953811"</f>
        <v>20190312163953811</v>
      </c>
      <c r="B7" t="str">
        <f>"1552379993805998"</f>
        <v>1552379993805998</v>
      </c>
      <c r="C7" t="s">
        <v>40</v>
      </c>
      <c r="D7">
        <v>6.0296940000000001</v>
      </c>
      <c r="E7">
        <v>0.51192130000000002</v>
      </c>
      <c r="F7" t="s">
        <v>42</v>
      </c>
      <c r="G7">
        <v>-475.80160000000001</v>
      </c>
      <c r="H7">
        <v>1.0508</v>
      </c>
      <c r="I7">
        <v>367.19740000000002</v>
      </c>
      <c r="J7">
        <v>-476.52260000000001</v>
      </c>
      <c r="K7">
        <v>1.109183</v>
      </c>
      <c r="L7">
        <v>367.22019999999998</v>
      </c>
      <c r="M7">
        <v>0.99998640000000005</v>
      </c>
      <c r="N7">
        <v>0</v>
      </c>
      <c r="O7">
        <v>3.3589280000000002E-3</v>
      </c>
      <c r="P7">
        <v>0.99697740000000001</v>
      </c>
      <c r="Q7">
        <v>7.7285619999999999E-2</v>
      </c>
      <c r="R7">
        <v>-7.9544730000000001E-3</v>
      </c>
      <c r="S7">
        <v>3.0263059999999999</v>
      </c>
      <c r="T7">
        <v>-0.23826169999999999</v>
      </c>
      <c r="U7">
        <v>-8.9355470000000006E-2</v>
      </c>
      <c r="V7">
        <v>1.1268459999999999E-2</v>
      </c>
      <c r="W7">
        <v>8.1305139999999998E-2</v>
      </c>
      <c r="X7">
        <v>0.99662550000000005</v>
      </c>
      <c r="Y7">
        <v>3.2759040000000003E-2</v>
      </c>
      <c r="Z7">
        <v>-1.5512799999999999E-3</v>
      </c>
      <c r="AA7">
        <v>0.99946210000000002</v>
      </c>
      <c r="AB7">
        <v>2</v>
      </c>
      <c r="AC7">
        <v>0.72100000000000297</v>
      </c>
      <c r="AD7">
        <v>-5.8382999999999997E-2</v>
      </c>
      <c r="AE7">
        <v>-2.2799999999961001E-2</v>
      </c>
      <c r="AF7">
        <v>2.5057540679764401E-2</v>
      </c>
      <c r="AG7">
        <v>-5.8382999999999997E-2</v>
      </c>
      <c r="AH7">
        <v>0.71622776590591397</v>
      </c>
      <c r="AI7">
        <v>94.657300757859403</v>
      </c>
      <c r="AJ7">
        <v>87.996299401955795</v>
      </c>
      <c r="AK7">
        <v>0.71904010158578402</v>
      </c>
      <c r="AL7">
        <v>85.336410585226005</v>
      </c>
      <c r="AM7">
        <v>89.352206331107695</v>
      </c>
      <c r="AN7">
        <v>0.99999994561571903</v>
      </c>
    </row>
    <row r="8" spans="1:40" x14ac:dyDescent="0.25">
      <c r="A8" t="str">
        <f>"20190312163953833"</f>
        <v>20190312163953833</v>
      </c>
      <c r="B8" t="str">
        <f>"1552379993826494"</f>
        <v>1552379993826494</v>
      </c>
      <c r="C8" t="s">
        <v>40</v>
      </c>
      <c r="D8">
        <v>4.698035</v>
      </c>
      <c r="E8">
        <v>0.5123934</v>
      </c>
      <c r="F8" t="s">
        <v>42</v>
      </c>
      <c r="G8">
        <v>-475.78300000000002</v>
      </c>
      <c r="H8">
        <v>1.0486719999999901</v>
      </c>
      <c r="I8">
        <v>367.19749999999999</v>
      </c>
      <c r="J8">
        <v>-476.50020000000001</v>
      </c>
      <c r="K8">
        <v>1.1092329999999999</v>
      </c>
      <c r="L8">
        <v>367.22089999999997</v>
      </c>
      <c r="M8">
        <v>0.99998529999999997</v>
      </c>
      <c r="N8">
        <v>0</v>
      </c>
      <c r="O8">
        <v>3.8333629999999998E-3</v>
      </c>
      <c r="P8">
        <v>0.99691269999999998</v>
      </c>
      <c r="Q8">
        <v>7.8069929999999996E-2</v>
      </c>
      <c r="R8">
        <v>-8.3806439999999996E-3</v>
      </c>
      <c r="S8">
        <v>3.0275880000000002</v>
      </c>
      <c r="T8">
        <v>-0.24777669999999999</v>
      </c>
      <c r="U8">
        <v>-9.2803960000000005E-2</v>
      </c>
      <c r="V8">
        <v>1.2174829999999999E-2</v>
      </c>
      <c r="W8">
        <v>8.1902520000000006E-2</v>
      </c>
      <c r="X8">
        <v>0.99656599999999995</v>
      </c>
      <c r="Y8">
        <v>3.4342230000000001E-2</v>
      </c>
      <c r="Z8">
        <v>-1.715736E-3</v>
      </c>
      <c r="AA8">
        <v>0.99940870000000004</v>
      </c>
      <c r="AB8">
        <v>2</v>
      </c>
      <c r="AC8">
        <v>0.71719999999999096</v>
      </c>
      <c r="AD8">
        <v>-6.0560999999999997E-2</v>
      </c>
      <c r="AE8">
        <v>-2.3399999999980901E-2</v>
      </c>
      <c r="AF8">
        <v>2.59642015224123E-2</v>
      </c>
      <c r="AG8">
        <v>-6.0560999999999997E-2</v>
      </c>
      <c r="AH8">
        <v>0.71203344251615697</v>
      </c>
      <c r="AI8">
        <v>94.858297859589598</v>
      </c>
      <c r="AJ8">
        <v>87.911642574627606</v>
      </c>
      <c r="AK8">
        <v>0.71507579859977499</v>
      </c>
      <c r="AL8">
        <v>85.302069048624801</v>
      </c>
      <c r="AM8">
        <v>89.300064747821693</v>
      </c>
      <c r="AN8">
        <v>1.00000002081193</v>
      </c>
    </row>
    <row r="9" spans="1:40" x14ac:dyDescent="0.25">
      <c r="A9" t="str">
        <f>"20190312163953846"</f>
        <v>20190312163953846</v>
      </c>
      <c r="B9" t="str">
        <f>"1552379993836254"</f>
        <v>1552379993836254</v>
      </c>
      <c r="C9" t="s">
        <v>40</v>
      </c>
      <c r="D9">
        <v>4.8780320000000001</v>
      </c>
      <c r="E9">
        <v>0.51261089999999998</v>
      </c>
      <c r="F9" t="s">
        <v>42</v>
      </c>
      <c r="G9">
        <v>-475.7636</v>
      </c>
      <c r="H9">
        <v>1.047785</v>
      </c>
      <c r="I9">
        <v>367.19729999999998</v>
      </c>
      <c r="J9">
        <v>-476.48630000000003</v>
      </c>
      <c r="K9">
        <v>1.1092470000000001</v>
      </c>
      <c r="L9">
        <v>367.22140000000002</v>
      </c>
      <c r="M9">
        <v>0.99998489999999995</v>
      </c>
      <c r="N9">
        <v>0</v>
      </c>
      <c r="O9">
        <v>4.091445E-3</v>
      </c>
      <c r="P9">
        <v>0.99690179999999995</v>
      </c>
      <c r="Q9">
        <v>7.8207819999999997E-2</v>
      </c>
      <c r="R9">
        <v>-8.3931370000000002E-3</v>
      </c>
      <c r="S9">
        <v>3.0281980000000002</v>
      </c>
      <c r="T9">
        <v>-0.25240839999999998</v>
      </c>
      <c r="U9">
        <v>-9.7381590000000004E-2</v>
      </c>
      <c r="V9">
        <v>1.244776E-2</v>
      </c>
      <c r="W9">
        <v>8.1901089999999996E-2</v>
      </c>
      <c r="X9">
        <v>0.99656270000000002</v>
      </c>
      <c r="Y9">
        <v>3.6091520000000002E-2</v>
      </c>
      <c r="Z9">
        <v>-1.841535E-3</v>
      </c>
      <c r="AA9">
        <v>0.99934679999999998</v>
      </c>
      <c r="AB9">
        <v>2</v>
      </c>
      <c r="AC9">
        <v>0.72270000000003098</v>
      </c>
      <c r="AD9">
        <v>-6.1461999999999899E-2</v>
      </c>
      <c r="AE9">
        <v>-2.4100000000032599E-2</v>
      </c>
      <c r="AF9">
        <v>2.6862633352913199E-2</v>
      </c>
      <c r="AG9">
        <v>-6.1461999999999899E-2</v>
      </c>
      <c r="AH9">
        <v>0.71741232009510902</v>
      </c>
      <c r="AI9">
        <v>94.893263166075499</v>
      </c>
      <c r="AJ9">
        <v>87.855630883244203</v>
      </c>
      <c r="AK9">
        <v>0.72054119628158697</v>
      </c>
      <c r="AL9">
        <v>85.302151042790697</v>
      </c>
      <c r="AM9">
        <v>89.2843731507282</v>
      </c>
      <c r="AN9">
        <v>0.99999997515174699</v>
      </c>
    </row>
    <row r="10" spans="1:40" x14ac:dyDescent="0.25">
      <c r="A10" t="str">
        <f>"20190312163953859"</f>
        <v>20190312163953859</v>
      </c>
      <c r="B10" t="str">
        <f>"1552379993856750"</f>
        <v>1552379993856750</v>
      </c>
      <c r="C10" t="s">
        <v>40</v>
      </c>
      <c r="D10">
        <v>4.885211</v>
      </c>
      <c r="E10">
        <v>0.51288690000000003</v>
      </c>
      <c r="F10" t="s">
        <v>42</v>
      </c>
      <c r="G10">
        <v>-475.74169999999998</v>
      </c>
      <c r="H10">
        <v>1.046664</v>
      </c>
      <c r="I10">
        <v>367.1968</v>
      </c>
      <c r="J10">
        <v>-476.47019999999998</v>
      </c>
      <c r="K10">
        <v>1.109221</v>
      </c>
      <c r="L10">
        <v>367.22190000000001</v>
      </c>
      <c r="M10">
        <v>0.99998469999999995</v>
      </c>
      <c r="N10">
        <v>0</v>
      </c>
      <c r="O10">
        <v>4.4045380000000004E-3</v>
      </c>
      <c r="P10">
        <v>0.99686390000000002</v>
      </c>
      <c r="Q10">
        <v>7.8655199999999995E-2</v>
      </c>
      <c r="R10">
        <v>-8.7180190000000005E-3</v>
      </c>
      <c r="S10">
        <v>3.0285340000000001</v>
      </c>
      <c r="T10">
        <v>-0.25510559999999999</v>
      </c>
      <c r="U10">
        <v>-9.8602289999999995E-2</v>
      </c>
      <c r="V10">
        <v>1.30844E-2</v>
      </c>
      <c r="W10">
        <v>8.2027509999999998E-2</v>
      </c>
      <c r="X10">
        <v>0.99654419999999999</v>
      </c>
      <c r="Y10">
        <v>3.6796669999999997E-2</v>
      </c>
      <c r="Z10">
        <v>-1.916886E-3</v>
      </c>
      <c r="AA10">
        <v>0.99932089999999996</v>
      </c>
      <c r="AB10">
        <v>2</v>
      </c>
      <c r="AC10">
        <v>0.72849999999999604</v>
      </c>
      <c r="AD10">
        <v>-6.2556999999999904E-2</v>
      </c>
      <c r="AE10">
        <v>-2.5100000000009001E-2</v>
      </c>
      <c r="AF10">
        <v>2.8101510555081401E-2</v>
      </c>
      <c r="AG10">
        <v>-6.2556999999999904E-2</v>
      </c>
      <c r="AH10">
        <v>0.72305700623903002</v>
      </c>
      <c r="AI10">
        <v>94.941056034593203</v>
      </c>
      <c r="AJ10">
        <v>87.774327611043603</v>
      </c>
      <c r="AK10">
        <v>0.72630193956496203</v>
      </c>
      <c r="AL10">
        <v>85.294883506324297</v>
      </c>
      <c r="AM10">
        <v>89.247762595464707</v>
      </c>
      <c r="AN10">
        <v>1.0000000282368899</v>
      </c>
    </row>
    <row r="11" spans="1:40" x14ac:dyDescent="0.25">
      <c r="A11" t="str">
        <f>"20190312163953879"</f>
        <v>20190312163953879</v>
      </c>
      <c r="B11" t="str">
        <f>"1552379993866509"</f>
        <v>1552379993866509</v>
      </c>
      <c r="C11" t="s">
        <v>40</v>
      </c>
      <c r="D11">
        <v>4.8321489999999896</v>
      </c>
      <c r="E11">
        <v>0.5130654</v>
      </c>
      <c r="F11" t="s">
        <v>42</v>
      </c>
      <c r="G11">
        <v>-475.7176</v>
      </c>
      <c r="H11">
        <v>1.044081</v>
      </c>
      <c r="I11">
        <v>367.19659999999999</v>
      </c>
      <c r="J11">
        <v>-476.44479999999999</v>
      </c>
      <c r="K11">
        <v>1.1091219999999999</v>
      </c>
      <c r="L11">
        <v>367.2226</v>
      </c>
      <c r="M11">
        <v>0.99998410000000004</v>
      </c>
      <c r="N11">
        <v>0</v>
      </c>
      <c r="O11">
        <v>4.9518289999999996E-3</v>
      </c>
      <c r="P11">
        <v>0.99683639999999996</v>
      </c>
      <c r="Q11">
        <v>7.8960589999999997E-2</v>
      </c>
      <c r="R11">
        <v>-9.0833029999999992E-3</v>
      </c>
      <c r="S11">
        <v>3.0292659999999998</v>
      </c>
      <c r="T11">
        <v>-0.26224039999999998</v>
      </c>
      <c r="U11">
        <v>-0.1016541</v>
      </c>
      <c r="V11">
        <v>1.399157E-2</v>
      </c>
      <c r="W11">
        <v>8.1636379999999995E-2</v>
      </c>
      <c r="X11">
        <v>0.99656400000000001</v>
      </c>
      <c r="Y11">
        <v>3.8325400000000003E-2</v>
      </c>
      <c r="Z11">
        <v>-2.0830990000000001E-3</v>
      </c>
      <c r="AA11">
        <v>0.99926320000000002</v>
      </c>
      <c r="AB11">
        <v>3</v>
      </c>
      <c r="AC11">
        <v>0.72719999999998197</v>
      </c>
      <c r="AD11">
        <v>-6.5040999999999904E-2</v>
      </c>
      <c r="AE11">
        <v>-2.60000000000104E-2</v>
      </c>
      <c r="AF11">
        <v>2.93660485160098E-2</v>
      </c>
      <c r="AG11">
        <v>-6.5040999999999904E-2</v>
      </c>
      <c r="AH11">
        <v>0.72129961550686506</v>
      </c>
      <c r="AI11">
        <v>95.1482958234959</v>
      </c>
      <c r="AJ11">
        <v>87.668622156500007</v>
      </c>
      <c r="AK11">
        <v>0.72482124128421899</v>
      </c>
      <c r="AL11">
        <v>85.317369045891894</v>
      </c>
      <c r="AM11">
        <v>89.195630945213907</v>
      </c>
      <c r="AN11">
        <v>1.00000003433328</v>
      </c>
    </row>
    <row r="12" spans="1:40" x14ac:dyDescent="0.25">
      <c r="A12" t="str">
        <f>"20190312163953900"</f>
        <v>20190312163953900</v>
      </c>
      <c r="B12" t="str">
        <f>"1552379993896766"</f>
        <v>1552379993896766</v>
      </c>
      <c r="C12" t="s">
        <v>40</v>
      </c>
      <c r="D12">
        <v>4.8906929999999997</v>
      </c>
      <c r="E12">
        <v>0.51338470000000003</v>
      </c>
      <c r="F12" t="s">
        <v>42</v>
      </c>
      <c r="G12">
        <v>-475.68970000000002</v>
      </c>
      <c r="H12">
        <v>1.0429349999999999</v>
      </c>
      <c r="I12">
        <v>367.19670000000002</v>
      </c>
      <c r="J12">
        <v>-476.41329999999999</v>
      </c>
      <c r="K12">
        <v>1.10904</v>
      </c>
      <c r="L12">
        <v>367.2235</v>
      </c>
      <c r="M12">
        <v>0.99998209999999998</v>
      </c>
      <c r="N12">
        <v>0</v>
      </c>
      <c r="O12">
        <v>5.6815160000000002E-3</v>
      </c>
      <c r="P12">
        <v>0.99677130000000003</v>
      </c>
      <c r="Q12">
        <v>7.9756460000000001E-2</v>
      </c>
      <c r="R12">
        <v>-9.2756379999999992E-3</v>
      </c>
      <c r="S12">
        <v>3.0296020000000001</v>
      </c>
      <c r="T12">
        <v>-0.26576840000000002</v>
      </c>
      <c r="U12">
        <v>-0.1036682</v>
      </c>
      <c r="V12">
        <v>1.490496E-2</v>
      </c>
      <c r="W12">
        <v>8.1704810000000003E-2</v>
      </c>
      <c r="X12">
        <v>0.99654509999999996</v>
      </c>
      <c r="Y12">
        <v>3.9701960000000001E-2</v>
      </c>
      <c r="Z12">
        <v>-2.234878E-3</v>
      </c>
      <c r="AA12">
        <v>0.99920900000000001</v>
      </c>
      <c r="AB12">
        <v>3</v>
      </c>
      <c r="AC12">
        <v>0.72359999999997604</v>
      </c>
      <c r="AD12">
        <v>-6.6104999999999997E-2</v>
      </c>
      <c r="AE12">
        <v>-2.67999999999801E-2</v>
      </c>
      <c r="AF12">
        <v>3.0655225671427502E-2</v>
      </c>
      <c r="AG12">
        <v>-6.6104999999999997E-2</v>
      </c>
      <c r="AH12">
        <v>0.71745646185589895</v>
      </c>
      <c r="AI12">
        <v>95.259483168731407</v>
      </c>
      <c r="AJ12">
        <v>87.553374391017101</v>
      </c>
      <c r="AK12">
        <v>0.72114727243798904</v>
      </c>
      <c r="AL12">
        <v>85.313434922802699</v>
      </c>
      <c r="AM12">
        <v>89.143111906507002</v>
      </c>
      <c r="AN12">
        <v>0.99999998507187304</v>
      </c>
    </row>
    <row r="13" spans="1:40" x14ac:dyDescent="0.25">
      <c r="A13" t="str">
        <f>"20190312163953923"</f>
        <v>20190312163953923</v>
      </c>
      <c r="B13" t="str">
        <f>"1552379993916286"</f>
        <v>1552379993916286</v>
      </c>
      <c r="C13" t="s">
        <v>40</v>
      </c>
      <c r="D13">
        <v>4.8353869999999999</v>
      </c>
      <c r="E13">
        <v>0.51358700000000002</v>
      </c>
      <c r="F13" t="s">
        <v>42</v>
      </c>
      <c r="G13">
        <v>-475.66</v>
      </c>
      <c r="H13">
        <v>1.04077</v>
      </c>
      <c r="I13">
        <v>367.19720000000001</v>
      </c>
      <c r="J13">
        <v>-476.37920000000003</v>
      </c>
      <c r="K13">
        <v>1.109076</v>
      </c>
      <c r="L13">
        <v>367.22449999999998</v>
      </c>
      <c r="M13">
        <v>0.99997800000000003</v>
      </c>
      <c r="N13">
        <v>0</v>
      </c>
      <c r="O13">
        <v>6.4190289999999997E-3</v>
      </c>
      <c r="P13">
        <v>0.99673769999999995</v>
      </c>
      <c r="Q13">
        <v>8.0176720000000007E-2</v>
      </c>
      <c r="R13">
        <v>-9.2529190000000001E-3</v>
      </c>
      <c r="S13">
        <v>3.0307309999999998</v>
      </c>
      <c r="T13">
        <v>-0.27479100000000001</v>
      </c>
      <c r="U13">
        <v>-0.1055908</v>
      </c>
      <c r="V13">
        <v>1.561862E-2</v>
      </c>
      <c r="W13">
        <v>8.1906329999999999E-2</v>
      </c>
      <c r="X13">
        <v>0.99651769999999995</v>
      </c>
      <c r="Y13">
        <v>4.1038909999999998E-2</v>
      </c>
      <c r="Z13">
        <v>-2.4367450000000001E-3</v>
      </c>
      <c r="AA13">
        <v>0.9991546</v>
      </c>
      <c r="AB13">
        <v>3</v>
      </c>
      <c r="AC13">
        <v>0.71919999999999995</v>
      </c>
      <c r="AD13">
        <v>-6.8305999999999895E-2</v>
      </c>
      <c r="AE13">
        <v>-2.7299999999968301E-2</v>
      </c>
      <c r="AF13">
        <v>3.1631099906112597E-2</v>
      </c>
      <c r="AG13">
        <v>-6.8305999999999895E-2</v>
      </c>
      <c r="AH13">
        <v>0.71259144175145595</v>
      </c>
      <c r="AI13">
        <v>95.470048283565205</v>
      </c>
      <c r="AJ13">
        <v>87.458375856130004</v>
      </c>
      <c r="AK13">
        <v>0.71655620782649598</v>
      </c>
      <c r="AL13">
        <v>85.301850187607499</v>
      </c>
      <c r="AM13">
        <v>89.102065379242603</v>
      </c>
      <c r="AN13">
        <v>1.00000005729903</v>
      </c>
    </row>
    <row r="14" spans="1:40" x14ac:dyDescent="0.25">
      <c r="A14" t="str">
        <f>"20190312163953935"</f>
        <v>20190312163953935</v>
      </c>
      <c r="B14" t="str">
        <f>"1552379993926046"</f>
        <v>1552379993926046</v>
      </c>
      <c r="C14" t="s">
        <v>40</v>
      </c>
      <c r="D14">
        <v>4.8562269999999996</v>
      </c>
      <c r="E14">
        <v>0.51369449999999905</v>
      </c>
      <c r="F14" t="s">
        <v>42</v>
      </c>
      <c r="G14">
        <v>-475.63229999999999</v>
      </c>
      <c r="H14">
        <v>1.040457</v>
      </c>
      <c r="I14">
        <v>367.19779999999997</v>
      </c>
      <c r="J14">
        <v>-476.36200000000002</v>
      </c>
      <c r="K14">
        <v>1.109246</v>
      </c>
      <c r="L14">
        <v>367.22500000000002</v>
      </c>
      <c r="M14">
        <v>0.99997480000000005</v>
      </c>
      <c r="N14">
        <v>0</v>
      </c>
      <c r="O14">
        <v>6.7159539999999997E-3</v>
      </c>
      <c r="P14">
        <v>0.99680210000000002</v>
      </c>
      <c r="Q14">
        <v>7.9374860000000005E-2</v>
      </c>
      <c r="R14">
        <v>-9.2398659999999994E-3</v>
      </c>
      <c r="S14">
        <v>3.03125</v>
      </c>
      <c r="T14">
        <v>-0.27912019999999998</v>
      </c>
      <c r="U14">
        <v>-0.10708620000000001</v>
      </c>
      <c r="V14">
        <v>1.591209E-2</v>
      </c>
      <c r="W14">
        <v>8.1703390000000001E-2</v>
      </c>
      <c r="X14">
        <v>0.99652960000000002</v>
      </c>
      <c r="Y14">
        <v>4.1811319999999999E-2</v>
      </c>
      <c r="Z14">
        <v>-2.5372839999999999E-3</v>
      </c>
      <c r="AA14">
        <v>0.99912230000000002</v>
      </c>
      <c r="AB14">
        <v>4</v>
      </c>
      <c r="AC14">
        <v>0.72969999999997903</v>
      </c>
      <c r="AD14">
        <v>-6.8788999999999906E-2</v>
      </c>
      <c r="AE14">
        <v>-2.7200000000050201E-2</v>
      </c>
      <c r="AF14">
        <v>3.1817663775774198E-2</v>
      </c>
      <c r="AG14">
        <v>-6.8788999999999906E-2</v>
      </c>
      <c r="AH14">
        <v>0.72308382641911895</v>
      </c>
      <c r="AI14">
        <v>95.429132013149101</v>
      </c>
      <c r="AJ14">
        <v>87.480454483290501</v>
      </c>
      <c r="AK14">
        <v>0.72704505381582996</v>
      </c>
      <c r="AL14">
        <v>85.313516349256801</v>
      </c>
      <c r="AM14">
        <v>89.085207173217</v>
      </c>
      <c r="AN14">
        <v>0.99999994111090795</v>
      </c>
    </row>
    <row r="15" spans="1:40" x14ac:dyDescent="0.25">
      <c r="A15" t="str">
        <f>"20190312163953948"</f>
        <v>20190312163953948</v>
      </c>
      <c r="B15" t="str">
        <f>"1552379993936783"</f>
        <v>1552379993936783</v>
      </c>
      <c r="C15" t="s">
        <v>40</v>
      </c>
      <c r="D15">
        <v>4.8107889999999998</v>
      </c>
      <c r="E15">
        <v>0.51373619999999998</v>
      </c>
      <c r="F15" t="s">
        <v>42</v>
      </c>
      <c r="G15">
        <v>-475.63209999999998</v>
      </c>
      <c r="H15">
        <v>1.040802</v>
      </c>
      <c r="I15">
        <v>367.19880000000001</v>
      </c>
      <c r="J15">
        <v>-476.34249999999997</v>
      </c>
      <c r="K15">
        <v>1.1092839999999999</v>
      </c>
      <c r="L15">
        <v>367.22550000000001</v>
      </c>
      <c r="M15">
        <v>0.99997219999999998</v>
      </c>
      <c r="N15">
        <v>0</v>
      </c>
      <c r="O15">
        <v>7.0572350000000002E-3</v>
      </c>
      <c r="P15">
        <v>0.99679649999999997</v>
      </c>
      <c r="Q15">
        <v>7.9486860000000006E-2</v>
      </c>
      <c r="R15">
        <v>-8.8734380000000009E-3</v>
      </c>
      <c r="S15">
        <v>3.031342</v>
      </c>
      <c r="T15">
        <v>-0.28491129999999998</v>
      </c>
      <c r="U15">
        <v>-0.107543899999999</v>
      </c>
      <c r="V15">
        <v>1.588815E-2</v>
      </c>
      <c r="W15">
        <v>8.19106E-2</v>
      </c>
      <c r="X15">
        <v>0.99651299999999998</v>
      </c>
      <c r="Y15">
        <v>4.2289750000000001E-2</v>
      </c>
      <c r="Z15">
        <v>-2.644038E-3</v>
      </c>
      <c r="AA15">
        <v>0.99910189999999999</v>
      </c>
      <c r="AB15">
        <v>4</v>
      </c>
      <c r="AC15">
        <v>0.71039999999999204</v>
      </c>
      <c r="AD15">
        <v>-6.8481999999999904E-2</v>
      </c>
      <c r="AE15">
        <v>-2.6700000000005199E-2</v>
      </c>
      <c r="AF15">
        <v>3.1421229793308303E-2</v>
      </c>
      <c r="AG15">
        <v>-6.8481999999999904E-2</v>
      </c>
      <c r="AH15">
        <v>0.70366408901453104</v>
      </c>
      <c r="AI15">
        <v>95.553135620925801</v>
      </c>
      <c r="AJ15">
        <v>87.443227903369205</v>
      </c>
      <c r="AK15">
        <v>0.707686532424049</v>
      </c>
      <c r="AL15">
        <v>85.301604296058798</v>
      </c>
      <c r="AM15">
        <v>89.086568047449504</v>
      </c>
      <c r="AN15">
        <v>0.99999996943588998</v>
      </c>
    </row>
    <row r="16" spans="1:40" x14ac:dyDescent="0.25">
      <c r="A16" t="str">
        <f>"20190312163953968"</f>
        <v>20190312163953968</v>
      </c>
      <c r="B16" t="str">
        <f>"1552379993956305"</f>
        <v>1552379993956305</v>
      </c>
      <c r="C16" t="s">
        <v>40</v>
      </c>
      <c r="D16">
        <v>4.8313860000000002</v>
      </c>
      <c r="E16">
        <v>0.51389319999999905</v>
      </c>
      <c r="F16" t="s">
        <v>42</v>
      </c>
      <c r="G16">
        <v>-475.60160000000002</v>
      </c>
      <c r="H16">
        <v>1.0391140000000001</v>
      </c>
      <c r="I16">
        <v>367.19940000000003</v>
      </c>
      <c r="J16">
        <v>-476.3109</v>
      </c>
      <c r="K16">
        <v>1.109227</v>
      </c>
      <c r="L16">
        <v>367.22640000000001</v>
      </c>
      <c r="M16">
        <v>0.99996879999999999</v>
      </c>
      <c r="N16">
        <v>0</v>
      </c>
      <c r="O16">
        <v>7.6333490000000002E-3</v>
      </c>
      <c r="P16">
        <v>0.99676600000000004</v>
      </c>
      <c r="Q16">
        <v>7.9911010000000005E-2</v>
      </c>
      <c r="R16">
        <v>-8.4807179999999999E-3</v>
      </c>
      <c r="S16">
        <v>3.0316770000000002</v>
      </c>
      <c r="T16">
        <v>-0.28749599999999997</v>
      </c>
      <c r="U16">
        <v>-0.1062317</v>
      </c>
      <c r="V16">
        <v>1.606728E-2</v>
      </c>
      <c r="W16">
        <v>8.2034629999999997E-2</v>
      </c>
      <c r="X16">
        <v>0.99650000000000005</v>
      </c>
      <c r="Y16">
        <v>4.2422429999999997E-2</v>
      </c>
      <c r="Z16">
        <v>-2.728416E-3</v>
      </c>
      <c r="AA16">
        <v>0.99909599999999998</v>
      </c>
      <c r="AB16">
        <v>3</v>
      </c>
      <c r="AC16">
        <v>0.70929999999998405</v>
      </c>
      <c r="AD16">
        <v>-7.0112999999999995E-2</v>
      </c>
      <c r="AE16">
        <v>-2.6999999999986798E-2</v>
      </c>
      <c r="AF16">
        <v>3.2100361509758597E-2</v>
      </c>
      <c r="AG16">
        <v>-7.0112999999999995E-2</v>
      </c>
      <c r="AH16">
        <v>0.70222178167558302</v>
      </c>
      <c r="AI16">
        <v>95.695864247608696</v>
      </c>
      <c r="AJ16">
        <v>87.382684803369699</v>
      </c>
      <c r="AK16">
        <v>0.70644298895076196</v>
      </c>
      <c r="AL16">
        <v>85.294474255220507</v>
      </c>
      <c r="AM16">
        <v>89.076259339285002</v>
      </c>
      <c r="AN16">
        <v>1.00000004400291</v>
      </c>
    </row>
    <row r="17" spans="1:40" x14ac:dyDescent="0.25">
      <c r="A17" t="str">
        <f>"20190312163953991"</f>
        <v>20190312163953991</v>
      </c>
      <c r="B17" t="str">
        <f>"1552379993986558"</f>
        <v>1552379993986558</v>
      </c>
      <c r="C17" t="s">
        <v>40</v>
      </c>
      <c r="D17">
        <v>4.8248989999999896</v>
      </c>
      <c r="E17">
        <v>0.5142236</v>
      </c>
      <c r="F17" t="s">
        <v>42</v>
      </c>
      <c r="G17">
        <v>-475.56779999999998</v>
      </c>
      <c r="H17">
        <v>1.037536</v>
      </c>
      <c r="I17">
        <v>367.20030000000003</v>
      </c>
      <c r="J17">
        <v>-476.2679</v>
      </c>
      <c r="K17">
        <v>1.109083</v>
      </c>
      <c r="L17">
        <v>367.22770000000003</v>
      </c>
      <c r="M17">
        <v>0.99996309999999999</v>
      </c>
      <c r="N17">
        <v>0</v>
      </c>
      <c r="O17">
        <v>8.4855899999999995E-3</v>
      </c>
      <c r="P17">
        <v>0.99669859999999999</v>
      </c>
      <c r="Q17">
        <v>8.0806009999999998E-2</v>
      </c>
      <c r="R17">
        <v>-7.8933409999999999E-3</v>
      </c>
      <c r="S17">
        <v>3.032257</v>
      </c>
      <c r="T17">
        <v>-0.29286230000000002</v>
      </c>
      <c r="U17">
        <v>-0.1057739</v>
      </c>
      <c r="V17">
        <v>1.6320370000000001E-2</v>
      </c>
      <c r="W17">
        <v>8.2195270000000001E-2</v>
      </c>
      <c r="X17">
        <v>0.9964826</v>
      </c>
      <c r="Y17">
        <v>4.310112E-2</v>
      </c>
      <c r="Z17">
        <v>-2.893376E-3</v>
      </c>
      <c r="AA17">
        <v>0.99906649999999997</v>
      </c>
      <c r="AB17">
        <v>4</v>
      </c>
      <c r="AC17">
        <v>0.70010000000002004</v>
      </c>
      <c r="AD17">
        <v>-7.1546999999999999E-2</v>
      </c>
      <c r="AE17">
        <v>-2.7400000000000001E-2</v>
      </c>
      <c r="AF17">
        <v>3.2995703600003E-2</v>
      </c>
      <c r="AG17">
        <v>-7.1546999999999999E-2</v>
      </c>
      <c r="AH17">
        <v>0.69261970088031299</v>
      </c>
      <c r="AI17">
        <v>95.891051074587295</v>
      </c>
      <c r="AJ17">
        <v>87.272548928823795</v>
      </c>
      <c r="AK17">
        <v>0.69708660847314596</v>
      </c>
      <c r="AL17">
        <v>85.285238839194093</v>
      </c>
      <c r="AM17">
        <v>89.061694879814894</v>
      </c>
      <c r="AN17">
        <v>0.99999999449503396</v>
      </c>
    </row>
    <row r="18" spans="1:40" x14ac:dyDescent="0.25">
      <c r="A18" t="str">
        <f>"20190312163954011"</f>
        <v>20190312163954011</v>
      </c>
      <c r="B18" t="str">
        <f>"1552379994006078"</f>
        <v>1552379994006078</v>
      </c>
      <c r="C18" t="s">
        <v>40</v>
      </c>
      <c r="D18">
        <v>4.7712389999999996</v>
      </c>
      <c r="E18">
        <v>0.51435699999999995</v>
      </c>
      <c r="F18" t="s">
        <v>42</v>
      </c>
      <c r="G18">
        <v>-475.53120000000001</v>
      </c>
      <c r="H18">
        <v>1.0366329999999999</v>
      </c>
      <c r="I18">
        <v>367.202</v>
      </c>
      <c r="J18">
        <v>-476.2287</v>
      </c>
      <c r="K18">
        <v>1.1090199999999999</v>
      </c>
      <c r="L18">
        <v>367.22879999999998</v>
      </c>
      <c r="M18">
        <v>0.99995639999999997</v>
      </c>
      <c r="N18">
        <v>0</v>
      </c>
      <c r="O18">
        <v>9.3097300000000004E-3</v>
      </c>
      <c r="P18">
        <v>0.99670360000000002</v>
      </c>
      <c r="Q18">
        <v>8.0808450000000004E-2</v>
      </c>
      <c r="R18">
        <v>-7.2181169999999996E-3</v>
      </c>
      <c r="S18">
        <v>3.033264</v>
      </c>
      <c r="T18">
        <v>-0.29809570000000002</v>
      </c>
      <c r="U18">
        <v>-0.1058655</v>
      </c>
      <c r="V18">
        <v>1.6458110000000001E-2</v>
      </c>
      <c r="W18">
        <v>8.1675360000000002E-2</v>
      </c>
      <c r="X18">
        <v>0.9965231</v>
      </c>
      <c r="Y18">
        <v>4.3926649999999998E-2</v>
      </c>
      <c r="Z18">
        <v>-3.0650920000000002E-3</v>
      </c>
      <c r="AA18">
        <v>0.99903010000000003</v>
      </c>
      <c r="AB18">
        <v>4</v>
      </c>
      <c r="AC18">
        <v>0.69749999999999002</v>
      </c>
      <c r="AD18">
        <v>-7.2387000000000201E-2</v>
      </c>
      <c r="AE18">
        <v>-2.67999999999801E-2</v>
      </c>
      <c r="AF18">
        <v>3.2938142230650599E-2</v>
      </c>
      <c r="AG18">
        <v>-7.2387000000000201E-2</v>
      </c>
      <c r="AH18">
        <v>0.68980176771704105</v>
      </c>
      <c r="AI18">
        <v>95.983858755112195</v>
      </c>
      <c r="AJ18">
        <v>87.266194073654503</v>
      </c>
      <c r="AK18">
        <v>0.69437113831737096</v>
      </c>
      <c r="AL18">
        <v>85.315128065243897</v>
      </c>
      <c r="AM18">
        <v>89.053815692642701</v>
      </c>
      <c r="AN18">
        <v>1.00000001132475</v>
      </c>
    </row>
    <row r="19" spans="1:40" x14ac:dyDescent="0.25">
      <c r="A19" t="str">
        <f>"20190312163954024"</f>
        <v>20190312163954024</v>
      </c>
      <c r="B19" t="str">
        <f>"1552379994016815"</f>
        <v>1552379994016815</v>
      </c>
      <c r="C19" t="s">
        <v>40</v>
      </c>
      <c r="D19">
        <v>4.7954629999999998</v>
      </c>
      <c r="E19">
        <v>0.51442219999999905</v>
      </c>
      <c r="F19" t="s">
        <v>42</v>
      </c>
      <c r="G19">
        <v>-475.49270000000001</v>
      </c>
      <c r="H19">
        <v>1.0353520000000001</v>
      </c>
      <c r="I19">
        <v>367.20330000000001</v>
      </c>
      <c r="J19">
        <v>-476.20350000000002</v>
      </c>
      <c r="K19">
        <v>1.1090359999999999</v>
      </c>
      <c r="L19">
        <v>367.2296</v>
      </c>
      <c r="M19">
        <v>0.9999519</v>
      </c>
      <c r="N19">
        <v>0</v>
      </c>
      <c r="O19">
        <v>9.7883680000000004E-3</v>
      </c>
      <c r="P19">
        <v>0.9967123</v>
      </c>
      <c r="Q19">
        <v>8.0736859999999994E-2</v>
      </c>
      <c r="R19">
        <v>-6.7950049999999998E-3</v>
      </c>
      <c r="S19">
        <v>3.0337830000000001</v>
      </c>
      <c r="T19">
        <v>-0.30405149999999997</v>
      </c>
      <c r="U19">
        <v>-0.1043396</v>
      </c>
      <c r="V19">
        <v>1.6511270000000002E-2</v>
      </c>
      <c r="W19">
        <v>8.1543710000000005E-2</v>
      </c>
      <c r="X19">
        <v>0.996533</v>
      </c>
      <c r="Y19">
        <v>4.3884609999999998E-2</v>
      </c>
      <c r="Z19">
        <v>-3.1712630000000001E-3</v>
      </c>
      <c r="AA19">
        <v>0.99903149999999996</v>
      </c>
      <c r="AB19">
        <v>4</v>
      </c>
      <c r="AC19">
        <v>0.71080000000000598</v>
      </c>
      <c r="AD19">
        <v>-7.3683999999999999E-2</v>
      </c>
      <c r="AE19">
        <v>-2.6299999999992E-2</v>
      </c>
      <c r="AF19">
        <v>3.2903214976141001E-2</v>
      </c>
      <c r="AG19">
        <v>-7.3683999999999999E-2</v>
      </c>
      <c r="AH19">
        <v>0.70296470054529803</v>
      </c>
      <c r="AI19">
        <v>95.977334079914499</v>
      </c>
      <c r="AJ19">
        <v>87.320149327328807</v>
      </c>
      <c r="AK19">
        <v>0.70758131944286595</v>
      </c>
      <c r="AL19">
        <v>85.322696290197896</v>
      </c>
      <c r="AM19">
        <v>89.050769486563695</v>
      </c>
      <c r="AN19">
        <v>1.0000000093832799</v>
      </c>
    </row>
    <row r="20" spans="1:40" x14ac:dyDescent="0.25">
      <c r="A20" t="str">
        <f>"20190312163954046"</f>
        <v>20190312163954046</v>
      </c>
      <c r="B20" t="str">
        <f>"1552379994036337"</f>
        <v>1552379994036337</v>
      </c>
      <c r="C20" t="s">
        <v>40</v>
      </c>
      <c r="D20">
        <v>4.7490230000000002</v>
      </c>
      <c r="E20">
        <v>0.51459909999999998</v>
      </c>
      <c r="F20" t="s">
        <v>42</v>
      </c>
      <c r="G20">
        <v>-475.45440000000002</v>
      </c>
      <c r="H20">
        <v>1.0332520000000001</v>
      </c>
      <c r="I20">
        <v>367.20400000000001</v>
      </c>
      <c r="J20">
        <v>-476.16300000000001</v>
      </c>
      <c r="K20">
        <v>1.1092409999999999</v>
      </c>
      <c r="L20">
        <v>367.23090000000002</v>
      </c>
      <c r="M20">
        <v>0.99994439999999996</v>
      </c>
      <c r="N20">
        <v>0</v>
      </c>
      <c r="O20">
        <v>1.0426070000000001E-2</v>
      </c>
      <c r="P20">
        <v>0.9968399</v>
      </c>
      <c r="Q20">
        <v>7.9195269999999998E-2</v>
      </c>
      <c r="R20">
        <v>-6.1984140000000002E-3</v>
      </c>
      <c r="S20">
        <v>3.0340579999999999</v>
      </c>
      <c r="T20">
        <v>-0.30711149999999998</v>
      </c>
      <c r="U20">
        <v>-0.1033936</v>
      </c>
      <c r="V20">
        <v>1.6562730000000001E-2</v>
      </c>
      <c r="W20">
        <v>8.0792329999999996E-2</v>
      </c>
      <c r="X20">
        <v>0.99659339999999996</v>
      </c>
      <c r="Y20">
        <v>4.419725E-2</v>
      </c>
      <c r="Z20">
        <v>-3.2828929999999998E-3</v>
      </c>
      <c r="AA20">
        <v>0.99901740000000006</v>
      </c>
      <c r="AB20">
        <v>4</v>
      </c>
      <c r="AC20">
        <v>0.70859999999998902</v>
      </c>
      <c r="AD20">
        <v>-7.5988999999999807E-2</v>
      </c>
      <c r="AE20">
        <v>-2.6900000000011901E-2</v>
      </c>
      <c r="AF20">
        <v>3.3897202274051602E-2</v>
      </c>
      <c r="AG20">
        <v>-7.5988999999999807E-2</v>
      </c>
      <c r="AH20">
        <v>0.70023982959814501</v>
      </c>
      <c r="AI20">
        <v>96.186230409753193</v>
      </c>
      <c r="AJ20">
        <v>87.228589938790293</v>
      </c>
      <c r="AK20">
        <v>0.70516605661265896</v>
      </c>
      <c r="AL20">
        <v>85.365889970466796</v>
      </c>
      <c r="AM20">
        <v>89.047869300626203</v>
      </c>
      <c r="AN20">
        <v>1.0000000647677101</v>
      </c>
    </row>
    <row r="21" spans="1:40" x14ac:dyDescent="0.25">
      <c r="A21" t="str">
        <f>"20190312163954058"</f>
        <v>20190312163954058</v>
      </c>
      <c r="B21" t="str">
        <f>"1552379994046094"</f>
        <v>1552379994046094</v>
      </c>
      <c r="C21" t="s">
        <v>40</v>
      </c>
      <c r="D21">
        <v>4.73224</v>
      </c>
      <c r="E21">
        <v>0.514646099999999</v>
      </c>
      <c r="F21" t="s">
        <v>42</v>
      </c>
      <c r="G21">
        <v>-475.41919999999999</v>
      </c>
      <c r="H21">
        <v>1.0316459999999901</v>
      </c>
      <c r="I21">
        <v>367.2054</v>
      </c>
      <c r="J21">
        <v>-476.14069999999998</v>
      </c>
      <c r="K21">
        <v>1.1094599999999999</v>
      </c>
      <c r="L21">
        <v>367.23160000000001</v>
      </c>
      <c r="M21">
        <v>0.99993909999999997</v>
      </c>
      <c r="N21">
        <v>0</v>
      </c>
      <c r="O21">
        <v>1.073698E-2</v>
      </c>
      <c r="P21">
        <v>0.9969441</v>
      </c>
      <c r="Q21">
        <v>7.7913590000000005E-2</v>
      </c>
      <c r="R21">
        <v>-5.6728500000000001E-3</v>
      </c>
      <c r="S21">
        <v>3.034027</v>
      </c>
      <c r="T21">
        <v>-0.31703439999999999</v>
      </c>
      <c r="U21">
        <v>-0.1026306</v>
      </c>
      <c r="V21">
        <v>1.6359829999999999E-2</v>
      </c>
      <c r="W21">
        <v>8.0464850000000004E-2</v>
      </c>
      <c r="X21">
        <v>0.99662320000000004</v>
      </c>
      <c r="Y21">
        <v>4.423713E-2</v>
      </c>
      <c r="Z21">
        <v>-3.4229180000000001E-3</v>
      </c>
      <c r="AA21">
        <v>0.99901519999999999</v>
      </c>
      <c r="AB21">
        <v>4</v>
      </c>
      <c r="AC21">
        <v>0.72149999999999104</v>
      </c>
      <c r="AD21">
        <v>-7.7814000000000202E-2</v>
      </c>
      <c r="AE21">
        <v>-2.6200000000017099E-2</v>
      </c>
      <c r="AF21">
        <v>3.3555453418608501E-2</v>
      </c>
      <c r="AG21">
        <v>-7.7814000000000202E-2</v>
      </c>
      <c r="AH21">
        <v>0.71289583737103002</v>
      </c>
      <c r="AI21">
        <v>96.222452600904205</v>
      </c>
      <c r="AJ21">
        <v>87.305121159322397</v>
      </c>
      <c r="AK21">
        <v>0.71791466205327603</v>
      </c>
      <c r="AL21">
        <v>85.384714270151804</v>
      </c>
      <c r="AM21">
        <v>89.059559286592801</v>
      </c>
      <c r="AN21">
        <v>1.0000000194506899</v>
      </c>
    </row>
    <row r="22" spans="1:40" x14ac:dyDescent="0.25">
      <c r="A22" t="str">
        <f>"20190312163954080"</f>
        <v>20190312163954080</v>
      </c>
      <c r="B22" t="str">
        <f>"1552379994076350"</f>
        <v>1552379994076350</v>
      </c>
      <c r="C22" t="s">
        <v>40</v>
      </c>
      <c r="D22">
        <v>4.780437</v>
      </c>
      <c r="E22">
        <v>0.51478619999999997</v>
      </c>
      <c r="F22" t="s">
        <v>42</v>
      </c>
      <c r="G22">
        <v>-475.38130000000001</v>
      </c>
      <c r="H22">
        <v>1.028475</v>
      </c>
      <c r="I22">
        <v>367.2063</v>
      </c>
      <c r="J22">
        <v>-476.09750000000003</v>
      </c>
      <c r="K22">
        <v>1.1094379999999999</v>
      </c>
      <c r="L22">
        <v>367.2328</v>
      </c>
      <c r="M22">
        <v>0.99993169999999998</v>
      </c>
      <c r="N22">
        <v>0</v>
      </c>
      <c r="O22">
        <v>1.1368410000000001E-2</v>
      </c>
      <c r="P22">
        <v>0.99700440000000001</v>
      </c>
      <c r="Q22">
        <v>7.7200759999999993E-2</v>
      </c>
      <c r="R22">
        <v>-4.7281440000000001E-3</v>
      </c>
      <c r="S22">
        <v>3.0338440000000002</v>
      </c>
      <c r="T22">
        <v>-0.32340809999999998</v>
      </c>
      <c r="U22">
        <v>-0.10098269999999999</v>
      </c>
      <c r="V22">
        <v>1.6049049999999999E-2</v>
      </c>
      <c r="W22">
        <v>7.9962459999999999E-2</v>
      </c>
      <c r="X22">
        <v>0.99666869999999996</v>
      </c>
      <c r="Y22">
        <v>4.4311820000000002E-2</v>
      </c>
      <c r="Z22">
        <v>-3.5626640000000001E-3</v>
      </c>
      <c r="AA22">
        <v>0.99901139999999999</v>
      </c>
      <c r="AB22">
        <v>4</v>
      </c>
      <c r="AC22">
        <v>0.71620000000001405</v>
      </c>
      <c r="AD22">
        <v>-8.0962999999999896E-2</v>
      </c>
      <c r="AE22">
        <v>-2.6499999999998601E-2</v>
      </c>
      <c r="AF22">
        <v>3.4203871271302998E-2</v>
      </c>
      <c r="AG22">
        <v>-8.0962999999999896E-2</v>
      </c>
      <c r="AH22">
        <v>0.706832036250306</v>
      </c>
      <c r="AI22">
        <v>96.526808504661005</v>
      </c>
      <c r="AJ22">
        <v>87.229596491592403</v>
      </c>
      <c r="AK22">
        <v>0.71227553632614504</v>
      </c>
      <c r="AL22">
        <v>85.413592208959102</v>
      </c>
      <c r="AM22">
        <v>89.077463389377996</v>
      </c>
      <c r="AN22">
        <v>1.0000000322874201</v>
      </c>
    </row>
    <row r="23" spans="1:40" x14ac:dyDescent="0.25">
      <c r="A23" t="str">
        <f>"20190312163954103"</f>
        <v>20190312163954103</v>
      </c>
      <c r="B23" t="str">
        <f>"1552379994095870"</f>
        <v>1552379994095870</v>
      </c>
      <c r="C23" t="s">
        <v>40</v>
      </c>
      <c r="D23">
        <v>4.7644849999999996</v>
      </c>
      <c r="E23">
        <v>0.51486969999999999</v>
      </c>
      <c r="F23" t="s">
        <v>42</v>
      </c>
      <c r="G23">
        <v>-475.33909999999997</v>
      </c>
      <c r="H23">
        <v>1.0263389999999999</v>
      </c>
      <c r="I23">
        <v>367.20769999999999</v>
      </c>
      <c r="J23">
        <v>-476.04770000000002</v>
      </c>
      <c r="K23">
        <v>1.109218</v>
      </c>
      <c r="L23">
        <v>367.23430000000002</v>
      </c>
      <c r="M23">
        <v>0.99992349999999997</v>
      </c>
      <c r="N23">
        <v>0</v>
      </c>
      <c r="O23">
        <v>1.2197650000000001E-2</v>
      </c>
      <c r="P23">
        <v>0.99696390000000001</v>
      </c>
      <c r="Q23">
        <v>7.7766810000000006E-2</v>
      </c>
      <c r="R23">
        <v>-3.9573029999999997E-3</v>
      </c>
      <c r="S23">
        <v>3.0343629999999999</v>
      </c>
      <c r="T23">
        <v>-0.3332869</v>
      </c>
      <c r="U23">
        <v>-9.8937990000000003E-2</v>
      </c>
      <c r="V23">
        <v>1.6097839999999999E-2</v>
      </c>
      <c r="W23">
        <v>7.9848859999999994E-2</v>
      </c>
      <c r="X23">
        <v>0.99667700000000004</v>
      </c>
      <c r="Y23">
        <v>4.4437039999999997E-2</v>
      </c>
      <c r="Z23">
        <v>-3.7679060000000001E-3</v>
      </c>
      <c r="AA23">
        <v>0.99900509999999998</v>
      </c>
      <c r="AB23">
        <v>4</v>
      </c>
      <c r="AC23">
        <v>0.70860000000004597</v>
      </c>
      <c r="AD23">
        <v>-8.2879000000000105E-2</v>
      </c>
      <c r="AE23">
        <v>-2.6600000000030301E-2</v>
      </c>
      <c r="AF23">
        <v>3.4766358900680999E-2</v>
      </c>
      <c r="AG23">
        <v>-8.2879000000000105E-2</v>
      </c>
      <c r="AH23">
        <v>0.69867834249226302</v>
      </c>
      <c r="AI23">
        <v>96.756676102617106</v>
      </c>
      <c r="AJ23">
        <v>87.151301442237397</v>
      </c>
      <c r="AK23">
        <v>0.70443527354892399</v>
      </c>
      <c r="AL23">
        <v>85.420121793516699</v>
      </c>
      <c r="AM23">
        <v>89.074667018544403</v>
      </c>
      <c r="AN23">
        <v>1.0000000116124801</v>
      </c>
    </row>
    <row r="24" spans="1:40" x14ac:dyDescent="0.25">
      <c r="A24" t="str">
        <f>"20190312163954125"</f>
        <v>20190312163954125</v>
      </c>
      <c r="B24" t="str">
        <f>"1552379994116366"</f>
        <v>1552379994116366</v>
      </c>
      <c r="C24" t="s">
        <v>40</v>
      </c>
      <c r="D24">
        <v>4.6430600000000002</v>
      </c>
      <c r="E24">
        <v>0.51467640000000003</v>
      </c>
      <c r="F24" t="s">
        <v>42</v>
      </c>
      <c r="G24">
        <v>-475.2937</v>
      </c>
      <c r="H24">
        <v>1.025658</v>
      </c>
      <c r="I24">
        <v>367.21010000000001</v>
      </c>
      <c r="J24">
        <v>-475.99900000000002</v>
      </c>
      <c r="K24">
        <v>1.109181</v>
      </c>
      <c r="L24">
        <v>367.23570000000001</v>
      </c>
      <c r="M24">
        <v>0.99991319999999995</v>
      </c>
      <c r="N24">
        <v>0</v>
      </c>
      <c r="O24">
        <v>1.302937E-2</v>
      </c>
      <c r="P24">
        <v>0.99693659999999995</v>
      </c>
      <c r="Q24">
        <v>7.8148780000000001E-2</v>
      </c>
      <c r="R24">
        <v>-3.1928579999999998E-3</v>
      </c>
      <c r="S24">
        <v>3.0349729999999999</v>
      </c>
      <c r="T24">
        <v>-0.33657880000000001</v>
      </c>
      <c r="U24">
        <v>-9.6954349999999995E-2</v>
      </c>
      <c r="V24">
        <v>1.615772E-2</v>
      </c>
      <c r="W24">
        <v>8.0094589999999993E-2</v>
      </c>
      <c r="X24">
        <v>0.99665630000000005</v>
      </c>
      <c r="Y24">
        <v>4.4596490000000003E-2</v>
      </c>
      <c r="Z24">
        <v>-3.9049229999999998E-3</v>
      </c>
      <c r="AA24">
        <v>0.99899740000000004</v>
      </c>
      <c r="AB24">
        <v>5</v>
      </c>
      <c r="AC24">
        <v>0.70530000000002202</v>
      </c>
      <c r="AD24">
        <v>-8.3523E-2</v>
      </c>
      <c r="AE24">
        <v>-2.5599999999997101E-2</v>
      </c>
      <c r="AF24">
        <v>3.4306979399422503E-2</v>
      </c>
      <c r="AG24">
        <v>-8.3523E-2</v>
      </c>
      <c r="AH24">
        <v>0.69517050127438995</v>
      </c>
      <c r="AI24">
        <v>96.842856001909198</v>
      </c>
      <c r="AJ24">
        <v>87.174719443863907</v>
      </c>
      <c r="AK24">
        <v>0.70101004715096604</v>
      </c>
      <c r="AL24">
        <v>85.405997199135399</v>
      </c>
      <c r="AM24">
        <v>89.071206322828104</v>
      </c>
      <c r="AN24">
        <v>0.99999999779627802</v>
      </c>
    </row>
    <row r="25" spans="1:40" x14ac:dyDescent="0.25">
      <c r="A25" t="str">
        <f>"20190312163954147"</f>
        <v>20190312163954147</v>
      </c>
      <c r="B25" t="str">
        <f>"1552379994135891"</f>
        <v>1552379994135891</v>
      </c>
      <c r="C25" t="s">
        <v>40</v>
      </c>
      <c r="D25">
        <v>4.8562919999999998</v>
      </c>
      <c r="E25">
        <v>0.51419979999999998</v>
      </c>
      <c r="F25" t="s">
        <v>42</v>
      </c>
      <c r="G25">
        <v>-475.25119999999998</v>
      </c>
      <c r="H25">
        <v>1.0257499999999999</v>
      </c>
      <c r="I25">
        <v>367.21260000000001</v>
      </c>
      <c r="J25">
        <v>-475.95319999999998</v>
      </c>
      <c r="K25">
        <v>1.1095630000000001</v>
      </c>
      <c r="L25">
        <v>367.23719999999997</v>
      </c>
      <c r="M25">
        <v>0.99989969999999995</v>
      </c>
      <c r="N25">
        <v>0</v>
      </c>
      <c r="O25">
        <v>1.369269E-2</v>
      </c>
      <c r="P25">
        <v>0.99707889999999999</v>
      </c>
      <c r="Q25">
        <v>7.634167E-2</v>
      </c>
      <c r="R25">
        <v>-2.434791E-3</v>
      </c>
      <c r="S25">
        <v>3.0355219999999998</v>
      </c>
      <c r="T25">
        <v>-0.33935789999999999</v>
      </c>
      <c r="U25">
        <v>-9.27124E-2</v>
      </c>
      <c r="V25">
        <v>1.6074990000000001E-2</v>
      </c>
      <c r="W25">
        <v>7.9939159999999995E-2</v>
      </c>
      <c r="X25">
        <v>0.9966701</v>
      </c>
      <c r="Y25">
        <v>4.38536E-2</v>
      </c>
      <c r="Z25">
        <v>-3.968872E-3</v>
      </c>
      <c r="AA25">
        <v>0.99903010000000003</v>
      </c>
      <c r="AB25">
        <v>5</v>
      </c>
      <c r="AC25">
        <v>0.70199999999999796</v>
      </c>
      <c r="AD25">
        <v>-8.3812999999999901E-2</v>
      </c>
      <c r="AE25">
        <v>-2.4599999999963901E-2</v>
      </c>
      <c r="AF25">
        <v>3.3729816905655997E-2</v>
      </c>
      <c r="AG25">
        <v>-8.3812999999999901E-2</v>
      </c>
      <c r="AH25">
        <v>0.69174898076003699</v>
      </c>
      <c r="AI25">
        <v>96.900221837460805</v>
      </c>
      <c r="AJ25">
        <v>87.208457425880297</v>
      </c>
      <c r="AK25">
        <v>0.69762380399470303</v>
      </c>
      <c r="AL25">
        <v>85.414931254132398</v>
      </c>
      <c r="AM25">
        <v>89.075973854084197</v>
      </c>
      <c r="AN25">
        <v>0.99999998141950697</v>
      </c>
    </row>
    <row r="26" spans="1:40" x14ac:dyDescent="0.25">
      <c r="A26" t="str">
        <f>"20190312163954169"</f>
        <v>20190312163954169</v>
      </c>
      <c r="B26" t="str">
        <f>"1552379994166142"</f>
        <v>1552379994166142</v>
      </c>
      <c r="C26" t="s">
        <v>40</v>
      </c>
      <c r="D26">
        <v>4.7239839999999997</v>
      </c>
      <c r="E26">
        <v>0.51331879999999996</v>
      </c>
      <c r="F26" t="s">
        <v>42</v>
      </c>
      <c r="G26">
        <v>-475.21230000000003</v>
      </c>
      <c r="H26">
        <v>1.0255829999999999</v>
      </c>
      <c r="I26">
        <v>367.21600000000001</v>
      </c>
      <c r="J26">
        <v>-475.91</v>
      </c>
      <c r="K26">
        <v>1.109837</v>
      </c>
      <c r="L26">
        <v>367.23849999999999</v>
      </c>
      <c r="M26">
        <v>0.99988520000000003</v>
      </c>
      <c r="N26">
        <v>0</v>
      </c>
      <c r="O26">
        <v>1.4276219999999999E-2</v>
      </c>
      <c r="P26">
        <v>0.99722650000000002</v>
      </c>
      <c r="Q26">
        <v>7.4394470000000004E-2</v>
      </c>
      <c r="R26">
        <v>-2.2476990000000001E-3</v>
      </c>
      <c r="S26">
        <v>3.0349119999999998</v>
      </c>
      <c r="T26">
        <v>-0.34408250000000001</v>
      </c>
      <c r="U26">
        <v>-8.6669919999999998E-2</v>
      </c>
      <c r="V26">
        <v>1.6479959999999998E-2</v>
      </c>
      <c r="W26">
        <v>7.9465740000000007E-2</v>
      </c>
      <c r="X26">
        <v>0.99670139999999996</v>
      </c>
      <c r="Y26">
        <v>4.2450519999999999E-2</v>
      </c>
      <c r="Z26">
        <v>-4.0113730000000004E-3</v>
      </c>
      <c r="AA26">
        <v>0.99909049999999999</v>
      </c>
      <c r="AB26">
        <v>5</v>
      </c>
      <c r="AC26">
        <v>0.69769999999999699</v>
      </c>
      <c r="AD26">
        <v>-8.4254000000000204E-2</v>
      </c>
      <c r="AE26">
        <v>-2.2499999999979502E-2</v>
      </c>
      <c r="AF26">
        <v>3.19922985350325E-2</v>
      </c>
      <c r="AG26">
        <v>-8.4254000000000204E-2</v>
      </c>
      <c r="AH26">
        <v>0.68729533633255402</v>
      </c>
      <c r="AI26">
        <v>96.981407108026303</v>
      </c>
      <c r="AJ26">
        <v>87.334913511557403</v>
      </c>
      <c r="AK26">
        <v>0.69317899782526105</v>
      </c>
      <c r="AL26">
        <v>85.4421430440416</v>
      </c>
      <c r="AM26">
        <v>89.052729211707401</v>
      </c>
      <c r="AN26">
        <v>1.0000000368386499</v>
      </c>
    </row>
    <row r="27" spans="1:40" x14ac:dyDescent="0.25">
      <c r="A27" t="str">
        <f>"20190312163954191"</f>
        <v>20190312163954191</v>
      </c>
      <c r="B27" t="str">
        <f>"1552379994186638"</f>
        <v>1552379994186638</v>
      </c>
      <c r="C27" t="s">
        <v>40</v>
      </c>
      <c r="D27">
        <v>4.7765360000000001</v>
      </c>
      <c r="E27">
        <v>0.51278119999999905</v>
      </c>
      <c r="F27" t="s">
        <v>42</v>
      </c>
      <c r="G27">
        <v>-475.17079999999999</v>
      </c>
      <c r="H27">
        <v>1.025333</v>
      </c>
      <c r="I27">
        <v>367.21899999999999</v>
      </c>
      <c r="J27">
        <v>-475.86099999999999</v>
      </c>
      <c r="K27">
        <v>1.109712</v>
      </c>
      <c r="L27">
        <v>367.24</v>
      </c>
      <c r="M27">
        <v>0.99987510000000002</v>
      </c>
      <c r="N27">
        <v>0</v>
      </c>
      <c r="O27">
        <v>1.5002329999999999E-2</v>
      </c>
      <c r="P27">
        <v>0.99724469999999998</v>
      </c>
      <c r="Q27">
        <v>7.4161249999999998E-2</v>
      </c>
      <c r="R27">
        <v>-1.896366E-3</v>
      </c>
      <c r="S27">
        <v>3.034027</v>
      </c>
      <c r="T27">
        <v>-0.34721170000000001</v>
      </c>
      <c r="U27">
        <v>-7.9101560000000001E-2</v>
      </c>
      <c r="V27">
        <v>1.6844339999999999E-2</v>
      </c>
      <c r="W27">
        <v>7.9148220000000005E-2</v>
      </c>
      <c r="X27">
        <v>0.99672059999999996</v>
      </c>
      <c r="Y27">
        <v>4.0693800000000002E-2</v>
      </c>
      <c r="Z27">
        <v>-4.0315580000000002E-3</v>
      </c>
      <c r="AA27">
        <v>0.99916349999999998</v>
      </c>
      <c r="AB27">
        <v>4</v>
      </c>
      <c r="AC27">
        <v>0.69020000000000403</v>
      </c>
      <c r="AD27">
        <v>-8.4378999999999899E-2</v>
      </c>
      <c r="AE27">
        <v>-2.1000000000015E-2</v>
      </c>
      <c r="AF27">
        <v>3.08911077391795E-2</v>
      </c>
      <c r="AG27">
        <v>-8.4378999999999899E-2</v>
      </c>
      <c r="AH27">
        <v>0.67965862997595605</v>
      </c>
      <c r="AI27">
        <v>97.069783208388401</v>
      </c>
      <c r="AJ27">
        <v>87.397645284222705</v>
      </c>
      <c r="AK27">
        <v>0.68557270181881302</v>
      </c>
      <c r="AL27">
        <v>85.460393203828801</v>
      </c>
      <c r="AM27">
        <v>89.031807181097093</v>
      </c>
      <c r="AN27">
        <v>1.0000000634917701</v>
      </c>
    </row>
    <row r="28" spans="1:40" x14ac:dyDescent="0.25">
      <c r="A28" t="str">
        <f>"20190312163954212"</f>
        <v>20190312163954212</v>
      </c>
      <c r="B28" t="str">
        <f>"1552379994206158"</f>
        <v>1552379994206158</v>
      </c>
      <c r="C28" t="s">
        <v>40</v>
      </c>
      <c r="D28">
        <v>4.6986270000000001</v>
      </c>
      <c r="E28">
        <v>0.51228620000000002</v>
      </c>
      <c r="F28" t="s">
        <v>42</v>
      </c>
      <c r="G28">
        <v>-475.12479999999999</v>
      </c>
      <c r="H28">
        <v>1.0258320000000001</v>
      </c>
      <c r="I28">
        <v>367.22199999999998</v>
      </c>
      <c r="J28">
        <v>-475.80759999999998</v>
      </c>
      <c r="K28">
        <v>1.1094569999999999</v>
      </c>
      <c r="L28">
        <v>367.24160000000001</v>
      </c>
      <c r="M28">
        <v>0.99986520000000001</v>
      </c>
      <c r="N28">
        <v>0</v>
      </c>
      <c r="O28">
        <v>1.5891880000000001E-2</v>
      </c>
      <c r="P28">
        <v>0.99714340000000001</v>
      </c>
      <c r="Q28">
        <v>7.5524289999999994E-2</v>
      </c>
      <c r="R28">
        <v>-1.2588510000000001E-3</v>
      </c>
      <c r="S28">
        <v>3.0338750000000001</v>
      </c>
      <c r="T28">
        <v>-0.3455242</v>
      </c>
      <c r="U28">
        <v>-7.4005130000000002E-2</v>
      </c>
      <c r="V28">
        <v>1.7076649999999999E-2</v>
      </c>
      <c r="W28">
        <v>7.9667290000000002E-2</v>
      </c>
      <c r="X28">
        <v>0.99667530000000004</v>
      </c>
      <c r="Y28">
        <v>3.990937E-2</v>
      </c>
      <c r="Z28">
        <v>-4.0688130000000001E-3</v>
      </c>
      <c r="AA28">
        <v>0.99919500000000006</v>
      </c>
      <c r="AB28">
        <v>5</v>
      </c>
      <c r="AC28">
        <v>0.68279999999998597</v>
      </c>
      <c r="AD28">
        <v>-8.3624999999999797E-2</v>
      </c>
      <c r="AE28">
        <v>-1.9600000000025299E-2</v>
      </c>
      <c r="AF28">
        <v>2.9998984797787901E-2</v>
      </c>
      <c r="AG28">
        <v>-8.3624999999999797E-2</v>
      </c>
      <c r="AH28">
        <v>0.67232584352945202</v>
      </c>
      <c r="AI28">
        <v>97.083154305397201</v>
      </c>
      <c r="AJ28">
        <v>87.4451734645519</v>
      </c>
      <c r="AK28">
        <v>0.67817042075829803</v>
      </c>
      <c r="AL28">
        <v>85.430558509540205</v>
      </c>
      <c r="AM28">
        <v>89.018412267076997</v>
      </c>
      <c r="AN28">
        <v>1.0000000713506201</v>
      </c>
    </row>
    <row r="29" spans="1:40" x14ac:dyDescent="0.25">
      <c r="A29" t="str">
        <f>"20190312163954236"</f>
        <v>20190312163954236</v>
      </c>
      <c r="B29" t="str">
        <f>"1552379994226654"</f>
        <v>1552379994226654</v>
      </c>
      <c r="C29" t="s">
        <v>40</v>
      </c>
      <c r="D29">
        <v>4.7406169999999896</v>
      </c>
      <c r="E29">
        <v>0.51182439999999996</v>
      </c>
      <c r="F29" t="s">
        <v>42</v>
      </c>
      <c r="G29">
        <v>-475.07549999999998</v>
      </c>
      <c r="H29">
        <v>1.0277339999999999</v>
      </c>
      <c r="I29">
        <v>367.22480000000002</v>
      </c>
      <c r="J29">
        <v>-475.75639999999999</v>
      </c>
      <c r="K29">
        <v>1.109618</v>
      </c>
      <c r="L29">
        <v>367.24340000000001</v>
      </c>
      <c r="M29">
        <v>0.99984910000000005</v>
      </c>
      <c r="N29">
        <v>0</v>
      </c>
      <c r="O29">
        <v>1.6680730000000001E-2</v>
      </c>
      <c r="P29">
        <v>0.99712069999999997</v>
      </c>
      <c r="Q29">
        <v>7.5829149999999998E-2</v>
      </c>
      <c r="R29">
        <v>-4.733847E-4</v>
      </c>
      <c r="S29">
        <v>3.0341490000000002</v>
      </c>
      <c r="T29">
        <v>-0.33902680000000002</v>
      </c>
      <c r="U29">
        <v>-6.8756100000000001E-2</v>
      </c>
      <c r="V29">
        <v>1.7078329999999999E-2</v>
      </c>
      <c r="W29">
        <v>8.067349E-2</v>
      </c>
      <c r="X29">
        <v>0.99659430000000004</v>
      </c>
      <c r="Y29">
        <v>3.8982179999999998E-2</v>
      </c>
      <c r="Z29">
        <v>-4.0287270000000002E-3</v>
      </c>
      <c r="AA29">
        <v>0.9992318</v>
      </c>
      <c r="AB29">
        <v>5</v>
      </c>
      <c r="AC29">
        <v>0.68090000000000805</v>
      </c>
      <c r="AD29">
        <v>-8.1883999999999998E-2</v>
      </c>
      <c r="AE29">
        <v>-1.8599999999992099E-2</v>
      </c>
      <c r="AF29">
        <v>2.9528725726398E-2</v>
      </c>
      <c r="AG29">
        <v>-8.1883999999999998E-2</v>
      </c>
      <c r="AH29">
        <v>0.67080103728323903</v>
      </c>
      <c r="AI29">
        <v>96.952938484369</v>
      </c>
      <c r="AJ29">
        <v>87.4794615469348</v>
      </c>
      <c r="AK29">
        <v>0.67642513755721301</v>
      </c>
      <c r="AL29">
        <v>85.372721184946798</v>
      </c>
      <c r="AM29">
        <v>89.018235944875201</v>
      </c>
      <c r="AN29">
        <v>1.0000000400684199</v>
      </c>
    </row>
    <row r="30" spans="1:40" x14ac:dyDescent="0.25">
      <c r="A30" t="str">
        <f>"20190312163954249"</f>
        <v>20190312163954249</v>
      </c>
      <c r="B30" t="str">
        <f>"1552379994246174"</f>
        <v>1552379994246174</v>
      </c>
      <c r="C30" t="s">
        <v>40</v>
      </c>
      <c r="D30">
        <v>4.9878549999999997</v>
      </c>
      <c r="E30">
        <v>0.51137540000000004</v>
      </c>
      <c r="F30" t="s">
        <v>42</v>
      </c>
      <c r="G30">
        <v>-475.0301</v>
      </c>
      <c r="H30">
        <v>1.0292349999999999</v>
      </c>
      <c r="I30">
        <v>367.22829999999999</v>
      </c>
      <c r="J30">
        <v>-475.73050000000001</v>
      </c>
      <c r="K30">
        <v>1.1098699999999999</v>
      </c>
      <c r="L30">
        <v>367.24430000000001</v>
      </c>
      <c r="M30">
        <v>0.99983690000000003</v>
      </c>
      <c r="N30">
        <v>0</v>
      </c>
      <c r="O30">
        <v>1.702878E-2</v>
      </c>
      <c r="P30">
        <v>0.99719360000000001</v>
      </c>
      <c r="Q30">
        <v>7.4867080000000003E-2</v>
      </c>
      <c r="R30">
        <v>-1.4546510000000001E-4</v>
      </c>
      <c r="S30">
        <v>3.0342099999999999</v>
      </c>
      <c r="T30">
        <v>-0.33575709999999998</v>
      </c>
      <c r="U30">
        <v>-6.3262940000000004E-2</v>
      </c>
      <c r="V30">
        <v>1.710716E-2</v>
      </c>
      <c r="W30">
        <v>8.0871680000000001E-2</v>
      </c>
      <c r="X30">
        <v>0.99657770000000001</v>
      </c>
      <c r="Y30">
        <v>3.7534789999999998E-2</v>
      </c>
      <c r="Z30">
        <v>-3.9486749999999996E-3</v>
      </c>
      <c r="AA30">
        <v>0.9992875</v>
      </c>
      <c r="AB30">
        <v>6</v>
      </c>
      <c r="AC30">
        <v>0.70040000000000102</v>
      </c>
      <c r="AD30">
        <v>-8.0634999999999998E-2</v>
      </c>
      <c r="AE30">
        <v>-1.6000000000019499E-2</v>
      </c>
      <c r="AF30">
        <v>2.7559760060470201E-2</v>
      </c>
      <c r="AG30">
        <v>-8.0634999999999998E-2</v>
      </c>
      <c r="AH30">
        <v>0.69087374093307896</v>
      </c>
      <c r="AI30">
        <v>96.651887227701494</v>
      </c>
      <c r="AJ30">
        <v>87.715615671233607</v>
      </c>
      <c r="AK30">
        <v>0.69610923676565195</v>
      </c>
      <c r="AL30">
        <v>85.361328313626402</v>
      </c>
      <c r="AM30">
        <v>89.016562572457502</v>
      </c>
      <c r="AN30">
        <v>0.99999999784328897</v>
      </c>
    </row>
    <row r="31" spans="1:40" x14ac:dyDescent="0.25">
      <c r="A31" t="str">
        <f>"20190312163954260"</f>
        <v>20190312163954260</v>
      </c>
      <c r="B31" t="str">
        <f>"1552379994255934"</f>
        <v>1552379994255934</v>
      </c>
      <c r="C31" t="s">
        <v>40</v>
      </c>
      <c r="D31">
        <v>4.8965489999999896</v>
      </c>
      <c r="E31">
        <v>0.51116479999999997</v>
      </c>
      <c r="F31" t="s">
        <v>42</v>
      </c>
      <c r="G31">
        <v>-474.98989999999998</v>
      </c>
      <c r="H31">
        <v>1.0277499999999999</v>
      </c>
      <c r="I31">
        <v>367.22969999999998</v>
      </c>
      <c r="J31">
        <v>-475.7072</v>
      </c>
      <c r="K31">
        <v>1.1101179999999999</v>
      </c>
      <c r="L31">
        <v>367.24509999999998</v>
      </c>
      <c r="M31">
        <v>0.99982369999999998</v>
      </c>
      <c r="N31">
        <v>0</v>
      </c>
      <c r="O31">
        <v>1.7326270000000001E-2</v>
      </c>
      <c r="P31">
        <v>0.99731590000000003</v>
      </c>
      <c r="Q31">
        <v>7.3218980000000003E-2</v>
      </c>
      <c r="R31" s="1">
        <v>-2.9664020000000001E-5</v>
      </c>
      <c r="S31">
        <v>3.0337519999999998</v>
      </c>
      <c r="T31">
        <v>-0.3369974</v>
      </c>
      <c r="U31">
        <v>-5.8441159999999999E-2</v>
      </c>
      <c r="V31">
        <v>1.7299780000000001E-2</v>
      </c>
      <c r="W31">
        <v>8.0426830000000005E-2</v>
      </c>
      <c r="X31">
        <v>0.99661040000000001</v>
      </c>
      <c r="Y31">
        <v>3.625126E-2</v>
      </c>
      <c r="Z31">
        <v>-3.9257160000000001E-3</v>
      </c>
      <c r="AA31">
        <v>0.99933499999999997</v>
      </c>
      <c r="AB31">
        <v>5</v>
      </c>
      <c r="AC31">
        <v>0.71730000000002203</v>
      </c>
      <c r="AD31">
        <v>-8.2367999999999997E-2</v>
      </c>
      <c r="AE31">
        <v>-1.53999999999996E-2</v>
      </c>
      <c r="AF31">
        <v>2.74641694627763E-2</v>
      </c>
      <c r="AG31">
        <v>-8.2367999999999997E-2</v>
      </c>
      <c r="AH31">
        <v>0.70759933248979001</v>
      </c>
      <c r="AI31">
        <v>96.634674541210501</v>
      </c>
      <c r="AJ31">
        <v>87.777285167712407</v>
      </c>
      <c r="AK31">
        <v>0.71290643381040997</v>
      </c>
      <c r="AL31">
        <v>85.386899756956794</v>
      </c>
      <c r="AM31">
        <v>89.005524283723602</v>
      </c>
      <c r="AN31">
        <v>1.0000000233800199</v>
      </c>
    </row>
    <row r="32" spans="1:40" x14ac:dyDescent="0.25">
      <c r="A32" t="str">
        <f>"20190312163954281"</f>
        <v>20190312163954281</v>
      </c>
      <c r="B32" t="str">
        <f>"1552379994276430"</f>
        <v>1552379994276430</v>
      </c>
      <c r="C32" t="s">
        <v>40</v>
      </c>
      <c r="D32">
        <v>4.7682479999999998</v>
      </c>
      <c r="E32">
        <v>0.51076390000000005</v>
      </c>
      <c r="F32" t="s">
        <v>42</v>
      </c>
      <c r="G32">
        <v>-474.95330000000001</v>
      </c>
      <c r="H32">
        <v>1.025353</v>
      </c>
      <c r="I32">
        <v>367.23099999999999</v>
      </c>
      <c r="J32">
        <v>-475.66840000000002</v>
      </c>
      <c r="K32">
        <v>1.1104639999999999</v>
      </c>
      <c r="L32">
        <v>367.24639999999999</v>
      </c>
      <c r="M32">
        <v>0.99979839999999998</v>
      </c>
      <c r="N32">
        <v>0</v>
      </c>
      <c r="O32">
        <v>1.776981E-2</v>
      </c>
      <c r="P32">
        <v>0.99752240000000003</v>
      </c>
      <c r="Q32">
        <v>7.0352129999999999E-2</v>
      </c>
      <c r="R32">
        <v>-3.512721E-4</v>
      </c>
      <c r="S32">
        <v>3.033112</v>
      </c>
      <c r="T32">
        <v>-0.34121839999999998</v>
      </c>
      <c r="U32">
        <v>-5.6274409999999997E-2</v>
      </c>
      <c r="V32">
        <v>1.8084200000000002E-2</v>
      </c>
      <c r="W32">
        <v>7.9676780000000003E-2</v>
      </c>
      <c r="X32">
        <v>0.99665669999999995</v>
      </c>
      <c r="Y32">
        <v>3.5975840000000002E-2</v>
      </c>
      <c r="Z32">
        <v>-4.0097659999999997E-3</v>
      </c>
      <c r="AA32">
        <v>0.99934460000000003</v>
      </c>
      <c r="AB32">
        <v>4</v>
      </c>
      <c r="AC32">
        <v>0.71510000000000595</v>
      </c>
      <c r="AD32">
        <v>-8.5110999999999895E-2</v>
      </c>
      <c r="AE32">
        <v>-1.53999999999996E-2</v>
      </c>
      <c r="AF32">
        <v>2.7712923830415199E-2</v>
      </c>
      <c r="AG32">
        <v>-8.5110999999999895E-2</v>
      </c>
      <c r="AH32">
        <v>0.70473498026225401</v>
      </c>
      <c r="AI32">
        <v>96.881006268539593</v>
      </c>
      <c r="AJ32">
        <v>87.748067120615204</v>
      </c>
      <c r="AK32">
        <v>0.71039656592178901</v>
      </c>
      <c r="AL32">
        <v>85.430012723829606</v>
      </c>
      <c r="AM32">
        <v>88.960489960227804</v>
      </c>
      <c r="AN32">
        <v>1.0000000026078399</v>
      </c>
    </row>
    <row r="33" spans="1:40" x14ac:dyDescent="0.25">
      <c r="A33" t="str">
        <f>"20190312163954314"</f>
        <v>20190312163954314</v>
      </c>
      <c r="B33" t="str">
        <f>"1552379994306687"</f>
        <v>1552379994306687</v>
      </c>
      <c r="C33" t="s">
        <v>40</v>
      </c>
      <c r="D33">
        <v>4.8100290000000001</v>
      </c>
      <c r="E33">
        <v>0.51015690000000002</v>
      </c>
      <c r="F33" t="s">
        <v>42</v>
      </c>
      <c r="G33">
        <v>-474.91329999999999</v>
      </c>
      <c r="H33">
        <v>1.0238579999999999</v>
      </c>
      <c r="I33">
        <v>367.23289999999997</v>
      </c>
      <c r="J33">
        <v>-475.59710000000001</v>
      </c>
      <c r="K33">
        <v>1.110131</v>
      </c>
      <c r="L33">
        <v>367.24880000000002</v>
      </c>
      <c r="M33">
        <v>0.99978330000000004</v>
      </c>
      <c r="N33">
        <v>0</v>
      </c>
      <c r="O33">
        <v>1.8772270000000001E-2</v>
      </c>
      <c r="P33">
        <v>0.99756219999999995</v>
      </c>
      <c r="Q33">
        <v>6.9782769999999994E-2</v>
      </c>
      <c r="R33">
        <v>-3.3231269999999999E-4</v>
      </c>
      <c r="S33">
        <v>3.031952</v>
      </c>
      <c r="T33">
        <v>-0.34810760000000002</v>
      </c>
      <c r="U33">
        <v>-5.368042E-2</v>
      </c>
      <c r="V33">
        <v>1.904985E-2</v>
      </c>
      <c r="W33">
        <v>7.8753199999999995E-2</v>
      </c>
      <c r="X33">
        <v>0.99671209999999999</v>
      </c>
      <c r="Y33">
        <v>3.6108649999999999E-2</v>
      </c>
      <c r="Z33">
        <v>-4.2140850000000002E-3</v>
      </c>
      <c r="AA33">
        <v>0.99933899999999998</v>
      </c>
      <c r="AB33">
        <v>4</v>
      </c>
      <c r="AC33">
        <v>0.68380000000001895</v>
      </c>
      <c r="AD33">
        <v>-8.6273000000000002E-2</v>
      </c>
      <c r="AE33">
        <v>-1.5900000000044601E-2</v>
      </c>
      <c r="AF33">
        <v>2.82842078621472E-2</v>
      </c>
      <c r="AG33">
        <v>-8.6273000000000002E-2</v>
      </c>
      <c r="AH33">
        <v>0.67267900876473796</v>
      </c>
      <c r="AI33">
        <v>97.302067258173295</v>
      </c>
      <c r="AJ33">
        <v>87.592296330664198</v>
      </c>
      <c r="AK33">
        <v>0.678778370144556</v>
      </c>
      <c r="AL33">
        <v>85.483096703771395</v>
      </c>
      <c r="AM33">
        <v>88.905056805346106</v>
      </c>
      <c r="AN33">
        <v>0.99999998679083602</v>
      </c>
    </row>
    <row r="34" spans="1:40" x14ac:dyDescent="0.25">
      <c r="A34" t="str">
        <f>"20190312163954335"</f>
        <v>20190312163954335</v>
      </c>
      <c r="B34" t="str">
        <f>"1552379994326206"</f>
        <v>1552379994326206</v>
      </c>
      <c r="C34" t="s">
        <v>40</v>
      </c>
      <c r="D34">
        <v>4.8209589999999896</v>
      </c>
      <c r="E34">
        <v>0.50973749999999995</v>
      </c>
      <c r="F34" t="s">
        <v>42</v>
      </c>
      <c r="G34">
        <v>-474.86700000000002</v>
      </c>
      <c r="H34">
        <v>1.026459</v>
      </c>
      <c r="I34">
        <v>367.23680000000002</v>
      </c>
      <c r="J34">
        <v>-475.5455</v>
      </c>
      <c r="K34">
        <v>1.109761</v>
      </c>
      <c r="L34">
        <v>367.25049999999999</v>
      </c>
      <c r="M34">
        <v>0.99977669999999996</v>
      </c>
      <c r="N34">
        <v>0</v>
      </c>
      <c r="O34">
        <v>1.9663440000000001E-2</v>
      </c>
      <c r="P34">
        <v>0.99747330000000001</v>
      </c>
      <c r="Q34">
        <v>7.1043110000000007E-2</v>
      </c>
      <c r="R34">
        <v>-4.2009769999999999E-4</v>
      </c>
      <c r="S34">
        <v>3.0316770000000002</v>
      </c>
      <c r="T34">
        <v>-0.34770289999999998</v>
      </c>
      <c r="U34">
        <v>-4.8950199999999902E-2</v>
      </c>
      <c r="V34">
        <v>2.0006960000000001E-2</v>
      </c>
      <c r="W34">
        <v>7.8766500000000003E-2</v>
      </c>
      <c r="X34">
        <v>0.99669229999999998</v>
      </c>
      <c r="Y34">
        <v>3.5441319999999998E-2</v>
      </c>
      <c r="Z34">
        <v>-4.2733429999999998E-3</v>
      </c>
      <c r="AA34">
        <v>0.99936259999999999</v>
      </c>
      <c r="AB34">
        <v>5</v>
      </c>
      <c r="AC34">
        <v>0.67850000000004196</v>
      </c>
      <c r="AD34">
        <v>-8.3301999999999904E-2</v>
      </c>
      <c r="AE34">
        <v>-1.3699999999971599E-2</v>
      </c>
      <c r="AF34">
        <v>2.6638032642049E-2</v>
      </c>
      <c r="AG34">
        <v>-8.3301999999999904E-2</v>
      </c>
      <c r="AH34">
        <v>0.66803397299862399</v>
      </c>
      <c r="AI34">
        <v>97.102349791313003</v>
      </c>
      <c r="AJ34">
        <v>87.716525284860495</v>
      </c>
      <c r="AK34">
        <v>0.67373451527093797</v>
      </c>
      <c r="AL34">
        <v>85.482332311801301</v>
      </c>
      <c r="AM34">
        <v>88.850035822559704</v>
      </c>
      <c r="AN34">
        <v>0.99999999042498999</v>
      </c>
    </row>
    <row r="35" spans="1:40" x14ac:dyDescent="0.25">
      <c r="A35" t="str">
        <f>"20190312163954358"</f>
        <v>20190312163954358</v>
      </c>
      <c r="B35" t="str">
        <f>"1552379994346702"</f>
        <v>1552379994346702</v>
      </c>
      <c r="C35" t="s">
        <v>40</v>
      </c>
      <c r="D35">
        <v>5.159338</v>
      </c>
      <c r="E35">
        <v>0.50935249999999999</v>
      </c>
      <c r="F35" t="s">
        <v>42</v>
      </c>
      <c r="G35">
        <v>-474.81889999999999</v>
      </c>
      <c r="H35">
        <v>1.027569</v>
      </c>
      <c r="I35">
        <v>367.23930000000001</v>
      </c>
      <c r="J35">
        <v>-475.49689999999998</v>
      </c>
      <c r="K35">
        <v>1.1099030000000001</v>
      </c>
      <c r="L35">
        <v>367.25240000000002</v>
      </c>
      <c r="M35">
        <v>0.99975670000000005</v>
      </c>
      <c r="N35">
        <v>0</v>
      </c>
      <c r="O35">
        <v>2.0426070000000001E-2</v>
      </c>
      <c r="P35">
        <v>0.99750530000000004</v>
      </c>
      <c r="Q35">
        <v>7.0592340000000003E-2</v>
      </c>
      <c r="R35">
        <v>-3.394685E-4</v>
      </c>
      <c r="S35">
        <v>3.0320740000000002</v>
      </c>
      <c r="T35">
        <v>-0.34352559999999999</v>
      </c>
      <c r="U35">
        <v>-4.5898439999999999E-2</v>
      </c>
      <c r="V35">
        <v>2.068849E-2</v>
      </c>
      <c r="W35">
        <v>7.8914819999999997E-2</v>
      </c>
      <c r="X35">
        <v>0.99666670000000002</v>
      </c>
      <c r="Y35">
        <v>3.5201360000000001E-2</v>
      </c>
      <c r="Z35">
        <v>-4.2943929999999996E-3</v>
      </c>
      <c r="AA35">
        <v>0.99937100000000001</v>
      </c>
      <c r="AB35">
        <v>5</v>
      </c>
      <c r="AC35">
        <v>0.67799999999999705</v>
      </c>
      <c r="AD35">
        <v>-8.2334000000000102E-2</v>
      </c>
      <c r="AE35">
        <v>-1.3100000000008501E-2</v>
      </c>
      <c r="AF35">
        <v>2.6555163494466499E-2</v>
      </c>
      <c r="AG35">
        <v>-8.2334000000000102E-2</v>
      </c>
      <c r="AH35">
        <v>0.66774745384129797</v>
      </c>
      <c r="AI35">
        <v>97.023658202130505</v>
      </c>
      <c r="AJ35">
        <v>87.722645810682195</v>
      </c>
      <c r="AK35">
        <v>0.67332809712335195</v>
      </c>
      <c r="AL35">
        <v>85.473807876149706</v>
      </c>
      <c r="AM35">
        <v>88.810843228524902</v>
      </c>
      <c r="AN35">
        <v>1.0000000366615001</v>
      </c>
    </row>
    <row r="36" spans="1:40" x14ac:dyDescent="0.25">
      <c r="A36" t="str">
        <f>"20190312163954380"</f>
        <v>20190312163954380</v>
      </c>
      <c r="B36" t="str">
        <f>"1552379994375982"</f>
        <v>1552379994375982</v>
      </c>
      <c r="C36" t="s">
        <v>40</v>
      </c>
      <c r="D36">
        <v>4.8659829999999999</v>
      </c>
      <c r="E36">
        <v>0.50878329999999905</v>
      </c>
      <c r="F36" t="s">
        <v>42</v>
      </c>
      <c r="G36">
        <v>-474.7373</v>
      </c>
      <c r="H36">
        <v>1.0240940000000001</v>
      </c>
      <c r="I36">
        <v>367.24090000000001</v>
      </c>
      <c r="J36">
        <v>-475.45339999999999</v>
      </c>
      <c r="K36">
        <v>1.110336</v>
      </c>
      <c r="L36">
        <v>367.25409999999999</v>
      </c>
      <c r="M36">
        <v>0.99972559999999999</v>
      </c>
      <c r="N36">
        <v>0</v>
      </c>
      <c r="O36">
        <v>2.1003770000000001E-2</v>
      </c>
      <c r="P36">
        <v>0.9976003</v>
      </c>
      <c r="Q36">
        <v>6.9235729999999995E-2</v>
      </c>
      <c r="R36" s="1">
        <v>2.504047E-5</v>
      </c>
      <c r="S36">
        <v>3.0318909999999999</v>
      </c>
      <c r="T36">
        <v>-0.34391139999999998</v>
      </c>
      <c r="U36">
        <v>-4.2724610000000003E-2</v>
      </c>
      <c r="V36">
        <v>2.0917580000000002E-2</v>
      </c>
      <c r="W36">
        <v>7.9583619999999994E-2</v>
      </c>
      <c r="X36">
        <v>0.99660870000000001</v>
      </c>
      <c r="Y36">
        <v>3.4732680000000002E-2</v>
      </c>
      <c r="Z36">
        <v>-4.3383329999999998E-3</v>
      </c>
      <c r="AA36">
        <v>0.99938720000000003</v>
      </c>
      <c r="AB36">
        <v>5</v>
      </c>
      <c r="AC36">
        <v>0.71609999999998297</v>
      </c>
      <c r="AD36">
        <v>-8.6241999999999902E-2</v>
      </c>
      <c r="AE36">
        <v>-1.31999999999834E-2</v>
      </c>
      <c r="AF36">
        <v>2.78351107845306E-2</v>
      </c>
      <c r="AG36">
        <v>-8.6241999999999902E-2</v>
      </c>
      <c r="AH36">
        <v>0.70543650948245495</v>
      </c>
      <c r="AI36">
        <v>96.964649507153396</v>
      </c>
      <c r="AJ36">
        <v>87.740395574245497</v>
      </c>
      <c r="AK36">
        <v>0.71123353750169604</v>
      </c>
      <c r="AL36">
        <v>85.4353673875232</v>
      </c>
      <c r="AM36">
        <v>88.797609223362599</v>
      </c>
      <c r="AN36">
        <v>0.99999999932052497</v>
      </c>
    </row>
    <row r="37" spans="1:40" x14ac:dyDescent="0.25">
      <c r="A37" t="str">
        <f>"20190312163954403"</f>
        <v>20190312163954403</v>
      </c>
      <c r="B37" t="str">
        <f>"1552379994396478"</f>
        <v>1552379994396478</v>
      </c>
      <c r="C37" t="s">
        <v>40</v>
      </c>
      <c r="D37">
        <v>5.1431879999999897</v>
      </c>
      <c r="E37">
        <v>0.50843019999999906</v>
      </c>
      <c r="F37" t="s">
        <v>42</v>
      </c>
      <c r="G37">
        <v>-474.70080000000002</v>
      </c>
      <c r="H37">
        <v>1.024624</v>
      </c>
      <c r="I37">
        <v>367.24439999999998</v>
      </c>
      <c r="J37">
        <v>-475.41379999999998</v>
      </c>
      <c r="K37">
        <v>1.1107469999999999</v>
      </c>
      <c r="L37">
        <v>367.25560000000002</v>
      </c>
      <c r="M37">
        <v>0.9996893</v>
      </c>
      <c r="N37">
        <v>0</v>
      </c>
      <c r="O37">
        <v>2.1440049999999999E-2</v>
      </c>
      <c r="P37">
        <v>0.9977087</v>
      </c>
      <c r="Q37">
        <v>6.7656540000000001E-2</v>
      </c>
      <c r="R37">
        <v>-2.9222569999999998E-4</v>
      </c>
      <c r="S37">
        <v>3.03125</v>
      </c>
      <c r="T37">
        <v>-0.34585959999999899</v>
      </c>
      <c r="U37">
        <v>-3.7658690000000002E-2</v>
      </c>
      <c r="V37">
        <v>2.1692960000000001E-2</v>
      </c>
      <c r="W37">
        <v>8.0333189999999999E-2</v>
      </c>
      <c r="X37">
        <v>0.99653199999999997</v>
      </c>
      <c r="Y37">
        <v>3.3503350000000001E-2</v>
      </c>
      <c r="Z37">
        <v>-4.3434809999999997E-3</v>
      </c>
      <c r="AA37">
        <v>0.99942920000000002</v>
      </c>
      <c r="AB37">
        <v>4</v>
      </c>
      <c r="AC37">
        <v>0.712999999999965</v>
      </c>
      <c r="AD37">
        <v>-8.6122999999999894E-2</v>
      </c>
      <c r="AE37">
        <v>-1.1200000000030699E-2</v>
      </c>
      <c r="AF37">
        <v>2.6104640081023998E-2</v>
      </c>
      <c r="AG37">
        <v>-8.6122999999999894E-2</v>
      </c>
      <c r="AH37">
        <v>0.70235106503213396</v>
      </c>
      <c r="AI37">
        <v>96.985992532039205</v>
      </c>
      <c r="AJ37">
        <v>87.8714383421555</v>
      </c>
      <c r="AK37">
        <v>0.70809296135079003</v>
      </c>
      <c r="AL37">
        <v>85.392282318247496</v>
      </c>
      <c r="AM37">
        <v>88.7529564689615</v>
      </c>
      <c r="AN37">
        <v>1.0000000164765599</v>
      </c>
    </row>
    <row r="38" spans="1:40" x14ac:dyDescent="0.25">
      <c r="A38" t="str">
        <f>"20190312163954425"</f>
        <v>20190312163954425</v>
      </c>
      <c r="B38" t="str">
        <f>"1552379994416001"</f>
        <v>1552379994416001</v>
      </c>
      <c r="C38" t="s">
        <v>40</v>
      </c>
      <c r="D38">
        <v>4.9358129999999996</v>
      </c>
      <c r="E38">
        <v>0.50807259999999999</v>
      </c>
      <c r="F38" t="s">
        <v>42</v>
      </c>
      <c r="G38">
        <v>-474.66730000000001</v>
      </c>
      <c r="H38">
        <v>1.0249520000000001</v>
      </c>
      <c r="I38">
        <v>367.24610000000001</v>
      </c>
      <c r="J38">
        <v>-475.37470000000002</v>
      </c>
      <c r="K38">
        <v>1.1108960000000001</v>
      </c>
      <c r="L38">
        <v>367.25689999999997</v>
      </c>
      <c r="M38">
        <v>0.99966129999999997</v>
      </c>
      <c r="N38">
        <v>0</v>
      </c>
      <c r="O38">
        <v>2.1831050000000001E-2</v>
      </c>
      <c r="P38">
        <v>0.9977511</v>
      </c>
      <c r="Q38">
        <v>6.7029279999999997E-2</v>
      </c>
      <c r="R38" s="1">
        <v>4.5580320000000003E-5</v>
      </c>
      <c r="S38">
        <v>3.030548</v>
      </c>
      <c r="T38">
        <v>-0.34905310000000001</v>
      </c>
      <c r="U38">
        <v>-3.6346440000000001E-2</v>
      </c>
      <c r="V38">
        <v>2.175531E-2</v>
      </c>
      <c r="W38">
        <v>8.1155900000000003E-2</v>
      </c>
      <c r="X38">
        <v>0.99646400000000002</v>
      </c>
      <c r="Y38">
        <v>3.3455819999999997E-2</v>
      </c>
      <c r="Z38">
        <v>-4.426546E-3</v>
      </c>
      <c r="AA38">
        <v>0.99943040000000005</v>
      </c>
      <c r="AB38">
        <v>4</v>
      </c>
      <c r="AC38">
        <v>0.70740000000000602</v>
      </c>
      <c r="AD38">
        <v>-8.5943999999999798E-2</v>
      </c>
      <c r="AE38">
        <v>-1.07999999999606E-2</v>
      </c>
      <c r="AF38">
        <v>2.5860633350328802E-2</v>
      </c>
      <c r="AG38">
        <v>-8.5943999999999798E-2</v>
      </c>
      <c r="AH38">
        <v>0.69671412442980896</v>
      </c>
      <c r="AI38">
        <v>97.027472340862701</v>
      </c>
      <c r="AJ38">
        <v>87.874271260565493</v>
      </c>
      <c r="AK38">
        <v>0.70247114864119198</v>
      </c>
      <c r="AL38">
        <v>85.344990192212094</v>
      </c>
      <c r="AM38">
        <v>88.749288030459496</v>
      </c>
      <c r="AN38">
        <v>1.000000038457</v>
      </c>
    </row>
    <row r="39" spans="1:40" x14ac:dyDescent="0.25">
      <c r="A39" t="str">
        <f>"20190312163954447"</f>
        <v>20190312163954447</v>
      </c>
      <c r="B39" t="str">
        <f>"1552379994436498"</f>
        <v>1552379994436498</v>
      </c>
      <c r="C39" t="s">
        <v>40</v>
      </c>
      <c r="D39">
        <v>5.0409540000000002</v>
      </c>
      <c r="E39">
        <v>0.50776209999999999</v>
      </c>
      <c r="F39" t="s">
        <v>42</v>
      </c>
      <c r="G39">
        <v>-474.62970000000001</v>
      </c>
      <c r="H39">
        <v>1.025029</v>
      </c>
      <c r="I39">
        <v>367.24849999999998</v>
      </c>
      <c r="J39">
        <v>-475.3322</v>
      </c>
      <c r="K39">
        <v>1.110533</v>
      </c>
      <c r="L39">
        <v>367.25850000000003</v>
      </c>
      <c r="M39">
        <v>0.99966080000000002</v>
      </c>
      <c r="N39">
        <v>0</v>
      </c>
      <c r="O39">
        <v>2.2398029999999999E-2</v>
      </c>
      <c r="P39">
        <v>0.99768639999999997</v>
      </c>
      <c r="Q39">
        <v>6.7985279999999995E-2</v>
      </c>
      <c r="R39">
        <v>-2.8196770000000001E-4</v>
      </c>
      <c r="S39">
        <v>3.0302120000000001</v>
      </c>
      <c r="T39">
        <v>-0.34956930000000003</v>
      </c>
      <c r="U39">
        <v>-3.3447270000000001E-2</v>
      </c>
      <c r="V39">
        <v>2.263283E-2</v>
      </c>
      <c r="W39">
        <v>8.124526E-2</v>
      </c>
      <c r="X39">
        <v>0.99643709999999996</v>
      </c>
      <c r="Y39">
        <v>3.3065320000000002E-2</v>
      </c>
      <c r="Z39">
        <v>-4.4762619999999999E-3</v>
      </c>
      <c r="AA39">
        <v>0.99944319999999998</v>
      </c>
      <c r="AB39">
        <v>4</v>
      </c>
      <c r="AC39">
        <v>0.70249999999998602</v>
      </c>
      <c r="AD39">
        <v>-8.5503999999999802E-2</v>
      </c>
      <c r="AE39">
        <v>-1.00000000000477E-2</v>
      </c>
      <c r="AF39">
        <v>2.5357913778594199E-2</v>
      </c>
      <c r="AG39">
        <v>-8.5503999999999802E-2</v>
      </c>
      <c r="AH39">
        <v>0.69185252197277403</v>
      </c>
      <c r="AI39">
        <v>97.040610906510693</v>
      </c>
      <c r="AJ39">
        <v>87.900923515758095</v>
      </c>
      <c r="AK39">
        <v>0.69757714266401405</v>
      </c>
      <c r="AL39">
        <v>85.339852938812996</v>
      </c>
      <c r="AM39">
        <v>88.698821330916601</v>
      </c>
      <c r="AN39">
        <v>0.99999996576134198</v>
      </c>
    </row>
    <row r="40" spans="1:40" x14ac:dyDescent="0.25">
      <c r="A40" t="str">
        <f>"20190312163954468"</f>
        <v>20190312163954468</v>
      </c>
      <c r="B40" t="str">
        <f>"1552379994466571"</f>
        <v>1552379994466571</v>
      </c>
      <c r="C40" t="s">
        <v>40</v>
      </c>
      <c r="D40">
        <v>5.1526480000000001</v>
      </c>
      <c r="E40">
        <v>0.5073318</v>
      </c>
      <c r="F40" t="s">
        <v>42</v>
      </c>
      <c r="G40">
        <v>-474.58749999999998</v>
      </c>
      <c r="H40">
        <v>1.025692</v>
      </c>
      <c r="I40">
        <v>367.25020000000001</v>
      </c>
      <c r="J40">
        <v>-475.28579999999999</v>
      </c>
      <c r="K40">
        <v>1.110066</v>
      </c>
      <c r="L40">
        <v>367.26010000000002</v>
      </c>
      <c r="M40">
        <v>0.99966379999999999</v>
      </c>
      <c r="N40">
        <v>0</v>
      </c>
      <c r="O40">
        <v>2.3175899999999999E-2</v>
      </c>
      <c r="P40">
        <v>0.99752909999999995</v>
      </c>
      <c r="Q40">
        <v>7.0256139999999995E-2</v>
      </c>
      <c r="R40">
        <v>-3.8725089999999999E-4</v>
      </c>
      <c r="S40">
        <v>3.0304869999999999</v>
      </c>
      <c r="T40">
        <v>-0.34604059999999998</v>
      </c>
      <c r="U40">
        <v>-3.2165529999999998E-2</v>
      </c>
      <c r="V40">
        <v>2.3492280000000001E-2</v>
      </c>
      <c r="W40">
        <v>8.1855460000000005E-2</v>
      </c>
      <c r="X40">
        <v>0.99636729999999996</v>
      </c>
      <c r="Y40">
        <v>3.3418959999999998E-2</v>
      </c>
      <c r="Z40">
        <v>-4.5395740000000002E-3</v>
      </c>
      <c r="AA40">
        <v>0.99943110000000002</v>
      </c>
      <c r="AB40">
        <v>4</v>
      </c>
      <c r="AC40">
        <v>0.69830000000001702</v>
      </c>
      <c r="AD40">
        <v>-8.4373999999999894E-2</v>
      </c>
      <c r="AE40">
        <v>-9.9000000000160002E-3</v>
      </c>
      <c r="AF40">
        <v>2.5706936481604201E-2</v>
      </c>
      <c r="AG40">
        <v>-8.4373999999999894E-2</v>
      </c>
      <c r="AH40">
        <v>0.68784292226875299</v>
      </c>
      <c r="AI40">
        <v>96.988400059425601</v>
      </c>
      <c r="AJ40">
        <v>87.8596657340441</v>
      </c>
      <c r="AK40">
        <v>0.69347509268501295</v>
      </c>
      <c r="AL40">
        <v>85.304774374217899</v>
      </c>
      <c r="AM40">
        <v>88.649334282178998</v>
      </c>
      <c r="AN40">
        <v>1.0000000000303499</v>
      </c>
    </row>
    <row r="41" spans="1:40" x14ac:dyDescent="0.25">
      <c r="A41" t="str">
        <f>"20190312163954493"</f>
        <v>20190312163954493</v>
      </c>
      <c r="B41" t="str">
        <f>"1552379994486091"</f>
        <v>1552379994486091</v>
      </c>
      <c r="C41" t="s">
        <v>40</v>
      </c>
      <c r="D41">
        <v>4.9777940000000003</v>
      </c>
      <c r="E41">
        <v>0.50704340000000003</v>
      </c>
      <c r="F41" t="s">
        <v>42</v>
      </c>
      <c r="G41">
        <v>-474.54259999999999</v>
      </c>
      <c r="H41">
        <v>1.0273600000000001</v>
      </c>
      <c r="I41">
        <v>367.25299999999999</v>
      </c>
      <c r="J41">
        <v>-475.2346</v>
      </c>
      <c r="K41">
        <v>1.110006</v>
      </c>
      <c r="L41">
        <v>367.26209999999998</v>
      </c>
      <c r="M41">
        <v>0.99964869999999995</v>
      </c>
      <c r="N41">
        <v>0</v>
      </c>
      <c r="O41">
        <v>2.402746E-2</v>
      </c>
      <c r="P41">
        <v>0.99744820000000001</v>
      </c>
      <c r="Q41">
        <v>7.1394589999999994E-2</v>
      </c>
      <c r="R41" s="1">
        <v>8.9321749999999897E-5</v>
      </c>
      <c r="S41">
        <v>3.031158</v>
      </c>
      <c r="T41">
        <v>-0.3372868</v>
      </c>
      <c r="U41">
        <v>-2.9296880000000001E-2</v>
      </c>
      <c r="V41">
        <v>2.385499E-2</v>
      </c>
      <c r="W41">
        <v>8.256165E-2</v>
      </c>
      <c r="X41">
        <v>0.99630039999999997</v>
      </c>
      <c r="Y41">
        <v>3.3335829999999997E-2</v>
      </c>
      <c r="Z41">
        <v>-4.5143220000000003E-3</v>
      </c>
      <c r="AA41">
        <v>0.99943400000000004</v>
      </c>
      <c r="AB41">
        <v>5</v>
      </c>
      <c r="AC41">
        <v>0.69200000000000705</v>
      </c>
      <c r="AD41">
        <v>-8.2645999999999997E-2</v>
      </c>
      <c r="AE41">
        <v>-9.0999999999325995E-3</v>
      </c>
      <c r="AF41">
        <v>2.5363698364351699E-2</v>
      </c>
      <c r="AG41">
        <v>-8.2645999999999997E-2</v>
      </c>
      <c r="AH41">
        <v>0.68185741803689204</v>
      </c>
      <c r="AI41">
        <v>96.906216687515396</v>
      </c>
      <c r="AJ41">
        <v>87.869696635650001</v>
      </c>
      <c r="AK41">
        <v>0.68731595139546697</v>
      </c>
      <c r="AL41">
        <v>85.264175182074197</v>
      </c>
      <c r="AM41">
        <v>88.628396469611602</v>
      </c>
      <c r="AN41">
        <v>0.99999998681939095</v>
      </c>
    </row>
    <row r="42" spans="1:40" x14ac:dyDescent="0.25">
      <c r="A42" t="str">
        <f>"20190312163954516"</f>
        <v>20190312163954516</v>
      </c>
      <c r="B42" t="str">
        <f>"1552379994506586"</f>
        <v>1552379994506586</v>
      </c>
      <c r="C42" t="s">
        <v>40</v>
      </c>
      <c r="D42">
        <v>5.0425370000000003</v>
      </c>
      <c r="E42">
        <v>0.50675170000000003</v>
      </c>
      <c r="F42" t="s">
        <v>42</v>
      </c>
      <c r="G42">
        <v>-474.50139999999999</v>
      </c>
      <c r="H42">
        <v>1.029852</v>
      </c>
      <c r="I42">
        <v>367.25529999999998</v>
      </c>
      <c r="J42">
        <v>-475.19319999999999</v>
      </c>
      <c r="K42">
        <v>1.1104000000000001</v>
      </c>
      <c r="L42">
        <v>367.26389999999998</v>
      </c>
      <c r="M42">
        <v>0.9996176</v>
      </c>
      <c r="N42">
        <v>0</v>
      </c>
      <c r="O42">
        <v>2.4604339999999999E-2</v>
      </c>
      <c r="P42">
        <v>0.99745649999999997</v>
      </c>
      <c r="Q42">
        <v>7.1279369999999995E-2</v>
      </c>
      <c r="R42">
        <v>3.749933E-4</v>
      </c>
      <c r="S42">
        <v>3.0314640000000002</v>
      </c>
      <c r="T42">
        <v>-0.3323796</v>
      </c>
      <c r="U42">
        <v>-2.5970460000000001E-2</v>
      </c>
      <c r="V42">
        <v>2.4154559999999999E-2</v>
      </c>
      <c r="W42">
        <v>8.387174E-2</v>
      </c>
      <c r="X42">
        <v>0.99618379999999995</v>
      </c>
      <c r="Y42">
        <v>3.2825310000000003E-2</v>
      </c>
      <c r="Z42">
        <v>-4.4837999999999996E-3</v>
      </c>
      <c r="AA42">
        <v>0.99945099999999998</v>
      </c>
      <c r="AB42">
        <v>5</v>
      </c>
      <c r="AC42">
        <v>0.69179999999999997</v>
      </c>
      <c r="AD42">
        <v>-8.0547999999999995E-2</v>
      </c>
      <c r="AE42">
        <v>-8.6000000000012698E-3</v>
      </c>
      <c r="AF42">
        <v>2.5277413276448699E-2</v>
      </c>
      <c r="AG42">
        <v>-8.0547999999999995E-2</v>
      </c>
      <c r="AH42">
        <v>0.68213299726196996</v>
      </c>
      <c r="AI42">
        <v>96.729869756938299</v>
      </c>
      <c r="AJ42">
        <v>87.877794023792106</v>
      </c>
      <c r="AK42">
        <v>0.68733714716982097</v>
      </c>
      <c r="AL42">
        <v>85.188851529213295</v>
      </c>
      <c r="AM42">
        <v>88.611016138979707</v>
      </c>
      <c r="AN42">
        <v>1.0000000374609299</v>
      </c>
    </row>
    <row r="43" spans="1:40" x14ac:dyDescent="0.25">
      <c r="A43" t="str">
        <f>"20190312163954536"</f>
        <v>20190312163954536</v>
      </c>
      <c r="B43" t="str">
        <f>"1552379994526110"</f>
        <v>1552379994526110</v>
      </c>
      <c r="C43" t="s">
        <v>40</v>
      </c>
      <c r="D43">
        <v>4.9719239999999996</v>
      </c>
      <c r="E43">
        <v>0.506494</v>
      </c>
      <c r="F43" t="s">
        <v>42</v>
      </c>
      <c r="G43">
        <v>-474.46499999999997</v>
      </c>
      <c r="H43">
        <v>1.030864</v>
      </c>
      <c r="I43">
        <v>367.25810000000001</v>
      </c>
      <c r="J43">
        <v>-475.15859999999998</v>
      </c>
      <c r="K43">
        <v>1.1108</v>
      </c>
      <c r="L43">
        <v>367.26530000000002</v>
      </c>
      <c r="M43">
        <v>0.99958259999999999</v>
      </c>
      <c r="N43">
        <v>0</v>
      </c>
      <c r="O43">
        <v>2.4995799999999999E-2</v>
      </c>
      <c r="P43">
        <v>0.99750669999999997</v>
      </c>
      <c r="Q43">
        <v>7.0573869999999997E-2</v>
      </c>
      <c r="R43">
        <v>3.3816880000000002E-4</v>
      </c>
      <c r="S43">
        <v>3.0313110000000001</v>
      </c>
      <c r="T43">
        <v>-0.33134269999999999</v>
      </c>
      <c r="U43">
        <v>-2.3315430000000002E-2</v>
      </c>
      <c r="V43">
        <v>2.4600170000000001E-2</v>
      </c>
      <c r="W43">
        <v>8.5023459999999995E-2</v>
      </c>
      <c r="X43">
        <v>0.99607520000000005</v>
      </c>
      <c r="Y43">
        <v>3.2345069999999997E-2</v>
      </c>
      <c r="Z43">
        <v>-4.4866869999999996E-3</v>
      </c>
      <c r="AA43">
        <v>0.99946670000000004</v>
      </c>
      <c r="AB43">
        <v>4</v>
      </c>
      <c r="AC43">
        <v>0.69360000000000299</v>
      </c>
      <c r="AD43">
        <v>-7.9935999999999993E-2</v>
      </c>
      <c r="AE43">
        <v>-7.2000000000116398E-3</v>
      </c>
      <c r="AF43">
        <v>2.42150638894175E-2</v>
      </c>
      <c r="AG43">
        <v>-7.9935999999999993E-2</v>
      </c>
      <c r="AH43">
        <v>0.68411771583254899</v>
      </c>
      <c r="AI43">
        <v>96.660393792137</v>
      </c>
      <c r="AJ43">
        <v>87.972802135540604</v>
      </c>
      <c r="AK43">
        <v>0.689197491675</v>
      </c>
      <c r="AL43">
        <v>85.122625992873694</v>
      </c>
      <c r="AM43">
        <v>88.585247930420906</v>
      </c>
      <c r="AN43">
        <v>0.99999998058471995</v>
      </c>
    </row>
    <row r="44" spans="1:40" x14ac:dyDescent="0.25">
      <c r="A44" t="str">
        <f>"20190312163954559"</f>
        <v>20190312163954559</v>
      </c>
      <c r="B44" t="str">
        <f>"1552379994556363"</f>
        <v>1552379994556363</v>
      </c>
      <c r="C44" t="s">
        <v>40</v>
      </c>
      <c r="D44">
        <v>5.1079569999999999</v>
      </c>
      <c r="E44">
        <v>0.50611170000000005</v>
      </c>
      <c r="F44" t="s">
        <v>42</v>
      </c>
      <c r="G44">
        <v>-474.43209999999999</v>
      </c>
      <c r="H44">
        <v>1.0313239999999999</v>
      </c>
      <c r="I44">
        <v>367.25970000000001</v>
      </c>
      <c r="J44">
        <v>-475.12700000000001</v>
      </c>
      <c r="K44">
        <v>1.111124</v>
      </c>
      <c r="L44">
        <v>367.26650000000001</v>
      </c>
      <c r="M44">
        <v>0.99954679999999996</v>
      </c>
      <c r="N44">
        <v>0</v>
      </c>
      <c r="O44">
        <v>2.526668E-2</v>
      </c>
      <c r="P44">
        <v>0.99752070000000004</v>
      </c>
      <c r="Q44">
        <v>7.0373839999999993E-2</v>
      </c>
      <c r="R44">
        <v>2.5405220000000001E-4</v>
      </c>
      <c r="S44">
        <v>3.0310359999999998</v>
      </c>
      <c r="T44">
        <v>-0.33244050000000003</v>
      </c>
      <c r="U44">
        <v>-2.1270750000000001E-2</v>
      </c>
      <c r="V44">
        <v>2.4972870000000001E-2</v>
      </c>
      <c r="W44">
        <v>8.6674349999999997E-2</v>
      </c>
      <c r="X44">
        <v>0.99592360000000002</v>
      </c>
      <c r="Y44">
        <v>3.1941629999999999E-2</v>
      </c>
      <c r="Z44">
        <v>-4.5095140000000001E-3</v>
      </c>
      <c r="AA44">
        <v>0.99947960000000002</v>
      </c>
      <c r="AB44">
        <v>4</v>
      </c>
      <c r="AC44">
        <v>0.69489999999996099</v>
      </c>
      <c r="AD44">
        <v>-7.9800000000000093E-2</v>
      </c>
      <c r="AE44">
        <v>-6.7999999999983603E-3</v>
      </c>
      <c r="AF44">
        <v>2.4040986601970502E-2</v>
      </c>
      <c r="AG44">
        <v>-7.9800000000000093E-2</v>
      </c>
      <c r="AH44">
        <v>0.68546754447857705</v>
      </c>
      <c r="AI44">
        <v>96.6362618290825</v>
      </c>
      <c r="AJ44">
        <v>87.991323282176893</v>
      </c>
      <c r="AK44">
        <v>0.69051557807936903</v>
      </c>
      <c r="AL44">
        <v>85.027686307732395</v>
      </c>
      <c r="AM44">
        <v>88.563604395515995</v>
      </c>
      <c r="AN44">
        <v>0.999999952110458</v>
      </c>
    </row>
    <row r="45" spans="1:40" x14ac:dyDescent="0.25">
      <c r="A45" t="str">
        <f>"20190312163954581"</f>
        <v>20190312163954581</v>
      </c>
      <c r="B45" t="str">
        <f>"1552379994575883"</f>
        <v>1552379994575883</v>
      </c>
      <c r="C45" t="s">
        <v>40</v>
      </c>
      <c r="D45">
        <v>5.0681059999999896</v>
      </c>
      <c r="E45">
        <v>0.50588639999999996</v>
      </c>
      <c r="F45" t="s">
        <v>42</v>
      </c>
      <c r="G45">
        <v>-474.37439999999998</v>
      </c>
      <c r="H45">
        <v>1.028732</v>
      </c>
      <c r="I45">
        <v>367.26190000000003</v>
      </c>
      <c r="J45">
        <v>-475.09219999999999</v>
      </c>
      <c r="K45">
        <v>1.111156</v>
      </c>
      <c r="L45">
        <v>367.2679</v>
      </c>
      <c r="M45">
        <v>0.99952569999999996</v>
      </c>
      <c r="N45">
        <v>0</v>
      </c>
      <c r="O45">
        <v>2.5552809999999999E-2</v>
      </c>
      <c r="P45">
        <v>0.99742699999999995</v>
      </c>
      <c r="Q45">
        <v>7.1692809999999996E-2</v>
      </c>
      <c r="R45">
        <v>-1.5705680000000001E-4</v>
      </c>
      <c r="S45">
        <v>3.0308839999999999</v>
      </c>
      <c r="T45">
        <v>-0.33214640000000001</v>
      </c>
      <c r="U45">
        <v>-1.794434E-2</v>
      </c>
      <c r="V45">
        <v>2.5671389999999999E-2</v>
      </c>
      <c r="W45">
        <v>8.8816110000000004E-2</v>
      </c>
      <c r="X45">
        <v>0.99571719999999997</v>
      </c>
      <c r="Y45">
        <v>3.1135220000000002E-2</v>
      </c>
      <c r="Z45">
        <v>-4.4930250000000003E-3</v>
      </c>
      <c r="AA45">
        <v>0.99950510000000004</v>
      </c>
      <c r="AB45">
        <v>3</v>
      </c>
      <c r="AC45">
        <v>0.71780000000001098</v>
      </c>
      <c r="AD45">
        <v>-8.2423999999999997E-2</v>
      </c>
      <c r="AE45">
        <v>-5.9999999999717996E-3</v>
      </c>
      <c r="AF45">
        <v>2.40257845647847E-2</v>
      </c>
      <c r="AG45">
        <v>-8.2423999999999997E-2</v>
      </c>
      <c r="AH45">
        <v>0.70807643798076603</v>
      </c>
      <c r="AI45">
        <v>96.635877635701505</v>
      </c>
      <c r="AJ45">
        <v>88.056639009387993</v>
      </c>
      <c r="AK45">
        <v>0.71326236135343901</v>
      </c>
      <c r="AL45">
        <v>84.904497730927005</v>
      </c>
      <c r="AM45">
        <v>88.523138360686403</v>
      </c>
      <c r="AN45">
        <v>1.0000000320179501</v>
      </c>
    </row>
    <row r="46" spans="1:40" x14ac:dyDescent="0.25">
      <c r="A46" t="str">
        <f>"20190312163954604"</f>
        <v>20190312163954604</v>
      </c>
      <c r="B46" t="str">
        <f>"1552379994596379"</f>
        <v>1552379994596379</v>
      </c>
      <c r="C46" t="s">
        <v>40</v>
      </c>
      <c r="D46">
        <v>5.1186160000000003</v>
      </c>
      <c r="E46">
        <v>0.50565579999999999</v>
      </c>
      <c r="F46" t="s">
        <v>42</v>
      </c>
      <c r="G46">
        <v>-474.34129999999999</v>
      </c>
      <c r="H46">
        <v>1.030195</v>
      </c>
      <c r="I46">
        <v>367.26330000000002</v>
      </c>
      <c r="J46">
        <v>-475.0548</v>
      </c>
      <c r="K46">
        <v>1.110787</v>
      </c>
      <c r="L46">
        <v>367.26920000000001</v>
      </c>
      <c r="M46">
        <v>0.99953119999999995</v>
      </c>
      <c r="N46">
        <v>0</v>
      </c>
      <c r="O46">
        <v>2.6013370000000001E-2</v>
      </c>
      <c r="P46">
        <v>0.99720019999999998</v>
      </c>
      <c r="Q46">
        <v>7.4775969999999997E-2</v>
      </c>
      <c r="R46">
        <v>-6.6340810000000002E-4</v>
      </c>
      <c r="S46">
        <v>3.03125</v>
      </c>
      <c r="T46">
        <v>-0.32733449999999997</v>
      </c>
      <c r="U46">
        <v>-1.7303470000000001E-2</v>
      </c>
      <c r="V46">
        <v>2.6619380000000002E-2</v>
      </c>
      <c r="W46">
        <v>9.0856320000000004E-2</v>
      </c>
      <c r="X46">
        <v>0.99550819999999995</v>
      </c>
      <c r="Y46">
        <v>3.138896E-2</v>
      </c>
      <c r="Z46">
        <v>-4.4909800000000003E-3</v>
      </c>
      <c r="AA46">
        <v>0.99949719999999997</v>
      </c>
      <c r="AB46">
        <v>3</v>
      </c>
      <c r="AC46">
        <v>0.71350000000001002</v>
      </c>
      <c r="AD46">
        <v>-8.0592000000000205E-2</v>
      </c>
      <c r="AE46">
        <v>-5.8999999999968999E-3</v>
      </c>
      <c r="AF46">
        <v>2.4152831876685901E-2</v>
      </c>
      <c r="AG46">
        <v>-8.0592000000000205E-2</v>
      </c>
      <c r="AH46">
        <v>0.70412213482146002</v>
      </c>
      <c r="AI46">
        <v>96.525707591863096</v>
      </c>
      <c r="AJ46">
        <v>88.035407662798505</v>
      </c>
      <c r="AK46">
        <v>0.70913074287975497</v>
      </c>
      <c r="AL46">
        <v>84.787127645302505</v>
      </c>
      <c r="AM46">
        <v>88.468305150869199</v>
      </c>
      <c r="AN46">
        <v>1.00000001927138</v>
      </c>
    </row>
    <row r="47" spans="1:40" x14ac:dyDescent="0.25">
      <c r="A47" t="str">
        <f>"20190312163954626"</f>
        <v>20190312163954626</v>
      </c>
      <c r="B47" t="str">
        <f>"1552379994615902"</f>
        <v>1552379994615902</v>
      </c>
      <c r="C47" t="s">
        <v>40</v>
      </c>
      <c r="D47">
        <v>5.0119089999999904</v>
      </c>
      <c r="E47">
        <v>0.5054575</v>
      </c>
      <c r="F47" t="s">
        <v>42</v>
      </c>
      <c r="G47">
        <v>-474.30410000000001</v>
      </c>
      <c r="H47">
        <v>1.032449</v>
      </c>
      <c r="I47">
        <v>367.26459999999997</v>
      </c>
      <c r="J47">
        <v>-475.0138</v>
      </c>
      <c r="K47">
        <v>1.110303</v>
      </c>
      <c r="L47">
        <v>367.27080000000001</v>
      </c>
      <c r="M47">
        <v>0.99954240000000005</v>
      </c>
      <c r="N47">
        <v>0</v>
      </c>
      <c r="O47">
        <v>2.6670619999999999E-2</v>
      </c>
      <c r="P47">
        <v>0.99688290000000002</v>
      </c>
      <c r="Q47">
        <v>7.8892870000000004E-2</v>
      </c>
      <c r="R47">
        <v>-9.0443339999999998E-4</v>
      </c>
      <c r="S47">
        <v>3.0321959999999999</v>
      </c>
      <c r="T47">
        <v>-0.31720209999999999</v>
      </c>
      <c r="U47">
        <v>-1.6418459999999999E-2</v>
      </c>
      <c r="V47">
        <v>2.748975E-2</v>
      </c>
      <c r="W47">
        <v>9.3114069999999993E-2</v>
      </c>
      <c r="X47">
        <v>0.99527589999999999</v>
      </c>
      <c r="Y47">
        <v>3.1766780000000001E-2</v>
      </c>
      <c r="Z47">
        <v>-4.4395729999999996E-3</v>
      </c>
      <c r="AA47">
        <v>0.99948539999999997</v>
      </c>
      <c r="AB47">
        <v>4</v>
      </c>
      <c r="AC47">
        <v>0.709699999999997</v>
      </c>
      <c r="AD47">
        <v>-7.7854000000000007E-2</v>
      </c>
      <c r="AE47">
        <v>-6.2000000000352797E-3</v>
      </c>
      <c r="AF47">
        <v>2.4829088905209299E-2</v>
      </c>
      <c r="AG47">
        <v>-7.7854000000000007E-2</v>
      </c>
      <c r="AH47">
        <v>0.70084870313402803</v>
      </c>
      <c r="AI47">
        <v>96.334790077773903</v>
      </c>
      <c r="AJ47">
        <v>87.971021016561707</v>
      </c>
      <c r="AK47">
        <v>0.70559665082574796</v>
      </c>
      <c r="AL47">
        <v>84.657217288539798</v>
      </c>
      <c r="AM47">
        <v>88.417879589233394</v>
      </c>
      <c r="AN47">
        <v>1.00000001675391</v>
      </c>
    </row>
    <row r="48" spans="1:40" x14ac:dyDescent="0.25">
      <c r="A48" t="str">
        <f>"20190312163954648"</f>
        <v>20190312163954648</v>
      </c>
      <c r="B48" t="str">
        <f>"1552379994636395"</f>
        <v>1552379994636395</v>
      </c>
      <c r="C48" t="s">
        <v>40</v>
      </c>
      <c r="D48">
        <v>5.2973530000000002</v>
      </c>
      <c r="E48">
        <v>0.5052567</v>
      </c>
      <c r="F48" t="s">
        <v>42</v>
      </c>
      <c r="G48">
        <v>-474.26479999999998</v>
      </c>
      <c r="H48">
        <v>1.035264</v>
      </c>
      <c r="I48">
        <v>367.267</v>
      </c>
      <c r="J48">
        <v>-474.97210000000001</v>
      </c>
      <c r="K48">
        <v>1.10999</v>
      </c>
      <c r="L48">
        <v>367.27249999999998</v>
      </c>
      <c r="M48">
        <v>0.99954469999999995</v>
      </c>
      <c r="N48">
        <v>0</v>
      </c>
      <c r="O48">
        <v>2.7404459999999999E-2</v>
      </c>
      <c r="P48">
        <v>0.99659469999999994</v>
      </c>
      <c r="Q48">
        <v>8.2447939999999997E-2</v>
      </c>
      <c r="R48">
        <v>-1.226361E-3</v>
      </c>
      <c r="S48">
        <v>3.033417</v>
      </c>
      <c r="T48">
        <v>-0.30398609999999998</v>
      </c>
      <c r="U48">
        <v>-1.5197749999999999E-2</v>
      </c>
      <c r="V48">
        <v>2.8516420000000001E-2</v>
      </c>
      <c r="W48">
        <v>9.5031480000000002E-2</v>
      </c>
      <c r="X48">
        <v>0.99506570000000005</v>
      </c>
      <c r="Y48">
        <v>3.2116359999999997E-2</v>
      </c>
      <c r="Z48">
        <v>-4.3445970000000004E-3</v>
      </c>
      <c r="AA48">
        <v>0.99947470000000005</v>
      </c>
      <c r="AB48">
        <v>4</v>
      </c>
      <c r="AC48">
        <v>0.70730000000003201</v>
      </c>
      <c r="AD48">
        <v>-7.4726000000000001E-2</v>
      </c>
      <c r="AE48">
        <v>-5.4999999999836204E-3</v>
      </c>
      <c r="AF48">
        <v>2.4607999315957901E-2</v>
      </c>
      <c r="AG48">
        <v>-7.4726000000000001E-2</v>
      </c>
      <c r="AH48">
        <v>0.699081013373404</v>
      </c>
      <c r="AI48">
        <v>96.097531665571296</v>
      </c>
      <c r="AJ48">
        <v>87.983992455158401</v>
      </c>
      <c r="AK48">
        <v>0.70349398857809697</v>
      </c>
      <c r="AL48">
        <v>84.546868088634596</v>
      </c>
      <c r="AM48">
        <v>88.358476782384301</v>
      </c>
      <c r="AN48">
        <v>0.99999995785854701</v>
      </c>
    </row>
    <row r="49" spans="1:40" x14ac:dyDescent="0.25">
      <c r="A49" t="str">
        <f>"20190312163954670"</f>
        <v>20190312163954670</v>
      </c>
      <c r="B49" t="str">
        <f>"1552379994666650"</f>
        <v>1552379994666650</v>
      </c>
      <c r="C49" t="s">
        <v>40</v>
      </c>
      <c r="D49">
        <v>5.1837019999999896</v>
      </c>
      <c r="E49">
        <v>0.50497769999999997</v>
      </c>
      <c r="F49" t="s">
        <v>42</v>
      </c>
      <c r="G49">
        <v>-474.22390000000001</v>
      </c>
      <c r="H49">
        <v>1.038111</v>
      </c>
      <c r="I49">
        <v>367.26850000000002</v>
      </c>
      <c r="J49">
        <v>-474.92950000000002</v>
      </c>
      <c r="K49">
        <v>1.1100000000000001</v>
      </c>
      <c r="L49">
        <v>367.27429999999998</v>
      </c>
      <c r="M49">
        <v>0.99953340000000002</v>
      </c>
      <c r="N49">
        <v>0</v>
      </c>
      <c r="O49">
        <v>2.8076899999999998E-2</v>
      </c>
      <c r="P49">
        <v>0.99637929999999997</v>
      </c>
      <c r="Q49">
        <v>8.5001160000000006E-2</v>
      </c>
      <c r="R49">
        <v>-1.8127169999999999E-3</v>
      </c>
      <c r="S49">
        <v>3.0343930000000001</v>
      </c>
      <c r="T49">
        <v>-0.29247339999999999</v>
      </c>
      <c r="U49">
        <v>-1.376343E-2</v>
      </c>
      <c r="V49">
        <v>2.975734E-2</v>
      </c>
      <c r="W49">
        <v>9.6991250000000001E-2</v>
      </c>
      <c r="X49">
        <v>0.99484030000000001</v>
      </c>
      <c r="Y49">
        <v>3.2332659999999999E-2</v>
      </c>
      <c r="Z49">
        <v>-4.254524E-3</v>
      </c>
      <c r="AA49">
        <v>0.99946809999999997</v>
      </c>
      <c r="AB49">
        <v>4</v>
      </c>
      <c r="AC49">
        <v>0.705600000000004</v>
      </c>
      <c r="AD49">
        <v>-7.1888999999999995E-2</v>
      </c>
      <c r="AE49">
        <v>-5.7999999999651603E-3</v>
      </c>
      <c r="AF49">
        <v>2.5347115367076602E-2</v>
      </c>
      <c r="AG49">
        <v>-7.1888999999999995E-2</v>
      </c>
      <c r="AH49">
        <v>0.69791489016078501</v>
      </c>
      <c r="AI49">
        <v>95.877185895054794</v>
      </c>
      <c r="AJ49">
        <v>87.920026169998295</v>
      </c>
      <c r="AK49">
        <v>0.70206530927441002</v>
      </c>
      <c r="AL49">
        <v>84.434060673884503</v>
      </c>
      <c r="AM49">
        <v>88.286698095445701</v>
      </c>
      <c r="AN49">
        <v>1.0000000121822601</v>
      </c>
    </row>
    <row r="50" spans="1:40" x14ac:dyDescent="0.25">
      <c r="A50" t="str">
        <f>"20190312163954694"</f>
        <v>20190312163954694</v>
      </c>
      <c r="B50" t="str">
        <f>"1552379994686172"</f>
        <v>1552379994686172</v>
      </c>
      <c r="C50" t="s">
        <v>40</v>
      </c>
      <c r="D50">
        <v>5.2194940000000001</v>
      </c>
      <c r="E50">
        <v>0.50481030000000005</v>
      </c>
      <c r="F50" t="s">
        <v>42</v>
      </c>
      <c r="G50">
        <v>-474.1859</v>
      </c>
      <c r="H50">
        <v>1.040408</v>
      </c>
      <c r="I50">
        <v>367.27080000000001</v>
      </c>
      <c r="J50">
        <v>-474.88830000000002</v>
      </c>
      <c r="K50">
        <v>1.1103780000000001</v>
      </c>
      <c r="L50">
        <v>367.27620000000002</v>
      </c>
      <c r="M50">
        <v>0.99950700000000003</v>
      </c>
      <c r="N50">
        <v>0</v>
      </c>
      <c r="O50">
        <v>2.8562239999999999E-2</v>
      </c>
      <c r="P50">
        <v>0.99629659999999998</v>
      </c>
      <c r="Q50">
        <v>8.5939009999999996E-2</v>
      </c>
      <c r="R50">
        <v>-2.829289E-3</v>
      </c>
      <c r="S50">
        <v>3.035126</v>
      </c>
      <c r="T50">
        <v>-0.28434589999999998</v>
      </c>
      <c r="U50">
        <v>-1.333618E-2</v>
      </c>
      <c r="V50">
        <v>3.1265319999999999E-2</v>
      </c>
      <c r="W50">
        <v>9.8925470000000001E-2</v>
      </c>
      <c r="X50">
        <v>0.99460360000000003</v>
      </c>
      <c r="Y50">
        <v>3.2688309999999998E-2</v>
      </c>
      <c r="Z50">
        <v>-4.1978420000000002E-3</v>
      </c>
      <c r="AA50">
        <v>0.99945680000000003</v>
      </c>
      <c r="AB50">
        <v>5</v>
      </c>
      <c r="AC50">
        <v>0.70240000000001102</v>
      </c>
      <c r="AD50">
        <v>-6.9970000000000004E-2</v>
      </c>
      <c r="AE50">
        <v>-5.4000000000087303E-3</v>
      </c>
      <c r="AF50">
        <v>2.5211453699480298E-2</v>
      </c>
      <c r="AG50">
        <v>-6.9970000000000004E-2</v>
      </c>
      <c r="AH50">
        <v>0.69506225239782904</v>
      </c>
      <c r="AI50">
        <v>95.744689732878896</v>
      </c>
      <c r="AJ50">
        <v>87.922665364826301</v>
      </c>
      <c r="AK50">
        <v>0.69903000865913101</v>
      </c>
      <c r="AL50">
        <v>84.3227026256843</v>
      </c>
      <c r="AM50">
        <v>88.1995026167573</v>
      </c>
      <c r="AN50">
        <v>1.0000000449911901</v>
      </c>
    </row>
    <row r="51" spans="1:40" x14ac:dyDescent="0.25">
      <c r="A51" t="str">
        <f>"20190312163954718"</f>
        <v>20190312163954718</v>
      </c>
      <c r="B51" t="str">
        <f>"1552379994706667"</f>
        <v>1552379994706667</v>
      </c>
      <c r="C51" t="s">
        <v>40</v>
      </c>
      <c r="D51">
        <v>4.9128999999999996</v>
      </c>
      <c r="E51">
        <v>0.5046136</v>
      </c>
      <c r="F51" t="s">
        <v>42</v>
      </c>
      <c r="G51">
        <v>-474.15120000000002</v>
      </c>
      <c r="H51">
        <v>1.0422469999999999</v>
      </c>
      <c r="I51">
        <v>367.27199999999999</v>
      </c>
      <c r="J51">
        <v>-474.85309999999998</v>
      </c>
      <c r="K51">
        <v>1.110787</v>
      </c>
      <c r="L51">
        <v>367.27780000000001</v>
      </c>
      <c r="M51">
        <v>0.99947589999999997</v>
      </c>
      <c r="N51">
        <v>0</v>
      </c>
      <c r="O51">
        <v>2.8876539999999999E-2</v>
      </c>
      <c r="P51">
        <v>0.99627209999999999</v>
      </c>
      <c r="Q51">
        <v>8.6175580000000002E-2</v>
      </c>
      <c r="R51">
        <v>-3.9810549999999998E-3</v>
      </c>
      <c r="S51">
        <v>3.0353699999999999</v>
      </c>
      <c r="T51">
        <v>-0.28123150000000002</v>
      </c>
      <c r="U51">
        <v>-1.5594480000000001E-2</v>
      </c>
      <c r="V51">
        <v>3.2752330000000003E-2</v>
      </c>
      <c r="W51">
        <v>0.1007436</v>
      </c>
      <c r="X51">
        <v>0.99437319999999996</v>
      </c>
      <c r="Y51">
        <v>3.3746430000000001E-2</v>
      </c>
      <c r="Z51">
        <v>-4.2297519999999998E-3</v>
      </c>
      <c r="AA51">
        <v>0.99942149999999996</v>
      </c>
      <c r="AB51">
        <v>4</v>
      </c>
      <c r="AC51">
        <v>0.701899999999966</v>
      </c>
      <c r="AD51">
        <v>-6.8540000000000198E-2</v>
      </c>
      <c r="AE51">
        <v>-5.8000000000220098E-3</v>
      </c>
      <c r="AF51">
        <v>2.5821988517120201E-2</v>
      </c>
      <c r="AG51">
        <v>-6.8540000000000198E-2</v>
      </c>
      <c r="AH51">
        <v>0.69481486616288601</v>
      </c>
      <c r="AI51">
        <v>95.629853237199796</v>
      </c>
      <c r="AJ51">
        <v>87.871648315110804</v>
      </c>
      <c r="AK51">
        <v>0.69866458685976596</v>
      </c>
      <c r="AL51">
        <v>84.218008273992993</v>
      </c>
      <c r="AM51">
        <v>88.113492906181094</v>
      </c>
      <c r="AN51">
        <v>1.00000002446981</v>
      </c>
    </row>
    <row r="52" spans="1:40" x14ac:dyDescent="0.25">
      <c r="A52" t="str">
        <f>"20190312163954737"</f>
        <v>20190312163954737</v>
      </c>
      <c r="B52" t="str">
        <f>"1552379994726187"</f>
        <v>1552379994726187</v>
      </c>
      <c r="C52" t="s">
        <v>40</v>
      </c>
      <c r="D52">
        <v>5.009849</v>
      </c>
      <c r="E52">
        <v>0.50444440000000002</v>
      </c>
      <c r="F52" t="s">
        <v>42</v>
      </c>
      <c r="G52">
        <v>-474.11989999999997</v>
      </c>
      <c r="H52">
        <v>1.0431919999999999</v>
      </c>
      <c r="I52">
        <v>367.27319999999997</v>
      </c>
      <c r="J52">
        <v>-474.8254</v>
      </c>
      <c r="K52">
        <v>1.1110640000000001</v>
      </c>
      <c r="L52">
        <v>367.27890000000002</v>
      </c>
      <c r="M52">
        <v>0.99944860000000002</v>
      </c>
      <c r="N52">
        <v>0</v>
      </c>
      <c r="O52">
        <v>2.9065500000000001E-2</v>
      </c>
      <c r="P52">
        <v>0.99622390000000005</v>
      </c>
      <c r="Q52">
        <v>8.6696969999999998E-2</v>
      </c>
      <c r="R52">
        <v>-4.7093090000000001E-3</v>
      </c>
      <c r="S52">
        <v>3.0353699999999999</v>
      </c>
      <c r="T52">
        <v>-0.280333</v>
      </c>
      <c r="U52">
        <v>-1.766968E-2</v>
      </c>
      <c r="V52">
        <v>3.3690209999999998E-2</v>
      </c>
      <c r="W52">
        <v>0.1026724</v>
      </c>
      <c r="X52">
        <v>0.99414460000000004</v>
      </c>
      <c r="Y52">
        <v>3.4616439999999998E-2</v>
      </c>
      <c r="Z52">
        <v>-4.273855E-3</v>
      </c>
      <c r="AA52">
        <v>0.99939160000000005</v>
      </c>
      <c r="AB52">
        <v>4</v>
      </c>
      <c r="AC52">
        <v>0.70550000000002899</v>
      </c>
      <c r="AD52">
        <v>-6.7872000000000099E-2</v>
      </c>
      <c r="AE52">
        <v>-5.7000000000471101E-3</v>
      </c>
      <c r="AF52">
        <v>2.59656417043246E-2</v>
      </c>
      <c r="AG52">
        <v>-6.7872000000000099E-2</v>
      </c>
      <c r="AH52">
        <v>0.69857114589274305</v>
      </c>
      <c r="AI52">
        <v>95.545538461630798</v>
      </c>
      <c r="AJ52">
        <v>87.871316155310296</v>
      </c>
      <c r="AK52">
        <v>0.70234070706959495</v>
      </c>
      <c r="AL52">
        <v>84.106920351263298</v>
      </c>
      <c r="AM52">
        <v>88.059066653422505</v>
      </c>
      <c r="AN52">
        <v>1.0000000688403701</v>
      </c>
    </row>
    <row r="53" spans="1:40" x14ac:dyDescent="0.25">
      <c r="A53" t="str">
        <f>"20190312163954760"</f>
        <v>20190312163954760</v>
      </c>
      <c r="B53" t="str">
        <f>"1552379994756443"</f>
        <v>1552379994756443</v>
      </c>
      <c r="C53" t="s">
        <v>40</v>
      </c>
      <c r="D53">
        <v>5.2061080000000004</v>
      </c>
      <c r="E53">
        <v>0.50423419999999997</v>
      </c>
      <c r="F53" t="s">
        <v>42</v>
      </c>
      <c r="G53">
        <v>-474.09140000000002</v>
      </c>
      <c r="H53">
        <v>1.0436350000000001</v>
      </c>
      <c r="I53">
        <v>367.27429999999998</v>
      </c>
      <c r="J53">
        <v>-474.79469999999998</v>
      </c>
      <c r="K53">
        <v>1.111083</v>
      </c>
      <c r="L53">
        <v>367.28019999999998</v>
      </c>
      <c r="M53">
        <v>0.99943179999999998</v>
      </c>
      <c r="N53">
        <v>0</v>
      </c>
      <c r="O53">
        <v>2.930787E-2</v>
      </c>
      <c r="P53">
        <v>0.99610010000000004</v>
      </c>
      <c r="Q53">
        <v>8.8087509999999994E-2</v>
      </c>
      <c r="R53">
        <v>-5.0218179999999999E-3</v>
      </c>
      <c r="S53">
        <v>3.0355829999999999</v>
      </c>
      <c r="T53">
        <v>-0.279093599999999</v>
      </c>
      <c r="U53">
        <v>-1.8676760000000001E-2</v>
      </c>
      <c r="V53">
        <v>3.4252640000000001E-2</v>
      </c>
      <c r="W53">
        <v>0.1046387</v>
      </c>
      <c r="X53">
        <v>0.99392029999999998</v>
      </c>
      <c r="Y53">
        <v>3.5189199999999997E-2</v>
      </c>
      <c r="Z53">
        <v>-4.3032740000000002E-3</v>
      </c>
      <c r="AA53">
        <v>0.99937140000000002</v>
      </c>
      <c r="AB53">
        <v>3</v>
      </c>
      <c r="AC53">
        <v>0.70329999999995596</v>
      </c>
      <c r="AD53">
        <v>-6.7447999999999897E-2</v>
      </c>
      <c r="AE53">
        <v>-5.8999999999968999E-3</v>
      </c>
      <c r="AF53">
        <v>2.6270943666067002E-2</v>
      </c>
      <c r="AG53">
        <v>-6.7447999999999897E-2</v>
      </c>
      <c r="AH53">
        <v>0.69642017684354296</v>
      </c>
      <c r="AI53">
        <v>95.527911871366996</v>
      </c>
      <c r="AJ53">
        <v>87.839665082291503</v>
      </c>
      <c r="AK53">
        <v>0.70017173457652304</v>
      </c>
      <c r="AL53">
        <v>83.993649264454902</v>
      </c>
      <c r="AM53">
        <v>88.026244825671895</v>
      </c>
      <c r="AN53">
        <v>1.0000000318183699</v>
      </c>
    </row>
    <row r="54" spans="1:40" x14ac:dyDescent="0.25">
      <c r="A54" t="str">
        <f>"20190312163954782"</f>
        <v>20190312163954782</v>
      </c>
      <c r="B54" t="str">
        <f>"1552379994775964"</f>
        <v>1552379994775964</v>
      </c>
      <c r="C54" t="s">
        <v>40</v>
      </c>
      <c r="D54">
        <v>5.1737229999999998</v>
      </c>
      <c r="E54">
        <v>0.50427909999999998</v>
      </c>
      <c r="F54" t="s">
        <v>42</v>
      </c>
      <c r="G54">
        <v>-474.03460000000001</v>
      </c>
      <c r="H54">
        <v>1.0420210000000001</v>
      </c>
      <c r="I54">
        <v>367.27539999999999</v>
      </c>
      <c r="J54">
        <v>-474.75810000000001</v>
      </c>
      <c r="K54">
        <v>1.110752</v>
      </c>
      <c r="L54">
        <v>367.28149999999999</v>
      </c>
      <c r="M54">
        <v>0.99943760000000004</v>
      </c>
      <c r="N54">
        <v>0</v>
      </c>
      <c r="O54">
        <v>2.9687459999999999E-2</v>
      </c>
      <c r="P54">
        <v>0.99578849999999997</v>
      </c>
      <c r="Q54">
        <v>9.1498579999999996E-2</v>
      </c>
      <c r="R54">
        <v>-5.7714510000000004E-3</v>
      </c>
      <c r="S54">
        <v>3.0361020000000001</v>
      </c>
      <c r="T54">
        <v>-0.2763718</v>
      </c>
      <c r="U54">
        <v>-1.7761229999999999E-2</v>
      </c>
      <c r="V54">
        <v>3.5360259999999998E-2</v>
      </c>
      <c r="W54">
        <v>0.1069962</v>
      </c>
      <c r="X54">
        <v>0.99363049999999997</v>
      </c>
      <c r="Y54">
        <v>3.5269330000000002E-2</v>
      </c>
      <c r="Z54">
        <v>-4.2988269999999999E-3</v>
      </c>
      <c r="AA54">
        <v>0.99936860000000005</v>
      </c>
      <c r="AB54">
        <v>3</v>
      </c>
      <c r="AC54">
        <v>0.72350000000000103</v>
      </c>
      <c r="AD54">
        <v>-6.8731000000000098E-2</v>
      </c>
      <c r="AE54">
        <v>-6.1000000000035401E-3</v>
      </c>
      <c r="AF54">
        <v>2.7332155205470301E-2</v>
      </c>
      <c r="AG54">
        <v>-6.8731000000000098E-2</v>
      </c>
      <c r="AH54">
        <v>0.71653393311235802</v>
      </c>
      <c r="AI54">
        <v>95.475175376511302</v>
      </c>
      <c r="AJ54">
        <v>87.8155141154174</v>
      </c>
      <c r="AK54">
        <v>0.72034149843712403</v>
      </c>
      <c r="AL54">
        <v>83.857811914792705</v>
      </c>
      <c r="AM54">
        <v>87.961879138885607</v>
      </c>
      <c r="AN54">
        <v>1.00000005266597</v>
      </c>
    </row>
    <row r="55" spans="1:40" x14ac:dyDescent="0.25">
      <c r="A55" t="str">
        <f>"20190312163954805"</f>
        <v>20190312163954805</v>
      </c>
      <c r="B55" t="str">
        <f>"1552379994796462"</f>
        <v>1552379994796462</v>
      </c>
      <c r="C55" t="s">
        <v>40</v>
      </c>
      <c r="D55">
        <v>5.1789259999999997</v>
      </c>
      <c r="E55">
        <v>0.50428720000000005</v>
      </c>
      <c r="F55" t="s">
        <v>42</v>
      </c>
      <c r="G55">
        <v>-473.99900000000002</v>
      </c>
      <c r="H55">
        <v>1.0445059999999999</v>
      </c>
      <c r="I55">
        <v>367.27609999999999</v>
      </c>
      <c r="J55">
        <v>-474.71960000000001</v>
      </c>
      <c r="K55">
        <v>1.1103510000000001</v>
      </c>
      <c r="L55">
        <v>367.28309999999999</v>
      </c>
      <c r="M55">
        <v>0.99944829999999996</v>
      </c>
      <c r="N55">
        <v>0</v>
      </c>
      <c r="O55">
        <v>3.0186580000000001E-2</v>
      </c>
      <c r="P55">
        <v>0.99550970000000005</v>
      </c>
      <c r="Q55">
        <v>9.451263E-2</v>
      </c>
      <c r="R55">
        <v>-5.2704379999999997E-3</v>
      </c>
      <c r="S55">
        <v>3.0369869999999999</v>
      </c>
      <c r="T55">
        <v>-0.2655979</v>
      </c>
      <c r="U55">
        <v>-2.0416259999999999E-2</v>
      </c>
      <c r="V55">
        <v>3.5326349999999999E-2</v>
      </c>
      <c r="W55">
        <v>0.1082776</v>
      </c>
      <c r="X55">
        <v>0.99349279999999995</v>
      </c>
      <c r="Y55">
        <v>3.6653020000000001E-2</v>
      </c>
      <c r="Z55">
        <v>-4.2345739999999996E-3</v>
      </c>
      <c r="AA55">
        <v>0.99931910000000002</v>
      </c>
      <c r="AB55">
        <v>3</v>
      </c>
      <c r="AC55">
        <v>0.72059999999999003</v>
      </c>
      <c r="AD55">
        <v>-6.5845000000000098E-2</v>
      </c>
      <c r="AE55">
        <v>-7.0000000000049996E-3</v>
      </c>
      <c r="AF55">
        <v>2.8513298513822002E-2</v>
      </c>
      <c r="AG55">
        <v>-6.5845000000000098E-2</v>
      </c>
      <c r="AH55">
        <v>0.71409846364251595</v>
      </c>
      <c r="AI55">
        <v>95.264014156822299</v>
      </c>
      <c r="AJ55">
        <v>87.713446587542506</v>
      </c>
      <c r="AK55">
        <v>0.71769435555376904</v>
      </c>
      <c r="AL55">
        <v>83.783963528959603</v>
      </c>
      <c r="AM55">
        <v>87.963550043413306</v>
      </c>
      <c r="AN55">
        <v>0.99999996665895996</v>
      </c>
    </row>
    <row r="56" spans="1:40" x14ac:dyDescent="0.25">
      <c r="A56" t="str">
        <f>"20190312163954826"</f>
        <v>20190312163954826</v>
      </c>
      <c r="B56" t="str">
        <f>"1552379994815982"</f>
        <v>1552379994815982</v>
      </c>
      <c r="C56" t="s">
        <v>40</v>
      </c>
      <c r="D56">
        <v>5.0700589999999996</v>
      </c>
      <c r="E56">
        <v>0.50428720000000005</v>
      </c>
      <c r="F56" t="s">
        <v>42</v>
      </c>
      <c r="G56">
        <v>-473.96170000000001</v>
      </c>
      <c r="H56">
        <v>1.0466799999999901</v>
      </c>
      <c r="I56">
        <v>367.27809999999999</v>
      </c>
      <c r="J56">
        <v>-474.68060000000003</v>
      </c>
      <c r="K56">
        <v>1.110082</v>
      </c>
      <c r="L56">
        <v>367.28469999999999</v>
      </c>
      <c r="M56">
        <v>0.99945150000000005</v>
      </c>
      <c r="N56">
        <v>0</v>
      </c>
      <c r="O56">
        <v>3.0745120000000001E-2</v>
      </c>
      <c r="P56">
        <v>0.99511769999999999</v>
      </c>
      <c r="Q56">
        <v>9.8544320000000005E-2</v>
      </c>
      <c r="R56">
        <v>-5.4583289999999996E-3</v>
      </c>
      <c r="S56">
        <v>3.03775</v>
      </c>
      <c r="T56">
        <v>-0.25567410000000002</v>
      </c>
      <c r="U56">
        <v>-1.8798829999999999E-2</v>
      </c>
      <c r="V56">
        <v>3.6036190000000003E-2</v>
      </c>
      <c r="W56">
        <v>0.1107749</v>
      </c>
      <c r="X56">
        <v>0.99319199999999996</v>
      </c>
      <c r="Y56">
        <v>3.6693789999999997E-2</v>
      </c>
      <c r="Z56">
        <v>-4.1244799999999998E-3</v>
      </c>
      <c r="AA56">
        <v>0.99931809999999999</v>
      </c>
      <c r="AB56">
        <v>4</v>
      </c>
      <c r="AC56">
        <v>0.71890000000001897</v>
      </c>
      <c r="AD56">
        <v>-6.3402000000000097E-2</v>
      </c>
      <c r="AE56">
        <v>-6.5999999999917201E-3</v>
      </c>
      <c r="AF56">
        <v>2.84797228297212E-2</v>
      </c>
      <c r="AG56">
        <v>-6.3402000000000097E-2</v>
      </c>
      <c r="AH56">
        <v>0.71281335256791301</v>
      </c>
      <c r="AI56">
        <v>95.078831789727303</v>
      </c>
      <c r="AJ56">
        <v>87.712023112021598</v>
      </c>
      <c r="AK56">
        <v>0.71619395684099896</v>
      </c>
      <c r="AL56">
        <v>83.640013035483307</v>
      </c>
      <c r="AM56">
        <v>87.922036964654893</v>
      </c>
      <c r="AN56">
        <v>1.0000000171618599</v>
      </c>
    </row>
    <row r="57" spans="1:40" x14ac:dyDescent="0.25">
      <c r="A57" t="str">
        <f>"20190312163954838"</f>
        <v>20190312163954838</v>
      </c>
      <c r="B57" t="str">
        <f>"1552379994826715"</f>
        <v>1552379994826715</v>
      </c>
      <c r="C57" t="s">
        <v>40</v>
      </c>
      <c r="D57">
        <v>5.0218290000000003</v>
      </c>
      <c r="E57">
        <v>0.50430039999999998</v>
      </c>
      <c r="F57" t="s">
        <v>42</v>
      </c>
      <c r="G57">
        <v>-473.9221</v>
      </c>
      <c r="H57">
        <v>1.049687</v>
      </c>
      <c r="I57">
        <v>367.27980000000002</v>
      </c>
      <c r="J57">
        <v>-474.65839999999997</v>
      </c>
      <c r="K57">
        <v>1.1099840000000001</v>
      </c>
      <c r="L57">
        <v>367.28559999999999</v>
      </c>
      <c r="M57">
        <v>0.99945039999999996</v>
      </c>
      <c r="N57">
        <v>0</v>
      </c>
      <c r="O57">
        <v>3.1072369999999998E-2</v>
      </c>
      <c r="P57">
        <v>0.9949692</v>
      </c>
      <c r="Q57">
        <v>0.1000461</v>
      </c>
      <c r="R57">
        <v>-5.2093870000000002E-3</v>
      </c>
      <c r="S57">
        <v>3.0385439999999999</v>
      </c>
      <c r="T57">
        <v>-0.24227399999999999</v>
      </c>
      <c r="U57">
        <v>-1.8676760000000001E-2</v>
      </c>
      <c r="V57">
        <v>3.6096860000000001E-2</v>
      </c>
      <c r="W57">
        <v>0.111535</v>
      </c>
      <c r="X57">
        <v>0.99310469999999895</v>
      </c>
      <c r="Y57">
        <v>3.7001359999999997E-2</v>
      </c>
      <c r="Z57">
        <v>-3.9462630000000002E-3</v>
      </c>
      <c r="AA57">
        <v>0.99930739999999996</v>
      </c>
      <c r="AB57">
        <v>4</v>
      </c>
      <c r="AC57">
        <v>0.73629999999997098</v>
      </c>
      <c r="AD57">
        <v>-6.0297000000000003E-2</v>
      </c>
      <c r="AE57">
        <v>-5.7999999999651603E-3</v>
      </c>
      <c r="AF57">
        <v>2.8486286061041401E-2</v>
      </c>
      <c r="AG57">
        <v>-6.0297000000000003E-2</v>
      </c>
      <c r="AH57">
        <v>0.73086311896856604</v>
      </c>
      <c r="AI57">
        <v>94.712720794772693</v>
      </c>
      <c r="AJ57">
        <v>87.767956561152602</v>
      </c>
      <c r="AK57">
        <v>0.73389924061209699</v>
      </c>
      <c r="AL57">
        <v>83.596190791928095</v>
      </c>
      <c r="AM57">
        <v>87.918358799241801</v>
      </c>
      <c r="AN57">
        <v>0.99999999234447401</v>
      </c>
    </row>
    <row r="58" spans="1:40" x14ac:dyDescent="0.25">
      <c r="A58" t="str">
        <f>"20190312163954860"</f>
        <v>20190312163954860</v>
      </c>
      <c r="B58" t="str">
        <f>"1552379994855995"</f>
        <v>1552379994855995</v>
      </c>
      <c r="C58" t="s">
        <v>40</v>
      </c>
      <c r="D58">
        <v>4.982818</v>
      </c>
      <c r="E58">
        <v>0.50431419999999905</v>
      </c>
      <c r="F58" t="s">
        <v>42</v>
      </c>
      <c r="G58">
        <v>-473.88729999999998</v>
      </c>
      <c r="H58">
        <v>1.0500069999999999</v>
      </c>
      <c r="I58">
        <v>367.28070000000002</v>
      </c>
      <c r="J58">
        <v>-474.6207</v>
      </c>
      <c r="K58">
        <v>1.1102069999999999</v>
      </c>
      <c r="L58">
        <v>367.28730000000002</v>
      </c>
      <c r="M58">
        <v>0.99943579999999999</v>
      </c>
      <c r="N58">
        <v>0</v>
      </c>
      <c r="O58">
        <v>3.1457099999999898E-2</v>
      </c>
      <c r="P58">
        <v>0.99482250000000005</v>
      </c>
      <c r="Q58">
        <v>0.101483</v>
      </c>
      <c r="R58">
        <v>-5.4190660000000002E-3</v>
      </c>
      <c r="S58">
        <v>3.0389400000000002</v>
      </c>
      <c r="T58">
        <v>-0.23725769999999999</v>
      </c>
      <c r="U58">
        <v>-1.7608639999999998E-2</v>
      </c>
      <c r="V58">
        <v>3.6683340000000002E-2</v>
      </c>
      <c r="W58">
        <v>0.11318250000000001</v>
      </c>
      <c r="X58">
        <v>0.99289680000000002</v>
      </c>
      <c r="Y58">
        <v>3.7041690000000002E-2</v>
      </c>
      <c r="Z58">
        <v>-3.8958650000000001E-3</v>
      </c>
      <c r="AA58">
        <v>0.99930609999999997</v>
      </c>
      <c r="AB58">
        <v>4</v>
      </c>
      <c r="AC58">
        <v>0.73340000000001704</v>
      </c>
      <c r="AD58">
        <v>-6.0199999999999997E-2</v>
      </c>
      <c r="AE58">
        <v>-6.5999999999917201E-3</v>
      </c>
      <c r="AF58">
        <v>2.9470421994959601E-2</v>
      </c>
      <c r="AG58">
        <v>-6.0199999999999997E-2</v>
      </c>
      <c r="AH58">
        <v>0.72792522199923404</v>
      </c>
      <c r="AI58">
        <v>94.723796190282002</v>
      </c>
      <c r="AJ58">
        <v>87.681617407426401</v>
      </c>
      <c r="AK58">
        <v>0.73100456537233405</v>
      </c>
      <c r="AL58">
        <v>83.501194492296904</v>
      </c>
      <c r="AM58">
        <v>87.884125489643296</v>
      </c>
      <c r="AN58">
        <v>1.00000000059502</v>
      </c>
    </row>
    <row r="59" spans="1:40" x14ac:dyDescent="0.25">
      <c r="A59" t="str">
        <f>"20190312163954872"</f>
        <v>20190312163954872</v>
      </c>
      <c r="B59" t="str">
        <f>"1552379994866731"</f>
        <v>1552379994866731</v>
      </c>
      <c r="C59" t="s">
        <v>40</v>
      </c>
      <c r="D59">
        <v>5.1125089999999904</v>
      </c>
      <c r="E59">
        <v>0.50432569999999999</v>
      </c>
      <c r="F59" t="s">
        <v>41</v>
      </c>
      <c r="G59">
        <v>-460.06420000000003</v>
      </c>
      <c r="H59" s="1">
        <v>-4.6727159999999998E-6</v>
      </c>
      <c r="I59">
        <v>367.20350000000002</v>
      </c>
      <c r="J59">
        <v>-474.60050000000001</v>
      </c>
      <c r="K59">
        <v>1.1104369999999999</v>
      </c>
      <c r="L59">
        <v>367.28829999999999</v>
      </c>
      <c r="M59">
        <v>0.99942260000000005</v>
      </c>
      <c r="N59">
        <v>0</v>
      </c>
      <c r="O59">
        <v>3.1616739999999997E-2</v>
      </c>
      <c r="P59">
        <v>0.99479689999999998</v>
      </c>
      <c r="Q59">
        <v>0.10173889999999999</v>
      </c>
      <c r="R59">
        <v>-5.3350890000000003E-3</v>
      </c>
      <c r="S59">
        <v>3.0391539999999999</v>
      </c>
      <c r="T59">
        <v>-0.23179330000000001</v>
      </c>
      <c r="U59">
        <v>-1.748657E-2</v>
      </c>
      <c r="V59">
        <v>3.676542E-2</v>
      </c>
      <c r="W59">
        <v>0.1141158</v>
      </c>
      <c r="X59">
        <v>0.99278690000000003</v>
      </c>
      <c r="Y59">
        <v>3.7169699999999903E-2</v>
      </c>
      <c r="Z59">
        <v>-3.8231820000000001E-3</v>
      </c>
      <c r="AA59">
        <v>0.99930169999999996</v>
      </c>
      <c r="AB59">
        <v>4</v>
      </c>
      <c r="AC59">
        <v>14.536299999999899</v>
      </c>
      <c r="AD59">
        <v>-1.110441672716</v>
      </c>
      <c r="AE59">
        <v>-8.4799999999972897E-2</v>
      </c>
      <c r="AF59">
        <v>0.54122534990777105</v>
      </c>
      <c r="AG59">
        <v>-1.110441672716</v>
      </c>
      <c r="AH59">
        <v>14.442075410806501</v>
      </c>
      <c r="AI59">
        <v>94.393711704039404</v>
      </c>
      <c r="AJ59">
        <v>87.853810988728597</v>
      </c>
      <c r="AK59">
        <v>14.4948110632498</v>
      </c>
      <c r="AL59">
        <v>83.4473714190149</v>
      </c>
      <c r="AM59">
        <v>87.879160945420395</v>
      </c>
      <c r="AN59">
        <v>0.99999997036451205</v>
      </c>
    </row>
    <row r="60" spans="1:40" x14ac:dyDescent="0.25">
      <c r="A60" t="str">
        <f>"20190312163954895"</f>
        <v>20190312163954895</v>
      </c>
      <c r="B60" t="str">
        <f>"1552379994886258"</f>
        <v>1552379994886258</v>
      </c>
      <c r="C60" t="s">
        <v>40</v>
      </c>
      <c r="D60">
        <v>5.3673549999999999</v>
      </c>
      <c r="E60">
        <v>0.50438209999999895</v>
      </c>
      <c r="F60" t="s">
        <v>41</v>
      </c>
      <c r="G60">
        <v>-459.9692</v>
      </c>
      <c r="H60" s="1">
        <v>-4.7129969999999997E-6</v>
      </c>
      <c r="I60">
        <v>367.20609999999999</v>
      </c>
      <c r="J60">
        <v>-474.56959999999998</v>
      </c>
      <c r="K60">
        <v>1.1108089999999999</v>
      </c>
      <c r="L60">
        <v>367.28969999999998</v>
      </c>
      <c r="M60">
        <v>0.9993976</v>
      </c>
      <c r="N60">
        <v>0</v>
      </c>
      <c r="O60">
        <v>3.182302E-2</v>
      </c>
      <c r="P60">
        <v>0.99479859999999998</v>
      </c>
      <c r="Q60">
        <v>0.10171230000000001</v>
      </c>
      <c r="R60">
        <v>-5.5267449999999996E-3</v>
      </c>
      <c r="S60">
        <v>3.0391539999999999</v>
      </c>
      <c r="T60">
        <v>-0.23065640000000001</v>
      </c>
      <c r="U60">
        <v>-1.7059330000000001E-2</v>
      </c>
      <c r="V60">
        <v>3.7183649999999999E-2</v>
      </c>
      <c r="W60">
        <v>0.1154795</v>
      </c>
      <c r="X60">
        <v>0.99261370000000004</v>
      </c>
      <c r="Y60">
        <v>3.7237230000000003E-2</v>
      </c>
      <c r="Z60">
        <v>-3.8227170000000002E-3</v>
      </c>
      <c r="AA60">
        <v>0.99929920000000005</v>
      </c>
      <c r="AB60">
        <v>4</v>
      </c>
      <c r="AC60">
        <v>14.600399999999899</v>
      </c>
      <c r="AD60">
        <v>-1.1108137129969999</v>
      </c>
      <c r="AE60">
        <v>-8.3599999999989905E-2</v>
      </c>
      <c r="AF60">
        <v>0.54507604572169299</v>
      </c>
      <c r="AG60">
        <v>-1.1108137129969999</v>
      </c>
      <c r="AH60">
        <v>14.506378214859399</v>
      </c>
      <c r="AI60">
        <v>94.375754988494506</v>
      </c>
      <c r="AJ60">
        <v>87.848127835195299</v>
      </c>
      <c r="AK60">
        <v>14.5590529881978</v>
      </c>
      <c r="AL60">
        <v>83.368717682059298</v>
      </c>
      <c r="AM60">
        <v>87.854683543925503</v>
      </c>
      <c r="AN60">
        <v>1.0000000480876301</v>
      </c>
    </row>
    <row r="61" spans="1:40" x14ac:dyDescent="0.25">
      <c r="A61" t="str">
        <f>"20190312163954917"</f>
        <v>20190312163954917</v>
      </c>
      <c r="B61" t="str">
        <f>"1552379994906747"</f>
        <v>1552379994906747</v>
      </c>
      <c r="C61" t="s">
        <v>40</v>
      </c>
      <c r="D61">
        <v>5.0100369999999996</v>
      </c>
      <c r="E61">
        <v>0.50438229999999995</v>
      </c>
      <c r="F61" t="s">
        <v>41</v>
      </c>
      <c r="G61">
        <v>-459.90800000000002</v>
      </c>
      <c r="H61" s="1">
        <v>-6.5994399999999997E-7</v>
      </c>
      <c r="I61">
        <v>367.2013</v>
      </c>
      <c r="J61">
        <v>-474.53960000000001</v>
      </c>
      <c r="K61">
        <v>1.1111359999999999</v>
      </c>
      <c r="L61">
        <v>367.291</v>
      </c>
      <c r="M61">
        <v>0.99936840000000005</v>
      </c>
      <c r="N61">
        <v>0</v>
      </c>
      <c r="O61">
        <v>3.1988839999999998E-2</v>
      </c>
      <c r="P61">
        <v>0.99490120000000004</v>
      </c>
      <c r="Q61">
        <v>0.1007015</v>
      </c>
      <c r="R61">
        <v>-5.5417460000000002E-3</v>
      </c>
      <c r="S61">
        <v>3.0390929999999998</v>
      </c>
      <c r="T61">
        <v>-0.23025010000000001</v>
      </c>
      <c r="U61">
        <v>-1.8310549999999998E-2</v>
      </c>
      <c r="V61">
        <v>3.7393719999999998E-2</v>
      </c>
      <c r="W61">
        <v>0.1160701</v>
      </c>
      <c r="X61">
        <v>0.9925368</v>
      </c>
      <c r="Y61">
        <v>3.7813859999999998E-2</v>
      </c>
      <c r="Z61">
        <v>-3.8504899999999998E-3</v>
      </c>
      <c r="AA61">
        <v>0.99927739999999998</v>
      </c>
      <c r="AB61">
        <v>3</v>
      </c>
      <c r="AC61">
        <v>14.631599999999899</v>
      </c>
      <c r="AD61">
        <v>-1.111136659944</v>
      </c>
      <c r="AE61">
        <v>-8.9699999999993396E-2</v>
      </c>
      <c r="AF61">
        <v>0.55456001912342701</v>
      </c>
      <c r="AG61">
        <v>-1.111136659944</v>
      </c>
      <c r="AH61">
        <v>14.5374060591238</v>
      </c>
      <c r="AI61">
        <v>94.367622202687997</v>
      </c>
      <c r="AJ61">
        <v>87.815390903143907</v>
      </c>
      <c r="AK61">
        <v>14.590350798377999</v>
      </c>
      <c r="AL61">
        <v>83.334648907149401</v>
      </c>
      <c r="AM61">
        <v>87.842407947935698</v>
      </c>
      <c r="AN61">
        <v>0.99999992888184097</v>
      </c>
    </row>
    <row r="62" spans="1:40" x14ac:dyDescent="0.25">
      <c r="A62" t="str">
        <f>"20190312163954940"</f>
        <v>20190312163954940</v>
      </c>
      <c r="B62" t="str">
        <f>"1552379994936027"</f>
        <v>1552379994936027</v>
      </c>
      <c r="C62" t="s">
        <v>40</v>
      </c>
      <c r="D62">
        <v>4.9929769999999998</v>
      </c>
      <c r="E62">
        <v>0.50443039999999995</v>
      </c>
      <c r="F62" t="s">
        <v>41</v>
      </c>
      <c r="G62">
        <v>-460.07220000000001</v>
      </c>
      <c r="H62" s="1">
        <v>-4.6696890000000003E-6</v>
      </c>
      <c r="I62">
        <v>367.2013</v>
      </c>
      <c r="J62">
        <v>-474.51029999999997</v>
      </c>
      <c r="K62">
        <v>1.111186</v>
      </c>
      <c r="L62">
        <v>367.29219999999998</v>
      </c>
      <c r="M62">
        <v>0.99935010000000002</v>
      </c>
      <c r="N62">
        <v>0</v>
      </c>
      <c r="O62">
        <v>3.2217660000000002E-2</v>
      </c>
      <c r="P62">
        <v>0.9949498</v>
      </c>
      <c r="Q62">
        <v>0.10022590000000001</v>
      </c>
      <c r="R62">
        <v>-5.4622780000000001E-3</v>
      </c>
      <c r="S62">
        <v>3.0388790000000001</v>
      </c>
      <c r="T62">
        <v>-0.2333944</v>
      </c>
      <c r="U62">
        <v>-1.8829350000000002E-2</v>
      </c>
      <c r="V62">
        <v>3.7554169999999998E-2</v>
      </c>
      <c r="W62">
        <v>0.11628280000000001</v>
      </c>
      <c r="X62">
        <v>0.99250590000000005</v>
      </c>
      <c r="Y62">
        <v>3.820668E-2</v>
      </c>
      <c r="Z62">
        <v>-3.9358259999999999E-3</v>
      </c>
      <c r="AA62">
        <v>0.99926210000000004</v>
      </c>
      <c r="AB62">
        <v>3</v>
      </c>
      <c r="AC62">
        <v>14.438099999999899</v>
      </c>
      <c r="AD62">
        <v>-1.1111906696889999</v>
      </c>
      <c r="AE62">
        <v>-9.0899999999976402E-2</v>
      </c>
      <c r="AF62">
        <v>0.55280117743519597</v>
      </c>
      <c r="AG62">
        <v>-1.1111906696889999</v>
      </c>
      <c r="AH62">
        <v>14.342722334347201</v>
      </c>
      <c r="AI62">
        <v>94.426820502734003</v>
      </c>
      <c r="AJ62">
        <v>87.792782706963393</v>
      </c>
      <c r="AK62">
        <v>14.3963195923944</v>
      </c>
      <c r="AL62">
        <v>83.322379375131405</v>
      </c>
      <c r="AM62">
        <v>87.833091502059403</v>
      </c>
      <c r="AN62">
        <v>0.99999998339751905</v>
      </c>
    </row>
    <row r="63" spans="1:40" x14ac:dyDescent="0.25">
      <c r="A63" t="str">
        <f>"20190312163954961"</f>
        <v>20190312163954961</v>
      </c>
      <c r="B63" t="str">
        <f>"1552379994956523"</f>
        <v>1552379994956523</v>
      </c>
      <c r="C63" t="s">
        <v>40</v>
      </c>
      <c r="D63">
        <v>5.0197050000000001</v>
      </c>
      <c r="E63">
        <v>0.50445200000000001</v>
      </c>
      <c r="F63" t="s">
        <v>41</v>
      </c>
      <c r="G63">
        <v>-460.12209999999999</v>
      </c>
      <c r="H63" s="1">
        <v>-4.6486419999999997E-6</v>
      </c>
      <c r="I63">
        <v>367.19920000000002</v>
      </c>
      <c r="J63">
        <v>-474.47910000000002</v>
      </c>
      <c r="K63">
        <v>1.1109150000000001</v>
      </c>
      <c r="L63">
        <v>367.29340000000002</v>
      </c>
      <c r="M63">
        <v>0.99935229999999997</v>
      </c>
      <c r="N63">
        <v>0</v>
      </c>
      <c r="O63">
        <v>3.2534750000000001E-2</v>
      </c>
      <c r="P63">
        <v>0.99495020000000001</v>
      </c>
      <c r="Q63">
        <v>0.1002566</v>
      </c>
      <c r="R63">
        <v>-4.799401E-3</v>
      </c>
      <c r="S63">
        <v>3.0387270000000002</v>
      </c>
      <c r="T63">
        <v>-0.23467840000000001</v>
      </c>
      <c r="U63">
        <v>-1.9622799999999999E-2</v>
      </c>
      <c r="V63">
        <v>3.7193299999999999E-2</v>
      </c>
      <c r="W63">
        <v>0.1155231</v>
      </c>
      <c r="X63">
        <v>0.99260820000000005</v>
      </c>
      <c r="Y63">
        <v>3.8779590000000003E-2</v>
      </c>
      <c r="Z63">
        <v>-4.0041159999999899E-3</v>
      </c>
      <c r="AA63">
        <v>0.99923969999999995</v>
      </c>
      <c r="AB63">
        <v>3</v>
      </c>
      <c r="AC63">
        <v>14.356999999999999</v>
      </c>
      <c r="AD63">
        <v>-1.1109196486420001</v>
      </c>
      <c r="AE63">
        <v>-9.42000000000007E-2</v>
      </c>
      <c r="AF63">
        <v>0.55796614282149404</v>
      </c>
      <c r="AG63">
        <v>-1.1109196486420001</v>
      </c>
      <c r="AH63">
        <v>14.2609502766033</v>
      </c>
      <c r="AI63">
        <v>94.450920302679606</v>
      </c>
      <c r="AJ63">
        <v>87.759419487381706</v>
      </c>
      <c r="AK63">
        <v>14.315033058782101</v>
      </c>
      <c r="AL63">
        <v>83.366202323911693</v>
      </c>
      <c r="AM63">
        <v>87.854115427031502</v>
      </c>
      <c r="AN63">
        <v>0.999999983452869</v>
      </c>
    </row>
    <row r="64" spans="1:40" x14ac:dyDescent="0.25">
      <c r="A64" t="str">
        <f>"20190312163954984"</f>
        <v>20190312163954984</v>
      </c>
      <c r="B64" t="str">
        <f>"1552379994976043"</f>
        <v>1552379994976043</v>
      </c>
      <c r="C64" t="s">
        <v>40</v>
      </c>
      <c r="D64">
        <v>5.0693659999999996</v>
      </c>
      <c r="E64">
        <v>0.50445609999999996</v>
      </c>
      <c r="F64" t="s">
        <v>41</v>
      </c>
      <c r="G64">
        <v>-460.07369999999997</v>
      </c>
      <c r="H64" s="1">
        <v>-4.6676430000000001E-6</v>
      </c>
      <c r="I64">
        <v>367.20909999999998</v>
      </c>
      <c r="J64">
        <v>-474.44080000000002</v>
      </c>
      <c r="K64">
        <v>1.1104849999999999</v>
      </c>
      <c r="L64">
        <v>367.29500000000002</v>
      </c>
      <c r="M64">
        <v>0.99936250000000004</v>
      </c>
      <c r="N64">
        <v>0</v>
      </c>
      <c r="O64">
        <v>3.3011359999999997E-2</v>
      </c>
      <c r="P64">
        <v>0.99480299999999999</v>
      </c>
      <c r="Q64">
        <v>0.1017426</v>
      </c>
      <c r="R64">
        <v>-3.9509530000000001E-3</v>
      </c>
      <c r="S64">
        <v>3.0387569999999999</v>
      </c>
      <c r="T64">
        <v>-0.2343431</v>
      </c>
      <c r="U64">
        <v>-1.7761229999999999E-2</v>
      </c>
      <c r="V64">
        <v>3.678845E-2</v>
      </c>
      <c r="W64">
        <v>0.11526260000000001</v>
      </c>
      <c r="X64">
        <v>0.99265360000000002</v>
      </c>
      <c r="Y64">
        <v>3.864273E-2</v>
      </c>
      <c r="Z64">
        <v>-4.0297299999999996E-3</v>
      </c>
      <c r="AA64">
        <v>0.99924500000000005</v>
      </c>
      <c r="AB64">
        <v>3</v>
      </c>
      <c r="AC64">
        <v>14.367100000000001</v>
      </c>
      <c r="AD64">
        <v>-1.1104896676429901</v>
      </c>
      <c r="AE64">
        <v>-8.5900000000037793E-2</v>
      </c>
      <c r="AF64">
        <v>0.55684783763396595</v>
      </c>
      <c r="AG64">
        <v>-1.1104896676429901</v>
      </c>
      <c r="AH64">
        <v>14.2711742351886</v>
      </c>
      <c r="AI64">
        <v>94.446048220352495</v>
      </c>
      <c r="AJ64">
        <v>87.765505941598605</v>
      </c>
      <c r="AK64">
        <v>14.3251415653504</v>
      </c>
      <c r="AL64">
        <v>83.3812284474009</v>
      </c>
      <c r="AM64">
        <v>87.877548940296407</v>
      </c>
      <c r="AN64">
        <v>1.0000000133025599</v>
      </c>
    </row>
    <row r="65" spans="1:40" x14ac:dyDescent="0.25">
      <c r="A65" t="str">
        <f>"20190312163955006"</f>
        <v>20190312163955006</v>
      </c>
      <c r="B65" t="str">
        <f>"1552379994996539"</f>
        <v>1552379994996539</v>
      </c>
      <c r="C65" t="s">
        <v>40</v>
      </c>
      <c r="D65">
        <v>5.1291789999999997</v>
      </c>
      <c r="E65">
        <v>0.50445879999999998</v>
      </c>
      <c r="F65" t="s">
        <v>41</v>
      </c>
      <c r="G65">
        <v>-459.74119999999999</v>
      </c>
      <c r="H65" s="1">
        <v>-7.107234E-7</v>
      </c>
      <c r="I65">
        <v>367.22379999999998</v>
      </c>
      <c r="J65">
        <v>-474.40309999999999</v>
      </c>
      <c r="K65">
        <v>1.1101939999999999</v>
      </c>
      <c r="L65">
        <v>367.29669999999999</v>
      </c>
      <c r="M65">
        <v>0.99936460000000005</v>
      </c>
      <c r="N65">
        <v>0</v>
      </c>
      <c r="O65">
        <v>3.3540639999999997E-2</v>
      </c>
      <c r="P65">
        <v>0.99467859999999997</v>
      </c>
      <c r="Q65">
        <v>0.10301</v>
      </c>
      <c r="R65">
        <v>-1.8906159999999999E-3</v>
      </c>
      <c r="S65">
        <v>3.0391240000000002</v>
      </c>
      <c r="T65">
        <v>-0.2295893</v>
      </c>
      <c r="U65">
        <v>-1.4709470000000001E-2</v>
      </c>
      <c r="V65">
        <v>3.5228740000000001E-2</v>
      </c>
      <c r="W65">
        <v>0.1150101</v>
      </c>
      <c r="X65">
        <v>0.99273940000000005</v>
      </c>
      <c r="Y65">
        <v>3.8175609999999999E-2</v>
      </c>
      <c r="Z65">
        <v>-3.9699940000000001E-3</v>
      </c>
      <c r="AA65">
        <v>0.99926320000000002</v>
      </c>
      <c r="AB65">
        <v>4</v>
      </c>
      <c r="AC65">
        <v>14.661899999999999</v>
      </c>
      <c r="AD65">
        <v>-1.1101947107234</v>
      </c>
      <c r="AE65">
        <v>-7.29000000000041E-2</v>
      </c>
      <c r="AF65">
        <v>0.56144529558862</v>
      </c>
      <c r="AG65">
        <v>-1.1101947107234</v>
      </c>
      <c r="AH65">
        <v>14.567682700164401</v>
      </c>
      <c r="AI65">
        <v>94.354833766876297</v>
      </c>
      <c r="AJ65">
        <v>87.792886254887193</v>
      </c>
      <c r="AK65">
        <v>14.620709024131701</v>
      </c>
      <c r="AL65">
        <v>83.3957920786507</v>
      </c>
      <c r="AM65">
        <v>87.9676323026425</v>
      </c>
      <c r="AN65">
        <v>0.99999995176817702</v>
      </c>
    </row>
    <row r="66" spans="1:40" x14ac:dyDescent="0.25">
      <c r="A66" t="str">
        <f>"20190312163955018"</f>
        <v>20190312163955018</v>
      </c>
      <c r="B66" t="str">
        <f>"1552379995006299"</f>
        <v>1552379995006299</v>
      </c>
      <c r="C66" t="s">
        <v>40</v>
      </c>
      <c r="D66">
        <v>5.259455</v>
      </c>
      <c r="E66">
        <v>0.50446740000000001</v>
      </c>
      <c r="F66" t="s">
        <v>41</v>
      </c>
      <c r="G66">
        <v>-459.45010000000002</v>
      </c>
      <c r="H66" s="1">
        <v>-8.0108129999999997E-7</v>
      </c>
      <c r="I66">
        <v>367.25650000000002</v>
      </c>
      <c r="J66">
        <v>-474.38069999999999</v>
      </c>
      <c r="K66">
        <v>1.11008</v>
      </c>
      <c r="L66">
        <v>367.29770000000002</v>
      </c>
      <c r="M66">
        <v>0.99936259999999999</v>
      </c>
      <c r="N66">
        <v>0</v>
      </c>
      <c r="O66">
        <v>3.3865909999999999E-2</v>
      </c>
      <c r="P66">
        <v>0.9946178</v>
      </c>
      <c r="Q66">
        <v>0.10360800000000001</v>
      </c>
      <c r="R66">
        <v>-1.0825100000000001E-3</v>
      </c>
      <c r="S66">
        <v>3.0393979999999998</v>
      </c>
      <c r="T66">
        <v>-0.22565979999999999</v>
      </c>
      <c r="U66">
        <v>-8.1481929999999998E-3</v>
      </c>
      <c r="V66">
        <v>3.473097E-2</v>
      </c>
      <c r="W66">
        <v>0.1148486</v>
      </c>
      <c r="X66">
        <v>0.99277570000000004</v>
      </c>
      <c r="Y66">
        <v>3.6354020000000001E-2</v>
      </c>
      <c r="Z66">
        <v>-3.8584330000000001E-3</v>
      </c>
      <c r="AA66">
        <v>0.99933150000000004</v>
      </c>
      <c r="AB66">
        <v>4</v>
      </c>
      <c r="AC66">
        <v>14.930599999999901</v>
      </c>
      <c r="AD66">
        <v>-1.1100808010812999</v>
      </c>
      <c r="AE66">
        <v>-4.1200000000003401E-2</v>
      </c>
      <c r="AF66">
        <v>0.54384071985132298</v>
      </c>
      <c r="AG66">
        <v>-1.1100808010812999</v>
      </c>
      <c r="AH66">
        <v>14.8386144250612</v>
      </c>
      <c r="AI66">
        <v>94.275483541348507</v>
      </c>
      <c r="AJ66">
        <v>87.901027917492996</v>
      </c>
      <c r="AK66">
        <v>14.8900141090978</v>
      </c>
      <c r="AL66">
        <v>83.405107496261394</v>
      </c>
      <c r="AM66">
        <v>87.996398588812895</v>
      </c>
      <c r="AN66">
        <v>1.0000000158547899</v>
      </c>
    </row>
    <row r="67" spans="1:40" x14ac:dyDescent="0.25">
      <c r="A67" t="str">
        <f>"20190312163955030"</f>
        <v>20190312163955030</v>
      </c>
      <c r="B67" t="str">
        <f>"1552379995026795"</f>
        <v>1552379995026795</v>
      </c>
      <c r="C67" t="s">
        <v>40</v>
      </c>
      <c r="D67">
        <v>5.0506159999999998</v>
      </c>
      <c r="E67">
        <v>0.50447140000000001</v>
      </c>
      <c r="F67" t="s">
        <v>41</v>
      </c>
      <c r="G67">
        <v>-459.30759999999998</v>
      </c>
      <c r="H67" s="1">
        <v>-8.4633300000000001E-7</v>
      </c>
      <c r="I67">
        <v>367.26870000000002</v>
      </c>
      <c r="J67">
        <v>-474.35969999999998</v>
      </c>
      <c r="K67">
        <v>1.110139</v>
      </c>
      <c r="L67">
        <v>367.29880000000003</v>
      </c>
      <c r="M67">
        <v>0.99935629999999998</v>
      </c>
      <c r="N67">
        <v>0</v>
      </c>
      <c r="O67">
        <v>3.4078160000000003E-2</v>
      </c>
      <c r="P67">
        <v>0.99458809999999997</v>
      </c>
      <c r="Q67">
        <v>0.1038968</v>
      </c>
      <c r="R67">
        <v>-5.8389459999999896E-4</v>
      </c>
      <c r="S67">
        <v>3.0395509999999999</v>
      </c>
      <c r="T67">
        <v>-0.22384979999999999</v>
      </c>
      <c r="U67">
        <v>-5.8288569999999998E-3</v>
      </c>
      <c r="V67">
        <v>3.4439520000000001E-2</v>
      </c>
      <c r="W67">
        <v>0.1150461</v>
      </c>
      <c r="X67">
        <v>0.99276299999999995</v>
      </c>
      <c r="Y67">
        <v>3.580755E-2</v>
      </c>
      <c r="Z67">
        <v>-3.822878E-3</v>
      </c>
      <c r="AA67">
        <v>0.9993514</v>
      </c>
      <c r="AB67">
        <v>4</v>
      </c>
      <c r="AC67">
        <v>15.0520999999999</v>
      </c>
      <c r="AD67">
        <v>-1.1101398463329999</v>
      </c>
      <c r="AE67">
        <v>-3.0100000000004401E-2</v>
      </c>
      <c r="AF67">
        <v>0.54012460870873902</v>
      </c>
      <c r="AG67">
        <v>-1.1101398463329999</v>
      </c>
      <c r="AH67">
        <v>14.960950207408899</v>
      </c>
      <c r="AI67">
        <v>94.240959813605798</v>
      </c>
      <c r="AJ67">
        <v>87.932388956668305</v>
      </c>
      <c r="AK67">
        <v>15.0118012303626</v>
      </c>
      <c r="AL67">
        <v>83.393716166199596</v>
      </c>
      <c r="AM67">
        <v>88.013173174447999</v>
      </c>
      <c r="AN67">
        <v>1.0000000299160099</v>
      </c>
    </row>
    <row r="68" spans="1:40" x14ac:dyDescent="0.25">
      <c r="A68" t="str">
        <f>"20190312163955050"</f>
        <v>20190312163955050</v>
      </c>
      <c r="B68" t="str">
        <f>"1552379995046315"</f>
        <v>1552379995046315</v>
      </c>
      <c r="C68" t="s">
        <v>40</v>
      </c>
      <c r="D68">
        <v>5.1434199999999999</v>
      </c>
      <c r="E68">
        <v>0.50448630000000005</v>
      </c>
      <c r="F68" t="s">
        <v>41</v>
      </c>
      <c r="G68">
        <v>-459.2602</v>
      </c>
      <c r="H68" s="1">
        <v>-8.5994449999999997E-7</v>
      </c>
      <c r="I68">
        <v>367.27820000000003</v>
      </c>
      <c r="J68">
        <v>-474.32909999999998</v>
      </c>
      <c r="K68">
        <v>1.1103689999999999</v>
      </c>
      <c r="L68">
        <v>367.30029999999999</v>
      </c>
      <c r="M68">
        <v>0.99934100000000003</v>
      </c>
      <c r="N68">
        <v>0</v>
      </c>
      <c r="O68">
        <v>3.4346910000000001E-2</v>
      </c>
      <c r="P68">
        <v>0.9946083</v>
      </c>
      <c r="Q68">
        <v>0.10369929999999999</v>
      </c>
      <c r="R68">
        <v>1.0677250000000001E-3</v>
      </c>
      <c r="S68">
        <v>3.0396730000000001</v>
      </c>
      <c r="T68">
        <v>-0.22347919999999999</v>
      </c>
      <c r="U68">
        <v>-4.1198729999999996E-3</v>
      </c>
      <c r="V68">
        <v>3.3064070000000001E-2</v>
      </c>
      <c r="W68">
        <v>0.115383399999999</v>
      </c>
      <c r="X68">
        <v>0.99277059999999995</v>
      </c>
      <c r="Y68">
        <v>3.5515270000000002E-2</v>
      </c>
      <c r="Z68">
        <v>-3.825419E-3</v>
      </c>
      <c r="AA68">
        <v>0.99936179999999997</v>
      </c>
      <c r="AB68">
        <v>4</v>
      </c>
      <c r="AC68">
        <v>15.0688999999999</v>
      </c>
      <c r="AD68">
        <v>-1.1103698599445</v>
      </c>
      <c r="AE68">
        <v>-2.2099999999966199E-2</v>
      </c>
      <c r="AF68">
        <v>0.53677827476545303</v>
      </c>
      <c r="AG68">
        <v>-1.1103698599445</v>
      </c>
      <c r="AH68">
        <v>14.9779237816327</v>
      </c>
      <c r="AI68">
        <v>94.237085893690704</v>
      </c>
      <c r="AJ68">
        <v>87.947514396379901</v>
      </c>
      <c r="AK68">
        <v>15.0286144720839</v>
      </c>
      <c r="AL68">
        <v>83.374260626154793</v>
      </c>
      <c r="AM68">
        <v>88.092478073175997</v>
      </c>
      <c r="AN68">
        <v>1.00000001297244</v>
      </c>
    </row>
    <row r="69" spans="1:40" x14ac:dyDescent="0.25">
      <c r="A69" t="str">
        <f>"20190312163955073"</f>
        <v>20190312163955073</v>
      </c>
      <c r="B69" t="str">
        <f>"1552379995066811"</f>
        <v>1552379995066811</v>
      </c>
      <c r="C69" t="s">
        <v>40</v>
      </c>
      <c r="D69">
        <v>5.298997</v>
      </c>
      <c r="E69">
        <v>0.50452019999999997</v>
      </c>
      <c r="F69" t="s">
        <v>41</v>
      </c>
      <c r="G69">
        <v>-459.27710000000002</v>
      </c>
      <c r="H69" s="1">
        <v>-8.4771809999999996E-7</v>
      </c>
      <c r="I69">
        <v>367.30250000000001</v>
      </c>
      <c r="J69">
        <v>-474.29640000000001</v>
      </c>
      <c r="K69">
        <v>1.110749</v>
      </c>
      <c r="L69">
        <v>367.30200000000002</v>
      </c>
      <c r="M69">
        <v>0.99931539999999996</v>
      </c>
      <c r="N69">
        <v>0</v>
      </c>
      <c r="O69">
        <v>3.4578030000000003E-2</v>
      </c>
      <c r="P69">
        <v>0.99473389999999995</v>
      </c>
      <c r="Q69">
        <v>0.1024747</v>
      </c>
      <c r="R69">
        <v>1.896092E-3</v>
      </c>
      <c r="S69">
        <v>3.0396730000000001</v>
      </c>
      <c r="T69">
        <v>-0.22423199999999999</v>
      </c>
      <c r="U69">
        <v>4.577637E-4</v>
      </c>
      <c r="V69">
        <v>3.2494229999999999E-2</v>
      </c>
      <c r="W69">
        <v>0.115557199999999</v>
      </c>
      <c r="X69">
        <v>0.99276920000000002</v>
      </c>
      <c r="Y69">
        <v>3.4243540000000003E-2</v>
      </c>
      <c r="Z69">
        <v>-3.8084780000000001E-3</v>
      </c>
      <c r="AA69">
        <v>0.99940629999999997</v>
      </c>
      <c r="AB69">
        <v>4</v>
      </c>
      <c r="AC69">
        <v>15.0192999999999</v>
      </c>
      <c r="AD69">
        <v>-1.1107498477180999</v>
      </c>
      <c r="AE69">
        <v>5.0000000004501999E-4</v>
      </c>
      <c r="AF69">
        <v>0.51606055818635999</v>
      </c>
      <c r="AG69">
        <v>-1.1107498477180999</v>
      </c>
      <c r="AH69">
        <v>14.928684494333</v>
      </c>
      <c r="AI69">
        <v>94.252648491025596</v>
      </c>
      <c r="AJ69">
        <v>88.020165627404793</v>
      </c>
      <c r="AK69">
        <v>14.9788418929922</v>
      </c>
      <c r="AL69">
        <v>83.364235561394395</v>
      </c>
      <c r="AM69">
        <v>88.125326798248693</v>
      </c>
      <c r="AN69">
        <v>1.00000001296188</v>
      </c>
    </row>
    <row r="70" spans="1:40" x14ac:dyDescent="0.25">
      <c r="A70" t="str">
        <f>"20190312163955085"</f>
        <v>20190312163955085</v>
      </c>
      <c r="B70" t="str">
        <f>"1552379995076571"</f>
        <v>1552379995076571</v>
      </c>
      <c r="C70" t="s">
        <v>40</v>
      </c>
      <c r="D70">
        <v>5.0193699999999897</v>
      </c>
      <c r="E70">
        <v>0.50453619999999999</v>
      </c>
      <c r="F70" t="s">
        <v>41</v>
      </c>
      <c r="G70">
        <v>-459.48259999999999</v>
      </c>
      <c r="H70" s="1">
        <v>-7.7529759999999999E-7</v>
      </c>
      <c r="I70">
        <v>367.31189999999998</v>
      </c>
      <c r="J70">
        <v>-474.2808</v>
      </c>
      <c r="K70">
        <v>1.1109260000000001</v>
      </c>
      <c r="L70">
        <v>367.30270000000002</v>
      </c>
      <c r="M70">
        <v>0.99930059999999998</v>
      </c>
      <c r="N70">
        <v>0</v>
      </c>
      <c r="O70">
        <v>3.4674410000000003E-2</v>
      </c>
      <c r="P70">
        <v>0.99479410000000001</v>
      </c>
      <c r="Q70">
        <v>0.1018751</v>
      </c>
      <c r="R70">
        <v>2.5474429999999999E-3</v>
      </c>
      <c r="S70">
        <v>3.0393680000000001</v>
      </c>
      <c r="T70">
        <v>-0.22789280000000001</v>
      </c>
      <c r="U70">
        <v>2.0446779999999999E-3</v>
      </c>
      <c r="V70">
        <v>3.1956060000000001E-2</v>
      </c>
      <c r="W70">
        <v>0.11579540000000001</v>
      </c>
      <c r="X70">
        <v>0.9927589</v>
      </c>
      <c r="Y70">
        <v>3.3813250000000003E-2</v>
      </c>
      <c r="Z70">
        <v>-3.8619980000000002E-3</v>
      </c>
      <c r="AA70">
        <v>0.99942070000000005</v>
      </c>
      <c r="AB70">
        <v>3</v>
      </c>
      <c r="AC70">
        <v>14.7982</v>
      </c>
      <c r="AD70">
        <v>-1.1109267752976</v>
      </c>
      <c r="AE70">
        <v>9.1999999999643391E-3</v>
      </c>
      <c r="AF70">
        <v>0.50115031384927899</v>
      </c>
      <c r="AG70">
        <v>-1.1109267752976</v>
      </c>
      <c r="AH70">
        <v>14.706734859366</v>
      </c>
      <c r="AI70">
        <v>94.317344942885299</v>
      </c>
      <c r="AJ70">
        <v>88.048330113166102</v>
      </c>
      <c r="AK70">
        <v>14.7571460710002</v>
      </c>
      <c r="AL70">
        <v>83.350495375742298</v>
      </c>
      <c r="AM70">
        <v>88.156334445882294</v>
      </c>
      <c r="AN70">
        <v>0.99999999898054603</v>
      </c>
    </row>
    <row r="71" spans="1:40" x14ac:dyDescent="0.25">
      <c r="A71" t="str">
        <f>"20190312163955097"</f>
        <v>20190312163955097</v>
      </c>
      <c r="B71" t="str">
        <f>"1552379995086332"</f>
        <v>1552379995086332</v>
      </c>
      <c r="C71" t="s">
        <v>40</v>
      </c>
      <c r="D71">
        <v>5.0573889999999997</v>
      </c>
      <c r="E71">
        <v>0.50454960000000004</v>
      </c>
      <c r="F71" t="s">
        <v>41</v>
      </c>
      <c r="G71">
        <v>-459.5779</v>
      </c>
      <c r="H71" s="1">
        <v>-7.406102E-7</v>
      </c>
      <c r="I71">
        <v>367.32040000000001</v>
      </c>
      <c r="J71">
        <v>-474.26530000000002</v>
      </c>
      <c r="K71">
        <v>1.1110930000000001</v>
      </c>
      <c r="L71">
        <v>367.30349999999999</v>
      </c>
      <c r="M71">
        <v>0.99928439999999996</v>
      </c>
      <c r="N71">
        <v>0</v>
      </c>
      <c r="O71">
        <v>3.4766089999999999E-2</v>
      </c>
      <c r="P71">
        <v>0.99487760000000003</v>
      </c>
      <c r="Q71">
        <v>0.1010485</v>
      </c>
      <c r="R71">
        <v>2.8491200000000001E-3</v>
      </c>
      <c r="S71">
        <v>3.039215</v>
      </c>
      <c r="T71">
        <v>-0.22963620000000001</v>
      </c>
      <c r="U71">
        <v>3.6621090000000002E-3</v>
      </c>
      <c r="V71">
        <v>3.1764500000000001E-2</v>
      </c>
      <c r="W71">
        <v>0.115858</v>
      </c>
      <c r="X71">
        <v>0.99275769999999997</v>
      </c>
      <c r="Y71">
        <v>3.337151E-2</v>
      </c>
      <c r="Z71">
        <v>-3.8819319999999998E-3</v>
      </c>
      <c r="AA71">
        <v>0.99943550000000003</v>
      </c>
      <c r="AB71">
        <v>3</v>
      </c>
      <c r="AC71">
        <v>14.6874</v>
      </c>
      <c r="AD71">
        <v>-1.1110937406101999</v>
      </c>
      <c r="AE71">
        <v>1.6900000000020999E-2</v>
      </c>
      <c r="AF71">
        <v>0.49098058010893603</v>
      </c>
      <c r="AG71">
        <v>-1.1110937406101999</v>
      </c>
      <c r="AH71">
        <v>14.5955787234162</v>
      </c>
      <c r="AI71">
        <v>94.350814357573299</v>
      </c>
      <c r="AJ71">
        <v>88.073354136371194</v>
      </c>
      <c r="AK71">
        <v>14.6460407449217</v>
      </c>
      <c r="AL71">
        <v>83.346884063597798</v>
      </c>
      <c r="AM71">
        <v>88.167376491732398</v>
      </c>
      <c r="AN71">
        <v>0.99999995526676799</v>
      </c>
    </row>
    <row r="72" spans="1:40" x14ac:dyDescent="0.25">
      <c r="A72" t="str">
        <f>"20190312163955120"</f>
        <v>20190312163955120</v>
      </c>
      <c r="B72" t="str">
        <f>"1552379995116587"</f>
        <v>1552379995116587</v>
      </c>
      <c r="C72" t="s">
        <v>40</v>
      </c>
      <c r="D72">
        <v>5.1284029999999996</v>
      </c>
      <c r="E72">
        <v>0.50459379999999998</v>
      </c>
      <c r="F72" t="s">
        <v>41</v>
      </c>
      <c r="G72">
        <v>-459.72089999999997</v>
      </c>
      <c r="H72" s="1">
        <v>-6.9149730000000002E-7</v>
      </c>
      <c r="I72">
        <v>367.32190000000003</v>
      </c>
      <c r="J72">
        <v>-474.23829999999998</v>
      </c>
      <c r="K72">
        <v>1.111167</v>
      </c>
      <c r="L72">
        <v>367.30459999999999</v>
      </c>
      <c r="M72">
        <v>0.99926420000000005</v>
      </c>
      <c r="N72">
        <v>0</v>
      </c>
      <c r="O72">
        <v>3.4995470000000001E-2</v>
      </c>
      <c r="P72">
        <v>0.99496510000000005</v>
      </c>
      <c r="Q72">
        <v>0.10014720000000001</v>
      </c>
      <c r="R72">
        <v>3.8913950000000002E-3</v>
      </c>
      <c r="S72">
        <v>3.0390009999999998</v>
      </c>
      <c r="T72">
        <v>-0.23215939999999999</v>
      </c>
      <c r="U72">
        <v>3.8757319999999998E-3</v>
      </c>
      <c r="V72">
        <v>3.0968240000000001E-2</v>
      </c>
      <c r="W72">
        <v>0.1157377</v>
      </c>
      <c r="X72">
        <v>0.99279700000000004</v>
      </c>
      <c r="Y72">
        <v>3.3525569999999998E-2</v>
      </c>
      <c r="Z72">
        <v>-3.9481350000000002E-3</v>
      </c>
      <c r="AA72">
        <v>0.99943009999999999</v>
      </c>
      <c r="AB72">
        <v>3</v>
      </c>
      <c r="AC72">
        <v>14.5174</v>
      </c>
      <c r="AD72">
        <v>-1.1111676914973001</v>
      </c>
      <c r="AE72">
        <v>1.7300000000034201E-2</v>
      </c>
      <c r="AF72">
        <v>0.48795776765535398</v>
      </c>
      <c r="AG72">
        <v>-1.1111676914973001</v>
      </c>
      <c r="AH72">
        <v>14.4246054989322</v>
      </c>
      <c r="AI72">
        <v>94.402446430639799</v>
      </c>
      <c r="AJ72">
        <v>88.062528400302</v>
      </c>
      <c r="AK72">
        <v>14.475567008634499</v>
      </c>
      <c r="AL72">
        <v>83.353824162270499</v>
      </c>
      <c r="AM72">
        <v>88.213356499927997</v>
      </c>
      <c r="AN72">
        <v>1.00000006514949</v>
      </c>
    </row>
    <row r="73" spans="1:40" x14ac:dyDescent="0.25">
      <c r="A73" t="str">
        <f>"20190312163955142"</f>
        <v>20190312163955142</v>
      </c>
      <c r="B73" t="str">
        <f>"1552379995136107"</f>
        <v>1552379995136107</v>
      </c>
      <c r="C73" t="s">
        <v>40</v>
      </c>
      <c r="D73">
        <v>5.1581830000000002</v>
      </c>
      <c r="E73">
        <v>0.50464390000000003</v>
      </c>
      <c r="F73" t="s">
        <v>41</v>
      </c>
      <c r="G73">
        <v>-459.84719999999999</v>
      </c>
      <c r="H73" s="1">
        <v>-6.4428459999999995E-7</v>
      </c>
      <c r="I73">
        <v>367.33800000000002</v>
      </c>
      <c r="J73">
        <v>-474.20409999999998</v>
      </c>
      <c r="K73">
        <v>1.11076</v>
      </c>
      <c r="L73">
        <v>367.30610000000001</v>
      </c>
      <c r="M73">
        <v>0.99927169999999998</v>
      </c>
      <c r="N73">
        <v>0</v>
      </c>
      <c r="O73">
        <v>3.5352799999999997E-2</v>
      </c>
      <c r="P73">
        <v>0.99485279999999998</v>
      </c>
      <c r="Q73">
        <v>0.1012377</v>
      </c>
      <c r="R73">
        <v>4.3359230000000002E-3</v>
      </c>
      <c r="S73">
        <v>3.0387879999999998</v>
      </c>
      <c r="T73">
        <v>-0.234629</v>
      </c>
      <c r="U73">
        <v>7.0495610000000002E-3</v>
      </c>
      <c r="V73">
        <v>3.0858090000000001E-2</v>
      </c>
      <c r="W73">
        <v>0.11551169999999999</v>
      </c>
      <c r="X73">
        <v>0.99282669999999995</v>
      </c>
      <c r="Y73">
        <v>3.2835030000000001E-2</v>
      </c>
      <c r="Z73">
        <v>-3.9911390000000003E-3</v>
      </c>
      <c r="AA73">
        <v>0.99945280000000003</v>
      </c>
      <c r="AB73">
        <v>3</v>
      </c>
      <c r="AC73">
        <v>14.3568999999999</v>
      </c>
      <c r="AD73">
        <v>-1.1107606442846001</v>
      </c>
      <c r="AE73">
        <v>3.1900000000007298E-2</v>
      </c>
      <c r="AF73">
        <v>0.47289826534080298</v>
      </c>
      <c r="AG73">
        <v>-1.1107606442846001</v>
      </c>
      <c r="AH73">
        <v>14.263672876565099</v>
      </c>
      <c r="AI73">
        <v>94.4503949685392</v>
      </c>
      <c r="AJ73">
        <v>88.1011094424166</v>
      </c>
      <c r="AK73">
        <v>14.3146703038495</v>
      </c>
      <c r="AL73">
        <v>83.366860110789503</v>
      </c>
      <c r="AM73">
        <v>88.219760484051207</v>
      </c>
      <c r="AN73">
        <v>1.00000001539411</v>
      </c>
    </row>
    <row r="74" spans="1:40" x14ac:dyDescent="0.25">
      <c r="A74" t="str">
        <f>"20190312163955163"</f>
        <v>20190312163955163</v>
      </c>
      <c r="B74" t="str">
        <f>"1552379995156603"</f>
        <v>1552379995156603</v>
      </c>
      <c r="C74" t="s">
        <v>40</v>
      </c>
      <c r="D74">
        <v>5.1172630000000003</v>
      </c>
      <c r="E74">
        <v>0.50469179999999902</v>
      </c>
      <c r="F74" t="s">
        <v>41</v>
      </c>
      <c r="G74">
        <v>-459.61110000000002</v>
      </c>
      <c r="H74" s="1">
        <v>-7.2224360000000002E-7</v>
      </c>
      <c r="I74">
        <v>367.34690000000001</v>
      </c>
      <c r="J74">
        <v>-474.16879999999998</v>
      </c>
      <c r="K74">
        <v>1.1103559999999999</v>
      </c>
      <c r="L74">
        <v>367.30770000000001</v>
      </c>
      <c r="M74">
        <v>0.99927900000000003</v>
      </c>
      <c r="N74">
        <v>0</v>
      </c>
      <c r="O74">
        <v>3.5794069999999997E-2</v>
      </c>
      <c r="P74">
        <v>0.99472799999999995</v>
      </c>
      <c r="Q74">
        <v>0.10243389999999999</v>
      </c>
      <c r="R74">
        <v>4.8574289999999999E-3</v>
      </c>
      <c r="S74">
        <v>3.0390630000000001</v>
      </c>
      <c r="T74">
        <v>-0.23131930000000001</v>
      </c>
      <c r="U74">
        <v>8.5144039999999997E-3</v>
      </c>
      <c r="V74">
        <v>3.0747529999999999E-2</v>
      </c>
      <c r="W74">
        <v>0.115021</v>
      </c>
      <c r="X74">
        <v>0.99288710000000002</v>
      </c>
      <c r="Y74">
        <v>3.2798569999999999E-2</v>
      </c>
      <c r="Z74">
        <v>-3.9667180000000002E-3</v>
      </c>
      <c r="AA74">
        <v>0.99945410000000001</v>
      </c>
      <c r="AB74">
        <v>3</v>
      </c>
      <c r="AC74">
        <v>14.557699999999899</v>
      </c>
      <c r="AD74">
        <v>-1.1103567222435999</v>
      </c>
      <c r="AE74">
        <v>3.9199999999993899E-2</v>
      </c>
      <c r="AF74">
        <v>0.47915871139233501</v>
      </c>
      <c r="AG74">
        <v>-1.1103567222435999</v>
      </c>
      <c r="AH74">
        <v>14.4656192439279</v>
      </c>
      <c r="AI74">
        <v>94.386924647649295</v>
      </c>
      <c r="AJ74">
        <v>88.102830076800402</v>
      </c>
      <c r="AK74">
        <v>14.516081607363301</v>
      </c>
      <c r="AL74">
        <v>83.395163816454001</v>
      </c>
      <c r="AM74">
        <v>88.226242578264404</v>
      </c>
      <c r="AN74">
        <v>1.00000001719425</v>
      </c>
    </row>
    <row r="75" spans="1:40" x14ac:dyDescent="0.25">
      <c r="A75" t="str">
        <f>"20190312163955185"</f>
        <v>20190312163955185</v>
      </c>
      <c r="B75" t="str">
        <f>"1552379995176127"</f>
        <v>1552379995176127</v>
      </c>
      <c r="C75" t="s">
        <v>40</v>
      </c>
      <c r="D75">
        <v>5.2033529999999999</v>
      </c>
      <c r="E75">
        <v>0.50476750000000004</v>
      </c>
      <c r="F75" t="s">
        <v>41</v>
      </c>
      <c r="G75">
        <v>-459.33929999999998</v>
      </c>
      <c r="H75" s="1">
        <v>-8.1249439999999996E-7</v>
      </c>
      <c r="I75">
        <v>367.3553</v>
      </c>
      <c r="J75">
        <v>-474.13099999999997</v>
      </c>
      <c r="K75">
        <v>1.1101760000000001</v>
      </c>
      <c r="L75">
        <v>367.30950000000001</v>
      </c>
      <c r="M75">
        <v>0.99927560000000004</v>
      </c>
      <c r="N75">
        <v>0</v>
      </c>
      <c r="O75">
        <v>3.627259E-2</v>
      </c>
      <c r="P75">
        <v>0.99460700000000002</v>
      </c>
      <c r="Q75">
        <v>0.1036016</v>
      </c>
      <c r="R75">
        <v>4.8860170000000003E-3</v>
      </c>
      <c r="S75">
        <v>3.0392760000000001</v>
      </c>
      <c r="T75">
        <v>-0.2275643</v>
      </c>
      <c r="U75">
        <v>9.765625E-3</v>
      </c>
      <c r="V75">
        <v>3.117023E-2</v>
      </c>
      <c r="W75">
        <v>0.11505369999999999</v>
      </c>
      <c r="X75">
        <v>0.99287009999999998</v>
      </c>
      <c r="Y75">
        <v>3.2870290000000003E-2</v>
      </c>
      <c r="Z75">
        <v>-3.9406329999999998E-3</v>
      </c>
      <c r="AA75">
        <v>0.99945189999999995</v>
      </c>
      <c r="AB75">
        <v>4</v>
      </c>
      <c r="AC75">
        <v>14.791699999999899</v>
      </c>
      <c r="AD75">
        <v>-1.11017681249439</v>
      </c>
      <c r="AE75">
        <v>4.5799999999985602E-2</v>
      </c>
      <c r="AF75">
        <v>0.48804977079956802</v>
      </c>
      <c r="AG75">
        <v>-1.11017681249439</v>
      </c>
      <c r="AH75">
        <v>14.7008156778634</v>
      </c>
      <c r="AI75">
        <v>94.316298787384795</v>
      </c>
      <c r="AJ75">
        <v>88.098545948797593</v>
      </c>
      <c r="AK75">
        <v>14.750751395379501</v>
      </c>
      <c r="AL75">
        <v>83.393277518004595</v>
      </c>
      <c r="AM75">
        <v>88.201843076400806</v>
      </c>
      <c r="AN75">
        <v>0.99999998629797604</v>
      </c>
    </row>
    <row r="76" spans="1:40" x14ac:dyDescent="0.25">
      <c r="A76" t="str">
        <f>"20190312163955206"</f>
        <v>20190312163955206</v>
      </c>
      <c r="B76" t="str">
        <f>"1552379995196619"</f>
        <v>1552379995196619</v>
      </c>
      <c r="C76" t="s">
        <v>40</v>
      </c>
      <c r="D76">
        <v>5.0140630000000002</v>
      </c>
      <c r="E76">
        <v>0.50478509999999999</v>
      </c>
      <c r="F76" t="s">
        <v>41</v>
      </c>
      <c r="G76">
        <v>-459.10829999999999</v>
      </c>
      <c r="H76" s="1">
        <v>-8.9015589999999998E-7</v>
      </c>
      <c r="I76">
        <v>367.35890000000001</v>
      </c>
      <c r="J76">
        <v>-474.09910000000002</v>
      </c>
      <c r="K76">
        <v>1.110366</v>
      </c>
      <c r="L76">
        <v>367.31110000000001</v>
      </c>
      <c r="M76">
        <v>0.9992607</v>
      </c>
      <c r="N76">
        <v>0</v>
      </c>
      <c r="O76">
        <v>3.6580199999999903E-2</v>
      </c>
      <c r="P76">
        <v>0.99471710000000002</v>
      </c>
      <c r="Q76">
        <v>0.1025911</v>
      </c>
      <c r="R76">
        <v>3.5910830000000001E-3</v>
      </c>
      <c r="S76">
        <v>3.0396420000000002</v>
      </c>
      <c r="T76">
        <v>-0.22462799999999999</v>
      </c>
      <c r="U76">
        <v>1.0009769999999999E-2</v>
      </c>
      <c r="V76">
        <v>3.277211E-2</v>
      </c>
      <c r="W76">
        <v>0.1143465</v>
      </c>
      <c r="X76">
        <v>0.99290029999999996</v>
      </c>
      <c r="Y76">
        <v>3.3101730000000003E-2</v>
      </c>
      <c r="Z76">
        <v>-3.9206969999999999E-3</v>
      </c>
      <c r="AA76">
        <v>0.99944429999999995</v>
      </c>
      <c r="AB76">
        <v>4</v>
      </c>
      <c r="AC76">
        <v>14.9908</v>
      </c>
      <c r="AD76">
        <v>-1.1103668901559001</v>
      </c>
      <c r="AE76">
        <v>4.7799999999995103E-2</v>
      </c>
      <c r="AF76">
        <v>0.49790517856130001</v>
      </c>
      <c r="AG76">
        <v>-1.1103668901559001</v>
      </c>
      <c r="AH76">
        <v>14.900764262762999</v>
      </c>
      <c r="AI76">
        <v>94.259290236583396</v>
      </c>
      <c r="AJ76">
        <v>88.086188440670696</v>
      </c>
      <c r="AK76">
        <v>14.950371226562501</v>
      </c>
      <c r="AL76">
        <v>83.434066842625796</v>
      </c>
      <c r="AM76">
        <v>88.109556255146998</v>
      </c>
      <c r="AN76">
        <v>1.0000000694980899</v>
      </c>
    </row>
    <row r="77" spans="1:40" x14ac:dyDescent="0.25">
      <c r="A77" t="str">
        <f>"20190312163955219"</f>
        <v>20190312163955219</v>
      </c>
      <c r="B77" t="str">
        <f>"1552379995206379"</f>
        <v>1552379995206379</v>
      </c>
      <c r="C77" t="s">
        <v>40</v>
      </c>
      <c r="D77">
        <v>5.0744819999999997</v>
      </c>
      <c r="E77">
        <v>0.50480930000000002</v>
      </c>
      <c r="F77" t="s">
        <v>41</v>
      </c>
      <c r="G77">
        <v>-459.31979999999999</v>
      </c>
      <c r="H77" s="1">
        <v>-8.2296049999999997E-7</v>
      </c>
      <c r="I77">
        <v>367.34100000000001</v>
      </c>
      <c r="J77">
        <v>-474.0822</v>
      </c>
      <c r="K77">
        <v>1.1105689999999999</v>
      </c>
      <c r="L77">
        <v>367.31200000000001</v>
      </c>
      <c r="M77">
        <v>0.99924809999999997</v>
      </c>
      <c r="N77">
        <v>0</v>
      </c>
      <c r="O77">
        <v>3.6714289999999997E-2</v>
      </c>
      <c r="P77">
        <v>0.99477309999999997</v>
      </c>
      <c r="Q77">
        <v>0.10206460000000001</v>
      </c>
      <c r="R77">
        <v>3.0961389999999999E-3</v>
      </c>
      <c r="S77">
        <v>3.0394899999999998</v>
      </c>
      <c r="T77">
        <v>-0.22835510000000001</v>
      </c>
      <c r="U77">
        <v>6.1645509999999999E-3</v>
      </c>
      <c r="V77">
        <v>3.3407930000000002E-2</v>
      </c>
      <c r="W77">
        <v>0.114454</v>
      </c>
      <c r="X77">
        <v>0.99286660000000004</v>
      </c>
      <c r="Y77">
        <v>3.4489649999999997E-2</v>
      </c>
      <c r="Z77">
        <v>-4.0479309999999899E-3</v>
      </c>
      <c r="AA77">
        <v>0.99939690000000003</v>
      </c>
      <c r="AB77">
        <v>4</v>
      </c>
      <c r="AC77">
        <v>14.7624</v>
      </c>
      <c r="AD77">
        <v>-1.1105698229604899</v>
      </c>
      <c r="AE77">
        <v>2.9000000000053199E-2</v>
      </c>
      <c r="AF77">
        <v>0.51016541050596897</v>
      </c>
      <c r="AG77">
        <v>-1.1105698229604899</v>
      </c>
      <c r="AH77">
        <v>14.6704832586914</v>
      </c>
      <c r="AI77">
        <v>94.326483970519405</v>
      </c>
      <c r="AJ77">
        <v>88.008344361806195</v>
      </c>
      <c r="AK77">
        <v>14.721301339259799</v>
      </c>
      <c r="AL77">
        <v>83.427866031205099</v>
      </c>
      <c r="AM77">
        <v>88.072841308859694</v>
      </c>
      <c r="AN77">
        <v>0.99999994664922098</v>
      </c>
    </row>
    <row r="78" spans="1:40" x14ac:dyDescent="0.25">
      <c r="A78" t="str">
        <f>"20190312163955240"</f>
        <v>20190312163955240</v>
      </c>
      <c r="B78" t="str">
        <f>"1552379995236635"</f>
        <v>1552379995236635</v>
      </c>
      <c r="C78" t="s">
        <v>40</v>
      </c>
      <c r="D78">
        <v>5.0258430000000001</v>
      </c>
      <c r="E78">
        <v>0.50485179999999996</v>
      </c>
      <c r="F78" t="s">
        <v>41</v>
      </c>
      <c r="G78">
        <v>-459.41469999999998</v>
      </c>
      <c r="H78" s="1">
        <v>-7.9237189999999995E-7</v>
      </c>
      <c r="I78">
        <v>367.33449999999999</v>
      </c>
      <c r="J78">
        <v>-474.05540000000002</v>
      </c>
      <c r="K78">
        <v>1.110941</v>
      </c>
      <c r="L78">
        <v>367.3134</v>
      </c>
      <c r="M78">
        <v>0.99922060000000001</v>
      </c>
      <c r="N78">
        <v>0</v>
      </c>
      <c r="O78">
        <v>3.6883810000000003E-2</v>
      </c>
      <c r="P78">
        <v>0.99501039999999996</v>
      </c>
      <c r="Q78">
        <v>9.9753679999999997E-2</v>
      </c>
      <c r="R78">
        <v>1.8521270000000001E-3</v>
      </c>
      <c r="S78">
        <v>3.0393680000000001</v>
      </c>
      <c r="T78">
        <v>-0.23012940000000001</v>
      </c>
      <c r="U78">
        <v>4.6691889999999998E-3</v>
      </c>
      <c r="V78">
        <v>3.4850779999999998E-2</v>
      </c>
      <c r="W78">
        <v>0.1137287</v>
      </c>
      <c r="X78">
        <v>0.99290040000000002</v>
      </c>
      <c r="Y78">
        <v>3.5146080000000003E-2</v>
      </c>
      <c r="Z78">
        <v>-4.1171510000000003E-3</v>
      </c>
      <c r="AA78">
        <v>0.99937370000000003</v>
      </c>
      <c r="AB78">
        <v>3</v>
      </c>
      <c r="AC78">
        <v>14.640700000000001</v>
      </c>
      <c r="AD78">
        <v>-1.1109417923718901</v>
      </c>
      <c r="AE78">
        <v>2.1099999999989901E-2</v>
      </c>
      <c r="AF78">
        <v>0.51600152191434601</v>
      </c>
      <c r="AG78">
        <v>-1.1109417923718901</v>
      </c>
      <c r="AH78">
        <v>14.5477509278425</v>
      </c>
      <c r="AI78">
        <v>94.364193786099705</v>
      </c>
      <c r="AJ78">
        <v>87.968598678129595</v>
      </c>
      <c r="AK78">
        <v>14.599229647320399</v>
      </c>
      <c r="AL78">
        <v>83.469696145312</v>
      </c>
      <c r="AM78">
        <v>87.989744805644094</v>
      </c>
      <c r="AN78">
        <v>0.99999999919522897</v>
      </c>
    </row>
    <row r="79" spans="1:40" x14ac:dyDescent="0.25">
      <c r="A79" t="str">
        <f>"20190312163955253"</f>
        <v>20190312163955253</v>
      </c>
      <c r="B79" t="str">
        <f>"1552379995246395"</f>
        <v>1552379995246395</v>
      </c>
      <c r="C79" t="s">
        <v>40</v>
      </c>
      <c r="D79">
        <v>5.145937</v>
      </c>
      <c r="E79">
        <v>0.50487510000000002</v>
      </c>
      <c r="F79" t="s">
        <v>41</v>
      </c>
      <c r="G79">
        <v>-459.8218</v>
      </c>
      <c r="H79" s="1">
        <v>-6.59826E-7</v>
      </c>
      <c r="I79">
        <v>367.31200000000001</v>
      </c>
      <c r="J79">
        <v>-474.04050000000001</v>
      </c>
      <c r="K79">
        <v>1.1111219999999999</v>
      </c>
      <c r="L79">
        <v>367.3141</v>
      </c>
      <c r="M79">
        <v>0.99920299999999995</v>
      </c>
      <c r="N79">
        <v>0</v>
      </c>
      <c r="O79">
        <v>3.6968470000000003E-2</v>
      </c>
      <c r="P79">
        <v>0.99514559999999996</v>
      </c>
      <c r="Q79">
        <v>9.8412600000000003E-2</v>
      </c>
      <c r="R79">
        <v>7.4613649999999995E-4</v>
      </c>
      <c r="S79">
        <v>3.0388489999999999</v>
      </c>
      <c r="T79">
        <v>-0.2371819</v>
      </c>
      <c r="U79">
        <v>-2.7465820000000001E-4</v>
      </c>
      <c r="V79">
        <v>3.6060210000000002E-2</v>
      </c>
      <c r="W79">
        <v>0.1133758</v>
      </c>
      <c r="X79">
        <v>0.99289760000000005</v>
      </c>
      <c r="Y79">
        <v>3.6838540000000003E-2</v>
      </c>
      <c r="Z79">
        <v>-4.3162790000000001E-3</v>
      </c>
      <c r="AA79">
        <v>0.99931190000000003</v>
      </c>
      <c r="AB79">
        <v>3</v>
      </c>
      <c r="AC79">
        <v>14.2187</v>
      </c>
      <c r="AD79">
        <v>-1.111122659826</v>
      </c>
      <c r="AE79">
        <v>-2.1000000000412902E-3</v>
      </c>
      <c r="AF79">
        <v>0.52459819329976698</v>
      </c>
      <c r="AG79">
        <v>-1.111122659826</v>
      </c>
      <c r="AH79">
        <v>14.122658343818101</v>
      </c>
      <c r="AI79">
        <v>94.495482333420995</v>
      </c>
      <c r="AJ79">
        <v>87.8726774635862</v>
      </c>
      <c r="AK79">
        <v>14.176010564535</v>
      </c>
      <c r="AL79">
        <v>83.490047642381896</v>
      </c>
      <c r="AM79">
        <v>87.920037112171698</v>
      </c>
      <c r="AN79">
        <v>1.0000000274283201</v>
      </c>
    </row>
    <row r="80" spans="1:40" x14ac:dyDescent="0.25">
      <c r="A80" t="str">
        <f>"20190312163955286"</f>
        <v>20190312163955286</v>
      </c>
      <c r="B80" t="str">
        <f>"1552379995276651"</f>
        <v>1552379995276651</v>
      </c>
      <c r="C80" t="s">
        <v>40</v>
      </c>
      <c r="D80">
        <v>5.109305</v>
      </c>
      <c r="E80">
        <v>0.50499659999999902</v>
      </c>
      <c r="F80" t="s">
        <v>41</v>
      </c>
      <c r="G80">
        <v>-460.04259999999999</v>
      </c>
      <c r="H80" s="1">
        <v>-4.6659149999999999E-6</v>
      </c>
      <c r="I80">
        <v>367.29399999999998</v>
      </c>
      <c r="J80">
        <v>-474.00139999999999</v>
      </c>
      <c r="K80">
        <v>1.1110899999999999</v>
      </c>
      <c r="L80">
        <v>367.3159</v>
      </c>
      <c r="M80">
        <v>0.9991797</v>
      </c>
      <c r="N80">
        <v>0</v>
      </c>
      <c r="O80">
        <v>3.733272E-2</v>
      </c>
      <c r="P80">
        <v>0.99524520000000005</v>
      </c>
      <c r="Q80">
        <v>9.7399760000000002E-2</v>
      </c>
      <c r="R80">
        <v>-8.1640249999999999E-4</v>
      </c>
      <c r="S80">
        <v>3.0384829999999998</v>
      </c>
      <c r="T80">
        <v>-0.2411877</v>
      </c>
      <c r="U80">
        <v>-4.333496E-3</v>
      </c>
      <c r="V80">
        <v>3.7998400000000002E-2</v>
      </c>
      <c r="W80">
        <v>0.1129845</v>
      </c>
      <c r="X80">
        <v>0.99286989999999997</v>
      </c>
      <c r="Y80">
        <v>3.85239E-2</v>
      </c>
      <c r="Z80">
        <v>-4.4851639999999998E-3</v>
      </c>
      <c r="AA80">
        <v>0.99924760000000001</v>
      </c>
      <c r="AB80">
        <v>3</v>
      </c>
      <c r="AC80">
        <v>13.958799999999901</v>
      </c>
      <c r="AD80">
        <v>-1.1110946659149901</v>
      </c>
      <c r="AE80">
        <v>-2.1899999999959601E-2</v>
      </c>
      <c r="AF80">
        <v>0.53964972224238705</v>
      </c>
      <c r="AG80">
        <v>-1.1110946659149901</v>
      </c>
      <c r="AH80">
        <v>13.8604314960781</v>
      </c>
      <c r="AI80">
        <v>94.579749512518802</v>
      </c>
      <c r="AJ80">
        <v>87.770340554785093</v>
      </c>
      <c r="AK80">
        <v>13.915362533431001</v>
      </c>
      <c r="AL80">
        <v>83.512612337921993</v>
      </c>
      <c r="AM80">
        <v>87.808286934731598</v>
      </c>
      <c r="AN80">
        <v>1.0000000069844099</v>
      </c>
    </row>
    <row r="81" spans="1:40" x14ac:dyDescent="0.25">
      <c r="A81" t="str">
        <f>"20190312163955308"</f>
        <v>20190312163955308</v>
      </c>
      <c r="B81" t="str">
        <f>"1552379995296175"</f>
        <v>1552379995296175</v>
      </c>
      <c r="C81" t="s">
        <v>40</v>
      </c>
      <c r="D81">
        <v>5.2673709999999998</v>
      </c>
      <c r="E81">
        <v>0.50510379999999999</v>
      </c>
      <c r="F81" t="s">
        <v>41</v>
      </c>
      <c r="G81">
        <v>-460.20249999999999</v>
      </c>
      <c r="H81" s="1">
        <v>-4.6017840000000001E-6</v>
      </c>
      <c r="I81">
        <v>367.26900000000001</v>
      </c>
      <c r="J81">
        <v>-473.96940000000001</v>
      </c>
      <c r="K81">
        <v>1.1106400000000001</v>
      </c>
      <c r="L81">
        <v>367.31740000000002</v>
      </c>
      <c r="M81">
        <v>0.99918879999999999</v>
      </c>
      <c r="N81">
        <v>0</v>
      </c>
      <c r="O81">
        <v>3.7716199999999998E-2</v>
      </c>
      <c r="P81">
        <v>0.99509970000000003</v>
      </c>
      <c r="Q81">
        <v>9.8868880000000006E-2</v>
      </c>
      <c r="R81">
        <v>-1.195556E-3</v>
      </c>
      <c r="S81">
        <v>3.0383</v>
      </c>
      <c r="T81">
        <v>-0.24464369999999999</v>
      </c>
      <c r="U81">
        <v>-1.031494E-2</v>
      </c>
      <c r="V81">
        <v>3.873356E-2</v>
      </c>
      <c r="W81">
        <v>0.11289349999999999</v>
      </c>
      <c r="X81">
        <v>0.99285190000000001</v>
      </c>
      <c r="Y81">
        <v>4.0857999999999998E-2</v>
      </c>
      <c r="Z81">
        <v>-4.6740810000000001E-3</v>
      </c>
      <c r="AA81">
        <v>0.99915399999999999</v>
      </c>
      <c r="AB81">
        <v>3</v>
      </c>
      <c r="AC81">
        <v>13.7669</v>
      </c>
      <c r="AD81">
        <v>-1.1106446017839999</v>
      </c>
      <c r="AE81">
        <v>-4.8400000000015098E-2</v>
      </c>
      <c r="AF81">
        <v>0.56398183625725895</v>
      </c>
      <c r="AG81">
        <v>-1.1106446017839999</v>
      </c>
      <c r="AH81">
        <v>13.666331524294</v>
      </c>
      <c r="AI81">
        <v>94.642207210804798</v>
      </c>
      <c r="AJ81">
        <v>87.636860070669698</v>
      </c>
      <c r="AK81">
        <v>13.7229816102409</v>
      </c>
      <c r="AL81">
        <v>83.517860193448499</v>
      </c>
      <c r="AM81">
        <v>87.765885673519506</v>
      </c>
      <c r="AN81">
        <v>1.0000000631730599</v>
      </c>
    </row>
    <row r="82" spans="1:40" x14ac:dyDescent="0.25">
      <c r="A82" t="str">
        <f>"20190312163955330"</f>
        <v>20190312163955330</v>
      </c>
      <c r="B82" t="str">
        <f>"1552379995326427"</f>
        <v>1552379995326427</v>
      </c>
      <c r="C82" t="s">
        <v>40</v>
      </c>
      <c r="D82">
        <v>5.0428300000000004</v>
      </c>
      <c r="E82">
        <v>0.50518169999999996</v>
      </c>
      <c r="F82" t="s">
        <v>42</v>
      </c>
      <c r="G82">
        <v>-473.20679999999999</v>
      </c>
      <c r="H82">
        <v>1.050365</v>
      </c>
      <c r="I82">
        <v>367.3141</v>
      </c>
      <c r="J82">
        <v>-473.93419999999998</v>
      </c>
      <c r="K82">
        <v>1.1102479999999999</v>
      </c>
      <c r="L82">
        <v>367.31909999999999</v>
      </c>
      <c r="M82">
        <v>0.99919400000000003</v>
      </c>
      <c r="N82">
        <v>0</v>
      </c>
      <c r="O82">
        <v>3.8206810000000001E-2</v>
      </c>
      <c r="P82">
        <v>0.99486520000000001</v>
      </c>
      <c r="Q82">
        <v>0.101206</v>
      </c>
      <c r="R82">
        <v>-9.3708699999999997E-4</v>
      </c>
      <c r="S82">
        <v>3.0386660000000001</v>
      </c>
      <c r="T82">
        <v>-0.2405101</v>
      </c>
      <c r="U82">
        <v>-1.208496E-2</v>
      </c>
      <c r="V82">
        <v>3.8930449999999998E-2</v>
      </c>
      <c r="W82">
        <v>0.113458199999999</v>
      </c>
      <c r="X82">
        <v>0.99277969999999904</v>
      </c>
      <c r="Y82">
        <v>4.193293E-2</v>
      </c>
      <c r="Z82">
        <v>-4.675963E-3</v>
      </c>
      <c r="AA82">
        <v>0.99910949999999998</v>
      </c>
      <c r="AB82">
        <v>3</v>
      </c>
      <c r="AC82">
        <v>0.72739999999998795</v>
      </c>
      <c r="AD82">
        <v>-5.9882999999999902E-2</v>
      </c>
      <c r="AE82">
        <v>-4.9999999999954499E-3</v>
      </c>
      <c r="AF82">
        <v>3.2569365155233301E-2</v>
      </c>
      <c r="AG82">
        <v>-5.9882999999999902E-2</v>
      </c>
      <c r="AH82">
        <v>0.72178618902818203</v>
      </c>
      <c r="AI82">
        <v>94.737884351462895</v>
      </c>
      <c r="AJ82">
        <v>87.416378675600299</v>
      </c>
      <c r="AK82">
        <v>0.72499795855398197</v>
      </c>
      <c r="AL82">
        <v>83.485295223230395</v>
      </c>
      <c r="AM82">
        <v>87.754377709805198</v>
      </c>
      <c r="AN82">
        <v>0.99999993790826402</v>
      </c>
    </row>
    <row r="83" spans="1:40" x14ac:dyDescent="0.25">
      <c r="A83" t="str">
        <f>"20190312163955353"</f>
        <v>20190312163955353</v>
      </c>
      <c r="B83" t="str">
        <f>"1552379995346923"</f>
        <v>1552379995346923</v>
      </c>
      <c r="C83" t="s">
        <v>40</v>
      </c>
      <c r="D83">
        <v>5.080794</v>
      </c>
      <c r="E83">
        <v>0.50522259999999997</v>
      </c>
      <c r="F83" t="s">
        <v>41</v>
      </c>
      <c r="G83">
        <v>-459.495</v>
      </c>
      <c r="H83" s="1">
        <v>-7.8358570000000001E-7</v>
      </c>
      <c r="I83">
        <v>367.26479999999998</v>
      </c>
      <c r="J83">
        <v>-473.8974</v>
      </c>
      <c r="K83">
        <v>1.110144</v>
      </c>
      <c r="L83">
        <v>367.32100000000003</v>
      </c>
      <c r="M83">
        <v>0.99918739999999995</v>
      </c>
      <c r="N83">
        <v>0</v>
      </c>
      <c r="O83">
        <v>3.8676500000000003E-2</v>
      </c>
      <c r="P83">
        <v>0.99477159999999998</v>
      </c>
      <c r="Q83">
        <v>0.10212599999999999</v>
      </c>
      <c r="R83">
        <v>-4.5522999999999999E-4</v>
      </c>
      <c r="S83">
        <v>3.039215</v>
      </c>
      <c r="T83">
        <v>-0.23368839999999999</v>
      </c>
      <c r="U83">
        <v>-1.141357E-2</v>
      </c>
      <c r="V83">
        <v>3.8895109999999997E-2</v>
      </c>
      <c r="W83">
        <v>0.1134218</v>
      </c>
      <c r="X83">
        <v>0.99278529999999998</v>
      </c>
      <c r="Y83">
        <v>4.2192639999999997E-2</v>
      </c>
      <c r="Z83">
        <v>-4.5888930000000001E-3</v>
      </c>
      <c r="AA83">
        <v>0.99909899999999996</v>
      </c>
      <c r="AB83">
        <v>4</v>
      </c>
      <c r="AC83">
        <v>14.4024</v>
      </c>
      <c r="AD83">
        <v>-1.1101447835856999</v>
      </c>
      <c r="AE83">
        <v>-5.61999999999898E-2</v>
      </c>
      <c r="AF83">
        <v>0.60960634223455901</v>
      </c>
      <c r="AG83">
        <v>-1.1101447835856999</v>
      </c>
      <c r="AH83">
        <v>14.304461378301299</v>
      </c>
      <c r="AI83">
        <v>94.433723869572702</v>
      </c>
      <c r="AJ83">
        <v>87.559729953685903</v>
      </c>
      <c r="AK83">
        <v>14.360419793875399</v>
      </c>
      <c r="AL83">
        <v>83.487394700827295</v>
      </c>
      <c r="AM83">
        <v>87.756426782746601</v>
      </c>
      <c r="AN83">
        <v>0.99999999309662102</v>
      </c>
    </row>
    <row r="84" spans="1:40" x14ac:dyDescent="0.25">
      <c r="A84" t="str">
        <f>"20190312163955375"</f>
        <v>20190312163955375</v>
      </c>
      <c r="B84" t="str">
        <f>"1552379995366447"</f>
        <v>1552379995366447</v>
      </c>
      <c r="C84" t="s">
        <v>40</v>
      </c>
      <c r="D84">
        <v>5.0399459999999996</v>
      </c>
      <c r="E84">
        <v>0.52583809999999997</v>
      </c>
      <c r="F84" t="s">
        <v>41</v>
      </c>
      <c r="G84">
        <v>-459.28320000000002</v>
      </c>
      <c r="H84" s="1">
        <v>-8.5361999999999999E-7</v>
      </c>
      <c r="I84">
        <v>367.27249999999998</v>
      </c>
      <c r="J84">
        <v>-473.86680000000001</v>
      </c>
      <c r="K84">
        <v>1.110425</v>
      </c>
      <c r="L84">
        <v>367.3227</v>
      </c>
      <c r="M84">
        <v>0.99916769999999999</v>
      </c>
      <c r="N84">
        <v>0</v>
      </c>
      <c r="O84">
        <v>3.8976009999999998E-2</v>
      </c>
      <c r="P84">
        <v>0.9948053</v>
      </c>
      <c r="Q84">
        <v>0.1017948</v>
      </c>
      <c r="R84">
        <v>6.4269689999999998E-4</v>
      </c>
      <c r="S84">
        <v>3.0394290000000002</v>
      </c>
      <c r="T84">
        <v>-0.23088410000000001</v>
      </c>
      <c r="U84">
        <v>-1.00708E-2</v>
      </c>
      <c r="V84">
        <v>3.8102909999999997E-2</v>
      </c>
      <c r="W84">
        <v>0.1137624</v>
      </c>
      <c r="X84">
        <v>0.99277700000000002</v>
      </c>
      <c r="Y84">
        <v>4.2056040000000003E-2</v>
      </c>
      <c r="Z84">
        <v>-4.5512149999999999E-3</v>
      </c>
      <c r="AA84">
        <v>0.99910489999999996</v>
      </c>
      <c r="AB84">
        <v>4</v>
      </c>
      <c r="AC84">
        <v>14.583599999999899</v>
      </c>
      <c r="AD84">
        <v>-1.11042585362</v>
      </c>
      <c r="AE84">
        <v>-5.0200000000018001E-2</v>
      </c>
      <c r="AF84">
        <v>0.61504777024627599</v>
      </c>
      <c r="AG84">
        <v>-1.11042585362</v>
      </c>
      <c r="AH84">
        <v>14.48657362636</v>
      </c>
      <c r="AI84">
        <v>94.379338978579696</v>
      </c>
      <c r="AJ84">
        <v>87.568887473180993</v>
      </c>
      <c r="AK84">
        <v>14.5420818581117</v>
      </c>
      <c r="AL84">
        <v>83.4677522992191</v>
      </c>
      <c r="AM84">
        <v>87.802059342796497</v>
      </c>
      <c r="AN84">
        <v>0.99999994356661204</v>
      </c>
    </row>
    <row r="85" spans="1:40" x14ac:dyDescent="0.25">
      <c r="A85" t="str">
        <f>"20190312163955396"</f>
        <v>20190312163955396</v>
      </c>
      <c r="B85" t="str">
        <f>"1552379995385963"</f>
        <v>1552379995385963</v>
      </c>
      <c r="C85" t="s">
        <v>40</v>
      </c>
      <c r="D85">
        <v>5.272818</v>
      </c>
      <c r="E85">
        <v>0.53033200000000003</v>
      </c>
      <c r="F85" t="s">
        <v>42</v>
      </c>
      <c r="G85">
        <v>-473.13159999999999</v>
      </c>
      <c r="H85">
        <v>1.0420700000000001</v>
      </c>
      <c r="I85">
        <v>367.28179999999998</v>
      </c>
      <c r="J85">
        <v>-473.8408</v>
      </c>
      <c r="K85">
        <v>1.1108049999999901</v>
      </c>
      <c r="L85">
        <v>367.32420000000002</v>
      </c>
      <c r="M85">
        <v>0.99914119999999995</v>
      </c>
      <c r="N85">
        <v>0</v>
      </c>
      <c r="O85">
        <v>3.91776E-2</v>
      </c>
      <c r="P85">
        <v>0.99494740000000004</v>
      </c>
      <c r="Q85">
        <v>0.1003955</v>
      </c>
      <c r="R85">
        <v>6.3500739999999996E-4</v>
      </c>
      <c r="S85">
        <v>3.0448</v>
      </c>
      <c r="T85">
        <v>-0.28371479999999999</v>
      </c>
      <c r="U85">
        <v>-0.16760249999999999</v>
      </c>
      <c r="V85">
        <v>3.8338339999999999E-2</v>
      </c>
      <c r="W85">
        <v>0.1138102</v>
      </c>
      <c r="X85">
        <v>0.99276249999999999</v>
      </c>
      <c r="Y85">
        <v>9.3468889999999999E-2</v>
      </c>
      <c r="Z85">
        <v>-7.9825989999999999E-3</v>
      </c>
      <c r="AA85">
        <v>0.99559019999999998</v>
      </c>
      <c r="AB85">
        <v>4</v>
      </c>
      <c r="AC85">
        <v>0.70920000000000905</v>
      </c>
      <c r="AD85">
        <v>-6.8734999999999699E-2</v>
      </c>
      <c r="AE85">
        <v>-4.2400000000043202E-2</v>
      </c>
      <c r="AF85">
        <v>6.9504175760601597E-2</v>
      </c>
      <c r="AG85">
        <v>-6.8734999999999699E-2</v>
      </c>
      <c r="AH85">
        <v>0.70043814466405296</v>
      </c>
      <c r="AI85">
        <v>95.577355243028094</v>
      </c>
      <c r="AJ85">
        <v>84.333115534024103</v>
      </c>
      <c r="AK85">
        <v>0.70722621923510498</v>
      </c>
      <c r="AL85">
        <v>83.464995933453807</v>
      </c>
      <c r="AM85">
        <v>87.788459896544893</v>
      </c>
      <c r="AN85">
        <v>0.999999985672122</v>
      </c>
    </row>
    <row r="86" spans="1:40" x14ac:dyDescent="0.25">
      <c r="A86" t="str">
        <f>"20190312163955419"</f>
        <v>20190312163955419</v>
      </c>
      <c r="B86" t="str">
        <f>"1552379995416220"</f>
        <v>1552379995416220</v>
      </c>
      <c r="C86" t="s">
        <v>40</v>
      </c>
      <c r="D86">
        <v>5.3569950000000004</v>
      </c>
      <c r="E86">
        <v>0.532516199999999</v>
      </c>
      <c r="F86" t="s">
        <v>42</v>
      </c>
      <c r="G86">
        <v>-473.1148</v>
      </c>
      <c r="H86">
        <v>1.0261929999999999</v>
      </c>
      <c r="I86">
        <v>367.27659999999997</v>
      </c>
      <c r="J86">
        <v>-473.81670000000003</v>
      </c>
      <c r="K86">
        <v>1.111127</v>
      </c>
      <c r="L86">
        <v>367.32549999999998</v>
      </c>
      <c r="M86">
        <v>0.99911119999999998</v>
      </c>
      <c r="N86">
        <v>0</v>
      </c>
      <c r="O86">
        <v>3.933379E-2</v>
      </c>
      <c r="P86">
        <v>0.99516079999999996</v>
      </c>
      <c r="Q86">
        <v>9.8260449999999999E-2</v>
      </c>
      <c r="R86">
        <v>4.5339529999999999E-4</v>
      </c>
      <c r="S86">
        <v>3.0512700000000001</v>
      </c>
      <c r="T86">
        <v>-0.35589280000000001</v>
      </c>
      <c r="U86">
        <v>-0.1991272</v>
      </c>
      <c r="V86">
        <v>3.8710880000000003E-2</v>
      </c>
      <c r="W86">
        <v>0.1133152</v>
      </c>
      <c r="X86">
        <v>0.99280469999999998</v>
      </c>
      <c r="Y86">
        <v>0.1033625</v>
      </c>
      <c r="Z86">
        <v>-1.056988E-2</v>
      </c>
      <c r="AA86">
        <v>0.99458760000000002</v>
      </c>
      <c r="AB86">
        <v>3</v>
      </c>
      <c r="AC86">
        <v>0.70190000000002295</v>
      </c>
      <c r="AD86">
        <v>-8.4933999999999801E-2</v>
      </c>
      <c r="AE86">
        <v>-4.8900000000003198E-2</v>
      </c>
      <c r="AF86">
        <v>7.5375360739757494E-2</v>
      </c>
      <c r="AG86">
        <v>-8.4933999999999801E-2</v>
      </c>
      <c r="AH86">
        <v>0.68938751082147398</v>
      </c>
      <c r="AI86">
        <v>96.982370583442602</v>
      </c>
      <c r="AJ86">
        <v>83.760253714463204</v>
      </c>
      <c r="AK86">
        <v>0.69867758618641596</v>
      </c>
      <c r="AL86">
        <v>83.493542235890999</v>
      </c>
      <c r="AM86">
        <v>87.767086464738696</v>
      </c>
      <c r="AN86">
        <v>1.00000001956175</v>
      </c>
    </row>
    <row r="87" spans="1:40" x14ac:dyDescent="0.25">
      <c r="A87" t="str">
        <f>"20190312163955441"</f>
        <v>20190312163955441</v>
      </c>
      <c r="B87" t="str">
        <f>"1552379995436715"</f>
        <v>1552379995436715</v>
      </c>
      <c r="C87" t="s">
        <v>40</v>
      </c>
      <c r="D87">
        <v>5.0108489999999897</v>
      </c>
      <c r="E87">
        <v>0.53301319999999996</v>
      </c>
      <c r="F87" t="s">
        <v>42</v>
      </c>
      <c r="G87">
        <v>-473.07830000000001</v>
      </c>
      <c r="H87">
        <v>1.011949</v>
      </c>
      <c r="I87">
        <v>367.27350000000001</v>
      </c>
      <c r="J87">
        <v>-473.79109999999997</v>
      </c>
      <c r="K87">
        <v>1.1111359999999999</v>
      </c>
      <c r="L87">
        <v>367.32670000000002</v>
      </c>
      <c r="M87">
        <v>0.9990926</v>
      </c>
      <c r="N87">
        <v>0</v>
      </c>
      <c r="O87">
        <v>3.956966E-2</v>
      </c>
      <c r="P87">
        <v>0.99532160000000003</v>
      </c>
      <c r="Q87">
        <v>9.661604E-2</v>
      </c>
      <c r="R87">
        <v>-2.7928829999999998E-4</v>
      </c>
      <c r="S87">
        <v>3.0552060000000001</v>
      </c>
      <c r="T87">
        <v>-0.4105916</v>
      </c>
      <c r="U87">
        <v>-0.21463009999999999</v>
      </c>
      <c r="V87">
        <v>3.9696210000000003E-2</v>
      </c>
      <c r="W87">
        <v>0.1122638</v>
      </c>
      <c r="X87">
        <v>0.99288520000000002</v>
      </c>
      <c r="Y87">
        <v>0.1081777</v>
      </c>
      <c r="Z87">
        <v>-1.251675E-2</v>
      </c>
      <c r="AA87">
        <v>0.99405279999999996</v>
      </c>
      <c r="AB87">
        <v>2</v>
      </c>
      <c r="AC87">
        <v>0.71279999999995802</v>
      </c>
      <c r="AD87">
        <v>-9.9187000000000095E-2</v>
      </c>
      <c r="AE87">
        <v>-5.3200000000003897E-2</v>
      </c>
      <c r="AF87">
        <v>7.9829890350404206E-2</v>
      </c>
      <c r="AG87">
        <v>-9.9187000000000095E-2</v>
      </c>
      <c r="AH87">
        <v>0.696720329814977</v>
      </c>
      <c r="AI87">
        <v>98.050363574278094</v>
      </c>
      <c r="AJ87">
        <v>83.463581245908699</v>
      </c>
      <c r="AK87">
        <v>0.70825849118796103</v>
      </c>
      <c r="AL87">
        <v>83.554169668124601</v>
      </c>
      <c r="AM87">
        <v>87.710496034973801</v>
      </c>
      <c r="AN87">
        <v>0.99999998512892196</v>
      </c>
    </row>
    <row r="88" spans="1:40" x14ac:dyDescent="0.25">
      <c r="A88" t="str">
        <f>"20190312163955464"</f>
        <v>20190312163955464</v>
      </c>
      <c r="B88" t="str">
        <f>"1552379995456236"</f>
        <v>1552379995456236</v>
      </c>
      <c r="C88" t="s">
        <v>40</v>
      </c>
      <c r="D88">
        <v>6.0233460000000001</v>
      </c>
      <c r="E88">
        <v>0.53371099999999905</v>
      </c>
      <c r="F88" t="s">
        <v>42</v>
      </c>
      <c r="G88">
        <v>-473.05430000000001</v>
      </c>
      <c r="H88">
        <v>1.0075780000000001</v>
      </c>
      <c r="I88">
        <v>367.27289999999999</v>
      </c>
      <c r="J88">
        <v>-473.76069999999999</v>
      </c>
      <c r="K88">
        <v>1.1106929999999999</v>
      </c>
      <c r="L88">
        <v>367.32819999999998</v>
      </c>
      <c r="M88">
        <v>0.9991004</v>
      </c>
      <c r="N88">
        <v>0</v>
      </c>
      <c r="O88">
        <v>3.9915890000000002E-2</v>
      </c>
      <c r="P88">
        <v>0.99527120000000002</v>
      </c>
      <c r="Q88">
        <v>9.7130869999999994E-2</v>
      </c>
      <c r="R88">
        <v>-8.8493009999999995E-4</v>
      </c>
      <c r="S88">
        <v>3.055847</v>
      </c>
      <c r="T88">
        <v>-0.43022319999999997</v>
      </c>
      <c r="U88">
        <v>-0.22079470000000001</v>
      </c>
      <c r="V88">
        <v>4.062731E-2</v>
      </c>
      <c r="W88">
        <v>0.11135879999999999</v>
      </c>
      <c r="X88">
        <v>0.99294950000000004</v>
      </c>
      <c r="Y88">
        <v>0.1103489</v>
      </c>
      <c r="Z88">
        <v>-1.3306159999999999E-2</v>
      </c>
      <c r="AA88">
        <v>0.99380389999999996</v>
      </c>
      <c r="AB88">
        <v>2</v>
      </c>
      <c r="AC88">
        <v>0.70639999999997305</v>
      </c>
      <c r="AD88">
        <v>-0.103114999999999</v>
      </c>
      <c r="AE88">
        <v>-5.5299999999988303E-2</v>
      </c>
      <c r="AF88">
        <v>8.1724616462779301E-2</v>
      </c>
      <c r="AG88">
        <v>-0.103114999999999</v>
      </c>
      <c r="AH88">
        <v>0.68903678540560498</v>
      </c>
      <c r="AI88">
        <v>98.452821689355105</v>
      </c>
      <c r="AJ88">
        <v>83.235917036524299</v>
      </c>
      <c r="AK88">
        <v>0.70148649866057899</v>
      </c>
      <c r="AL88">
        <v>83.606349868263294</v>
      </c>
      <c r="AM88">
        <v>87.657004990899097</v>
      </c>
      <c r="AN88">
        <v>1.00000003510276</v>
      </c>
    </row>
    <row r="89" spans="1:40" x14ac:dyDescent="0.25">
      <c r="A89" t="str">
        <f>"20190312163955486"</f>
        <v>20190312163955486</v>
      </c>
      <c r="B89" t="str">
        <f>"1552379995476731"</f>
        <v>1552379995476731</v>
      </c>
      <c r="C89" t="s">
        <v>40</v>
      </c>
      <c r="D89">
        <v>5.113283</v>
      </c>
      <c r="E89">
        <v>0.53399090000000005</v>
      </c>
      <c r="F89" t="s">
        <v>42</v>
      </c>
      <c r="G89">
        <v>-473.02620000000002</v>
      </c>
      <c r="H89">
        <v>1.0047600000000001</v>
      </c>
      <c r="I89">
        <v>367.27339999999998</v>
      </c>
      <c r="J89">
        <v>-473.72669999999999</v>
      </c>
      <c r="K89">
        <v>1.110252</v>
      </c>
      <c r="L89">
        <v>367.32990000000001</v>
      </c>
      <c r="M89">
        <v>0.99910650000000001</v>
      </c>
      <c r="N89">
        <v>0</v>
      </c>
      <c r="O89">
        <v>4.0384339999999998E-2</v>
      </c>
      <c r="P89">
        <v>0.99513949999999995</v>
      </c>
      <c r="Q89">
        <v>9.8462980000000005E-2</v>
      </c>
      <c r="R89">
        <v>-1.6331989999999999E-3</v>
      </c>
      <c r="S89">
        <v>3.0571290000000002</v>
      </c>
      <c r="T89">
        <v>-0.44097170000000002</v>
      </c>
      <c r="U89">
        <v>-0.2274475</v>
      </c>
      <c r="V89">
        <v>4.1812469999999997E-2</v>
      </c>
      <c r="W89">
        <v>0.1108522</v>
      </c>
      <c r="X89">
        <v>0.99295690000000003</v>
      </c>
      <c r="Y89">
        <v>0.1128316</v>
      </c>
      <c r="Z89">
        <v>-1.3873480000000001E-2</v>
      </c>
      <c r="AA89">
        <v>0.99351730000000005</v>
      </c>
      <c r="AB89">
        <v>3</v>
      </c>
      <c r="AC89">
        <v>0.70049999999997603</v>
      </c>
      <c r="AD89">
        <v>-0.105491999999999</v>
      </c>
      <c r="AE89">
        <v>-5.6500000000028097E-2</v>
      </c>
      <c r="AF89">
        <v>8.2877894148570594E-2</v>
      </c>
      <c r="AG89">
        <v>-0.105491999999999</v>
      </c>
      <c r="AH89">
        <v>0.68227333840860704</v>
      </c>
      <c r="AI89">
        <v>98.726232521043997</v>
      </c>
      <c r="AJ89">
        <v>83.074033835496707</v>
      </c>
      <c r="AK89">
        <v>0.69533748331707701</v>
      </c>
      <c r="AL89">
        <v>83.635556190599004</v>
      </c>
      <c r="AM89">
        <v>87.588753768125102</v>
      </c>
      <c r="AN89">
        <v>0.99999994907497403</v>
      </c>
    </row>
    <row r="90" spans="1:40" x14ac:dyDescent="0.25">
      <c r="A90" t="str">
        <f>"20190312163955507"</f>
        <v>20190312163955507</v>
      </c>
      <c r="B90" t="str">
        <f>"1552379995496255"</f>
        <v>1552379995496255</v>
      </c>
      <c r="C90" t="s">
        <v>40</v>
      </c>
      <c r="D90">
        <v>5.3849330000000002</v>
      </c>
      <c r="E90">
        <v>0.53398159999999995</v>
      </c>
      <c r="F90" t="s">
        <v>42</v>
      </c>
      <c r="G90">
        <v>-472.99619999999999</v>
      </c>
      <c r="H90">
        <v>1.002494</v>
      </c>
      <c r="I90">
        <v>367.27449999999999</v>
      </c>
      <c r="J90">
        <v>-473.6934</v>
      </c>
      <c r="K90">
        <v>1.1100589999999999</v>
      </c>
      <c r="L90">
        <v>367.33170000000001</v>
      </c>
      <c r="M90">
        <v>0.99910180000000004</v>
      </c>
      <c r="N90">
        <v>0</v>
      </c>
      <c r="O90">
        <v>4.0857049999999999E-2</v>
      </c>
      <c r="P90">
        <v>0.99502360000000001</v>
      </c>
      <c r="Q90">
        <v>9.9622760000000005E-2</v>
      </c>
      <c r="R90">
        <v>-1.822548E-3</v>
      </c>
      <c r="S90">
        <v>3.058929</v>
      </c>
      <c r="T90">
        <v>-0.45170769999999999</v>
      </c>
      <c r="U90">
        <v>-0.23065189999999999</v>
      </c>
      <c r="V90">
        <v>4.2448680000000003E-2</v>
      </c>
      <c r="W90">
        <v>0.1107996</v>
      </c>
      <c r="X90">
        <v>0.99293580000000004</v>
      </c>
      <c r="Y90">
        <v>0.1141974</v>
      </c>
      <c r="Z90">
        <v>-1.436833E-2</v>
      </c>
      <c r="AA90">
        <v>0.99335410000000002</v>
      </c>
      <c r="AB90">
        <v>3</v>
      </c>
      <c r="AC90">
        <v>0.69720000000000903</v>
      </c>
      <c r="AD90">
        <v>-0.10756499999999899</v>
      </c>
      <c r="AE90">
        <v>-5.7200000000023003E-2</v>
      </c>
      <c r="AF90">
        <v>8.3661506309307798E-2</v>
      </c>
      <c r="AG90">
        <v>-0.10756499999999899</v>
      </c>
      <c r="AH90">
        <v>0.67824444812400597</v>
      </c>
      <c r="AI90">
        <v>98.944986756389397</v>
      </c>
      <c r="AJ90">
        <v>82.968081618148602</v>
      </c>
      <c r="AK90">
        <v>0.691798387013139</v>
      </c>
      <c r="AL90">
        <v>83.638588777798105</v>
      </c>
      <c r="AM90">
        <v>87.552057079490893</v>
      </c>
      <c r="AN90">
        <v>0.99999997235777005</v>
      </c>
    </row>
    <row r="91" spans="1:40" x14ac:dyDescent="0.25">
      <c r="A91" t="str">
        <f>"20190312163955532"</f>
        <v>20190312163955532</v>
      </c>
      <c r="B91" t="str">
        <f>"1552379995526507"</f>
        <v>1552379995526507</v>
      </c>
      <c r="C91" t="s">
        <v>40</v>
      </c>
      <c r="D91">
        <v>5.0398259999999997</v>
      </c>
      <c r="E91">
        <v>0.53393219999999997</v>
      </c>
      <c r="F91" t="s">
        <v>42</v>
      </c>
      <c r="G91">
        <v>-472.96539999999999</v>
      </c>
      <c r="H91">
        <v>1.0019990000000001</v>
      </c>
      <c r="I91">
        <v>367.27699999999999</v>
      </c>
      <c r="J91">
        <v>-473.65879999999999</v>
      </c>
      <c r="K91">
        <v>1.110255</v>
      </c>
      <c r="L91">
        <v>367.33359999999999</v>
      </c>
      <c r="M91">
        <v>0.99908319999999995</v>
      </c>
      <c r="N91">
        <v>0</v>
      </c>
      <c r="O91">
        <v>4.12603E-2</v>
      </c>
      <c r="P91">
        <v>0.9950734</v>
      </c>
      <c r="Q91">
        <v>9.9121000000000001E-2</v>
      </c>
      <c r="R91">
        <v>-1.9941580000000002E-3</v>
      </c>
      <c r="S91">
        <v>3.060028</v>
      </c>
      <c r="T91">
        <v>-0.45429659999999999</v>
      </c>
      <c r="U91">
        <v>-0.22946169999999999</v>
      </c>
      <c r="V91">
        <v>4.302131E-2</v>
      </c>
      <c r="W91">
        <v>0.1104783</v>
      </c>
      <c r="X91">
        <v>0.99294700000000002</v>
      </c>
      <c r="Y91">
        <v>0.1141654</v>
      </c>
      <c r="Z91">
        <v>-1.4501989999999999E-2</v>
      </c>
      <c r="AA91">
        <v>0.99335589999999996</v>
      </c>
      <c r="AB91">
        <v>4</v>
      </c>
      <c r="AC91">
        <v>0.69339999999999602</v>
      </c>
      <c r="AD91">
        <v>-0.10825599999999901</v>
      </c>
      <c r="AE91">
        <v>-5.6600000000003002E-2</v>
      </c>
      <c r="AF91">
        <v>8.3150218796960301E-2</v>
      </c>
      <c r="AG91">
        <v>-0.10825599999999901</v>
      </c>
      <c r="AH91">
        <v>0.67415061585063496</v>
      </c>
      <c r="AI91">
        <v>99.055281067418704</v>
      </c>
      <c r="AJ91">
        <v>82.968610114893593</v>
      </c>
      <c r="AK91">
        <v>0.68783164602522595</v>
      </c>
      <c r="AL91">
        <v>83.657111910502906</v>
      </c>
      <c r="AM91">
        <v>87.519103420428607</v>
      </c>
      <c r="AN91">
        <v>1.000000016347</v>
      </c>
    </row>
    <row r="92" spans="1:40" x14ac:dyDescent="0.25">
      <c r="A92" t="str">
        <f>"20190312163955553"</f>
        <v>20190312163955553</v>
      </c>
      <c r="B92" t="str">
        <f>"1552379995546028"</f>
        <v>1552379995546028</v>
      </c>
      <c r="C92" t="s">
        <v>40</v>
      </c>
      <c r="D92">
        <v>5.404757</v>
      </c>
      <c r="E92">
        <v>0.5334101</v>
      </c>
      <c r="F92" t="s">
        <v>42</v>
      </c>
      <c r="G92">
        <v>-472.9384</v>
      </c>
      <c r="H92">
        <v>1.001822</v>
      </c>
      <c r="I92">
        <v>367.27940000000001</v>
      </c>
      <c r="J92">
        <v>-473.63150000000002</v>
      </c>
      <c r="K92">
        <v>1.1106549999999999</v>
      </c>
      <c r="L92">
        <v>367.33519999999999</v>
      </c>
      <c r="M92">
        <v>0.99905639999999996</v>
      </c>
      <c r="N92">
        <v>0</v>
      </c>
      <c r="O92">
        <v>4.1498229999999997E-2</v>
      </c>
      <c r="P92">
        <v>0.99527449999999995</v>
      </c>
      <c r="Q92">
        <v>9.7062889999999999E-2</v>
      </c>
      <c r="R92">
        <v>-2.754294E-3</v>
      </c>
      <c r="S92">
        <v>3.060333</v>
      </c>
      <c r="T92">
        <v>-0.46110770000000001</v>
      </c>
      <c r="U92">
        <v>-0.2290344</v>
      </c>
      <c r="V92">
        <v>4.4043800000000001E-2</v>
      </c>
      <c r="W92">
        <v>0.109803399999999</v>
      </c>
      <c r="X92">
        <v>0.992977</v>
      </c>
      <c r="Y92">
        <v>0.11420370000000001</v>
      </c>
      <c r="Z92">
        <v>-1.475421E-2</v>
      </c>
      <c r="AA92">
        <v>0.9933478</v>
      </c>
      <c r="AB92">
        <v>4</v>
      </c>
      <c r="AC92">
        <v>0.69310000000001504</v>
      </c>
      <c r="AD92">
        <v>-0.108832999999999</v>
      </c>
      <c r="AE92">
        <v>-5.57999999999765E-2</v>
      </c>
      <c r="AF92">
        <v>8.2495761269794493E-2</v>
      </c>
      <c r="AG92">
        <v>-0.108832999999999</v>
      </c>
      <c r="AH92">
        <v>0.67368342904787204</v>
      </c>
      <c r="AI92">
        <v>99.109906835424596</v>
      </c>
      <c r="AJ92">
        <v>83.018614730173894</v>
      </c>
      <c r="AK92">
        <v>0.68738601607116101</v>
      </c>
      <c r="AL92">
        <v>83.696017321814594</v>
      </c>
      <c r="AM92">
        <v>87.460292752794103</v>
      </c>
      <c r="AN92">
        <v>0.99999998274949897</v>
      </c>
    </row>
    <row r="93" spans="1:40" x14ac:dyDescent="0.25">
      <c r="A93" t="str">
        <f>"20190312163955577"</f>
        <v>20190312163955577</v>
      </c>
      <c r="B93" t="str">
        <f>"1552379995566524"</f>
        <v>1552379995566524</v>
      </c>
      <c r="C93" t="s">
        <v>40</v>
      </c>
      <c r="D93">
        <v>5.3590970000000002</v>
      </c>
      <c r="E93">
        <v>0.53357449999999995</v>
      </c>
      <c r="F93" t="s">
        <v>42</v>
      </c>
      <c r="G93">
        <v>-472.91520000000003</v>
      </c>
      <c r="H93">
        <v>1.0005189999999999</v>
      </c>
      <c r="I93">
        <v>367.28179999999998</v>
      </c>
      <c r="J93">
        <v>-473.6071</v>
      </c>
      <c r="K93">
        <v>1.1110120000000001</v>
      </c>
      <c r="L93">
        <v>367.33659999999998</v>
      </c>
      <c r="M93">
        <v>0.99902670000000005</v>
      </c>
      <c r="N93">
        <v>0</v>
      </c>
      <c r="O93">
        <v>4.1655230000000001E-2</v>
      </c>
      <c r="P93">
        <v>0.99549290000000001</v>
      </c>
      <c r="Q93">
        <v>9.4742690000000004E-2</v>
      </c>
      <c r="R93">
        <v>-4.226367E-3</v>
      </c>
      <c r="S93">
        <v>3.0594790000000001</v>
      </c>
      <c r="T93">
        <v>-0.47056409999999999</v>
      </c>
      <c r="U93">
        <v>-0.2276001</v>
      </c>
      <c r="V93">
        <v>4.570627E-2</v>
      </c>
      <c r="W93">
        <v>0.1091597</v>
      </c>
      <c r="X93">
        <v>0.99297290000000005</v>
      </c>
      <c r="Y93">
        <v>0.1138474</v>
      </c>
      <c r="Z93">
        <v>-1.5054639999999999E-2</v>
      </c>
      <c r="AA93">
        <v>0.99338419999999905</v>
      </c>
      <c r="AB93">
        <v>3</v>
      </c>
      <c r="AC93">
        <v>0.69189999999997498</v>
      </c>
      <c r="AD93">
        <v>-0.11049299999999899</v>
      </c>
      <c r="AE93">
        <v>-5.4800000000000099E-2</v>
      </c>
      <c r="AF93">
        <v>8.15109388007558E-2</v>
      </c>
      <c r="AG93">
        <v>-0.11049299999999899</v>
      </c>
      <c r="AH93">
        <v>0.67198589533917796</v>
      </c>
      <c r="AI93">
        <v>99.270693079589805</v>
      </c>
      <c r="AJ93">
        <v>83.0838906068293</v>
      </c>
      <c r="AK93">
        <v>0.68587008954172701</v>
      </c>
      <c r="AL93">
        <v>83.733122027715893</v>
      </c>
      <c r="AM93">
        <v>87.364551220252494</v>
      </c>
      <c r="AN93">
        <v>1.0000000416779</v>
      </c>
    </row>
    <row r="94" spans="1:40" x14ac:dyDescent="0.25">
      <c r="A94" t="str">
        <f>"20190312163955597"</f>
        <v>20190312163955597</v>
      </c>
      <c r="B94" t="str">
        <f>"1552379995586045"</f>
        <v>1552379995586045</v>
      </c>
      <c r="C94" t="s">
        <v>40</v>
      </c>
      <c r="D94">
        <v>6.5883750000000001</v>
      </c>
      <c r="E94">
        <v>0.53357049999999995</v>
      </c>
      <c r="F94" t="s">
        <v>42</v>
      </c>
      <c r="G94">
        <v>-472.89440000000002</v>
      </c>
      <c r="H94">
        <v>0.99917350000000005</v>
      </c>
      <c r="I94">
        <v>367.28160000000003</v>
      </c>
      <c r="J94">
        <v>-473.58019999999999</v>
      </c>
      <c r="K94">
        <v>1.1107819999999999</v>
      </c>
      <c r="L94">
        <v>367.33800000000002</v>
      </c>
      <c r="M94">
        <v>0.99902489999999999</v>
      </c>
      <c r="N94">
        <v>0</v>
      </c>
      <c r="O94">
        <v>4.1882530000000001E-2</v>
      </c>
      <c r="P94">
        <v>0.99540969999999995</v>
      </c>
      <c r="Q94">
        <v>9.5561789999999994E-2</v>
      </c>
      <c r="R94">
        <v>-5.245698E-3</v>
      </c>
      <c r="S94">
        <v>3.0583499999999999</v>
      </c>
      <c r="T94">
        <v>-0.48086630000000002</v>
      </c>
      <c r="U94">
        <v>-0.23379520000000001</v>
      </c>
      <c r="V94">
        <v>4.6946630000000003E-2</v>
      </c>
      <c r="W94">
        <v>0.1094451</v>
      </c>
      <c r="X94">
        <v>0.99288359999999998</v>
      </c>
      <c r="Y94">
        <v>0.1159906</v>
      </c>
      <c r="Z94">
        <v>-1.5587449999999999E-2</v>
      </c>
      <c r="AA94">
        <v>0.99312800000000001</v>
      </c>
      <c r="AB94">
        <v>3</v>
      </c>
      <c r="AC94">
        <v>0.68579999999997199</v>
      </c>
      <c r="AD94">
        <v>-0.111608499999999</v>
      </c>
      <c r="AE94">
        <v>-5.6399999999996397E-2</v>
      </c>
      <c r="AF94">
        <v>8.2895604230184702E-2</v>
      </c>
      <c r="AG94">
        <v>-0.111608499999999</v>
      </c>
      <c r="AH94">
        <v>0.66533277306837002</v>
      </c>
      <c r="AI94">
        <v>99.450875725698296</v>
      </c>
      <c r="AJ94">
        <v>82.897962549138995</v>
      </c>
      <c r="AK94">
        <v>0.679702756645716</v>
      </c>
      <c r="AL94">
        <v>83.716671172342799</v>
      </c>
      <c r="AM94">
        <v>87.292893254510702</v>
      </c>
      <c r="AN94">
        <v>1.0000000295656599</v>
      </c>
    </row>
    <row r="95" spans="1:40" x14ac:dyDescent="0.25">
      <c r="A95" t="str">
        <f>"20190312163955620"</f>
        <v>20190312163955620</v>
      </c>
      <c r="B95" t="str">
        <f>"1552379995616300"</f>
        <v>1552379995616300</v>
      </c>
      <c r="C95" t="s">
        <v>40</v>
      </c>
      <c r="D95">
        <v>5.2955870000000003</v>
      </c>
      <c r="E95">
        <v>0.53422740000000002</v>
      </c>
      <c r="F95" t="s">
        <v>42</v>
      </c>
      <c r="G95">
        <v>-472.86869999999999</v>
      </c>
      <c r="H95">
        <v>0.99836190000000002</v>
      </c>
      <c r="I95">
        <v>367.28300000000002</v>
      </c>
      <c r="J95">
        <v>-473.54579999999999</v>
      </c>
      <c r="K95">
        <v>1.110255</v>
      </c>
      <c r="L95">
        <v>367.33980000000003</v>
      </c>
      <c r="M95">
        <v>0.99903090000000005</v>
      </c>
      <c r="N95">
        <v>0</v>
      </c>
      <c r="O95">
        <v>4.2322930000000002E-2</v>
      </c>
      <c r="P95">
        <v>0.99524250000000003</v>
      </c>
      <c r="Q95">
        <v>9.7246429999999995E-2</v>
      </c>
      <c r="R95">
        <v>-5.9675630000000004E-3</v>
      </c>
      <c r="S95">
        <v>3.0589599999999999</v>
      </c>
      <c r="T95">
        <v>-0.48337849999999999</v>
      </c>
      <c r="U95">
        <v>-0.2362976</v>
      </c>
      <c r="V95">
        <v>4.8089630000000001E-2</v>
      </c>
      <c r="W95">
        <v>0.10925310000000001</v>
      </c>
      <c r="X95">
        <v>0.99285000000000001</v>
      </c>
      <c r="Y95">
        <v>0.1171806</v>
      </c>
      <c r="Z95">
        <v>-1.582658E-2</v>
      </c>
      <c r="AA95">
        <v>0.99298450000000005</v>
      </c>
      <c r="AB95">
        <v>2</v>
      </c>
      <c r="AC95">
        <v>0.67709999999999504</v>
      </c>
      <c r="AD95">
        <v>-0.111893099999999</v>
      </c>
      <c r="AE95">
        <v>-5.6800000000009697E-2</v>
      </c>
      <c r="AF95">
        <v>8.3153112265604595E-2</v>
      </c>
      <c r="AG95">
        <v>-0.111893099999999</v>
      </c>
      <c r="AH95">
        <v>0.65629186476158097</v>
      </c>
      <c r="AI95">
        <v>99.600185588287999</v>
      </c>
      <c r="AJ95">
        <v>82.779019316229807</v>
      </c>
      <c r="AK95">
        <v>0.67093480879985601</v>
      </c>
      <c r="AL95">
        <v>83.727738061607397</v>
      </c>
      <c r="AM95">
        <v>87.226991834224293</v>
      </c>
      <c r="AN95">
        <v>0.99999998743657303</v>
      </c>
    </row>
    <row r="96" spans="1:40" x14ac:dyDescent="0.25">
      <c r="A96" t="str">
        <f>"20190312163955642"</f>
        <v>20190312163955642</v>
      </c>
      <c r="B96" t="str">
        <f>"1552379995636796"</f>
        <v>1552379995636796</v>
      </c>
      <c r="C96" t="s">
        <v>40</v>
      </c>
      <c r="D96">
        <v>5.2446989999999998</v>
      </c>
      <c r="E96">
        <v>0.53496129999999997</v>
      </c>
      <c r="F96" t="s">
        <v>42</v>
      </c>
      <c r="G96">
        <v>-472.80759999999998</v>
      </c>
      <c r="H96">
        <v>0.99422140000000003</v>
      </c>
      <c r="I96">
        <v>367.28070000000002</v>
      </c>
      <c r="J96">
        <v>-473.50889999999998</v>
      </c>
      <c r="K96">
        <v>1.109939</v>
      </c>
      <c r="L96">
        <v>367.34179999999998</v>
      </c>
      <c r="M96">
        <v>0.99902610000000003</v>
      </c>
      <c r="N96">
        <v>0</v>
      </c>
      <c r="O96">
        <v>4.2855850000000001E-2</v>
      </c>
      <c r="P96">
        <v>0.99516119999999997</v>
      </c>
      <c r="Q96">
        <v>9.8071660000000005E-2</v>
      </c>
      <c r="R96">
        <v>-5.997662E-3</v>
      </c>
      <c r="S96">
        <v>3.0598749999999999</v>
      </c>
      <c r="T96">
        <v>-0.48132629999999998</v>
      </c>
      <c r="U96">
        <v>-0.2433777</v>
      </c>
      <c r="V96">
        <v>4.8630699999999999E-2</v>
      </c>
      <c r="W96">
        <v>0.1085184</v>
      </c>
      <c r="X96">
        <v>0.99290420000000001</v>
      </c>
      <c r="Y96">
        <v>0.1199476</v>
      </c>
      <c r="Z96">
        <v>-1.6053290000000001E-2</v>
      </c>
      <c r="AA96">
        <v>0.99265040000000004</v>
      </c>
      <c r="AB96">
        <v>4</v>
      </c>
      <c r="AC96">
        <v>0.70130000000000303</v>
      </c>
      <c r="AD96">
        <v>-0.115717599999999</v>
      </c>
      <c r="AE96">
        <v>-6.1099999999953497E-2</v>
      </c>
      <c r="AF96">
        <v>8.8703436633719296E-2</v>
      </c>
      <c r="AG96">
        <v>-0.115717599999999</v>
      </c>
      <c r="AH96">
        <v>0.67967134595769296</v>
      </c>
      <c r="AI96">
        <v>99.582519740436297</v>
      </c>
      <c r="AJ96">
        <v>82.564393542353798</v>
      </c>
      <c r="AK96">
        <v>0.69513452017313504</v>
      </c>
      <c r="AL96">
        <v>83.770084942348404</v>
      </c>
      <c r="AM96">
        <v>87.195994285832199</v>
      </c>
      <c r="AN96">
        <v>0.99999996924934398</v>
      </c>
    </row>
    <row r="97" spans="1:40" x14ac:dyDescent="0.25">
      <c r="A97" t="str">
        <f>"20190312163955665"</f>
        <v>20190312163955665</v>
      </c>
      <c r="B97" t="str">
        <f>"1552379995656319"</f>
        <v>1552379995656319</v>
      </c>
      <c r="C97" t="s">
        <v>40</v>
      </c>
      <c r="D97">
        <v>5.1612519999999904</v>
      </c>
      <c r="E97">
        <v>0.53562619999999905</v>
      </c>
      <c r="F97" t="s">
        <v>42</v>
      </c>
      <c r="G97">
        <v>-472.7756</v>
      </c>
      <c r="H97">
        <v>0.99480749999999996</v>
      </c>
      <c r="I97">
        <v>367.28179999999998</v>
      </c>
      <c r="J97">
        <v>-473.47449999999998</v>
      </c>
      <c r="K97">
        <v>1.1100490000000001</v>
      </c>
      <c r="L97">
        <v>367.34370000000001</v>
      </c>
      <c r="M97">
        <v>0.9990078</v>
      </c>
      <c r="N97">
        <v>0</v>
      </c>
      <c r="O97">
        <v>4.3303019999999998E-2</v>
      </c>
      <c r="P97">
        <v>0.99520799999999998</v>
      </c>
      <c r="Q97">
        <v>9.7573519999999997E-2</v>
      </c>
      <c r="R97">
        <v>-6.4107130000000002E-3</v>
      </c>
      <c r="S97">
        <v>3.0605159999999998</v>
      </c>
      <c r="T97">
        <v>-0.48111720000000002</v>
      </c>
      <c r="U97">
        <v>-0.24859619999999999</v>
      </c>
      <c r="V97">
        <v>4.9483930000000002E-2</v>
      </c>
      <c r="W97">
        <v>0.1079396</v>
      </c>
      <c r="X97">
        <v>0.99292519999999995</v>
      </c>
      <c r="Y97">
        <v>0.12202880000000001</v>
      </c>
      <c r="Z97">
        <v>-1.6274170000000001E-2</v>
      </c>
      <c r="AA97">
        <v>0.99239310000000003</v>
      </c>
      <c r="AB97">
        <v>4</v>
      </c>
      <c r="AC97">
        <v>0.69889999999997998</v>
      </c>
      <c r="AD97">
        <v>-0.1152415</v>
      </c>
      <c r="AE97">
        <v>-6.1900000000036898E-2</v>
      </c>
      <c r="AF97">
        <v>8.9688518824901906E-2</v>
      </c>
      <c r="AG97">
        <v>-0.1152415</v>
      </c>
      <c r="AH97">
        <v>0.67729240319446804</v>
      </c>
      <c r="AI97">
        <v>99.574399746986799</v>
      </c>
      <c r="AJ97">
        <v>82.456657571454201</v>
      </c>
      <c r="AK97">
        <v>0.69285614174675003</v>
      </c>
      <c r="AL97">
        <v>83.803444097744602</v>
      </c>
      <c r="AM97">
        <v>87.146938584863605</v>
      </c>
      <c r="AN97">
        <v>1.0000000346857201</v>
      </c>
    </row>
    <row r="98" spans="1:40" x14ac:dyDescent="0.25">
      <c r="A98" t="str">
        <f>"20190312163955687"</f>
        <v>20190312163955687</v>
      </c>
      <c r="B98" t="str">
        <f>"1552379995676811"</f>
        <v>1552379995676811</v>
      </c>
      <c r="C98" t="s">
        <v>40</v>
      </c>
      <c r="D98">
        <v>5.194407</v>
      </c>
      <c r="E98">
        <v>0.53616459999999999</v>
      </c>
      <c r="F98" t="s">
        <v>42</v>
      </c>
      <c r="G98">
        <v>-472.74799999999999</v>
      </c>
      <c r="H98">
        <v>0.99484859999999997</v>
      </c>
      <c r="I98">
        <v>367.28309999999999</v>
      </c>
      <c r="J98">
        <v>-473.44600000000003</v>
      </c>
      <c r="K98">
        <v>1.110473</v>
      </c>
      <c r="L98">
        <v>367.34530000000001</v>
      </c>
      <c r="M98">
        <v>0.99898030000000004</v>
      </c>
      <c r="N98">
        <v>0</v>
      </c>
      <c r="O98">
        <v>4.3585680000000002E-2</v>
      </c>
      <c r="P98">
        <v>0.99544480000000002</v>
      </c>
      <c r="Q98">
        <v>9.5101649999999996E-2</v>
      </c>
      <c r="R98">
        <v>-6.7401079999999999E-3</v>
      </c>
      <c r="S98">
        <v>3.0604550000000001</v>
      </c>
      <c r="T98">
        <v>-0.48552479999999998</v>
      </c>
      <c r="U98">
        <v>-0.25473020000000002</v>
      </c>
      <c r="V98">
        <v>5.0114239999999997E-2</v>
      </c>
      <c r="W98">
        <v>0.1068108</v>
      </c>
      <c r="X98">
        <v>0.9930156</v>
      </c>
      <c r="Y98">
        <v>0.12421980000000001</v>
      </c>
      <c r="Z98">
        <v>-1.6637530000000001E-2</v>
      </c>
      <c r="AA98">
        <v>0.99211530000000003</v>
      </c>
      <c r="AB98">
        <v>4</v>
      </c>
      <c r="AC98">
        <v>0.69799999999992202</v>
      </c>
      <c r="AD98">
        <v>-0.1156244</v>
      </c>
      <c r="AE98">
        <v>-6.22000000000184E-2</v>
      </c>
      <c r="AF98">
        <v>9.0112565697704802E-2</v>
      </c>
      <c r="AG98">
        <v>-0.1156244</v>
      </c>
      <c r="AH98">
        <v>0.67621602318516805</v>
      </c>
      <c r="AI98">
        <v>99.619591599063497</v>
      </c>
      <c r="AJ98">
        <v>82.409483433756606</v>
      </c>
      <c r="AK98">
        <v>0.69192296275260801</v>
      </c>
      <c r="AL98">
        <v>83.868495347561606</v>
      </c>
      <c r="AM98">
        <v>87.110921010368898</v>
      </c>
      <c r="AN98">
        <v>0.99999998294538806</v>
      </c>
    </row>
    <row r="99" spans="1:40" x14ac:dyDescent="0.25">
      <c r="A99" t="str">
        <f>"20190312163955709"</f>
        <v>20190312163955709</v>
      </c>
      <c r="B99" t="str">
        <f>"1552379995696332"</f>
        <v>1552379995696332</v>
      </c>
      <c r="C99" t="s">
        <v>40</v>
      </c>
      <c r="D99">
        <v>5.1033949999999999</v>
      </c>
      <c r="E99">
        <v>0.53666650000000005</v>
      </c>
      <c r="F99" t="s">
        <v>42</v>
      </c>
      <c r="G99">
        <v>-472.7242</v>
      </c>
      <c r="H99">
        <v>0.99357949999999995</v>
      </c>
      <c r="I99">
        <v>367.2835</v>
      </c>
      <c r="J99">
        <v>-473.42079999999999</v>
      </c>
      <c r="K99">
        <v>1.1108880000000001</v>
      </c>
      <c r="L99">
        <v>367.3467</v>
      </c>
      <c r="M99">
        <v>0.99894970000000005</v>
      </c>
      <c r="N99">
        <v>0</v>
      </c>
      <c r="O99">
        <v>4.3763110000000001E-2</v>
      </c>
      <c r="P99">
        <v>0.99566730000000003</v>
      </c>
      <c r="Q99">
        <v>9.2695910000000006E-2</v>
      </c>
      <c r="R99">
        <v>-7.3557290000000001E-3</v>
      </c>
      <c r="S99">
        <v>3.059326</v>
      </c>
      <c r="T99">
        <v>-0.4958243</v>
      </c>
      <c r="U99">
        <v>-0.26013180000000002</v>
      </c>
      <c r="V99">
        <v>5.0932999999999999E-2</v>
      </c>
      <c r="W99">
        <v>0.1061807</v>
      </c>
      <c r="X99">
        <v>0.99304150000000002</v>
      </c>
      <c r="Y99">
        <v>0.1260502</v>
      </c>
      <c r="Z99">
        <v>-1.7166790000000001E-2</v>
      </c>
      <c r="AA99">
        <v>0.99187530000000002</v>
      </c>
      <c r="AB99">
        <v>3</v>
      </c>
      <c r="AC99">
        <v>0.69659999999998901</v>
      </c>
      <c r="AD99">
        <v>-0.117308499999999</v>
      </c>
      <c r="AE99">
        <v>-6.3199999999994802E-2</v>
      </c>
      <c r="AF99">
        <v>9.1066163268597303E-2</v>
      </c>
      <c r="AG99">
        <v>-0.117308499999999</v>
      </c>
      <c r="AH99">
        <v>0.67420273712414402</v>
      </c>
      <c r="AI99">
        <v>99.783310926005498</v>
      </c>
      <c r="AJ99">
        <v>82.307479848606803</v>
      </c>
      <c r="AK99">
        <v>0.69036487527278001</v>
      </c>
      <c r="AL99">
        <v>83.904803797631402</v>
      </c>
      <c r="AM99">
        <v>87.063877990621194</v>
      </c>
      <c r="AN99">
        <v>0.99999996613186903</v>
      </c>
    </row>
    <row r="100" spans="1:40" x14ac:dyDescent="0.25">
      <c r="A100" t="str">
        <f>"20190312163955733"</f>
        <v>20190312163955733</v>
      </c>
      <c r="B100" t="str">
        <f>"1552379995726588"</f>
        <v>1552379995726588</v>
      </c>
      <c r="C100" t="s">
        <v>40</v>
      </c>
      <c r="D100">
        <v>5.1741089999999996</v>
      </c>
      <c r="E100">
        <v>0.53741759999999905</v>
      </c>
      <c r="F100" t="s">
        <v>42</v>
      </c>
      <c r="G100">
        <v>-472.70319999999998</v>
      </c>
      <c r="H100">
        <v>0.99218479999999998</v>
      </c>
      <c r="I100">
        <v>367.28429999999997</v>
      </c>
      <c r="J100">
        <v>-473.39109999999999</v>
      </c>
      <c r="K100">
        <v>1.11086</v>
      </c>
      <c r="L100">
        <v>367.34840000000003</v>
      </c>
      <c r="M100">
        <v>0.99893679999999996</v>
      </c>
      <c r="N100">
        <v>0</v>
      </c>
      <c r="O100">
        <v>4.3975790000000001E-2</v>
      </c>
      <c r="P100">
        <v>0.99572479999999997</v>
      </c>
      <c r="Q100">
        <v>9.2065999999999995E-2</v>
      </c>
      <c r="R100">
        <v>-7.4855039999999996E-3</v>
      </c>
      <c r="S100">
        <v>3.0581969999999998</v>
      </c>
      <c r="T100">
        <v>-0.50603180000000003</v>
      </c>
      <c r="U100">
        <v>-0.26596069999999999</v>
      </c>
      <c r="V100">
        <v>5.1279169999999999E-2</v>
      </c>
      <c r="W100">
        <v>0.1058185</v>
      </c>
      <c r="X100">
        <v>0.99306240000000001</v>
      </c>
      <c r="Y100">
        <v>0.12804670000000001</v>
      </c>
      <c r="Z100">
        <v>-1.7719249999999999E-2</v>
      </c>
      <c r="AA100">
        <v>0.99160979999999999</v>
      </c>
      <c r="AB100">
        <v>3</v>
      </c>
      <c r="AC100">
        <v>0.68790000000001295</v>
      </c>
      <c r="AD100">
        <v>-0.118675199999999</v>
      </c>
      <c r="AE100">
        <v>-6.4100000000053101E-2</v>
      </c>
      <c r="AF100">
        <v>9.1589356498682994E-2</v>
      </c>
      <c r="AG100">
        <v>-0.118675199999999</v>
      </c>
      <c r="AH100">
        <v>0.664799508500312</v>
      </c>
      <c r="AI100">
        <v>100.02863691003201</v>
      </c>
      <c r="AJ100">
        <v>82.1557473047759</v>
      </c>
      <c r="AK100">
        <v>0.68149159923005598</v>
      </c>
      <c r="AL100">
        <v>83.925674232314194</v>
      </c>
      <c r="AM100">
        <v>87.044019791016694</v>
      </c>
      <c r="AN100">
        <v>1.00000001925594</v>
      </c>
    </row>
    <row r="101" spans="1:40" x14ac:dyDescent="0.25">
      <c r="A101" t="str">
        <f>"20190312163955755"</f>
        <v>20190312163955755</v>
      </c>
      <c r="B101" t="str">
        <f>"1552379995746108"</f>
        <v>1552379995746108</v>
      </c>
      <c r="C101" t="s">
        <v>40</v>
      </c>
      <c r="D101">
        <v>4.6434639999999998</v>
      </c>
      <c r="E101">
        <v>0.5378039</v>
      </c>
      <c r="F101" t="s">
        <v>42</v>
      </c>
      <c r="G101">
        <v>-472.67689999999999</v>
      </c>
      <c r="H101">
        <v>0.99153849999999999</v>
      </c>
      <c r="I101">
        <v>367.2842</v>
      </c>
      <c r="J101">
        <v>-473.35789999999997</v>
      </c>
      <c r="K101">
        <v>1.1103749999999999</v>
      </c>
      <c r="L101">
        <v>367.35019999999997</v>
      </c>
      <c r="M101">
        <v>0.99894150000000004</v>
      </c>
      <c r="N101">
        <v>0</v>
      </c>
      <c r="O101">
        <v>4.4339870000000003E-2</v>
      </c>
      <c r="P101">
        <v>0.99556610000000001</v>
      </c>
      <c r="Q101">
        <v>9.3729750000000001E-2</v>
      </c>
      <c r="R101">
        <v>-7.9487389999999998E-3</v>
      </c>
      <c r="S101">
        <v>3.0581360000000002</v>
      </c>
      <c r="T101">
        <v>-0.51162890000000005</v>
      </c>
      <c r="U101">
        <v>-0.2723083</v>
      </c>
      <c r="V101">
        <v>5.2086390000000003E-2</v>
      </c>
      <c r="W101">
        <v>0.1058939</v>
      </c>
      <c r="X101">
        <v>0.99301229999999996</v>
      </c>
      <c r="Y101">
        <v>0.1303629</v>
      </c>
      <c r="Z101">
        <v>-1.816371E-2</v>
      </c>
      <c r="AA101">
        <v>0.99129990000000001</v>
      </c>
      <c r="AB101">
        <v>2</v>
      </c>
      <c r="AC101">
        <v>0.68099999999998295</v>
      </c>
      <c r="AD101">
        <v>-0.118836499999999</v>
      </c>
      <c r="AE101">
        <v>-6.5999999999973996E-2</v>
      </c>
      <c r="AF101">
        <v>9.3317596462661898E-2</v>
      </c>
      <c r="AG101">
        <v>-0.118836499999999</v>
      </c>
      <c r="AH101">
        <v>0.65756609056389403</v>
      </c>
      <c r="AI101">
        <v>100.144523061632</v>
      </c>
      <c r="AJ101">
        <v>81.922882271075196</v>
      </c>
      <c r="AK101">
        <v>0.67470249073299104</v>
      </c>
      <c r="AL101">
        <v>83.921329414215705</v>
      </c>
      <c r="AM101">
        <v>86.997420989950697</v>
      </c>
      <c r="AN101">
        <v>0.99999996901586496</v>
      </c>
    </row>
    <row r="102" spans="1:40" x14ac:dyDescent="0.25">
      <c r="A102" t="str">
        <f>"20190312163955777"</f>
        <v>20190312163955777</v>
      </c>
      <c r="B102" t="str">
        <f>"1552379995766620"</f>
        <v>1552379995766620</v>
      </c>
      <c r="C102" t="s">
        <v>40</v>
      </c>
      <c r="D102">
        <v>5.1729719999999997</v>
      </c>
      <c r="E102">
        <v>0.53822569999999903</v>
      </c>
      <c r="F102" t="s">
        <v>42</v>
      </c>
      <c r="G102">
        <v>-472.64580000000001</v>
      </c>
      <c r="H102">
        <v>0.99214020000000003</v>
      </c>
      <c r="I102">
        <v>367.28570000000002</v>
      </c>
      <c r="J102">
        <v>-473.3229</v>
      </c>
      <c r="K102">
        <v>1.1099889999999999</v>
      </c>
      <c r="L102">
        <v>367.35210000000001</v>
      </c>
      <c r="M102">
        <v>0.99893989999999999</v>
      </c>
      <c r="N102">
        <v>0</v>
      </c>
      <c r="O102">
        <v>4.4803450000000002E-2</v>
      </c>
      <c r="P102">
        <v>0.99542739999999996</v>
      </c>
      <c r="Q102">
        <v>9.5221020000000003E-2</v>
      </c>
      <c r="R102">
        <v>-7.5633050000000002E-3</v>
      </c>
      <c r="S102">
        <v>3.0590519999999999</v>
      </c>
      <c r="T102">
        <v>-0.50833030000000001</v>
      </c>
      <c r="U102">
        <v>-0.27603149999999999</v>
      </c>
      <c r="V102">
        <v>5.2142540000000001E-2</v>
      </c>
      <c r="W102">
        <v>0.105731199999999</v>
      </c>
      <c r="X102">
        <v>0.99302670000000004</v>
      </c>
      <c r="Y102">
        <v>0.13199649999999999</v>
      </c>
      <c r="Z102">
        <v>-1.825274E-2</v>
      </c>
      <c r="AA102">
        <v>0.99108209999999997</v>
      </c>
      <c r="AB102">
        <v>3</v>
      </c>
      <c r="AC102">
        <v>0.67709999999999504</v>
      </c>
      <c r="AD102">
        <v>-0.117848799999999</v>
      </c>
      <c r="AE102">
        <v>-6.6399999999987303E-2</v>
      </c>
      <c r="AF102">
        <v>9.3855332314157505E-2</v>
      </c>
      <c r="AG102">
        <v>-0.117848799999999</v>
      </c>
      <c r="AH102">
        <v>0.65382704705308103</v>
      </c>
      <c r="AI102">
        <v>100.116028470849</v>
      </c>
      <c r="AJ102">
        <v>81.831129843402707</v>
      </c>
      <c r="AK102">
        <v>0.67095973837734302</v>
      </c>
      <c r="AL102">
        <v>83.930704127217496</v>
      </c>
      <c r="AM102">
        <v>86.994233599669599</v>
      </c>
      <c r="AN102">
        <v>0.99999997902199</v>
      </c>
    </row>
    <row r="103" spans="1:40" x14ac:dyDescent="0.25">
      <c r="A103" t="str">
        <f>"20190312163955799"</f>
        <v>20190312163955799</v>
      </c>
      <c r="B103" t="str">
        <f>"1552379995786376"</f>
        <v>1552379995786376</v>
      </c>
      <c r="C103" t="s">
        <v>40</v>
      </c>
      <c r="D103">
        <v>4.6556790000000001</v>
      </c>
      <c r="E103">
        <v>0.5385683</v>
      </c>
      <c r="F103" t="s">
        <v>42</v>
      </c>
      <c r="G103">
        <v>-472.61279999999999</v>
      </c>
      <c r="H103">
        <v>0.99251509999999998</v>
      </c>
      <c r="I103">
        <v>367.28699999999998</v>
      </c>
      <c r="J103">
        <v>-473.28840000000002</v>
      </c>
      <c r="K103">
        <v>1.1099270000000001</v>
      </c>
      <c r="L103">
        <v>367.35410000000002</v>
      </c>
      <c r="M103">
        <v>0.9989266</v>
      </c>
      <c r="N103">
        <v>0</v>
      </c>
      <c r="O103">
        <v>4.5253950000000001E-2</v>
      </c>
      <c r="P103">
        <v>0.99536559999999996</v>
      </c>
      <c r="Q103">
        <v>9.5879880000000001E-2</v>
      </c>
      <c r="R103">
        <v>-7.3649429999999997E-3</v>
      </c>
      <c r="S103">
        <v>3.0601500000000001</v>
      </c>
      <c r="T103">
        <v>-0.50688239999999996</v>
      </c>
      <c r="U103">
        <v>-0.27816770000000002</v>
      </c>
      <c r="V103">
        <v>5.2380160000000002E-2</v>
      </c>
      <c r="W103">
        <v>0.105708</v>
      </c>
      <c r="X103">
        <v>0.99301669999999997</v>
      </c>
      <c r="Y103">
        <v>0.13309190000000001</v>
      </c>
      <c r="Z103">
        <v>-1.8358349999999999E-2</v>
      </c>
      <c r="AA103">
        <v>0.99093370000000003</v>
      </c>
      <c r="AB103">
        <v>4</v>
      </c>
      <c r="AC103">
        <v>0.67560000000003095</v>
      </c>
      <c r="AD103">
        <v>-0.1174119</v>
      </c>
      <c r="AE103">
        <v>-6.7100000000039003E-2</v>
      </c>
      <c r="AF103">
        <v>9.4771910212354496E-2</v>
      </c>
      <c r="AG103">
        <v>-0.1174119</v>
      </c>
      <c r="AH103">
        <v>0.65236054695593504</v>
      </c>
      <c r="AI103">
        <v>100.09907005641701</v>
      </c>
      <c r="AJ103">
        <v>81.734161556292193</v>
      </c>
      <c r="AK103">
        <v>0.66958311840394802</v>
      </c>
      <c r="AL103">
        <v>83.932041096318699</v>
      </c>
      <c r="AM103">
        <v>86.980530889524303</v>
      </c>
      <c r="AN103">
        <v>1.0000000144522501</v>
      </c>
    </row>
    <row r="104" spans="1:40" x14ac:dyDescent="0.25">
      <c r="A104" t="str">
        <f>"20190312163955821"</f>
        <v>20190312163955821</v>
      </c>
      <c r="B104" t="str">
        <f>"1552379995816632"</f>
        <v>1552379995816632</v>
      </c>
      <c r="C104" t="s">
        <v>40</v>
      </c>
      <c r="D104">
        <v>4.3738089999999996</v>
      </c>
      <c r="E104">
        <v>0.53911129999999996</v>
      </c>
      <c r="F104" t="s">
        <v>42</v>
      </c>
      <c r="G104">
        <v>-472.55410000000001</v>
      </c>
      <c r="H104">
        <v>0.98836219999999997</v>
      </c>
      <c r="I104">
        <v>367.2867</v>
      </c>
      <c r="J104">
        <v>-473.25599999999997</v>
      </c>
      <c r="K104">
        <v>1.110344</v>
      </c>
      <c r="L104">
        <v>367.35599999999999</v>
      </c>
      <c r="M104">
        <v>0.99889830000000002</v>
      </c>
      <c r="N104">
        <v>0</v>
      </c>
      <c r="O104">
        <v>4.5583369999999998E-2</v>
      </c>
      <c r="P104">
        <v>0.99549469999999995</v>
      </c>
      <c r="Q104">
        <v>9.4501189999999999E-2</v>
      </c>
      <c r="R104">
        <v>-7.7460860000000001E-3</v>
      </c>
      <c r="S104">
        <v>3.06073</v>
      </c>
      <c r="T104">
        <v>-0.50705459999999902</v>
      </c>
      <c r="U104">
        <v>-0.27954099999999998</v>
      </c>
      <c r="V104">
        <v>5.3103549999999999E-2</v>
      </c>
      <c r="W104">
        <v>0.105589</v>
      </c>
      <c r="X104">
        <v>0.99299090000000001</v>
      </c>
      <c r="Y104">
        <v>0.13382820000000001</v>
      </c>
      <c r="Z104">
        <v>-1.8475399999999999E-2</v>
      </c>
      <c r="AA104">
        <v>0.9908323</v>
      </c>
      <c r="AB104">
        <v>4</v>
      </c>
      <c r="AC104">
        <v>0.701899999999966</v>
      </c>
      <c r="AD104">
        <v>-0.1219818</v>
      </c>
      <c r="AE104">
        <v>-6.9299999999998294E-2</v>
      </c>
      <c r="AF104">
        <v>9.8285135812989102E-2</v>
      </c>
      <c r="AG104">
        <v>-0.1219818</v>
      </c>
      <c r="AH104">
        <v>0.67773952295835405</v>
      </c>
      <c r="AI104">
        <v>100.099608045409</v>
      </c>
      <c r="AJ104">
        <v>81.748544258265795</v>
      </c>
      <c r="AK104">
        <v>0.69560792723547504</v>
      </c>
      <c r="AL104">
        <v>83.9388974308455</v>
      </c>
      <c r="AM104">
        <v>86.938830253538001</v>
      </c>
      <c r="AN104">
        <v>0.99999997571320598</v>
      </c>
    </row>
    <row r="105" spans="1:40" x14ac:dyDescent="0.25">
      <c r="A105" t="str">
        <f>"20190312163955835"</f>
        <v>20190312163955835</v>
      </c>
      <c r="B105" t="str">
        <f>"1552379995826392"</f>
        <v>1552379995826392</v>
      </c>
      <c r="C105" t="s">
        <v>40</v>
      </c>
      <c r="D105">
        <v>4.5466569999999997</v>
      </c>
      <c r="E105">
        <v>0.53911129999999996</v>
      </c>
      <c r="F105" t="s">
        <v>42</v>
      </c>
      <c r="G105">
        <v>-472.52929999999998</v>
      </c>
      <c r="H105">
        <v>0.9882301</v>
      </c>
      <c r="I105">
        <v>367.28820000000002</v>
      </c>
      <c r="J105">
        <v>-473.23930000000001</v>
      </c>
      <c r="K105">
        <v>1.110627</v>
      </c>
      <c r="L105">
        <v>367.35700000000003</v>
      </c>
      <c r="M105">
        <v>0.99887939999999997</v>
      </c>
      <c r="N105">
        <v>0</v>
      </c>
      <c r="O105">
        <v>4.5718469999999997E-2</v>
      </c>
      <c r="P105">
        <v>0.99559620000000004</v>
      </c>
      <c r="Q105">
        <v>9.3426670000000003E-2</v>
      </c>
      <c r="R105">
        <v>-7.7591959999999899E-3</v>
      </c>
      <c r="S105">
        <v>3.0601500000000001</v>
      </c>
      <c r="T105">
        <v>-0.51437080000000002</v>
      </c>
      <c r="U105">
        <v>-0.28515629999999997</v>
      </c>
      <c r="V105">
        <v>5.3265720000000003E-2</v>
      </c>
      <c r="W105">
        <v>0.1055994</v>
      </c>
      <c r="X105">
        <v>0.99298109999999995</v>
      </c>
      <c r="Y105">
        <v>0.135684</v>
      </c>
      <c r="Z105">
        <v>-1.8917529999999998E-2</v>
      </c>
      <c r="AA105">
        <v>0.9905716</v>
      </c>
      <c r="AB105">
        <v>3</v>
      </c>
      <c r="AC105">
        <v>0.71000000000003605</v>
      </c>
      <c r="AD105">
        <v>-0.1223969</v>
      </c>
      <c r="AE105">
        <v>-6.8799999999953301E-2</v>
      </c>
      <c r="AF105">
        <v>9.8296560904728006E-2</v>
      </c>
      <c r="AG105">
        <v>-0.1223969</v>
      </c>
      <c r="AH105">
        <v>0.685917146715879</v>
      </c>
      <c r="AI105">
        <v>100.017288150106</v>
      </c>
      <c r="AJ105">
        <v>81.844653542283595</v>
      </c>
      <c r="AK105">
        <v>0.70365158080839896</v>
      </c>
      <c r="AL105">
        <v>83.938298155160993</v>
      </c>
      <c r="AM105">
        <v>86.929469531667806</v>
      </c>
      <c r="AN105">
        <v>0.999999967582343</v>
      </c>
    </row>
    <row r="106" spans="1:40" x14ac:dyDescent="0.25">
      <c r="A106" t="str">
        <f>"20190312163955846"</f>
        <v>20190312163955846</v>
      </c>
      <c r="B106" t="str">
        <f>"1552379995836153"</f>
        <v>1552379995836153</v>
      </c>
      <c r="C106" t="s">
        <v>40</v>
      </c>
      <c r="D106">
        <v>4.9903399999999998</v>
      </c>
      <c r="E106">
        <v>0.54829600000000001</v>
      </c>
      <c r="F106" t="s">
        <v>42</v>
      </c>
      <c r="G106">
        <v>-472.52839999999998</v>
      </c>
      <c r="H106">
        <v>0.9903516</v>
      </c>
      <c r="I106">
        <v>367.29070000000002</v>
      </c>
      <c r="J106">
        <v>-473.22590000000002</v>
      </c>
      <c r="K106">
        <v>1.1108359999999999</v>
      </c>
      <c r="L106">
        <v>367.35770000000002</v>
      </c>
      <c r="M106">
        <v>0.9988631</v>
      </c>
      <c r="N106">
        <v>0</v>
      </c>
      <c r="O106">
        <v>4.5804150000000002E-2</v>
      </c>
      <c r="P106">
        <v>0.99567479999999997</v>
      </c>
      <c r="Q106">
        <v>9.2564930000000004E-2</v>
      </c>
      <c r="R106">
        <v>-7.9921950000000005E-3</v>
      </c>
      <c r="S106">
        <v>3.0596619999999999</v>
      </c>
      <c r="T106">
        <v>-0.51771579999999995</v>
      </c>
      <c r="U106">
        <v>-0.28503420000000002</v>
      </c>
      <c r="V106">
        <v>5.359767E-2</v>
      </c>
      <c r="W106">
        <v>0.1057009</v>
      </c>
      <c r="X106">
        <v>0.99295250000000002</v>
      </c>
      <c r="Y106">
        <v>0.13570979999999999</v>
      </c>
      <c r="Z106">
        <v>-1.9058490000000001E-2</v>
      </c>
      <c r="AA106">
        <v>0.99056529999999998</v>
      </c>
      <c r="AB106">
        <v>3</v>
      </c>
      <c r="AC106">
        <v>0.69750000000004697</v>
      </c>
      <c r="AD106">
        <v>-0.12048440000000001</v>
      </c>
      <c r="AE106">
        <v>-6.7000000000007207E-2</v>
      </c>
      <c r="AF106">
        <v>9.6041344802682296E-2</v>
      </c>
      <c r="AG106">
        <v>-0.12048440000000001</v>
      </c>
      <c r="AH106">
        <v>0.67377811126781095</v>
      </c>
      <c r="AI106">
        <v>100.03904399866001</v>
      </c>
      <c r="AJ106">
        <v>81.887621552344697</v>
      </c>
      <c r="AK106">
        <v>0.69117101630384203</v>
      </c>
      <c r="AL106">
        <v>83.932450276076196</v>
      </c>
      <c r="AM106">
        <v>86.910282239950405</v>
      </c>
      <c r="AN106">
        <v>1.00000002887324</v>
      </c>
    </row>
    <row r="107" spans="1:40" x14ac:dyDescent="0.25">
      <c r="A107" t="str">
        <f>"20190312163955866"</f>
        <v>20190312163955866</v>
      </c>
      <c r="B107" t="str">
        <f>"1552379995856648"</f>
        <v>1552379995856648</v>
      </c>
      <c r="C107" t="s">
        <v>40</v>
      </c>
      <c r="D107">
        <v>4.6700439999999999</v>
      </c>
      <c r="E107">
        <v>0.5457516</v>
      </c>
      <c r="F107" t="s">
        <v>42</v>
      </c>
      <c r="G107">
        <v>-472.5274</v>
      </c>
      <c r="H107">
        <v>0.9452296</v>
      </c>
      <c r="I107">
        <v>367.27890000000002</v>
      </c>
      <c r="J107">
        <v>-473.2029</v>
      </c>
      <c r="K107">
        <v>1.1109230000000001</v>
      </c>
      <c r="L107">
        <v>367.35899999999998</v>
      </c>
      <c r="M107">
        <v>0.99884689999999998</v>
      </c>
      <c r="N107">
        <v>0</v>
      </c>
      <c r="O107">
        <v>4.5955870000000003E-2</v>
      </c>
      <c r="P107">
        <v>0.99573679999999998</v>
      </c>
      <c r="Q107">
        <v>9.1852199999999995E-2</v>
      </c>
      <c r="R107">
        <v>-8.4570589999999994E-3</v>
      </c>
      <c r="S107">
        <v>3.0781860000000001</v>
      </c>
      <c r="T107">
        <v>-0.73019409999999996</v>
      </c>
      <c r="U107">
        <v>-0.3458252</v>
      </c>
      <c r="V107">
        <v>5.4223769999999998E-2</v>
      </c>
      <c r="W107">
        <v>0.10566150000000001</v>
      </c>
      <c r="X107">
        <v>0.99292270000000005</v>
      </c>
      <c r="Y107">
        <v>0.15177349999999901</v>
      </c>
      <c r="Z107">
        <v>-2.8426610000000001E-2</v>
      </c>
      <c r="AA107">
        <v>0.98800639999999995</v>
      </c>
      <c r="AB107">
        <v>3</v>
      </c>
      <c r="AC107">
        <v>0.67549999999999899</v>
      </c>
      <c r="AD107">
        <v>-0.16569339999999899</v>
      </c>
      <c r="AE107">
        <v>-8.0100000000015797E-2</v>
      </c>
      <c r="AF107">
        <v>0.10484101803136001</v>
      </c>
      <c r="AG107">
        <v>-0.16569339999999899</v>
      </c>
      <c r="AH107">
        <v>0.63351638499326501</v>
      </c>
      <c r="AI107">
        <v>104.468762039064</v>
      </c>
      <c r="AJ107">
        <v>80.603251745088102</v>
      </c>
      <c r="AK107">
        <v>0.66316585551455098</v>
      </c>
      <c r="AL107">
        <v>83.934720443256694</v>
      </c>
      <c r="AM107">
        <v>86.874167302601805</v>
      </c>
      <c r="AN107">
        <v>1.00000002899527</v>
      </c>
    </row>
    <row r="108" spans="1:40" x14ac:dyDescent="0.25">
      <c r="A108" t="str">
        <f>"20190312163955888"</f>
        <v>20190312163955888</v>
      </c>
      <c r="B108" t="str">
        <f>"1552379995876168"</f>
        <v>1552379995876168</v>
      </c>
      <c r="C108" t="s">
        <v>40</v>
      </c>
      <c r="D108">
        <v>4.8634979999999999</v>
      </c>
      <c r="E108">
        <v>0.54629359999999905</v>
      </c>
      <c r="F108" t="s">
        <v>42</v>
      </c>
      <c r="G108">
        <v>-472.48509999999999</v>
      </c>
      <c r="H108">
        <v>0.97656350000000003</v>
      </c>
      <c r="I108">
        <v>367.28019999999998</v>
      </c>
      <c r="J108">
        <v>-473.17110000000002</v>
      </c>
      <c r="K108">
        <v>1.1105339999999999</v>
      </c>
      <c r="L108">
        <v>367.36079999999998</v>
      </c>
      <c r="M108">
        <v>0.99884910000000005</v>
      </c>
      <c r="N108">
        <v>0</v>
      </c>
      <c r="O108">
        <v>4.6244269999999997E-2</v>
      </c>
      <c r="P108">
        <v>0.99561250000000001</v>
      </c>
      <c r="Q108">
        <v>9.313718E-2</v>
      </c>
      <c r="R108">
        <v>-9.0323480000000008E-3</v>
      </c>
      <c r="S108">
        <v>3.062897</v>
      </c>
      <c r="T108">
        <v>-0.57344399999999995</v>
      </c>
      <c r="U108">
        <v>-0.33645629999999999</v>
      </c>
      <c r="V108">
        <v>5.5071630000000003E-2</v>
      </c>
      <c r="W108">
        <v>0.1057876</v>
      </c>
      <c r="X108">
        <v>0.99286260000000004</v>
      </c>
      <c r="Y108">
        <v>0.15164520000000001</v>
      </c>
      <c r="Z108">
        <v>-2.2594409999999999E-2</v>
      </c>
      <c r="AA108">
        <v>0.98817670000000002</v>
      </c>
      <c r="AB108">
        <v>2</v>
      </c>
      <c r="AC108">
        <v>0.68600000000003503</v>
      </c>
      <c r="AD108">
        <v>-0.13397049999999899</v>
      </c>
      <c r="AE108">
        <v>-8.0600000000004002E-2</v>
      </c>
      <c r="AF108">
        <v>0.10817054646075799</v>
      </c>
      <c r="AG108">
        <v>-0.13397049999999899</v>
      </c>
      <c r="AH108">
        <v>0.65682865272782698</v>
      </c>
      <c r="AI108">
        <v>101.379043515822</v>
      </c>
      <c r="AJ108">
        <v>80.648124494156804</v>
      </c>
      <c r="AK108">
        <v>0.67902344660263503</v>
      </c>
      <c r="AL108">
        <v>83.927454679608999</v>
      </c>
      <c r="AM108">
        <v>86.825198227158594</v>
      </c>
      <c r="AN108">
        <v>1.00000002161168</v>
      </c>
    </row>
    <row r="109" spans="1:40" x14ac:dyDescent="0.25">
      <c r="A109" t="str">
        <f>"20190312163955902"</f>
        <v>20190312163955902</v>
      </c>
      <c r="B109" t="str">
        <f>"1552379995896665"</f>
        <v>1552379995896665</v>
      </c>
      <c r="C109" t="s">
        <v>40</v>
      </c>
      <c r="D109">
        <v>4.3861150000000002</v>
      </c>
      <c r="E109">
        <v>0.545825</v>
      </c>
      <c r="F109" t="s">
        <v>42</v>
      </c>
      <c r="G109">
        <v>-472.45409999999998</v>
      </c>
      <c r="H109">
        <v>0.97566679999999995</v>
      </c>
      <c r="I109">
        <v>367.28030000000001</v>
      </c>
      <c r="J109">
        <v>-473.14890000000003</v>
      </c>
      <c r="K109">
        <v>1.1102240000000001</v>
      </c>
      <c r="L109">
        <v>367.36200000000002</v>
      </c>
      <c r="M109">
        <v>0.9988513</v>
      </c>
      <c r="N109">
        <v>0</v>
      </c>
      <c r="O109">
        <v>4.6491829999999998E-2</v>
      </c>
      <c r="P109">
        <v>0.99550300000000003</v>
      </c>
      <c r="Q109">
        <v>9.427808E-2</v>
      </c>
      <c r="R109">
        <v>-9.2579710000000003E-3</v>
      </c>
      <c r="S109">
        <v>3.064117</v>
      </c>
      <c r="T109">
        <v>-0.57669159999999997</v>
      </c>
      <c r="U109">
        <v>-0.34274290000000002</v>
      </c>
      <c r="V109">
        <v>5.5531379999999998E-2</v>
      </c>
      <c r="W109">
        <v>0.1058137</v>
      </c>
      <c r="X109">
        <v>0.9928342</v>
      </c>
      <c r="Y109">
        <v>0.1537732</v>
      </c>
      <c r="Z109">
        <v>-2.2952810000000001E-2</v>
      </c>
      <c r="AA109">
        <v>0.98783960000000004</v>
      </c>
      <c r="AB109">
        <v>3</v>
      </c>
      <c r="AC109">
        <v>0.69480000000004305</v>
      </c>
      <c r="AD109">
        <v>-0.13455719999999899</v>
      </c>
      <c r="AE109">
        <v>-8.1699999999955197E-2</v>
      </c>
      <c r="AF109">
        <v>0.10985246662732</v>
      </c>
      <c r="AG109">
        <v>-0.13455719999999899</v>
      </c>
      <c r="AH109">
        <v>0.665625837835501</v>
      </c>
      <c r="AI109">
        <v>101.279815934149</v>
      </c>
      <c r="AJ109">
        <v>80.628586751779693</v>
      </c>
      <c r="AK109">
        <v>0.687917844288225</v>
      </c>
      <c r="AL109">
        <v>83.925950754355398</v>
      </c>
      <c r="AM109">
        <v>86.798657803787094</v>
      </c>
      <c r="AN109">
        <v>1.0000000109810101</v>
      </c>
    </row>
    <row r="110" spans="1:40" x14ac:dyDescent="0.25">
      <c r="A110" t="str">
        <f>"20190312163955914"</f>
        <v>20190312163955914</v>
      </c>
      <c r="B110" t="str">
        <f>"1552379995906424"</f>
        <v>1552379995906424</v>
      </c>
      <c r="C110" t="s">
        <v>40</v>
      </c>
      <c r="D110">
        <v>4.668393</v>
      </c>
      <c r="E110">
        <v>0.54603259999999998</v>
      </c>
      <c r="F110" t="s">
        <v>42</v>
      </c>
      <c r="G110">
        <v>-472.4212</v>
      </c>
      <c r="H110">
        <v>0.97450110000000001</v>
      </c>
      <c r="I110">
        <v>367.28120000000001</v>
      </c>
      <c r="J110">
        <v>-473.12740000000002</v>
      </c>
      <c r="K110">
        <v>1.109996</v>
      </c>
      <c r="L110">
        <v>367.36320000000001</v>
      </c>
      <c r="M110">
        <v>0.99884989999999996</v>
      </c>
      <c r="N110">
        <v>0</v>
      </c>
      <c r="O110">
        <v>4.675584E-2</v>
      </c>
      <c r="P110">
        <v>0.99537399999999998</v>
      </c>
      <c r="Q110">
        <v>9.5604990000000001E-2</v>
      </c>
      <c r="R110">
        <v>-9.5085050000000004E-3</v>
      </c>
      <c r="S110">
        <v>3.0645449999999999</v>
      </c>
      <c r="T110">
        <v>-0.57177480000000003</v>
      </c>
      <c r="U110">
        <v>-0.33941650000000001</v>
      </c>
      <c r="V110">
        <v>5.6030379999999998E-2</v>
      </c>
      <c r="W110">
        <v>0.1061632</v>
      </c>
      <c r="X110">
        <v>0.99276880000000001</v>
      </c>
      <c r="Y110">
        <v>0.15302650000000001</v>
      </c>
      <c r="Z110">
        <v>-2.2738359999999999E-2</v>
      </c>
      <c r="AA110">
        <v>0.98796050000000002</v>
      </c>
      <c r="AB110">
        <v>4</v>
      </c>
      <c r="AC110">
        <v>0.70620000000002303</v>
      </c>
      <c r="AD110">
        <v>-0.135494899999999</v>
      </c>
      <c r="AE110">
        <v>-8.1999999999993606E-2</v>
      </c>
      <c r="AF110">
        <v>0.11090289055069701</v>
      </c>
      <c r="AG110">
        <v>-0.135494899999999</v>
      </c>
      <c r="AH110">
        <v>0.67700302531159895</v>
      </c>
      <c r="AI110">
        <v>101.17250915471899</v>
      </c>
      <c r="AJ110">
        <v>80.696753166138294</v>
      </c>
      <c r="AK110">
        <v>0.69927921128799997</v>
      </c>
      <c r="AL110">
        <v>83.905812132093402</v>
      </c>
      <c r="AM110">
        <v>86.769739137914499</v>
      </c>
      <c r="AN110">
        <v>0.99999995938531105</v>
      </c>
    </row>
    <row r="111" spans="1:40" x14ac:dyDescent="0.25">
      <c r="A111" t="str">
        <f>"20190312163955935"</f>
        <v>20190312163955935</v>
      </c>
      <c r="B111" t="str">
        <f>"1552379995926921"</f>
        <v>1552379995926921</v>
      </c>
      <c r="C111" t="s">
        <v>40</v>
      </c>
      <c r="D111">
        <v>4.8286639999999998</v>
      </c>
      <c r="E111">
        <v>0.54579940000000005</v>
      </c>
      <c r="F111" t="s">
        <v>42</v>
      </c>
      <c r="G111">
        <v>-472.4194</v>
      </c>
      <c r="H111">
        <v>0.97862950000000004</v>
      </c>
      <c r="I111">
        <v>367.28390000000002</v>
      </c>
      <c r="J111">
        <v>-473.09379999999999</v>
      </c>
      <c r="K111">
        <v>1.1098779999999999</v>
      </c>
      <c r="L111">
        <v>367.36520000000002</v>
      </c>
      <c r="M111">
        <v>0.99883929999999999</v>
      </c>
      <c r="N111">
        <v>0</v>
      </c>
      <c r="O111">
        <v>4.7156839999999998E-2</v>
      </c>
      <c r="P111">
        <v>0.99528779999999994</v>
      </c>
      <c r="Q111">
        <v>9.6447969999999994E-2</v>
      </c>
      <c r="R111">
        <v>-1.0008950000000001E-2</v>
      </c>
      <c r="S111">
        <v>3.0653380000000001</v>
      </c>
      <c r="T111">
        <v>-0.56907109999999905</v>
      </c>
      <c r="U111">
        <v>-0.34228520000000001</v>
      </c>
      <c r="V111">
        <v>5.6915689999999998E-2</v>
      </c>
      <c r="W111">
        <v>0.1062063</v>
      </c>
      <c r="X111">
        <v>0.99271390000000004</v>
      </c>
      <c r="Y111">
        <v>0.15431329999999999</v>
      </c>
      <c r="Z111">
        <v>-2.281745E-2</v>
      </c>
      <c r="AA111">
        <v>0.98775849999999998</v>
      </c>
      <c r="AB111">
        <v>4</v>
      </c>
      <c r="AC111">
        <v>0.67439999999999101</v>
      </c>
      <c r="AD111">
        <v>-0.13124849999999999</v>
      </c>
      <c r="AE111">
        <v>-8.1299999999998804E-2</v>
      </c>
      <c r="AF111">
        <v>0.108946403030455</v>
      </c>
      <c r="AG111">
        <v>-0.13124849999999999</v>
      </c>
      <c r="AH111">
        <v>0.64570963985427399</v>
      </c>
      <c r="AI111">
        <v>101.333595694043</v>
      </c>
      <c r="AJ111">
        <v>80.423052297219897</v>
      </c>
      <c r="AK111">
        <v>0.66785958590579597</v>
      </c>
      <c r="AL111">
        <v>83.903329079047694</v>
      </c>
      <c r="AM111">
        <v>86.718628879158302</v>
      </c>
      <c r="AN111">
        <v>1.0000000305905301</v>
      </c>
    </row>
    <row r="112" spans="1:40" x14ac:dyDescent="0.25">
      <c r="A112" t="str">
        <f>"20190312163955959"</f>
        <v>20190312163955959</v>
      </c>
      <c r="B112" t="str">
        <f>"1552379995946440"</f>
        <v>1552379995946440</v>
      </c>
      <c r="C112" t="s">
        <v>40</v>
      </c>
      <c r="D112">
        <v>4.6585809999999999</v>
      </c>
      <c r="E112">
        <v>0.54560419999999998</v>
      </c>
      <c r="F112" t="s">
        <v>42</v>
      </c>
      <c r="G112">
        <v>-472.38619999999997</v>
      </c>
      <c r="H112">
        <v>0.97893869999999905</v>
      </c>
      <c r="I112">
        <v>367.28590000000003</v>
      </c>
      <c r="J112">
        <v>-473.06020000000001</v>
      </c>
      <c r="K112">
        <v>1.110209</v>
      </c>
      <c r="L112">
        <v>367.36720000000003</v>
      </c>
      <c r="M112">
        <v>0.9988148</v>
      </c>
      <c r="N112">
        <v>0</v>
      </c>
      <c r="O112">
        <v>4.7489440000000001E-2</v>
      </c>
      <c r="P112">
        <v>0.99538400000000005</v>
      </c>
      <c r="Q112">
        <v>9.5362569999999994E-2</v>
      </c>
      <c r="R112">
        <v>-1.079842E-2</v>
      </c>
      <c r="S112">
        <v>3.0658259999999999</v>
      </c>
      <c r="T112">
        <v>-0.56802379999999997</v>
      </c>
      <c r="U112">
        <v>-0.34097290000000002</v>
      </c>
      <c r="V112">
        <v>5.8043919999999999E-2</v>
      </c>
      <c r="W112">
        <v>0.1059697</v>
      </c>
      <c r="X112">
        <v>0.99267380000000005</v>
      </c>
      <c r="Y112">
        <v>0.15421689999999999</v>
      </c>
      <c r="Z112">
        <v>-2.2825310000000001E-2</v>
      </c>
      <c r="AA112">
        <v>0.98777340000000002</v>
      </c>
      <c r="AB112">
        <v>4</v>
      </c>
      <c r="AC112">
        <v>0.67400000000003502</v>
      </c>
      <c r="AD112">
        <v>-0.13127030000000001</v>
      </c>
      <c r="AE112">
        <v>-8.1299999999998804E-2</v>
      </c>
      <c r="AF112">
        <v>0.109137463243833</v>
      </c>
      <c r="AG112">
        <v>-0.13127030000000001</v>
      </c>
      <c r="AH112">
        <v>0.645253211603524</v>
      </c>
      <c r="AI112">
        <v>101.342485973739</v>
      </c>
      <c r="AJ112">
        <v>80.399909222223201</v>
      </c>
      <c r="AK112">
        <v>0.66745380711331004</v>
      </c>
      <c r="AL112">
        <v>83.916961847180801</v>
      </c>
      <c r="AM112">
        <v>86.653594332189002</v>
      </c>
      <c r="AN112">
        <v>0.99999997358674797</v>
      </c>
    </row>
    <row r="113" spans="1:40" x14ac:dyDescent="0.25">
      <c r="A113" t="str">
        <f>"20190312163955978"</f>
        <v>20190312163955978</v>
      </c>
      <c r="B113" t="str">
        <f>"1552379995966936"</f>
        <v>1552379995966936</v>
      </c>
      <c r="C113" t="s">
        <v>40</v>
      </c>
      <c r="D113">
        <v>4.9064639999999997</v>
      </c>
      <c r="E113">
        <v>0.54541280000000003</v>
      </c>
      <c r="F113" t="s">
        <v>42</v>
      </c>
      <c r="G113">
        <v>-472.3571</v>
      </c>
      <c r="H113">
        <v>0.97935859999999997</v>
      </c>
      <c r="I113">
        <v>367.28879999999998</v>
      </c>
      <c r="J113">
        <v>-473.03460000000001</v>
      </c>
      <c r="K113">
        <v>1.110635</v>
      </c>
      <c r="L113">
        <v>367.36869999999999</v>
      </c>
      <c r="M113">
        <v>0.99878719999999999</v>
      </c>
      <c r="N113">
        <v>0</v>
      </c>
      <c r="O113">
        <v>4.7681260000000003E-2</v>
      </c>
      <c r="P113">
        <v>0.99548570000000003</v>
      </c>
      <c r="Q113">
        <v>9.4213829999999998E-2</v>
      </c>
      <c r="R113">
        <v>-1.1485220000000001E-2</v>
      </c>
      <c r="S113">
        <v>3.0648499999999999</v>
      </c>
      <c r="T113">
        <v>-0.57039209999999996</v>
      </c>
      <c r="U113">
        <v>-0.34207149999999997</v>
      </c>
      <c r="V113">
        <v>5.8939489999999997E-2</v>
      </c>
      <c r="W113">
        <v>0.1063993</v>
      </c>
      <c r="X113">
        <v>0.99257510000000004</v>
      </c>
      <c r="Y113">
        <v>0.1547492</v>
      </c>
      <c r="Z113">
        <v>-2.3010039999999999E-2</v>
      </c>
      <c r="AA113">
        <v>0.98768579999999995</v>
      </c>
      <c r="AB113">
        <v>4</v>
      </c>
      <c r="AC113">
        <v>0.67750000000000898</v>
      </c>
      <c r="AD113">
        <v>-0.13127639999999999</v>
      </c>
      <c r="AE113">
        <v>-7.9900000000009103E-2</v>
      </c>
      <c r="AF113">
        <v>0.10811217968588099</v>
      </c>
      <c r="AG113">
        <v>-0.13127639999999999</v>
      </c>
      <c r="AH113">
        <v>0.648890725340868</v>
      </c>
      <c r="AI113">
        <v>101.285586629714</v>
      </c>
      <c r="AJ113">
        <v>80.540794224037796</v>
      </c>
      <c r="AK113">
        <v>0.67080616427310102</v>
      </c>
      <c r="AL113">
        <v>83.892207803276094</v>
      </c>
      <c r="AM113">
        <v>86.601745012432602</v>
      </c>
      <c r="AN113">
        <v>1.00000000183098</v>
      </c>
    </row>
    <row r="114" spans="1:40" x14ac:dyDescent="0.25">
      <c r="A114" t="str">
        <f>"20190312163955994"</f>
        <v>20190312163955994</v>
      </c>
      <c r="B114" t="str">
        <f>"1552379995986457"</f>
        <v>1552379995986457</v>
      </c>
      <c r="C114" t="s">
        <v>40</v>
      </c>
      <c r="D114">
        <v>4.4082339999999904</v>
      </c>
      <c r="E114">
        <v>0.54504319999999995</v>
      </c>
      <c r="F114" t="s">
        <v>42</v>
      </c>
      <c r="G114">
        <v>-472.33350000000002</v>
      </c>
      <c r="H114">
        <v>0.97556540000000003</v>
      </c>
      <c r="I114">
        <v>367.2901</v>
      </c>
      <c r="J114">
        <v>-473.01100000000002</v>
      </c>
      <c r="K114">
        <v>1.1105259999999999</v>
      </c>
      <c r="L114">
        <v>367.37009999999998</v>
      </c>
      <c r="M114">
        <v>0.99878169999999999</v>
      </c>
      <c r="N114">
        <v>0</v>
      </c>
      <c r="O114">
        <v>4.7877429999999999E-2</v>
      </c>
      <c r="P114">
        <v>0.99547949999999996</v>
      </c>
      <c r="Q114">
        <v>9.4261330000000004E-2</v>
      </c>
      <c r="R114">
        <v>-1.164565E-2</v>
      </c>
      <c r="S114">
        <v>3.065582</v>
      </c>
      <c r="T114">
        <v>-0.59126319999999999</v>
      </c>
      <c r="U114">
        <v>-0.34075929999999999</v>
      </c>
      <c r="V114">
        <v>5.9292730000000002E-2</v>
      </c>
      <c r="W114">
        <v>0.10614179999999999</v>
      </c>
      <c r="X114">
        <v>0.99258159999999895</v>
      </c>
      <c r="Y114">
        <v>0.15425239999999901</v>
      </c>
      <c r="Z114">
        <v>-2.3822139999999999E-2</v>
      </c>
      <c r="AA114">
        <v>0.98774430000000002</v>
      </c>
      <c r="AB114">
        <v>3</v>
      </c>
      <c r="AC114">
        <v>0.67749999999995203</v>
      </c>
      <c r="AD114">
        <v>-0.13496059999999999</v>
      </c>
      <c r="AE114">
        <v>-7.9999999999984001E-2</v>
      </c>
      <c r="AF114">
        <v>0.108116231511958</v>
      </c>
      <c r="AG114">
        <v>-0.13496059999999999</v>
      </c>
      <c r="AH114">
        <v>0.64754966033902195</v>
      </c>
      <c r="AI114">
        <v>101.616561791188</v>
      </c>
      <c r="AJ114">
        <v>80.521210677016199</v>
      </c>
      <c r="AK114">
        <v>0.67024178150417502</v>
      </c>
      <c r="AL114">
        <v>83.907045300630998</v>
      </c>
      <c r="AM114">
        <v>86.581448860945997</v>
      </c>
      <c r="AN114">
        <v>0.99999997109832495</v>
      </c>
    </row>
    <row r="115" spans="1:40" x14ac:dyDescent="0.25">
      <c r="A115" t="str">
        <f>"20190312163956012"</f>
        <v>20190312163956012</v>
      </c>
      <c r="B115" t="str">
        <f>"1552379996006953"</f>
        <v>1552379996006953</v>
      </c>
      <c r="C115" t="s">
        <v>40</v>
      </c>
      <c r="D115">
        <v>4.9745980000000003</v>
      </c>
      <c r="E115">
        <v>0.54489399999999999</v>
      </c>
      <c r="F115" t="s">
        <v>42</v>
      </c>
      <c r="G115">
        <v>-472.30399999999997</v>
      </c>
      <c r="H115">
        <v>0.97441540000000004</v>
      </c>
      <c r="I115">
        <v>367.29219999999998</v>
      </c>
      <c r="J115">
        <v>-472.98149999999998</v>
      </c>
      <c r="K115">
        <v>1.1102179999999999</v>
      </c>
      <c r="L115">
        <v>367.37180000000001</v>
      </c>
      <c r="M115">
        <v>0.99878029999999995</v>
      </c>
      <c r="N115">
        <v>0</v>
      </c>
      <c r="O115">
        <v>4.8166189999999998E-2</v>
      </c>
      <c r="P115">
        <v>0.99538789999999999</v>
      </c>
      <c r="Q115">
        <v>9.5154260000000004E-2</v>
      </c>
      <c r="R115">
        <v>-1.2194669999999999E-2</v>
      </c>
      <c r="S115">
        <v>3.0655519999999998</v>
      </c>
      <c r="T115">
        <v>-0.590082199999999</v>
      </c>
      <c r="U115">
        <v>-0.33770749999999999</v>
      </c>
      <c r="V115">
        <v>6.0119440000000003E-2</v>
      </c>
      <c r="W115">
        <v>0.1059522</v>
      </c>
      <c r="X115">
        <v>0.9925522</v>
      </c>
      <c r="Y115">
        <v>0.1535878</v>
      </c>
      <c r="Z115">
        <v>-2.376847E-2</v>
      </c>
      <c r="AA115">
        <v>0.98784910000000004</v>
      </c>
      <c r="AB115">
        <v>3</v>
      </c>
      <c r="AC115">
        <v>0.67749999999995203</v>
      </c>
      <c r="AD115">
        <v>-0.135802599999999</v>
      </c>
      <c r="AE115">
        <v>-7.9600000000027593E-2</v>
      </c>
      <c r="AF115">
        <v>0.107867151498174</v>
      </c>
      <c r="AG115">
        <v>-0.135802599999999</v>
      </c>
      <c r="AH115">
        <v>0.64722848772229302</v>
      </c>
      <c r="AI115">
        <v>101.693245265058</v>
      </c>
      <c r="AJ115">
        <v>80.538044984667906</v>
      </c>
      <c r="AK115">
        <v>0.67006147767080004</v>
      </c>
      <c r="AL115">
        <v>83.917970622247296</v>
      </c>
      <c r="AM115">
        <v>86.533797485036999</v>
      </c>
      <c r="AN115">
        <v>1.00000004273779</v>
      </c>
    </row>
    <row r="116" spans="1:40" x14ac:dyDescent="0.25">
      <c r="A116" t="str">
        <f>"20190312163956026"</f>
        <v>20190312163956026</v>
      </c>
      <c r="B116" t="str">
        <f>"1552379996016712"</f>
        <v>1552379996016712</v>
      </c>
      <c r="C116" t="s">
        <v>40</v>
      </c>
      <c r="D116">
        <v>4.5044190000000004</v>
      </c>
      <c r="E116">
        <v>0.54470589999999997</v>
      </c>
      <c r="F116" t="s">
        <v>42</v>
      </c>
      <c r="G116">
        <v>-472.26960000000003</v>
      </c>
      <c r="H116">
        <v>0.97452519999999998</v>
      </c>
      <c r="I116">
        <v>367.29289999999997</v>
      </c>
      <c r="J116">
        <v>-472.95589999999999</v>
      </c>
      <c r="K116">
        <v>1.109953</v>
      </c>
      <c r="L116">
        <v>367.37329999999997</v>
      </c>
      <c r="M116">
        <v>0.9987779</v>
      </c>
      <c r="N116">
        <v>0</v>
      </c>
      <c r="O116">
        <v>4.8444580000000001E-2</v>
      </c>
      <c r="P116">
        <v>0.99530439999999998</v>
      </c>
      <c r="Q116">
        <v>9.602107E-2</v>
      </c>
      <c r="R116">
        <v>-1.221539E-2</v>
      </c>
      <c r="S116">
        <v>3.0655519999999998</v>
      </c>
      <c r="T116">
        <v>-0.58450150000000001</v>
      </c>
      <c r="U116">
        <v>-0.3389587</v>
      </c>
      <c r="V116">
        <v>6.0407460000000003E-2</v>
      </c>
      <c r="W116">
        <v>0.1057525</v>
      </c>
      <c r="X116">
        <v>0.99255599999999999</v>
      </c>
      <c r="Y116">
        <v>0.15431159999999999</v>
      </c>
      <c r="Z116">
        <v>-2.366772E-2</v>
      </c>
      <c r="AA116">
        <v>0.98773869999999997</v>
      </c>
      <c r="AB116">
        <v>3</v>
      </c>
      <c r="AC116">
        <v>0.68629999999996005</v>
      </c>
      <c r="AD116">
        <v>-0.13542779999999899</v>
      </c>
      <c r="AE116">
        <v>-8.0399999999997293E-2</v>
      </c>
      <c r="AF116">
        <v>0.109354177567974</v>
      </c>
      <c r="AG116">
        <v>-0.13542779999999899</v>
      </c>
      <c r="AH116">
        <v>0.65638583955829499</v>
      </c>
      <c r="AI116">
        <v>101.50363647530401</v>
      </c>
      <c r="AJ116">
        <v>80.541369115897595</v>
      </c>
      <c r="AK116">
        <v>0.67907392494268004</v>
      </c>
      <c r="AL116">
        <v>83.929477174215606</v>
      </c>
      <c r="AM116">
        <v>86.517245692777095</v>
      </c>
      <c r="AN116">
        <v>1.0000000328079499</v>
      </c>
    </row>
    <row r="117" spans="1:40" x14ac:dyDescent="0.25">
      <c r="A117" t="str">
        <f>"20190312163956045"</f>
        <v>20190312163956045</v>
      </c>
      <c r="B117" t="str">
        <f>"1552379996036232"</f>
        <v>1552379996036232</v>
      </c>
      <c r="C117" t="s">
        <v>40</v>
      </c>
      <c r="D117">
        <v>5.2072139999999996</v>
      </c>
      <c r="E117">
        <v>0.54436790000000002</v>
      </c>
      <c r="F117" t="s">
        <v>42</v>
      </c>
      <c r="G117">
        <v>-472.23320000000001</v>
      </c>
      <c r="H117">
        <v>0.97318229999999994</v>
      </c>
      <c r="I117">
        <v>367.29320000000001</v>
      </c>
      <c r="J117">
        <v>-472.92140000000001</v>
      </c>
      <c r="K117">
        <v>1.109772</v>
      </c>
      <c r="L117">
        <v>367.37529999999998</v>
      </c>
      <c r="M117">
        <v>0.99876860000000001</v>
      </c>
      <c r="N117">
        <v>0</v>
      </c>
      <c r="O117">
        <v>4.8816610000000003E-2</v>
      </c>
      <c r="P117">
        <v>0.99521479999999996</v>
      </c>
      <c r="Q117">
        <v>9.6853439999999999E-2</v>
      </c>
      <c r="R117">
        <v>-1.291865E-2</v>
      </c>
      <c r="S117">
        <v>3.066071</v>
      </c>
      <c r="T117">
        <v>-0.58068299999999995</v>
      </c>
      <c r="U117">
        <v>-0.33807369999999998</v>
      </c>
      <c r="V117">
        <v>6.147085E-2</v>
      </c>
      <c r="W117">
        <v>0.10566010000000001</v>
      </c>
      <c r="X117">
        <v>0.99250050000000001</v>
      </c>
      <c r="Y117">
        <v>0.15441830000000001</v>
      </c>
      <c r="Z117">
        <v>-2.3591810000000001E-2</v>
      </c>
      <c r="AA117">
        <v>0.98772389999999999</v>
      </c>
      <c r="AB117">
        <v>4</v>
      </c>
      <c r="AC117">
        <v>0.68819999999999404</v>
      </c>
      <c r="AD117">
        <v>-0.13658969999999901</v>
      </c>
      <c r="AE117">
        <v>-8.2099999999968504E-2</v>
      </c>
      <c r="AF117">
        <v>0.11127710934136301</v>
      </c>
      <c r="AG117">
        <v>-0.13658969999999901</v>
      </c>
      <c r="AH117">
        <v>0.65782219936723596</v>
      </c>
      <c r="AI117">
        <v>101.570318377723</v>
      </c>
      <c r="AJ117">
        <v>80.398745728622998</v>
      </c>
      <c r="AK117">
        <v>0.68100615796761199</v>
      </c>
      <c r="AL117">
        <v>83.9348008247119</v>
      </c>
      <c r="AM117">
        <v>86.455893843975602</v>
      </c>
      <c r="AN117">
        <v>0.99999998231599097</v>
      </c>
    </row>
    <row r="118" spans="1:40" x14ac:dyDescent="0.25">
      <c r="A118" t="str">
        <f>"20190312163956067"</f>
        <v>20190312163956067</v>
      </c>
      <c r="B118" t="str">
        <f>"1552379996056728"</f>
        <v>1552379996056728</v>
      </c>
      <c r="C118" t="s">
        <v>40</v>
      </c>
      <c r="D118">
        <v>5.0816720000000002</v>
      </c>
      <c r="E118">
        <v>0.54412989999999894</v>
      </c>
      <c r="F118" t="s">
        <v>42</v>
      </c>
      <c r="G118">
        <v>-472.19799999999998</v>
      </c>
      <c r="H118">
        <v>0.97425969999999995</v>
      </c>
      <c r="I118">
        <v>367.2953</v>
      </c>
      <c r="J118">
        <v>-472.88479999999998</v>
      </c>
      <c r="K118">
        <v>1.110004</v>
      </c>
      <c r="L118">
        <v>367.3775</v>
      </c>
      <c r="M118">
        <v>0.9987471</v>
      </c>
      <c r="N118">
        <v>0</v>
      </c>
      <c r="O118">
        <v>4.9152460000000002E-2</v>
      </c>
      <c r="P118">
        <v>0.99527880000000002</v>
      </c>
      <c r="Q118">
        <v>9.6172090000000002E-2</v>
      </c>
      <c r="R118">
        <v>-1.3083819999999999E-2</v>
      </c>
      <c r="S118">
        <v>3.0660099999999999</v>
      </c>
      <c r="T118">
        <v>-0.57483969999999995</v>
      </c>
      <c r="U118">
        <v>-0.33676149999999999</v>
      </c>
      <c r="V118">
        <v>6.197834E-2</v>
      </c>
      <c r="W118">
        <v>0.10552300000000001</v>
      </c>
      <c r="X118">
        <v>0.99248360000000002</v>
      </c>
      <c r="Y118">
        <v>0.15440019999999999</v>
      </c>
      <c r="Z118">
        <v>-2.3420070000000001E-2</v>
      </c>
      <c r="AA118">
        <v>0.98773080000000002</v>
      </c>
      <c r="AB118">
        <v>4</v>
      </c>
      <c r="AC118">
        <v>0.68679999999994801</v>
      </c>
      <c r="AD118">
        <v>-0.13574430000000001</v>
      </c>
      <c r="AE118">
        <v>-8.2200000000000203E-2</v>
      </c>
      <c r="AF118">
        <v>0.11156340957705101</v>
      </c>
      <c r="AG118">
        <v>-0.13574430000000001</v>
      </c>
      <c r="AH118">
        <v>0.65664018684835401</v>
      </c>
      <c r="AI118">
        <v>101.51940041232</v>
      </c>
      <c r="AJ118">
        <v>80.357502910805593</v>
      </c>
      <c r="AK118">
        <v>0.67974204248611003</v>
      </c>
      <c r="AL118">
        <v>83.9427006925917</v>
      </c>
      <c r="AM118">
        <v>86.426649285259501</v>
      </c>
      <c r="AN118">
        <v>1.0000000572135499</v>
      </c>
    </row>
    <row r="119" spans="1:40" x14ac:dyDescent="0.25">
      <c r="A119" t="str">
        <f>"20190312163956080"</f>
        <v>20190312163956080</v>
      </c>
      <c r="B119" t="str">
        <f>"1552379996076248"</f>
        <v>1552379996076248</v>
      </c>
      <c r="C119" t="s">
        <v>40</v>
      </c>
      <c r="D119">
        <v>5.2677940000000003</v>
      </c>
      <c r="E119">
        <v>0.54383800000000004</v>
      </c>
      <c r="F119" t="s">
        <v>42</v>
      </c>
      <c r="G119">
        <v>-472.1669</v>
      </c>
      <c r="H119">
        <v>0.97561739999999997</v>
      </c>
      <c r="I119">
        <v>367.29880000000003</v>
      </c>
      <c r="J119">
        <v>-472.86579999999998</v>
      </c>
      <c r="K119">
        <v>1.1102609999999999</v>
      </c>
      <c r="L119">
        <v>367.37860000000001</v>
      </c>
      <c r="M119">
        <v>0.99873100000000004</v>
      </c>
      <c r="N119">
        <v>0</v>
      </c>
      <c r="O119">
        <v>4.9304220000000003E-2</v>
      </c>
      <c r="P119">
        <v>0.99541069999999998</v>
      </c>
      <c r="Q119">
        <v>9.4748869999999999E-2</v>
      </c>
      <c r="R119">
        <v>-1.3419499999999999E-2</v>
      </c>
      <c r="S119">
        <v>3.0653079999999999</v>
      </c>
      <c r="T119">
        <v>-0.57409309999999902</v>
      </c>
      <c r="U119">
        <v>-0.3349915</v>
      </c>
      <c r="V119">
        <v>6.2477890000000001E-2</v>
      </c>
      <c r="W119">
        <v>0.10495069999999999</v>
      </c>
      <c r="X119">
        <v>0.99251290000000003</v>
      </c>
      <c r="Y119">
        <v>0.15402260000000001</v>
      </c>
      <c r="Z119">
        <v>-2.3389320000000002E-2</v>
      </c>
      <c r="AA119">
        <v>0.98779050000000002</v>
      </c>
      <c r="AB119">
        <v>4</v>
      </c>
      <c r="AC119">
        <v>0.69889999999997998</v>
      </c>
      <c r="AD119">
        <v>-0.1346436</v>
      </c>
      <c r="AE119">
        <v>-7.9799999999977403E-2</v>
      </c>
      <c r="AF119">
        <v>0.11012872409178601</v>
      </c>
      <c r="AG119">
        <v>-0.1346436</v>
      </c>
      <c r="AH119">
        <v>0.66958390040409499</v>
      </c>
      <c r="AI119">
        <v>101.22283936902799</v>
      </c>
      <c r="AJ119">
        <v>80.6599910647993</v>
      </c>
      <c r="AK119">
        <v>0.69180910269481599</v>
      </c>
      <c r="AL119">
        <v>83.975673793713497</v>
      </c>
      <c r="AM119">
        <v>86.398029399563896</v>
      </c>
      <c r="AN119">
        <v>0.99999999641787596</v>
      </c>
    </row>
    <row r="120" spans="1:40" x14ac:dyDescent="0.25">
      <c r="A120" t="str">
        <f>"20190312163956101"</f>
        <v>20190312163956101</v>
      </c>
      <c r="B120" t="str">
        <f>"1552379996096744"</f>
        <v>1552379996096744</v>
      </c>
      <c r="C120" t="s">
        <v>40</v>
      </c>
      <c r="D120">
        <v>5.0474110000000003</v>
      </c>
      <c r="E120">
        <v>0.54375980000000002</v>
      </c>
      <c r="F120" t="s">
        <v>42</v>
      </c>
      <c r="G120">
        <v>-472.14010000000002</v>
      </c>
      <c r="H120">
        <v>0.9739312</v>
      </c>
      <c r="I120">
        <v>367.29899999999998</v>
      </c>
      <c r="J120">
        <v>-472.8372</v>
      </c>
      <c r="K120">
        <v>1.110714</v>
      </c>
      <c r="L120">
        <v>367.38029999999998</v>
      </c>
      <c r="M120">
        <v>0.99870110000000001</v>
      </c>
      <c r="N120">
        <v>0</v>
      </c>
      <c r="O120">
        <v>4.9483680000000002E-2</v>
      </c>
      <c r="P120">
        <v>0.99561920000000004</v>
      </c>
      <c r="Q120">
        <v>9.2529529999999999E-2</v>
      </c>
      <c r="R120">
        <v>-1.345413E-2</v>
      </c>
      <c r="S120">
        <v>3.0641780000000001</v>
      </c>
      <c r="T120">
        <v>-0.57622289999999998</v>
      </c>
      <c r="U120">
        <v>-0.33392329999999998</v>
      </c>
      <c r="V120">
        <v>6.2716540000000001E-2</v>
      </c>
      <c r="W120">
        <v>0.10459789999999999</v>
      </c>
      <c r="X120">
        <v>0.9925351</v>
      </c>
      <c r="Y120">
        <v>0.15387110000000001</v>
      </c>
      <c r="Z120">
        <v>-2.350296E-2</v>
      </c>
      <c r="AA120">
        <v>0.98781140000000001</v>
      </c>
      <c r="AB120">
        <v>3</v>
      </c>
      <c r="AC120">
        <v>0.69709999999997696</v>
      </c>
      <c r="AD120">
        <v>-0.13678279999999901</v>
      </c>
      <c r="AE120">
        <v>-8.1299999999941905E-2</v>
      </c>
      <c r="AF120">
        <v>0.111464105020604</v>
      </c>
      <c r="AG120">
        <v>-0.13678279999999901</v>
      </c>
      <c r="AH120">
        <v>0.66689108738963998</v>
      </c>
      <c r="AI120">
        <v>101.43652934259801</v>
      </c>
      <c r="AJ120">
        <v>80.511298751192598</v>
      </c>
      <c r="AK120">
        <v>0.68983875182800503</v>
      </c>
      <c r="AL120">
        <v>83.995999668843893</v>
      </c>
      <c r="AM120">
        <v>86.384387854745796</v>
      </c>
      <c r="AN120">
        <v>1.00000000490299</v>
      </c>
    </row>
    <row r="121" spans="1:40" x14ac:dyDescent="0.25">
      <c r="A121" t="str">
        <f>"20190312163956124"</f>
        <v>20190312163956124</v>
      </c>
      <c r="B121" t="str">
        <f>"1552379996116265"</f>
        <v>1552379996116265</v>
      </c>
      <c r="C121" t="s">
        <v>40</v>
      </c>
      <c r="D121">
        <v>5.0444849999999999</v>
      </c>
      <c r="E121">
        <v>0.5437746</v>
      </c>
      <c r="F121" t="s">
        <v>42</v>
      </c>
      <c r="G121">
        <v>-472.1155</v>
      </c>
      <c r="H121">
        <v>0.97365579999999996</v>
      </c>
      <c r="I121">
        <v>367.30169999999998</v>
      </c>
      <c r="J121">
        <v>-472.80759999999998</v>
      </c>
      <c r="K121">
        <v>1.110941</v>
      </c>
      <c r="L121">
        <v>367.38200000000001</v>
      </c>
      <c r="M121">
        <v>0.99867629999999996</v>
      </c>
      <c r="N121">
        <v>0</v>
      </c>
      <c r="O121">
        <v>4.9633370000000003E-2</v>
      </c>
      <c r="P121">
        <v>0.99579399999999996</v>
      </c>
      <c r="Q121">
        <v>9.0631340000000005E-2</v>
      </c>
      <c r="R121">
        <v>-1.342924E-2</v>
      </c>
      <c r="S121">
        <v>3.0627749999999998</v>
      </c>
      <c r="T121">
        <v>-0.58197889999999997</v>
      </c>
      <c r="U121">
        <v>-0.33270260000000001</v>
      </c>
      <c r="V121">
        <v>6.2859509999999993E-2</v>
      </c>
      <c r="W121">
        <v>0.1040345</v>
      </c>
      <c r="X121">
        <v>0.99258519999999995</v>
      </c>
      <c r="Y121">
        <v>0.15360799999999999</v>
      </c>
      <c r="Z121">
        <v>-2.374836E-2</v>
      </c>
      <c r="AA121">
        <v>0.98784640000000001</v>
      </c>
      <c r="AB121">
        <v>3</v>
      </c>
      <c r="AC121">
        <v>0.69209999999998195</v>
      </c>
      <c r="AD121">
        <v>-0.137285199999999</v>
      </c>
      <c r="AE121">
        <v>-8.0299999999965593E-2</v>
      </c>
      <c r="AF121">
        <v>0.110274094164762</v>
      </c>
      <c r="AG121">
        <v>-0.137285199999999</v>
      </c>
      <c r="AH121">
        <v>0.66157576365186599</v>
      </c>
      <c r="AI121">
        <v>101.567993661846</v>
      </c>
      <c r="AJ121">
        <v>80.536711544821401</v>
      </c>
      <c r="AK121">
        <v>0.68460944562169801</v>
      </c>
      <c r="AL121">
        <v>84.028456788026205</v>
      </c>
      <c r="AM121">
        <v>86.376349987279497</v>
      </c>
      <c r="AN121">
        <v>0.999999937223363</v>
      </c>
    </row>
    <row r="122" spans="1:40" x14ac:dyDescent="0.25">
      <c r="A122" t="str">
        <f>"20190312163956148"</f>
        <v>20190312163956148</v>
      </c>
      <c r="B122" t="str">
        <f>"1552379996136760"</f>
        <v>1552379996136760</v>
      </c>
      <c r="C122" t="s">
        <v>40</v>
      </c>
      <c r="D122">
        <v>4.6032570000000002</v>
      </c>
      <c r="E122">
        <v>0.54353530000000005</v>
      </c>
      <c r="F122" t="s">
        <v>42</v>
      </c>
      <c r="G122">
        <v>-472.08659999999998</v>
      </c>
      <c r="H122">
        <v>0.9718021</v>
      </c>
      <c r="I122">
        <v>367.30340000000001</v>
      </c>
      <c r="J122">
        <v>-472.77030000000002</v>
      </c>
      <c r="K122">
        <v>1.1105290000000001</v>
      </c>
      <c r="L122">
        <v>367.38420000000002</v>
      </c>
      <c r="M122">
        <v>0.99867760000000005</v>
      </c>
      <c r="N122">
        <v>0</v>
      </c>
      <c r="O122">
        <v>4.9891030000000003E-2</v>
      </c>
      <c r="P122">
        <v>0.99570910000000001</v>
      </c>
      <c r="Q122">
        <v>9.1547359999999994E-2</v>
      </c>
      <c r="R122">
        <v>-1.351455E-2</v>
      </c>
      <c r="S122">
        <v>3.0619809999999998</v>
      </c>
      <c r="T122">
        <v>-0.59123780000000004</v>
      </c>
      <c r="U122">
        <v>-0.33279419999999998</v>
      </c>
      <c r="V122">
        <v>6.3186999999999993E-2</v>
      </c>
      <c r="W122">
        <v>0.1038737</v>
      </c>
      <c r="X122">
        <v>0.9925813</v>
      </c>
      <c r="Y122">
        <v>0.1537944</v>
      </c>
      <c r="Z122">
        <v>-2.4192330000000001E-2</v>
      </c>
      <c r="AA122">
        <v>0.98780670000000004</v>
      </c>
      <c r="AB122">
        <v>3</v>
      </c>
      <c r="AC122">
        <v>0.68370000000004405</v>
      </c>
      <c r="AD122">
        <v>-0.13872689999999999</v>
      </c>
      <c r="AE122">
        <v>-8.0800000000010599E-2</v>
      </c>
      <c r="AF122">
        <v>0.11033256457871</v>
      </c>
      <c r="AG122">
        <v>-0.13872689999999999</v>
      </c>
      <c r="AH122">
        <v>0.65232986621532396</v>
      </c>
      <c r="AI122">
        <v>101.842526851483</v>
      </c>
      <c r="AJ122">
        <v>80.400066060397407</v>
      </c>
      <c r="AK122">
        <v>0.67598275269908104</v>
      </c>
      <c r="AL122">
        <v>84.037720452614096</v>
      </c>
      <c r="AM122">
        <v>86.357507655407801</v>
      </c>
      <c r="AN122">
        <v>0.99999998981518901</v>
      </c>
    </row>
    <row r="123" spans="1:40" x14ac:dyDescent="0.25">
      <c r="A123" t="str">
        <f>"20190312163956169"</f>
        <v>20190312163956169</v>
      </c>
      <c r="B123" t="str">
        <f>"1552379996166041"</f>
        <v>1552379996166041</v>
      </c>
      <c r="C123" t="s">
        <v>40</v>
      </c>
      <c r="D123">
        <v>5.036003</v>
      </c>
      <c r="E123">
        <v>0.54314989999999996</v>
      </c>
      <c r="F123" t="s">
        <v>42</v>
      </c>
      <c r="G123">
        <v>-472.05220000000003</v>
      </c>
      <c r="H123">
        <v>0.97310269999999999</v>
      </c>
      <c r="I123">
        <v>367.30650000000003</v>
      </c>
      <c r="J123">
        <v>-472.7328</v>
      </c>
      <c r="K123">
        <v>1.1100890000000001</v>
      </c>
      <c r="L123">
        <v>367.38630000000001</v>
      </c>
      <c r="M123">
        <v>0.99867899999999998</v>
      </c>
      <c r="N123">
        <v>0</v>
      </c>
      <c r="O123">
        <v>5.0234590000000003E-2</v>
      </c>
      <c r="P123">
        <v>0.99555950000000004</v>
      </c>
      <c r="Q123">
        <v>9.3218309999999999E-2</v>
      </c>
      <c r="R123">
        <v>-1.310417E-2</v>
      </c>
      <c r="S123">
        <v>3.0623469999999999</v>
      </c>
      <c r="T123">
        <v>-0.58616140000000005</v>
      </c>
      <c r="U123">
        <v>-0.33078000000000002</v>
      </c>
      <c r="V123">
        <v>6.3098909999999994E-2</v>
      </c>
      <c r="W123">
        <v>0.1039491</v>
      </c>
      <c r="X123">
        <v>0.99257899999999999</v>
      </c>
      <c r="Y123">
        <v>0.15354039999999999</v>
      </c>
      <c r="Z123">
        <v>-2.4027099999999999E-2</v>
      </c>
      <c r="AA123">
        <v>0.98785020000000001</v>
      </c>
      <c r="AB123">
        <v>3</v>
      </c>
      <c r="AC123">
        <v>0.68059999999996901</v>
      </c>
      <c r="AD123">
        <v>-0.13698629999999901</v>
      </c>
      <c r="AE123">
        <v>-7.9799999999977403E-2</v>
      </c>
      <c r="AF123">
        <v>0.109514540697898</v>
      </c>
      <c r="AG123">
        <v>-0.13698629999999901</v>
      </c>
      <c r="AH123">
        <v>0.64976609333327495</v>
      </c>
      <c r="AI123">
        <v>101.744045396215</v>
      </c>
      <c r="AJ123">
        <v>80.433022364998195</v>
      </c>
      <c r="AK123">
        <v>0.67301906143700596</v>
      </c>
      <c r="AL123">
        <v>84.033376775334801</v>
      </c>
      <c r="AM123">
        <v>86.362563663082</v>
      </c>
      <c r="AN123">
        <v>0.99999997953749797</v>
      </c>
    </row>
    <row r="124" spans="1:40" x14ac:dyDescent="0.25">
      <c r="A124" t="str">
        <f>"20190312163956190"</f>
        <v>20190312163956190</v>
      </c>
      <c r="B124" t="str">
        <f>"1552379996186537"</f>
        <v>1552379996186537</v>
      </c>
      <c r="C124" t="s">
        <v>40</v>
      </c>
      <c r="D124">
        <v>5.5485769999999999</v>
      </c>
      <c r="E124">
        <v>0.54290969999999905</v>
      </c>
      <c r="F124" t="s">
        <v>42</v>
      </c>
      <c r="G124">
        <v>-472.01549999999997</v>
      </c>
      <c r="H124">
        <v>0.97493859999999999</v>
      </c>
      <c r="I124">
        <v>367.30939999999998</v>
      </c>
      <c r="J124">
        <v>-472.69540000000001</v>
      </c>
      <c r="K124">
        <v>1.109942</v>
      </c>
      <c r="L124">
        <v>367.38850000000002</v>
      </c>
      <c r="M124">
        <v>0.9986699</v>
      </c>
      <c r="N124">
        <v>0</v>
      </c>
      <c r="O124">
        <v>5.0588149999999998E-2</v>
      </c>
      <c r="P124">
        <v>0.99547620000000003</v>
      </c>
      <c r="Q124">
        <v>9.4138929999999996E-2</v>
      </c>
      <c r="R124">
        <v>-1.284684E-2</v>
      </c>
      <c r="S124">
        <v>3.0631409999999999</v>
      </c>
      <c r="T124">
        <v>-0.57763140000000002</v>
      </c>
      <c r="U124">
        <v>-0.32647710000000002</v>
      </c>
      <c r="V124">
        <v>6.31795E-2</v>
      </c>
      <c r="W124">
        <v>0.10404679999999999</v>
      </c>
      <c r="X124">
        <v>0.99256369999999905</v>
      </c>
      <c r="Y124">
        <v>0.15260650000000001</v>
      </c>
      <c r="Z124">
        <v>-2.3657950000000001E-2</v>
      </c>
      <c r="AA124">
        <v>0.98800379999999999</v>
      </c>
      <c r="AB124">
        <v>4</v>
      </c>
      <c r="AC124">
        <v>0.67990000000003104</v>
      </c>
      <c r="AD124">
        <v>-0.1350034</v>
      </c>
      <c r="AE124">
        <v>-7.9100000000039403E-2</v>
      </c>
      <c r="AF124">
        <v>0.10914928680414999</v>
      </c>
      <c r="AG124">
        <v>-0.1350034</v>
      </c>
      <c r="AH124">
        <v>0.64975167275579604</v>
      </c>
      <c r="AI124">
        <v>101.579950747411</v>
      </c>
      <c r="AJ124">
        <v>80.464135592317305</v>
      </c>
      <c r="AK124">
        <v>0.67254495840082695</v>
      </c>
      <c r="AL124">
        <v>84.027748833574705</v>
      </c>
      <c r="AM124">
        <v>86.357874431681694</v>
      </c>
      <c r="AN124">
        <v>1.00000004218408</v>
      </c>
    </row>
    <row r="125" spans="1:40" x14ac:dyDescent="0.25">
      <c r="A125" t="str">
        <f>"20190312163956212"</f>
        <v>20190312163956212</v>
      </c>
      <c r="B125" t="str">
        <f>"1552379996206057"</f>
        <v>1552379996206057</v>
      </c>
      <c r="C125" t="s">
        <v>40</v>
      </c>
      <c r="D125">
        <v>4.9645679999999999</v>
      </c>
      <c r="E125">
        <v>0.54264699999999999</v>
      </c>
      <c r="F125" t="s">
        <v>42</v>
      </c>
      <c r="G125">
        <v>-471.98039999999997</v>
      </c>
      <c r="H125">
        <v>0.97631440000000003</v>
      </c>
      <c r="I125">
        <v>367.31290000000001</v>
      </c>
      <c r="J125">
        <v>-472.65989999999999</v>
      </c>
      <c r="K125">
        <v>1.1102160000000001</v>
      </c>
      <c r="L125">
        <v>367.39060000000001</v>
      </c>
      <c r="M125">
        <v>0.99864790000000003</v>
      </c>
      <c r="N125">
        <v>0</v>
      </c>
      <c r="O125">
        <v>5.0871260000000001E-2</v>
      </c>
      <c r="P125">
        <v>0.9955195</v>
      </c>
      <c r="Q125">
        <v>9.3729350000000003E-2</v>
      </c>
      <c r="R125">
        <v>-1.2502650000000001E-2</v>
      </c>
      <c r="S125">
        <v>3.0636290000000002</v>
      </c>
      <c r="T125">
        <v>-0.57274950000000002</v>
      </c>
      <c r="U125">
        <v>-0.32357789999999997</v>
      </c>
      <c r="V125">
        <v>6.3120010000000004E-2</v>
      </c>
      <c r="W125">
        <v>0.1043741</v>
      </c>
      <c r="X125">
        <v>0.99253309999999995</v>
      </c>
      <c r="Y125">
        <v>0.1520109</v>
      </c>
      <c r="Z125">
        <v>-2.3456210000000002E-2</v>
      </c>
      <c r="AA125">
        <v>0.98810050000000005</v>
      </c>
      <c r="AB125">
        <v>4</v>
      </c>
      <c r="AC125">
        <v>0.67950000000001798</v>
      </c>
      <c r="AD125">
        <v>-0.13390160000000001</v>
      </c>
      <c r="AE125">
        <v>-7.7699999999992997E-2</v>
      </c>
      <c r="AF125">
        <v>0.1080275735645</v>
      </c>
      <c r="AG125">
        <v>-0.13390160000000001</v>
      </c>
      <c r="AH125">
        <v>0.64976114440738697</v>
      </c>
      <c r="AI125">
        <v>101.490946485301</v>
      </c>
      <c r="AJ125">
        <v>80.560496933007798</v>
      </c>
      <c r="AK125">
        <v>0.67215261653466096</v>
      </c>
      <c r="AL125">
        <v>84.008893137781101</v>
      </c>
      <c r="AM125">
        <v>86.361182769094896</v>
      </c>
      <c r="AN125">
        <v>1.0000000215044</v>
      </c>
    </row>
    <row r="126" spans="1:40" x14ac:dyDescent="0.25">
      <c r="A126" t="str">
        <f>"20190312163956225"</f>
        <v>20190312163956225</v>
      </c>
      <c r="B126" t="str">
        <f>"1552379996216793"</f>
        <v>1552379996216793</v>
      </c>
      <c r="C126" t="s">
        <v>40</v>
      </c>
      <c r="D126">
        <v>5.2134239999999998</v>
      </c>
      <c r="E126">
        <v>0.54249019999999903</v>
      </c>
      <c r="F126" t="s">
        <v>42</v>
      </c>
      <c r="G126">
        <v>-471.9495</v>
      </c>
      <c r="H126">
        <v>0.97780990000000001</v>
      </c>
      <c r="I126">
        <v>367.3159</v>
      </c>
      <c r="J126">
        <v>-472.6413</v>
      </c>
      <c r="K126">
        <v>1.1104769999999999</v>
      </c>
      <c r="L126">
        <v>367.39179999999999</v>
      </c>
      <c r="M126">
        <v>0.99863100000000005</v>
      </c>
      <c r="N126">
        <v>0</v>
      </c>
      <c r="O126">
        <v>5.0989850000000003E-2</v>
      </c>
      <c r="P126">
        <v>0.99561730000000004</v>
      </c>
      <c r="Q126">
        <v>9.2745610000000006E-2</v>
      </c>
      <c r="R126">
        <v>-1.202163E-2</v>
      </c>
      <c r="S126">
        <v>3.0631710000000001</v>
      </c>
      <c r="T126">
        <v>-0.57116</v>
      </c>
      <c r="U126">
        <v>-0.32153320000000002</v>
      </c>
      <c r="V126">
        <v>6.2768870000000004E-2</v>
      </c>
      <c r="W126">
        <v>0.1043442</v>
      </c>
      <c r="X126">
        <v>0.99255850000000001</v>
      </c>
      <c r="Y126">
        <v>0.15151609999999999</v>
      </c>
      <c r="Z126">
        <v>-2.3372739999999999E-2</v>
      </c>
      <c r="AA126">
        <v>0.98817840000000001</v>
      </c>
      <c r="AB126">
        <v>4</v>
      </c>
      <c r="AC126">
        <v>0.69179999999999997</v>
      </c>
      <c r="AD126">
        <v>-0.13266709999999901</v>
      </c>
      <c r="AE126">
        <v>-7.5899999999990003E-2</v>
      </c>
      <c r="AF126">
        <v>0.107183527820656</v>
      </c>
      <c r="AG126">
        <v>-0.13266709999999901</v>
      </c>
      <c r="AH126">
        <v>0.66293924678984395</v>
      </c>
      <c r="AI126">
        <v>101.175122327663</v>
      </c>
      <c r="AJ126">
        <v>80.815934750598004</v>
      </c>
      <c r="AK126">
        <v>0.68452707250537304</v>
      </c>
      <c r="AL126">
        <v>84.010615615177898</v>
      </c>
      <c r="AM126">
        <v>86.381464123729302</v>
      </c>
      <c r="AN126">
        <v>1.00000000951848</v>
      </c>
    </row>
    <row r="127" spans="1:40" x14ac:dyDescent="0.25">
      <c r="A127" t="str">
        <f>"20190312163956246"</f>
        <v>20190312163956246</v>
      </c>
      <c r="B127" t="str">
        <f>"1552379996236312"</f>
        <v>1552379996236312</v>
      </c>
      <c r="C127" t="s">
        <v>40</v>
      </c>
      <c r="D127">
        <v>5.151624</v>
      </c>
      <c r="E127">
        <v>0.54221560000000002</v>
      </c>
      <c r="F127" t="s">
        <v>42</v>
      </c>
      <c r="G127">
        <v>-471.92320000000001</v>
      </c>
      <c r="H127">
        <v>0.97622660000000006</v>
      </c>
      <c r="I127">
        <v>367.3168</v>
      </c>
      <c r="J127">
        <v>-472.61239999999998</v>
      </c>
      <c r="K127">
        <v>1.1106590000000001</v>
      </c>
      <c r="L127">
        <v>367.39359999999999</v>
      </c>
      <c r="M127">
        <v>0.99861120000000003</v>
      </c>
      <c r="N127">
        <v>0</v>
      </c>
      <c r="O127">
        <v>5.117124E-2</v>
      </c>
      <c r="P127">
        <v>0.99570630000000004</v>
      </c>
      <c r="Q127">
        <v>9.1866249999999997E-2</v>
      </c>
      <c r="R127">
        <v>-1.138106E-2</v>
      </c>
      <c r="S127">
        <v>3.0627140000000002</v>
      </c>
      <c r="T127">
        <v>-0.57262679999999999</v>
      </c>
      <c r="U127">
        <v>-0.31961060000000002</v>
      </c>
      <c r="V127">
        <v>6.2320309999999997E-2</v>
      </c>
      <c r="W127">
        <v>0.10432329999999999</v>
      </c>
      <c r="X127">
        <v>0.9925889</v>
      </c>
      <c r="Y127">
        <v>0.1510832</v>
      </c>
      <c r="Z127">
        <v>-2.3429519999999999E-2</v>
      </c>
      <c r="AA127">
        <v>0.98824330000000005</v>
      </c>
      <c r="AB127">
        <v>3</v>
      </c>
      <c r="AC127">
        <v>0.68919999999997095</v>
      </c>
      <c r="AD127">
        <v>-0.13443240000000001</v>
      </c>
      <c r="AE127">
        <v>-7.67999999999915E-2</v>
      </c>
      <c r="AF127">
        <v>0.10791394342970401</v>
      </c>
      <c r="AG127">
        <v>-0.13443240000000001</v>
      </c>
      <c r="AH127">
        <v>0.65957961514068497</v>
      </c>
      <c r="AI127">
        <v>101.372776130901</v>
      </c>
      <c r="AJ127">
        <v>80.708152167595898</v>
      </c>
      <c r="AK127">
        <v>0.68173510842954499</v>
      </c>
      <c r="AL127">
        <v>84.0118192996337</v>
      </c>
      <c r="AM127">
        <v>86.407364741870396</v>
      </c>
      <c r="AN127">
        <v>0.99999994818229598</v>
      </c>
    </row>
    <row r="128" spans="1:40" x14ac:dyDescent="0.25">
      <c r="A128" t="str">
        <f>"20190312163956267"</f>
        <v>20190312163956267</v>
      </c>
      <c r="B128" t="str">
        <f>"1552379996256808"</f>
        <v>1552379996256808</v>
      </c>
      <c r="C128" t="s">
        <v>40</v>
      </c>
      <c r="D128">
        <v>5.090211</v>
      </c>
      <c r="E128">
        <v>0.54198269999999904</v>
      </c>
      <c r="F128" t="s">
        <v>42</v>
      </c>
      <c r="G128">
        <v>-471.892</v>
      </c>
      <c r="H128">
        <v>0.97587069999999998</v>
      </c>
      <c r="I128">
        <v>367.31900000000002</v>
      </c>
      <c r="J128">
        <v>-472.57670000000002</v>
      </c>
      <c r="K128">
        <v>1.11036</v>
      </c>
      <c r="L128">
        <v>367.39569999999998</v>
      </c>
      <c r="M128">
        <v>0.99860769999999999</v>
      </c>
      <c r="N128">
        <v>0</v>
      </c>
      <c r="O128">
        <v>5.145984E-2</v>
      </c>
      <c r="P128">
        <v>0.99567430000000001</v>
      </c>
      <c r="Q128">
        <v>9.2312699999999998E-2</v>
      </c>
      <c r="R128">
        <v>-1.054626E-2</v>
      </c>
      <c r="S128">
        <v>3.0622250000000002</v>
      </c>
      <c r="T128">
        <v>-0.57339390000000001</v>
      </c>
      <c r="U128">
        <v>-0.31518550000000001</v>
      </c>
      <c r="V128">
        <v>6.1766990000000001E-2</v>
      </c>
      <c r="W128">
        <v>0.103841</v>
      </c>
      <c r="X128">
        <v>0.9926741</v>
      </c>
      <c r="Y128">
        <v>0.14997460000000001</v>
      </c>
      <c r="Z128">
        <v>-2.3416369999999999E-2</v>
      </c>
      <c r="AA128">
        <v>0.98841250000000003</v>
      </c>
      <c r="AB128">
        <v>3</v>
      </c>
      <c r="AC128">
        <v>0.68470000000001996</v>
      </c>
      <c r="AD128">
        <v>-0.13448930000000001</v>
      </c>
      <c r="AE128">
        <v>-7.66999999999598E-2</v>
      </c>
      <c r="AF128">
        <v>0.107730435654412</v>
      </c>
      <c r="AG128">
        <v>-0.13448930000000001</v>
      </c>
      <c r="AH128">
        <v>0.65489211506199996</v>
      </c>
      <c r="AI128">
        <v>101.45516697631101</v>
      </c>
      <c r="AJ128">
        <v>80.658447606105199</v>
      </c>
      <c r="AK128">
        <v>0.677183063101226</v>
      </c>
      <c r="AL128">
        <v>84.039604222122904</v>
      </c>
      <c r="AM128">
        <v>86.439484878035003</v>
      </c>
      <c r="AN128">
        <v>0.999999991572735</v>
      </c>
    </row>
    <row r="129" spans="1:40" x14ac:dyDescent="0.25">
      <c r="A129" t="str">
        <f>"20190312163956290"</f>
        <v>20190312163956290</v>
      </c>
      <c r="B129" t="str">
        <f>"1552379996286089"</f>
        <v>1552379996286089</v>
      </c>
      <c r="C129" t="s">
        <v>40</v>
      </c>
      <c r="D129">
        <v>5.3156109999999996</v>
      </c>
      <c r="E129">
        <v>0.54170810000000003</v>
      </c>
      <c r="F129" t="s">
        <v>42</v>
      </c>
      <c r="G129">
        <v>-471.85629999999998</v>
      </c>
      <c r="H129">
        <v>0.97611680000000001</v>
      </c>
      <c r="I129">
        <v>367.32299999999998</v>
      </c>
      <c r="J129">
        <v>-472.53469999999999</v>
      </c>
      <c r="K129">
        <v>1.1099159999999999</v>
      </c>
      <c r="L129">
        <v>367.39830000000001</v>
      </c>
      <c r="M129">
        <v>0.99860499999999996</v>
      </c>
      <c r="N129">
        <v>0</v>
      </c>
      <c r="O129">
        <v>5.1870579999999999E-2</v>
      </c>
      <c r="P129">
        <v>0.99554330000000002</v>
      </c>
      <c r="Q129">
        <v>9.3834210000000001E-2</v>
      </c>
      <c r="R129">
        <v>-9.4287280000000008E-3</v>
      </c>
      <c r="S129">
        <v>3.0626530000000001</v>
      </c>
      <c r="T129">
        <v>-0.57058199999999903</v>
      </c>
      <c r="U129">
        <v>-0.30981449999999999</v>
      </c>
      <c r="V129">
        <v>6.104391E-2</v>
      </c>
      <c r="W129">
        <v>0.1036612</v>
      </c>
      <c r="X129">
        <v>0.99273769999999995</v>
      </c>
      <c r="Y129">
        <v>0.148699</v>
      </c>
      <c r="Z129">
        <v>-2.326021E-2</v>
      </c>
      <c r="AA129">
        <v>0.98860890000000001</v>
      </c>
      <c r="AB129">
        <v>4</v>
      </c>
      <c r="AC129">
        <v>0.67840000000001</v>
      </c>
      <c r="AD129">
        <v>-0.13379919999999901</v>
      </c>
      <c r="AE129">
        <v>-7.5299999999970099E-2</v>
      </c>
      <c r="AF129">
        <v>0.106304553374979</v>
      </c>
      <c r="AG129">
        <v>-0.13379919999999901</v>
      </c>
      <c r="AH129">
        <v>0.64865580978291104</v>
      </c>
      <c r="AI129">
        <v>101.505707440918</v>
      </c>
      <c r="AJ129">
        <v>80.692852399563193</v>
      </c>
      <c r="AK129">
        <v>0.67078852371967201</v>
      </c>
      <c r="AL129">
        <v>84.049962382017199</v>
      </c>
      <c r="AM129">
        <v>86.481285841103499</v>
      </c>
      <c r="AN129">
        <v>1.0000000721674001</v>
      </c>
    </row>
    <row r="130" spans="1:40" x14ac:dyDescent="0.25">
      <c r="A130" t="str">
        <f>"20190312163956313"</f>
        <v>20190312163956313</v>
      </c>
      <c r="B130" t="str">
        <f>"1552379996306584"</f>
        <v>1552379996306584</v>
      </c>
      <c r="C130" t="s">
        <v>40</v>
      </c>
      <c r="D130">
        <v>5.32437</v>
      </c>
      <c r="E130">
        <v>0.54163269999999997</v>
      </c>
      <c r="F130" t="s">
        <v>42</v>
      </c>
      <c r="G130">
        <v>-471.81700000000001</v>
      </c>
      <c r="H130">
        <v>0.97810839999999999</v>
      </c>
      <c r="I130">
        <v>367.32639999999998</v>
      </c>
      <c r="J130">
        <v>-472.49220000000003</v>
      </c>
      <c r="K130">
        <v>1.109861</v>
      </c>
      <c r="L130">
        <v>367.4008</v>
      </c>
      <c r="M130">
        <v>0.99858959999999997</v>
      </c>
      <c r="N130">
        <v>0</v>
      </c>
      <c r="O130">
        <v>5.2267969999999997E-2</v>
      </c>
      <c r="P130">
        <v>0.99558939999999996</v>
      </c>
      <c r="Q130">
        <v>9.3486219999999995E-2</v>
      </c>
      <c r="R130">
        <v>-7.8844880000000003E-3</v>
      </c>
      <c r="S130">
        <v>3.0636290000000002</v>
      </c>
      <c r="T130">
        <v>-0.56309379999999998</v>
      </c>
      <c r="U130">
        <v>-0.3051758</v>
      </c>
      <c r="V130">
        <v>5.9895999999999998E-2</v>
      </c>
      <c r="W130">
        <v>0.10276440000000001</v>
      </c>
      <c r="X130">
        <v>0.99290080000000003</v>
      </c>
      <c r="Y130">
        <v>0.1476789</v>
      </c>
      <c r="Z130">
        <v>-2.2933889999999998E-2</v>
      </c>
      <c r="AA130">
        <v>0.98876940000000002</v>
      </c>
      <c r="AB130">
        <v>4</v>
      </c>
      <c r="AC130">
        <v>0.67520000000007396</v>
      </c>
      <c r="AD130">
        <v>-0.131752599999999</v>
      </c>
      <c r="AE130">
        <v>-7.4400000000025501E-2</v>
      </c>
      <c r="AF130">
        <v>0.10561787573586499</v>
      </c>
      <c r="AG130">
        <v>-0.131752599999999</v>
      </c>
      <c r="AH130">
        <v>0.646082814154048</v>
      </c>
      <c r="AI130">
        <v>101.378992758957</v>
      </c>
      <c r="AJ130">
        <v>80.715740229140593</v>
      </c>
      <c r="AK130">
        <v>0.66778505975121305</v>
      </c>
      <c r="AL130">
        <v>84.101620853976499</v>
      </c>
      <c r="AM130">
        <v>86.5478582568511</v>
      </c>
      <c r="AN130">
        <v>1.0000000256819901</v>
      </c>
    </row>
    <row r="131" spans="1:40" x14ac:dyDescent="0.25">
      <c r="A131" t="str">
        <f>"20190312163956336"</f>
        <v>20190312163956336</v>
      </c>
      <c r="B131" t="str">
        <f>"1552379996326108"</f>
        <v>1552379996326108</v>
      </c>
      <c r="C131" t="s">
        <v>40</v>
      </c>
      <c r="D131">
        <v>5.345567</v>
      </c>
      <c r="E131">
        <v>0.54148909999999995</v>
      </c>
      <c r="F131" t="s">
        <v>42</v>
      </c>
      <c r="G131">
        <v>-471.78109999999998</v>
      </c>
      <c r="H131">
        <v>0.97917180000000004</v>
      </c>
      <c r="I131">
        <v>367.33109999999999</v>
      </c>
      <c r="J131">
        <v>-472.45499999999998</v>
      </c>
      <c r="K131">
        <v>1.11026</v>
      </c>
      <c r="L131">
        <v>367.40320000000003</v>
      </c>
      <c r="M131">
        <v>0.99856199999999995</v>
      </c>
      <c r="N131">
        <v>0</v>
      </c>
      <c r="O131">
        <v>5.2555079999999997E-2</v>
      </c>
      <c r="P131">
        <v>0.9957511</v>
      </c>
      <c r="Q131">
        <v>9.1827770000000003E-2</v>
      </c>
      <c r="R131">
        <v>-6.8956159999999898E-3</v>
      </c>
      <c r="S131">
        <v>3.0637509999999999</v>
      </c>
      <c r="T131">
        <v>-0.56312439999999997</v>
      </c>
      <c r="U131">
        <v>-0.29962159999999999</v>
      </c>
      <c r="V131">
        <v>5.9209970000000001E-2</v>
      </c>
      <c r="W131">
        <v>0.10234650000000001</v>
      </c>
      <c r="X131">
        <v>0.99298509999999995</v>
      </c>
      <c r="Y131">
        <v>0.14620339999999901</v>
      </c>
      <c r="Z131">
        <v>-2.2854269999999999E-2</v>
      </c>
      <c r="AA131">
        <v>0.98899049999999999</v>
      </c>
      <c r="AB131">
        <v>4</v>
      </c>
      <c r="AC131">
        <v>0.67390000000000305</v>
      </c>
      <c r="AD131">
        <v>-0.13108819999999999</v>
      </c>
      <c r="AE131">
        <v>-7.21000000000344E-2</v>
      </c>
      <c r="AF131">
        <v>0.103545511261027</v>
      </c>
      <c r="AG131">
        <v>-0.13108819999999999</v>
      </c>
      <c r="AH131">
        <v>0.64504760931519001</v>
      </c>
      <c r="AI131">
        <v>101.345944335978</v>
      </c>
      <c r="AJ131">
        <v>80.880461516967202</v>
      </c>
      <c r="AK131">
        <v>0.666327402531811</v>
      </c>
      <c r="AL131">
        <v>84.1256916313327</v>
      </c>
      <c r="AM131">
        <v>86.587593053319097</v>
      </c>
      <c r="AN131">
        <v>1.0000000177158299</v>
      </c>
    </row>
    <row r="132" spans="1:40" x14ac:dyDescent="0.25">
      <c r="A132" t="str">
        <f>"20190312163956358"</f>
        <v>20190312163956358</v>
      </c>
      <c r="B132" t="str">
        <f>"1552379996346600"</f>
        <v>1552379996346600</v>
      </c>
      <c r="C132" t="s">
        <v>40</v>
      </c>
      <c r="D132">
        <v>5.1062379999999896</v>
      </c>
      <c r="E132">
        <v>0.54135469999999997</v>
      </c>
      <c r="F132" t="s">
        <v>42</v>
      </c>
      <c r="G132">
        <v>-471.74939999999998</v>
      </c>
      <c r="H132">
        <v>0.97972870000000001</v>
      </c>
      <c r="I132">
        <v>367.33479999999997</v>
      </c>
      <c r="J132">
        <v>-472.42430000000002</v>
      </c>
      <c r="K132">
        <v>1.11073</v>
      </c>
      <c r="L132">
        <v>367.4051</v>
      </c>
      <c r="M132">
        <v>0.99853029999999998</v>
      </c>
      <c r="N132">
        <v>0</v>
      </c>
      <c r="O132">
        <v>5.2740309999999999E-2</v>
      </c>
      <c r="P132">
        <v>0.99598969999999998</v>
      </c>
      <c r="Q132">
        <v>8.9195529999999995E-2</v>
      </c>
      <c r="R132">
        <v>-6.9582250000000002E-3</v>
      </c>
      <c r="S132">
        <v>3.0629879999999998</v>
      </c>
      <c r="T132">
        <v>-0.56697229999999998</v>
      </c>
      <c r="U132">
        <v>-0.29507450000000002</v>
      </c>
      <c r="V132">
        <v>5.948312E-2</v>
      </c>
      <c r="W132">
        <v>0.10159609999999999</v>
      </c>
      <c r="X132">
        <v>0.99304579999999998</v>
      </c>
      <c r="Y132">
        <v>0.14492840000000001</v>
      </c>
      <c r="Z132">
        <v>-2.293239E-2</v>
      </c>
      <c r="AA132">
        <v>0.98917630000000001</v>
      </c>
      <c r="AB132">
        <v>4</v>
      </c>
      <c r="AC132">
        <v>0.67490000000003603</v>
      </c>
      <c r="AD132">
        <v>-0.13100129999999999</v>
      </c>
      <c r="AE132">
        <v>-7.0300000000031504E-2</v>
      </c>
      <c r="AF132">
        <v>0.10199766940098</v>
      </c>
      <c r="AG132">
        <v>-0.13100129999999999</v>
      </c>
      <c r="AH132">
        <v>0.64616848315518005</v>
      </c>
      <c r="AI132">
        <v>101.324036145387</v>
      </c>
      <c r="AJ132">
        <v>81.029876506084193</v>
      </c>
      <c r="AK132">
        <v>0.66715708329297396</v>
      </c>
      <c r="AL132">
        <v>84.168911484475203</v>
      </c>
      <c r="AM132">
        <v>86.572097290776796</v>
      </c>
      <c r="AN132">
        <v>0.99999998499889198</v>
      </c>
    </row>
    <row r="133" spans="1:40" x14ac:dyDescent="0.25">
      <c r="A133" t="str">
        <f>"20190312163956379"</f>
        <v>20190312163956379</v>
      </c>
      <c r="B133" t="str">
        <f>"1552379996376857"</f>
        <v>1552379996376857</v>
      </c>
      <c r="C133" t="s">
        <v>40</v>
      </c>
      <c r="D133">
        <v>5.3018859999999997</v>
      </c>
      <c r="E133">
        <v>0.54132849999999999</v>
      </c>
      <c r="F133" t="s">
        <v>42</v>
      </c>
      <c r="G133">
        <v>-471.72140000000002</v>
      </c>
      <c r="H133">
        <v>0.97910229999999998</v>
      </c>
      <c r="I133">
        <v>367.3374</v>
      </c>
      <c r="J133">
        <v>-472.3963</v>
      </c>
      <c r="K133">
        <v>1.1110530000000001</v>
      </c>
      <c r="L133">
        <v>367.40679999999998</v>
      </c>
      <c r="M133">
        <v>0.99850039999999995</v>
      </c>
      <c r="N133">
        <v>0</v>
      </c>
      <c r="O133">
        <v>5.287468E-2</v>
      </c>
      <c r="P133">
        <v>0.99617739999999999</v>
      </c>
      <c r="Q133">
        <v>8.7085410000000002E-2</v>
      </c>
      <c r="R133">
        <v>-6.8449579999999999E-3</v>
      </c>
      <c r="S133">
        <v>3.061401</v>
      </c>
      <c r="T133">
        <v>-0.5735886</v>
      </c>
      <c r="U133">
        <v>-0.29391479999999998</v>
      </c>
      <c r="V133">
        <v>5.9526040000000002E-2</v>
      </c>
      <c r="W133">
        <v>0.10117719999999999</v>
      </c>
      <c r="X133">
        <v>0.99308600000000002</v>
      </c>
      <c r="Y133">
        <v>0.1446615</v>
      </c>
      <c r="Z133">
        <v>-2.3208039999999999E-2</v>
      </c>
      <c r="AA133">
        <v>0.989209</v>
      </c>
      <c r="AB133">
        <v>3</v>
      </c>
      <c r="AC133">
        <v>0.67489999999997896</v>
      </c>
      <c r="AD133">
        <v>-0.131950699999999</v>
      </c>
      <c r="AE133">
        <v>-6.9399999999973205E-2</v>
      </c>
      <c r="AF133">
        <v>0.101165066599484</v>
      </c>
      <c r="AG133">
        <v>-0.131950699999999</v>
      </c>
      <c r="AH133">
        <v>0.64585647853859296</v>
      </c>
      <c r="AI133">
        <v>101.411394017327</v>
      </c>
      <c r="AJ133">
        <v>81.097693175807805</v>
      </c>
      <c r="AK133">
        <v>0.66691524858923401</v>
      </c>
      <c r="AL133">
        <v>84.193037028670702</v>
      </c>
      <c r="AM133">
        <v>86.569768323927406</v>
      </c>
      <c r="AN133">
        <v>0.99999998931695999</v>
      </c>
    </row>
    <row r="134" spans="1:40" x14ac:dyDescent="0.25">
      <c r="A134" t="str">
        <f>"20190312163956402"</f>
        <v>20190312163956402</v>
      </c>
      <c r="B134" t="str">
        <f>"1552379996396377"</f>
        <v>1552379996396377</v>
      </c>
      <c r="C134" t="s">
        <v>40</v>
      </c>
      <c r="D134">
        <v>5.2722899999999999</v>
      </c>
      <c r="E134">
        <v>0.54126980000000002</v>
      </c>
      <c r="F134" t="s">
        <v>42</v>
      </c>
      <c r="G134">
        <v>-471.66750000000002</v>
      </c>
      <c r="H134">
        <v>0.97325790000000001</v>
      </c>
      <c r="I134">
        <v>367.33659999999998</v>
      </c>
      <c r="J134">
        <v>-472.36059999999998</v>
      </c>
      <c r="K134">
        <v>1.1107089999999999</v>
      </c>
      <c r="L134">
        <v>367.40899999999999</v>
      </c>
      <c r="M134">
        <v>0.99849920000000003</v>
      </c>
      <c r="N134">
        <v>0</v>
      </c>
      <c r="O134">
        <v>5.3111390000000001E-2</v>
      </c>
      <c r="P134">
        <v>0.99610509999999997</v>
      </c>
      <c r="Q134">
        <v>8.7899519999999995E-2</v>
      </c>
      <c r="R134">
        <v>-6.9658350000000001E-3</v>
      </c>
      <c r="S134">
        <v>3.0600589999999999</v>
      </c>
      <c r="T134">
        <v>-0.57876680000000003</v>
      </c>
      <c r="U134">
        <v>-0.29382320000000001</v>
      </c>
      <c r="V134">
        <v>5.9870020000000003E-2</v>
      </c>
      <c r="W134">
        <v>0.101172</v>
      </c>
      <c r="X134">
        <v>0.99306589999999995</v>
      </c>
      <c r="Y134">
        <v>0.14483570000000001</v>
      </c>
      <c r="Z134">
        <v>-2.348449E-2</v>
      </c>
      <c r="AA134">
        <v>0.98917699999999997</v>
      </c>
      <c r="AB134">
        <v>3</v>
      </c>
      <c r="AC134">
        <v>0.69309999999995797</v>
      </c>
      <c r="AD134">
        <v>-0.13745109999999899</v>
      </c>
      <c r="AE134">
        <v>-7.2400000000015993E-2</v>
      </c>
      <c r="AF134">
        <v>0.10502665570611</v>
      </c>
      <c r="AG134">
        <v>-0.13745109999999899</v>
      </c>
      <c r="AH134">
        <v>0.66250215198895102</v>
      </c>
      <c r="AI134">
        <v>101.58038268708999</v>
      </c>
      <c r="AJ134">
        <v>80.991848329934299</v>
      </c>
      <c r="AK134">
        <v>0.68471344713683802</v>
      </c>
      <c r="AL134">
        <v>84.193336783068801</v>
      </c>
      <c r="AM134">
        <v>86.549924304899903</v>
      </c>
      <c r="AN134">
        <v>1.0000000373108</v>
      </c>
    </row>
    <row r="135" spans="1:40" x14ac:dyDescent="0.25">
      <c r="A135" t="str">
        <f>"20190312163956424"</f>
        <v>20190312163956424</v>
      </c>
      <c r="B135" t="str">
        <f>"1552379996416873"</f>
        <v>1552379996416873</v>
      </c>
      <c r="C135" t="s">
        <v>40</v>
      </c>
      <c r="D135">
        <v>4.9228040000000002</v>
      </c>
      <c r="E135">
        <v>0.54116869999999995</v>
      </c>
      <c r="F135" t="s">
        <v>42</v>
      </c>
      <c r="G135">
        <v>-471.63240000000002</v>
      </c>
      <c r="H135">
        <v>0.97403099999999998</v>
      </c>
      <c r="I135">
        <v>367.33839999999998</v>
      </c>
      <c r="J135">
        <v>-472.32119999999998</v>
      </c>
      <c r="K135">
        <v>1.1102000000000001</v>
      </c>
      <c r="L135">
        <v>367.41129999999998</v>
      </c>
      <c r="M135">
        <v>0.99850220000000001</v>
      </c>
      <c r="N135">
        <v>0</v>
      </c>
      <c r="O135">
        <v>5.3467750000000001E-2</v>
      </c>
      <c r="P135">
        <v>0.99602690000000005</v>
      </c>
      <c r="Q135">
        <v>8.8772729999999994E-2</v>
      </c>
      <c r="R135">
        <v>-7.0508189999999998E-3</v>
      </c>
      <c r="S135">
        <v>3.0604550000000001</v>
      </c>
      <c r="T135">
        <v>-0.575090199999999</v>
      </c>
      <c r="U135">
        <v>-0.29379270000000002</v>
      </c>
      <c r="V135">
        <v>6.029371E-2</v>
      </c>
      <c r="W135">
        <v>0.1003052</v>
      </c>
      <c r="X135">
        <v>0.99312820000000002</v>
      </c>
      <c r="Y135">
        <v>0.14519770000000001</v>
      </c>
      <c r="Z135">
        <v>-2.3434590000000002E-2</v>
      </c>
      <c r="AA135">
        <v>0.98912509999999998</v>
      </c>
      <c r="AB135">
        <v>3</v>
      </c>
      <c r="AC135">
        <v>0.688799999999957</v>
      </c>
      <c r="AD135">
        <v>-0.13616900000000001</v>
      </c>
      <c r="AE135">
        <v>-7.29000000000041E-2</v>
      </c>
      <c r="AF135">
        <v>0.10554751944976</v>
      </c>
      <c r="AG135">
        <v>-0.13616900000000001</v>
      </c>
      <c r="AH135">
        <v>0.65846774276467201</v>
      </c>
      <c r="AI135">
        <v>101.54059226019</v>
      </c>
      <c r="AJ135">
        <v>80.893376447191002</v>
      </c>
      <c r="AK135">
        <v>0.680633560504182</v>
      </c>
      <c r="AL135">
        <v>84.243254734111503</v>
      </c>
      <c r="AM135">
        <v>86.525785725404603</v>
      </c>
      <c r="AN135">
        <v>1.00000004312392</v>
      </c>
    </row>
    <row r="136" spans="1:40" x14ac:dyDescent="0.25">
      <c r="A136" t="str">
        <f>"20190312163956446"</f>
        <v>20190312163956446</v>
      </c>
      <c r="B136" t="str">
        <f>"1552379996436396"</f>
        <v>1552379996436396</v>
      </c>
      <c r="C136" t="s">
        <v>40</v>
      </c>
      <c r="D136">
        <v>6.0272500000000004</v>
      </c>
      <c r="E136">
        <v>0.54110709999999995</v>
      </c>
      <c r="F136" t="s">
        <v>42</v>
      </c>
      <c r="G136">
        <v>-471.59519999999998</v>
      </c>
      <c r="H136">
        <v>0.9747595</v>
      </c>
      <c r="I136">
        <v>367.3415</v>
      </c>
      <c r="J136">
        <v>-472.28160000000003</v>
      </c>
      <c r="K136">
        <v>1.1099570000000001</v>
      </c>
      <c r="L136">
        <v>367.41379999999998</v>
      </c>
      <c r="M136">
        <v>0.99849429999999995</v>
      </c>
      <c r="N136">
        <v>0</v>
      </c>
      <c r="O136">
        <v>5.3854270000000003E-2</v>
      </c>
      <c r="P136">
        <v>0.99597630000000004</v>
      </c>
      <c r="Q136">
        <v>8.9310420000000001E-2</v>
      </c>
      <c r="R136">
        <v>-7.42434699999999E-3</v>
      </c>
      <c r="S136">
        <v>3.0608520000000001</v>
      </c>
      <c r="T136">
        <v>-0.57121119999999903</v>
      </c>
      <c r="U136">
        <v>-0.29388429999999999</v>
      </c>
      <c r="V136">
        <v>6.1037609999999999E-2</v>
      </c>
      <c r="W136">
        <v>9.9702189999999996E-2</v>
      </c>
      <c r="X136">
        <v>0.99314340000000001</v>
      </c>
      <c r="Y136">
        <v>0.1456297</v>
      </c>
      <c r="Z136">
        <v>-2.338734E-2</v>
      </c>
      <c r="AA136">
        <v>0.98906269999999996</v>
      </c>
      <c r="AB136">
        <v>4</v>
      </c>
      <c r="AC136">
        <v>0.68640000000004797</v>
      </c>
      <c r="AD136">
        <v>-0.135197499999999</v>
      </c>
      <c r="AE136">
        <v>-7.2299999999984196E-2</v>
      </c>
      <c r="AF136">
        <v>0.10512886431549</v>
      </c>
      <c r="AG136">
        <v>-0.135197499999999</v>
      </c>
      <c r="AH136">
        <v>0.65632671416764798</v>
      </c>
      <c r="AI136">
        <v>101.49703448501199</v>
      </c>
      <c r="AJ136">
        <v>80.8997993710488</v>
      </c>
      <c r="AK136">
        <v>0.67830317546700003</v>
      </c>
      <c r="AL136">
        <v>84.277978280279399</v>
      </c>
      <c r="AM136">
        <v>86.483081717520406</v>
      </c>
      <c r="AN136">
        <v>0.99999996474443298</v>
      </c>
    </row>
    <row r="137" spans="1:40" x14ac:dyDescent="0.25">
      <c r="A137" t="str">
        <f>"20190312163956468"</f>
        <v>20190312163956468</v>
      </c>
      <c r="B137" t="str">
        <f>"1552379996456892"</f>
        <v>1552379996456892</v>
      </c>
      <c r="C137" t="s">
        <v>40</v>
      </c>
      <c r="D137">
        <v>5.2082839999999999</v>
      </c>
      <c r="E137">
        <v>0.54102600000000001</v>
      </c>
      <c r="F137" t="s">
        <v>42</v>
      </c>
      <c r="G137">
        <v>-471.55939999999998</v>
      </c>
      <c r="H137">
        <v>0.97554609999999997</v>
      </c>
      <c r="I137">
        <v>367.34390000000002</v>
      </c>
      <c r="J137">
        <v>-472.2448</v>
      </c>
      <c r="K137">
        <v>1.110144</v>
      </c>
      <c r="L137">
        <v>367.4162</v>
      </c>
      <c r="M137">
        <v>0.99847300000000005</v>
      </c>
      <c r="N137">
        <v>0</v>
      </c>
      <c r="O137">
        <v>5.41704E-2</v>
      </c>
      <c r="P137">
        <v>0.99602069999999998</v>
      </c>
      <c r="Q137">
        <v>8.8810630000000002E-2</v>
      </c>
      <c r="R137">
        <v>-7.4468690000000001E-3</v>
      </c>
      <c r="S137">
        <v>3.061035</v>
      </c>
      <c r="T137">
        <v>-0.5701387</v>
      </c>
      <c r="U137">
        <v>-0.29489140000000003</v>
      </c>
      <c r="V137">
        <v>6.137542E-2</v>
      </c>
      <c r="W137">
        <v>9.9579329999999994E-2</v>
      </c>
      <c r="X137">
        <v>0.99313490000000004</v>
      </c>
      <c r="Y137">
        <v>0.1462569</v>
      </c>
      <c r="Z137">
        <v>-2.345854E-2</v>
      </c>
      <c r="AA137">
        <v>0.98896839999999997</v>
      </c>
      <c r="AB137">
        <v>4</v>
      </c>
      <c r="AC137">
        <v>0.685400000000015</v>
      </c>
      <c r="AD137">
        <v>-0.13459789999999999</v>
      </c>
      <c r="AE137">
        <v>-7.2299999999984196E-2</v>
      </c>
      <c r="AF137">
        <v>0.105307936733746</v>
      </c>
      <c r="AG137">
        <v>-0.13459789999999999</v>
      </c>
      <c r="AH137">
        <v>0.65547677256660997</v>
      </c>
      <c r="AI137">
        <v>101.46100599331901</v>
      </c>
      <c r="AJ137">
        <v>80.872937506096903</v>
      </c>
      <c r="AK137">
        <v>0.677389220166566</v>
      </c>
      <c r="AL137">
        <v>84.285052804470695</v>
      </c>
      <c r="AM137">
        <v>86.463636555160306</v>
      </c>
      <c r="AN137">
        <v>0.99999995737071601</v>
      </c>
    </row>
    <row r="138" spans="1:40" x14ac:dyDescent="0.25">
      <c r="A138" t="str">
        <f>"20190312163956491"</f>
        <v>20190312163956491</v>
      </c>
      <c r="B138" t="str">
        <f>"1552379996486168"</f>
        <v>1552379996486168</v>
      </c>
      <c r="C138" t="s">
        <v>40</v>
      </c>
      <c r="D138">
        <v>5.867</v>
      </c>
      <c r="E138">
        <v>0.54091840000000002</v>
      </c>
      <c r="F138" t="s">
        <v>42</v>
      </c>
      <c r="G138">
        <v>-471.52780000000001</v>
      </c>
      <c r="H138">
        <v>0.97655270000000005</v>
      </c>
      <c r="I138">
        <v>367.34710000000001</v>
      </c>
      <c r="J138">
        <v>-472.2115</v>
      </c>
      <c r="K138">
        <v>1.110584</v>
      </c>
      <c r="L138">
        <v>367.41829999999999</v>
      </c>
      <c r="M138">
        <v>0.99844219999999895</v>
      </c>
      <c r="N138">
        <v>0</v>
      </c>
      <c r="O138">
        <v>5.4394020000000001E-2</v>
      </c>
      <c r="P138">
        <v>0.9961354</v>
      </c>
      <c r="Q138">
        <v>8.7551030000000002E-2</v>
      </c>
      <c r="R138">
        <v>-7.0292410000000003E-3</v>
      </c>
      <c r="S138">
        <v>3.060638</v>
      </c>
      <c r="T138">
        <v>-0.57046779999999997</v>
      </c>
      <c r="U138">
        <v>-0.29394530000000002</v>
      </c>
      <c r="V138">
        <v>6.1197790000000002E-2</v>
      </c>
      <c r="W138">
        <v>9.9916179999999993E-2</v>
      </c>
      <c r="X138">
        <v>0.99311210000000005</v>
      </c>
      <c r="Y138">
        <v>0.14618120000000001</v>
      </c>
      <c r="Z138">
        <v>-2.350961E-2</v>
      </c>
      <c r="AA138">
        <v>0.98897840000000004</v>
      </c>
      <c r="AB138">
        <v>4</v>
      </c>
      <c r="AC138">
        <v>0.68369999999998698</v>
      </c>
      <c r="AD138">
        <v>-0.13403129999999899</v>
      </c>
      <c r="AE138">
        <v>-7.1199999999976102E-2</v>
      </c>
      <c r="AF138">
        <v>0.10432051406177401</v>
      </c>
      <c r="AG138">
        <v>-0.13403129999999899</v>
      </c>
      <c r="AH138">
        <v>0.65395212627230503</v>
      </c>
      <c r="AI138">
        <v>101.441913238212</v>
      </c>
      <c r="AJ138">
        <v>80.9363636460603</v>
      </c>
      <c r="AK138">
        <v>0.67564823872327995</v>
      </c>
      <c r="AL138">
        <v>84.265656389031804</v>
      </c>
      <c r="AM138">
        <v>86.473764729799697</v>
      </c>
      <c r="AN138">
        <v>1.00000002784654</v>
      </c>
    </row>
    <row r="139" spans="1:40" x14ac:dyDescent="0.25">
      <c r="A139" t="str">
        <f>"20190312163956514"</f>
        <v>20190312163956514</v>
      </c>
      <c r="B139" t="str">
        <f>"1552379996506665"</f>
        <v>1552379996506665</v>
      </c>
      <c r="C139" t="s">
        <v>40</v>
      </c>
      <c r="D139">
        <v>5.0239260000000003</v>
      </c>
      <c r="E139">
        <v>0.54079540000000004</v>
      </c>
      <c r="F139" t="s">
        <v>42</v>
      </c>
      <c r="G139">
        <v>-471.49950000000001</v>
      </c>
      <c r="H139">
        <v>0.97731520000000005</v>
      </c>
      <c r="I139">
        <v>367.34989999999999</v>
      </c>
      <c r="J139">
        <v>-472.17489999999998</v>
      </c>
      <c r="K139">
        <v>1.1105849999999999</v>
      </c>
      <c r="L139">
        <v>367.42070000000001</v>
      </c>
      <c r="M139">
        <v>0.99842529999999996</v>
      </c>
      <c r="N139">
        <v>0</v>
      </c>
      <c r="O139">
        <v>5.4650379999999998E-2</v>
      </c>
      <c r="P139">
        <v>0.996139</v>
      </c>
      <c r="Q139">
        <v>8.7528529999999993E-2</v>
      </c>
      <c r="R139">
        <v>-6.7612949999999996E-3</v>
      </c>
      <c r="S139">
        <v>3.0599669999999999</v>
      </c>
      <c r="T139">
        <v>-0.57338710000000004</v>
      </c>
      <c r="U139">
        <v>-0.29159550000000001</v>
      </c>
      <c r="V139">
        <v>6.1188300000000001E-2</v>
      </c>
      <c r="W139">
        <v>0.10012070000000001</v>
      </c>
      <c r="X139">
        <v>0.99309210000000003</v>
      </c>
      <c r="Y139">
        <v>0.14567099999999999</v>
      </c>
      <c r="Z139">
        <v>-2.363401E-2</v>
      </c>
      <c r="AA139">
        <v>0.98905069999999995</v>
      </c>
      <c r="AB139">
        <v>3</v>
      </c>
      <c r="AC139">
        <v>0.67539999999996703</v>
      </c>
      <c r="AD139">
        <v>-0.13326979999999899</v>
      </c>
      <c r="AE139">
        <v>-7.0800000000019694E-2</v>
      </c>
      <c r="AF139">
        <v>0.10361749273802801</v>
      </c>
      <c r="AG139">
        <v>-0.13326979999999899</v>
      </c>
      <c r="AH139">
        <v>0.64565550156797202</v>
      </c>
      <c r="AI139">
        <v>101.51925390610501</v>
      </c>
      <c r="AJ139">
        <v>80.882676194418707</v>
      </c>
      <c r="AK139">
        <v>0.66735931183909103</v>
      </c>
      <c r="AL139">
        <v>84.253879275782197</v>
      </c>
      <c r="AM139">
        <v>86.474239341883703</v>
      </c>
      <c r="AN139">
        <v>1.00000004085389</v>
      </c>
    </row>
    <row r="140" spans="1:40" x14ac:dyDescent="0.25">
      <c r="A140" t="str">
        <f>"20190312163956536"</f>
        <v>20190312163956536</v>
      </c>
      <c r="B140" t="str">
        <f>"1552379996526196"</f>
        <v>1552379996526196</v>
      </c>
      <c r="C140" t="s">
        <v>40</v>
      </c>
      <c r="D140">
        <v>5.3592139999999997</v>
      </c>
      <c r="E140">
        <v>0.54082759999999996</v>
      </c>
      <c r="F140" t="s">
        <v>42</v>
      </c>
      <c r="G140">
        <v>-471.46690000000001</v>
      </c>
      <c r="H140">
        <v>0.97801470000000001</v>
      </c>
      <c r="I140">
        <v>367.35309999999998</v>
      </c>
      <c r="J140">
        <v>-472.13479999999998</v>
      </c>
      <c r="K140">
        <v>1.110136</v>
      </c>
      <c r="L140">
        <v>367.42329999999998</v>
      </c>
      <c r="M140">
        <v>0.99842330000000001</v>
      </c>
      <c r="N140">
        <v>0</v>
      </c>
      <c r="O140">
        <v>5.5018450000000003E-2</v>
      </c>
      <c r="P140">
        <v>0.99599470000000001</v>
      </c>
      <c r="Q140">
        <v>8.9212089999999994E-2</v>
      </c>
      <c r="R140">
        <v>-6.0061419999999999E-3</v>
      </c>
      <c r="S140">
        <v>3.0600589999999999</v>
      </c>
      <c r="T140">
        <v>-0.57338829999999996</v>
      </c>
      <c r="U140">
        <v>-0.29040529999999998</v>
      </c>
      <c r="V140">
        <v>6.0787430000000003E-2</v>
      </c>
      <c r="W140">
        <v>0.1002839</v>
      </c>
      <c r="X140">
        <v>0.99310019999999999</v>
      </c>
      <c r="Y140">
        <v>0.14564469999999999</v>
      </c>
      <c r="Z140">
        <v>-2.3699379999999999E-2</v>
      </c>
      <c r="AA140">
        <v>0.98905310000000002</v>
      </c>
      <c r="AB140">
        <v>3</v>
      </c>
      <c r="AC140">
        <v>0.66789999999997396</v>
      </c>
      <c r="AD140">
        <v>-0.1321213</v>
      </c>
      <c r="AE140">
        <v>-7.0199999999999804E-2</v>
      </c>
      <c r="AF140">
        <v>0.10286164082851</v>
      </c>
      <c r="AG140">
        <v>-0.1321213</v>
      </c>
      <c r="AH140">
        <v>0.63832039960158404</v>
      </c>
      <c r="AI140">
        <v>101.549191934001</v>
      </c>
      <c r="AJ140">
        <v>80.845812136429402</v>
      </c>
      <c r="AK140">
        <v>0.65991627318558399</v>
      </c>
      <c r="AL140">
        <v>84.244481010585602</v>
      </c>
      <c r="AM140">
        <v>86.497308866152295</v>
      </c>
      <c r="AN140">
        <v>0.99999998974262705</v>
      </c>
    </row>
    <row r="141" spans="1:40" x14ac:dyDescent="0.25">
      <c r="A141" t="str">
        <f>"20190312163956559"</f>
        <v>20190312163956559</v>
      </c>
      <c r="B141" t="str">
        <f>"1552379996556442"</f>
        <v>1552379996556442</v>
      </c>
      <c r="C141" t="s">
        <v>40</v>
      </c>
      <c r="D141">
        <v>5.2965299999999997</v>
      </c>
      <c r="E141">
        <v>0.54543929999999996</v>
      </c>
      <c r="F141" t="s">
        <v>42</v>
      </c>
      <c r="G141">
        <v>-471.42970000000003</v>
      </c>
      <c r="H141">
        <v>0.97901389999999999</v>
      </c>
      <c r="I141">
        <v>367.35669999999999</v>
      </c>
      <c r="J141">
        <v>-472.0917</v>
      </c>
      <c r="K141">
        <v>1.1097600000000001</v>
      </c>
      <c r="L141">
        <v>367.42610000000002</v>
      </c>
      <c r="M141">
        <v>0.99841559999999996</v>
      </c>
      <c r="N141">
        <v>0</v>
      </c>
      <c r="O141">
        <v>5.5462810000000001E-2</v>
      </c>
      <c r="P141">
        <v>0.99589419999999995</v>
      </c>
      <c r="Q141">
        <v>9.038127E-2</v>
      </c>
      <c r="R141">
        <v>-5.0894540000000002E-3</v>
      </c>
      <c r="S141">
        <v>3.06134</v>
      </c>
      <c r="T141">
        <v>-0.56949320000000003</v>
      </c>
      <c r="U141">
        <v>-0.2881165</v>
      </c>
      <c r="V141">
        <v>6.0300510000000002E-2</v>
      </c>
      <c r="W141">
        <v>9.9829360000000006E-2</v>
      </c>
      <c r="X141">
        <v>0.99317569999999999</v>
      </c>
      <c r="Y141">
        <v>0.145358399999999</v>
      </c>
      <c r="Z141">
        <v>-2.3587469999999999E-2</v>
      </c>
      <c r="AA141">
        <v>0.98909780000000003</v>
      </c>
      <c r="AB141">
        <v>4</v>
      </c>
      <c r="AC141">
        <v>0.66199999999997705</v>
      </c>
      <c r="AD141">
        <v>-0.130746099999999</v>
      </c>
      <c r="AE141">
        <v>-6.9400000000030104E-2</v>
      </c>
      <c r="AF141">
        <v>0.10207293495971601</v>
      </c>
      <c r="AG141">
        <v>-0.130746099999999</v>
      </c>
      <c r="AH141">
        <v>0.63271949693113305</v>
      </c>
      <c r="AI141">
        <v>101.53034446685101</v>
      </c>
      <c r="AJ141">
        <v>80.8357639444406</v>
      </c>
      <c r="AK141">
        <v>0.65410044222067898</v>
      </c>
      <c r="AL141">
        <v>84.270655712496804</v>
      </c>
      <c r="AM141">
        <v>86.525560629765906</v>
      </c>
      <c r="AN141">
        <v>1.00000001184737</v>
      </c>
    </row>
    <row r="142" spans="1:40" x14ac:dyDescent="0.25">
      <c r="A142" t="str">
        <f>"20190312163956580"</f>
        <v>20190312163956580</v>
      </c>
      <c r="B142" t="str">
        <f>"1552379996576937"</f>
        <v>1552379996576937</v>
      </c>
      <c r="C142" t="s">
        <v>40</v>
      </c>
      <c r="D142">
        <v>4.973312</v>
      </c>
      <c r="E142">
        <v>0.54467809999999905</v>
      </c>
      <c r="F142" t="s">
        <v>42</v>
      </c>
      <c r="G142">
        <v>-471.3655</v>
      </c>
      <c r="H142">
        <v>0.95171749999999999</v>
      </c>
      <c r="I142">
        <v>367.35090000000002</v>
      </c>
      <c r="J142">
        <v>-472.05119999999999</v>
      </c>
      <c r="K142">
        <v>1.109872</v>
      </c>
      <c r="L142">
        <v>367.42869999999999</v>
      </c>
      <c r="M142">
        <v>0.99839509999999998</v>
      </c>
      <c r="N142">
        <v>0</v>
      </c>
      <c r="O142">
        <v>5.5824489999999997E-2</v>
      </c>
      <c r="P142">
        <v>0.99593560000000003</v>
      </c>
      <c r="Q142">
        <v>8.9928869999999994E-2</v>
      </c>
      <c r="R142">
        <v>-5.0532290000000002E-3</v>
      </c>
      <c r="S142">
        <v>3.0714419999999998</v>
      </c>
      <c r="T142">
        <v>-0.66910550000000002</v>
      </c>
      <c r="U142">
        <v>-0.31512449999999997</v>
      </c>
      <c r="V142">
        <v>6.0626569999999998E-2</v>
      </c>
      <c r="W142">
        <v>9.9424639999999995E-2</v>
      </c>
      <c r="X142">
        <v>0.99319639999999998</v>
      </c>
      <c r="Y142">
        <v>0.15259489999999901</v>
      </c>
      <c r="Z142">
        <v>-2.8381150000000001E-2</v>
      </c>
      <c r="AA142">
        <v>0.98788120000000001</v>
      </c>
      <c r="AB142">
        <v>5</v>
      </c>
      <c r="AC142">
        <v>0.68569999999999698</v>
      </c>
      <c r="AD142">
        <v>-0.1581545</v>
      </c>
      <c r="AE142">
        <v>-7.7799999999967895E-2</v>
      </c>
      <c r="AF142">
        <v>0.11017278524356</v>
      </c>
      <c r="AG142">
        <v>-0.1581545</v>
      </c>
      <c r="AH142">
        <v>0.64634031540442605</v>
      </c>
      <c r="AI142">
        <v>103.561436684155</v>
      </c>
      <c r="AJ142">
        <v>80.3265463146424</v>
      </c>
      <c r="AK142">
        <v>0.67446770997258798</v>
      </c>
      <c r="AL142">
        <v>84.293960133447598</v>
      </c>
      <c r="AM142">
        <v>86.506892483331399</v>
      </c>
      <c r="AN142">
        <v>0.99999996450102602</v>
      </c>
    </row>
    <row r="143" spans="1:40" x14ac:dyDescent="0.25">
      <c r="A143" t="str">
        <f>"20190312163956603"</f>
        <v>20190312163956603</v>
      </c>
      <c r="B143" t="str">
        <f>"1552379996596457"</f>
        <v>1552379996596457</v>
      </c>
      <c r="C143" t="s">
        <v>40</v>
      </c>
      <c r="D143">
        <v>5.9333049999999998</v>
      </c>
      <c r="E143">
        <v>0.53736439999999996</v>
      </c>
      <c r="F143" t="s">
        <v>42</v>
      </c>
      <c r="G143">
        <v>-471.33170000000001</v>
      </c>
      <c r="H143">
        <v>0.95373180000000002</v>
      </c>
      <c r="I143">
        <v>367.35629999999998</v>
      </c>
      <c r="J143">
        <v>-472.0129</v>
      </c>
      <c r="K143">
        <v>1.1101920000000001</v>
      </c>
      <c r="L143">
        <v>367.43119999999999</v>
      </c>
      <c r="M143">
        <v>0.99836860000000005</v>
      </c>
      <c r="N143">
        <v>0</v>
      </c>
      <c r="O143">
        <v>5.6123770000000003E-2</v>
      </c>
      <c r="P143">
        <v>0.99606320000000004</v>
      </c>
      <c r="Q143">
        <v>8.852061E-2</v>
      </c>
      <c r="R143">
        <v>-4.7617190000000002E-3</v>
      </c>
      <c r="S143">
        <v>3.070862</v>
      </c>
      <c r="T143">
        <v>-0.66655489999999995</v>
      </c>
      <c r="U143">
        <v>-0.30847170000000002</v>
      </c>
      <c r="V143">
        <v>6.0647630000000001E-2</v>
      </c>
      <c r="W143">
        <v>9.8973870000000005E-2</v>
      </c>
      <c r="X143">
        <v>0.99324020000000002</v>
      </c>
      <c r="Y143">
        <v>0.150858399999999</v>
      </c>
      <c r="Z143">
        <v>-2.8161760000000001E-2</v>
      </c>
      <c r="AA143">
        <v>0.98815419999999998</v>
      </c>
      <c r="AB143">
        <v>4</v>
      </c>
      <c r="AC143">
        <v>0.68119999999998904</v>
      </c>
      <c r="AD143">
        <v>-0.15646019999999899</v>
      </c>
      <c r="AE143">
        <v>-7.4900000000013706E-2</v>
      </c>
      <c r="AF143">
        <v>0.10741654823560599</v>
      </c>
      <c r="AG143">
        <v>-0.15646019999999899</v>
      </c>
      <c r="AH143">
        <v>0.642435824560737</v>
      </c>
      <c r="AI143">
        <v>103.50698003577099</v>
      </c>
      <c r="AJ143">
        <v>80.507837590883895</v>
      </c>
      <c r="AK143">
        <v>0.66988200281685895</v>
      </c>
      <c r="AL143">
        <v>84.3199157393625</v>
      </c>
      <c r="AM143">
        <v>86.505835791058999</v>
      </c>
      <c r="AN143">
        <v>1.0000000284317101</v>
      </c>
    </row>
    <row r="144" spans="1:40" x14ac:dyDescent="0.25">
      <c r="A144" t="str">
        <f>"20190312163956625"</f>
        <v>20190312163956625</v>
      </c>
      <c r="B144" t="str">
        <f>"1552379996615976"</f>
        <v>1552379996615976</v>
      </c>
      <c r="C144" t="s">
        <v>40</v>
      </c>
      <c r="D144">
        <v>5.4038529999999998</v>
      </c>
      <c r="E144">
        <v>0.53735390000000005</v>
      </c>
      <c r="F144" t="s">
        <v>42</v>
      </c>
      <c r="G144">
        <v>-471.28210000000001</v>
      </c>
      <c r="H144">
        <v>0.98216800000000004</v>
      </c>
      <c r="I144">
        <v>367.3691</v>
      </c>
      <c r="J144">
        <v>-471.97030000000001</v>
      </c>
      <c r="K144">
        <v>1.1100479999999999</v>
      </c>
      <c r="L144">
        <v>367.43400000000003</v>
      </c>
      <c r="M144">
        <v>0.99835430000000003</v>
      </c>
      <c r="N144">
        <v>0</v>
      </c>
      <c r="O144">
        <v>5.6496310000000001E-2</v>
      </c>
      <c r="P144">
        <v>0.99599590000000005</v>
      </c>
      <c r="Q144">
        <v>8.9258630000000005E-2</v>
      </c>
      <c r="R144">
        <v>-4.9959130000000003E-3</v>
      </c>
      <c r="S144">
        <v>3.058319</v>
      </c>
      <c r="T144">
        <v>-0.53620649999999903</v>
      </c>
      <c r="U144">
        <v>-0.25842290000000001</v>
      </c>
      <c r="V144">
        <v>6.1244769999999997E-2</v>
      </c>
      <c r="W144">
        <v>9.9050750000000007E-2</v>
      </c>
      <c r="X144">
        <v>0.99319590000000002</v>
      </c>
      <c r="Y144">
        <v>0.13742219999999999</v>
      </c>
      <c r="Z144">
        <v>-2.1750559999999999E-2</v>
      </c>
      <c r="AA144">
        <v>0.99027370000000003</v>
      </c>
      <c r="AB144">
        <v>4</v>
      </c>
      <c r="AC144">
        <v>0.68819999999999404</v>
      </c>
      <c r="AD144">
        <v>-0.12787999999999899</v>
      </c>
      <c r="AE144">
        <v>-6.4900000000022801E-2</v>
      </c>
      <c r="AF144">
        <v>0.100248085828426</v>
      </c>
      <c r="AG144">
        <v>-0.12787999999999899</v>
      </c>
      <c r="AH144">
        <v>0.66081808289021704</v>
      </c>
      <c r="AI144">
        <v>100.831421708458</v>
      </c>
      <c r="AJ144">
        <v>81.373830704208899</v>
      </c>
      <c r="AK144">
        <v>0.68050239660633405</v>
      </c>
      <c r="AL144">
        <v>84.315489122085694</v>
      </c>
      <c r="AM144">
        <v>86.471361564513899</v>
      </c>
      <c r="AN144">
        <v>1.0000000343523601</v>
      </c>
    </row>
    <row r="145" spans="1:40" x14ac:dyDescent="0.25">
      <c r="A145" t="str">
        <f>"20190312163956647"</f>
        <v>20190312163956647</v>
      </c>
      <c r="B145" t="str">
        <f>"1552379996636476"</f>
        <v>1552379996636476</v>
      </c>
      <c r="C145" t="s">
        <v>40</v>
      </c>
      <c r="D145">
        <v>5.3684149999999997</v>
      </c>
      <c r="E145">
        <v>0.53687839999999998</v>
      </c>
      <c r="F145" t="s">
        <v>42</v>
      </c>
      <c r="G145">
        <v>-471.24119999999999</v>
      </c>
      <c r="H145">
        <v>0.98289740000000003</v>
      </c>
      <c r="I145">
        <v>367.37240000000003</v>
      </c>
      <c r="J145">
        <v>-471.92669999999998</v>
      </c>
      <c r="K145">
        <v>1.10975</v>
      </c>
      <c r="L145">
        <v>367.43689999999998</v>
      </c>
      <c r="M145">
        <v>0.99834250000000002</v>
      </c>
      <c r="N145">
        <v>0</v>
      </c>
      <c r="O145">
        <v>5.6920110000000003E-2</v>
      </c>
      <c r="P145">
        <v>0.99589030000000001</v>
      </c>
      <c r="Q145">
        <v>9.0436240000000001E-2</v>
      </c>
      <c r="R145">
        <v>-4.8912579999999999E-3</v>
      </c>
      <c r="S145">
        <v>3.0585330000000002</v>
      </c>
      <c r="T145">
        <v>-0.53337319999999999</v>
      </c>
      <c r="U145">
        <v>-0.25869750000000002</v>
      </c>
      <c r="V145">
        <v>6.1549109999999997E-2</v>
      </c>
      <c r="W145">
        <v>9.8906030000000006E-2</v>
      </c>
      <c r="X145">
        <v>0.9931915</v>
      </c>
      <c r="Y145">
        <v>0.13794129999999999</v>
      </c>
      <c r="Z145">
        <v>-2.1753729999999999E-2</v>
      </c>
      <c r="AA145">
        <v>0.99020149999999996</v>
      </c>
      <c r="AB145">
        <v>4</v>
      </c>
      <c r="AC145">
        <v>0.68549999999999001</v>
      </c>
      <c r="AD145">
        <v>-0.12685259999999901</v>
      </c>
      <c r="AE145">
        <v>-6.4499999999952706E-2</v>
      </c>
      <c r="AF145">
        <v>0.100020527506646</v>
      </c>
      <c r="AG145">
        <v>-0.12685259999999901</v>
      </c>
      <c r="AH145">
        <v>0.65836973184107905</v>
      </c>
      <c r="AI145">
        <v>100.78512217515799</v>
      </c>
      <c r="AJ145">
        <v>81.361592745931802</v>
      </c>
      <c r="AK145">
        <v>0.67789851147053204</v>
      </c>
      <c r="AL145">
        <v>84.323821835035602</v>
      </c>
      <c r="AM145">
        <v>86.453855875201199</v>
      </c>
      <c r="AN145">
        <v>1.0000000256921999</v>
      </c>
    </row>
    <row r="146" spans="1:40" x14ac:dyDescent="0.25">
      <c r="A146" t="str">
        <f>"20190312163956669"</f>
        <v>20190312163956669</v>
      </c>
      <c r="B146" t="str">
        <f>"1552379996666728"</f>
        <v>1552379996666728</v>
      </c>
      <c r="C146" t="s">
        <v>40</v>
      </c>
      <c r="D146">
        <v>5.1733250000000002</v>
      </c>
      <c r="E146">
        <v>0.53658869999999903</v>
      </c>
      <c r="F146" t="s">
        <v>42</v>
      </c>
      <c r="G146">
        <v>-471.19740000000002</v>
      </c>
      <c r="H146">
        <v>0.98372409999999999</v>
      </c>
      <c r="I146">
        <v>367.37560000000002</v>
      </c>
      <c r="J146">
        <v>-471.87939999999998</v>
      </c>
      <c r="K146">
        <v>1.109701</v>
      </c>
      <c r="L146">
        <v>367.44009999999997</v>
      </c>
      <c r="M146">
        <v>0.99832169999999998</v>
      </c>
      <c r="N146">
        <v>0</v>
      </c>
      <c r="O146">
        <v>5.7365890000000003E-2</v>
      </c>
      <c r="P146">
        <v>0.99584300000000003</v>
      </c>
      <c r="Q146">
        <v>9.0948909999999994E-2</v>
      </c>
      <c r="R146">
        <v>-5.0382079999999997E-3</v>
      </c>
      <c r="S146">
        <v>3.0592039999999998</v>
      </c>
      <c r="T146">
        <v>-0.52937029999999996</v>
      </c>
      <c r="U146">
        <v>-0.25454710000000003</v>
      </c>
      <c r="V146">
        <v>6.2134679999999998E-2</v>
      </c>
      <c r="W146">
        <v>9.8861900000000003E-2</v>
      </c>
      <c r="X146">
        <v>0.99315940000000003</v>
      </c>
      <c r="Y146">
        <v>0.13708119999999999</v>
      </c>
      <c r="Z146">
        <v>-2.1591949999999999E-2</v>
      </c>
      <c r="AA146">
        <v>0.99032439999999999</v>
      </c>
      <c r="AB146">
        <v>5</v>
      </c>
      <c r="AC146">
        <v>0.68199999999995897</v>
      </c>
      <c r="AD146">
        <v>-0.1259769</v>
      </c>
      <c r="AE146">
        <v>-6.4499999999952706E-2</v>
      </c>
      <c r="AF146">
        <v>0.100132286727651</v>
      </c>
      <c r="AG146">
        <v>-0.1259769</v>
      </c>
      <c r="AH146">
        <v>0.65502507712286095</v>
      </c>
      <c r="AI146">
        <v>100.764340090427</v>
      </c>
      <c r="AJ146">
        <v>81.308601456194694</v>
      </c>
      <c r="AK146">
        <v>0.67450315480265099</v>
      </c>
      <c r="AL146">
        <v>84.326362569109804</v>
      </c>
      <c r="AM146">
        <v>86.420090251814401</v>
      </c>
      <c r="AN146">
        <v>0.99999999376933602</v>
      </c>
    </row>
    <row r="147" spans="1:40" x14ac:dyDescent="0.25">
      <c r="A147" t="str">
        <f>"20190312163956693"</f>
        <v>20190312163956693</v>
      </c>
      <c r="B147" t="str">
        <f>"1552379996686462"</f>
        <v>1552379996686462</v>
      </c>
      <c r="C147" t="s">
        <v>40</v>
      </c>
      <c r="D147">
        <v>5.2028670000000004</v>
      </c>
      <c r="E147">
        <v>0.53627760000000002</v>
      </c>
      <c r="F147" t="s">
        <v>42</v>
      </c>
      <c r="G147">
        <v>-471.15620000000001</v>
      </c>
      <c r="H147">
        <v>0.98610589999999998</v>
      </c>
      <c r="I147">
        <v>367.38010000000003</v>
      </c>
      <c r="J147">
        <v>-471.8347</v>
      </c>
      <c r="K147">
        <v>1.1101019999999999</v>
      </c>
      <c r="L147">
        <v>367.44319999999999</v>
      </c>
      <c r="M147">
        <v>0.99829040000000002</v>
      </c>
      <c r="N147">
        <v>0</v>
      </c>
      <c r="O147">
        <v>5.772074E-2</v>
      </c>
      <c r="P147">
        <v>0.99597190000000002</v>
      </c>
      <c r="Q147">
        <v>8.9532760000000003E-2</v>
      </c>
      <c r="R147">
        <v>-4.898309E-3</v>
      </c>
      <c r="S147">
        <v>3.059021</v>
      </c>
      <c r="T147">
        <v>-0.52310299999999998</v>
      </c>
      <c r="U147">
        <v>-0.25259399999999999</v>
      </c>
      <c r="V147">
        <v>6.2366119999999997E-2</v>
      </c>
      <c r="W147">
        <v>9.8690109999999998E-2</v>
      </c>
      <c r="X147">
        <v>0.99316199999999999</v>
      </c>
      <c r="Y147">
        <v>0.1368752</v>
      </c>
      <c r="Z147">
        <v>-2.138454E-2</v>
      </c>
      <c r="AA147">
        <v>0.9903575</v>
      </c>
      <c r="AB147">
        <v>5</v>
      </c>
      <c r="AC147">
        <v>0.678499999999985</v>
      </c>
      <c r="AD147">
        <v>-0.1239961</v>
      </c>
      <c r="AE147">
        <v>-6.3099999999963005E-2</v>
      </c>
      <c r="AF147">
        <v>9.8885731487880504E-2</v>
      </c>
      <c r="AG147">
        <v>-0.1239961</v>
      </c>
      <c r="AH147">
        <v>0.65213336564770197</v>
      </c>
      <c r="AI147">
        <v>100.646787236234</v>
      </c>
      <c r="AJ147">
        <v>81.377683147517899</v>
      </c>
      <c r="AK147">
        <v>0.67114182353516205</v>
      </c>
      <c r="AL147">
        <v>84.336253899956304</v>
      </c>
      <c r="AM147">
        <v>86.406800013801501</v>
      </c>
      <c r="AN147">
        <v>1.00000001448983</v>
      </c>
    </row>
    <row r="148" spans="1:40" x14ac:dyDescent="0.25">
      <c r="A148" t="str">
        <f>"20190312163956714"</f>
        <v>20190312163956714</v>
      </c>
      <c r="B148" t="str">
        <f>"1552379996706957"</f>
        <v>1552379996706957</v>
      </c>
      <c r="C148" t="s">
        <v>40</v>
      </c>
      <c r="D148">
        <v>5.1778029999999999</v>
      </c>
      <c r="E148">
        <v>0.53599259999999904</v>
      </c>
      <c r="F148" t="s">
        <v>42</v>
      </c>
      <c r="G148">
        <v>-471.11939999999998</v>
      </c>
      <c r="H148">
        <v>0.98683209999999999</v>
      </c>
      <c r="I148">
        <v>367.38459999999998</v>
      </c>
      <c r="J148">
        <v>-471.79739999999998</v>
      </c>
      <c r="K148">
        <v>1.110576</v>
      </c>
      <c r="L148">
        <v>367.44560000000001</v>
      </c>
      <c r="M148">
        <v>0.99825649999999999</v>
      </c>
      <c r="N148">
        <v>0</v>
      </c>
      <c r="O148">
        <v>5.7964969999999998E-2</v>
      </c>
      <c r="P148">
        <v>0.99616000000000005</v>
      </c>
      <c r="Q148">
        <v>8.7415019999999996E-2</v>
      </c>
      <c r="R148">
        <v>-4.9052540000000004E-3</v>
      </c>
      <c r="S148">
        <v>3.0582889999999998</v>
      </c>
      <c r="T148">
        <v>-0.52729150000000002</v>
      </c>
      <c r="U148">
        <v>-0.24987789999999999</v>
      </c>
      <c r="V148">
        <v>6.2643030000000002E-2</v>
      </c>
      <c r="W148">
        <v>9.8477999999999996E-2</v>
      </c>
      <c r="X148">
        <v>0.99316559999999998</v>
      </c>
      <c r="Y148">
        <v>0.13622390000000001</v>
      </c>
      <c r="Z148">
        <v>-2.1545350000000001E-2</v>
      </c>
      <c r="AA148">
        <v>0.99044379999999999</v>
      </c>
      <c r="AB148">
        <v>5</v>
      </c>
      <c r="AC148">
        <v>0.67799999999999705</v>
      </c>
      <c r="AD148">
        <v>-0.1237439</v>
      </c>
      <c r="AE148">
        <v>-6.1000000000035401E-2</v>
      </c>
      <c r="AF148">
        <v>9.6995047812258997E-2</v>
      </c>
      <c r="AG148">
        <v>-0.1237439</v>
      </c>
      <c r="AH148">
        <v>0.65178645142331804</v>
      </c>
      <c r="AI148">
        <v>100.635457406917</v>
      </c>
      <c r="AJ148">
        <v>81.535694926099396</v>
      </c>
      <c r="AK148">
        <v>0.67048204326910499</v>
      </c>
      <c r="AL148">
        <v>84.348466244163006</v>
      </c>
      <c r="AM148">
        <v>86.3909010743766</v>
      </c>
      <c r="AN148">
        <v>0.99999998735746998</v>
      </c>
    </row>
    <row r="149" spans="1:40" x14ac:dyDescent="0.25">
      <c r="A149" t="str">
        <f>"20190312163956738"</f>
        <v>20190312163956738</v>
      </c>
      <c r="B149" t="str">
        <f>"1552379996726481"</f>
        <v>1552379996726481</v>
      </c>
      <c r="C149" t="s">
        <v>40</v>
      </c>
      <c r="D149">
        <v>5.7423719999999996</v>
      </c>
      <c r="E149">
        <v>0.53578409999999999</v>
      </c>
      <c r="F149" t="s">
        <v>42</v>
      </c>
      <c r="G149">
        <v>-471.08609999999999</v>
      </c>
      <c r="H149">
        <v>0.98656109999999997</v>
      </c>
      <c r="I149">
        <v>367.38780000000003</v>
      </c>
      <c r="J149">
        <v>-471.75510000000003</v>
      </c>
      <c r="K149">
        <v>1.110522</v>
      </c>
      <c r="L149">
        <v>367.44850000000002</v>
      </c>
      <c r="M149">
        <v>0.99823810000000002</v>
      </c>
      <c r="N149">
        <v>0</v>
      </c>
      <c r="O149">
        <v>5.8255399999999999E-2</v>
      </c>
      <c r="P149">
        <v>0.99619440000000004</v>
      </c>
      <c r="Q149">
        <v>8.7005209999999999E-2</v>
      </c>
      <c r="R149">
        <v>-5.1874770000000002E-3</v>
      </c>
      <c r="S149">
        <v>3.0570979999999999</v>
      </c>
      <c r="T149">
        <v>-0.53323769999999904</v>
      </c>
      <c r="U149">
        <v>-0.2474365</v>
      </c>
      <c r="V149">
        <v>6.321657E-2</v>
      </c>
      <c r="W149">
        <v>9.8197099999999996E-2</v>
      </c>
      <c r="X149">
        <v>0.99315710000000001</v>
      </c>
      <c r="Y149">
        <v>0.1356945</v>
      </c>
      <c r="Z149">
        <v>-2.179816E-2</v>
      </c>
      <c r="AA149">
        <v>0.99051089999999997</v>
      </c>
      <c r="AB149">
        <v>4</v>
      </c>
      <c r="AC149">
        <v>0.66900000000003901</v>
      </c>
      <c r="AD149">
        <v>-0.1239609</v>
      </c>
      <c r="AE149">
        <v>-6.0699999999996999E-2</v>
      </c>
      <c r="AF149">
        <v>9.6293158606098397E-2</v>
      </c>
      <c r="AG149">
        <v>-0.1239609</v>
      </c>
      <c r="AH149">
        <v>0.64244996506362095</v>
      </c>
      <c r="AI149">
        <v>100.803238544479</v>
      </c>
      <c r="AJ149">
        <v>81.475718157959406</v>
      </c>
      <c r="AK149">
        <v>0.66134758995054699</v>
      </c>
      <c r="AL149">
        <v>84.364639173979697</v>
      </c>
      <c r="AM149">
        <v>86.3579147438235</v>
      </c>
      <c r="AN149">
        <v>1.00000001522569</v>
      </c>
    </row>
    <row r="150" spans="1:40" x14ac:dyDescent="0.25">
      <c r="A150" t="str">
        <f>"20190312163956760"</f>
        <v>20190312163956760</v>
      </c>
      <c r="B150" t="str">
        <f>"1552379996756735"</f>
        <v>1552379996756735</v>
      </c>
      <c r="C150" t="s">
        <v>40</v>
      </c>
      <c r="D150">
        <v>5.3388269999999904</v>
      </c>
      <c r="E150">
        <v>0.53608219999999995</v>
      </c>
      <c r="F150" t="s">
        <v>42</v>
      </c>
      <c r="G150">
        <v>-471.04829999999998</v>
      </c>
      <c r="H150">
        <v>0.98671359999999997</v>
      </c>
      <c r="I150">
        <v>367.39109999999999</v>
      </c>
      <c r="J150">
        <v>-471.70729999999998</v>
      </c>
      <c r="K150">
        <v>1.1100699999999999</v>
      </c>
      <c r="L150">
        <v>367.45170000000002</v>
      </c>
      <c r="M150">
        <v>0.99823010000000001</v>
      </c>
      <c r="N150">
        <v>0</v>
      </c>
      <c r="O150">
        <v>5.86613E-2</v>
      </c>
      <c r="P150">
        <v>0.99605630000000001</v>
      </c>
      <c r="Q150">
        <v>8.8590580000000002E-2</v>
      </c>
      <c r="R150">
        <v>-4.880667E-3</v>
      </c>
      <c r="S150">
        <v>3.057007</v>
      </c>
      <c r="T150">
        <v>-0.53601339999999997</v>
      </c>
      <c r="U150">
        <v>-0.24646000000000001</v>
      </c>
      <c r="V150">
        <v>6.3296740000000004E-2</v>
      </c>
      <c r="W150">
        <v>9.8310990000000001E-2</v>
      </c>
      <c r="X150">
        <v>0.99314069999999999</v>
      </c>
      <c r="Y150">
        <v>0.13574700000000001</v>
      </c>
      <c r="Z150">
        <v>-2.198574E-2</v>
      </c>
      <c r="AA150">
        <v>0.99049960000000004</v>
      </c>
      <c r="AB150">
        <v>4</v>
      </c>
      <c r="AC150">
        <v>0.65899999999999104</v>
      </c>
      <c r="AD150">
        <v>-0.1233564</v>
      </c>
      <c r="AE150">
        <v>-6.0600000000022101E-2</v>
      </c>
      <c r="AF150">
        <v>9.5825785102622796E-2</v>
      </c>
      <c r="AG150">
        <v>-0.1233564</v>
      </c>
      <c r="AH150">
        <v>0.63233922356552896</v>
      </c>
      <c r="AI150">
        <v>100.916997921092</v>
      </c>
      <c r="AJ150">
        <v>81.382862699556696</v>
      </c>
      <c r="AK150">
        <v>0.65134651006277</v>
      </c>
      <c r="AL150">
        <v>84.358081881809198</v>
      </c>
      <c r="AM150">
        <v>86.353248322912705</v>
      </c>
      <c r="AN150">
        <v>0.99999998902294795</v>
      </c>
    </row>
    <row r="151" spans="1:40" x14ac:dyDescent="0.25">
      <c r="A151" t="str">
        <f>"20190312163956783"</f>
        <v>20190312163956783</v>
      </c>
      <c r="B151" t="str">
        <f>"1552379996776254"</f>
        <v>1552379996776254</v>
      </c>
      <c r="C151" t="s">
        <v>40</v>
      </c>
      <c r="D151">
        <v>5.4236500000000003</v>
      </c>
      <c r="E151">
        <v>0.53568559999999998</v>
      </c>
      <c r="F151" t="s">
        <v>42</v>
      </c>
      <c r="G151">
        <v>-470.96519999999998</v>
      </c>
      <c r="H151">
        <v>0.9795161</v>
      </c>
      <c r="I151">
        <v>367.39100000000002</v>
      </c>
      <c r="J151">
        <v>-471.6567</v>
      </c>
      <c r="K151">
        <v>1.1097239999999999</v>
      </c>
      <c r="L151">
        <v>367.45499999999998</v>
      </c>
      <c r="M151">
        <v>0.99821470000000001</v>
      </c>
      <c r="N151">
        <v>0</v>
      </c>
      <c r="O151">
        <v>5.9149859999999999E-2</v>
      </c>
      <c r="P151">
        <v>0.99592230000000004</v>
      </c>
      <c r="Q151">
        <v>9.0092779999999997E-2</v>
      </c>
      <c r="R151">
        <v>-4.7241619999999996E-3</v>
      </c>
      <c r="S151">
        <v>3.058624</v>
      </c>
      <c r="T151">
        <v>-0.53881669999999904</v>
      </c>
      <c r="U151">
        <v>-0.24749760000000001</v>
      </c>
      <c r="V151">
        <v>6.3608040000000005E-2</v>
      </c>
      <c r="W151">
        <v>9.8349900000000004E-2</v>
      </c>
      <c r="X151">
        <v>0.99311700000000003</v>
      </c>
      <c r="Y151">
        <v>0.1364766</v>
      </c>
      <c r="Z151">
        <v>-2.223605E-2</v>
      </c>
      <c r="AA151">
        <v>0.99039370000000004</v>
      </c>
      <c r="AB151">
        <v>5</v>
      </c>
      <c r="AC151">
        <v>0.69150000000001899</v>
      </c>
      <c r="AD151">
        <v>-0.13020789999999899</v>
      </c>
      <c r="AE151">
        <v>-6.4000000000021304E-2</v>
      </c>
      <c r="AF151">
        <v>0.101232644426921</v>
      </c>
      <c r="AG151">
        <v>-0.13020789999999899</v>
      </c>
      <c r="AH151">
        <v>0.66318910444214696</v>
      </c>
      <c r="AI151">
        <v>100.98385243461399</v>
      </c>
      <c r="AJ151">
        <v>81.321067530986397</v>
      </c>
      <c r="AK151">
        <v>0.68339003048834002</v>
      </c>
      <c r="AL151">
        <v>84.355841882049802</v>
      </c>
      <c r="AM151">
        <v>86.335274755006495</v>
      </c>
      <c r="AN151">
        <v>1.0000000306358201</v>
      </c>
    </row>
    <row r="152" spans="1:40" x14ac:dyDescent="0.25">
      <c r="A152" t="str">
        <f>"20190312163956795"</f>
        <v>20190312163956795</v>
      </c>
      <c r="B152" t="str">
        <f>"1552379996786990"</f>
        <v>1552379996786990</v>
      </c>
      <c r="C152" t="s">
        <v>40</v>
      </c>
      <c r="D152">
        <v>5.2959820000000004</v>
      </c>
      <c r="E152">
        <v>0.53580729999999999</v>
      </c>
      <c r="F152" t="s">
        <v>42</v>
      </c>
      <c r="G152">
        <v>-470.91840000000002</v>
      </c>
      <c r="H152">
        <v>0.98171370000000002</v>
      </c>
      <c r="I152">
        <v>367.39620000000002</v>
      </c>
      <c r="J152">
        <v>-471.62599999999998</v>
      </c>
      <c r="K152">
        <v>1.1095900000000001</v>
      </c>
      <c r="L152">
        <v>367.4572</v>
      </c>
      <c r="M152">
        <v>0.99820149999999996</v>
      </c>
      <c r="N152">
        <v>0</v>
      </c>
      <c r="O152">
        <v>5.9465490000000003E-2</v>
      </c>
      <c r="P152">
        <v>0.99584479999999997</v>
      </c>
      <c r="Q152">
        <v>9.0920829999999994E-2</v>
      </c>
      <c r="R152">
        <v>-5.1445420000000002E-3</v>
      </c>
      <c r="S152">
        <v>3.0590820000000001</v>
      </c>
      <c r="T152">
        <v>-0.53043890000000005</v>
      </c>
      <c r="U152">
        <v>-0.2432251</v>
      </c>
      <c r="V152">
        <v>6.4331139999999995E-2</v>
      </c>
      <c r="W152">
        <v>9.8462830000000001E-2</v>
      </c>
      <c r="X152">
        <v>0.99305920000000003</v>
      </c>
      <c r="Y152">
        <v>0.13550499999999999</v>
      </c>
      <c r="Z152">
        <v>-2.1863980000000002E-2</v>
      </c>
      <c r="AA152">
        <v>0.99053539999999995</v>
      </c>
      <c r="AB152">
        <v>5</v>
      </c>
      <c r="AC152">
        <v>0.70759999999995604</v>
      </c>
      <c r="AD152">
        <v>-0.127876299999999</v>
      </c>
      <c r="AE152">
        <v>-6.0999999999978599E-2</v>
      </c>
      <c r="AF152">
        <v>9.9737721532744697E-2</v>
      </c>
      <c r="AG152">
        <v>-0.127876299999999</v>
      </c>
      <c r="AH152">
        <v>0.68065463460501896</v>
      </c>
      <c r="AI152">
        <v>100.53037549378401</v>
      </c>
      <c r="AJ152">
        <v>81.663658895293295</v>
      </c>
      <c r="AK152">
        <v>0.69970757664007399</v>
      </c>
      <c r="AL152">
        <v>84.349339735316406</v>
      </c>
      <c r="AM152">
        <v>86.293514289959006</v>
      </c>
      <c r="AN152">
        <v>0.99999999958497399</v>
      </c>
    </row>
    <row r="153" spans="1:40" x14ac:dyDescent="0.25">
      <c r="A153" t="str">
        <f>"20190312163956816"</f>
        <v>20190312163956816</v>
      </c>
      <c r="B153" t="str">
        <f>"1552379996806509"</f>
        <v>1552379996806509</v>
      </c>
      <c r="C153" t="s">
        <v>40</v>
      </c>
      <c r="D153">
        <v>5.0832519999999999</v>
      </c>
      <c r="E153">
        <v>0.5358385</v>
      </c>
      <c r="F153" t="s">
        <v>42</v>
      </c>
      <c r="G153">
        <v>-470.9162</v>
      </c>
      <c r="H153">
        <v>0.98679799999999995</v>
      </c>
      <c r="I153">
        <v>367.40039999999999</v>
      </c>
      <c r="J153">
        <v>-471.5797</v>
      </c>
      <c r="K153">
        <v>1.1094820000000001</v>
      </c>
      <c r="L153">
        <v>367.46039999999999</v>
      </c>
      <c r="M153">
        <v>0.99817809999999996</v>
      </c>
      <c r="N153">
        <v>0</v>
      </c>
      <c r="O153">
        <v>5.9961269999999997E-2</v>
      </c>
      <c r="P153">
        <v>0.99582020000000004</v>
      </c>
      <c r="Q153">
        <v>9.1212260000000003E-2</v>
      </c>
      <c r="R153">
        <v>-4.7597680000000002E-3</v>
      </c>
      <c r="S153">
        <v>3.0596009999999998</v>
      </c>
      <c r="T153">
        <v>-0.529443</v>
      </c>
      <c r="U153">
        <v>-0.2446594</v>
      </c>
      <c r="V153">
        <v>6.4430150000000005E-2</v>
      </c>
      <c r="W153">
        <v>9.7919489999999998E-2</v>
      </c>
      <c r="X153">
        <v>0.9931065</v>
      </c>
      <c r="Y153">
        <v>0.13643540000000001</v>
      </c>
      <c r="Z153">
        <v>-2.1984259999999999E-2</v>
      </c>
      <c r="AA153">
        <v>0.99040499999999998</v>
      </c>
      <c r="AB153">
        <v>5</v>
      </c>
      <c r="AC153">
        <v>0.66349999999999898</v>
      </c>
      <c r="AD153">
        <v>-0.122684</v>
      </c>
      <c r="AE153">
        <v>-6.0000000000002197E-2</v>
      </c>
      <c r="AF153">
        <v>9.64078283866244E-2</v>
      </c>
      <c r="AG153">
        <v>-0.122684</v>
      </c>
      <c r="AH153">
        <v>0.63710274874634099</v>
      </c>
      <c r="AI153">
        <v>100.779970090113</v>
      </c>
      <c r="AJ153">
        <v>81.395155919660994</v>
      </c>
      <c r="AK153">
        <v>0.65593120499818303</v>
      </c>
      <c r="AL153">
        <v>84.380621971067697</v>
      </c>
      <c r="AM153">
        <v>86.288002005018598</v>
      </c>
      <c r="AN153">
        <v>0.99999999554656605</v>
      </c>
    </row>
    <row r="154" spans="1:40" x14ac:dyDescent="0.25">
      <c r="A154" t="str">
        <f>"20190312163956828"</f>
        <v>20190312163956828</v>
      </c>
      <c r="B154" t="str">
        <f>"1552379996816269"</f>
        <v>1552379996816269</v>
      </c>
      <c r="C154" t="s">
        <v>40</v>
      </c>
      <c r="D154">
        <v>5.3317969999999999</v>
      </c>
      <c r="E154">
        <v>0.53598199999999996</v>
      </c>
      <c r="F154" t="s">
        <v>42</v>
      </c>
      <c r="G154">
        <v>-470.86880000000002</v>
      </c>
      <c r="H154">
        <v>0.98639399999999999</v>
      </c>
      <c r="I154">
        <v>367.40359999999998</v>
      </c>
      <c r="J154">
        <v>-471.5514</v>
      </c>
      <c r="K154">
        <v>1.1096140000000001</v>
      </c>
      <c r="L154">
        <v>367.4624</v>
      </c>
      <c r="M154">
        <v>0.99816150000000003</v>
      </c>
      <c r="N154">
        <v>0</v>
      </c>
      <c r="O154">
        <v>6.0210310000000003E-2</v>
      </c>
      <c r="P154">
        <v>0.99589430000000001</v>
      </c>
      <c r="Q154">
        <v>9.0388720000000006E-2</v>
      </c>
      <c r="R154">
        <v>-4.9553749999999997E-3</v>
      </c>
      <c r="S154">
        <v>3.0599669999999999</v>
      </c>
      <c r="T154">
        <v>-0.53028390000000003</v>
      </c>
      <c r="U154">
        <v>-0.24270630000000001</v>
      </c>
      <c r="V154">
        <v>6.4878900000000003E-2</v>
      </c>
      <c r="W154">
        <v>9.7340049999999997E-2</v>
      </c>
      <c r="X154">
        <v>0.99313430000000003</v>
      </c>
      <c r="Y154">
        <v>0.13603850000000001</v>
      </c>
      <c r="Z154">
        <v>-2.202527E-2</v>
      </c>
      <c r="AA154">
        <v>0.99045870000000003</v>
      </c>
      <c r="AB154">
        <v>5</v>
      </c>
      <c r="AC154">
        <v>0.682599999999979</v>
      </c>
      <c r="AD154">
        <v>-0.123219999999999</v>
      </c>
      <c r="AE154">
        <v>-5.8800000000019198E-2</v>
      </c>
      <c r="AF154">
        <v>9.6667082713478805E-2</v>
      </c>
      <c r="AG154">
        <v>-0.123219999999999</v>
      </c>
      <c r="AH154">
        <v>0.65658328398338595</v>
      </c>
      <c r="AI154">
        <v>100.51816731880101</v>
      </c>
      <c r="AJ154">
        <v>81.624657033257407</v>
      </c>
      <c r="AK154">
        <v>0.67500318672339699</v>
      </c>
      <c r="AL154">
        <v>84.413981090546201</v>
      </c>
      <c r="AM154">
        <v>86.262325653926595</v>
      </c>
      <c r="AN154">
        <v>1.0000000474178501</v>
      </c>
    </row>
    <row r="155" spans="1:40" x14ac:dyDescent="0.25">
      <c r="A155" t="str">
        <f>"20190312163956842"</f>
        <v>20190312163956842</v>
      </c>
      <c r="B155" t="str">
        <f>"1552379996836765"</f>
        <v>1552379996836765</v>
      </c>
      <c r="C155" t="s">
        <v>40</v>
      </c>
      <c r="D155">
        <v>5.2430830000000004</v>
      </c>
      <c r="E155">
        <v>0.53621169999999996</v>
      </c>
      <c r="F155" t="s">
        <v>42</v>
      </c>
      <c r="G155">
        <v>-470.82569999999998</v>
      </c>
      <c r="H155">
        <v>0.98286549999999995</v>
      </c>
      <c r="I155">
        <v>367.40410000000003</v>
      </c>
      <c r="J155">
        <v>-471.51929999999999</v>
      </c>
      <c r="K155">
        <v>1.1098509999999999</v>
      </c>
      <c r="L155">
        <v>367.46469999999999</v>
      </c>
      <c r="M155">
        <v>0.9981409</v>
      </c>
      <c r="N155">
        <v>0</v>
      </c>
      <c r="O155">
        <v>6.0466909999999999E-2</v>
      </c>
      <c r="P155">
        <v>0.99600469999999997</v>
      </c>
      <c r="Q155">
        <v>8.9177380000000001E-2</v>
      </c>
      <c r="R155">
        <v>-4.722965E-3</v>
      </c>
      <c r="S155">
        <v>3.059631</v>
      </c>
      <c r="T155">
        <v>-0.53464719999999999</v>
      </c>
      <c r="U155">
        <v>-0.24472050000000001</v>
      </c>
      <c r="V155">
        <v>6.4913990000000005E-2</v>
      </c>
      <c r="W155">
        <v>9.6811380000000002E-2</v>
      </c>
      <c r="X155">
        <v>0.99318360000000006</v>
      </c>
      <c r="Y155">
        <v>0.13688499999999901</v>
      </c>
      <c r="Z155">
        <v>-2.232346E-2</v>
      </c>
      <c r="AA155">
        <v>0.99033539999999998</v>
      </c>
      <c r="AB155">
        <v>5</v>
      </c>
      <c r="AC155">
        <v>0.69360000000000299</v>
      </c>
      <c r="AD155">
        <v>-0.126985499999999</v>
      </c>
      <c r="AE155">
        <v>-6.05999999999653E-2</v>
      </c>
      <c r="AF155">
        <v>9.9132539736050795E-2</v>
      </c>
      <c r="AG155">
        <v>-0.126985499999999</v>
      </c>
      <c r="AH155">
        <v>0.66649540902979698</v>
      </c>
      <c r="AI155">
        <v>100.67245219227701</v>
      </c>
      <c r="AJ155">
        <v>81.540018648100599</v>
      </c>
      <c r="AK155">
        <v>0.68568849188430003</v>
      </c>
      <c r="AL155">
        <v>84.444414938649501</v>
      </c>
      <c r="AM155">
        <v>86.260494958814107</v>
      </c>
      <c r="AN155">
        <v>0.99999996635209099</v>
      </c>
    </row>
    <row r="156" spans="1:40" x14ac:dyDescent="0.25">
      <c r="A156" t="str">
        <f>"20190312163956860"</f>
        <v>20190312163956860</v>
      </c>
      <c r="B156" t="str">
        <f>"1552379996856285"</f>
        <v>1552379996856285</v>
      </c>
      <c r="C156" t="s">
        <v>40</v>
      </c>
      <c r="D156">
        <v>5.0928779999999998</v>
      </c>
      <c r="E156">
        <v>0.54543189999999997</v>
      </c>
      <c r="F156" t="s">
        <v>42</v>
      </c>
      <c r="G156">
        <v>-470.78519999999997</v>
      </c>
      <c r="H156">
        <v>0.98031590000000002</v>
      </c>
      <c r="I156">
        <v>367.40530000000001</v>
      </c>
      <c r="J156">
        <v>-471.48480000000001</v>
      </c>
      <c r="K156">
        <v>1.1101399999999999</v>
      </c>
      <c r="L156">
        <v>367.46719999999999</v>
      </c>
      <c r="M156">
        <v>0.99811620000000001</v>
      </c>
      <c r="N156">
        <v>0</v>
      </c>
      <c r="O156">
        <v>6.0727330000000003E-2</v>
      </c>
      <c r="P156">
        <v>0.99612849999999997</v>
      </c>
      <c r="Q156">
        <v>8.7761640000000002E-2</v>
      </c>
      <c r="R156">
        <v>-5.1240590000000003E-3</v>
      </c>
      <c r="S156">
        <v>3.0592350000000001</v>
      </c>
      <c r="T156">
        <v>-0.54031929999999995</v>
      </c>
      <c r="U156">
        <v>-0.2460022</v>
      </c>
      <c r="V156">
        <v>6.5591369999999996E-2</v>
      </c>
      <c r="W156">
        <v>9.6457319999999999E-2</v>
      </c>
      <c r="X156">
        <v>0.99317359999999999</v>
      </c>
      <c r="Y156">
        <v>0.13748929999999901</v>
      </c>
      <c r="Z156">
        <v>-2.2657790000000001E-2</v>
      </c>
      <c r="AA156">
        <v>0.99024409999999896</v>
      </c>
      <c r="AB156">
        <v>5</v>
      </c>
      <c r="AC156">
        <v>0.69960000000003197</v>
      </c>
      <c r="AD156">
        <v>-0.129824099999999</v>
      </c>
      <c r="AE156">
        <v>-6.1899999999979999E-2</v>
      </c>
      <c r="AF156">
        <v>0.10082710901483299</v>
      </c>
      <c r="AG156">
        <v>-0.129824099999999</v>
      </c>
      <c r="AH156">
        <v>0.67160199765817896</v>
      </c>
      <c r="AI156">
        <v>100.82225706899099</v>
      </c>
      <c r="AJ156">
        <v>81.461991603540199</v>
      </c>
      <c r="AK156">
        <v>0.691425806657197</v>
      </c>
      <c r="AL156">
        <v>84.464796773544506</v>
      </c>
      <c r="AM156">
        <v>86.221547599269996</v>
      </c>
      <c r="AN156">
        <v>1.0000000210685001</v>
      </c>
    </row>
    <row r="157" spans="1:40" x14ac:dyDescent="0.25">
      <c r="A157" t="str">
        <f>"20190312163956872"</f>
        <v>20190312163956872</v>
      </c>
      <c r="B157" t="str">
        <f>"1552379996867022"</f>
        <v>1552379996867022</v>
      </c>
      <c r="C157" t="s">
        <v>40</v>
      </c>
      <c r="D157">
        <v>5.0749360000000001</v>
      </c>
      <c r="E157">
        <v>0.53180620000000001</v>
      </c>
      <c r="F157" t="s">
        <v>42</v>
      </c>
      <c r="G157">
        <v>-470.75650000000002</v>
      </c>
      <c r="H157">
        <v>0.94335290000000005</v>
      </c>
      <c r="I157">
        <v>367.39350000000002</v>
      </c>
      <c r="J157">
        <v>-471.45460000000003</v>
      </c>
      <c r="K157">
        <v>1.1100920000000001</v>
      </c>
      <c r="L157">
        <v>367.4692</v>
      </c>
      <c r="M157">
        <v>0.9980966</v>
      </c>
      <c r="N157">
        <v>0</v>
      </c>
      <c r="O157">
        <v>6.1057769999999997E-2</v>
      </c>
      <c r="P157">
        <v>0.996147</v>
      </c>
      <c r="Q157">
        <v>8.7558769999999994E-2</v>
      </c>
      <c r="R157">
        <v>-4.9970939999999997E-3</v>
      </c>
      <c r="S157">
        <v>3.0720209999999999</v>
      </c>
      <c r="T157">
        <v>-0.70373629999999998</v>
      </c>
      <c r="U157">
        <v>-0.30981449999999999</v>
      </c>
      <c r="V157">
        <v>6.5798480000000006E-2</v>
      </c>
      <c r="W157">
        <v>9.6192949999999999E-2</v>
      </c>
      <c r="X157">
        <v>0.99318550000000005</v>
      </c>
      <c r="Y157">
        <v>0.15534890000000001</v>
      </c>
      <c r="Z157">
        <v>-3.1302389999999999E-2</v>
      </c>
      <c r="AA157">
        <v>0.98736360000000001</v>
      </c>
      <c r="AB157">
        <v>5</v>
      </c>
      <c r="AC157">
        <v>0.69810000000001005</v>
      </c>
      <c r="AD157">
        <v>-0.1667391</v>
      </c>
      <c r="AE157">
        <v>-7.5699999999983406E-2</v>
      </c>
      <c r="AF157">
        <v>0.111876630141406</v>
      </c>
      <c r="AG157">
        <v>-0.1667391</v>
      </c>
      <c r="AH157">
        <v>0.65523008924498904</v>
      </c>
      <c r="AI157">
        <v>104.081741876987</v>
      </c>
      <c r="AJ157">
        <v>80.310527050300493</v>
      </c>
      <c r="AK157">
        <v>0.685306338576117</v>
      </c>
      <c r="AL157">
        <v>84.480014599004505</v>
      </c>
      <c r="AM157">
        <v>86.209696839616797</v>
      </c>
      <c r="AN157">
        <v>0.99999998050513095</v>
      </c>
    </row>
    <row r="158" spans="1:40" x14ac:dyDescent="0.25">
      <c r="A158" t="str">
        <f>"20190312163956894"</f>
        <v>20190312163956894</v>
      </c>
      <c r="B158" t="str">
        <f>"1552379996886542"</f>
        <v>1552379996886542</v>
      </c>
      <c r="C158" t="s">
        <v>40</v>
      </c>
      <c r="D158">
        <v>5.218515</v>
      </c>
      <c r="E158">
        <v>0.53557699999999997</v>
      </c>
      <c r="F158" t="s">
        <v>42</v>
      </c>
      <c r="G158">
        <v>-470.73570000000001</v>
      </c>
      <c r="H158">
        <v>0.99091580000000001</v>
      </c>
      <c r="I158">
        <v>367.4187</v>
      </c>
      <c r="J158">
        <v>-471.4033</v>
      </c>
      <c r="K158">
        <v>1.109853</v>
      </c>
      <c r="L158">
        <v>367.47280000000001</v>
      </c>
      <c r="M158">
        <v>0.99807460000000003</v>
      </c>
      <c r="N158">
        <v>0</v>
      </c>
      <c r="O158">
        <v>6.1535810000000003E-2</v>
      </c>
      <c r="P158">
        <v>0.9961314</v>
      </c>
      <c r="Q158">
        <v>8.7736010000000003E-2</v>
      </c>
      <c r="R158">
        <v>-4.986234E-3</v>
      </c>
      <c r="S158">
        <v>3.0550229999999998</v>
      </c>
      <c r="T158">
        <v>-0.5066754</v>
      </c>
      <c r="U158">
        <v>-0.21401980000000001</v>
      </c>
      <c r="V158">
        <v>6.6244540000000005E-2</v>
      </c>
      <c r="W158">
        <v>9.5490950000000005E-2</v>
      </c>
      <c r="X158">
        <v>0.99322359999999998</v>
      </c>
      <c r="Y158">
        <v>0.12855249999999999</v>
      </c>
      <c r="Z158">
        <v>-2.0700409999999999E-2</v>
      </c>
      <c r="AA158">
        <v>0.9914866</v>
      </c>
      <c r="AB158">
        <v>5</v>
      </c>
      <c r="AC158">
        <v>0.66759999999999298</v>
      </c>
      <c r="AD158">
        <v>-0.11893719999999899</v>
      </c>
      <c r="AE158">
        <v>-5.4100000000005297E-2</v>
      </c>
      <c r="AF158">
        <v>9.2173542198356606E-2</v>
      </c>
      <c r="AG158">
        <v>-0.11893719999999899</v>
      </c>
      <c r="AH158">
        <v>0.642738325124665</v>
      </c>
      <c r="AI158">
        <v>100.38000644147399</v>
      </c>
      <c r="AJ158">
        <v>81.838993547201497</v>
      </c>
      <c r="AK158">
        <v>0.66011709113557404</v>
      </c>
      <c r="AL158">
        <v>84.520422304655199</v>
      </c>
      <c r="AM158">
        <v>86.184223284171097</v>
      </c>
      <c r="AN158">
        <v>0.99999999010433605</v>
      </c>
    </row>
    <row r="159" spans="1:40" x14ac:dyDescent="0.25">
      <c r="A159" t="str">
        <f>"20190312163956916"</f>
        <v>20190312163956916</v>
      </c>
      <c r="B159" t="str">
        <f>"1552379996907038"</f>
        <v>1552379996907038</v>
      </c>
      <c r="C159" t="s">
        <v>40</v>
      </c>
      <c r="D159">
        <v>5.2488760000000001</v>
      </c>
      <c r="E159">
        <v>0.53854449999999998</v>
      </c>
      <c r="F159" t="s">
        <v>42</v>
      </c>
      <c r="G159">
        <v>-470.69080000000002</v>
      </c>
      <c r="H159">
        <v>0.98038769999999997</v>
      </c>
      <c r="I159">
        <v>367.41640000000001</v>
      </c>
      <c r="J159">
        <v>-471.34589999999997</v>
      </c>
      <c r="K159">
        <v>1.1096109999999999</v>
      </c>
      <c r="L159">
        <v>367.47680000000003</v>
      </c>
      <c r="M159">
        <v>0.99805569999999999</v>
      </c>
      <c r="N159">
        <v>0</v>
      </c>
      <c r="O159">
        <v>6.1989490000000001E-2</v>
      </c>
      <c r="P159">
        <v>0.99605710000000003</v>
      </c>
      <c r="Q159">
        <v>8.857313E-2</v>
      </c>
      <c r="R159">
        <v>-4.9970639999999998E-3</v>
      </c>
      <c r="S159">
        <v>3.059418</v>
      </c>
      <c r="T159">
        <v>-0.55643529999999997</v>
      </c>
      <c r="U159">
        <v>-0.24038699999999999</v>
      </c>
      <c r="V159">
        <v>6.6662799999999994E-2</v>
      </c>
      <c r="W159">
        <v>9.5084639999999998E-2</v>
      </c>
      <c r="X159">
        <v>0.99323459999999997</v>
      </c>
      <c r="Y159">
        <v>0.13673769999999999</v>
      </c>
      <c r="Z159">
        <v>-2.348244E-2</v>
      </c>
      <c r="AA159">
        <v>0.99032889999999996</v>
      </c>
      <c r="AB159">
        <v>5</v>
      </c>
      <c r="AC159">
        <v>0.65509999999994695</v>
      </c>
      <c r="AD159">
        <v>-0.12922330000000001</v>
      </c>
      <c r="AE159">
        <v>-6.0400000000015497E-2</v>
      </c>
      <c r="AF159">
        <v>9.7145874723055997E-2</v>
      </c>
      <c r="AG159">
        <v>-0.12922330000000001</v>
      </c>
      <c r="AH159">
        <v>0.62594528994256005</v>
      </c>
      <c r="AI159">
        <v>101.53028378841201</v>
      </c>
      <c r="AJ159">
        <v>81.178151613330698</v>
      </c>
      <c r="AK159">
        <v>0.64648548958184204</v>
      </c>
      <c r="AL159">
        <v>84.543808588350302</v>
      </c>
      <c r="AM159">
        <v>86.160245177928104</v>
      </c>
      <c r="AN159">
        <v>0.99999999415246399</v>
      </c>
    </row>
    <row r="160" spans="1:40" x14ac:dyDescent="0.25">
      <c r="A160" t="str">
        <f>"20190312163956939"</f>
        <v>20190312163956939</v>
      </c>
      <c r="B160" t="str">
        <f>"1552379996926560"</f>
        <v>1552379996926560</v>
      </c>
      <c r="C160" t="s">
        <v>40</v>
      </c>
      <c r="D160">
        <v>5.2544899999999997</v>
      </c>
      <c r="E160">
        <v>0.53992799999999996</v>
      </c>
      <c r="F160" t="s">
        <v>42</v>
      </c>
      <c r="G160">
        <v>-470.64249999999998</v>
      </c>
      <c r="H160">
        <v>0.97218939999999998</v>
      </c>
      <c r="I160">
        <v>367.41660000000002</v>
      </c>
      <c r="J160">
        <v>-471.2867</v>
      </c>
      <c r="K160">
        <v>1.10945</v>
      </c>
      <c r="L160">
        <v>367.48099999999999</v>
      </c>
      <c r="M160">
        <v>0.99803140000000001</v>
      </c>
      <c r="N160">
        <v>0</v>
      </c>
      <c r="O160">
        <v>6.2475580000000003E-2</v>
      </c>
      <c r="P160">
        <v>0.99603269999999999</v>
      </c>
      <c r="Q160">
        <v>8.8865310000000003E-2</v>
      </c>
      <c r="R160">
        <v>-4.7085030000000002E-3</v>
      </c>
      <c r="S160">
        <v>3.063812</v>
      </c>
      <c r="T160">
        <v>-0.59888790000000003</v>
      </c>
      <c r="U160">
        <v>-0.26080320000000001</v>
      </c>
      <c r="V160">
        <v>6.6829219999999995E-2</v>
      </c>
      <c r="W160">
        <v>9.439206E-2</v>
      </c>
      <c r="X160">
        <v>0.99328950000000005</v>
      </c>
      <c r="Y160">
        <v>0.143037</v>
      </c>
      <c r="Z160">
        <v>-2.5903140000000002E-2</v>
      </c>
      <c r="AA160">
        <v>0.98937830000000004</v>
      </c>
      <c r="AB160">
        <v>6</v>
      </c>
      <c r="AC160">
        <v>0.64420000000001199</v>
      </c>
      <c r="AD160">
        <v>-0.13726060000000001</v>
      </c>
      <c r="AE160">
        <v>-6.4399999999977794E-2</v>
      </c>
      <c r="AF160">
        <v>0.10002540323525</v>
      </c>
      <c r="AG160">
        <v>-0.13726060000000001</v>
      </c>
      <c r="AH160">
        <v>0.61143394585586197</v>
      </c>
      <c r="AI160">
        <v>102.49181140353799</v>
      </c>
      <c r="AJ160">
        <v>80.709194252600099</v>
      </c>
      <c r="AK160">
        <v>0.63458413449250695</v>
      </c>
      <c r="AL160">
        <v>84.583669918554193</v>
      </c>
      <c r="AM160">
        <v>86.150900339580204</v>
      </c>
      <c r="AN160">
        <v>1.00000001822355</v>
      </c>
    </row>
    <row r="161" spans="1:40" x14ac:dyDescent="0.25">
      <c r="A161" t="str">
        <f>"20190312163956953"</f>
        <v>20190312163956953</v>
      </c>
      <c r="B161" t="str">
        <f>"1552379996946077"</f>
        <v>1552379996946077</v>
      </c>
      <c r="C161" t="s">
        <v>40</v>
      </c>
      <c r="D161">
        <v>5.4644440000000003</v>
      </c>
      <c r="E161">
        <v>0.54169160000000005</v>
      </c>
      <c r="F161" t="s">
        <v>42</v>
      </c>
      <c r="G161">
        <v>-470.5385</v>
      </c>
      <c r="H161">
        <v>0.95914969999999999</v>
      </c>
      <c r="I161">
        <v>367.41500000000002</v>
      </c>
      <c r="J161">
        <v>-471.24439999999998</v>
      </c>
      <c r="K161">
        <v>1.1093569999999999</v>
      </c>
      <c r="L161">
        <v>367.48410000000001</v>
      </c>
      <c r="M161">
        <v>0.99800940000000005</v>
      </c>
      <c r="N161">
        <v>0</v>
      </c>
      <c r="O161">
        <v>6.2873079999999998E-2</v>
      </c>
      <c r="P161">
        <v>0.99603560000000002</v>
      </c>
      <c r="Q161">
        <v>8.8848960000000005E-2</v>
      </c>
      <c r="R161">
        <v>-4.3766300000000003E-3</v>
      </c>
      <c r="S161">
        <v>3.0656129999999999</v>
      </c>
      <c r="T161">
        <v>-0.61594939999999998</v>
      </c>
      <c r="U161">
        <v>-0.26989750000000001</v>
      </c>
      <c r="V161">
        <v>6.6888069999999994E-2</v>
      </c>
      <c r="W161">
        <v>9.383379E-2</v>
      </c>
      <c r="X161">
        <v>0.99333839999999995</v>
      </c>
      <c r="Y161">
        <v>0.1460118</v>
      </c>
      <c r="Z161">
        <v>-2.6982780000000001E-2</v>
      </c>
      <c r="AA161">
        <v>0.98891479999999998</v>
      </c>
      <c r="AB161">
        <v>6</v>
      </c>
      <c r="AC161">
        <v>0.70589999999998498</v>
      </c>
      <c r="AD161">
        <v>-0.15020729999999899</v>
      </c>
      <c r="AE161">
        <v>-6.9099999999991696E-2</v>
      </c>
      <c r="AF161">
        <v>0.108480665866152</v>
      </c>
      <c r="AG161">
        <v>-0.15020729999999899</v>
      </c>
      <c r="AH161">
        <v>0.67010515162492001</v>
      </c>
      <c r="AI161">
        <v>102.477030179625</v>
      </c>
      <c r="AJ161">
        <v>80.804389690131799</v>
      </c>
      <c r="AK161">
        <v>0.69524902162772595</v>
      </c>
      <c r="AL161">
        <v>84.615798860602993</v>
      </c>
      <c r="AM161">
        <v>86.147710092441102</v>
      </c>
      <c r="AN161">
        <v>0.99999998548432401</v>
      </c>
    </row>
    <row r="162" spans="1:40" x14ac:dyDescent="0.25">
      <c r="A162" t="str">
        <f>"20190312163956974"</f>
        <v>20190312163956974</v>
      </c>
      <c r="B162" t="str">
        <f>"1552379996966573"</f>
        <v>1552379996966573</v>
      </c>
      <c r="C162" t="s">
        <v>40</v>
      </c>
      <c r="D162">
        <v>5.9230289999999997</v>
      </c>
      <c r="E162">
        <v>0.54052349999999905</v>
      </c>
      <c r="F162" t="s">
        <v>42</v>
      </c>
      <c r="G162">
        <v>-470.53680000000003</v>
      </c>
      <c r="H162">
        <v>0.96349439999999997</v>
      </c>
      <c r="I162">
        <v>367.41899999999998</v>
      </c>
      <c r="J162">
        <v>-471.18520000000001</v>
      </c>
      <c r="K162">
        <v>1.109208</v>
      </c>
      <c r="L162">
        <v>367.48840000000001</v>
      </c>
      <c r="M162">
        <v>0.99797429999999998</v>
      </c>
      <c r="N162">
        <v>0</v>
      </c>
      <c r="O162">
        <v>6.3480499999999995E-2</v>
      </c>
      <c r="P162">
        <v>0.99600949999999999</v>
      </c>
      <c r="Q162">
        <v>8.9144769999999998E-2</v>
      </c>
      <c r="R162">
        <v>-4.3184989999999999E-3</v>
      </c>
      <c r="S162">
        <v>3.067078</v>
      </c>
      <c r="T162">
        <v>-0.63238359999999905</v>
      </c>
      <c r="U162">
        <v>-0.28146359999999998</v>
      </c>
      <c r="V162">
        <v>6.7434549999999996E-2</v>
      </c>
      <c r="W162">
        <v>9.3397019999999997E-2</v>
      </c>
      <c r="X162">
        <v>0.99334259999999996</v>
      </c>
      <c r="Y162">
        <v>0.1499587</v>
      </c>
      <c r="Z162">
        <v>-2.8196539999999999E-2</v>
      </c>
      <c r="AA162">
        <v>0.98829009999999995</v>
      </c>
      <c r="AB162">
        <v>6</v>
      </c>
      <c r="AC162">
        <v>0.64839999999997999</v>
      </c>
      <c r="AD162">
        <v>-0.1457136</v>
      </c>
      <c r="AE162">
        <v>-6.9399999999973205E-2</v>
      </c>
      <c r="AF162">
        <v>0.105169937335973</v>
      </c>
      <c r="AG162">
        <v>-0.1457136</v>
      </c>
      <c r="AH162">
        <v>0.61212292808982105</v>
      </c>
      <c r="AI162">
        <v>103.203305286239</v>
      </c>
      <c r="AJ162">
        <v>80.251092720103898</v>
      </c>
      <c r="AK162">
        <v>0.63795583549135204</v>
      </c>
      <c r="AL162">
        <v>84.640934247251906</v>
      </c>
      <c r="AM162">
        <v>86.116348923471804</v>
      </c>
      <c r="AN162">
        <v>0.99999997142667096</v>
      </c>
    </row>
    <row r="163" spans="1:40" x14ac:dyDescent="0.25">
      <c r="A163" t="str">
        <f>"20190312163956995"</f>
        <v>20190312163956995</v>
      </c>
      <c r="B163" t="str">
        <f>"1552379996986093"</f>
        <v>1552379996986093</v>
      </c>
      <c r="C163" t="s">
        <v>40</v>
      </c>
      <c r="D163">
        <v>5.1334749999999998</v>
      </c>
      <c r="E163">
        <v>0.53966449999999999</v>
      </c>
      <c r="F163" t="s">
        <v>42</v>
      </c>
      <c r="G163">
        <v>-470.4776</v>
      </c>
      <c r="H163">
        <v>0.9666131</v>
      </c>
      <c r="I163">
        <v>367.42520000000002</v>
      </c>
      <c r="J163">
        <v>-471.11939999999998</v>
      </c>
      <c r="K163">
        <v>1.1090340000000001</v>
      </c>
      <c r="L163">
        <v>367.49329999999998</v>
      </c>
      <c r="M163">
        <v>0.99793149999999997</v>
      </c>
      <c r="N163">
        <v>0</v>
      </c>
      <c r="O163">
        <v>6.4197509999999999E-2</v>
      </c>
      <c r="P163">
        <v>0.99594510000000003</v>
      </c>
      <c r="Q163">
        <v>8.9892669999999994E-2</v>
      </c>
      <c r="R163">
        <v>-3.570634E-3</v>
      </c>
      <c r="S163">
        <v>3.0661619999999998</v>
      </c>
      <c r="T163">
        <v>-0.61807909999999999</v>
      </c>
      <c r="U163">
        <v>-0.27304079999999997</v>
      </c>
      <c r="V163">
        <v>6.7405989999999999E-2</v>
      </c>
      <c r="W163">
        <v>9.3331520000000001E-2</v>
      </c>
      <c r="X163">
        <v>0.99335070000000003</v>
      </c>
      <c r="Y163">
        <v>0.148216299999999</v>
      </c>
      <c r="Z163">
        <v>-2.755169E-2</v>
      </c>
      <c r="AA163">
        <v>0.98857110000000004</v>
      </c>
      <c r="AB163">
        <v>6</v>
      </c>
      <c r="AC163">
        <v>0.64179999999998905</v>
      </c>
      <c r="AD163">
        <v>-0.14242089999999999</v>
      </c>
      <c r="AE163">
        <v>-6.8099999999958499E-2</v>
      </c>
      <c r="AF163">
        <v>0.104092900254056</v>
      </c>
      <c r="AG163">
        <v>-0.14242089999999999</v>
      </c>
      <c r="AH163">
        <v>0.60656732715707296</v>
      </c>
      <c r="AI163">
        <v>103.02975809144201</v>
      </c>
      <c r="AJ163">
        <v>80.262334326445099</v>
      </c>
      <c r="AK163">
        <v>0.63169847792644496</v>
      </c>
      <c r="AL163">
        <v>84.644703613388501</v>
      </c>
      <c r="AM163">
        <v>86.118020262032402</v>
      </c>
      <c r="AN163">
        <v>0.99999997665193996</v>
      </c>
    </row>
    <row r="164" spans="1:40" x14ac:dyDescent="0.25">
      <c r="A164" t="str">
        <f>"20190312163957018"</f>
        <v>20190312163957018</v>
      </c>
      <c r="B164" t="str">
        <f>"1552379997006695"</f>
        <v>1552379997006695</v>
      </c>
      <c r="C164" t="s">
        <v>40</v>
      </c>
      <c r="D164">
        <v>5.4746569999999997</v>
      </c>
      <c r="E164">
        <v>0.538975599999999</v>
      </c>
      <c r="F164" t="s">
        <v>42</v>
      </c>
      <c r="G164">
        <v>-470.41579999999999</v>
      </c>
      <c r="H164">
        <v>0.97029670000000001</v>
      </c>
      <c r="I164">
        <v>367.43239999999997</v>
      </c>
      <c r="J164">
        <v>-471.05790000000002</v>
      </c>
      <c r="K164">
        <v>1.109286</v>
      </c>
      <c r="L164">
        <v>367.49799999999999</v>
      </c>
      <c r="M164">
        <v>0.99788960000000004</v>
      </c>
      <c r="N164">
        <v>0</v>
      </c>
      <c r="O164">
        <v>6.4798900000000006E-2</v>
      </c>
      <c r="P164">
        <v>0.9960213</v>
      </c>
      <c r="Q164">
        <v>8.9052679999999995E-2</v>
      </c>
      <c r="R164">
        <v>-3.4160499999999999E-3</v>
      </c>
      <c r="S164">
        <v>3.065887</v>
      </c>
      <c r="T164">
        <v>-0.60479059999999996</v>
      </c>
      <c r="U164">
        <v>-0.26446530000000001</v>
      </c>
      <c r="V164">
        <v>6.7874680000000007E-2</v>
      </c>
      <c r="W164">
        <v>9.3282130000000005E-2</v>
      </c>
      <c r="X164">
        <v>0.99332339999999997</v>
      </c>
      <c r="Y164">
        <v>0.1462783</v>
      </c>
      <c r="Z164">
        <v>-2.6904190000000001E-2</v>
      </c>
      <c r="AA164">
        <v>0.98887749999999996</v>
      </c>
      <c r="AB164">
        <v>7</v>
      </c>
      <c r="AC164">
        <v>0.64210000000002698</v>
      </c>
      <c r="AD164">
        <v>-0.13898930000000001</v>
      </c>
      <c r="AE164">
        <v>-6.5600000000074404E-2</v>
      </c>
      <c r="AF164">
        <v>0.102324940277468</v>
      </c>
      <c r="AG164">
        <v>-0.13898930000000001</v>
      </c>
      <c r="AH164">
        <v>0.60829243674553102</v>
      </c>
      <c r="AI164">
        <v>102.698115099115</v>
      </c>
      <c r="AJ164">
        <v>80.451290039569898</v>
      </c>
      <c r="AK164">
        <v>0.63230380950860399</v>
      </c>
      <c r="AL164">
        <v>84.647545721764104</v>
      </c>
      <c r="AM164">
        <v>86.0910042194011</v>
      </c>
      <c r="AN164">
        <v>0.99999995247499796</v>
      </c>
    </row>
    <row r="165" spans="1:40" x14ac:dyDescent="0.25">
      <c r="A165" t="str">
        <f>"20190312163957030"</f>
        <v>20190312163957030</v>
      </c>
      <c r="B165" t="str">
        <f>"1552379997026216"</f>
        <v>1552379997026216</v>
      </c>
      <c r="C165" t="s">
        <v>40</v>
      </c>
      <c r="D165">
        <v>5.3122470000000002</v>
      </c>
      <c r="E165">
        <v>0.53850909999999996</v>
      </c>
      <c r="F165" t="s">
        <v>42</v>
      </c>
      <c r="G165">
        <v>-470.35759999999999</v>
      </c>
      <c r="H165">
        <v>0.97252950000000005</v>
      </c>
      <c r="I165">
        <v>367.4384</v>
      </c>
      <c r="J165">
        <v>-471.02440000000001</v>
      </c>
      <c r="K165">
        <v>1.1095379999999999</v>
      </c>
      <c r="L165">
        <v>367.50049999999999</v>
      </c>
      <c r="M165">
        <v>0.99786589999999997</v>
      </c>
      <c r="N165">
        <v>0</v>
      </c>
      <c r="O165">
        <v>6.5088110000000005E-2</v>
      </c>
      <c r="P165">
        <v>0.99609490000000001</v>
      </c>
      <c r="Q165">
        <v>8.823694E-2</v>
      </c>
      <c r="R165">
        <v>-3.0531220000000001E-3</v>
      </c>
      <c r="S165">
        <v>3.0646360000000001</v>
      </c>
      <c r="T165">
        <v>-0.59875630000000002</v>
      </c>
      <c r="U165">
        <v>-0.2593994</v>
      </c>
      <c r="V165">
        <v>6.7818840000000005E-2</v>
      </c>
      <c r="W165">
        <v>9.3456830000000005E-2</v>
      </c>
      <c r="X165">
        <v>0.9933109</v>
      </c>
      <c r="Y165">
        <v>0.1450698</v>
      </c>
      <c r="Z165">
        <v>-2.6592210000000002E-2</v>
      </c>
      <c r="AA165">
        <v>0.98906400000000005</v>
      </c>
      <c r="AB165">
        <v>7</v>
      </c>
      <c r="AC165">
        <v>0.66680000000002304</v>
      </c>
      <c r="AD165">
        <v>-0.13700849999999901</v>
      </c>
      <c r="AE165">
        <v>-6.2099999999986701E-2</v>
      </c>
      <c r="AF165">
        <v>0.101136529328619</v>
      </c>
      <c r="AG165">
        <v>-0.13700849999999901</v>
      </c>
      <c r="AH165">
        <v>0.63477512534304703</v>
      </c>
      <c r="AI165">
        <v>102.03249566093599</v>
      </c>
      <c r="AJ165">
        <v>80.947349853300295</v>
      </c>
      <c r="AK165">
        <v>0.65722095705414796</v>
      </c>
      <c r="AL165">
        <v>84.637492803626699</v>
      </c>
      <c r="AM165">
        <v>86.094161164777603</v>
      </c>
      <c r="AN165">
        <v>1.0000000590956999</v>
      </c>
    </row>
    <row r="166" spans="1:40" x14ac:dyDescent="0.25">
      <c r="A166" t="str">
        <f>"20190312163957049"</f>
        <v>20190312163957049</v>
      </c>
      <c r="B166" t="str">
        <f>"1552379997046711"</f>
        <v>1552379997046711</v>
      </c>
      <c r="C166" t="s">
        <v>40</v>
      </c>
      <c r="D166">
        <v>5.1929939999999997</v>
      </c>
      <c r="E166">
        <v>0.53814530000000005</v>
      </c>
      <c r="F166" t="s">
        <v>42</v>
      </c>
      <c r="G166">
        <v>-470.30439999999999</v>
      </c>
      <c r="H166">
        <v>0.96978640000000005</v>
      </c>
      <c r="I166">
        <v>367.44</v>
      </c>
      <c r="J166">
        <v>-470.9726</v>
      </c>
      <c r="K166">
        <v>1.1098779999999999</v>
      </c>
      <c r="L166">
        <v>367.50450000000001</v>
      </c>
      <c r="M166">
        <v>0.99783379999999999</v>
      </c>
      <c r="N166">
        <v>0</v>
      </c>
      <c r="O166">
        <v>6.5439629999999999E-2</v>
      </c>
      <c r="P166">
        <v>0.99622290000000002</v>
      </c>
      <c r="Q166">
        <v>8.6791549999999995E-2</v>
      </c>
      <c r="R166">
        <v>-2.6807549999999999E-3</v>
      </c>
      <c r="S166">
        <v>3.0637210000000001</v>
      </c>
      <c r="T166">
        <v>-0.5951128</v>
      </c>
      <c r="U166">
        <v>-0.25564579999999998</v>
      </c>
      <c r="V166">
        <v>6.7826199999999906E-2</v>
      </c>
      <c r="W166">
        <v>9.3505270000000001E-2</v>
      </c>
      <c r="X166">
        <v>0.99330580000000002</v>
      </c>
      <c r="Y166">
        <v>0.1442928</v>
      </c>
      <c r="Z166">
        <v>-2.643527E-2</v>
      </c>
      <c r="AA166">
        <v>0.98918189999999995</v>
      </c>
      <c r="AB166">
        <v>6</v>
      </c>
      <c r="AC166">
        <v>0.66820000000001301</v>
      </c>
      <c r="AD166">
        <v>-0.14009160000000001</v>
      </c>
      <c r="AE166">
        <v>-6.4500000000009494E-2</v>
      </c>
      <c r="AF166">
        <v>0.103578690181617</v>
      </c>
      <c r="AG166">
        <v>-0.14009160000000001</v>
      </c>
      <c r="AH166">
        <v>0.63489724580484197</v>
      </c>
      <c r="AI166">
        <v>102.285674445567</v>
      </c>
      <c r="AJ166">
        <v>80.734254909032103</v>
      </c>
      <c r="AK166">
        <v>0.65836822081634006</v>
      </c>
      <c r="AL166">
        <v>84.634704982389593</v>
      </c>
      <c r="AM166">
        <v>86.093718603999704</v>
      </c>
      <c r="AN166">
        <v>1.0000000206189199</v>
      </c>
    </row>
    <row r="167" spans="1:40" x14ac:dyDescent="0.25">
      <c r="A167" t="str">
        <f>"20190312163957073"</f>
        <v>20190312163957073</v>
      </c>
      <c r="B167" t="str">
        <f>"1552379997066232"</f>
        <v>1552379997066232</v>
      </c>
      <c r="C167" t="s">
        <v>40</v>
      </c>
      <c r="D167">
        <v>5.1948290000000004</v>
      </c>
      <c r="E167">
        <v>0.53774820000000001</v>
      </c>
      <c r="F167" t="s">
        <v>42</v>
      </c>
      <c r="G167">
        <v>-470.25110000000001</v>
      </c>
      <c r="H167">
        <v>0.96988529999999995</v>
      </c>
      <c r="I167">
        <v>367.44450000000001</v>
      </c>
      <c r="J167">
        <v>-470.90750000000003</v>
      </c>
      <c r="K167">
        <v>1.10989</v>
      </c>
      <c r="L167">
        <v>367.5093</v>
      </c>
      <c r="M167">
        <v>0.99780749999999996</v>
      </c>
      <c r="N167">
        <v>0</v>
      </c>
      <c r="O167">
        <v>6.5789630000000002E-2</v>
      </c>
      <c r="P167">
        <v>0.9962531</v>
      </c>
      <c r="Q167">
        <v>8.6461999999999997E-2</v>
      </c>
      <c r="R167">
        <v>-2.0460109999999999E-3</v>
      </c>
      <c r="S167">
        <v>3.0625</v>
      </c>
      <c r="T167">
        <v>-0.59464220000000001</v>
      </c>
      <c r="U167">
        <v>-0.25274659999999999</v>
      </c>
      <c r="V167">
        <v>6.7555160000000003E-2</v>
      </c>
      <c r="W167">
        <v>9.3656240000000002E-2</v>
      </c>
      <c r="X167">
        <v>0.99331000000000003</v>
      </c>
      <c r="Y167">
        <v>0.14374879999999901</v>
      </c>
      <c r="Z167">
        <v>-2.6440970000000001E-2</v>
      </c>
      <c r="AA167">
        <v>0.9892609</v>
      </c>
      <c r="AB167">
        <v>6</v>
      </c>
      <c r="AC167">
        <v>0.65640000000001897</v>
      </c>
      <c r="AD167">
        <v>-0.14000469999999901</v>
      </c>
      <c r="AE167">
        <v>-6.4799999999991004E-2</v>
      </c>
      <c r="AF167">
        <v>0.103195633496935</v>
      </c>
      <c r="AG167">
        <v>-0.14000469999999901</v>
      </c>
      <c r="AH167">
        <v>0.62266102154969905</v>
      </c>
      <c r="AI167">
        <v>102.507017238557</v>
      </c>
      <c r="AJ167">
        <v>80.589721174925501</v>
      </c>
      <c r="AK167">
        <v>0.64649625099627495</v>
      </c>
      <c r="AL167">
        <v>84.626016658936194</v>
      </c>
      <c r="AM167">
        <v>86.109296841266698</v>
      </c>
      <c r="AN167">
        <v>0.99999997351678105</v>
      </c>
    </row>
    <row r="168" spans="1:40" x14ac:dyDescent="0.25">
      <c r="A168" t="str">
        <f>"20190312163957085"</f>
        <v>20190312163957085</v>
      </c>
      <c r="B168" t="str">
        <f>"1552379997076968"</f>
        <v>1552379997076968</v>
      </c>
      <c r="C168" t="s">
        <v>40</v>
      </c>
      <c r="D168">
        <v>5.2057219999999997</v>
      </c>
      <c r="E168">
        <v>0.53765540000000001</v>
      </c>
      <c r="F168" t="s">
        <v>42</v>
      </c>
      <c r="G168">
        <v>-470.19260000000003</v>
      </c>
      <c r="H168">
        <v>0.97185710000000003</v>
      </c>
      <c r="I168">
        <v>367.4511</v>
      </c>
      <c r="J168">
        <v>-470.87060000000002</v>
      </c>
      <c r="K168">
        <v>1.1097330000000001</v>
      </c>
      <c r="L168">
        <v>367.51209999999998</v>
      </c>
      <c r="M168">
        <v>0.9977956</v>
      </c>
      <c r="N168">
        <v>0</v>
      </c>
      <c r="O168">
        <v>6.6012139999999997E-2</v>
      </c>
      <c r="P168">
        <v>0.99625799999999998</v>
      </c>
      <c r="Q168">
        <v>8.6407479999999995E-2</v>
      </c>
      <c r="R168">
        <v>-2.0071160000000002E-3</v>
      </c>
      <c r="S168">
        <v>3.0621640000000001</v>
      </c>
      <c r="T168">
        <v>-0.59174130000000003</v>
      </c>
      <c r="U168">
        <v>-0.24755859999999999</v>
      </c>
      <c r="V168">
        <v>6.7739670000000002E-2</v>
      </c>
      <c r="W168">
        <v>9.3205689999999994E-2</v>
      </c>
      <c r="X168">
        <v>0.99333979999999999</v>
      </c>
      <c r="Y168">
        <v>0.14237049999999901</v>
      </c>
      <c r="Z168">
        <v>-2.6229470000000001E-2</v>
      </c>
      <c r="AA168">
        <v>0.98946579999999995</v>
      </c>
      <c r="AB168">
        <v>6</v>
      </c>
      <c r="AC168">
        <v>0.67799999999999705</v>
      </c>
      <c r="AD168">
        <v>-0.1378759</v>
      </c>
      <c r="AE168">
        <v>-6.0999999999978599E-2</v>
      </c>
      <c r="AF168">
        <v>0.10146204178332199</v>
      </c>
      <c r="AG168">
        <v>-0.1378759</v>
      </c>
      <c r="AH168">
        <v>0.64599432845271298</v>
      </c>
      <c r="AI168">
        <v>101.90626298979301</v>
      </c>
      <c r="AJ168">
        <v>81.073854863696297</v>
      </c>
      <c r="AK168">
        <v>0.66829109085541705</v>
      </c>
      <c r="AL168">
        <v>84.651944621065397</v>
      </c>
      <c r="AM168">
        <v>86.098819806995394</v>
      </c>
      <c r="AN168">
        <v>0.999999960902061</v>
      </c>
    </row>
    <row r="169" spans="1:40" x14ac:dyDescent="0.25">
      <c r="A169" t="str">
        <f>"20190312163957099"</f>
        <v>20190312163957099</v>
      </c>
      <c r="B169" t="str">
        <f>"1552379997086319"</f>
        <v>1552379997086319</v>
      </c>
      <c r="C169" t="s">
        <v>40</v>
      </c>
      <c r="D169">
        <v>5.1954370000000001</v>
      </c>
      <c r="E169">
        <v>0.53749630000000004</v>
      </c>
      <c r="F169" t="s">
        <v>42</v>
      </c>
      <c r="G169">
        <v>-470.13350000000003</v>
      </c>
      <c r="H169">
        <v>0.96689519999999995</v>
      </c>
      <c r="I169">
        <v>367.45240000000001</v>
      </c>
      <c r="J169">
        <v>-470.8297</v>
      </c>
      <c r="K169">
        <v>1.109513</v>
      </c>
      <c r="L169">
        <v>367.51510000000002</v>
      </c>
      <c r="M169">
        <v>0.99778199999999995</v>
      </c>
      <c r="N169">
        <v>0</v>
      </c>
      <c r="O169">
        <v>6.6281580000000007E-2</v>
      </c>
      <c r="P169">
        <v>0.99617679999999997</v>
      </c>
      <c r="Q169">
        <v>8.7349430000000006E-2</v>
      </c>
      <c r="R169">
        <v>-1.4255940000000001E-3</v>
      </c>
      <c r="S169">
        <v>3.0623170000000002</v>
      </c>
      <c r="T169">
        <v>-0.59390069999999995</v>
      </c>
      <c r="U169">
        <v>-0.24630740000000001</v>
      </c>
      <c r="V169">
        <v>6.7422300000000004E-2</v>
      </c>
      <c r="W169">
        <v>9.3506220000000001E-2</v>
      </c>
      <c r="X169">
        <v>0.99333320000000003</v>
      </c>
      <c r="Y169">
        <v>0.1422023</v>
      </c>
      <c r="Z169">
        <v>-2.6358030000000001E-2</v>
      </c>
      <c r="AA169">
        <v>0.98948659999999999</v>
      </c>
      <c r="AB169">
        <v>6</v>
      </c>
      <c r="AC169">
        <v>0.69619999999997595</v>
      </c>
      <c r="AD169">
        <v>-0.14261779999999999</v>
      </c>
      <c r="AE169">
        <v>-6.2700000000006598E-2</v>
      </c>
      <c r="AF169">
        <v>0.104363907218142</v>
      </c>
      <c r="AG169">
        <v>-0.14261779999999999</v>
      </c>
      <c r="AH169">
        <v>0.66291800067458795</v>
      </c>
      <c r="AI169">
        <v>101.99793747343899</v>
      </c>
      <c r="AJ169">
        <v>81.053293746391304</v>
      </c>
      <c r="AK169">
        <v>0.68606992181924797</v>
      </c>
      <c r="AL169">
        <v>84.634650270710196</v>
      </c>
      <c r="AM169">
        <v>86.117015627674604</v>
      </c>
      <c r="AN169">
        <v>1.0000000129691</v>
      </c>
    </row>
    <row r="170" spans="1:40" x14ac:dyDescent="0.25">
      <c r="A170" t="str">
        <f>"20190312163957118"</f>
        <v>20190312163957118</v>
      </c>
      <c r="B170" t="str">
        <f>"1552379997106814"</f>
        <v>1552379997106814</v>
      </c>
      <c r="C170" t="s">
        <v>40</v>
      </c>
      <c r="D170">
        <v>5.527126</v>
      </c>
      <c r="E170">
        <v>0.53719269999999997</v>
      </c>
      <c r="F170" t="s">
        <v>42</v>
      </c>
      <c r="G170">
        <v>-470.07170000000002</v>
      </c>
      <c r="H170">
        <v>0.96369499999999997</v>
      </c>
      <c r="I170">
        <v>367.45440000000002</v>
      </c>
      <c r="J170">
        <v>-470.76740000000001</v>
      </c>
      <c r="K170">
        <v>1.109278</v>
      </c>
      <c r="L170">
        <v>367.5197</v>
      </c>
      <c r="M170">
        <v>0.99775590000000003</v>
      </c>
      <c r="N170">
        <v>0</v>
      </c>
      <c r="O170">
        <v>6.6745719999999994E-2</v>
      </c>
      <c r="P170">
        <v>0.99613580000000002</v>
      </c>
      <c r="Q170">
        <v>8.7828589999999998E-2</v>
      </c>
      <c r="R170">
        <v>-5.356073E-4</v>
      </c>
      <c r="S170">
        <v>3.0628359999999999</v>
      </c>
      <c r="T170">
        <v>-0.58965619999999996</v>
      </c>
      <c r="U170">
        <v>-0.24325559999999999</v>
      </c>
      <c r="V170">
        <v>6.6991990000000001E-2</v>
      </c>
      <c r="W170">
        <v>9.3122620000000003E-2</v>
      </c>
      <c r="X170">
        <v>0.99339829999999996</v>
      </c>
      <c r="Y170">
        <v>0.14172479999999901</v>
      </c>
      <c r="Z170">
        <v>-2.6212450000000002E-2</v>
      </c>
      <c r="AA170">
        <v>0.98955899999999997</v>
      </c>
      <c r="AB170">
        <v>7</v>
      </c>
      <c r="AC170">
        <v>0.695699999999987</v>
      </c>
      <c r="AD170">
        <v>-0.14558299999999899</v>
      </c>
      <c r="AE170">
        <v>-6.5299999999979194E-2</v>
      </c>
      <c r="AF170">
        <v>0.106947665517973</v>
      </c>
      <c r="AG170">
        <v>-0.14558299999999899</v>
      </c>
      <c r="AH170">
        <v>0.66109338406527796</v>
      </c>
      <c r="AI170">
        <v>102.264660325075</v>
      </c>
      <c r="AJ170">
        <v>80.810649684569896</v>
      </c>
      <c r="AK170">
        <v>0.68532961084694499</v>
      </c>
      <c r="AL170">
        <v>84.656724998584195</v>
      </c>
      <c r="AM170">
        <v>86.141975025342703</v>
      </c>
      <c r="AN170">
        <v>0.99999996576135597</v>
      </c>
    </row>
    <row r="171" spans="1:40" x14ac:dyDescent="0.25">
      <c r="A171" t="str">
        <f>"20190312163957140"</f>
        <v>20190312163957140</v>
      </c>
      <c r="B171" t="str">
        <f>"1552379997136095"</f>
        <v>1552379997136095</v>
      </c>
      <c r="C171" t="s">
        <v>40</v>
      </c>
      <c r="D171">
        <v>5.3350999999999997</v>
      </c>
      <c r="E171">
        <v>0.53694439999999999</v>
      </c>
      <c r="F171" t="s">
        <v>42</v>
      </c>
      <c r="G171">
        <v>-470.0068</v>
      </c>
      <c r="H171">
        <v>0.96405940000000001</v>
      </c>
      <c r="I171">
        <v>367.46019999999999</v>
      </c>
      <c r="J171">
        <v>-470.69600000000003</v>
      </c>
      <c r="K171">
        <v>1.1091340000000001</v>
      </c>
      <c r="L171">
        <v>367.52519999999998</v>
      </c>
      <c r="M171">
        <v>0.99772110000000003</v>
      </c>
      <c r="N171">
        <v>0</v>
      </c>
      <c r="O171">
        <v>6.7319690000000001E-2</v>
      </c>
      <c r="P171">
        <v>0.99605999999999995</v>
      </c>
      <c r="Q171">
        <v>8.8683880000000007E-2</v>
      </c>
      <c r="R171" s="1">
        <v>6.2437260000000003E-5</v>
      </c>
      <c r="S171">
        <v>3.06311</v>
      </c>
      <c r="T171">
        <v>-0.58517350000000001</v>
      </c>
      <c r="U171">
        <v>-0.23834230000000001</v>
      </c>
      <c r="V171">
        <v>6.6958770000000001E-2</v>
      </c>
      <c r="W171">
        <v>9.3246529999999994E-2</v>
      </c>
      <c r="X171">
        <v>0.99338899999999997</v>
      </c>
      <c r="Y171">
        <v>0.14077319999999999</v>
      </c>
      <c r="Z171">
        <v>-2.603432E-2</v>
      </c>
      <c r="AA171">
        <v>0.98969949999999995</v>
      </c>
      <c r="AB171">
        <v>7</v>
      </c>
      <c r="AC171">
        <v>0.68919999999997095</v>
      </c>
      <c r="AD171">
        <v>-0.145074599999999</v>
      </c>
      <c r="AE171">
        <v>-6.4999999999997699E-2</v>
      </c>
      <c r="AF171">
        <v>0.10656939584386101</v>
      </c>
      <c r="AG171">
        <v>-0.145074599999999</v>
      </c>
      <c r="AH171">
        <v>0.65451540417148102</v>
      </c>
      <c r="AI171">
        <v>102.34023456737501</v>
      </c>
      <c r="AJ171">
        <v>80.752149564886693</v>
      </c>
      <c r="AK171">
        <v>0.67881815679417701</v>
      </c>
      <c r="AL171">
        <v>84.649594897700396</v>
      </c>
      <c r="AM171">
        <v>86.143846378579696</v>
      </c>
      <c r="AN171">
        <v>1.00000004877897</v>
      </c>
    </row>
    <row r="172" spans="1:40" x14ac:dyDescent="0.25">
      <c r="A172" t="str">
        <f>"20190312163957164"</f>
        <v>20190312163957164</v>
      </c>
      <c r="B172" t="str">
        <f>"1552379997156590"</f>
        <v>1552379997156590</v>
      </c>
      <c r="C172" t="s">
        <v>40</v>
      </c>
      <c r="D172">
        <v>5.2150040000000004</v>
      </c>
      <c r="E172">
        <v>0.53675779999999995</v>
      </c>
      <c r="F172" t="s">
        <v>42</v>
      </c>
      <c r="G172">
        <v>-469.9393</v>
      </c>
      <c r="H172">
        <v>0.96632530000000005</v>
      </c>
      <c r="I172">
        <v>367.46730000000002</v>
      </c>
      <c r="J172">
        <v>-470.6157</v>
      </c>
      <c r="K172">
        <v>1.109029</v>
      </c>
      <c r="L172">
        <v>367.53129999999999</v>
      </c>
      <c r="M172">
        <v>0.99767910000000004</v>
      </c>
      <c r="N172">
        <v>0</v>
      </c>
      <c r="O172">
        <v>6.7985100000000007E-2</v>
      </c>
      <c r="P172">
        <v>0.99600180000000005</v>
      </c>
      <c r="Q172">
        <v>8.9334839999999999E-2</v>
      </c>
      <c r="R172">
        <v>4.1342529999999997E-4</v>
      </c>
      <c r="S172">
        <v>3.0633240000000002</v>
      </c>
      <c r="T172">
        <v>-0.57810799999999996</v>
      </c>
      <c r="U172">
        <v>-0.23419190000000001</v>
      </c>
      <c r="V172">
        <v>6.7263820000000002E-2</v>
      </c>
      <c r="W172">
        <v>9.3165339999999999E-2</v>
      </c>
      <c r="X172">
        <v>0.99337600000000004</v>
      </c>
      <c r="Y172">
        <v>0.14018249999999999</v>
      </c>
      <c r="Z172">
        <v>-2.5793880000000002E-2</v>
      </c>
      <c r="AA172">
        <v>0.98978969999999999</v>
      </c>
      <c r="AB172">
        <v>7</v>
      </c>
      <c r="AC172">
        <v>0.676400000000001</v>
      </c>
      <c r="AD172">
        <v>-0.14270369999999999</v>
      </c>
      <c r="AE172">
        <v>-6.3999999999964502E-2</v>
      </c>
      <c r="AF172">
        <v>0.105196564457885</v>
      </c>
      <c r="AG172">
        <v>-0.14270369999999999</v>
      </c>
      <c r="AH172">
        <v>0.64215487166580998</v>
      </c>
      <c r="AI172">
        <v>102.369328629227</v>
      </c>
      <c r="AJ172">
        <v>80.696552821437507</v>
      </c>
      <c r="AK172">
        <v>0.66617831124374305</v>
      </c>
      <c r="AL172">
        <v>84.654267031932207</v>
      </c>
      <c r="AM172">
        <v>86.1262813827462</v>
      </c>
      <c r="AN172">
        <v>1.00000003971715</v>
      </c>
    </row>
    <row r="173" spans="1:40" x14ac:dyDescent="0.25">
      <c r="A173" t="str">
        <f>"20190312163957185"</f>
        <v>20190312163957185</v>
      </c>
      <c r="B173" t="str">
        <f>"1552379997176111"</f>
        <v>1552379997176111</v>
      </c>
      <c r="C173" t="s">
        <v>40</v>
      </c>
      <c r="D173">
        <v>5.5271499999999998</v>
      </c>
      <c r="E173">
        <v>0.53653909999999905</v>
      </c>
      <c r="F173" t="s">
        <v>42</v>
      </c>
      <c r="G173">
        <v>-469.8691</v>
      </c>
      <c r="H173">
        <v>0.96917489999999995</v>
      </c>
      <c r="I173">
        <v>367.47430000000003</v>
      </c>
      <c r="J173">
        <v>-470.53910000000002</v>
      </c>
      <c r="K173">
        <v>1.108922</v>
      </c>
      <c r="L173">
        <v>367.53719999999998</v>
      </c>
      <c r="M173">
        <v>0.99763849999999998</v>
      </c>
      <c r="N173">
        <v>0</v>
      </c>
      <c r="O173">
        <v>6.8616650000000001E-2</v>
      </c>
      <c r="P173">
        <v>0.99594910000000003</v>
      </c>
      <c r="Q173">
        <v>8.9916070000000001E-2</v>
      </c>
      <c r="R173">
        <v>8.3296889999999999E-4</v>
      </c>
      <c r="S173">
        <v>3.06366</v>
      </c>
      <c r="T173">
        <v>-0.57424889999999995</v>
      </c>
      <c r="U173">
        <v>-0.2321472</v>
      </c>
      <c r="V173">
        <v>6.7467940000000004E-2</v>
      </c>
      <c r="W173">
        <v>9.298352E-2</v>
      </c>
      <c r="X173">
        <v>0.99337920000000002</v>
      </c>
      <c r="Y173">
        <v>0.14018159999999999</v>
      </c>
      <c r="Z173">
        <v>-2.573947E-2</v>
      </c>
      <c r="AA173">
        <v>0.98979119999999998</v>
      </c>
      <c r="AB173">
        <v>8</v>
      </c>
      <c r="AC173">
        <v>0.67000000000001503</v>
      </c>
      <c r="AD173">
        <v>-0.13974710000000001</v>
      </c>
      <c r="AE173">
        <v>-6.2899999999956394E-2</v>
      </c>
      <c r="AF173">
        <v>0.104230229092444</v>
      </c>
      <c r="AG173">
        <v>-0.13974710000000001</v>
      </c>
      <c r="AH173">
        <v>0.63664959577068203</v>
      </c>
      <c r="AI173">
        <v>102.222573679543</v>
      </c>
      <c r="AJ173">
        <v>80.702203458843201</v>
      </c>
      <c r="AK173">
        <v>0.66008779750124602</v>
      </c>
      <c r="AL173">
        <v>84.664730004216096</v>
      </c>
      <c r="AM173">
        <v>86.114574556272103</v>
      </c>
      <c r="AN173">
        <v>1.0000000464560299</v>
      </c>
    </row>
    <row r="174" spans="1:40" x14ac:dyDescent="0.25">
      <c r="A174" t="str">
        <f>"20190312163957207"</f>
        <v>20190312163957207</v>
      </c>
      <c r="B174" t="str">
        <f>"1552379997196614"</f>
        <v>1552379997196614</v>
      </c>
      <c r="C174" t="s">
        <v>40</v>
      </c>
      <c r="D174">
        <v>5.3384</v>
      </c>
      <c r="E174">
        <v>0.53641130000000004</v>
      </c>
      <c r="F174" t="s">
        <v>42</v>
      </c>
      <c r="G174">
        <v>-469.79680000000002</v>
      </c>
      <c r="H174">
        <v>0.97101769999999998</v>
      </c>
      <c r="I174">
        <v>367.48140000000001</v>
      </c>
      <c r="J174">
        <v>-470.46210000000002</v>
      </c>
      <c r="K174">
        <v>1.108811</v>
      </c>
      <c r="L174">
        <v>367.54320000000001</v>
      </c>
      <c r="M174">
        <v>0.99759779999999998</v>
      </c>
      <c r="N174">
        <v>0</v>
      </c>
      <c r="O174">
        <v>6.9237399999999893E-2</v>
      </c>
      <c r="P174">
        <v>0.99590860000000003</v>
      </c>
      <c r="Q174">
        <v>9.0364659999999999E-2</v>
      </c>
      <c r="R174">
        <v>8.1381110000000004E-4</v>
      </c>
      <c r="S174">
        <v>3.0637819999999998</v>
      </c>
      <c r="T174">
        <v>-0.56946730000000001</v>
      </c>
      <c r="U174">
        <v>-0.228302</v>
      </c>
      <c r="V174">
        <v>6.8100880000000003E-2</v>
      </c>
      <c r="W174">
        <v>9.2640249999999993E-2</v>
      </c>
      <c r="X174">
        <v>0.99336800000000003</v>
      </c>
      <c r="Y174">
        <v>0.1396174</v>
      </c>
      <c r="Z174">
        <v>-2.5591030000000001E-2</v>
      </c>
      <c r="AA174">
        <v>0.98987480000000005</v>
      </c>
      <c r="AB174">
        <v>8</v>
      </c>
      <c r="AC174">
        <v>0.665300000000002</v>
      </c>
      <c r="AD174">
        <v>-0.13779330000000001</v>
      </c>
      <c r="AE174">
        <v>-6.1800000000005101E-2</v>
      </c>
      <c r="AF174">
        <v>0.103321248560283</v>
      </c>
      <c r="AG174">
        <v>-0.13779330000000001</v>
      </c>
      <c r="AH174">
        <v>0.6325236428994</v>
      </c>
      <c r="AI174">
        <v>102.13373940342601</v>
      </c>
      <c r="AJ174">
        <v>80.722803004178999</v>
      </c>
      <c r="AK174">
        <v>0.65555200614114095</v>
      </c>
      <c r="AL174">
        <v>84.6844827506916</v>
      </c>
      <c r="AM174">
        <v>86.078193178503994</v>
      </c>
      <c r="AN174">
        <v>0.99999996460041696</v>
      </c>
    </row>
    <row r="175" spans="1:40" x14ac:dyDescent="0.25">
      <c r="A175" t="str">
        <f>"20190312163957220"</f>
        <v>20190312163957220</v>
      </c>
      <c r="B175" t="str">
        <f>"1552379997216126"</f>
        <v>1552379997216126</v>
      </c>
      <c r="C175" t="s">
        <v>40</v>
      </c>
      <c r="D175">
        <v>5.5374420000000004</v>
      </c>
      <c r="E175">
        <v>0.53623889999999996</v>
      </c>
      <c r="F175" t="s">
        <v>42</v>
      </c>
      <c r="G175">
        <v>-469.72219999999999</v>
      </c>
      <c r="H175">
        <v>0.97225819999999996</v>
      </c>
      <c r="I175">
        <v>367.4873</v>
      </c>
      <c r="J175">
        <v>-470.41370000000001</v>
      </c>
      <c r="K175">
        <v>1.108749</v>
      </c>
      <c r="L175">
        <v>367.54689999999999</v>
      </c>
      <c r="M175">
        <v>0.99757229999999997</v>
      </c>
      <c r="N175">
        <v>0</v>
      </c>
      <c r="O175">
        <v>6.9616230000000001E-2</v>
      </c>
      <c r="P175">
        <v>0.99587950000000003</v>
      </c>
      <c r="Q175">
        <v>9.0681510000000007E-2</v>
      </c>
      <c r="R175">
        <v>1.1817850000000001E-3</v>
      </c>
      <c r="S175">
        <v>3.0638730000000001</v>
      </c>
      <c r="T175">
        <v>-0.56616949999999999</v>
      </c>
      <c r="U175">
        <v>-0.22796630000000001</v>
      </c>
      <c r="V175">
        <v>6.8108650000000007E-2</v>
      </c>
      <c r="W175">
        <v>9.2497800000000005E-2</v>
      </c>
      <c r="X175">
        <v>0.99338079999999995</v>
      </c>
      <c r="Y175">
        <v>0.1399128</v>
      </c>
      <c r="Z175">
        <v>-2.5540940000000002E-2</v>
      </c>
      <c r="AA175">
        <v>0.9898344</v>
      </c>
      <c r="AB175">
        <v>8</v>
      </c>
      <c r="AC175">
        <v>0.69150000000001899</v>
      </c>
      <c r="AD175">
        <v>-0.136490799999999</v>
      </c>
      <c r="AE175">
        <v>-5.9599999999989002E-2</v>
      </c>
      <c r="AF175">
        <v>0.10358899861231199</v>
      </c>
      <c r="AG175">
        <v>-0.136490799999999</v>
      </c>
      <c r="AH175">
        <v>0.66014343512205298</v>
      </c>
      <c r="AI175">
        <v>101.544420423519</v>
      </c>
      <c r="AJ175">
        <v>81.081931463640501</v>
      </c>
      <c r="AK175">
        <v>0.68201889567143703</v>
      </c>
      <c r="AL175">
        <v>84.692680038623806</v>
      </c>
      <c r="AM175">
        <v>86.077797496399</v>
      </c>
      <c r="AN175">
        <v>1.0000000225091501</v>
      </c>
    </row>
    <row r="176" spans="1:40" x14ac:dyDescent="0.25">
      <c r="A176" t="str">
        <f>"20190312163957240"</f>
        <v>20190312163957240</v>
      </c>
      <c r="B176" t="str">
        <f>"1552379997236623"</f>
        <v>1552379997236623</v>
      </c>
      <c r="C176" t="s">
        <v>40</v>
      </c>
      <c r="D176">
        <v>5.1139080000000003</v>
      </c>
      <c r="E176">
        <v>0.53611509999999996</v>
      </c>
      <c r="F176" t="s">
        <v>42</v>
      </c>
      <c r="G176">
        <v>-469.64780000000002</v>
      </c>
      <c r="H176">
        <v>0.96802270000000001</v>
      </c>
      <c r="I176">
        <v>367.49009999999998</v>
      </c>
      <c r="J176">
        <v>-470.33789999999999</v>
      </c>
      <c r="K176">
        <v>1.108714</v>
      </c>
      <c r="L176">
        <v>367.55290000000002</v>
      </c>
      <c r="M176">
        <v>0.99753420000000004</v>
      </c>
      <c r="N176">
        <v>0</v>
      </c>
      <c r="O176">
        <v>7.0170209999999997E-2</v>
      </c>
      <c r="P176">
        <v>0.99586430000000004</v>
      </c>
      <c r="Q176">
        <v>9.0844649999999999E-2</v>
      </c>
      <c r="R176">
        <v>1.2101289999999999E-3</v>
      </c>
      <c r="S176">
        <v>3.0639340000000002</v>
      </c>
      <c r="T176">
        <v>-0.56335449999999998</v>
      </c>
      <c r="U176">
        <v>-0.2256165</v>
      </c>
      <c r="V176">
        <v>6.8632219999999994E-2</v>
      </c>
      <c r="W176">
        <v>9.2131260000000006E-2</v>
      </c>
      <c r="X176">
        <v>0.99337880000000001</v>
      </c>
      <c r="Y176">
        <v>0.1397342</v>
      </c>
      <c r="Z176">
        <v>-2.5500709999999999E-2</v>
      </c>
      <c r="AA176">
        <v>0.98986070000000004</v>
      </c>
      <c r="AB176">
        <v>8</v>
      </c>
      <c r="AC176">
        <v>0.69009999999997196</v>
      </c>
      <c r="AD176">
        <v>-0.14069129999999999</v>
      </c>
      <c r="AE176">
        <v>-6.2800000000038297E-2</v>
      </c>
      <c r="AF176">
        <v>0.106672453263809</v>
      </c>
      <c r="AG176">
        <v>-0.14069129999999999</v>
      </c>
      <c r="AH176">
        <v>0.65691298305455903</v>
      </c>
      <c r="AI176">
        <v>101.93665592931301</v>
      </c>
      <c r="AJ176">
        <v>80.776564091852407</v>
      </c>
      <c r="AK176">
        <v>0.68022622816725398</v>
      </c>
      <c r="AL176">
        <v>84.713771151897504</v>
      </c>
      <c r="AM176">
        <v>86.047733700838506</v>
      </c>
      <c r="AN176">
        <v>0.99999999549037799</v>
      </c>
    </row>
    <row r="177" spans="1:40" x14ac:dyDescent="0.25">
      <c r="A177" t="str">
        <f>"20190312163957254"</f>
        <v>20190312163957254</v>
      </c>
      <c r="B177" t="str">
        <f>"1552379997246382"</f>
        <v>1552379997246382</v>
      </c>
      <c r="C177" t="s">
        <v>40</v>
      </c>
      <c r="D177">
        <v>5.4109559999999997</v>
      </c>
      <c r="E177">
        <v>0.53604200000000002</v>
      </c>
      <c r="F177" t="s">
        <v>42</v>
      </c>
      <c r="G177">
        <v>-469.57010000000002</v>
      </c>
      <c r="H177">
        <v>0.96817350000000002</v>
      </c>
      <c r="I177">
        <v>367.49599999999998</v>
      </c>
      <c r="J177">
        <v>-470.28210000000001</v>
      </c>
      <c r="K177">
        <v>1.1087279999999999</v>
      </c>
      <c r="L177">
        <v>367.5573</v>
      </c>
      <c r="M177">
        <v>0.99750839999999996</v>
      </c>
      <c r="N177">
        <v>0</v>
      </c>
      <c r="O177">
        <v>7.0540549999999994E-2</v>
      </c>
      <c r="P177">
        <v>0.99588140000000003</v>
      </c>
      <c r="Q177">
        <v>9.0660240000000003E-2</v>
      </c>
      <c r="R177">
        <v>1.1739539999999901E-3</v>
      </c>
      <c r="S177">
        <v>3.0639340000000002</v>
      </c>
      <c r="T177">
        <v>-0.56115939999999997</v>
      </c>
      <c r="U177">
        <v>-0.22531129999999999</v>
      </c>
      <c r="V177">
        <v>6.9040160000000003E-2</v>
      </c>
      <c r="W177">
        <v>9.1731460000000001E-2</v>
      </c>
      <c r="X177">
        <v>0.99338749999999998</v>
      </c>
      <c r="Y177">
        <v>0.1400197</v>
      </c>
      <c r="Z177">
        <v>-2.5496080000000001E-2</v>
      </c>
      <c r="AA177">
        <v>0.98982040000000004</v>
      </c>
      <c r="AB177">
        <v>9</v>
      </c>
      <c r="AC177">
        <v>0.71199999999998898</v>
      </c>
      <c r="AD177">
        <v>-0.1405545</v>
      </c>
      <c r="AE177">
        <v>-6.1300000000017001E-2</v>
      </c>
      <c r="AF177">
        <v>0.107224411814986</v>
      </c>
      <c r="AG177">
        <v>-0.1405545</v>
      </c>
      <c r="AH177">
        <v>0.67961262577330595</v>
      </c>
      <c r="AI177">
        <v>101.546006354735</v>
      </c>
      <c r="AJ177">
        <v>81.034187987637793</v>
      </c>
      <c r="AK177">
        <v>0.70222928098293302</v>
      </c>
      <c r="AL177">
        <v>84.736775257936799</v>
      </c>
      <c r="AM177">
        <v>86.024351819199595</v>
      </c>
      <c r="AN177">
        <v>0.99999996480140296</v>
      </c>
    </row>
    <row r="178" spans="1:40" x14ac:dyDescent="0.25">
      <c r="A178" t="str">
        <f>"20190312163957273"</f>
        <v>20190312163957273</v>
      </c>
      <c r="B178" t="str">
        <f>"1552379997266878"</f>
        <v>1552379997266878</v>
      </c>
      <c r="C178" t="s">
        <v>40</v>
      </c>
      <c r="D178">
        <v>5.5056919999999998</v>
      </c>
      <c r="E178">
        <v>0.53586579999999995</v>
      </c>
      <c r="F178" t="s">
        <v>42</v>
      </c>
      <c r="G178">
        <v>-469.56630000000001</v>
      </c>
      <c r="H178">
        <v>0.97775190000000001</v>
      </c>
      <c r="I178">
        <v>367.50439999999998</v>
      </c>
      <c r="J178">
        <v>-470.20519999999999</v>
      </c>
      <c r="K178">
        <v>1.108784</v>
      </c>
      <c r="L178">
        <v>367.5634</v>
      </c>
      <c r="M178">
        <v>0.99747509999999995</v>
      </c>
      <c r="N178">
        <v>0</v>
      </c>
      <c r="O178">
        <v>7.1011039999999997E-2</v>
      </c>
      <c r="P178">
        <v>0.99586269999999999</v>
      </c>
      <c r="Q178">
        <v>9.0851299999999996E-2</v>
      </c>
      <c r="R178">
        <v>1.867924E-3</v>
      </c>
      <c r="S178">
        <v>3.0637819999999998</v>
      </c>
      <c r="T178">
        <v>-0.5610811</v>
      </c>
      <c r="U178">
        <v>-0.22479250000000001</v>
      </c>
      <c r="V178">
        <v>6.8819019999999995E-2</v>
      </c>
      <c r="W178">
        <v>9.1813130000000007E-2</v>
      </c>
      <c r="X178">
        <v>0.99339529999999998</v>
      </c>
      <c r="Y178">
        <v>0.140311299999999</v>
      </c>
      <c r="Z178">
        <v>-2.5605699999999999E-2</v>
      </c>
      <c r="AA178">
        <v>0.98977630000000005</v>
      </c>
      <c r="AB178">
        <v>9</v>
      </c>
      <c r="AC178">
        <v>0.63889999999997804</v>
      </c>
      <c r="AD178">
        <v>-0.13103209999999901</v>
      </c>
      <c r="AE178">
        <v>-5.90000000000259E-2</v>
      </c>
      <c r="AF178">
        <v>0.10004742052411</v>
      </c>
      <c r="AG178">
        <v>-0.13103209999999901</v>
      </c>
      <c r="AH178">
        <v>0.60775043476487101</v>
      </c>
      <c r="AI178">
        <v>102.009975250344</v>
      </c>
      <c r="AJ178">
        <v>80.651853408611203</v>
      </c>
      <c r="AK178">
        <v>0.62971381479274202</v>
      </c>
      <c r="AL178">
        <v>84.732076083166902</v>
      </c>
      <c r="AM178">
        <v>86.037076449283902</v>
      </c>
      <c r="AN178">
        <v>0.99999996520812295</v>
      </c>
    </row>
    <row r="179" spans="1:40" x14ac:dyDescent="0.25">
      <c r="A179" t="str">
        <f>"20190312163957296"</f>
        <v>20190312163957296</v>
      </c>
      <c r="B179" t="str">
        <f>"1552379997286398"</f>
        <v>1552379997286398</v>
      </c>
      <c r="C179" t="s">
        <v>40</v>
      </c>
      <c r="D179">
        <v>5.5855600000000001</v>
      </c>
      <c r="E179">
        <v>0.53571179999999996</v>
      </c>
      <c r="F179" t="s">
        <v>42</v>
      </c>
      <c r="G179">
        <v>-469.48750000000001</v>
      </c>
      <c r="H179">
        <v>0.97768710000000003</v>
      </c>
      <c r="I179">
        <v>367.51139999999998</v>
      </c>
      <c r="J179">
        <v>-470.11759999999998</v>
      </c>
      <c r="K179">
        <v>1.108859</v>
      </c>
      <c r="L179">
        <v>367.57029999999997</v>
      </c>
      <c r="M179">
        <v>0.99743930000000003</v>
      </c>
      <c r="N179">
        <v>0</v>
      </c>
      <c r="O179">
        <v>7.1513530000000006E-2</v>
      </c>
      <c r="P179">
        <v>0.99584870000000003</v>
      </c>
      <c r="Q179">
        <v>9.0992939999999994E-2</v>
      </c>
      <c r="R179">
        <v>2.4489109999999998E-3</v>
      </c>
      <c r="S179">
        <v>3.0639340000000002</v>
      </c>
      <c r="T179">
        <v>-0.55973470000000003</v>
      </c>
      <c r="U179">
        <v>-0.2213745</v>
      </c>
      <c r="V179">
        <v>6.8744490000000005E-2</v>
      </c>
      <c r="W179">
        <v>9.2000689999999996E-2</v>
      </c>
      <c r="X179">
        <v>0.99338320000000002</v>
      </c>
      <c r="Y179">
        <v>0.13972599999999999</v>
      </c>
      <c r="Z179">
        <v>-2.5582799999999999E-2</v>
      </c>
      <c r="AA179">
        <v>0.98985970000000001</v>
      </c>
      <c r="AB179">
        <v>9</v>
      </c>
      <c r="AC179">
        <v>0.63009999999997002</v>
      </c>
      <c r="AD179">
        <v>-0.13117190000000001</v>
      </c>
      <c r="AE179">
        <v>-5.8899999999994103E-2</v>
      </c>
      <c r="AF179">
        <v>9.9533718610133007E-2</v>
      </c>
      <c r="AG179">
        <v>-0.13117190000000001</v>
      </c>
      <c r="AH179">
        <v>0.59855927036938095</v>
      </c>
      <c r="AI179">
        <v>102.198352975836</v>
      </c>
      <c r="AJ179">
        <v>80.558742634697296</v>
      </c>
      <c r="AK179">
        <v>0.62079483618591502</v>
      </c>
      <c r="AL179">
        <v>84.721284495709597</v>
      </c>
      <c r="AM179">
        <v>86.041306520053297</v>
      </c>
      <c r="AN179">
        <v>1.0000000569540299</v>
      </c>
    </row>
    <row r="180" spans="1:40" x14ac:dyDescent="0.25">
      <c r="A180" t="str">
        <f>"20190312163957317"</f>
        <v>20190312163957317</v>
      </c>
      <c r="B180" t="str">
        <f>"1552379997306898"</f>
        <v>1552379997306898</v>
      </c>
      <c r="C180" t="s">
        <v>40</v>
      </c>
      <c r="D180">
        <v>5.5497069999999997</v>
      </c>
      <c r="E180">
        <v>0.53557869999999996</v>
      </c>
      <c r="F180" t="s">
        <v>42</v>
      </c>
      <c r="G180">
        <v>-469.4067</v>
      </c>
      <c r="H180">
        <v>0.97955990000000004</v>
      </c>
      <c r="I180">
        <v>367.51889999999997</v>
      </c>
      <c r="J180">
        <v>-470.0308</v>
      </c>
      <c r="K180">
        <v>1.108927</v>
      </c>
      <c r="L180">
        <v>367.57709999999997</v>
      </c>
      <c r="M180">
        <v>0.99740379999999995</v>
      </c>
      <c r="N180">
        <v>0</v>
      </c>
      <c r="O180">
        <v>7.2002510000000006E-2</v>
      </c>
      <c r="P180">
        <v>0.99583429999999995</v>
      </c>
      <c r="Q180">
        <v>9.1106080000000006E-2</v>
      </c>
      <c r="R180">
        <v>3.7341359999999999E-3</v>
      </c>
      <c r="S180">
        <v>3.0640559999999999</v>
      </c>
      <c r="T180">
        <v>-0.55789489999999997</v>
      </c>
      <c r="U180">
        <v>-0.21887210000000001</v>
      </c>
      <c r="V180">
        <v>6.7953929999999996E-2</v>
      </c>
      <c r="W180">
        <v>9.2230960000000001E-2</v>
      </c>
      <c r="X180">
        <v>0.99341619999999997</v>
      </c>
      <c r="Y180">
        <v>0.13942370000000001</v>
      </c>
      <c r="Z180">
        <v>-2.5560590000000001E-2</v>
      </c>
      <c r="AA180">
        <v>0.98990290000000003</v>
      </c>
      <c r="AB180">
        <v>9</v>
      </c>
      <c r="AC180">
        <v>0.62409999999999799</v>
      </c>
      <c r="AD180">
        <v>-0.12936709999999901</v>
      </c>
      <c r="AE180">
        <v>-5.8199999999999301E-2</v>
      </c>
      <c r="AF180">
        <v>9.8778085816576003E-2</v>
      </c>
      <c r="AG180">
        <v>-0.12936709999999901</v>
      </c>
      <c r="AH180">
        <v>0.59302834697336504</v>
      </c>
      <c r="AI180">
        <v>102.143845763941</v>
      </c>
      <c r="AJ180">
        <v>80.543315514511505</v>
      </c>
      <c r="AK180">
        <v>0.61495981747912498</v>
      </c>
      <c r="AL180">
        <v>84.708034448287904</v>
      </c>
      <c r="AM180">
        <v>86.086818725842093</v>
      </c>
      <c r="AN180">
        <v>1.0000000165037</v>
      </c>
    </row>
    <row r="181" spans="1:40" x14ac:dyDescent="0.25">
      <c r="A181" t="str">
        <f>"20190312163957340"</f>
        <v>20190312163957340</v>
      </c>
      <c r="B181" t="str">
        <f>"1552379997336175"</f>
        <v>1552379997336175</v>
      </c>
      <c r="C181" t="s">
        <v>40</v>
      </c>
      <c r="D181">
        <v>5.5227190000000004</v>
      </c>
      <c r="E181">
        <v>0.53539199999999998</v>
      </c>
      <c r="F181" t="s">
        <v>42</v>
      </c>
      <c r="G181">
        <v>-469.32479999999998</v>
      </c>
      <c r="H181">
        <v>0.98070679999999999</v>
      </c>
      <c r="I181">
        <v>367.52769999999998</v>
      </c>
      <c r="J181">
        <v>-469.93790000000001</v>
      </c>
      <c r="K181">
        <v>1.108976</v>
      </c>
      <c r="L181">
        <v>367.58449999999999</v>
      </c>
      <c r="M181">
        <v>0.99736550000000002</v>
      </c>
      <c r="N181">
        <v>0</v>
      </c>
      <c r="O181">
        <v>7.2529010000000005E-2</v>
      </c>
      <c r="P181">
        <v>0.99588290000000002</v>
      </c>
      <c r="Q181">
        <v>9.0508939999999996E-2</v>
      </c>
      <c r="R181">
        <v>5.0883179999999997E-3</v>
      </c>
      <c r="S181">
        <v>3.064209</v>
      </c>
      <c r="T181">
        <v>-0.55654749999999997</v>
      </c>
      <c r="U181">
        <v>-0.2142029</v>
      </c>
      <c r="V181">
        <v>6.7136390000000004E-2</v>
      </c>
      <c r="W181">
        <v>9.176993E-2</v>
      </c>
      <c r="X181">
        <v>0.99351449999999997</v>
      </c>
      <c r="Y181">
        <v>0.13846530000000001</v>
      </c>
      <c r="Z181">
        <v>-2.5508200000000002E-2</v>
      </c>
      <c r="AA181">
        <v>0.9900388</v>
      </c>
      <c r="AB181">
        <v>9</v>
      </c>
      <c r="AC181">
        <v>0.61310000000003095</v>
      </c>
      <c r="AD181">
        <v>-0.128269199999999</v>
      </c>
      <c r="AE181">
        <v>-5.6800000000009697E-2</v>
      </c>
      <c r="AF181">
        <v>9.6912174887568606E-2</v>
      </c>
      <c r="AG181">
        <v>-0.128269199999999</v>
      </c>
      <c r="AH181">
        <v>0.58210345322781598</v>
      </c>
      <c r="AI181">
        <v>102.26321653970901</v>
      </c>
      <c r="AJ181">
        <v>80.547740238451098</v>
      </c>
      <c r="AK181">
        <v>0.60389517929010395</v>
      </c>
      <c r="AL181">
        <v>84.734562140836502</v>
      </c>
      <c r="AM181">
        <v>86.134135145535595</v>
      </c>
      <c r="AN181">
        <v>1.00000003831234</v>
      </c>
    </row>
    <row r="182" spans="1:40" x14ac:dyDescent="0.25">
      <c r="A182" t="str">
        <f>"20190312163957364"</f>
        <v>20190312163957364</v>
      </c>
      <c r="B182" t="str">
        <f>"1552379997356670"</f>
        <v>1552379997356670</v>
      </c>
      <c r="C182" t="s">
        <v>40</v>
      </c>
      <c r="D182">
        <v>5.5353240000000001</v>
      </c>
      <c r="E182">
        <v>0.53530319999999998</v>
      </c>
      <c r="F182" t="s">
        <v>42</v>
      </c>
      <c r="G182">
        <v>-469.16300000000001</v>
      </c>
      <c r="H182">
        <v>0.96800819999999999</v>
      </c>
      <c r="I182">
        <v>367.53160000000003</v>
      </c>
      <c r="J182">
        <v>-469.8356</v>
      </c>
      <c r="K182">
        <v>1.1090150000000001</v>
      </c>
      <c r="L182">
        <v>367.59269999999998</v>
      </c>
      <c r="M182">
        <v>0.99732339999999997</v>
      </c>
      <c r="N182">
        <v>0</v>
      </c>
      <c r="O182">
        <v>7.3105690000000001E-2</v>
      </c>
      <c r="P182">
        <v>0.99593140000000002</v>
      </c>
      <c r="Q182">
        <v>8.9903060000000007E-2</v>
      </c>
      <c r="R182">
        <v>6.2043719999999997E-3</v>
      </c>
      <c r="S182">
        <v>3.064117</v>
      </c>
      <c r="T182">
        <v>-0.55744300000000002</v>
      </c>
      <c r="U182">
        <v>-0.2091064</v>
      </c>
      <c r="V182">
        <v>6.6604750000000004E-2</v>
      </c>
      <c r="W182">
        <v>9.1309340000000003E-2</v>
      </c>
      <c r="X182">
        <v>0.9935927</v>
      </c>
      <c r="Y182">
        <v>0.1373972</v>
      </c>
      <c r="Z182">
        <v>-2.5558170000000002E-2</v>
      </c>
      <c r="AA182">
        <v>0.99018620000000002</v>
      </c>
      <c r="AB182">
        <v>9</v>
      </c>
      <c r="AC182">
        <v>0.67259999999998799</v>
      </c>
      <c r="AD182">
        <v>-0.14100679999999899</v>
      </c>
      <c r="AE182">
        <v>-6.1099999999953497E-2</v>
      </c>
      <c r="AF182">
        <v>0.105508221608748</v>
      </c>
      <c r="AG182">
        <v>-0.14100679999999899</v>
      </c>
      <c r="AH182">
        <v>0.63850058833511902</v>
      </c>
      <c r="AI182">
        <v>102.291825544546</v>
      </c>
      <c r="AJ182">
        <v>80.617020605004299</v>
      </c>
      <c r="AK182">
        <v>0.66234273890303497</v>
      </c>
      <c r="AL182">
        <v>84.761063178382003</v>
      </c>
      <c r="AM182">
        <v>86.164957403882298</v>
      </c>
      <c r="AN182">
        <v>1.00000002089354</v>
      </c>
    </row>
    <row r="183" spans="1:40" x14ac:dyDescent="0.25">
      <c r="A183" t="str">
        <f>"20190312163957387"</f>
        <v>20190312163957387</v>
      </c>
      <c r="B183" t="str">
        <f>"1552379997376190"</f>
        <v>1552379997376190</v>
      </c>
      <c r="C183" t="s">
        <v>40</v>
      </c>
      <c r="D183">
        <v>5.6126670000000001</v>
      </c>
      <c r="E183">
        <v>0.53539060000000005</v>
      </c>
      <c r="F183" t="s">
        <v>42</v>
      </c>
      <c r="G183">
        <v>-469.07650000000001</v>
      </c>
      <c r="H183">
        <v>0.97070769999999995</v>
      </c>
      <c r="I183">
        <v>367.54129999999998</v>
      </c>
      <c r="J183">
        <v>-469.73390000000001</v>
      </c>
      <c r="K183">
        <v>1.109048</v>
      </c>
      <c r="L183">
        <v>367.60070000000002</v>
      </c>
      <c r="M183">
        <v>0.99728170000000005</v>
      </c>
      <c r="N183">
        <v>0</v>
      </c>
      <c r="O183">
        <v>7.3667250000000004E-2</v>
      </c>
      <c r="P183">
        <v>0.99596119999999999</v>
      </c>
      <c r="Q183">
        <v>8.94876E-2</v>
      </c>
      <c r="R183">
        <v>7.28556E-3</v>
      </c>
      <c r="S183">
        <v>3.0639949999999998</v>
      </c>
      <c r="T183">
        <v>-0.55854700000000002</v>
      </c>
      <c r="U183">
        <v>-0.2059021</v>
      </c>
      <c r="V183">
        <v>6.6089209999999995E-2</v>
      </c>
      <c r="W183">
        <v>9.1027269999999993E-2</v>
      </c>
      <c r="X183">
        <v>0.99365300000000001</v>
      </c>
      <c r="Y183">
        <v>0.13691130000000001</v>
      </c>
      <c r="Z183">
        <v>-2.5667189999999999E-2</v>
      </c>
      <c r="AA183">
        <v>0.99025070000000004</v>
      </c>
      <c r="AB183">
        <v>9</v>
      </c>
      <c r="AC183">
        <v>0.65739999999999499</v>
      </c>
      <c r="AD183">
        <v>-0.1383403</v>
      </c>
      <c r="AE183">
        <v>-5.9400000000039199E-2</v>
      </c>
      <c r="AF183">
        <v>0.103137257738527</v>
      </c>
      <c r="AG183">
        <v>-0.1383403</v>
      </c>
      <c r="AH183">
        <v>0.62383622917440995</v>
      </c>
      <c r="AI183">
        <v>102.341136625052</v>
      </c>
      <c r="AJ183">
        <v>80.612351181380902</v>
      </c>
      <c r="AK183">
        <v>0.64726113228623505</v>
      </c>
      <c r="AL183">
        <v>84.777292158638801</v>
      </c>
      <c r="AM183">
        <v>86.194784437632904</v>
      </c>
      <c r="AN183">
        <v>1.00000001598553</v>
      </c>
    </row>
    <row r="184" spans="1:40" x14ac:dyDescent="0.25">
      <c r="A184" t="str">
        <f>"20190312163957408"</f>
        <v>20190312163957408</v>
      </c>
      <c r="B184" t="str">
        <f>"1552379997396686"</f>
        <v>1552379997396686</v>
      </c>
      <c r="C184" t="s">
        <v>40</v>
      </c>
      <c r="D184">
        <v>5.5216329999999996</v>
      </c>
      <c r="E184">
        <v>0.53526390000000001</v>
      </c>
      <c r="F184" t="s">
        <v>42</v>
      </c>
      <c r="G184">
        <v>-468.98880000000003</v>
      </c>
      <c r="H184">
        <v>0.97284420000000005</v>
      </c>
      <c r="I184">
        <v>367.55110000000002</v>
      </c>
      <c r="J184">
        <v>-469.64550000000003</v>
      </c>
      <c r="K184">
        <v>1.109065</v>
      </c>
      <c r="L184">
        <v>367.6078</v>
      </c>
      <c r="M184">
        <v>0.99724690000000005</v>
      </c>
      <c r="N184">
        <v>0</v>
      </c>
      <c r="O184">
        <v>7.4136199999999999E-2</v>
      </c>
      <c r="P184">
        <v>0.99599649999999995</v>
      </c>
      <c r="Q184">
        <v>8.9054610000000006E-2</v>
      </c>
      <c r="R184">
        <v>7.7640449999999998E-3</v>
      </c>
      <c r="S184">
        <v>3.0639949999999998</v>
      </c>
      <c r="T184">
        <v>-0.56015249999999905</v>
      </c>
      <c r="U184">
        <v>-0.20385739999999999</v>
      </c>
      <c r="V184">
        <v>6.6081769999999998E-2</v>
      </c>
      <c r="W184">
        <v>9.0697239999999998E-2</v>
      </c>
      <c r="X184">
        <v>0.9936836</v>
      </c>
      <c r="Y184">
        <v>0.13669479999999901</v>
      </c>
      <c r="Z184">
        <v>-2.5805499999999999E-2</v>
      </c>
      <c r="AA184">
        <v>0.99027710000000002</v>
      </c>
      <c r="AB184">
        <v>10</v>
      </c>
      <c r="AC184">
        <v>0.65669999999999995</v>
      </c>
      <c r="AD184">
        <v>-0.1362208</v>
      </c>
      <c r="AE184">
        <v>-5.66999999999779E-2</v>
      </c>
      <c r="AF184">
        <v>0.100919040891203</v>
      </c>
      <c r="AG184">
        <v>-0.1362208</v>
      </c>
      <c r="AH184">
        <v>0.62403683921338804</v>
      </c>
      <c r="AI184">
        <v>102.16071096944999</v>
      </c>
      <c r="AJ184">
        <v>80.8136776838911</v>
      </c>
      <c r="AK184">
        <v>0.64665503621519504</v>
      </c>
      <c r="AL184">
        <v>84.796279649097301</v>
      </c>
      <c r="AM184">
        <v>86.195328374344498</v>
      </c>
      <c r="AN184">
        <v>0.99999994328945296</v>
      </c>
    </row>
    <row r="185" spans="1:40" x14ac:dyDescent="0.25">
      <c r="A185" t="str">
        <f>"20190312163957428"</f>
        <v>20190312163957428</v>
      </c>
      <c r="B185" t="str">
        <f>"1552379997425968"</f>
        <v>1552379997425968</v>
      </c>
      <c r="C185" t="s">
        <v>40</v>
      </c>
      <c r="D185">
        <v>5.8243900000000002</v>
      </c>
      <c r="E185">
        <v>0.53523240000000005</v>
      </c>
      <c r="F185" t="s">
        <v>42</v>
      </c>
      <c r="G185">
        <v>-468.90050000000002</v>
      </c>
      <c r="H185">
        <v>0.97287939999999995</v>
      </c>
      <c r="I185">
        <v>367.55829999999997</v>
      </c>
      <c r="J185">
        <v>-469.55169999999998</v>
      </c>
      <c r="K185">
        <v>1.109076</v>
      </c>
      <c r="L185">
        <v>367.61520000000002</v>
      </c>
      <c r="M185">
        <v>0.99721179999999998</v>
      </c>
      <c r="N185">
        <v>0</v>
      </c>
      <c r="O185">
        <v>7.4603909999999996E-2</v>
      </c>
      <c r="P185">
        <v>0.99606629999999996</v>
      </c>
      <c r="Q185">
        <v>8.826705E-2</v>
      </c>
      <c r="R185">
        <v>7.8083099999999997E-3</v>
      </c>
      <c r="S185">
        <v>3.0637509999999999</v>
      </c>
      <c r="T185">
        <v>-0.56031799999999998</v>
      </c>
      <c r="U185">
        <v>-0.20196529999999999</v>
      </c>
      <c r="V185">
        <v>6.6508800000000007E-2</v>
      </c>
      <c r="W185">
        <v>8.99982E-2</v>
      </c>
      <c r="X185">
        <v>0.99371869999999995</v>
      </c>
      <c r="Y185">
        <v>0.13654759999999999</v>
      </c>
      <c r="Z185">
        <v>-2.588679E-2</v>
      </c>
      <c r="AA185">
        <v>0.99029520000000004</v>
      </c>
      <c r="AB185">
        <v>10</v>
      </c>
      <c r="AC185">
        <v>0.65119999999996003</v>
      </c>
      <c r="AD185">
        <v>-0.1361966</v>
      </c>
      <c r="AE185">
        <v>-5.6900000000041397E-2</v>
      </c>
      <c r="AF185">
        <v>0.10094158600358</v>
      </c>
      <c r="AG185">
        <v>-0.1361966</v>
      </c>
      <c r="AH185">
        <v>0.61829925232097505</v>
      </c>
      <c r="AI185">
        <v>102.26514560181801</v>
      </c>
      <c r="AJ185">
        <v>80.727870350737902</v>
      </c>
      <c r="AK185">
        <v>0.641118306599612</v>
      </c>
      <c r="AL185">
        <v>84.836496335484298</v>
      </c>
      <c r="AM185">
        <v>86.170949795920095</v>
      </c>
      <c r="AN185">
        <v>0.99999997560518405</v>
      </c>
    </row>
    <row r="186" spans="1:40" x14ac:dyDescent="0.25">
      <c r="A186" t="str">
        <f>"20190312163957452"</f>
        <v>20190312163957452</v>
      </c>
      <c r="B186" t="str">
        <f>"1552379997446463"</f>
        <v>1552379997446463</v>
      </c>
      <c r="C186" t="s">
        <v>40</v>
      </c>
      <c r="D186">
        <v>5.2706739999999996</v>
      </c>
      <c r="E186">
        <v>0.49694660000000002</v>
      </c>
      <c r="F186" t="s">
        <v>42</v>
      </c>
      <c r="G186">
        <v>-468.81099999999998</v>
      </c>
      <c r="H186">
        <v>0.97270919999999905</v>
      </c>
      <c r="I186">
        <v>367.56630000000001</v>
      </c>
      <c r="J186">
        <v>-469.44740000000002</v>
      </c>
      <c r="K186">
        <v>1.1090739999999999</v>
      </c>
      <c r="L186">
        <v>367.62360000000001</v>
      </c>
      <c r="M186">
        <v>0.9971759</v>
      </c>
      <c r="N186">
        <v>0</v>
      </c>
      <c r="O186">
        <v>7.5080720000000004E-2</v>
      </c>
      <c r="P186">
        <v>0.99604870000000001</v>
      </c>
      <c r="Q186">
        <v>8.8438149999999993E-2</v>
      </c>
      <c r="R186">
        <v>8.1160090000000004E-3</v>
      </c>
      <c r="S186">
        <v>3.0634160000000001</v>
      </c>
      <c r="T186">
        <v>-0.56414580000000003</v>
      </c>
      <c r="U186">
        <v>-0.2016907</v>
      </c>
      <c r="V186">
        <v>6.6676840000000001E-2</v>
      </c>
      <c r="W186">
        <v>9.0246580000000007E-2</v>
      </c>
      <c r="X186">
        <v>0.99368489999999998</v>
      </c>
      <c r="Y186">
        <v>0.1368779</v>
      </c>
      <c r="Z186">
        <v>-2.6180640000000002E-2</v>
      </c>
      <c r="AA186">
        <v>0.99024190000000001</v>
      </c>
      <c r="AB186">
        <v>10</v>
      </c>
      <c r="AC186">
        <v>0.63640000000003705</v>
      </c>
      <c r="AD186">
        <v>-0.13636480000000001</v>
      </c>
      <c r="AE186">
        <v>-5.7299999999997901E-2</v>
      </c>
      <c r="AF186">
        <v>0.100349333883286</v>
      </c>
      <c r="AG186">
        <v>-0.13636480000000001</v>
      </c>
      <c r="AH186">
        <v>0.60284520423513199</v>
      </c>
      <c r="AI186">
        <v>102.578459725521</v>
      </c>
      <c r="AJ186">
        <v>80.549225059855502</v>
      </c>
      <c r="AK186">
        <v>0.62616905685218704</v>
      </c>
      <c r="AL186">
        <v>84.822206998334494</v>
      </c>
      <c r="AM186">
        <v>86.161174089083602</v>
      </c>
      <c r="AN186">
        <v>0.99999996334104502</v>
      </c>
    </row>
    <row r="187" spans="1:40" x14ac:dyDescent="0.25">
      <c r="A187" t="str">
        <f>"20190312163957475"</f>
        <v>20190312163957475</v>
      </c>
      <c r="B187" t="str">
        <f>"1552379997465986"</f>
        <v>1552379997465986</v>
      </c>
      <c r="C187" t="s">
        <v>40</v>
      </c>
      <c r="D187">
        <v>5.3942569999999996</v>
      </c>
      <c r="E187">
        <v>0.49486370000000002</v>
      </c>
      <c r="F187" t="s">
        <v>42</v>
      </c>
      <c r="G187">
        <v>-468.7131</v>
      </c>
      <c r="H187">
        <v>0.99840589999999996</v>
      </c>
      <c r="I187">
        <v>367.64679999999998</v>
      </c>
      <c r="J187">
        <v>-469.34</v>
      </c>
      <c r="K187">
        <v>1.109054</v>
      </c>
      <c r="L187">
        <v>367.63220000000001</v>
      </c>
      <c r="M187">
        <v>0.99714250000000004</v>
      </c>
      <c r="N187">
        <v>0</v>
      </c>
      <c r="O187">
        <v>7.5520110000000001E-2</v>
      </c>
      <c r="P187">
        <v>0.99606320000000004</v>
      </c>
      <c r="Q187">
        <v>8.8224109999999994E-2</v>
      </c>
      <c r="R187">
        <v>8.6396279999999999E-3</v>
      </c>
      <c r="S187">
        <v>3.051971</v>
      </c>
      <c r="T187">
        <v>-0.46025159999999998</v>
      </c>
      <c r="U187">
        <v>9.7930909999999996E-2</v>
      </c>
      <c r="V187">
        <v>6.6596260000000004E-2</v>
      </c>
      <c r="W187">
        <v>9.0096510000000005E-2</v>
      </c>
      <c r="X187">
        <v>0.99370400000000003</v>
      </c>
      <c r="Y187">
        <v>4.2174339999999998E-2</v>
      </c>
      <c r="Z187">
        <v>-1.447174E-2</v>
      </c>
      <c r="AA187">
        <v>0.99900540000000004</v>
      </c>
      <c r="AB187">
        <v>10</v>
      </c>
      <c r="AC187">
        <v>0.62689999999997703</v>
      </c>
      <c r="AD187">
        <v>-0.110648099999999</v>
      </c>
      <c r="AE187">
        <v>1.4599999999972999E-2</v>
      </c>
      <c r="AF187">
        <v>3.1795369774963299E-2</v>
      </c>
      <c r="AG187">
        <v>-0.110648099999999</v>
      </c>
      <c r="AH187">
        <v>0.60730363338565596</v>
      </c>
      <c r="AI187">
        <v>100.311962661523</v>
      </c>
      <c r="AJ187">
        <v>87.003016879927202</v>
      </c>
      <c r="AK187">
        <v>0.61811944694869103</v>
      </c>
      <c r="AL187">
        <v>84.830840951242195</v>
      </c>
      <c r="AM187">
        <v>86.165873001038094</v>
      </c>
      <c r="AN187">
        <v>1.0000000412880801</v>
      </c>
    </row>
    <row r="188" spans="1:40" x14ac:dyDescent="0.25">
      <c r="A188" t="str">
        <f>"20190312163957496"</f>
        <v>20190312163957496</v>
      </c>
      <c r="B188" t="str">
        <f>"1552379997486482"</f>
        <v>1552379997486482</v>
      </c>
      <c r="C188" t="s">
        <v>40</v>
      </c>
      <c r="D188">
        <v>5.2584819999999999</v>
      </c>
      <c r="E188">
        <v>0.49511640000000001</v>
      </c>
      <c r="F188" t="s">
        <v>42</v>
      </c>
      <c r="G188">
        <v>-468.61529999999999</v>
      </c>
      <c r="H188">
        <v>1.0102420000000001</v>
      </c>
      <c r="I188">
        <v>367.65879999999999</v>
      </c>
      <c r="J188">
        <v>-469.24099999999999</v>
      </c>
      <c r="K188">
        <v>1.1090279999999999</v>
      </c>
      <c r="L188">
        <v>367.64010000000002</v>
      </c>
      <c r="M188">
        <v>0.99711570000000005</v>
      </c>
      <c r="N188">
        <v>0</v>
      </c>
      <c r="O188">
        <v>7.5873529999999995E-2</v>
      </c>
      <c r="P188">
        <v>0.99602809999999997</v>
      </c>
      <c r="Q188">
        <v>8.8571129999999998E-2</v>
      </c>
      <c r="R188">
        <v>9.1285889999999995E-3</v>
      </c>
      <c r="S188">
        <v>3.0476679999999998</v>
      </c>
      <c r="T188">
        <v>-0.41572330000000002</v>
      </c>
      <c r="U188">
        <v>0.11334230000000001</v>
      </c>
      <c r="V188">
        <v>6.6461889999999996E-2</v>
      </c>
      <c r="W188">
        <v>9.0493519999999994E-2</v>
      </c>
      <c r="X188">
        <v>0.99367689999999997</v>
      </c>
      <c r="Y188">
        <v>3.7715539999999999E-2</v>
      </c>
      <c r="Z188">
        <v>-1.2847010000000001E-2</v>
      </c>
      <c r="AA188">
        <v>0.99920589999999998</v>
      </c>
      <c r="AB188">
        <v>10</v>
      </c>
      <c r="AC188">
        <v>0.62569999999999404</v>
      </c>
      <c r="AD188">
        <v>-9.8785999999999999E-2</v>
      </c>
      <c r="AE188">
        <v>1.8699999999967E-2</v>
      </c>
      <c r="AF188">
        <v>2.8127562933939601E-2</v>
      </c>
      <c r="AG188">
        <v>-9.8785999999999999E-2</v>
      </c>
      <c r="AH188">
        <v>0.61012071536231505</v>
      </c>
      <c r="AI188">
        <v>99.187480840389895</v>
      </c>
      <c r="AJ188">
        <v>87.360439794766194</v>
      </c>
      <c r="AK188">
        <v>0.61870600522932195</v>
      </c>
      <c r="AL188">
        <v>84.808000546680901</v>
      </c>
      <c r="AM188">
        <v>86.173481995449293</v>
      </c>
      <c r="AN188">
        <v>1.0000000207889801</v>
      </c>
    </row>
    <row r="189" spans="1:40" x14ac:dyDescent="0.25">
      <c r="A189" t="str">
        <f>"20190312163957518"</f>
        <v>20190312163957518</v>
      </c>
      <c r="B189" t="str">
        <f>"1552379997506978"</f>
        <v>1552379997506978</v>
      </c>
      <c r="C189" t="s">
        <v>40</v>
      </c>
      <c r="D189">
        <v>5.201924</v>
      </c>
      <c r="E189">
        <v>0.49459989999999998</v>
      </c>
      <c r="F189" t="s">
        <v>42</v>
      </c>
      <c r="G189">
        <v>-468.51799999999997</v>
      </c>
      <c r="H189">
        <v>1.0173719999999999</v>
      </c>
      <c r="I189">
        <v>367.666</v>
      </c>
      <c r="J189">
        <v>-469.13690000000003</v>
      </c>
      <c r="K189">
        <v>1.108997</v>
      </c>
      <c r="L189">
        <v>367.64839999999998</v>
      </c>
      <c r="M189">
        <v>0.99709130000000001</v>
      </c>
      <c r="N189">
        <v>0</v>
      </c>
      <c r="O189">
        <v>7.6192200000000002E-2</v>
      </c>
      <c r="P189">
        <v>0.9960464</v>
      </c>
      <c r="Q189">
        <v>8.8347350000000005E-2</v>
      </c>
      <c r="R189">
        <v>9.3011759999999995E-3</v>
      </c>
      <c r="S189">
        <v>3.0453489999999999</v>
      </c>
      <c r="T189">
        <v>-0.38631130000000002</v>
      </c>
      <c r="U189">
        <v>0.1104431</v>
      </c>
      <c r="V189">
        <v>6.6613619999999998E-2</v>
      </c>
      <c r="W189">
        <v>9.0314000000000005E-2</v>
      </c>
      <c r="X189">
        <v>0.99368299999999998</v>
      </c>
      <c r="Y189">
        <v>3.9084250000000001E-2</v>
      </c>
      <c r="Z189">
        <v>-1.208146E-2</v>
      </c>
      <c r="AA189">
        <v>0.99916289999999996</v>
      </c>
      <c r="AB189">
        <v>10</v>
      </c>
      <c r="AC189">
        <v>0.61889999999999601</v>
      </c>
      <c r="AD189">
        <v>-9.1624999999999998E-2</v>
      </c>
      <c r="AE189">
        <v>1.7600000000015801E-2</v>
      </c>
      <c r="AF189">
        <v>2.8972122750681801E-2</v>
      </c>
      <c r="AG189">
        <v>-9.1624999999999998E-2</v>
      </c>
      <c r="AH189">
        <v>0.60518854897604502</v>
      </c>
      <c r="AI189">
        <v>98.599446841033</v>
      </c>
      <c r="AJ189">
        <v>87.259178186341799</v>
      </c>
      <c r="AK189">
        <v>0.61277051522850801</v>
      </c>
      <c r="AL189">
        <v>84.818328201648299</v>
      </c>
      <c r="AM189">
        <v>86.164795713374104</v>
      </c>
      <c r="AN189">
        <v>0.99999994872725095</v>
      </c>
    </row>
    <row r="190" spans="1:40" x14ac:dyDescent="0.25">
      <c r="A190" t="str">
        <f>"20190312163957542"</f>
        <v>20190312163957542</v>
      </c>
      <c r="B190" t="str">
        <f>"1552379997536255"</f>
        <v>1552379997536255</v>
      </c>
      <c r="C190" t="s">
        <v>40</v>
      </c>
      <c r="D190">
        <v>5.4132730000000002</v>
      </c>
      <c r="E190">
        <v>0.49485689999999999</v>
      </c>
      <c r="F190" t="s">
        <v>42</v>
      </c>
      <c r="G190">
        <v>-468.32830000000001</v>
      </c>
      <c r="H190">
        <v>1.0121690000000001</v>
      </c>
      <c r="I190">
        <v>367.67829999999998</v>
      </c>
      <c r="J190">
        <v>-469.02050000000003</v>
      </c>
      <c r="K190">
        <v>1.108968</v>
      </c>
      <c r="L190">
        <v>367.65769999999998</v>
      </c>
      <c r="M190">
        <v>0.99706899999999998</v>
      </c>
      <c r="N190">
        <v>0</v>
      </c>
      <c r="O190">
        <v>7.6481770000000004E-2</v>
      </c>
      <c r="P190">
        <v>0.99612579999999995</v>
      </c>
      <c r="Q190">
        <v>8.7434860000000003E-2</v>
      </c>
      <c r="R190">
        <v>9.4302710000000005E-3</v>
      </c>
      <c r="S190">
        <v>3.0431819999999998</v>
      </c>
      <c r="T190">
        <v>-0.36457089999999998</v>
      </c>
      <c r="U190">
        <v>0.11361690000000001</v>
      </c>
      <c r="V190">
        <v>6.6785259999999999E-2</v>
      </c>
      <c r="W190">
        <v>8.9437810000000006E-2</v>
      </c>
      <c r="X190">
        <v>0.99375080000000005</v>
      </c>
      <c r="Y190">
        <v>3.8410029999999998E-2</v>
      </c>
      <c r="Z190">
        <v>-1.140849E-2</v>
      </c>
      <c r="AA190">
        <v>0.99919690000000005</v>
      </c>
      <c r="AB190">
        <v>11</v>
      </c>
      <c r="AC190">
        <v>0.69220000000001303</v>
      </c>
      <c r="AD190">
        <v>-9.6798999999999802E-2</v>
      </c>
      <c r="AE190">
        <v>2.06000000000017E-2</v>
      </c>
      <c r="AF190">
        <v>3.1780182566878701E-2</v>
      </c>
      <c r="AG190">
        <v>-9.6798999999999802E-2</v>
      </c>
      <c r="AH190">
        <v>0.67849126291577599</v>
      </c>
      <c r="AI190">
        <v>98.110708622435595</v>
      </c>
      <c r="AJ190">
        <v>87.318255138133694</v>
      </c>
      <c r="AK190">
        <v>0.68609796695372105</v>
      </c>
      <c r="AL190">
        <v>84.868734569780003</v>
      </c>
      <c r="AM190">
        <v>86.155204885766295</v>
      </c>
      <c r="AN190">
        <v>1.0000000226557499</v>
      </c>
    </row>
    <row r="191" spans="1:40" x14ac:dyDescent="0.25">
      <c r="A191" t="str">
        <f>"20190312163957565"</f>
        <v>20190312163957565</v>
      </c>
      <c r="B191" t="str">
        <f>"1552379997556750"</f>
        <v>1552379997556750</v>
      </c>
      <c r="C191" t="s">
        <v>40</v>
      </c>
      <c r="D191">
        <v>5.2675419999999997</v>
      </c>
      <c r="E191">
        <v>0.49508000000000002</v>
      </c>
      <c r="F191" t="s">
        <v>42</v>
      </c>
      <c r="G191">
        <v>-468.22730000000001</v>
      </c>
      <c r="H191">
        <v>1.018149</v>
      </c>
      <c r="I191">
        <v>367.68630000000002</v>
      </c>
      <c r="J191">
        <v>-468.9092</v>
      </c>
      <c r="K191">
        <v>1.1089260000000001</v>
      </c>
      <c r="L191">
        <v>367.66649999999998</v>
      </c>
      <c r="M191">
        <v>0.99704440000000005</v>
      </c>
      <c r="N191">
        <v>0</v>
      </c>
      <c r="O191">
        <v>7.6801380000000002E-2</v>
      </c>
      <c r="P191">
        <v>0.99623269999999997</v>
      </c>
      <c r="Q191">
        <v>8.6187860000000005E-2</v>
      </c>
      <c r="R191">
        <v>9.6044890000000008E-3</v>
      </c>
      <c r="S191">
        <v>3.0411990000000002</v>
      </c>
      <c r="T191">
        <v>-0.34837469999999998</v>
      </c>
      <c r="U191">
        <v>0.11074829999999999</v>
      </c>
      <c r="V191">
        <v>6.6943409999999995E-2</v>
      </c>
      <c r="W191">
        <v>8.8176329999999997E-2</v>
      </c>
      <c r="X191">
        <v>0.99385290000000004</v>
      </c>
      <c r="Y191">
        <v>3.9706640000000001E-2</v>
      </c>
      <c r="Z191">
        <v>-1.102273E-2</v>
      </c>
      <c r="AA191">
        <v>0.9991506</v>
      </c>
      <c r="AB191">
        <v>11</v>
      </c>
      <c r="AC191">
        <v>0.68189999999998396</v>
      </c>
      <c r="AD191">
        <v>-9.0777000000000094E-2</v>
      </c>
      <c r="AE191">
        <v>1.9800000000032E-2</v>
      </c>
      <c r="AF191">
        <v>3.2061731235358798E-2</v>
      </c>
      <c r="AG191">
        <v>-9.0777000000000094E-2</v>
      </c>
      <c r="AH191">
        <v>0.66955089284247904</v>
      </c>
      <c r="AI191">
        <v>97.712291742748604</v>
      </c>
      <c r="AJ191">
        <v>87.258461244094704</v>
      </c>
      <c r="AK191">
        <v>0.67643685325754499</v>
      </c>
      <c r="AL191">
        <v>84.941298833370098</v>
      </c>
      <c r="AM191">
        <v>86.146522392098504</v>
      </c>
      <c r="AN191">
        <v>1.00000003607655</v>
      </c>
    </row>
    <row r="192" spans="1:40" x14ac:dyDescent="0.25">
      <c r="A192" t="str">
        <f>"20190312163957587"</f>
        <v>20190312163957587</v>
      </c>
      <c r="B192" t="str">
        <f>"1552379997576270"</f>
        <v>1552379997576270</v>
      </c>
      <c r="C192" t="s">
        <v>40</v>
      </c>
      <c r="D192">
        <v>5.430231</v>
      </c>
      <c r="E192">
        <v>0.49584220000000001</v>
      </c>
      <c r="F192" t="s">
        <v>42</v>
      </c>
      <c r="G192">
        <v>-468.12729999999999</v>
      </c>
      <c r="H192">
        <v>1.018292</v>
      </c>
      <c r="I192">
        <v>367.6943</v>
      </c>
      <c r="J192">
        <v>-468.79820000000001</v>
      </c>
      <c r="K192">
        <v>1.108876</v>
      </c>
      <c r="L192">
        <v>367.67520000000002</v>
      </c>
      <c r="M192">
        <v>0.99701390000000001</v>
      </c>
      <c r="N192">
        <v>0</v>
      </c>
      <c r="O192">
        <v>7.7200899999999906E-2</v>
      </c>
      <c r="P192">
        <v>0.99625660000000005</v>
      </c>
      <c r="Q192">
        <v>8.5875989999999999E-2</v>
      </c>
      <c r="R192">
        <v>9.9267699999999997E-3</v>
      </c>
      <c r="S192">
        <v>3.0408019999999998</v>
      </c>
      <c r="T192">
        <v>-0.3527071</v>
      </c>
      <c r="U192">
        <v>0.1091003</v>
      </c>
      <c r="V192">
        <v>6.7020620000000003E-2</v>
      </c>
      <c r="W192">
        <v>8.778685E-2</v>
      </c>
      <c r="X192">
        <v>0.99388209999999999</v>
      </c>
      <c r="Y192">
        <v>4.061509E-2</v>
      </c>
      <c r="Z192">
        <v>-1.125902E-2</v>
      </c>
      <c r="AA192">
        <v>0.99911139999999998</v>
      </c>
      <c r="AB192">
        <v>11</v>
      </c>
      <c r="AC192">
        <v>0.67090000000001704</v>
      </c>
      <c r="AD192">
        <v>-9.0583999999999998E-2</v>
      </c>
      <c r="AE192">
        <v>1.9099999999980299E-2</v>
      </c>
      <c r="AF192">
        <v>3.2165273370621E-2</v>
      </c>
      <c r="AG192">
        <v>-9.0583999999999998E-2</v>
      </c>
      <c r="AH192">
        <v>0.65837970775018295</v>
      </c>
      <c r="AI192">
        <v>97.824710185609007</v>
      </c>
      <c r="AJ192">
        <v>87.203027025130098</v>
      </c>
      <c r="AK192">
        <v>0.66535998184758904</v>
      </c>
      <c r="AL192">
        <v>84.963700891330205</v>
      </c>
      <c r="AM192">
        <v>86.142204352241706</v>
      </c>
      <c r="AN192">
        <v>0.99999996161925697</v>
      </c>
    </row>
    <row r="193" spans="1:40" x14ac:dyDescent="0.25">
      <c r="A193" t="str">
        <f>"20190312163957608"</f>
        <v>20190312163957608</v>
      </c>
      <c r="B193" t="str">
        <f>"1552379997596766"</f>
        <v>1552379997596766</v>
      </c>
      <c r="C193" t="s">
        <v>40</v>
      </c>
      <c r="D193">
        <v>5.2905739999999897</v>
      </c>
      <c r="E193">
        <v>0.49601679999999998</v>
      </c>
      <c r="F193" t="s">
        <v>42</v>
      </c>
      <c r="G193">
        <v>-468.02550000000002</v>
      </c>
      <c r="H193">
        <v>1.0196989999999999</v>
      </c>
      <c r="I193">
        <v>367.70150000000001</v>
      </c>
      <c r="J193">
        <v>-468.69049999999999</v>
      </c>
      <c r="K193">
        <v>1.108897</v>
      </c>
      <c r="L193">
        <v>367.68360000000001</v>
      </c>
      <c r="M193">
        <v>0.99700529999999998</v>
      </c>
      <c r="N193">
        <v>0</v>
      </c>
      <c r="O193">
        <v>7.730911E-2</v>
      </c>
      <c r="P193">
        <v>0.99616349999999998</v>
      </c>
      <c r="Q193">
        <v>8.6884489999999995E-2</v>
      </c>
      <c r="R193">
        <v>1.046598E-2</v>
      </c>
      <c r="S193">
        <v>3.040527</v>
      </c>
      <c r="T193">
        <v>-0.35096159999999998</v>
      </c>
      <c r="U193">
        <v>0.1039429</v>
      </c>
      <c r="V193">
        <v>6.656426E-2</v>
      </c>
      <c r="W193">
        <v>8.8810420000000001E-2</v>
      </c>
      <c r="X193">
        <v>0.99382190000000004</v>
      </c>
      <c r="Y193">
        <v>4.2407859999999999E-2</v>
      </c>
      <c r="Z193">
        <v>-1.132065E-2</v>
      </c>
      <c r="AA193">
        <v>0.99903629999999999</v>
      </c>
      <c r="AB193">
        <v>11</v>
      </c>
      <c r="AC193">
        <v>0.66499999999996295</v>
      </c>
      <c r="AD193">
        <v>-8.9198000000000097E-2</v>
      </c>
      <c r="AE193">
        <v>1.78999999999973E-2</v>
      </c>
      <c r="AF193">
        <v>3.2971450164728702E-2</v>
      </c>
      <c r="AG193">
        <v>-8.9198000000000097E-2</v>
      </c>
      <c r="AH193">
        <v>0.65265978253850898</v>
      </c>
      <c r="AI193">
        <v>97.772520426850406</v>
      </c>
      <c r="AJ193">
        <v>87.107956779635998</v>
      </c>
      <c r="AK193">
        <v>0.65955150782420202</v>
      </c>
      <c r="AL193">
        <v>84.904825027853306</v>
      </c>
      <c r="AM193">
        <v>86.168163117841203</v>
      </c>
      <c r="AN193">
        <v>1.00000003016476</v>
      </c>
    </row>
    <row r="194" spans="1:40" x14ac:dyDescent="0.25">
      <c r="A194" t="str">
        <f>"20190312163957630"</f>
        <v>20190312163957630</v>
      </c>
      <c r="B194" t="str">
        <f>"1552379997627023"</f>
        <v>1552379997627023</v>
      </c>
      <c r="C194" t="s">
        <v>40</v>
      </c>
      <c r="D194">
        <v>5.3174869999999999</v>
      </c>
      <c r="E194">
        <v>0.4963902</v>
      </c>
      <c r="F194" t="s">
        <v>42</v>
      </c>
      <c r="G194">
        <v>-467.9221</v>
      </c>
      <c r="H194">
        <v>1.0218739999999999</v>
      </c>
      <c r="I194">
        <v>367.70940000000002</v>
      </c>
      <c r="J194">
        <v>-468.577</v>
      </c>
      <c r="K194">
        <v>1.10894</v>
      </c>
      <c r="L194">
        <v>367.69240000000002</v>
      </c>
      <c r="M194">
        <v>0.99701600000000001</v>
      </c>
      <c r="N194">
        <v>0</v>
      </c>
      <c r="O194">
        <v>7.7170989999999995E-2</v>
      </c>
      <c r="P194">
        <v>0.99613359999999995</v>
      </c>
      <c r="Q194">
        <v>8.7268189999999995E-2</v>
      </c>
      <c r="R194">
        <v>1.011459E-2</v>
      </c>
      <c r="S194">
        <v>3.040527</v>
      </c>
      <c r="T194">
        <v>-0.34462110000000001</v>
      </c>
      <c r="U194">
        <v>0.1036377</v>
      </c>
      <c r="V194">
        <v>6.6752539999999999E-2</v>
      </c>
      <c r="W194">
        <v>8.9255909999999994E-2</v>
      </c>
      <c r="X194">
        <v>0.99376929999999997</v>
      </c>
      <c r="Y194">
        <v>4.239884E-2</v>
      </c>
      <c r="Z194">
        <v>-1.1101410000000001E-2</v>
      </c>
      <c r="AA194">
        <v>0.99903909999999996</v>
      </c>
      <c r="AB194">
        <v>11</v>
      </c>
      <c r="AC194">
        <v>0.65489999999999704</v>
      </c>
      <c r="AD194">
        <v>-8.7066000000000004E-2</v>
      </c>
      <c r="AE194">
        <v>1.69999999999959E-2</v>
      </c>
      <c r="AF194">
        <v>3.3007081152673E-2</v>
      </c>
      <c r="AG194">
        <v>-8.7066000000000004E-2</v>
      </c>
      <c r="AH194">
        <v>0.642903557587164</v>
      </c>
      <c r="AI194">
        <v>97.702407500191995</v>
      </c>
      <c r="AJ194">
        <v>87.060978389156602</v>
      </c>
      <c r="AK194">
        <v>0.64961137622462495</v>
      </c>
      <c r="AL194">
        <v>84.879198253085406</v>
      </c>
      <c r="AM194">
        <v>86.157154240141395</v>
      </c>
      <c r="AN194">
        <v>0.999999970344434</v>
      </c>
    </row>
    <row r="195" spans="1:40" x14ac:dyDescent="0.25">
      <c r="A195" t="str">
        <f>"20190312163957653"</f>
        <v>20190312163957653</v>
      </c>
      <c r="B195" t="str">
        <f>"1552379997646543"</f>
        <v>1552379997646543</v>
      </c>
      <c r="C195" t="s">
        <v>40</v>
      </c>
      <c r="D195">
        <v>5.2189120000000004</v>
      </c>
      <c r="E195">
        <v>0.4965215</v>
      </c>
      <c r="F195" t="s">
        <v>42</v>
      </c>
      <c r="G195">
        <v>-467.81810000000002</v>
      </c>
      <c r="H195">
        <v>1.0223409999999999</v>
      </c>
      <c r="I195">
        <v>367.71699999999998</v>
      </c>
      <c r="J195">
        <v>-468.45510000000002</v>
      </c>
      <c r="K195">
        <v>1.1089009999999999</v>
      </c>
      <c r="L195">
        <v>367.702</v>
      </c>
      <c r="M195">
        <v>0.99702970000000002</v>
      </c>
      <c r="N195">
        <v>0</v>
      </c>
      <c r="O195">
        <v>7.6994019999999996E-2</v>
      </c>
      <c r="P195">
        <v>0.99618759999999995</v>
      </c>
      <c r="Q195">
        <v>8.6596820000000005E-2</v>
      </c>
      <c r="R195">
        <v>1.055412E-2</v>
      </c>
      <c r="S195">
        <v>3.041077</v>
      </c>
      <c r="T195">
        <v>-0.34721970000000002</v>
      </c>
      <c r="U195">
        <v>9.9914550000000005E-2</v>
      </c>
      <c r="V195">
        <v>6.6136669999999995E-2</v>
      </c>
      <c r="W195">
        <v>8.8580060000000002E-2</v>
      </c>
      <c r="X195">
        <v>0.99387099999999995</v>
      </c>
      <c r="Y195">
        <v>4.3432520000000002E-2</v>
      </c>
      <c r="Z195">
        <v>-1.122163E-2</v>
      </c>
      <c r="AA195">
        <v>0.99899329999999997</v>
      </c>
      <c r="AB195">
        <v>11</v>
      </c>
      <c r="AC195">
        <v>0.63700000000000001</v>
      </c>
      <c r="AD195">
        <v>-8.6559999999999901E-2</v>
      </c>
      <c r="AE195">
        <v>1.49999999999863E-2</v>
      </c>
      <c r="AF195">
        <v>3.3472079860317402E-2</v>
      </c>
      <c r="AG195">
        <v>-8.6559999999999901E-2</v>
      </c>
      <c r="AH195">
        <v>0.62473450831588995</v>
      </c>
      <c r="AI195">
        <v>97.877229392313197</v>
      </c>
      <c r="AJ195">
        <v>86.933134088886902</v>
      </c>
      <c r="AK195">
        <v>0.63159023077535903</v>
      </c>
      <c r="AL195">
        <v>84.918075883170403</v>
      </c>
      <c r="AM195">
        <v>86.192892665646497</v>
      </c>
      <c r="AN195">
        <v>1.0000000253946399</v>
      </c>
    </row>
    <row r="196" spans="1:40" x14ac:dyDescent="0.25">
      <c r="A196" t="str">
        <f>"20190312163957676"</f>
        <v>20190312163957676</v>
      </c>
      <c r="B196" t="str">
        <f>"1552379997667041"</f>
        <v>1552379997667041</v>
      </c>
      <c r="C196" t="s">
        <v>40</v>
      </c>
      <c r="D196">
        <v>5.1785649999999999</v>
      </c>
      <c r="E196">
        <v>0.4963168</v>
      </c>
      <c r="F196" t="s">
        <v>42</v>
      </c>
      <c r="G196">
        <v>-467.71260000000001</v>
      </c>
      <c r="H196">
        <v>1.02271</v>
      </c>
      <c r="I196">
        <v>367.72649999999999</v>
      </c>
      <c r="J196">
        <v>-468.33229999999998</v>
      </c>
      <c r="K196">
        <v>1.1087910000000001</v>
      </c>
      <c r="L196">
        <v>367.7115</v>
      </c>
      <c r="M196">
        <v>0.99703059999999999</v>
      </c>
      <c r="N196">
        <v>0</v>
      </c>
      <c r="O196">
        <v>7.6984759999999999E-2</v>
      </c>
      <c r="P196">
        <v>0.9961972</v>
      </c>
      <c r="Q196">
        <v>8.6426729999999993E-2</v>
      </c>
      <c r="R196">
        <v>1.104199E-2</v>
      </c>
      <c r="S196">
        <v>3.0411380000000001</v>
      </c>
      <c r="T196">
        <v>-0.35307169999999999</v>
      </c>
      <c r="U196">
        <v>0.10174560000000001</v>
      </c>
      <c r="V196">
        <v>6.5652370000000002E-2</v>
      </c>
      <c r="W196">
        <v>8.8319289999999995E-2</v>
      </c>
      <c r="X196">
        <v>0.99392630000000004</v>
      </c>
      <c r="Y196">
        <v>4.2800949999999997E-2</v>
      </c>
      <c r="Z196">
        <v>-1.137152E-2</v>
      </c>
      <c r="AA196">
        <v>0.99901890000000004</v>
      </c>
      <c r="AB196">
        <v>12</v>
      </c>
      <c r="AC196">
        <v>0.61969999999996594</v>
      </c>
      <c r="AD196">
        <v>-8.6081000000000005E-2</v>
      </c>
      <c r="AE196">
        <v>1.49999999999863E-2</v>
      </c>
      <c r="AF196">
        <v>3.2132409739807397E-2</v>
      </c>
      <c r="AG196">
        <v>-8.6081000000000005E-2</v>
      </c>
      <c r="AH196">
        <v>0.60730440345825898</v>
      </c>
      <c r="AI196">
        <v>98.056399321152398</v>
      </c>
      <c r="AJ196">
        <v>86.971310677321696</v>
      </c>
      <c r="AK196">
        <v>0.61421581612368004</v>
      </c>
      <c r="AL196">
        <v>84.933075615880497</v>
      </c>
      <c r="AM196">
        <v>86.220899601736406</v>
      </c>
      <c r="AN196">
        <v>1.0000000102522</v>
      </c>
    </row>
    <row r="197" spans="1:40" x14ac:dyDescent="0.25">
      <c r="A197" t="str">
        <f>"20190312163957697"</f>
        <v>20190312163957697</v>
      </c>
      <c r="B197" t="str">
        <f>"1552379997686562"</f>
        <v>1552379997686562</v>
      </c>
      <c r="C197" t="s">
        <v>40</v>
      </c>
      <c r="D197">
        <v>5.1771630000000002</v>
      </c>
      <c r="E197">
        <v>0.4963515</v>
      </c>
      <c r="F197" t="s">
        <v>42</v>
      </c>
      <c r="G197">
        <v>-467.60469999999998</v>
      </c>
      <c r="H197">
        <v>1.0247440000000001</v>
      </c>
      <c r="I197">
        <v>367.7364</v>
      </c>
      <c r="J197">
        <v>-468.2192</v>
      </c>
      <c r="K197">
        <v>1.1086860000000001</v>
      </c>
      <c r="L197">
        <v>367.72030000000001</v>
      </c>
      <c r="M197">
        <v>0.99702069999999998</v>
      </c>
      <c r="N197">
        <v>0</v>
      </c>
      <c r="O197">
        <v>7.7115420000000004E-2</v>
      </c>
      <c r="P197">
        <v>0.99611899999999998</v>
      </c>
      <c r="Q197">
        <v>8.7243849999999998E-2</v>
      </c>
      <c r="R197">
        <v>1.164833E-2</v>
      </c>
      <c r="S197">
        <v>3.0408019999999998</v>
      </c>
      <c r="T197">
        <v>-0.3512728</v>
      </c>
      <c r="U197">
        <v>0.10424799999999999</v>
      </c>
      <c r="V197">
        <v>6.5186480000000005E-2</v>
      </c>
      <c r="W197">
        <v>8.9045029999999997E-2</v>
      </c>
      <c r="X197">
        <v>0.9938922</v>
      </c>
      <c r="Y197">
        <v>4.2118610000000001E-2</v>
      </c>
      <c r="Z197">
        <v>-1.1290700000000001E-2</v>
      </c>
      <c r="AA197">
        <v>0.99904879999999996</v>
      </c>
      <c r="AB197">
        <v>12</v>
      </c>
      <c r="AC197">
        <v>0.61450000000002003</v>
      </c>
      <c r="AD197">
        <v>-8.3941999999999906E-2</v>
      </c>
      <c r="AE197">
        <v>1.60999999999944E-2</v>
      </c>
      <c r="AF197">
        <v>3.0761812417581798E-2</v>
      </c>
      <c r="AG197">
        <v>-8.3941999999999906E-2</v>
      </c>
      <c r="AH197">
        <v>0.60267342479016695</v>
      </c>
      <c r="AI197">
        <v>97.919121766608697</v>
      </c>
      <c r="AJ197">
        <v>87.078029829231596</v>
      </c>
      <c r="AK197">
        <v>0.60926825406837304</v>
      </c>
      <c r="AL197">
        <v>84.891329241690201</v>
      </c>
      <c r="AM197">
        <v>86.2475120316426</v>
      </c>
      <c r="AN197">
        <v>0.99999999988166499</v>
      </c>
    </row>
    <row r="198" spans="1:40" x14ac:dyDescent="0.25">
      <c r="A198" t="str">
        <f>"20190312163957720"</f>
        <v>20190312163957720</v>
      </c>
      <c r="B198" t="str">
        <f>"1552379997716815"</f>
        <v>1552379997716815</v>
      </c>
      <c r="C198" t="s">
        <v>40</v>
      </c>
      <c r="D198">
        <v>5.0919540000000003</v>
      </c>
      <c r="E198">
        <v>0.49631579999999897</v>
      </c>
      <c r="F198" t="s">
        <v>42</v>
      </c>
      <c r="G198">
        <v>-467.49630000000002</v>
      </c>
      <c r="H198">
        <v>1.024667</v>
      </c>
      <c r="I198">
        <v>367.7448</v>
      </c>
      <c r="J198">
        <v>-468.09719999999999</v>
      </c>
      <c r="K198">
        <v>1.108625</v>
      </c>
      <c r="L198">
        <v>367.7296</v>
      </c>
      <c r="M198">
        <v>0.99700940000000005</v>
      </c>
      <c r="N198">
        <v>0</v>
      </c>
      <c r="O198">
        <v>7.7259120000000001E-2</v>
      </c>
      <c r="P198">
        <v>0.9960869</v>
      </c>
      <c r="Q198">
        <v>8.7555049999999995E-2</v>
      </c>
      <c r="R198">
        <v>1.2053120000000001E-2</v>
      </c>
      <c r="S198">
        <v>3.041382</v>
      </c>
      <c r="T198">
        <v>-0.3538113</v>
      </c>
      <c r="U198">
        <v>0.10592650000000001</v>
      </c>
      <c r="V198">
        <v>6.4934160000000005E-2</v>
      </c>
      <c r="W198">
        <v>8.9303400000000005E-2</v>
      </c>
      <c r="X198">
        <v>0.99388549999999998</v>
      </c>
      <c r="Y198">
        <v>4.170915E-2</v>
      </c>
      <c r="Z198">
        <v>-1.136233E-2</v>
      </c>
      <c r="AA198">
        <v>0.99906519999999999</v>
      </c>
      <c r="AB198">
        <v>12</v>
      </c>
      <c r="AC198">
        <v>0.60089999999996702</v>
      </c>
      <c r="AD198">
        <v>-8.3957999999999894E-2</v>
      </c>
      <c r="AE198">
        <v>1.51999999999929E-2</v>
      </c>
      <c r="AF198">
        <v>3.0672121680435899E-2</v>
      </c>
      <c r="AG198">
        <v>-8.3957999999999894E-2</v>
      </c>
      <c r="AH198">
        <v>0.58879135838527796</v>
      </c>
      <c r="AI198">
        <v>98.1044725210416</v>
      </c>
      <c r="AJ198">
        <v>87.017965704870605</v>
      </c>
      <c r="AK198">
        <v>0.59553756264534696</v>
      </c>
      <c r="AL198">
        <v>84.876466338166594</v>
      </c>
      <c r="AM198">
        <v>86.261970554826405</v>
      </c>
      <c r="AN198">
        <v>0.99999996474835695</v>
      </c>
    </row>
    <row r="199" spans="1:40" x14ac:dyDescent="0.25">
      <c r="A199" t="str">
        <f>"20190312163957742"</f>
        <v>20190312163957742</v>
      </c>
      <c r="B199" t="str">
        <f>"1552379997736335"</f>
        <v>1552379997736335</v>
      </c>
      <c r="C199" t="s">
        <v>40</v>
      </c>
      <c r="D199">
        <v>5.0041949999999904</v>
      </c>
      <c r="E199">
        <v>0.4965484</v>
      </c>
      <c r="F199" t="s">
        <v>42</v>
      </c>
      <c r="G199">
        <v>-467.27969999999999</v>
      </c>
      <c r="H199">
        <v>1.0138780000000001</v>
      </c>
      <c r="I199">
        <v>367.75810000000001</v>
      </c>
      <c r="J199">
        <v>-467.96800000000002</v>
      </c>
      <c r="K199">
        <v>1.108606</v>
      </c>
      <c r="L199">
        <v>367.7396</v>
      </c>
      <c r="M199">
        <v>0.99700639999999996</v>
      </c>
      <c r="N199">
        <v>0</v>
      </c>
      <c r="O199">
        <v>7.7300099999999997E-2</v>
      </c>
      <c r="P199">
        <v>0.9960502</v>
      </c>
      <c r="Q199">
        <v>8.7915199999999999E-2</v>
      </c>
      <c r="R199">
        <v>1.2470770000000001E-2</v>
      </c>
      <c r="S199">
        <v>3.041534</v>
      </c>
      <c r="T199">
        <v>-0.3527691</v>
      </c>
      <c r="U199">
        <v>0.1070251</v>
      </c>
      <c r="V199">
        <v>6.4559569999999997E-2</v>
      </c>
      <c r="W199">
        <v>8.9648190000000003E-2</v>
      </c>
      <c r="X199">
        <v>0.99387890000000001</v>
      </c>
      <c r="Y199">
        <v>4.1398089999999999E-2</v>
      </c>
      <c r="Z199">
        <v>-1.1315159999999999E-2</v>
      </c>
      <c r="AA199">
        <v>0.99907860000000004</v>
      </c>
      <c r="AB199">
        <v>12</v>
      </c>
      <c r="AC199">
        <v>0.688300000000026</v>
      </c>
      <c r="AD199">
        <v>-9.4727999999999896E-2</v>
      </c>
      <c r="AE199">
        <v>1.8500000000017201E-2</v>
      </c>
      <c r="AF199">
        <v>3.4115380986059297E-2</v>
      </c>
      <c r="AG199">
        <v>-9.4727999999999896E-2</v>
      </c>
      <c r="AH199">
        <v>0.67489662675086304</v>
      </c>
      <c r="AI199">
        <v>97.979741576209904</v>
      </c>
      <c r="AJ199">
        <v>87.106216036583703</v>
      </c>
      <c r="AK199">
        <v>0.68236552521615401</v>
      </c>
      <c r="AL199">
        <v>84.856631960922201</v>
      </c>
      <c r="AM199">
        <v>86.283449151623401</v>
      </c>
      <c r="AN199">
        <v>1.0000000019570301</v>
      </c>
    </row>
    <row r="200" spans="1:40" x14ac:dyDescent="0.25">
      <c r="A200" t="str">
        <f>"20190312163957766"</f>
        <v>20190312163957766</v>
      </c>
      <c r="B200" t="str">
        <f>"1552379997756830"</f>
        <v>1552379997756830</v>
      </c>
      <c r="C200" t="s">
        <v>40</v>
      </c>
      <c r="D200">
        <v>5.1314039999999999</v>
      </c>
      <c r="E200">
        <v>0.49678159999999999</v>
      </c>
      <c r="F200" t="s">
        <v>42</v>
      </c>
      <c r="G200">
        <v>-467.16609999999997</v>
      </c>
      <c r="H200">
        <v>1.015468</v>
      </c>
      <c r="I200">
        <v>367.76749999999998</v>
      </c>
      <c r="J200">
        <v>-467.834</v>
      </c>
      <c r="K200">
        <v>1.1086309999999999</v>
      </c>
      <c r="L200">
        <v>367.74979999999999</v>
      </c>
      <c r="M200">
        <v>0.99701169999999995</v>
      </c>
      <c r="N200">
        <v>0</v>
      </c>
      <c r="O200">
        <v>7.7231099999999997E-2</v>
      </c>
      <c r="P200">
        <v>0.99602060000000003</v>
      </c>
      <c r="Q200">
        <v>8.825906E-2</v>
      </c>
      <c r="R200">
        <v>1.2386930000000001E-2</v>
      </c>
      <c r="S200">
        <v>3.0417480000000001</v>
      </c>
      <c r="T200">
        <v>-0.35353970000000001</v>
      </c>
      <c r="U200">
        <v>0.10708620000000001</v>
      </c>
      <c r="V200">
        <v>6.4571489999999995E-2</v>
      </c>
      <c r="W200">
        <v>8.9983489999999999E-2</v>
      </c>
      <c r="X200">
        <v>0.99384779999999995</v>
      </c>
      <c r="Y200">
        <v>4.1309110000000003E-2</v>
      </c>
      <c r="Z200">
        <v>-1.13258E-2</v>
      </c>
      <c r="AA200">
        <v>0.99908220000000003</v>
      </c>
      <c r="AB200">
        <v>13</v>
      </c>
      <c r="AC200">
        <v>0.66790000000003102</v>
      </c>
      <c r="AD200">
        <v>-9.3162999999999802E-2</v>
      </c>
      <c r="AE200">
        <v>1.7699999999990699E-2</v>
      </c>
      <c r="AF200">
        <v>3.3288376224251001E-2</v>
      </c>
      <c r="AG200">
        <v>-9.3162999999999802E-2</v>
      </c>
      <c r="AH200">
        <v>0.65454590003769297</v>
      </c>
      <c r="AI200">
        <v>98.090311161025596</v>
      </c>
      <c r="AJ200">
        <v>87.0886050258637</v>
      </c>
      <c r="AK200">
        <v>0.66198020802498403</v>
      </c>
      <c r="AL200">
        <v>84.837342600757196</v>
      </c>
      <c r="AM200">
        <v>86.282648872013397</v>
      </c>
      <c r="AN200">
        <v>0.99999997767911897</v>
      </c>
    </row>
    <row r="201" spans="1:40" x14ac:dyDescent="0.25">
      <c r="A201" t="str">
        <f>"20190312163957788"</f>
        <v>20190312163957788</v>
      </c>
      <c r="B201" t="str">
        <f>"1552379997776351"</f>
        <v>1552379997776351</v>
      </c>
      <c r="C201" t="s">
        <v>40</v>
      </c>
      <c r="D201">
        <v>5.0962300000000003</v>
      </c>
      <c r="E201">
        <v>0.49705870000000002</v>
      </c>
      <c r="F201" t="s">
        <v>42</v>
      </c>
      <c r="G201">
        <v>-467.05070000000001</v>
      </c>
      <c r="H201">
        <v>1.0174589999999999</v>
      </c>
      <c r="I201">
        <v>367.77659999999997</v>
      </c>
      <c r="J201">
        <v>-467.71010000000001</v>
      </c>
      <c r="K201">
        <v>1.1086530000000001</v>
      </c>
      <c r="L201">
        <v>367.75940000000003</v>
      </c>
      <c r="M201">
        <v>0.99702009999999996</v>
      </c>
      <c r="N201">
        <v>0</v>
      </c>
      <c r="O201">
        <v>7.7124910000000005E-2</v>
      </c>
      <c r="P201">
        <v>0.9959479</v>
      </c>
      <c r="Q201">
        <v>8.9156079999999999E-2</v>
      </c>
      <c r="R201">
        <v>1.179932E-2</v>
      </c>
      <c r="S201">
        <v>3.0421140000000002</v>
      </c>
      <c r="T201">
        <v>-0.35440650000000001</v>
      </c>
      <c r="U201">
        <v>0.1055603</v>
      </c>
      <c r="V201">
        <v>6.5044660000000004E-2</v>
      </c>
      <c r="W201">
        <v>9.0863449999999998E-2</v>
      </c>
      <c r="X201">
        <v>0.99373690000000003</v>
      </c>
      <c r="Y201">
        <v>4.1701750000000003E-2</v>
      </c>
      <c r="Z201">
        <v>-1.136266E-2</v>
      </c>
      <c r="AA201">
        <v>0.99906550000000005</v>
      </c>
      <c r="AB201">
        <v>13</v>
      </c>
      <c r="AC201">
        <v>0.65940000000000498</v>
      </c>
      <c r="AD201">
        <v>-9.1193999999999997E-2</v>
      </c>
      <c r="AE201">
        <v>1.71999999999457E-2</v>
      </c>
      <c r="AF201">
        <v>3.3075281912261598E-2</v>
      </c>
      <c r="AG201">
        <v>-9.1193999999999997E-2</v>
      </c>
      <c r="AH201">
        <v>0.64640740094365801</v>
      </c>
      <c r="AI201">
        <v>98.019835879594197</v>
      </c>
      <c r="AJ201">
        <v>87.070852240092407</v>
      </c>
      <c r="AK201">
        <v>0.65364581227474405</v>
      </c>
      <c r="AL201">
        <v>84.7867173308682</v>
      </c>
      <c r="AM201">
        <v>86.255069214788804</v>
      </c>
      <c r="AN201">
        <v>1.0000000003810099</v>
      </c>
    </row>
    <row r="202" spans="1:40" x14ac:dyDescent="0.25">
      <c r="A202" t="str">
        <f>"20190312163957808"</f>
        <v>20190312163957808</v>
      </c>
      <c r="B202" t="str">
        <f>"1552379997796847"</f>
        <v>1552379997796847</v>
      </c>
      <c r="C202" t="s">
        <v>40</v>
      </c>
      <c r="D202">
        <v>5.0305549999999997</v>
      </c>
      <c r="E202">
        <v>0.4970617</v>
      </c>
      <c r="F202" t="s">
        <v>42</v>
      </c>
      <c r="G202">
        <v>-466.93400000000003</v>
      </c>
      <c r="H202">
        <v>1.0187079999999999</v>
      </c>
      <c r="I202">
        <v>367.78500000000003</v>
      </c>
      <c r="J202">
        <v>-467.58730000000003</v>
      </c>
      <c r="K202">
        <v>1.1086720000000001</v>
      </c>
      <c r="L202">
        <v>367.76889999999997</v>
      </c>
      <c r="M202">
        <v>0.99702760000000001</v>
      </c>
      <c r="N202">
        <v>0</v>
      </c>
      <c r="O202">
        <v>7.7028360000000004E-2</v>
      </c>
      <c r="P202">
        <v>0.99592499999999995</v>
      </c>
      <c r="Q202">
        <v>8.9509399999999906E-2</v>
      </c>
      <c r="R202">
        <v>1.1028949999999999E-2</v>
      </c>
      <c r="S202">
        <v>3.0425420000000001</v>
      </c>
      <c r="T202">
        <v>-0.3528308</v>
      </c>
      <c r="U202">
        <v>0.1016846</v>
      </c>
      <c r="V202">
        <v>6.5715430000000005E-2</v>
      </c>
      <c r="W202">
        <v>9.1192510000000004E-2</v>
      </c>
      <c r="X202">
        <v>0.99366259999999995</v>
      </c>
      <c r="Y202">
        <v>4.2881040000000002E-2</v>
      </c>
      <c r="Z202">
        <v>-1.136826E-2</v>
      </c>
      <c r="AA202">
        <v>0.99901549999999995</v>
      </c>
      <c r="AB202">
        <v>13</v>
      </c>
      <c r="AC202">
        <v>0.65330000000000099</v>
      </c>
      <c r="AD202">
        <v>-8.9963999999999905E-2</v>
      </c>
      <c r="AE202">
        <v>1.6100000000051198E-2</v>
      </c>
      <c r="AF202">
        <v>3.3633122372100997E-2</v>
      </c>
      <c r="AG202">
        <v>-8.9963999999999905E-2</v>
      </c>
      <c r="AH202">
        <v>0.64046129502283899</v>
      </c>
      <c r="AI202">
        <v>97.985019439581805</v>
      </c>
      <c r="AJ202">
        <v>86.993936242751104</v>
      </c>
      <c r="AK202">
        <v>0.64762286760029497</v>
      </c>
      <c r="AL202">
        <v>84.767784858814593</v>
      </c>
      <c r="AM202">
        <v>86.216279308295498</v>
      </c>
      <c r="AN202">
        <v>0.99999997712947197</v>
      </c>
    </row>
    <row r="203" spans="1:40" x14ac:dyDescent="0.25">
      <c r="A203" t="str">
        <f>"20190312163957831"</f>
        <v>20190312163957831</v>
      </c>
      <c r="B203" t="str">
        <f>"1552379997826127"</f>
        <v>1552379997826127</v>
      </c>
      <c r="C203" t="s">
        <v>40</v>
      </c>
      <c r="D203">
        <v>4.9640969999999998</v>
      </c>
      <c r="E203">
        <v>0.49707180000000001</v>
      </c>
      <c r="F203" t="s">
        <v>42</v>
      </c>
      <c r="G203">
        <v>-466.8159</v>
      </c>
      <c r="H203">
        <v>1.019679</v>
      </c>
      <c r="I203">
        <v>367.79379999999998</v>
      </c>
      <c r="J203">
        <v>-467.45030000000003</v>
      </c>
      <c r="K203">
        <v>1.108681</v>
      </c>
      <c r="L203">
        <v>367.77940000000001</v>
      </c>
      <c r="M203">
        <v>0.99703370000000002</v>
      </c>
      <c r="N203">
        <v>0</v>
      </c>
      <c r="O203">
        <v>7.6949509999999999E-2</v>
      </c>
      <c r="P203">
        <v>0.99582349999999997</v>
      </c>
      <c r="Q203">
        <v>9.0773580000000006E-2</v>
      </c>
      <c r="R203">
        <v>9.8042749999999994E-3</v>
      </c>
      <c r="S203">
        <v>3.0427550000000001</v>
      </c>
      <c r="T203">
        <v>-0.35122009999999998</v>
      </c>
      <c r="U203">
        <v>9.9822999999999995E-2</v>
      </c>
      <c r="V203">
        <v>6.6852699999999904E-2</v>
      </c>
      <c r="W203">
        <v>9.242657E-2</v>
      </c>
      <c r="X203">
        <v>0.99347269999999999</v>
      </c>
      <c r="Y203">
        <v>4.3419220000000001E-2</v>
      </c>
      <c r="Z203">
        <v>-1.1337989999999999E-2</v>
      </c>
      <c r="AA203">
        <v>0.99899260000000001</v>
      </c>
      <c r="AB203">
        <v>13</v>
      </c>
      <c r="AC203">
        <v>0.63440000000002705</v>
      </c>
      <c r="AD203">
        <v>-8.9001999999999998E-2</v>
      </c>
      <c r="AE203">
        <v>1.43999999999664E-2</v>
      </c>
      <c r="AF203">
        <v>3.3794717061887303E-2</v>
      </c>
      <c r="AG203">
        <v>-8.9001999999999998E-2</v>
      </c>
      <c r="AH203">
        <v>0.62140280456270502</v>
      </c>
      <c r="AI203">
        <v>98.139033530548602</v>
      </c>
      <c r="AJ203">
        <v>86.887060947069799</v>
      </c>
      <c r="AK203">
        <v>0.62865323066352596</v>
      </c>
      <c r="AL203">
        <v>84.696778548965099</v>
      </c>
      <c r="AM203">
        <v>86.150259952857894</v>
      </c>
      <c r="AN203">
        <v>0.99999997999227197</v>
      </c>
    </row>
    <row r="204" spans="1:40" x14ac:dyDescent="0.25">
      <c r="A204" t="str">
        <f>"20190312163957844"</f>
        <v>20190312163957844</v>
      </c>
      <c r="B204" t="str">
        <f>"1552379997836864"</f>
        <v>1552379997836864</v>
      </c>
      <c r="C204" t="s">
        <v>40</v>
      </c>
      <c r="D204">
        <v>4.7714319999999999</v>
      </c>
      <c r="E204">
        <v>0.49706149999999999</v>
      </c>
      <c r="F204" t="s">
        <v>42</v>
      </c>
      <c r="G204">
        <v>-466.69510000000002</v>
      </c>
      <c r="H204">
        <v>1.023217</v>
      </c>
      <c r="I204">
        <v>367.8032</v>
      </c>
      <c r="J204">
        <v>-467.3777</v>
      </c>
      <c r="K204">
        <v>1.108684</v>
      </c>
      <c r="L204">
        <v>367.78500000000003</v>
      </c>
      <c r="M204">
        <v>0.99703620000000004</v>
      </c>
      <c r="N204">
        <v>0</v>
      </c>
      <c r="O204">
        <v>7.6916780000000004E-2</v>
      </c>
      <c r="P204">
        <v>0.99578299999999997</v>
      </c>
      <c r="Q204">
        <v>9.1245010000000001E-2</v>
      </c>
      <c r="R204">
        <v>9.5255989999999992E-3</v>
      </c>
      <c r="S204">
        <v>3.0430600000000001</v>
      </c>
      <c r="T204">
        <v>-0.3445281</v>
      </c>
      <c r="U204">
        <v>9.5916749999999995E-2</v>
      </c>
      <c r="V204">
        <v>6.7096899999999904E-2</v>
      </c>
      <c r="W204">
        <v>9.2882880000000001E-2</v>
      </c>
      <c r="X204">
        <v>0.99341369999999896</v>
      </c>
      <c r="Y204">
        <v>4.4692889999999999E-2</v>
      </c>
      <c r="Z204">
        <v>-1.1190739999999999E-2</v>
      </c>
      <c r="AA204">
        <v>0.99893810000000005</v>
      </c>
      <c r="AB204">
        <v>13</v>
      </c>
      <c r="AC204">
        <v>0.682599999999979</v>
      </c>
      <c r="AD204">
        <v>-8.5466999999999904E-2</v>
      </c>
      <c r="AE204">
        <v>1.81999999999789E-2</v>
      </c>
      <c r="AF204">
        <v>3.38274424958835E-2</v>
      </c>
      <c r="AG204">
        <v>-8.5466999999999904E-2</v>
      </c>
      <c r="AH204">
        <v>0.67145867709461104</v>
      </c>
      <c r="AI204">
        <v>97.244828452428493</v>
      </c>
      <c r="AJ204">
        <v>87.115932040133998</v>
      </c>
      <c r="AK204">
        <v>0.67772093002980005</v>
      </c>
      <c r="AL204">
        <v>84.670521072988706</v>
      </c>
      <c r="AM204">
        <v>86.136011334686799</v>
      </c>
      <c r="AN204">
        <v>1.0000000013671899</v>
      </c>
    </row>
    <row r="205" spans="1:40" x14ac:dyDescent="0.25">
      <c r="A205" t="str">
        <f>"20190312163957856"</f>
        <v>20190312163957856</v>
      </c>
      <c r="B205" t="str">
        <f>"1552379997846623"</f>
        <v>1552379997846623</v>
      </c>
      <c r="C205" t="s">
        <v>40</v>
      </c>
      <c r="D205">
        <v>4.7333319999999999</v>
      </c>
      <c r="E205">
        <v>0.49707459999999998</v>
      </c>
      <c r="F205" t="s">
        <v>42</v>
      </c>
      <c r="G205">
        <v>-466.57679999999999</v>
      </c>
      <c r="H205">
        <v>1.0181420000000001</v>
      </c>
      <c r="I205">
        <v>367.8098</v>
      </c>
      <c r="J205">
        <v>-467.29790000000003</v>
      </c>
      <c r="K205">
        <v>1.1086860000000001</v>
      </c>
      <c r="L205">
        <v>367.7912</v>
      </c>
      <c r="M205">
        <v>0.99703869999999895</v>
      </c>
      <c r="N205">
        <v>0</v>
      </c>
      <c r="O205">
        <v>7.68847E-2</v>
      </c>
      <c r="P205">
        <v>0.99576149999999997</v>
      </c>
      <c r="Q205">
        <v>9.1538700000000001E-2</v>
      </c>
      <c r="R205">
        <v>8.9524700000000006E-3</v>
      </c>
      <c r="S205">
        <v>3.0433349999999999</v>
      </c>
      <c r="T205">
        <v>-0.34423720000000002</v>
      </c>
      <c r="U205">
        <v>9.5245360000000001E-2</v>
      </c>
      <c r="V205">
        <v>6.7637000000000003E-2</v>
      </c>
      <c r="W205">
        <v>9.3159649999999997E-2</v>
      </c>
      <c r="X205">
        <v>0.99335119999999999</v>
      </c>
      <c r="Y205">
        <v>4.4884180000000003E-2</v>
      </c>
      <c r="Z205">
        <v>-1.1187590000000001E-2</v>
      </c>
      <c r="AA205">
        <v>0.99892959999999997</v>
      </c>
      <c r="AB205">
        <v>13</v>
      </c>
      <c r="AC205">
        <v>0.72110000000003505</v>
      </c>
      <c r="AD205">
        <v>-9.0543999999999902E-2</v>
      </c>
      <c r="AE205">
        <v>1.8599999999992099E-2</v>
      </c>
      <c r="AF205">
        <v>3.6324366623656103E-2</v>
      </c>
      <c r="AG205">
        <v>-9.0543999999999902E-2</v>
      </c>
      <c r="AH205">
        <v>0.70922126500623695</v>
      </c>
      <c r="AI205">
        <v>97.265989686948799</v>
      </c>
      <c r="AJ205">
        <v>87.068029361957699</v>
      </c>
      <c r="AK205">
        <v>0.71589976832211399</v>
      </c>
      <c r="AL205">
        <v>84.6545944991488</v>
      </c>
      <c r="AM205">
        <v>86.104759001376095</v>
      </c>
      <c r="AN205">
        <v>1.0000000453492801</v>
      </c>
    </row>
    <row r="206" spans="1:40" x14ac:dyDescent="0.25">
      <c r="A206" t="str">
        <f>"20190312163957876"</f>
        <v>20190312163957876</v>
      </c>
      <c r="B206" t="str">
        <f>"1552379997866146"</f>
        <v>1552379997866146</v>
      </c>
      <c r="C206" t="s">
        <v>40</v>
      </c>
      <c r="D206">
        <v>4.7088580000000002</v>
      </c>
      <c r="E206">
        <v>0.49693920000000003</v>
      </c>
      <c r="F206" t="s">
        <v>42</v>
      </c>
      <c r="G206">
        <v>-466.5729</v>
      </c>
      <c r="H206">
        <v>1.026742</v>
      </c>
      <c r="I206">
        <v>367.81310000000002</v>
      </c>
      <c r="J206">
        <v>-467.17880000000002</v>
      </c>
      <c r="K206">
        <v>1.108684</v>
      </c>
      <c r="L206">
        <v>367.80040000000002</v>
      </c>
      <c r="M206">
        <v>0.99704250000000005</v>
      </c>
      <c r="N206">
        <v>0</v>
      </c>
      <c r="O206">
        <v>7.6835470000000003E-2</v>
      </c>
      <c r="P206">
        <v>0.99570800000000004</v>
      </c>
      <c r="Q206">
        <v>9.2208869999999998E-2</v>
      </c>
      <c r="R206">
        <v>7.9374419999999994E-3</v>
      </c>
      <c r="S206">
        <v>3.0435180000000002</v>
      </c>
      <c r="T206">
        <v>-0.34425139999999999</v>
      </c>
      <c r="U206">
        <v>9.3444819999999998E-2</v>
      </c>
      <c r="V206">
        <v>6.8599099999999996E-2</v>
      </c>
      <c r="W206">
        <v>9.380484E-2</v>
      </c>
      <c r="X206">
        <v>0.99322440000000001</v>
      </c>
      <c r="Y206">
        <v>4.5423999999999999E-2</v>
      </c>
      <c r="Z206">
        <v>-1.1212420000000001E-2</v>
      </c>
      <c r="AA206">
        <v>0.99890489999999998</v>
      </c>
      <c r="AB206">
        <v>13</v>
      </c>
      <c r="AC206">
        <v>0.60590000000001898</v>
      </c>
      <c r="AD206">
        <v>-8.1941999999999904E-2</v>
      </c>
      <c r="AE206">
        <v>1.26999999999952E-2</v>
      </c>
      <c r="AF206">
        <v>3.3283726439739203E-2</v>
      </c>
      <c r="AG206">
        <v>-8.1941999999999904E-2</v>
      </c>
      <c r="AH206">
        <v>0.59422116686280202</v>
      </c>
      <c r="AI206">
        <v>97.839329639136096</v>
      </c>
      <c r="AJ206">
        <v>86.794078441860293</v>
      </c>
      <c r="AK206">
        <v>0.60076708711238902</v>
      </c>
      <c r="AL206">
        <v>84.617464712351804</v>
      </c>
      <c r="AM206">
        <v>86.049022762089294</v>
      </c>
      <c r="AN206">
        <v>0.99999994664179603</v>
      </c>
    </row>
    <row r="207" spans="1:40" x14ac:dyDescent="0.25">
      <c r="A207" t="str">
        <f>"20190312163957890"</f>
        <v>20190312163957890</v>
      </c>
      <c r="B207" t="str">
        <f>"1552379997886640"</f>
        <v>1552379997886640</v>
      </c>
      <c r="C207" t="s">
        <v>40</v>
      </c>
      <c r="D207">
        <v>4.682245</v>
      </c>
      <c r="E207">
        <v>0.49673859999999997</v>
      </c>
      <c r="F207" t="s">
        <v>42</v>
      </c>
      <c r="G207">
        <v>-466.4504</v>
      </c>
      <c r="H207">
        <v>1.02712</v>
      </c>
      <c r="I207">
        <v>367.822</v>
      </c>
      <c r="J207">
        <v>-467.0949</v>
      </c>
      <c r="K207">
        <v>1.1086830000000001</v>
      </c>
      <c r="L207">
        <v>367.80680000000001</v>
      </c>
      <c r="M207">
        <v>0.99704570000000003</v>
      </c>
      <c r="N207">
        <v>0</v>
      </c>
      <c r="O207">
        <v>7.6795470000000005E-2</v>
      </c>
      <c r="P207">
        <v>0.99567850000000002</v>
      </c>
      <c r="Q207">
        <v>9.2562370000000005E-2</v>
      </c>
      <c r="R207">
        <v>7.54801E-3</v>
      </c>
      <c r="S207">
        <v>3.043701</v>
      </c>
      <c r="T207">
        <v>-0.34093050000000003</v>
      </c>
      <c r="U207">
        <v>9.1094969999999997E-2</v>
      </c>
      <c r="V207">
        <v>6.8946510000000003E-2</v>
      </c>
      <c r="W207">
        <v>9.4140459999999995E-2</v>
      </c>
      <c r="X207">
        <v>0.99316870000000002</v>
      </c>
      <c r="Y207">
        <v>4.6166789999999999E-2</v>
      </c>
      <c r="Z207">
        <v>-1.1141470000000001E-2</v>
      </c>
      <c r="AA207">
        <v>0.99887159999999997</v>
      </c>
      <c r="AB207">
        <v>14</v>
      </c>
      <c r="AC207">
        <v>0.64449999999999297</v>
      </c>
      <c r="AD207">
        <v>-8.1562999999999997E-2</v>
      </c>
      <c r="AE207">
        <v>1.51999999999361E-2</v>
      </c>
      <c r="AF207">
        <v>3.3798624735361597E-2</v>
      </c>
      <c r="AG207">
        <v>-8.1562999999999997E-2</v>
      </c>
      <c r="AH207">
        <v>0.63362186345914895</v>
      </c>
      <c r="AI207">
        <v>97.324764600266604</v>
      </c>
      <c r="AJ207">
        <v>86.946625279464698</v>
      </c>
      <c r="AK207">
        <v>0.63974333592187205</v>
      </c>
      <c r="AL207">
        <v>84.598150226400193</v>
      </c>
      <c r="AM207">
        <v>86.028855483751798</v>
      </c>
      <c r="AN207">
        <v>1.0000000570549299</v>
      </c>
    </row>
    <row r="208" spans="1:40" x14ac:dyDescent="0.25">
      <c r="A208" t="str">
        <f>"20190312163957910"</f>
        <v>20190312163957910</v>
      </c>
      <c r="B208" t="str">
        <f>"1552379997906159"</f>
        <v>1552379997906159</v>
      </c>
      <c r="C208" t="s">
        <v>40</v>
      </c>
      <c r="D208">
        <v>4.7637369999999999</v>
      </c>
      <c r="E208">
        <v>0.4965388</v>
      </c>
      <c r="F208" t="s">
        <v>42</v>
      </c>
      <c r="G208">
        <v>-466.32819999999998</v>
      </c>
      <c r="H208">
        <v>1.023792</v>
      </c>
      <c r="I208">
        <v>367.8295</v>
      </c>
      <c r="J208">
        <v>-466.97329999999999</v>
      </c>
      <c r="K208">
        <v>1.1086879999999999</v>
      </c>
      <c r="L208">
        <v>367.81610000000001</v>
      </c>
      <c r="M208">
        <v>0.99705049999999995</v>
      </c>
      <c r="N208">
        <v>0</v>
      </c>
      <c r="O208">
        <v>7.6733609999999994E-2</v>
      </c>
      <c r="P208">
        <v>0.99563170000000001</v>
      </c>
      <c r="Q208">
        <v>9.3086740000000001E-2</v>
      </c>
      <c r="R208">
        <v>7.2606550000000004E-3</v>
      </c>
      <c r="S208">
        <v>3.0436709999999998</v>
      </c>
      <c r="T208">
        <v>-0.33714680000000002</v>
      </c>
      <c r="U208">
        <v>9.0850829999999994E-2</v>
      </c>
      <c r="V208">
        <v>6.9169670000000003E-2</v>
      </c>
      <c r="W208">
        <v>9.4638420000000001E-2</v>
      </c>
      <c r="X208">
        <v>0.99310580000000004</v>
      </c>
      <c r="Y208">
        <v>4.6201579999999999E-2</v>
      </c>
      <c r="Z208">
        <v>-1.1013810000000001E-2</v>
      </c>
      <c r="AA208">
        <v>0.99887139999999996</v>
      </c>
      <c r="AB208">
        <v>14</v>
      </c>
      <c r="AC208">
        <v>0.645100000000013</v>
      </c>
      <c r="AD208">
        <v>-8.4895999999999805E-2</v>
      </c>
      <c r="AE208">
        <v>1.339999999999E-2</v>
      </c>
      <c r="AF208">
        <v>3.5525419897068498E-2</v>
      </c>
      <c r="AG208">
        <v>-8.4895999999999805E-2</v>
      </c>
      <c r="AH208">
        <v>0.63326353440172101</v>
      </c>
      <c r="AI208">
        <v>97.623762924907197</v>
      </c>
      <c r="AJ208">
        <v>86.789132357501501</v>
      </c>
      <c r="AK208">
        <v>0.63991568997628301</v>
      </c>
      <c r="AL208">
        <v>84.569490968695405</v>
      </c>
      <c r="AM208">
        <v>86.0157918378452</v>
      </c>
      <c r="AN208">
        <v>1.0000000018908199</v>
      </c>
    </row>
    <row r="209" spans="1:40" x14ac:dyDescent="0.25">
      <c r="A209" t="str">
        <f>"20190312163957921"</f>
        <v>20190312163957921</v>
      </c>
      <c r="B209" t="str">
        <f>"1552379997916895"</f>
        <v>1552379997916895</v>
      </c>
      <c r="C209" t="s">
        <v>40</v>
      </c>
      <c r="D209">
        <v>4.6493359999999999</v>
      </c>
      <c r="E209">
        <v>0.49643419999999999</v>
      </c>
      <c r="F209" t="s">
        <v>42</v>
      </c>
      <c r="G209">
        <v>-466.20269999999999</v>
      </c>
      <c r="H209">
        <v>1.024294</v>
      </c>
      <c r="I209">
        <v>367.83890000000002</v>
      </c>
      <c r="J209">
        <v>-466.89830000000001</v>
      </c>
      <c r="K209">
        <v>1.108692</v>
      </c>
      <c r="L209">
        <v>367.8218</v>
      </c>
      <c r="M209">
        <v>0.99705350000000004</v>
      </c>
      <c r="N209">
        <v>0</v>
      </c>
      <c r="O209">
        <v>7.6693090000000005E-2</v>
      </c>
      <c r="P209">
        <v>0.99557580000000001</v>
      </c>
      <c r="Q209">
        <v>9.3675049999999996E-2</v>
      </c>
      <c r="R209">
        <v>7.3358909999999998E-3</v>
      </c>
      <c r="S209">
        <v>3.0436709999999998</v>
      </c>
      <c r="T209">
        <v>-0.33358059999999901</v>
      </c>
      <c r="U209">
        <v>9.1369629999999993E-2</v>
      </c>
      <c r="V209">
        <v>6.9051050000000003E-2</v>
      </c>
      <c r="W209">
        <v>9.5211379999999998E-2</v>
      </c>
      <c r="X209">
        <v>0.99305929999999998</v>
      </c>
      <c r="Y209">
        <v>4.6008029999999998E-2</v>
      </c>
      <c r="Z209">
        <v>-1.088298E-2</v>
      </c>
      <c r="AA209">
        <v>0.99888180000000004</v>
      </c>
      <c r="AB209">
        <v>14</v>
      </c>
      <c r="AC209">
        <v>0.69560000000001299</v>
      </c>
      <c r="AD209">
        <v>-8.4397999999999904E-2</v>
      </c>
      <c r="AE209">
        <v>1.71000000000276E-2</v>
      </c>
      <c r="AF209">
        <v>3.5771854768116902E-2</v>
      </c>
      <c r="AG209">
        <v>-8.4397999999999904E-2</v>
      </c>
      <c r="AH209">
        <v>0.68478787485792803</v>
      </c>
      <c r="AI209">
        <v>97.016625223413797</v>
      </c>
      <c r="AJ209">
        <v>87.009708941287897</v>
      </c>
      <c r="AK209">
        <v>0.69089585434419098</v>
      </c>
      <c r="AL209">
        <v>84.536513933821297</v>
      </c>
      <c r="AM209">
        <v>86.022416818159599</v>
      </c>
      <c r="AN209">
        <v>1.00000001385204</v>
      </c>
    </row>
    <row r="210" spans="1:40" x14ac:dyDescent="0.25">
      <c r="A210" t="str">
        <f>"20190312163957934"</f>
        <v>20190312163957934</v>
      </c>
      <c r="B210" t="str">
        <f>"1552379997926655"</f>
        <v>1552379997926655</v>
      </c>
      <c r="C210" t="s">
        <v>40</v>
      </c>
      <c r="D210">
        <v>4.664777</v>
      </c>
      <c r="E210">
        <v>0.49629509999999999</v>
      </c>
      <c r="F210" t="s">
        <v>42</v>
      </c>
      <c r="G210">
        <v>-466.07799999999997</v>
      </c>
      <c r="H210">
        <v>1.0195259999999999</v>
      </c>
      <c r="I210">
        <v>367.84640000000002</v>
      </c>
      <c r="J210">
        <v>-466.81720000000001</v>
      </c>
      <c r="K210">
        <v>1.1086940000000001</v>
      </c>
      <c r="L210">
        <v>367.82799999999997</v>
      </c>
      <c r="M210">
        <v>0.99705710000000003</v>
      </c>
      <c r="N210">
        <v>0</v>
      </c>
      <c r="O210">
        <v>7.6647080000000006E-2</v>
      </c>
      <c r="P210">
        <v>0.9955659</v>
      </c>
      <c r="Q210">
        <v>9.3755859999999996E-2</v>
      </c>
      <c r="R210">
        <v>7.6450479999999998E-3</v>
      </c>
      <c r="S210">
        <v>3.0438230000000002</v>
      </c>
      <c r="T210">
        <v>-0.33101520000000001</v>
      </c>
      <c r="U210">
        <v>9.2620850000000005E-2</v>
      </c>
      <c r="V210">
        <v>6.8697090000000002E-2</v>
      </c>
      <c r="W210">
        <v>9.527497E-2</v>
      </c>
      <c r="X210">
        <v>0.99307780000000001</v>
      </c>
      <c r="Y210">
        <v>4.5567339999999998E-2</v>
      </c>
      <c r="Z210">
        <v>-1.077028E-2</v>
      </c>
      <c r="AA210">
        <v>0.99890319999999999</v>
      </c>
      <c r="AB210">
        <v>14</v>
      </c>
      <c r="AC210">
        <v>0.73919999999998198</v>
      </c>
      <c r="AD210">
        <v>-8.9168000000000094E-2</v>
      </c>
      <c r="AE210">
        <v>1.8399999999985501E-2</v>
      </c>
      <c r="AF210">
        <v>3.7762571622408397E-2</v>
      </c>
      <c r="AG210">
        <v>-8.9168000000000094E-2</v>
      </c>
      <c r="AH210">
        <v>0.72785134917382699</v>
      </c>
      <c r="AI210">
        <v>96.975130247377095</v>
      </c>
      <c r="AJ210">
        <v>87.030028489388002</v>
      </c>
      <c r="AK210">
        <v>0.73426461887639505</v>
      </c>
      <c r="AL210">
        <v>84.532854128756497</v>
      </c>
      <c r="AM210">
        <v>86.042814697566797</v>
      </c>
      <c r="AN210">
        <v>1.0000000634679</v>
      </c>
    </row>
    <row r="211" spans="1:40" x14ac:dyDescent="0.25">
      <c r="A211" t="str">
        <f>"20190312163957955"</f>
        <v>20190312163957955</v>
      </c>
      <c r="B211" t="str">
        <f>"1552379997946178"</f>
        <v>1552379997946178</v>
      </c>
      <c r="C211" t="s">
        <v>40</v>
      </c>
      <c r="D211">
        <v>4.6635299999999997</v>
      </c>
      <c r="E211">
        <v>0.49608469999999999</v>
      </c>
      <c r="F211" t="s">
        <v>42</v>
      </c>
      <c r="G211">
        <v>-466.07409999999999</v>
      </c>
      <c r="H211">
        <v>1.028219</v>
      </c>
      <c r="I211">
        <v>367.85070000000002</v>
      </c>
      <c r="J211">
        <v>-466.68259999999998</v>
      </c>
      <c r="K211">
        <v>1.1086959999999999</v>
      </c>
      <c r="L211">
        <v>367.8383</v>
      </c>
      <c r="M211">
        <v>0.99706349999999999</v>
      </c>
      <c r="N211">
        <v>0</v>
      </c>
      <c r="O211">
        <v>7.6565610000000006E-2</v>
      </c>
      <c r="P211">
        <v>0.99551679999999998</v>
      </c>
      <c r="Q211">
        <v>9.4225050000000005E-2</v>
      </c>
      <c r="R211">
        <v>8.2549449999999996E-3</v>
      </c>
      <c r="S211">
        <v>3.0436709999999998</v>
      </c>
      <c r="T211">
        <v>-0.3298104</v>
      </c>
      <c r="U211">
        <v>9.4573969999999993E-2</v>
      </c>
      <c r="V211">
        <v>6.8005399999999994E-2</v>
      </c>
      <c r="W211">
        <v>9.5716889999999999E-2</v>
      </c>
      <c r="X211">
        <v>0.99308280000000004</v>
      </c>
      <c r="Y211">
        <v>4.4853579999999997E-2</v>
      </c>
      <c r="Z211">
        <v>-1.068436E-2</v>
      </c>
      <c r="AA211">
        <v>0.99893639999999995</v>
      </c>
      <c r="AB211">
        <v>14</v>
      </c>
      <c r="AC211">
        <v>0.60849999999999205</v>
      </c>
      <c r="AD211">
        <v>-8.0476999999999896E-2</v>
      </c>
      <c r="AE211">
        <v>1.24000000000137E-2</v>
      </c>
      <c r="AF211">
        <v>3.3638484943249301E-2</v>
      </c>
      <c r="AG211">
        <v>-8.0476999999999896E-2</v>
      </c>
      <c r="AH211">
        <v>0.59722133782287301</v>
      </c>
      <c r="AI211">
        <v>97.662513566994704</v>
      </c>
      <c r="AJ211">
        <v>86.776222152172494</v>
      </c>
      <c r="AK211">
        <v>0.60355730593641199</v>
      </c>
      <c r="AL211">
        <v>84.507417119319399</v>
      </c>
      <c r="AM211">
        <v>86.082553362591</v>
      </c>
      <c r="AN211">
        <v>0.99999995255813501</v>
      </c>
    </row>
    <row r="212" spans="1:40" x14ac:dyDescent="0.25">
      <c r="A212" t="str">
        <f>"20190312163957969"</f>
        <v>20190312163957969</v>
      </c>
      <c r="B212" t="str">
        <f>"1552379997956912"</f>
        <v>1552379997956912</v>
      </c>
      <c r="C212" t="s">
        <v>40</v>
      </c>
      <c r="D212">
        <v>4.6527390000000004</v>
      </c>
      <c r="E212">
        <v>0.49598740000000002</v>
      </c>
      <c r="F212" t="s">
        <v>42</v>
      </c>
      <c r="G212">
        <v>-465.94510000000002</v>
      </c>
      <c r="H212">
        <v>1.0294219999999901</v>
      </c>
      <c r="I212">
        <v>367.86189999999999</v>
      </c>
      <c r="J212">
        <v>-466.59800000000001</v>
      </c>
      <c r="K212">
        <v>1.1086849999999999</v>
      </c>
      <c r="L212">
        <v>367.84469999999999</v>
      </c>
      <c r="M212">
        <v>0.99706799999999995</v>
      </c>
      <c r="N212">
        <v>0</v>
      </c>
      <c r="O212">
        <v>7.6506489999999996E-2</v>
      </c>
      <c r="P212">
        <v>0.995529</v>
      </c>
      <c r="Q212">
        <v>9.4057859999999993E-2</v>
      </c>
      <c r="R212">
        <v>8.6591080000000004E-3</v>
      </c>
      <c r="S212">
        <v>3.0436709999999998</v>
      </c>
      <c r="T212">
        <v>-0.32704109999999997</v>
      </c>
      <c r="U212">
        <v>9.7503660000000006E-2</v>
      </c>
      <c r="V212">
        <v>6.7546079999999994E-2</v>
      </c>
      <c r="W212">
        <v>9.5533679999999996E-2</v>
      </c>
      <c r="X212">
        <v>0.99313180000000001</v>
      </c>
      <c r="Y212">
        <v>4.38517E-2</v>
      </c>
      <c r="Z212">
        <v>-1.0534959999999999E-2</v>
      </c>
      <c r="AA212">
        <v>0.9989825</v>
      </c>
      <c r="AB212">
        <v>14</v>
      </c>
      <c r="AC212">
        <v>0.65289999999998805</v>
      </c>
      <c r="AD212">
        <v>-7.9263000000000305E-2</v>
      </c>
      <c r="AE212">
        <v>1.7200000000002501E-2</v>
      </c>
      <c r="AF212">
        <v>3.2325460913886099E-2</v>
      </c>
      <c r="AG212">
        <v>-7.9263000000000305E-2</v>
      </c>
      <c r="AH212">
        <v>0.64283458892320999</v>
      </c>
      <c r="AI212">
        <v>97.0204414418114</v>
      </c>
      <c r="AJ212">
        <v>87.121259878552607</v>
      </c>
      <c r="AK212">
        <v>0.64850895699933597</v>
      </c>
      <c r="AL212">
        <v>84.517962671287094</v>
      </c>
      <c r="AM212">
        <v>86.1091222990202</v>
      </c>
      <c r="AN212">
        <v>0.99999996455447304</v>
      </c>
    </row>
    <row r="213" spans="1:40" x14ac:dyDescent="0.25">
      <c r="A213" t="str">
        <f>"20190312163957991"</f>
        <v>20190312163957991</v>
      </c>
      <c r="B213" t="str">
        <f>"1552379997986193"</f>
        <v>1552379997986193</v>
      </c>
      <c r="C213" t="s">
        <v>40</v>
      </c>
      <c r="D213">
        <v>4.6535699999999904</v>
      </c>
      <c r="E213">
        <v>0.49589339999999998</v>
      </c>
      <c r="F213" t="s">
        <v>42</v>
      </c>
      <c r="G213">
        <v>-465.81729999999999</v>
      </c>
      <c r="H213">
        <v>1.0248379999999999</v>
      </c>
      <c r="I213">
        <v>367.86989999999997</v>
      </c>
      <c r="J213">
        <v>-466.45679999999999</v>
      </c>
      <c r="K213">
        <v>1.108676</v>
      </c>
      <c r="L213">
        <v>367.85539999999997</v>
      </c>
      <c r="M213">
        <v>0.99707690000000004</v>
      </c>
      <c r="N213">
        <v>0</v>
      </c>
      <c r="O213">
        <v>7.6390970000000002E-2</v>
      </c>
      <c r="P213">
        <v>0.99551590000000001</v>
      </c>
      <c r="Q213">
        <v>9.4129279999999996E-2</v>
      </c>
      <c r="R213">
        <v>9.3860590000000004E-3</v>
      </c>
      <c r="S213">
        <v>3.0435180000000002</v>
      </c>
      <c r="T213">
        <v>-0.32702740000000002</v>
      </c>
      <c r="U213">
        <v>9.9548339999999999E-2</v>
      </c>
      <c r="V213">
        <v>6.6708009999999998E-2</v>
      </c>
      <c r="W213">
        <v>9.5578300000000005E-2</v>
      </c>
      <c r="X213">
        <v>0.99318419999999996</v>
      </c>
      <c r="Y213">
        <v>4.3069070000000001E-2</v>
      </c>
      <c r="Z213">
        <v>-1.048062E-2</v>
      </c>
      <c r="AA213">
        <v>0.99901709999999999</v>
      </c>
      <c r="AB213">
        <v>14</v>
      </c>
      <c r="AC213">
        <v>0.63949999999999796</v>
      </c>
      <c r="AD213">
        <v>-8.3837999999999996E-2</v>
      </c>
      <c r="AE213">
        <v>1.4499999999998099E-2</v>
      </c>
      <c r="AF213">
        <v>3.3813589550062299E-2</v>
      </c>
      <c r="AG213">
        <v>-8.3837999999999996E-2</v>
      </c>
      <c r="AH213">
        <v>0.62795192927910803</v>
      </c>
      <c r="AI213">
        <v>97.593728393881705</v>
      </c>
      <c r="AJ213">
        <v>86.917746996931598</v>
      </c>
      <c r="AK213">
        <v>0.63442556266879302</v>
      </c>
      <c r="AL213">
        <v>84.515394645368701</v>
      </c>
      <c r="AM213">
        <v>86.157454495659195</v>
      </c>
      <c r="AN213">
        <v>1.00000001257934</v>
      </c>
    </row>
    <row r="214" spans="1:40" x14ac:dyDescent="0.25">
      <c r="A214" t="str">
        <f>"20190312163958011"</f>
        <v>20190312163958011</v>
      </c>
      <c r="B214" t="str">
        <f>"1552379998006687"</f>
        <v>1552379998006687</v>
      </c>
      <c r="C214" t="s">
        <v>40</v>
      </c>
      <c r="D214">
        <v>4.6940650000000002</v>
      </c>
      <c r="E214">
        <v>0.4958342</v>
      </c>
      <c r="F214" t="s">
        <v>42</v>
      </c>
      <c r="G214">
        <v>-465.6848</v>
      </c>
      <c r="H214">
        <v>1.026834</v>
      </c>
      <c r="I214">
        <v>367.8811</v>
      </c>
      <c r="J214">
        <v>-466.31630000000001</v>
      </c>
      <c r="K214">
        <v>1.10867</v>
      </c>
      <c r="L214">
        <v>367.86610000000002</v>
      </c>
      <c r="M214">
        <v>0.99708810000000003</v>
      </c>
      <c r="N214">
        <v>0</v>
      </c>
      <c r="O214">
        <v>7.6245750000000001E-2</v>
      </c>
      <c r="P214">
        <v>0.99549189999999999</v>
      </c>
      <c r="Q214">
        <v>9.4347879999999995E-2</v>
      </c>
      <c r="R214">
        <v>9.7171289999999997E-3</v>
      </c>
      <c r="S214">
        <v>3.0430600000000001</v>
      </c>
      <c r="T214">
        <v>-0.32272840000000003</v>
      </c>
      <c r="U214">
        <v>0.1019287</v>
      </c>
      <c r="V214">
        <v>6.6235920000000004E-2</v>
      </c>
      <c r="W214">
        <v>9.5770519999999998E-2</v>
      </c>
      <c r="X214">
        <v>0.99319729999999995</v>
      </c>
      <c r="Y214">
        <v>4.2161629999999999E-2</v>
      </c>
      <c r="Z214">
        <v>-1.028169E-2</v>
      </c>
      <c r="AA214">
        <v>0.99905790000000005</v>
      </c>
      <c r="AB214">
        <v>15</v>
      </c>
      <c r="AC214">
        <v>0.63150000000001605</v>
      </c>
      <c r="AD214">
        <v>-8.1836000000000006E-2</v>
      </c>
      <c r="AE214">
        <v>1.49999999999863E-2</v>
      </c>
      <c r="AF214">
        <v>3.2644985748678503E-2</v>
      </c>
      <c r="AG214">
        <v>-8.1836000000000006E-2</v>
      </c>
      <c r="AH214">
        <v>0.62039271197215695</v>
      </c>
      <c r="AI214">
        <v>97.5042384026181</v>
      </c>
      <c r="AJ214">
        <v>86.987881341656106</v>
      </c>
      <c r="AK214">
        <v>0.62661786046896195</v>
      </c>
      <c r="AL214">
        <v>84.504330609450903</v>
      </c>
      <c r="AM214">
        <v>86.184617610699107</v>
      </c>
      <c r="AN214">
        <v>1.0000000331633001</v>
      </c>
    </row>
    <row r="215" spans="1:40" x14ac:dyDescent="0.25">
      <c r="A215" t="str">
        <f>"20190312163958034"</f>
        <v>20190312163958034</v>
      </c>
      <c r="B215" t="str">
        <f>"1552379998026208"</f>
        <v>1552379998026208</v>
      </c>
      <c r="C215" t="s">
        <v>40</v>
      </c>
      <c r="D215">
        <v>4.823429</v>
      </c>
      <c r="E215">
        <v>0.49586930000000001</v>
      </c>
      <c r="F215" t="s">
        <v>42</v>
      </c>
      <c r="G215">
        <v>-465.55099999999999</v>
      </c>
      <c r="H215">
        <v>1.0282880000000001</v>
      </c>
      <c r="I215">
        <v>367.89159999999998</v>
      </c>
      <c r="J215">
        <v>-466.16430000000003</v>
      </c>
      <c r="K215">
        <v>1.1086419999999999</v>
      </c>
      <c r="L215">
        <v>367.87740000000002</v>
      </c>
      <c r="M215">
        <v>0.99710319999999997</v>
      </c>
      <c r="N215">
        <v>0</v>
      </c>
      <c r="O215">
        <v>7.6048069999999995E-2</v>
      </c>
      <c r="P215">
        <v>0.99544619999999995</v>
      </c>
      <c r="Q215">
        <v>9.4844979999999995E-2</v>
      </c>
      <c r="R215">
        <v>9.5670470000000004E-3</v>
      </c>
      <c r="S215">
        <v>3.0428769999999998</v>
      </c>
      <c r="T215">
        <v>-0.31979800000000003</v>
      </c>
      <c r="U215">
        <v>0.10290530000000001</v>
      </c>
      <c r="V215">
        <v>6.6191269999999996E-2</v>
      </c>
      <c r="W215">
        <v>9.6239939999999996E-2</v>
      </c>
      <c r="X215">
        <v>0.99315489999999995</v>
      </c>
      <c r="Y215">
        <v>4.1656970000000001E-2</v>
      </c>
      <c r="Z215">
        <v>-1.014228E-2</v>
      </c>
      <c r="AA215">
        <v>0.99908050000000004</v>
      </c>
      <c r="AB215">
        <v>15</v>
      </c>
      <c r="AC215">
        <v>0.61330000000003704</v>
      </c>
      <c r="AD215">
        <v>-8.0353999999999995E-2</v>
      </c>
      <c r="AE215">
        <v>1.41999999999598E-2</v>
      </c>
      <c r="AF215">
        <v>3.1933568851823198E-2</v>
      </c>
      <c r="AG215">
        <v>-8.0353999999999995E-2</v>
      </c>
      <c r="AH215">
        <v>0.60227081638329605</v>
      </c>
      <c r="AI215">
        <v>97.588895879930902</v>
      </c>
      <c r="AJ215">
        <v>86.964908530621997</v>
      </c>
      <c r="AK215">
        <v>0.60844609818998396</v>
      </c>
      <c r="AL215">
        <v>84.477310010712401</v>
      </c>
      <c r="AM215">
        <v>86.187019694556795</v>
      </c>
      <c r="AN215">
        <v>1.0000000328347101</v>
      </c>
    </row>
    <row r="216" spans="1:40" x14ac:dyDescent="0.25">
      <c r="A216" t="str">
        <f>"20190312163958055"</f>
        <v>20190312163958055</v>
      </c>
      <c r="B216" t="str">
        <f>"1552379998046703"</f>
        <v>1552379998046703</v>
      </c>
      <c r="C216" t="s">
        <v>40</v>
      </c>
      <c r="D216">
        <v>4.6969149999999997</v>
      </c>
      <c r="E216">
        <v>0.49580210000000002</v>
      </c>
      <c r="F216" t="s">
        <v>42</v>
      </c>
      <c r="G216">
        <v>-465.4153</v>
      </c>
      <c r="H216">
        <v>1.0306070000000001</v>
      </c>
      <c r="I216">
        <v>367.90230000000003</v>
      </c>
      <c r="J216">
        <v>-466.0179</v>
      </c>
      <c r="K216">
        <v>1.108616</v>
      </c>
      <c r="L216">
        <v>367.88839999999999</v>
      </c>
      <c r="M216">
        <v>0.99712129999999999</v>
      </c>
      <c r="N216">
        <v>0</v>
      </c>
      <c r="O216">
        <v>7.5810749999999996E-2</v>
      </c>
      <c r="P216">
        <v>0.99543110000000001</v>
      </c>
      <c r="Q216">
        <v>9.5029970000000005E-2</v>
      </c>
      <c r="R216">
        <v>9.3124599999999998E-3</v>
      </c>
      <c r="S216">
        <v>3.0429080000000002</v>
      </c>
      <c r="T216">
        <v>-0.31717279999999998</v>
      </c>
      <c r="U216">
        <v>0.1018372</v>
      </c>
      <c r="V216">
        <v>6.6214510000000004E-2</v>
      </c>
      <c r="W216">
        <v>9.6399399999999996E-2</v>
      </c>
      <c r="X216">
        <v>0.99313779999999996</v>
      </c>
      <c r="Y216">
        <v>4.1780970000000001E-2</v>
      </c>
      <c r="Z216">
        <v>-1.0041309999999999E-2</v>
      </c>
      <c r="AA216">
        <v>0.99907630000000003</v>
      </c>
      <c r="AB216">
        <v>15</v>
      </c>
      <c r="AC216">
        <v>0.60259999999999503</v>
      </c>
      <c r="AD216">
        <v>-7.8008999999999995E-2</v>
      </c>
      <c r="AE216">
        <v>1.39000000000351E-2</v>
      </c>
      <c r="AF216">
        <v>3.1299354714524302E-2</v>
      </c>
      <c r="AG216">
        <v>-7.8008999999999995E-2</v>
      </c>
      <c r="AH216">
        <v>0.59200388912432</v>
      </c>
      <c r="AI216">
        <v>97.496328740898207</v>
      </c>
      <c r="AJ216">
        <v>86.973579353492198</v>
      </c>
      <c r="AK216">
        <v>0.59794118308146804</v>
      </c>
      <c r="AL216">
        <v>84.468130475202202</v>
      </c>
      <c r="AM216">
        <v>86.185619412724094</v>
      </c>
      <c r="AN216">
        <v>0.99999994772186795</v>
      </c>
    </row>
    <row r="217" spans="1:40" x14ac:dyDescent="0.25">
      <c r="A217" t="str">
        <f>"20190312163958068"</f>
        <v>20190312163958068</v>
      </c>
      <c r="B217" t="str">
        <f>"1552379998056464"</f>
        <v>1552379998056464</v>
      </c>
      <c r="C217" t="s">
        <v>40</v>
      </c>
      <c r="D217">
        <v>4.695322</v>
      </c>
      <c r="E217">
        <v>0.49573699999999998</v>
      </c>
      <c r="F217" t="s">
        <v>42</v>
      </c>
      <c r="G217">
        <v>-465.27850000000001</v>
      </c>
      <c r="H217">
        <v>1.0317270000000001</v>
      </c>
      <c r="I217">
        <v>367.91289999999998</v>
      </c>
      <c r="J217">
        <v>-465.935</v>
      </c>
      <c r="K217">
        <v>1.1086049999999901</v>
      </c>
      <c r="L217">
        <v>367.89449999999999</v>
      </c>
      <c r="M217">
        <v>0.99713339999999995</v>
      </c>
      <c r="N217">
        <v>0</v>
      </c>
      <c r="O217">
        <v>7.5650919999999997E-2</v>
      </c>
      <c r="P217">
        <v>0.99544129999999997</v>
      </c>
      <c r="Q217">
        <v>9.4962729999999995E-2</v>
      </c>
      <c r="R217">
        <v>8.8825580000000005E-3</v>
      </c>
      <c r="S217">
        <v>3.0430299999999999</v>
      </c>
      <c r="T217">
        <v>-0.31661929999999999</v>
      </c>
      <c r="U217">
        <v>0.1022034</v>
      </c>
      <c r="V217">
        <v>6.6489300000000001E-2</v>
      </c>
      <c r="W217">
        <v>9.6318730000000005E-2</v>
      </c>
      <c r="X217">
        <v>0.99312730000000005</v>
      </c>
      <c r="Y217">
        <v>4.1506660000000001E-2</v>
      </c>
      <c r="Z217">
        <v>-9.9926890000000008E-3</v>
      </c>
      <c r="AA217">
        <v>0.99908819999999998</v>
      </c>
      <c r="AB217">
        <v>15</v>
      </c>
      <c r="AC217">
        <v>0.65649999999999398</v>
      </c>
      <c r="AD217">
        <v>-7.6877999999999697E-2</v>
      </c>
      <c r="AE217">
        <v>1.8399999999985501E-2</v>
      </c>
      <c r="AF217">
        <v>3.0894281589259099E-2</v>
      </c>
      <c r="AG217">
        <v>-7.6877999999999697E-2</v>
      </c>
      <c r="AH217">
        <v>0.64714332798308905</v>
      </c>
      <c r="AI217">
        <v>96.767120176982104</v>
      </c>
      <c r="AJ217">
        <v>87.266804776227502</v>
      </c>
      <c r="AK217">
        <v>0.65242560531599703</v>
      </c>
      <c r="AL217">
        <v>84.472774310157405</v>
      </c>
      <c r="AM217">
        <v>86.169796391804994</v>
      </c>
      <c r="AN217">
        <v>0.99999997938429597</v>
      </c>
    </row>
    <row r="218" spans="1:40" x14ac:dyDescent="0.25">
      <c r="A218" t="str">
        <f>"20190312163958080"</f>
        <v>20190312163958080</v>
      </c>
      <c r="B218" t="str">
        <f>"1552379998076959"</f>
        <v>1552379998076959</v>
      </c>
      <c r="C218" t="s">
        <v>40</v>
      </c>
      <c r="D218">
        <v>4.713025</v>
      </c>
      <c r="E218">
        <v>0.49565740000000003</v>
      </c>
      <c r="F218" t="s">
        <v>42</v>
      </c>
      <c r="G218">
        <v>-465.1431</v>
      </c>
      <c r="H218">
        <v>1.0261769999999999</v>
      </c>
      <c r="I218">
        <v>367.92090000000002</v>
      </c>
      <c r="J218">
        <v>-465.84609999999998</v>
      </c>
      <c r="K218">
        <v>1.108584</v>
      </c>
      <c r="L218">
        <v>367.90109999999999</v>
      </c>
      <c r="M218">
        <v>0.99714729999999996</v>
      </c>
      <c r="N218">
        <v>0</v>
      </c>
      <c r="O218">
        <v>7.5468010000000002E-2</v>
      </c>
      <c r="P218">
        <v>0.99540689999999998</v>
      </c>
      <c r="Q218">
        <v>9.5326709999999995E-2</v>
      </c>
      <c r="R218">
        <v>8.8378650000000003E-3</v>
      </c>
      <c r="S218">
        <v>3.0430600000000001</v>
      </c>
      <c r="T218">
        <v>-0.31679059999999998</v>
      </c>
      <c r="U218">
        <v>0.10174560000000001</v>
      </c>
      <c r="V218">
        <v>6.6354049999999998E-2</v>
      </c>
      <c r="W218">
        <v>9.6668500000000004E-2</v>
      </c>
      <c r="X218">
        <v>0.99310240000000005</v>
      </c>
      <c r="Y218">
        <v>4.1474339999999998E-2</v>
      </c>
      <c r="Z218">
        <v>-9.9773970000000007E-3</v>
      </c>
      <c r="AA218">
        <v>0.99908980000000003</v>
      </c>
      <c r="AB218">
        <v>15</v>
      </c>
      <c r="AC218">
        <v>0.70299999999997398</v>
      </c>
      <c r="AD218">
        <v>-8.2406999999999897E-2</v>
      </c>
      <c r="AE218">
        <v>1.9800000000032E-2</v>
      </c>
      <c r="AF218">
        <v>3.2859363354495998E-2</v>
      </c>
      <c r="AG218">
        <v>-8.2406999999999897E-2</v>
      </c>
      <c r="AH218">
        <v>0.69297486251513896</v>
      </c>
      <c r="AI218">
        <v>96.774096077831302</v>
      </c>
      <c r="AJ218">
        <v>87.285192024527504</v>
      </c>
      <c r="AK218">
        <v>0.69863066887085501</v>
      </c>
      <c r="AL218">
        <v>84.452640224341494</v>
      </c>
      <c r="AM218">
        <v>86.177468969523801</v>
      </c>
      <c r="AN218">
        <v>1.0000000178646999</v>
      </c>
    </row>
    <row r="219" spans="1:40" x14ac:dyDescent="0.25">
      <c r="A219" t="str">
        <f>"20190312163958099"</f>
        <v>20190312163958099</v>
      </c>
      <c r="B219" t="str">
        <f>"1552379998096479"</f>
        <v>1552379998096479</v>
      </c>
      <c r="C219" t="s">
        <v>40</v>
      </c>
      <c r="D219">
        <v>4.7211119999999998</v>
      </c>
      <c r="E219">
        <v>0.49558560000000001</v>
      </c>
      <c r="F219" t="s">
        <v>42</v>
      </c>
      <c r="G219">
        <v>-465.00580000000002</v>
      </c>
      <c r="H219">
        <v>1.0214350000000001</v>
      </c>
      <c r="I219">
        <v>367.9289</v>
      </c>
      <c r="J219">
        <v>-465.71469999999999</v>
      </c>
      <c r="K219">
        <v>1.1085609999999999</v>
      </c>
      <c r="L219">
        <v>367.91070000000002</v>
      </c>
      <c r="M219">
        <v>0.99717049999999996</v>
      </c>
      <c r="N219">
        <v>0</v>
      </c>
      <c r="O219">
        <v>7.5160759999999993E-2</v>
      </c>
      <c r="P219">
        <v>0.99536170000000002</v>
      </c>
      <c r="Q219">
        <v>9.5849569999999995E-2</v>
      </c>
      <c r="R219">
        <v>8.2349539999999992E-3</v>
      </c>
      <c r="S219">
        <v>3.0431520000000001</v>
      </c>
      <c r="T219">
        <v>-0.31583879999999998</v>
      </c>
      <c r="U219">
        <v>0.102478</v>
      </c>
      <c r="V219">
        <v>6.6653329999999997E-2</v>
      </c>
      <c r="W219">
        <v>9.7172049999999996E-2</v>
      </c>
      <c r="X219">
        <v>0.99303319999999995</v>
      </c>
      <c r="Y219">
        <v>4.0935630000000001E-2</v>
      </c>
      <c r="Z219">
        <v>-9.8876439999999993E-3</v>
      </c>
      <c r="AA219">
        <v>0.99911280000000002</v>
      </c>
      <c r="AB219">
        <v>15</v>
      </c>
      <c r="AC219">
        <v>0.708899999999971</v>
      </c>
      <c r="AD219">
        <v>-8.7125999999999995E-2</v>
      </c>
      <c r="AE219">
        <v>1.81999999999789E-2</v>
      </c>
      <c r="AF219">
        <v>3.4610538553686197E-2</v>
      </c>
      <c r="AG219">
        <v>-8.7125999999999995E-2</v>
      </c>
      <c r="AH219">
        <v>0.69773035690913499</v>
      </c>
      <c r="AI219">
        <v>97.109064230781797</v>
      </c>
      <c r="AJ219">
        <v>87.160201395925696</v>
      </c>
      <c r="AK219">
        <v>0.70400034105639897</v>
      </c>
      <c r="AL219">
        <v>84.423652392739896</v>
      </c>
      <c r="AM219">
        <v>86.160012702920298</v>
      </c>
      <c r="AN219">
        <v>1.0000000050017599</v>
      </c>
    </row>
    <row r="220" spans="1:40" x14ac:dyDescent="0.25">
      <c r="A220" t="str">
        <f>"20190312163958123"</f>
        <v>20190312163958123</v>
      </c>
      <c r="B220" t="str">
        <f>"1552379998116975"</f>
        <v>1552379998116975</v>
      </c>
      <c r="C220" t="s">
        <v>40</v>
      </c>
      <c r="D220">
        <v>4.7628560000000002</v>
      </c>
      <c r="E220">
        <v>0.49555440000000001</v>
      </c>
      <c r="F220" t="s">
        <v>42</v>
      </c>
      <c r="G220">
        <v>-464.86500000000001</v>
      </c>
      <c r="H220">
        <v>1.020826</v>
      </c>
      <c r="I220">
        <v>367.93880000000001</v>
      </c>
      <c r="J220">
        <v>-465.54660000000001</v>
      </c>
      <c r="K220">
        <v>1.1085290000000001</v>
      </c>
      <c r="L220">
        <v>367.92290000000003</v>
      </c>
      <c r="M220">
        <v>0.99720439999999999</v>
      </c>
      <c r="N220">
        <v>0</v>
      </c>
      <c r="O220">
        <v>7.4710910000000005E-2</v>
      </c>
      <c r="P220">
        <v>0.99528150000000004</v>
      </c>
      <c r="Q220">
        <v>9.6722030000000001E-2</v>
      </c>
      <c r="R220">
        <v>7.7378780000000001E-3</v>
      </c>
      <c r="S220">
        <v>3.0433650000000001</v>
      </c>
      <c r="T220">
        <v>-0.3143204</v>
      </c>
      <c r="U220">
        <v>0.1011658</v>
      </c>
      <c r="V220">
        <v>6.6704020000000003E-2</v>
      </c>
      <c r="W220">
        <v>9.8023890000000002E-2</v>
      </c>
      <c r="X220">
        <v>0.99294610000000005</v>
      </c>
      <c r="Y220">
        <v>4.092602E-2</v>
      </c>
      <c r="Z220">
        <v>-9.793085E-3</v>
      </c>
      <c r="AA220">
        <v>0.99911419999999995</v>
      </c>
      <c r="AB220">
        <v>16</v>
      </c>
      <c r="AC220">
        <v>0.68160000000000298</v>
      </c>
      <c r="AD220">
        <v>-8.7703000000000003E-2</v>
      </c>
      <c r="AE220">
        <v>1.5899999999987799E-2</v>
      </c>
      <c r="AF220">
        <v>3.4496601549094202E-2</v>
      </c>
      <c r="AG220">
        <v>-8.7703000000000003E-2</v>
      </c>
      <c r="AH220">
        <v>0.66979945516375405</v>
      </c>
      <c r="AI220">
        <v>97.450060106526394</v>
      </c>
      <c r="AJ220">
        <v>87.051707279835199</v>
      </c>
      <c r="AK220">
        <v>0.67639717759989104</v>
      </c>
      <c r="AL220">
        <v>84.3746115895256</v>
      </c>
      <c r="AM220">
        <v>86.156765047177998</v>
      </c>
      <c r="AN220">
        <v>1.0000000334000501</v>
      </c>
    </row>
    <row r="221" spans="1:40" x14ac:dyDescent="0.25">
      <c r="A221" t="str">
        <f>"20190312163958145"</f>
        <v>20190312163958145</v>
      </c>
      <c r="B221" t="str">
        <f>"1552379998136495"</f>
        <v>1552379998136495</v>
      </c>
      <c r="C221" t="s">
        <v>40</v>
      </c>
      <c r="D221">
        <v>4.9128350000000003</v>
      </c>
      <c r="E221">
        <v>0.49561909999999998</v>
      </c>
      <c r="F221" t="s">
        <v>42</v>
      </c>
      <c r="G221">
        <v>-464.72089999999997</v>
      </c>
      <c r="H221">
        <v>1.0239370000000001</v>
      </c>
      <c r="I221">
        <v>367.94979999999998</v>
      </c>
      <c r="J221">
        <v>-465.387</v>
      </c>
      <c r="K221">
        <v>1.1085069999999999</v>
      </c>
      <c r="L221">
        <v>367.93430000000001</v>
      </c>
      <c r="M221">
        <v>0.9972396</v>
      </c>
      <c r="N221">
        <v>0</v>
      </c>
      <c r="O221">
        <v>7.4238899999999997E-2</v>
      </c>
      <c r="P221">
        <v>0.99522650000000001</v>
      </c>
      <c r="Q221">
        <v>9.7346559999999999E-2</v>
      </c>
      <c r="R221">
        <v>6.9299089999999997E-3</v>
      </c>
      <c r="S221">
        <v>3.0437620000000001</v>
      </c>
      <c r="T221">
        <v>-0.312004</v>
      </c>
      <c r="U221">
        <v>0.1002502</v>
      </c>
      <c r="V221">
        <v>6.7042939999999995E-2</v>
      </c>
      <c r="W221">
        <v>9.8632250000000005E-2</v>
      </c>
      <c r="X221">
        <v>0.99286300000000005</v>
      </c>
      <c r="Y221">
        <v>4.0770029999999999E-2</v>
      </c>
      <c r="Z221">
        <v>-9.6640119999999996E-3</v>
      </c>
      <c r="AA221">
        <v>0.99912179999999995</v>
      </c>
      <c r="AB221">
        <v>16</v>
      </c>
      <c r="AC221">
        <v>0.66609999999997105</v>
      </c>
      <c r="AD221">
        <v>-8.4569999999999798E-2</v>
      </c>
      <c r="AE221">
        <v>1.5499999999974499E-2</v>
      </c>
      <c r="AF221">
        <v>3.3454368887413599E-2</v>
      </c>
      <c r="AG221">
        <v>-8.4569999999999798E-2</v>
      </c>
      <c r="AH221">
        <v>0.65486219559787695</v>
      </c>
      <c r="AI221">
        <v>97.349067114392597</v>
      </c>
      <c r="AJ221">
        <v>87.075523240163903</v>
      </c>
      <c r="AK221">
        <v>0.66114731710937702</v>
      </c>
      <c r="AL221">
        <v>84.339585242785205</v>
      </c>
      <c r="AM221">
        <v>86.136974397012594</v>
      </c>
      <c r="AN221">
        <v>1.0000000066564501</v>
      </c>
    </row>
    <row r="222" spans="1:40" x14ac:dyDescent="0.25">
      <c r="A222" t="str">
        <f>"20190312163958166"</f>
        <v>20190312163958166</v>
      </c>
      <c r="B222" t="str">
        <f>"1552379998156991"</f>
        <v>1552379998156991</v>
      </c>
      <c r="C222" t="s">
        <v>40</v>
      </c>
      <c r="D222">
        <v>4.8239039999999997</v>
      </c>
      <c r="E222">
        <v>0.49561250000000001</v>
      </c>
      <c r="F222" t="s">
        <v>42</v>
      </c>
      <c r="G222">
        <v>-464.57569999999998</v>
      </c>
      <c r="H222">
        <v>1.025819</v>
      </c>
      <c r="I222">
        <v>367.96019999999999</v>
      </c>
      <c r="J222">
        <v>-465.23250000000002</v>
      </c>
      <c r="K222">
        <v>1.1084849999999999</v>
      </c>
      <c r="L222">
        <v>367.94529999999997</v>
      </c>
      <c r="M222">
        <v>0.9972763</v>
      </c>
      <c r="N222">
        <v>0</v>
      </c>
      <c r="O222">
        <v>7.3746640000000002E-2</v>
      </c>
      <c r="P222">
        <v>0.99518390000000001</v>
      </c>
      <c r="Q222">
        <v>9.7815830000000006E-2</v>
      </c>
      <c r="R222">
        <v>6.4411520000000003E-3</v>
      </c>
      <c r="S222">
        <v>3.0440670000000001</v>
      </c>
      <c r="T222">
        <v>-0.31022040000000001</v>
      </c>
      <c r="U222">
        <v>9.7717289999999998E-2</v>
      </c>
      <c r="V222">
        <v>6.7042450000000003E-2</v>
      </c>
      <c r="W222">
        <v>9.9089650000000001E-2</v>
      </c>
      <c r="X222">
        <v>0.99281750000000002</v>
      </c>
      <c r="Y222">
        <v>4.111828E-2</v>
      </c>
      <c r="Z222">
        <v>-9.5760859999999993E-3</v>
      </c>
      <c r="AA222">
        <v>0.99910840000000001</v>
      </c>
      <c r="AB222">
        <v>16</v>
      </c>
      <c r="AC222">
        <v>0.65680000000003202</v>
      </c>
      <c r="AD222">
        <v>-8.2665999999999906E-2</v>
      </c>
      <c r="AE222">
        <v>1.4900000000011401E-2</v>
      </c>
      <c r="AF222">
        <v>3.3054054109281202E-2</v>
      </c>
      <c r="AG222">
        <v>-8.2665999999999906E-2</v>
      </c>
      <c r="AH222">
        <v>0.64588405936320203</v>
      </c>
      <c r="AI222">
        <v>97.284141551969697</v>
      </c>
      <c r="AJ222">
        <v>87.070361149464304</v>
      </c>
      <c r="AK222">
        <v>0.65199114732375596</v>
      </c>
      <c r="AL222">
        <v>84.313249207372095</v>
      </c>
      <c r="AM222">
        <v>86.136826043511903</v>
      </c>
      <c r="AN222">
        <v>1.0000000185726801</v>
      </c>
    </row>
    <row r="223" spans="1:40" x14ac:dyDescent="0.25">
      <c r="A223" t="str">
        <f>"20190312163958182"</f>
        <v>20190312163958182</v>
      </c>
      <c r="B223" t="str">
        <f>"1552379998176511"</f>
        <v>1552379998176511</v>
      </c>
      <c r="C223" t="s">
        <v>40</v>
      </c>
      <c r="D223">
        <v>4.8035449999999997</v>
      </c>
      <c r="E223">
        <v>0.4956508</v>
      </c>
      <c r="F223" t="s">
        <v>42</v>
      </c>
      <c r="G223">
        <v>-464.42919999999998</v>
      </c>
      <c r="H223">
        <v>1.0272699999999999</v>
      </c>
      <c r="I223">
        <v>367.97050000000002</v>
      </c>
      <c r="J223">
        <v>-465.12580000000003</v>
      </c>
      <c r="K223">
        <v>1.108474</v>
      </c>
      <c r="L223">
        <v>367.95280000000002</v>
      </c>
      <c r="M223">
        <v>0.99730240000000003</v>
      </c>
      <c r="N223">
        <v>0</v>
      </c>
      <c r="O223">
        <v>7.3391440000000002E-2</v>
      </c>
      <c r="P223">
        <v>0.99518030000000002</v>
      </c>
      <c r="Q223">
        <v>9.789196E-2</v>
      </c>
      <c r="R223">
        <v>5.7979030000000001E-3</v>
      </c>
      <c r="S223">
        <v>3.0441590000000001</v>
      </c>
      <c r="T223">
        <v>-0.30785800000000002</v>
      </c>
      <c r="U223">
        <v>9.6588129999999994E-2</v>
      </c>
      <c r="V223">
        <v>6.7332909999999996E-2</v>
      </c>
      <c r="W223">
        <v>9.9158930000000006E-2</v>
      </c>
      <c r="X223">
        <v>0.99279090000000003</v>
      </c>
      <c r="Y223">
        <v>4.1144269999999997E-2</v>
      </c>
      <c r="Z223">
        <v>-9.4689149999999996E-3</v>
      </c>
      <c r="AA223">
        <v>0.99910840000000001</v>
      </c>
      <c r="AB223">
        <v>16</v>
      </c>
      <c r="AC223">
        <v>0.69660000000004596</v>
      </c>
      <c r="AD223">
        <v>-8.1203999999999804E-2</v>
      </c>
      <c r="AE223">
        <v>1.7699999999990699E-2</v>
      </c>
      <c r="AF223">
        <v>3.3023780696022999E-2</v>
      </c>
      <c r="AG223">
        <v>-8.1203999999999804E-2</v>
      </c>
      <c r="AH223">
        <v>0.68669495816947401</v>
      </c>
      <c r="AI223">
        <v>96.736386219849194</v>
      </c>
      <c r="AJ223">
        <v>87.246715450807201</v>
      </c>
      <c r="AK223">
        <v>0.69226774103870703</v>
      </c>
      <c r="AL223">
        <v>84.309259961741901</v>
      </c>
      <c r="AM223">
        <v>86.120036296447097</v>
      </c>
      <c r="AN223">
        <v>0.99999999264531103</v>
      </c>
    </row>
    <row r="224" spans="1:40" x14ac:dyDescent="0.25">
      <c r="A224" t="str">
        <f>"20190312163958200"</f>
        <v>20190312163958200</v>
      </c>
      <c r="B224" t="str">
        <f>"1552379998197007"</f>
        <v>1552379998197007</v>
      </c>
      <c r="C224" t="s">
        <v>40</v>
      </c>
      <c r="D224">
        <v>4.8397699999999997</v>
      </c>
      <c r="E224">
        <v>0.49558839999999998</v>
      </c>
      <c r="F224" t="s">
        <v>42</v>
      </c>
      <c r="G224">
        <v>-464.28370000000001</v>
      </c>
      <c r="H224">
        <v>1.02322</v>
      </c>
      <c r="I224">
        <v>367.97890000000001</v>
      </c>
      <c r="J224">
        <v>-464.97949999999997</v>
      </c>
      <c r="K224">
        <v>1.1084639999999999</v>
      </c>
      <c r="L224">
        <v>367.96289999999999</v>
      </c>
      <c r="M224">
        <v>0.99733950000000005</v>
      </c>
      <c r="N224">
        <v>0</v>
      </c>
      <c r="O224">
        <v>7.288501E-2</v>
      </c>
      <c r="P224">
        <v>0.9951757</v>
      </c>
      <c r="Q224">
        <v>9.8001190000000002E-2</v>
      </c>
      <c r="R224">
        <v>4.59034E-3</v>
      </c>
      <c r="S224">
        <v>3.0442809999999998</v>
      </c>
      <c r="T224">
        <v>-0.30813259999999998</v>
      </c>
      <c r="U224">
        <v>9.4573969999999993E-2</v>
      </c>
      <c r="V224">
        <v>6.8035699999999893E-2</v>
      </c>
      <c r="W224">
        <v>9.9261890000000005E-2</v>
      </c>
      <c r="X224">
        <v>0.99273270000000002</v>
      </c>
      <c r="Y224">
        <v>4.1299370000000002E-2</v>
      </c>
      <c r="Z224">
        <v>-9.4339279999999994E-3</v>
      </c>
      <c r="AA224">
        <v>0.9991023</v>
      </c>
      <c r="AB224">
        <v>16</v>
      </c>
      <c r="AC224">
        <v>0.695799999999962</v>
      </c>
      <c r="AD224">
        <v>-8.5243999999999806E-2</v>
      </c>
      <c r="AE224">
        <v>1.6000000000019499E-2</v>
      </c>
      <c r="AF224">
        <v>3.4242307945938397E-2</v>
      </c>
      <c r="AG224">
        <v>-8.5243999999999806E-2</v>
      </c>
      <c r="AH224">
        <v>0.68484204571902296</v>
      </c>
      <c r="AI224">
        <v>97.086493226067503</v>
      </c>
      <c r="AJ224">
        <v>87.137577610713095</v>
      </c>
      <c r="AK224">
        <v>0.69097590607349002</v>
      </c>
      <c r="AL224">
        <v>84.303331562067399</v>
      </c>
      <c r="AM224">
        <v>86.079435529078495</v>
      </c>
      <c r="AN224">
        <v>0.99999999646507598</v>
      </c>
    </row>
    <row r="225" spans="1:40" x14ac:dyDescent="0.25">
      <c r="A225" t="str">
        <f>"20190312163958224"</f>
        <v>20190312163958224</v>
      </c>
      <c r="B225" t="str">
        <f>"1552379998216528"</f>
        <v>1552379998216528</v>
      </c>
      <c r="C225" t="s">
        <v>40</v>
      </c>
      <c r="D225">
        <v>4.865812</v>
      </c>
      <c r="E225">
        <v>0.49557040000000002</v>
      </c>
      <c r="F225" t="s">
        <v>42</v>
      </c>
      <c r="G225">
        <v>-464.13459999999998</v>
      </c>
      <c r="H225">
        <v>1.023282</v>
      </c>
      <c r="I225">
        <v>367.98829999999998</v>
      </c>
      <c r="J225">
        <v>-464.80849999999998</v>
      </c>
      <c r="K225">
        <v>1.1084560000000001</v>
      </c>
      <c r="L225">
        <v>367.97469999999998</v>
      </c>
      <c r="M225">
        <v>0.99738389999999999</v>
      </c>
      <c r="N225">
        <v>0</v>
      </c>
      <c r="O225">
        <v>7.2276610000000005E-2</v>
      </c>
      <c r="P225">
        <v>0.99519460000000004</v>
      </c>
      <c r="Q225">
        <v>9.7862599999999994E-2</v>
      </c>
      <c r="R225">
        <v>3.279246E-3</v>
      </c>
      <c r="S225">
        <v>3.0443120000000001</v>
      </c>
      <c r="T225">
        <v>-0.30689749999999999</v>
      </c>
      <c r="U225">
        <v>9.1766360000000005E-2</v>
      </c>
      <c r="V225">
        <v>6.8740490000000001E-2</v>
      </c>
      <c r="W225">
        <v>9.9119540000000006E-2</v>
      </c>
      <c r="X225">
        <v>0.99269839999999998</v>
      </c>
      <c r="Y225">
        <v>4.161683E-2</v>
      </c>
      <c r="Z225">
        <v>-9.3513499999999996E-3</v>
      </c>
      <c r="AA225">
        <v>0.99908989999999998</v>
      </c>
      <c r="AB225">
        <v>17</v>
      </c>
      <c r="AC225">
        <v>0.67390000000000305</v>
      </c>
      <c r="AD225">
        <v>-8.5173999999999805E-2</v>
      </c>
      <c r="AE225">
        <v>1.35999999999967E-2</v>
      </c>
      <c r="AF225">
        <v>3.4590476478169999E-2</v>
      </c>
      <c r="AG225">
        <v>-8.5173999999999805E-2</v>
      </c>
      <c r="AH225">
        <v>0.66254110505812702</v>
      </c>
      <c r="AI225">
        <v>97.315712660309998</v>
      </c>
      <c r="AJ225">
        <v>87.011369526884394</v>
      </c>
      <c r="AK225">
        <v>0.668888501344305</v>
      </c>
      <c r="AL225">
        <v>84.311528204965398</v>
      </c>
      <c r="AM225">
        <v>86.038814125764503</v>
      </c>
      <c r="AN225">
        <v>1.0000000257688999</v>
      </c>
    </row>
    <row r="226" spans="1:40" x14ac:dyDescent="0.25">
      <c r="A226" t="str">
        <f>"20190312163958245"</f>
        <v>20190312163958245</v>
      </c>
      <c r="B226" t="str">
        <f>"1552379998237026"</f>
        <v>1552379998237026</v>
      </c>
      <c r="C226" t="s">
        <v>40</v>
      </c>
      <c r="D226">
        <v>5.1114990000000002</v>
      </c>
      <c r="E226">
        <v>0.49559049999999999</v>
      </c>
      <c r="F226" t="s">
        <v>42</v>
      </c>
      <c r="G226">
        <v>-463.98329999999999</v>
      </c>
      <c r="H226">
        <v>1.0249189999999999</v>
      </c>
      <c r="I226">
        <v>367.9984</v>
      </c>
      <c r="J226">
        <v>-464.64690000000002</v>
      </c>
      <c r="K226">
        <v>1.1084590000000001</v>
      </c>
      <c r="L226">
        <v>367.98570000000001</v>
      </c>
      <c r="M226">
        <v>0.99742569999999997</v>
      </c>
      <c r="N226">
        <v>0</v>
      </c>
      <c r="O226">
        <v>7.1695220000000004E-2</v>
      </c>
      <c r="P226">
        <v>0.99522160000000004</v>
      </c>
      <c r="Q226">
        <v>9.762904E-2</v>
      </c>
      <c r="R226">
        <v>1.675553E-3</v>
      </c>
      <c r="S226">
        <v>3.0444640000000001</v>
      </c>
      <c r="T226">
        <v>-0.3081564</v>
      </c>
      <c r="U226">
        <v>8.8439939999999995E-2</v>
      </c>
      <c r="V226">
        <v>6.9763329999999998E-2</v>
      </c>
      <c r="W226">
        <v>9.8886089999999996E-2</v>
      </c>
      <c r="X226">
        <v>0.99265029999999999</v>
      </c>
      <c r="Y226">
        <v>4.2122310000000003E-2</v>
      </c>
      <c r="Z226">
        <v>-9.3562409999999995E-3</v>
      </c>
      <c r="AA226">
        <v>0.99906870000000003</v>
      </c>
      <c r="AB226">
        <v>17</v>
      </c>
      <c r="AC226">
        <v>0.66360000000003005</v>
      </c>
      <c r="AD226">
        <v>-8.3539999999999906E-2</v>
      </c>
      <c r="AE226">
        <v>1.26999999999952E-2</v>
      </c>
      <c r="AF226">
        <v>3.4365249239453298E-2</v>
      </c>
      <c r="AG226">
        <v>-8.3539999999999906E-2</v>
      </c>
      <c r="AH226">
        <v>0.65246626927626805</v>
      </c>
      <c r="AI226">
        <v>97.286306568633904</v>
      </c>
      <c r="AJ226">
        <v>86.985030279617007</v>
      </c>
      <c r="AK226">
        <v>0.65868971033300705</v>
      </c>
      <c r="AL226">
        <v>84.324969792281294</v>
      </c>
      <c r="AM226">
        <v>85.979870423167796</v>
      </c>
      <c r="AN226">
        <v>0.99999999954913299</v>
      </c>
    </row>
    <row r="227" spans="1:40" x14ac:dyDescent="0.25">
      <c r="A227" t="str">
        <f>"20190312163958257"</f>
        <v>20190312163958257</v>
      </c>
      <c r="B227" t="str">
        <f>"1552379998246784"</f>
        <v>1552379998246784</v>
      </c>
      <c r="C227" t="s">
        <v>40</v>
      </c>
      <c r="D227">
        <v>4.9189109999999996</v>
      </c>
      <c r="E227">
        <v>0.51073290000000005</v>
      </c>
      <c r="F227" t="s">
        <v>42</v>
      </c>
      <c r="G227">
        <v>-463.83080000000001</v>
      </c>
      <c r="H227">
        <v>1.0255989999999999</v>
      </c>
      <c r="I227">
        <v>368.00779999999997</v>
      </c>
      <c r="J227">
        <v>-464.553</v>
      </c>
      <c r="K227">
        <v>1.1084579999999999</v>
      </c>
      <c r="L227">
        <v>367.99209999999999</v>
      </c>
      <c r="M227">
        <v>0.99745010000000001</v>
      </c>
      <c r="N227">
        <v>0</v>
      </c>
      <c r="O227">
        <v>7.1355539999999995E-2</v>
      </c>
      <c r="P227">
        <v>0.99520019999999998</v>
      </c>
      <c r="Q227">
        <v>9.7856689999999996E-2</v>
      </c>
      <c r="R227">
        <v>6.6030820000000004E-4</v>
      </c>
      <c r="S227">
        <v>3.044556</v>
      </c>
      <c r="T227">
        <v>-0.309222099999999</v>
      </c>
      <c r="U227">
        <v>8.3831790000000003E-2</v>
      </c>
      <c r="V227">
        <v>7.043663E-2</v>
      </c>
      <c r="W227">
        <v>9.9113839999999995E-2</v>
      </c>
      <c r="X227">
        <v>0.99258009999999997</v>
      </c>
      <c r="Y227">
        <v>4.3285610000000002E-2</v>
      </c>
      <c r="Z227">
        <v>-9.4130399999999993E-3</v>
      </c>
      <c r="AA227">
        <v>0.99901839999999997</v>
      </c>
      <c r="AB227">
        <v>17</v>
      </c>
      <c r="AC227">
        <v>0.72220000000004303</v>
      </c>
      <c r="AD227">
        <v>-8.2859000000000002E-2</v>
      </c>
      <c r="AE227">
        <v>1.5699999999981101E-2</v>
      </c>
      <c r="AF227">
        <v>3.5407179866549898E-2</v>
      </c>
      <c r="AG227">
        <v>-8.2859000000000002E-2</v>
      </c>
      <c r="AH227">
        <v>0.71211006940023802</v>
      </c>
      <c r="AI227">
        <v>96.628804883295302</v>
      </c>
      <c r="AJ227">
        <v>87.153512152642307</v>
      </c>
      <c r="AK227">
        <v>0.71778829274955003</v>
      </c>
      <c r="AL227">
        <v>84.311856622472703</v>
      </c>
      <c r="AM227">
        <v>85.940914296733396</v>
      </c>
      <c r="AN227">
        <v>1.0000000635206501</v>
      </c>
    </row>
    <row r="228" spans="1:40" x14ac:dyDescent="0.25">
      <c r="A228" t="str">
        <f>"20190312163958278"</f>
        <v>20190312163958278</v>
      </c>
      <c r="B228" t="str">
        <f>"1552379998266307"</f>
        <v>1552379998266307</v>
      </c>
      <c r="C228" t="s">
        <v>40</v>
      </c>
      <c r="D228">
        <v>4.9744510000000002</v>
      </c>
      <c r="E228">
        <v>0.51346629999999904</v>
      </c>
      <c r="F228" t="s">
        <v>42</v>
      </c>
      <c r="G228">
        <v>-463.82089999999999</v>
      </c>
      <c r="H228">
        <v>1.0426709999999999</v>
      </c>
      <c r="I228">
        <v>367.98129999999998</v>
      </c>
      <c r="J228">
        <v>-464.39789999999999</v>
      </c>
      <c r="K228">
        <v>1.10846</v>
      </c>
      <c r="L228">
        <v>368.00259999999997</v>
      </c>
      <c r="M228">
        <v>0.99748999999999999</v>
      </c>
      <c r="N228">
        <v>0</v>
      </c>
      <c r="O228">
        <v>7.079531E-2</v>
      </c>
      <c r="P228">
        <v>0.99520189999999997</v>
      </c>
      <c r="Q228">
        <v>9.7837579999999993E-2</v>
      </c>
      <c r="R228">
        <v>-1.015214E-3</v>
      </c>
      <c r="S228">
        <v>3.041382</v>
      </c>
      <c r="T228">
        <v>-0.27341569999999998</v>
      </c>
      <c r="U228">
        <v>-4.2846679999999998E-2</v>
      </c>
      <c r="V228">
        <v>7.1549769999999999E-2</v>
      </c>
      <c r="W228">
        <v>9.909867E-2</v>
      </c>
      <c r="X228">
        <v>0.99250190000000005</v>
      </c>
      <c r="Y228">
        <v>8.4214720000000007E-2</v>
      </c>
      <c r="Z228">
        <v>-1.012566E-2</v>
      </c>
      <c r="AA228">
        <v>0.99639619999999995</v>
      </c>
      <c r="AB228">
        <v>17</v>
      </c>
      <c r="AC228">
        <v>0.57699999999999796</v>
      </c>
      <c r="AD228">
        <v>-6.5789000000000097E-2</v>
      </c>
      <c r="AE228">
        <v>-2.1299999999996499E-2</v>
      </c>
      <c r="AF228">
        <v>6.1299652146764798E-2</v>
      </c>
      <c r="AG228">
        <v>-6.5789000000000097E-2</v>
      </c>
      <c r="AH228">
        <v>0.56668718043631705</v>
      </c>
      <c r="AI228">
        <v>96.583985988880499</v>
      </c>
      <c r="AJ228">
        <v>83.826209835449106</v>
      </c>
      <c r="AK228">
        <v>0.57377713473541103</v>
      </c>
      <c r="AL228">
        <v>84.3127295588435</v>
      </c>
      <c r="AM228">
        <v>85.876662612836896</v>
      </c>
      <c r="AN228">
        <v>0.99999996874321495</v>
      </c>
    </row>
    <row r="229" spans="1:40" x14ac:dyDescent="0.25">
      <c r="A229" t="str">
        <f>"20190312163958290"</f>
        <v>20190312163958290</v>
      </c>
      <c r="B229" t="str">
        <f>"1552379998286800"</f>
        <v>1552379998286800</v>
      </c>
      <c r="C229" t="s">
        <v>40</v>
      </c>
      <c r="D229">
        <v>4.9797500000000001</v>
      </c>
      <c r="E229">
        <v>0.5142584</v>
      </c>
      <c r="F229" t="s">
        <v>42</v>
      </c>
      <c r="G229">
        <v>-463.66890000000001</v>
      </c>
      <c r="H229">
        <v>1.0385040000000001</v>
      </c>
      <c r="I229">
        <v>367.98570000000001</v>
      </c>
      <c r="J229">
        <v>-464.30079999999998</v>
      </c>
      <c r="K229">
        <v>1.108463</v>
      </c>
      <c r="L229">
        <v>368.00909999999999</v>
      </c>
      <c r="M229">
        <v>0.99751469999999998</v>
      </c>
      <c r="N229">
        <v>0</v>
      </c>
      <c r="O229">
        <v>7.0445560000000004E-2</v>
      </c>
      <c r="P229">
        <v>0.99519400000000002</v>
      </c>
      <c r="Q229">
        <v>9.7906880000000002E-2</v>
      </c>
      <c r="R229">
        <v>-1.7825269999999999E-3</v>
      </c>
      <c r="S229">
        <v>3.043091</v>
      </c>
      <c r="T229">
        <v>-0.29225180000000001</v>
      </c>
      <c r="U229">
        <v>-6.8786620000000007E-2</v>
      </c>
      <c r="V229">
        <v>7.1965849999999998E-2</v>
      </c>
      <c r="W229">
        <v>9.9171739999999994E-2</v>
      </c>
      <c r="X229">
        <v>0.99246449999999997</v>
      </c>
      <c r="Y229">
        <v>9.2221960000000006E-2</v>
      </c>
      <c r="Z229">
        <v>-1.1163869999999999E-2</v>
      </c>
      <c r="AA229">
        <v>0.99567589999999995</v>
      </c>
      <c r="AB229">
        <v>17</v>
      </c>
      <c r="AC229">
        <v>0.63189999999997304</v>
      </c>
      <c r="AD229">
        <v>-6.9958999999999799E-2</v>
      </c>
      <c r="AE229">
        <v>-2.3399999999980901E-2</v>
      </c>
      <c r="AF229">
        <v>6.70359101591044E-2</v>
      </c>
      <c r="AG229">
        <v>-6.9958999999999799E-2</v>
      </c>
      <c r="AH229">
        <v>0.62107943734187898</v>
      </c>
      <c r="AI229">
        <v>96.389959871038798</v>
      </c>
      <c r="AJ229">
        <v>83.8396561273603</v>
      </c>
      <c r="AK229">
        <v>0.62859187269703398</v>
      </c>
      <c r="AL229">
        <v>84.308522127488104</v>
      </c>
      <c r="AM229">
        <v>85.852612048983104</v>
      </c>
      <c r="AN229">
        <v>0.99999995067054803</v>
      </c>
    </row>
    <row r="230" spans="1:40" x14ac:dyDescent="0.25">
      <c r="A230" t="str">
        <f>"20190312163958304"</f>
        <v>20190312163958304</v>
      </c>
      <c r="B230" t="str">
        <f>"1552379998296560"</f>
        <v>1552379998296560</v>
      </c>
      <c r="C230" t="s">
        <v>40</v>
      </c>
      <c r="D230">
        <v>4.9293380000000004</v>
      </c>
      <c r="E230">
        <v>0.51451170000000002</v>
      </c>
      <c r="F230" t="s">
        <v>42</v>
      </c>
      <c r="G230">
        <v>-463.5147</v>
      </c>
      <c r="H230">
        <v>1.0354179999999999</v>
      </c>
      <c r="I230">
        <v>367.98840000000001</v>
      </c>
      <c r="J230">
        <v>-464.1934</v>
      </c>
      <c r="K230">
        <v>1.1084620000000001</v>
      </c>
      <c r="L230">
        <v>368.01620000000003</v>
      </c>
      <c r="M230">
        <v>0.99754180000000003</v>
      </c>
      <c r="N230">
        <v>0</v>
      </c>
      <c r="O230">
        <v>7.0060629999999999E-2</v>
      </c>
      <c r="P230">
        <v>0.99518410000000002</v>
      </c>
      <c r="Q230">
        <v>9.7992060000000006E-2</v>
      </c>
      <c r="R230">
        <v>-2.524802E-3</v>
      </c>
      <c r="S230">
        <v>3.0421749999999999</v>
      </c>
      <c r="T230">
        <v>-0.28282570000000001</v>
      </c>
      <c r="U230">
        <v>-7.7880859999999996E-2</v>
      </c>
      <c r="V230">
        <v>7.2321999999999997E-2</v>
      </c>
      <c r="W230">
        <v>9.9261420000000003E-2</v>
      </c>
      <c r="X230">
        <v>0.99242969999999997</v>
      </c>
      <c r="Y230">
        <v>9.4856220000000005E-2</v>
      </c>
      <c r="Z230">
        <v>-1.0894900000000001E-2</v>
      </c>
      <c r="AA230">
        <v>0.99543139999999997</v>
      </c>
      <c r="AB230">
        <v>17</v>
      </c>
      <c r="AC230">
        <v>0.67869999999999198</v>
      </c>
      <c r="AD230">
        <v>-7.3044000000000095E-2</v>
      </c>
      <c r="AE230">
        <v>-2.78000000000133E-2</v>
      </c>
      <c r="AF230">
        <v>7.4421318734818998E-2</v>
      </c>
      <c r="AG230">
        <v>-7.3044000000000095E-2</v>
      </c>
      <c r="AH230">
        <v>0.66736752947389399</v>
      </c>
      <c r="AI230">
        <v>96.208035996658793</v>
      </c>
      <c r="AJ230">
        <v>83.636964876014602</v>
      </c>
      <c r="AK230">
        <v>0.67546530481906997</v>
      </c>
      <c r="AL230">
        <v>84.303358675308104</v>
      </c>
      <c r="AM230">
        <v>85.832013663041707</v>
      </c>
      <c r="AN230">
        <v>1.0000000053132501</v>
      </c>
    </row>
    <row r="231" spans="1:40" x14ac:dyDescent="0.25">
      <c r="A231" t="str">
        <f>"20190312163958323"</f>
        <v>20190312163958323</v>
      </c>
      <c r="B231" t="str">
        <f>"1552379998317057"</f>
        <v>1552379998317057</v>
      </c>
      <c r="C231" t="s">
        <v>40</v>
      </c>
      <c r="D231">
        <v>5.0577139999999998</v>
      </c>
      <c r="E231">
        <v>0.51541009999999998</v>
      </c>
      <c r="F231" t="s">
        <v>42</v>
      </c>
      <c r="G231">
        <v>-463.3603</v>
      </c>
      <c r="H231">
        <v>1.0298609999999999</v>
      </c>
      <c r="I231">
        <v>367.99340000000001</v>
      </c>
      <c r="J231">
        <v>-464.04230000000001</v>
      </c>
      <c r="K231">
        <v>1.108465</v>
      </c>
      <c r="L231">
        <v>368.02620000000002</v>
      </c>
      <c r="M231">
        <v>0.99757949999999995</v>
      </c>
      <c r="N231">
        <v>0</v>
      </c>
      <c r="O231">
        <v>6.9521749999999993E-2</v>
      </c>
      <c r="P231">
        <v>0.99513200000000002</v>
      </c>
      <c r="Q231">
        <v>9.8478999999999997E-2</v>
      </c>
      <c r="R231">
        <v>-3.7293410000000002E-3</v>
      </c>
      <c r="S231">
        <v>3.0425719999999998</v>
      </c>
      <c r="T231">
        <v>-0.28713430000000001</v>
      </c>
      <c r="U231">
        <v>-8.169556E-2</v>
      </c>
      <c r="V231">
        <v>7.2983610000000004E-2</v>
      </c>
      <c r="W231">
        <v>9.9755819999999995E-2</v>
      </c>
      <c r="X231">
        <v>0.99233170000000004</v>
      </c>
      <c r="Y231">
        <v>9.5540139999999996E-2</v>
      </c>
      <c r="Z231">
        <v>-1.104014E-2</v>
      </c>
      <c r="AA231">
        <v>0.99536440000000004</v>
      </c>
      <c r="AB231">
        <v>17</v>
      </c>
      <c r="AC231">
        <v>0.68200000000001604</v>
      </c>
      <c r="AD231">
        <v>-7.8603999999999896E-2</v>
      </c>
      <c r="AE231">
        <v>-3.2800000000008801E-2</v>
      </c>
      <c r="AF231">
        <v>7.9086376987713605E-2</v>
      </c>
      <c r="AG231">
        <v>-7.8603999999999896E-2</v>
      </c>
      <c r="AH231">
        <v>0.66920056290156904</v>
      </c>
      <c r="AI231">
        <v>96.653358150357704</v>
      </c>
      <c r="AJ231">
        <v>83.260025154599504</v>
      </c>
      <c r="AK231">
        <v>0.67842658941761702</v>
      </c>
      <c r="AL231">
        <v>84.274890411399397</v>
      </c>
      <c r="AM231">
        <v>85.793606778125195</v>
      </c>
      <c r="AN231">
        <v>1.00000001688869</v>
      </c>
    </row>
    <row r="232" spans="1:40" x14ac:dyDescent="0.25">
      <c r="A232" t="str">
        <f>"20190312163958336"</f>
        <v>20190312163958336</v>
      </c>
      <c r="B232" t="str">
        <f>"1552379998326816"</f>
        <v>1552379998326816</v>
      </c>
      <c r="C232" t="s">
        <v>40</v>
      </c>
      <c r="D232">
        <v>4.9921810000000004</v>
      </c>
      <c r="E232">
        <v>0.51554809999999995</v>
      </c>
      <c r="F232" t="s">
        <v>42</v>
      </c>
      <c r="G232">
        <v>-463.20249999999999</v>
      </c>
      <c r="H232">
        <v>1.0285249999999999</v>
      </c>
      <c r="I232">
        <v>368.00049999999999</v>
      </c>
      <c r="J232">
        <v>-463.93520000000001</v>
      </c>
      <c r="K232">
        <v>1.1084639999999999</v>
      </c>
      <c r="L232">
        <v>368.0333</v>
      </c>
      <c r="M232">
        <v>0.99760599999999999</v>
      </c>
      <c r="N232">
        <v>0</v>
      </c>
      <c r="O232">
        <v>6.9142179999999998E-2</v>
      </c>
      <c r="P232">
        <v>0.99512889999999998</v>
      </c>
      <c r="Q232">
        <v>9.8503610000000005E-2</v>
      </c>
      <c r="R232">
        <v>-3.9802020000000004E-3</v>
      </c>
      <c r="S232">
        <v>3.042999</v>
      </c>
      <c r="T232">
        <v>-0.28974149999999999</v>
      </c>
      <c r="U232">
        <v>-9.2163090000000003E-2</v>
      </c>
      <c r="V232">
        <v>7.2855779999999995E-2</v>
      </c>
      <c r="W232">
        <v>9.9787120000000007E-2</v>
      </c>
      <c r="X232">
        <v>0.99233789999999999</v>
      </c>
      <c r="Y232">
        <v>9.8553370000000001E-2</v>
      </c>
      <c r="Z232">
        <v>-1.1245120000000001E-2</v>
      </c>
      <c r="AA232">
        <v>0.99506830000000002</v>
      </c>
      <c r="AB232">
        <v>18</v>
      </c>
      <c r="AC232">
        <v>0.732700000000022</v>
      </c>
      <c r="AD232">
        <v>-7.9938999999999899E-2</v>
      </c>
      <c r="AE232">
        <v>-3.2800000000008801E-2</v>
      </c>
      <c r="AF232">
        <v>8.2403117907468404E-2</v>
      </c>
      <c r="AG232">
        <v>-7.9938999999999899E-2</v>
      </c>
      <c r="AH232">
        <v>0.72012398355649698</v>
      </c>
      <c r="AI232">
        <v>96.293577455544096</v>
      </c>
      <c r="AJ232">
        <v>83.472090585169397</v>
      </c>
      <c r="AK232">
        <v>0.72921812186419999</v>
      </c>
      <c r="AL232">
        <v>84.273087796153305</v>
      </c>
      <c r="AM232">
        <v>85.800973996274493</v>
      </c>
      <c r="AN232">
        <v>0.99999997088685599</v>
      </c>
    </row>
    <row r="233" spans="1:40" x14ac:dyDescent="0.25">
      <c r="A233" t="str">
        <f>"20190312163958358"</f>
        <v>20190312163958358</v>
      </c>
      <c r="B233" t="str">
        <f>"1552379998346339"</f>
        <v>1552379998346339</v>
      </c>
      <c r="C233" t="s">
        <v>40</v>
      </c>
      <c r="D233">
        <v>4.9929189999999997</v>
      </c>
      <c r="E233">
        <v>0.51622659999999998</v>
      </c>
      <c r="F233" t="s">
        <v>42</v>
      </c>
      <c r="G233">
        <v>-463.1986</v>
      </c>
      <c r="H233">
        <v>1.0379750000000001</v>
      </c>
      <c r="I233">
        <v>368.0102</v>
      </c>
      <c r="J233">
        <v>-463.76990000000001</v>
      </c>
      <c r="K233">
        <v>1.1084639999999999</v>
      </c>
      <c r="L233">
        <v>368.04410000000001</v>
      </c>
      <c r="M233">
        <v>0.99764600000000003</v>
      </c>
      <c r="N233">
        <v>0</v>
      </c>
      <c r="O233">
        <v>6.8559770000000006E-2</v>
      </c>
      <c r="P233">
        <v>0.99510960000000004</v>
      </c>
      <c r="Q233">
        <v>9.8664710000000003E-2</v>
      </c>
      <c r="R233">
        <v>-4.7169029999999997E-3</v>
      </c>
      <c r="S233">
        <v>3.0431520000000001</v>
      </c>
      <c r="T233">
        <v>-0.29128379999999998</v>
      </c>
      <c r="U233">
        <v>-9.4238279999999994E-2</v>
      </c>
      <c r="V233">
        <v>7.30098E-2</v>
      </c>
      <c r="W233">
        <v>9.9958400000000003E-2</v>
      </c>
      <c r="X233">
        <v>0.99230940000000001</v>
      </c>
      <c r="Y233">
        <v>9.8643129999999996E-2</v>
      </c>
      <c r="Z233">
        <v>-1.125281E-2</v>
      </c>
      <c r="AA233">
        <v>0.99505929999999998</v>
      </c>
      <c r="AB233">
        <v>18</v>
      </c>
      <c r="AC233">
        <v>0.57130000000000702</v>
      </c>
      <c r="AD233">
        <v>-7.0488999999999802E-2</v>
      </c>
      <c r="AE233">
        <v>-3.3900000000016903E-2</v>
      </c>
      <c r="AF233">
        <v>7.1897774857550903E-2</v>
      </c>
      <c r="AG233">
        <v>-7.0488999999999802E-2</v>
      </c>
      <c r="AH233">
        <v>0.55914921955894004</v>
      </c>
      <c r="AI233">
        <v>97.127008602774694</v>
      </c>
      <c r="AJ233">
        <v>82.6728714977137</v>
      </c>
      <c r="AK233">
        <v>0.568142445944535</v>
      </c>
      <c r="AL233">
        <v>84.263225196578603</v>
      </c>
      <c r="AM233">
        <v>85.792008520797694</v>
      </c>
      <c r="AN233">
        <v>1.00000002897747</v>
      </c>
    </row>
    <row r="234" spans="1:40" x14ac:dyDescent="0.25">
      <c r="A234" t="str">
        <f>"20190312163958370"</f>
        <v>20190312163958370</v>
      </c>
      <c r="B234" t="str">
        <f>"1552379998366831"</f>
        <v>1552379998366831</v>
      </c>
      <c r="C234" t="s">
        <v>40</v>
      </c>
      <c r="D234">
        <v>4.972245</v>
      </c>
      <c r="E234">
        <v>0.5159762</v>
      </c>
      <c r="F234" t="s">
        <v>42</v>
      </c>
      <c r="G234">
        <v>-463.0385</v>
      </c>
      <c r="H234">
        <v>1.0382830000000001</v>
      </c>
      <c r="I234">
        <v>368.01979999999998</v>
      </c>
      <c r="J234">
        <v>-463.6696</v>
      </c>
      <c r="K234">
        <v>1.1084689999999999</v>
      </c>
      <c r="L234">
        <v>368.0505</v>
      </c>
      <c r="M234">
        <v>0.9976701</v>
      </c>
      <c r="N234">
        <v>0</v>
      </c>
      <c r="O234">
        <v>6.8209229999999996E-2</v>
      </c>
      <c r="P234">
        <v>0.99509340000000002</v>
      </c>
      <c r="Q234">
        <v>9.8828609999999997E-2</v>
      </c>
      <c r="R234">
        <v>-4.7170320000000003E-3</v>
      </c>
      <c r="S234">
        <v>3.0431819999999998</v>
      </c>
      <c r="T234">
        <v>-0.29204340000000001</v>
      </c>
      <c r="U234">
        <v>-0.1014404</v>
      </c>
      <c r="V234">
        <v>7.2660450000000001E-2</v>
      </c>
      <c r="W234">
        <v>0.1001302</v>
      </c>
      <c r="X234">
        <v>0.99231769999999997</v>
      </c>
      <c r="Y234">
        <v>0.1006341</v>
      </c>
      <c r="Z234">
        <v>-1.134339E-2</v>
      </c>
      <c r="AA234">
        <v>0.99485889999999999</v>
      </c>
      <c r="AB234">
        <v>18</v>
      </c>
      <c r="AC234">
        <v>0.63110000000000299</v>
      </c>
      <c r="AD234">
        <v>-7.0185999999999998E-2</v>
      </c>
      <c r="AE234">
        <v>-3.0700000000024302E-2</v>
      </c>
      <c r="AF234">
        <v>7.2777389659400907E-2</v>
      </c>
      <c r="AG234">
        <v>-7.0185999999999998E-2</v>
      </c>
      <c r="AH234">
        <v>0.61988740568211798</v>
      </c>
      <c r="AI234">
        <v>96.416039142203601</v>
      </c>
      <c r="AJ234">
        <v>83.303887972453794</v>
      </c>
      <c r="AK234">
        <v>0.62807883164849898</v>
      </c>
      <c r="AL234">
        <v>84.253332026470105</v>
      </c>
      <c r="AM234">
        <v>85.8121067445026</v>
      </c>
      <c r="AN234">
        <v>1.00000000783976</v>
      </c>
    </row>
    <row r="235" spans="1:40" x14ac:dyDescent="0.25">
      <c r="A235" t="str">
        <f>"20190312163958392"</f>
        <v>20190312163958392</v>
      </c>
      <c r="B235" t="str">
        <f>"1552379998386352"</f>
        <v>1552379998386352</v>
      </c>
      <c r="C235" t="s">
        <v>40</v>
      </c>
      <c r="D235">
        <v>5.0731909999999996</v>
      </c>
      <c r="E235">
        <v>0.516013099999999</v>
      </c>
      <c r="F235" t="s">
        <v>42</v>
      </c>
      <c r="G235">
        <v>-462.87959999999998</v>
      </c>
      <c r="H235">
        <v>1.032734</v>
      </c>
      <c r="I235">
        <v>368.02449999999999</v>
      </c>
      <c r="J235">
        <v>-463.49860000000001</v>
      </c>
      <c r="K235">
        <v>1.1084700000000001</v>
      </c>
      <c r="L235">
        <v>368.0616</v>
      </c>
      <c r="M235">
        <v>0.99771080000000001</v>
      </c>
      <c r="N235">
        <v>0</v>
      </c>
      <c r="O235">
        <v>6.7612859999999997E-2</v>
      </c>
      <c r="P235">
        <v>0.99503399999999997</v>
      </c>
      <c r="Q235">
        <v>9.9405939999999998E-2</v>
      </c>
      <c r="R235">
        <v>-5.1017320000000003E-3</v>
      </c>
      <c r="S235">
        <v>3.0432739999999998</v>
      </c>
      <c r="T235">
        <v>-0.29186109999999998</v>
      </c>
      <c r="U235">
        <v>-9.9212649999999999E-2</v>
      </c>
      <c r="V235">
        <v>7.2448129999999999E-2</v>
      </c>
      <c r="W235">
        <v>0.1007218</v>
      </c>
      <c r="X235">
        <v>0.99227330000000002</v>
      </c>
      <c r="Y235">
        <v>9.9320599999999995E-2</v>
      </c>
      <c r="Z235">
        <v>-1.121629E-2</v>
      </c>
      <c r="AA235">
        <v>0.99499230000000005</v>
      </c>
      <c r="AB235">
        <v>18</v>
      </c>
      <c r="AC235">
        <v>0.61900000000002797</v>
      </c>
      <c r="AD235">
        <v>-7.5735999999999998E-2</v>
      </c>
      <c r="AE235">
        <v>-3.7100000000009403E-2</v>
      </c>
      <c r="AF235">
        <v>7.7708361866988498E-2</v>
      </c>
      <c r="AG235">
        <v>-7.5735999999999998E-2</v>
      </c>
      <c r="AH235">
        <v>0.606035152157264</v>
      </c>
      <c r="AI235">
        <v>97.066044841836103</v>
      </c>
      <c r="AJ235">
        <v>82.693166400583806</v>
      </c>
      <c r="AK235">
        <v>0.61567291385144496</v>
      </c>
      <c r="AL235">
        <v>84.219263317576093</v>
      </c>
      <c r="AM235">
        <v>85.824114590925106</v>
      </c>
      <c r="AN235">
        <v>0.99999995721431201</v>
      </c>
    </row>
    <row r="236" spans="1:40" x14ac:dyDescent="0.25">
      <c r="A236" t="str">
        <f>"20190312163958414"</f>
        <v>20190312163958414</v>
      </c>
      <c r="B236" t="str">
        <f>"1552379998406848"</f>
        <v>1552379998406848</v>
      </c>
      <c r="C236" t="s">
        <v>40</v>
      </c>
      <c r="D236">
        <v>4.9834509999999996</v>
      </c>
      <c r="E236">
        <v>0.51588020000000001</v>
      </c>
      <c r="F236" t="s">
        <v>42</v>
      </c>
      <c r="G236">
        <v>-462.71620000000001</v>
      </c>
      <c r="H236">
        <v>1.033747</v>
      </c>
      <c r="I236">
        <v>368.03539999999998</v>
      </c>
      <c r="J236">
        <v>-463.30579999999998</v>
      </c>
      <c r="K236">
        <v>1.1084670000000001</v>
      </c>
      <c r="L236">
        <v>368.07389999999998</v>
      </c>
      <c r="M236">
        <v>0.99775599999999998</v>
      </c>
      <c r="N236">
        <v>0</v>
      </c>
      <c r="O236">
        <v>6.6940369999999999E-2</v>
      </c>
      <c r="P236">
        <v>0.99496499999999999</v>
      </c>
      <c r="Q236">
        <v>0.1000759</v>
      </c>
      <c r="R236">
        <v>-5.425394E-3</v>
      </c>
      <c r="S236">
        <v>3.043488</v>
      </c>
      <c r="T236">
        <v>-0.29073080000000001</v>
      </c>
      <c r="U236">
        <v>-0.10070800000000001</v>
      </c>
      <c r="V236">
        <v>7.2099449999999995E-2</v>
      </c>
      <c r="W236">
        <v>0.1014106</v>
      </c>
      <c r="X236">
        <v>0.99222860000000002</v>
      </c>
      <c r="Y236">
        <v>9.9145899999999995E-2</v>
      </c>
      <c r="Z236">
        <v>-1.1099889999999999E-2</v>
      </c>
      <c r="AA236">
        <v>0.99501099999999998</v>
      </c>
      <c r="AB236">
        <v>18</v>
      </c>
      <c r="AC236">
        <v>0.58959999999996104</v>
      </c>
      <c r="AD236">
        <v>-7.4720000000000106E-2</v>
      </c>
      <c r="AE236">
        <v>-3.8499999999999E-2</v>
      </c>
      <c r="AF236">
        <v>7.6655821250416395E-2</v>
      </c>
      <c r="AG236">
        <v>-7.4720000000000106E-2</v>
      </c>
      <c r="AH236">
        <v>0.57648104697080105</v>
      </c>
      <c r="AI236">
        <v>97.321425941320499</v>
      </c>
      <c r="AJ236">
        <v>82.425700460302394</v>
      </c>
      <c r="AK236">
        <v>0.58633573219455604</v>
      </c>
      <c r="AL236">
        <v>84.179595220390297</v>
      </c>
      <c r="AM236">
        <v>85.843955234799196</v>
      </c>
      <c r="AN236">
        <v>1.0000000175703101</v>
      </c>
    </row>
    <row r="237" spans="1:40" x14ac:dyDescent="0.25">
      <c r="A237" t="str">
        <f>"20190312163958435"</f>
        <v>20190312163958435</v>
      </c>
      <c r="B237" t="str">
        <f>"1552379998426371"</f>
        <v>1552379998426371</v>
      </c>
      <c r="C237" t="s">
        <v>40</v>
      </c>
      <c r="D237">
        <v>5.0299839999999998</v>
      </c>
      <c r="E237">
        <v>0.5159494</v>
      </c>
      <c r="F237" t="s">
        <v>42</v>
      </c>
      <c r="G237">
        <v>-462.55079999999998</v>
      </c>
      <c r="H237">
        <v>1.0363329999999999</v>
      </c>
      <c r="I237">
        <v>368.0487</v>
      </c>
      <c r="J237">
        <v>-463.1327</v>
      </c>
      <c r="K237">
        <v>1.108457</v>
      </c>
      <c r="L237">
        <v>368.08479999999997</v>
      </c>
      <c r="M237">
        <v>0.99779660000000003</v>
      </c>
      <c r="N237">
        <v>0</v>
      </c>
      <c r="O237">
        <v>6.6332180000000004E-2</v>
      </c>
      <c r="P237">
        <v>0.99492199999999997</v>
      </c>
      <c r="Q237">
        <v>0.1004881</v>
      </c>
      <c r="R237">
        <v>-5.6940640000000004E-3</v>
      </c>
      <c r="S237">
        <v>3.0438839999999998</v>
      </c>
      <c r="T237">
        <v>-0.29092679999999999</v>
      </c>
      <c r="U237">
        <v>-0.10070800000000001</v>
      </c>
      <c r="V237">
        <v>7.1761790000000006E-2</v>
      </c>
      <c r="W237">
        <v>0.1018423</v>
      </c>
      <c r="X237">
        <v>0.9922088</v>
      </c>
      <c r="Y237">
        <v>9.8539799999999997E-2</v>
      </c>
      <c r="Z237">
        <v>-1.101909E-2</v>
      </c>
      <c r="AA237">
        <v>0.99507210000000001</v>
      </c>
      <c r="AB237">
        <v>18</v>
      </c>
      <c r="AC237">
        <v>0.58190000000001796</v>
      </c>
      <c r="AD237">
        <v>-7.2123999999999994E-2</v>
      </c>
      <c r="AE237">
        <v>-3.60999999999762E-2</v>
      </c>
      <c r="AF237">
        <v>7.3494493968258301E-2</v>
      </c>
      <c r="AG237">
        <v>-7.2123999999999994E-2</v>
      </c>
      <c r="AH237">
        <v>0.56950827705852503</v>
      </c>
      <c r="AI237">
        <v>97.158921352650793</v>
      </c>
      <c r="AJ237">
        <v>82.646675098024303</v>
      </c>
      <c r="AK237">
        <v>0.578742593609474</v>
      </c>
      <c r="AL237">
        <v>84.154731543034998</v>
      </c>
      <c r="AM237">
        <v>85.863269058408207</v>
      </c>
      <c r="AN237">
        <v>0.99999995568536604</v>
      </c>
    </row>
    <row r="238" spans="1:40" x14ac:dyDescent="0.25">
      <c r="A238" t="str">
        <f>"20190312163958457"</f>
        <v>20190312163958457</v>
      </c>
      <c r="B238" t="str">
        <f>"1552379998446863"</f>
        <v>1552379998446863</v>
      </c>
      <c r="C238" t="s">
        <v>40</v>
      </c>
      <c r="D238">
        <v>5.0386790000000001</v>
      </c>
      <c r="E238">
        <v>0.51585550000000002</v>
      </c>
      <c r="F238" t="s">
        <v>42</v>
      </c>
      <c r="G238">
        <v>-462.38470000000001</v>
      </c>
      <c r="H238">
        <v>1.036905</v>
      </c>
      <c r="I238">
        <v>368.05939999999998</v>
      </c>
      <c r="J238">
        <v>-462.94740000000002</v>
      </c>
      <c r="K238">
        <v>1.1084430000000001</v>
      </c>
      <c r="L238">
        <v>368.09629999999999</v>
      </c>
      <c r="M238">
        <v>0.99784050000000002</v>
      </c>
      <c r="N238">
        <v>0</v>
      </c>
      <c r="O238">
        <v>6.5669130000000006E-2</v>
      </c>
      <c r="P238">
        <v>0.99494179999999999</v>
      </c>
      <c r="Q238">
        <v>0.1002595</v>
      </c>
      <c r="R238">
        <v>-6.2636749999999998E-3</v>
      </c>
      <c r="S238">
        <v>3.0441590000000001</v>
      </c>
      <c r="T238">
        <v>-0.29124339999999999</v>
      </c>
      <c r="U238">
        <v>-0.10238650000000001</v>
      </c>
      <c r="V238">
        <v>7.1675199999999994E-2</v>
      </c>
      <c r="W238">
        <v>0.1016369</v>
      </c>
      <c r="X238">
        <v>0.99223620000000001</v>
      </c>
      <c r="Y238">
        <v>9.8425719999999994E-2</v>
      </c>
      <c r="Z238">
        <v>-1.096131E-2</v>
      </c>
      <c r="AA238">
        <v>0.99508399999999997</v>
      </c>
      <c r="AB238">
        <v>18</v>
      </c>
      <c r="AC238">
        <v>0.56270000000000597</v>
      </c>
      <c r="AD238">
        <v>-7.1538000000000102E-2</v>
      </c>
      <c r="AE238">
        <v>-3.6900000000002799E-2</v>
      </c>
      <c r="AF238">
        <v>7.26039373592339E-2</v>
      </c>
      <c r="AG238">
        <v>-7.1538000000000102E-2</v>
      </c>
      <c r="AH238">
        <v>0.55020731328278405</v>
      </c>
      <c r="AI238">
        <v>97.345074853563801</v>
      </c>
      <c r="AJ238">
        <v>82.482827578856998</v>
      </c>
      <c r="AK238">
        <v>0.55956867742389205</v>
      </c>
      <c r="AL238">
        <v>84.1665619467244</v>
      </c>
      <c r="AM238">
        <v>85.868356969883905</v>
      </c>
      <c r="AN238">
        <v>1.0000000351635401</v>
      </c>
    </row>
    <row r="239" spans="1:40" x14ac:dyDescent="0.25">
      <c r="A239" t="str">
        <f>"20190312163958471"</f>
        <v>20190312163958471</v>
      </c>
      <c r="B239" t="str">
        <f>"1552379998466384"</f>
        <v>1552379998466384</v>
      </c>
      <c r="C239" t="s">
        <v>40</v>
      </c>
      <c r="D239">
        <v>5.0359239999999996</v>
      </c>
      <c r="E239">
        <v>0.51580859999999995</v>
      </c>
      <c r="F239" t="s">
        <v>42</v>
      </c>
      <c r="G239">
        <v>-462.2167</v>
      </c>
      <c r="H239">
        <v>1.038014</v>
      </c>
      <c r="I239">
        <v>368.07089999999999</v>
      </c>
      <c r="J239">
        <v>-462.8356</v>
      </c>
      <c r="K239">
        <v>1.1084290000000001</v>
      </c>
      <c r="L239">
        <v>368.10320000000002</v>
      </c>
      <c r="M239">
        <v>0.99786750000000002</v>
      </c>
      <c r="N239">
        <v>0</v>
      </c>
      <c r="O239">
        <v>6.5256800000000004E-2</v>
      </c>
      <c r="P239">
        <v>0.99493069999999895</v>
      </c>
      <c r="Q239">
        <v>0.1003546</v>
      </c>
      <c r="R239">
        <v>-6.5180940000000003E-3</v>
      </c>
      <c r="S239">
        <v>3.0442200000000001</v>
      </c>
      <c r="T239">
        <v>-0.29354259999999999</v>
      </c>
      <c r="U239">
        <v>-0.1034241</v>
      </c>
      <c r="V239">
        <v>7.1520669999999995E-2</v>
      </c>
      <c r="W239">
        <v>0.1017464</v>
      </c>
      <c r="X239">
        <v>0.99223609999999896</v>
      </c>
      <c r="Y239">
        <v>9.8343159999999999E-2</v>
      </c>
      <c r="Z239">
        <v>-1.1003600000000001E-2</v>
      </c>
      <c r="AA239">
        <v>0.99509170000000002</v>
      </c>
      <c r="AB239">
        <v>19</v>
      </c>
      <c r="AC239">
        <v>0.61889999999999601</v>
      </c>
      <c r="AD239">
        <v>-7.0415000000000103E-2</v>
      </c>
      <c r="AE239">
        <v>-3.2300000000020597E-2</v>
      </c>
      <c r="AF239">
        <v>7.1693107111126794E-2</v>
      </c>
      <c r="AG239">
        <v>-7.0415000000000103E-2</v>
      </c>
      <c r="AH239">
        <v>0.60762885634521802</v>
      </c>
      <c r="AI239">
        <v>96.565092237399696</v>
      </c>
      <c r="AJ239">
        <v>83.270878141738606</v>
      </c>
      <c r="AK239">
        <v>0.61588229467621902</v>
      </c>
      <c r="AL239">
        <v>84.160255201382796</v>
      </c>
      <c r="AM239">
        <v>85.877233529879206</v>
      </c>
      <c r="AN239">
        <v>1.0000000071466999</v>
      </c>
    </row>
    <row r="240" spans="1:40" x14ac:dyDescent="0.25">
      <c r="A240" t="str">
        <f>"20190312163958490"</f>
        <v>20190312163958490</v>
      </c>
      <c r="B240" t="str">
        <f>"1552379998486880"</f>
        <v>1552379998486880</v>
      </c>
      <c r="C240" t="s">
        <v>40</v>
      </c>
      <c r="D240">
        <v>4.979222</v>
      </c>
      <c r="E240">
        <v>0.51566160000000005</v>
      </c>
      <c r="F240" t="s">
        <v>42</v>
      </c>
      <c r="G240">
        <v>-462.05</v>
      </c>
      <c r="H240">
        <v>1.032816</v>
      </c>
      <c r="I240">
        <v>368.0763</v>
      </c>
      <c r="J240">
        <v>-462.66730000000001</v>
      </c>
      <c r="K240">
        <v>1.1084130000000001</v>
      </c>
      <c r="L240">
        <v>368.11349999999999</v>
      </c>
      <c r="M240">
        <v>0.99790869999999998</v>
      </c>
      <c r="N240">
        <v>0</v>
      </c>
      <c r="O240">
        <v>6.4621200000000004E-2</v>
      </c>
      <c r="P240">
        <v>0.99491870000000004</v>
      </c>
      <c r="Q240">
        <v>0.1004559</v>
      </c>
      <c r="R240">
        <v>-6.7495239999999998E-3</v>
      </c>
      <c r="S240">
        <v>3.0441590000000001</v>
      </c>
      <c r="T240">
        <v>-0.292931099999999</v>
      </c>
      <c r="U240">
        <v>-0.10409549999999999</v>
      </c>
      <c r="V240">
        <v>7.1123829999999999E-2</v>
      </c>
      <c r="W240">
        <v>0.10187019999999999</v>
      </c>
      <c r="X240">
        <v>0.99225189999999996</v>
      </c>
      <c r="Y240">
        <v>9.7937150000000001E-2</v>
      </c>
      <c r="Z240">
        <v>-1.090055E-2</v>
      </c>
      <c r="AA240">
        <v>0.99513289999999999</v>
      </c>
      <c r="AB240">
        <v>19</v>
      </c>
      <c r="AC240">
        <v>0.61729999999999996</v>
      </c>
      <c r="AD240">
        <v>-7.55969999999999E-2</v>
      </c>
      <c r="AE240">
        <v>-3.7199999999984301E-2</v>
      </c>
      <c r="AF240">
        <v>7.5879087154401503E-2</v>
      </c>
      <c r="AG240">
        <v>-7.55969999999999E-2</v>
      </c>
      <c r="AH240">
        <v>0.60457163897063704</v>
      </c>
      <c r="AI240">
        <v>97.072481626484006</v>
      </c>
      <c r="AJ240">
        <v>82.846279404382003</v>
      </c>
      <c r="AK240">
        <v>0.61398648920316501</v>
      </c>
      <c r="AL240">
        <v>84.153124805072906</v>
      </c>
      <c r="AM240">
        <v>85.900095971460701</v>
      </c>
      <c r="AN240">
        <v>0.99999998494775899</v>
      </c>
    </row>
    <row r="241" spans="1:40" x14ac:dyDescent="0.25">
      <c r="A241" t="str">
        <f>"20190312163958514"</f>
        <v>20190312163958514</v>
      </c>
      <c r="B241" t="str">
        <f>"1552379998506400"</f>
        <v>1552379998506400</v>
      </c>
      <c r="C241" t="s">
        <v>40</v>
      </c>
      <c r="D241">
        <v>4.9647379999999997</v>
      </c>
      <c r="E241">
        <v>0.5152137</v>
      </c>
      <c r="F241" t="s">
        <v>42</v>
      </c>
      <c r="G241">
        <v>-461.87959999999998</v>
      </c>
      <c r="H241">
        <v>1.032565</v>
      </c>
      <c r="I241">
        <v>368.08609999999999</v>
      </c>
      <c r="J241">
        <v>-462.46850000000001</v>
      </c>
      <c r="K241">
        <v>1.108393</v>
      </c>
      <c r="L241">
        <v>368.12560000000002</v>
      </c>
      <c r="M241">
        <v>0.99795880000000003</v>
      </c>
      <c r="N241">
        <v>0</v>
      </c>
      <c r="O241">
        <v>6.3841869999999995E-2</v>
      </c>
      <c r="P241">
        <v>0.99491370000000001</v>
      </c>
      <c r="Q241">
        <v>0.10044649999999999</v>
      </c>
      <c r="R241">
        <v>-7.5917819999999896E-3</v>
      </c>
      <c r="S241">
        <v>3.0442200000000001</v>
      </c>
      <c r="T241">
        <v>-0.29329480000000002</v>
      </c>
      <c r="U241">
        <v>-0.10437009999999999</v>
      </c>
      <c r="V241">
        <v>7.119557E-2</v>
      </c>
      <c r="W241">
        <v>0.1018859</v>
      </c>
      <c r="X241">
        <v>0.99224509999999999</v>
      </c>
      <c r="Y241">
        <v>9.7253939999999997E-2</v>
      </c>
      <c r="Z241">
        <v>-1.080615E-2</v>
      </c>
      <c r="AA241">
        <v>0.99520090000000005</v>
      </c>
      <c r="AB241">
        <v>19</v>
      </c>
      <c r="AC241">
        <v>0.58890000000002296</v>
      </c>
      <c r="AD241">
        <v>-7.5827999999999895E-2</v>
      </c>
      <c r="AE241">
        <v>-3.9500000000032197E-2</v>
      </c>
      <c r="AF241">
        <v>7.5765404256508795E-2</v>
      </c>
      <c r="AG241">
        <v>-7.5827999999999895E-2</v>
      </c>
      <c r="AH241">
        <v>0.57567513948248605</v>
      </c>
      <c r="AI241">
        <v>97.4403739152432</v>
      </c>
      <c r="AJ241">
        <v>82.502315277947602</v>
      </c>
      <c r="AK241">
        <v>0.58556993458026196</v>
      </c>
      <c r="AL241">
        <v>84.152220305218506</v>
      </c>
      <c r="AM241">
        <v>85.895946642615499</v>
      </c>
      <c r="AN241">
        <v>0.99999994214022003</v>
      </c>
    </row>
    <row r="242" spans="1:40" x14ac:dyDescent="0.25">
      <c r="A242" t="str">
        <f>"20190312163958535"</f>
        <v>20190312163958535</v>
      </c>
      <c r="B242" t="str">
        <f>"1552379998526899"</f>
        <v>1552379998526899</v>
      </c>
      <c r="C242" t="s">
        <v>40</v>
      </c>
      <c r="D242">
        <v>5.000089</v>
      </c>
      <c r="E242">
        <v>0.51534579999999997</v>
      </c>
      <c r="F242" t="s">
        <v>42</v>
      </c>
      <c r="G242">
        <v>-461.70670000000001</v>
      </c>
      <c r="H242">
        <v>1.034829</v>
      </c>
      <c r="I242">
        <v>368.09969999999998</v>
      </c>
      <c r="J242">
        <v>-462.28140000000002</v>
      </c>
      <c r="K242">
        <v>1.108363</v>
      </c>
      <c r="L242">
        <v>368.13670000000002</v>
      </c>
      <c r="M242">
        <v>0.99800750000000005</v>
      </c>
      <c r="N242">
        <v>0</v>
      </c>
      <c r="O242">
        <v>6.3076129999999994E-2</v>
      </c>
      <c r="P242">
        <v>0.99495149999999999</v>
      </c>
      <c r="Q242">
        <v>0.1000354</v>
      </c>
      <c r="R242">
        <v>-8.0218790000000009E-3</v>
      </c>
      <c r="S242">
        <v>3.0442499999999999</v>
      </c>
      <c r="T242">
        <v>-0.29396689999999998</v>
      </c>
      <c r="U242">
        <v>-0.1031494</v>
      </c>
      <c r="V242">
        <v>7.0872530000000003E-2</v>
      </c>
      <c r="W242">
        <v>0.1014998</v>
      </c>
      <c r="X242">
        <v>0.99230779999999996</v>
      </c>
      <c r="Y242">
        <v>9.6096849999999998E-2</v>
      </c>
      <c r="Z242">
        <v>-1.070134E-2</v>
      </c>
      <c r="AA242">
        <v>0.99531449999999999</v>
      </c>
      <c r="AB242">
        <v>19</v>
      </c>
      <c r="AC242">
        <v>0.57470000000000698</v>
      </c>
      <c r="AD242">
        <v>-7.3533999999999905E-2</v>
      </c>
      <c r="AE242">
        <v>-3.7000000000034498E-2</v>
      </c>
      <c r="AF242">
        <v>7.2002283943856493E-2</v>
      </c>
      <c r="AG242">
        <v>-7.3533999999999905E-2</v>
      </c>
      <c r="AH242">
        <v>0.56205792374671804</v>
      </c>
      <c r="AI242">
        <v>97.393921925388895</v>
      </c>
      <c r="AJ242">
        <v>82.699899371800896</v>
      </c>
      <c r="AK242">
        <v>0.57140238684801004</v>
      </c>
      <c r="AL242">
        <v>84.174457519033297</v>
      </c>
      <c r="AM242">
        <v>85.914762287218593</v>
      </c>
      <c r="AN242">
        <v>0.99999994742473897</v>
      </c>
    </row>
    <row r="243" spans="1:40" x14ac:dyDescent="0.25">
      <c r="A243" t="str">
        <f>"20190312163958550"</f>
        <v>20190312163958550</v>
      </c>
      <c r="B243" t="str">
        <f>"1552379998546416"</f>
        <v>1552379998546416</v>
      </c>
      <c r="C243" t="s">
        <v>40</v>
      </c>
      <c r="D243">
        <v>5.1271100000000001</v>
      </c>
      <c r="E243">
        <v>0.51557209999999998</v>
      </c>
      <c r="F243" t="s">
        <v>42</v>
      </c>
      <c r="G243">
        <v>-461.53280000000001</v>
      </c>
      <c r="H243">
        <v>1.0359959999999999</v>
      </c>
      <c r="I243">
        <v>368.1105</v>
      </c>
      <c r="J243">
        <v>-462.15949999999998</v>
      </c>
      <c r="K243">
        <v>1.1083459999999901</v>
      </c>
      <c r="L243">
        <v>368.14389999999997</v>
      </c>
      <c r="M243">
        <v>0.99804020000000004</v>
      </c>
      <c r="N243">
        <v>0</v>
      </c>
      <c r="O243">
        <v>6.2557360000000006E-2</v>
      </c>
      <c r="P243">
        <v>0.99496660000000003</v>
      </c>
      <c r="Q243">
        <v>9.9868479999999996E-2</v>
      </c>
      <c r="R243">
        <v>-8.2407609999999992E-3</v>
      </c>
      <c r="S243">
        <v>3.0439759999999998</v>
      </c>
      <c r="T243">
        <v>-0.29431929999999901</v>
      </c>
      <c r="U243">
        <v>-0.1054688</v>
      </c>
      <c r="V243">
        <v>7.0580329999999997E-2</v>
      </c>
      <c r="W243">
        <v>0.10134840000000001</v>
      </c>
      <c r="X243">
        <v>0.99234409999999895</v>
      </c>
      <c r="Y243">
        <v>9.6339430000000004E-2</v>
      </c>
      <c r="Z243">
        <v>-1.0676690000000001E-2</v>
      </c>
      <c r="AA243">
        <v>0.99529129999999999</v>
      </c>
      <c r="AB243">
        <v>19</v>
      </c>
      <c r="AC243">
        <v>0.62669999999997095</v>
      </c>
      <c r="AD243">
        <v>-7.2349999999999901E-2</v>
      </c>
      <c r="AE243">
        <v>-3.3399999999971897E-2</v>
      </c>
      <c r="AF243">
        <v>7.1587919501056793E-2</v>
      </c>
      <c r="AG243">
        <v>-7.2349999999999901E-2</v>
      </c>
      <c r="AH243">
        <v>0.61520698785773698</v>
      </c>
      <c r="AI243">
        <v>96.662780666643101</v>
      </c>
      <c r="AJ243">
        <v>83.362686633294004</v>
      </c>
      <c r="AK243">
        <v>0.62356955556495797</v>
      </c>
      <c r="AL243">
        <v>84.183177062210206</v>
      </c>
      <c r="AM243">
        <v>85.931696942161807</v>
      </c>
      <c r="AN243">
        <v>0.99999994698513694</v>
      </c>
    </row>
    <row r="244" spans="1:40" x14ac:dyDescent="0.25">
      <c r="A244" t="str">
        <f>"20190312163958568"</f>
        <v>20190312163958568</v>
      </c>
      <c r="B244" t="str">
        <f>"1552379998556176"</f>
        <v>1552379998556176</v>
      </c>
      <c r="C244" t="s">
        <v>40</v>
      </c>
      <c r="D244">
        <v>5.0824780000000001</v>
      </c>
      <c r="E244">
        <v>0.51553859999999996</v>
      </c>
      <c r="F244" t="s">
        <v>42</v>
      </c>
      <c r="G244">
        <v>-461.35969999999998</v>
      </c>
      <c r="H244">
        <v>1.031231</v>
      </c>
      <c r="I244">
        <v>368.11520000000002</v>
      </c>
      <c r="J244">
        <v>-461.99459999999999</v>
      </c>
      <c r="K244">
        <v>1.108325</v>
      </c>
      <c r="L244">
        <v>368.15339999999998</v>
      </c>
      <c r="M244">
        <v>0.99808509999999995</v>
      </c>
      <c r="N244">
        <v>0</v>
      </c>
      <c r="O244">
        <v>6.1836149999999999E-2</v>
      </c>
      <c r="P244">
        <v>0.99492510000000001</v>
      </c>
      <c r="Q244">
        <v>0.1002535</v>
      </c>
      <c r="R244">
        <v>-8.5612889999999997E-3</v>
      </c>
      <c r="S244">
        <v>3.0437620000000001</v>
      </c>
      <c r="T244">
        <v>-0.29365170000000002</v>
      </c>
      <c r="U244">
        <v>-0.1087341</v>
      </c>
      <c r="V244">
        <v>7.0187269999999996E-2</v>
      </c>
      <c r="W244">
        <v>0.101755</v>
      </c>
      <c r="X244">
        <v>0.99233039999999995</v>
      </c>
      <c r="Y244">
        <v>9.6694050000000004E-2</v>
      </c>
      <c r="Z244">
        <v>-1.060091E-2</v>
      </c>
      <c r="AA244">
        <v>0.99525770000000002</v>
      </c>
      <c r="AB244">
        <v>19</v>
      </c>
      <c r="AC244">
        <v>0.63490000000001601</v>
      </c>
      <c r="AD244">
        <v>-7.7093999999999996E-2</v>
      </c>
      <c r="AE244">
        <v>-3.8199999999960703E-2</v>
      </c>
      <c r="AF244">
        <v>7.6266263249671798E-2</v>
      </c>
      <c r="AG244">
        <v>-7.7093999999999996E-2</v>
      </c>
      <c r="AH244">
        <v>0.62218216937437898</v>
      </c>
      <c r="AI244">
        <v>97.011511513888493</v>
      </c>
      <c r="AJ244">
        <v>83.011621724135793</v>
      </c>
      <c r="AK244">
        <v>0.631562094835873</v>
      </c>
      <c r="AL244">
        <v>84.159759715151196</v>
      </c>
      <c r="AM244">
        <v>85.954222102521797</v>
      </c>
      <c r="AN244">
        <v>0.99999997782960603</v>
      </c>
    </row>
    <row r="245" spans="1:40" x14ac:dyDescent="0.25">
      <c r="A245" t="str">
        <f>"20190312163958581"</f>
        <v>20190312163958581</v>
      </c>
      <c r="B245" t="str">
        <f>"1552379998576672"</f>
        <v>1552379998576672</v>
      </c>
      <c r="C245" t="s">
        <v>40</v>
      </c>
      <c r="D245">
        <v>5.1115879999999896</v>
      </c>
      <c r="E245">
        <v>0.51554109999999997</v>
      </c>
      <c r="F245" t="s">
        <v>42</v>
      </c>
      <c r="G245">
        <v>-461.18349999999998</v>
      </c>
      <c r="H245">
        <v>1.030475</v>
      </c>
      <c r="I245">
        <v>368.12360000000001</v>
      </c>
      <c r="J245">
        <v>-461.87920000000003</v>
      </c>
      <c r="K245">
        <v>1.1083069999999999</v>
      </c>
      <c r="L245">
        <v>368.16</v>
      </c>
      <c r="M245">
        <v>0.99811709999999998</v>
      </c>
      <c r="N245">
        <v>0</v>
      </c>
      <c r="O245">
        <v>6.1317980000000001E-2</v>
      </c>
      <c r="P245">
        <v>0.99489780000000005</v>
      </c>
      <c r="Q245">
        <v>0.10048849999999999</v>
      </c>
      <c r="R245">
        <v>-9.0049259999999999E-3</v>
      </c>
      <c r="S245">
        <v>3.0438230000000002</v>
      </c>
      <c r="T245">
        <v>-0.29229719999999998</v>
      </c>
      <c r="U245">
        <v>-0.10968020000000001</v>
      </c>
      <c r="V245">
        <v>7.0117700000000005E-2</v>
      </c>
      <c r="W245">
        <v>0.102005</v>
      </c>
      <c r="X245">
        <v>0.99230969999999996</v>
      </c>
      <c r="Y245">
        <v>9.6495670000000006E-2</v>
      </c>
      <c r="Z245">
        <v>-1.049289E-2</v>
      </c>
      <c r="AA245">
        <v>0.99527810000000005</v>
      </c>
      <c r="AB245">
        <v>20</v>
      </c>
      <c r="AC245">
        <v>0.69570000000004395</v>
      </c>
      <c r="AD245">
        <v>-7.7831999999999901E-2</v>
      </c>
      <c r="AE245">
        <v>-3.6400000000014601E-2</v>
      </c>
      <c r="AF245">
        <v>7.8016668205839607E-2</v>
      </c>
      <c r="AG245">
        <v>-7.7831999999999901E-2</v>
      </c>
      <c r="AH245">
        <v>0.6836258724116</v>
      </c>
      <c r="AI245">
        <v>96.453723416561004</v>
      </c>
      <c r="AJ245">
        <v>83.4894645374128</v>
      </c>
      <c r="AK245">
        <v>0.69245126483562802</v>
      </c>
      <c r="AL245">
        <v>84.1453611329718</v>
      </c>
      <c r="AM245">
        <v>85.958134968444895</v>
      </c>
      <c r="AN245">
        <v>1.0000000262961799</v>
      </c>
    </row>
    <row r="246" spans="1:40" x14ac:dyDescent="0.25">
      <c r="A246" t="str">
        <f>"20190312163958603"</f>
        <v>20190312163958603</v>
      </c>
      <c r="B246" t="str">
        <f>"1552379998596727"</f>
        <v>1552379998596727</v>
      </c>
      <c r="C246" t="s">
        <v>40</v>
      </c>
      <c r="D246">
        <v>5.1116799999999998</v>
      </c>
      <c r="E246">
        <v>0.51550600000000002</v>
      </c>
      <c r="F246" t="s">
        <v>42</v>
      </c>
      <c r="G246">
        <v>-461.00729999999999</v>
      </c>
      <c r="H246">
        <v>1.026065</v>
      </c>
      <c r="I246">
        <v>368.12790000000001</v>
      </c>
      <c r="J246">
        <v>-461.68270000000001</v>
      </c>
      <c r="K246">
        <v>1.108279</v>
      </c>
      <c r="L246">
        <v>368.17110000000002</v>
      </c>
      <c r="M246">
        <v>0.99817270000000002</v>
      </c>
      <c r="N246">
        <v>0</v>
      </c>
      <c r="O246">
        <v>6.040541E-2</v>
      </c>
      <c r="P246">
        <v>0.99483500000000002</v>
      </c>
      <c r="Q246">
        <v>0.10104299999999999</v>
      </c>
      <c r="R246">
        <v>-9.7008519999999994E-3</v>
      </c>
      <c r="S246">
        <v>3.043396</v>
      </c>
      <c r="T246">
        <v>-0.28705429999999998</v>
      </c>
      <c r="U246">
        <v>-0.1113586</v>
      </c>
      <c r="V246">
        <v>6.9909040000000006E-2</v>
      </c>
      <c r="W246">
        <v>0.1025856</v>
      </c>
      <c r="X246">
        <v>0.99226460000000005</v>
      </c>
      <c r="Y246">
        <v>9.6169959999999999E-2</v>
      </c>
      <c r="Z246">
        <v>-1.0205779999999999E-2</v>
      </c>
      <c r="AA246">
        <v>0.99531259999999999</v>
      </c>
      <c r="AB246">
        <v>20</v>
      </c>
      <c r="AC246">
        <v>0.67540000000002398</v>
      </c>
      <c r="AD246">
        <v>-8.2213999999999995E-2</v>
      </c>
      <c r="AE246">
        <v>-4.3200000000012999E-2</v>
      </c>
      <c r="AF246">
        <v>8.2698598999537104E-2</v>
      </c>
      <c r="AG246">
        <v>-8.2213999999999995E-2</v>
      </c>
      <c r="AH246">
        <v>0.66179113768039199</v>
      </c>
      <c r="AI246">
        <v>97.027443553531896</v>
      </c>
      <c r="AJ246">
        <v>82.877139777929202</v>
      </c>
      <c r="AK246">
        <v>0.67198639121993697</v>
      </c>
      <c r="AL246">
        <v>84.111919959142895</v>
      </c>
      <c r="AM246">
        <v>85.969940718096893</v>
      </c>
      <c r="AN246">
        <v>1.00000005780711</v>
      </c>
    </row>
    <row r="247" spans="1:40" x14ac:dyDescent="0.25">
      <c r="A247" t="str">
        <f>"20190312163958626"</f>
        <v>20190312163958626</v>
      </c>
      <c r="B247" t="str">
        <f>"1552379998616247"</f>
        <v>1552379998616247</v>
      </c>
      <c r="C247" t="s">
        <v>40</v>
      </c>
      <c r="D247">
        <v>5.3195739999999896</v>
      </c>
      <c r="E247">
        <v>0.51542159999999904</v>
      </c>
      <c r="F247" t="s">
        <v>42</v>
      </c>
      <c r="G247">
        <v>-460.82639999999998</v>
      </c>
      <c r="H247">
        <v>1.0291410000000001</v>
      </c>
      <c r="I247">
        <v>368.13889999999998</v>
      </c>
      <c r="J247">
        <v>-461.476</v>
      </c>
      <c r="K247">
        <v>1.108252</v>
      </c>
      <c r="L247">
        <v>368.1825</v>
      </c>
      <c r="M247">
        <v>0.99823220000000001</v>
      </c>
      <c r="N247">
        <v>0</v>
      </c>
      <c r="O247">
        <v>5.9414040000000001E-2</v>
      </c>
      <c r="P247">
        <v>0.99482490000000001</v>
      </c>
      <c r="Q247">
        <v>0.10109460000000001</v>
      </c>
      <c r="R247">
        <v>-1.018267E-2</v>
      </c>
      <c r="S247">
        <v>3.043091</v>
      </c>
      <c r="T247">
        <v>-0.281306099999999</v>
      </c>
      <c r="U247">
        <v>-0.11322019999999999</v>
      </c>
      <c r="V247">
        <v>6.9410799999999995E-2</v>
      </c>
      <c r="W247">
        <v>0.1026648</v>
      </c>
      <c r="X247">
        <v>0.99229129999999999</v>
      </c>
      <c r="Y247">
        <v>9.5826190000000006E-2</v>
      </c>
      <c r="Z247">
        <v>-9.8960039999999999E-3</v>
      </c>
      <c r="AA247">
        <v>0.99534889999999998</v>
      </c>
      <c r="AB247">
        <v>20</v>
      </c>
      <c r="AC247">
        <v>0.64960000000002005</v>
      </c>
      <c r="AD247">
        <v>-7.9110999999999904E-2</v>
      </c>
      <c r="AE247">
        <v>-4.3600000000026201E-2</v>
      </c>
      <c r="AF247">
        <v>8.0923558807789106E-2</v>
      </c>
      <c r="AG247">
        <v>-7.9110999999999904E-2</v>
      </c>
      <c r="AH247">
        <v>0.63646465616076997</v>
      </c>
      <c r="AI247">
        <v>97.029367423957694</v>
      </c>
      <c r="AJ247">
        <v>82.753984040179503</v>
      </c>
      <c r="AK247">
        <v>0.64644754716292696</v>
      </c>
      <c r="AL247">
        <v>84.107357540886994</v>
      </c>
      <c r="AM247">
        <v>85.998676535136696</v>
      </c>
      <c r="AN247">
        <v>0.99999997218568404</v>
      </c>
    </row>
    <row r="248" spans="1:40" x14ac:dyDescent="0.25">
      <c r="A248" t="str">
        <f>"20190312163958647"</f>
        <v>20190312163958647</v>
      </c>
      <c r="B248" t="str">
        <f>"1552379998636743"</f>
        <v>1552379998636743</v>
      </c>
      <c r="C248" t="s">
        <v>40</v>
      </c>
      <c r="D248">
        <v>5.1622159999999999</v>
      </c>
      <c r="E248">
        <v>0.51548070000000001</v>
      </c>
      <c r="F248" t="s">
        <v>42</v>
      </c>
      <c r="G248">
        <v>-460.64400000000001</v>
      </c>
      <c r="H248">
        <v>1.032435</v>
      </c>
      <c r="I248">
        <v>368.15109999999999</v>
      </c>
      <c r="J248">
        <v>-461.28480000000002</v>
      </c>
      <c r="K248">
        <v>1.108231</v>
      </c>
      <c r="L248">
        <v>368.19290000000001</v>
      </c>
      <c r="M248">
        <v>0.99828760000000005</v>
      </c>
      <c r="N248">
        <v>0</v>
      </c>
      <c r="O248">
        <v>5.8473520000000001E-2</v>
      </c>
      <c r="P248">
        <v>0.99480210000000002</v>
      </c>
      <c r="Q248">
        <v>0.1012262</v>
      </c>
      <c r="R248">
        <v>-1.106942E-2</v>
      </c>
      <c r="S248">
        <v>3.0426030000000002</v>
      </c>
      <c r="T248">
        <v>-0.27729280000000001</v>
      </c>
      <c r="U248">
        <v>-0.1142883</v>
      </c>
      <c r="V248">
        <v>6.9365469999999999E-2</v>
      </c>
      <c r="W248">
        <v>0.1028218</v>
      </c>
      <c r="X248">
        <v>0.9922782</v>
      </c>
      <c r="Y248">
        <v>9.5267989999999997E-2</v>
      </c>
      <c r="Z248">
        <v>-9.6460980000000005E-3</v>
      </c>
      <c r="AA248">
        <v>0.99540490000000004</v>
      </c>
      <c r="AB248">
        <v>20</v>
      </c>
      <c r="AC248">
        <v>0.64080000000001203</v>
      </c>
      <c r="AD248">
        <v>-7.5795999999999905E-2</v>
      </c>
      <c r="AE248">
        <v>-4.1800000000023298E-2</v>
      </c>
      <c r="AF248">
        <v>7.8110155026216793E-2</v>
      </c>
      <c r="AG248">
        <v>-7.5795999999999905E-2</v>
      </c>
      <c r="AH248">
        <v>0.62850325896025905</v>
      </c>
      <c r="AI248">
        <v>96.824525232561498</v>
      </c>
      <c r="AJ248">
        <v>82.915626192483899</v>
      </c>
      <c r="AK248">
        <v>0.63785780269421</v>
      </c>
      <c r="AL248">
        <v>84.098314164726403</v>
      </c>
      <c r="AM248">
        <v>86.001228573644795</v>
      </c>
      <c r="AN248">
        <v>0.99999995858939905</v>
      </c>
    </row>
    <row r="249" spans="1:40" x14ac:dyDescent="0.25">
      <c r="A249" t="str">
        <f>"20190312163958660"</f>
        <v>20190312163958660</v>
      </c>
      <c r="B249" t="str">
        <f>"1552379998656263"</f>
        <v>1552379998656263</v>
      </c>
      <c r="C249" t="s">
        <v>40</v>
      </c>
      <c r="D249">
        <v>5.0766470000000004</v>
      </c>
      <c r="E249">
        <v>0.51546930000000002</v>
      </c>
      <c r="F249" t="s">
        <v>42</v>
      </c>
      <c r="G249">
        <v>-460.46069999999997</v>
      </c>
      <c r="H249">
        <v>1.0340860000000001</v>
      </c>
      <c r="I249">
        <v>368.16019999999997</v>
      </c>
      <c r="J249">
        <v>-461.16669999999999</v>
      </c>
      <c r="K249">
        <v>1.1082179999999999</v>
      </c>
      <c r="L249">
        <v>368.19909999999999</v>
      </c>
      <c r="M249">
        <v>0.99832200000000004</v>
      </c>
      <c r="N249">
        <v>0</v>
      </c>
      <c r="O249">
        <v>5.7884140000000001E-2</v>
      </c>
      <c r="P249">
        <v>0.99475670000000005</v>
      </c>
      <c r="Q249">
        <v>0.101627</v>
      </c>
      <c r="R249">
        <v>-1.146427E-2</v>
      </c>
      <c r="S249">
        <v>3.0422669999999998</v>
      </c>
      <c r="T249">
        <v>-0.27395740000000002</v>
      </c>
      <c r="U249">
        <v>-0.11816409999999999</v>
      </c>
      <c r="V249">
        <v>6.9174890000000003E-2</v>
      </c>
      <c r="W249">
        <v>0.1032391</v>
      </c>
      <c r="X249">
        <v>0.99224820000000002</v>
      </c>
      <c r="Y249">
        <v>9.5965330000000001E-2</v>
      </c>
      <c r="Z249">
        <v>-9.5098179999999997E-3</v>
      </c>
      <c r="AA249">
        <v>0.99533930000000004</v>
      </c>
      <c r="AB249">
        <v>20</v>
      </c>
      <c r="AC249">
        <v>0.70600000000001695</v>
      </c>
      <c r="AD249">
        <v>-7.4131999999999795E-2</v>
      </c>
      <c r="AE249">
        <v>-3.89000000000123E-2</v>
      </c>
      <c r="AF249">
        <v>7.8834466604394193E-2</v>
      </c>
      <c r="AG249">
        <v>-7.4131999999999795E-2</v>
      </c>
      <c r="AH249">
        <v>0.69492577662107402</v>
      </c>
      <c r="AI249">
        <v>96.050546773194</v>
      </c>
      <c r="AJ249">
        <v>83.527864083230497</v>
      </c>
      <c r="AK249">
        <v>0.70330097508904599</v>
      </c>
      <c r="AL249">
        <v>84.074276862160005</v>
      </c>
      <c r="AM249">
        <v>86.012059428853405</v>
      </c>
      <c r="AN249">
        <v>0.99999998378928101</v>
      </c>
    </row>
    <row r="250" spans="1:40" x14ac:dyDescent="0.25">
      <c r="A250" t="str">
        <f>"20190312163958680"</f>
        <v>20190312163958680</v>
      </c>
      <c r="B250" t="str">
        <f>"1552379998676759"</f>
        <v>1552379998676759</v>
      </c>
      <c r="C250" t="s">
        <v>40</v>
      </c>
      <c r="D250">
        <v>5.1565699999999897</v>
      </c>
      <c r="E250">
        <v>0.51552600000000004</v>
      </c>
      <c r="F250" t="s">
        <v>42</v>
      </c>
      <c r="G250">
        <v>-460.2792</v>
      </c>
      <c r="H250">
        <v>1.0284759999999999</v>
      </c>
      <c r="I250">
        <v>368.16410000000002</v>
      </c>
      <c r="J250">
        <v>-460.9794</v>
      </c>
      <c r="K250">
        <v>1.108206</v>
      </c>
      <c r="L250">
        <v>368.209</v>
      </c>
      <c r="M250">
        <v>0.99837640000000005</v>
      </c>
      <c r="N250">
        <v>0</v>
      </c>
      <c r="O250">
        <v>5.6935359999999997E-2</v>
      </c>
      <c r="P250">
        <v>0.99473080000000003</v>
      </c>
      <c r="Q250">
        <v>0.1017687</v>
      </c>
      <c r="R250">
        <v>-1.2420189999999999E-2</v>
      </c>
      <c r="S250">
        <v>3.042389</v>
      </c>
      <c r="T250">
        <v>-0.27340609999999999</v>
      </c>
      <c r="U250">
        <v>-0.1193848</v>
      </c>
      <c r="V250">
        <v>6.9188890000000003E-2</v>
      </c>
      <c r="W250">
        <v>0.1034099</v>
      </c>
      <c r="X250">
        <v>0.99222949999999999</v>
      </c>
      <c r="Y250">
        <v>9.5425159999999995E-2</v>
      </c>
      <c r="Z250">
        <v>-9.3811080000000008E-3</v>
      </c>
      <c r="AA250">
        <v>0.99539239999999996</v>
      </c>
      <c r="AB250">
        <v>20</v>
      </c>
      <c r="AC250">
        <v>0.70019999999999505</v>
      </c>
      <c r="AD250">
        <v>-7.9729999999999995E-2</v>
      </c>
      <c r="AE250">
        <v>-4.4899999999984098E-2</v>
      </c>
      <c r="AF250">
        <v>8.3613684738168201E-2</v>
      </c>
      <c r="AG250">
        <v>-7.9729999999999995E-2</v>
      </c>
      <c r="AH250">
        <v>0.68762863293329801</v>
      </c>
      <c r="AI250">
        <v>96.5659302996566</v>
      </c>
      <c r="AJ250">
        <v>83.067032562879604</v>
      </c>
      <c r="AK250">
        <v>0.69726699190855901</v>
      </c>
      <c r="AL250">
        <v>84.064438449125902</v>
      </c>
      <c r="AM250">
        <v>86.011180001139905</v>
      </c>
      <c r="AN250">
        <v>1.00000004529384</v>
      </c>
    </row>
    <row r="251" spans="1:40" x14ac:dyDescent="0.25">
      <c r="A251" t="str">
        <f>"20190312163958703"</f>
        <v>20190312163958703</v>
      </c>
      <c r="B251" t="str">
        <f>"1552379998696912"</f>
        <v>1552379998696912</v>
      </c>
      <c r="C251" t="s">
        <v>40</v>
      </c>
      <c r="D251">
        <v>5.0978750000000002</v>
      </c>
      <c r="E251">
        <v>0.5157465</v>
      </c>
      <c r="F251" t="s">
        <v>42</v>
      </c>
      <c r="G251">
        <v>-460.09359999999998</v>
      </c>
      <c r="H251">
        <v>1.0288139999999999</v>
      </c>
      <c r="I251">
        <v>368.1728</v>
      </c>
      <c r="J251">
        <v>-460.7697</v>
      </c>
      <c r="K251">
        <v>1.1081920000000001</v>
      </c>
      <c r="L251">
        <v>368.21969999999999</v>
      </c>
      <c r="M251">
        <v>0.99843689999999996</v>
      </c>
      <c r="N251">
        <v>0</v>
      </c>
      <c r="O251">
        <v>5.5862410000000001E-2</v>
      </c>
      <c r="P251">
        <v>0.99465119999999896</v>
      </c>
      <c r="Q251">
        <v>0.10236190000000001</v>
      </c>
      <c r="R251">
        <v>-1.382514E-2</v>
      </c>
      <c r="S251">
        <v>3.0422359999999999</v>
      </c>
      <c r="T251">
        <v>-0.27282859999999998</v>
      </c>
      <c r="U251">
        <v>-0.1225586</v>
      </c>
      <c r="V251">
        <v>6.9525260000000005E-2</v>
      </c>
      <c r="W251">
        <v>0.1040383</v>
      </c>
      <c r="X251">
        <v>0.99214020000000003</v>
      </c>
      <c r="Y251">
        <v>9.5401159999999999E-2</v>
      </c>
      <c r="Z251">
        <v>-9.2646780000000001E-3</v>
      </c>
      <c r="AA251">
        <v>0.99539580000000005</v>
      </c>
      <c r="AB251">
        <v>21</v>
      </c>
      <c r="AC251">
        <v>0.67610000000001902</v>
      </c>
      <c r="AD251">
        <v>-7.9378000000000101E-2</v>
      </c>
      <c r="AE251">
        <v>-4.6899999999993697E-2</v>
      </c>
      <c r="AF251">
        <v>8.3450616147155293E-2</v>
      </c>
      <c r="AG251">
        <v>-7.9378000000000101E-2</v>
      </c>
      <c r="AH251">
        <v>0.66332475118543899</v>
      </c>
      <c r="AI251">
        <v>96.771084703924203</v>
      </c>
      <c r="AJ251">
        <v>82.829485715925202</v>
      </c>
      <c r="AK251">
        <v>0.67324928351582003</v>
      </c>
      <c r="AL251">
        <v>84.028237970982303</v>
      </c>
      <c r="AM251">
        <v>85.991491344986898</v>
      </c>
      <c r="AN251">
        <v>0.99999995305049705</v>
      </c>
    </row>
    <row r="252" spans="1:40" x14ac:dyDescent="0.25">
      <c r="A252" t="str">
        <f>"20190312163958715"</f>
        <v>20190312163958715</v>
      </c>
      <c r="B252" t="str">
        <f>"1552379998706672"</f>
        <v>1552379998706672</v>
      </c>
      <c r="C252" t="s">
        <v>40</v>
      </c>
      <c r="D252">
        <v>5.1463760000000001</v>
      </c>
      <c r="E252">
        <v>0.5157813</v>
      </c>
      <c r="F252" t="s">
        <v>42</v>
      </c>
      <c r="G252">
        <v>-459.90550000000002</v>
      </c>
      <c r="H252">
        <v>1.0314460000000001</v>
      </c>
      <c r="I252">
        <v>368.18290000000002</v>
      </c>
      <c r="J252">
        <v>-460.65269999999998</v>
      </c>
      <c r="K252">
        <v>1.1081909999999999</v>
      </c>
      <c r="L252">
        <v>368.22559999999999</v>
      </c>
      <c r="M252">
        <v>0.99847030000000003</v>
      </c>
      <c r="N252">
        <v>0</v>
      </c>
      <c r="O252">
        <v>5.5261409999999997E-2</v>
      </c>
      <c r="P252">
        <v>0.99461690000000003</v>
      </c>
      <c r="Q252">
        <v>0.102588</v>
      </c>
      <c r="R252">
        <v>-1.4606269999999999E-2</v>
      </c>
      <c r="S252">
        <v>3.0422060000000002</v>
      </c>
      <c r="T252">
        <v>-0.27022839999999998</v>
      </c>
      <c r="U252">
        <v>-0.12829589999999999</v>
      </c>
      <c r="V252">
        <v>6.97078E-2</v>
      </c>
      <c r="W252">
        <v>0.1042858</v>
      </c>
      <c r="X252">
        <v>0.99210140000000002</v>
      </c>
      <c r="Y252">
        <v>9.6685190000000004E-2</v>
      </c>
      <c r="Z252">
        <v>-9.1801959999999998E-3</v>
      </c>
      <c r="AA252">
        <v>0.99527270000000001</v>
      </c>
      <c r="AB252">
        <v>21</v>
      </c>
      <c r="AC252">
        <v>0.747199999999963</v>
      </c>
      <c r="AD252">
        <v>-7.6744999999999994E-2</v>
      </c>
      <c r="AE252">
        <v>-4.2699999999967903E-2</v>
      </c>
      <c r="AF252">
        <v>8.3052840163699904E-2</v>
      </c>
      <c r="AG252">
        <v>-7.6744999999999994E-2</v>
      </c>
      <c r="AH252">
        <v>0.73595990974772596</v>
      </c>
      <c r="AI252">
        <v>95.915935675461697</v>
      </c>
      <c r="AJ252">
        <v>83.561429263215899</v>
      </c>
      <c r="AK252">
        <v>0.744596909770742</v>
      </c>
      <c r="AL252">
        <v>84.013979666382795</v>
      </c>
      <c r="AM252">
        <v>85.980844702777006</v>
      </c>
      <c r="AN252">
        <v>0.99999994667221803</v>
      </c>
    </row>
    <row r="253" spans="1:40" x14ac:dyDescent="0.25">
      <c r="A253" t="str">
        <f>"20190312163958728"</f>
        <v>20190312163958728</v>
      </c>
      <c r="B253" t="str">
        <f>"1552379998716432"</f>
        <v>1552379998716432</v>
      </c>
      <c r="C253" t="s">
        <v>40</v>
      </c>
      <c r="D253">
        <v>5.1813919999999998</v>
      </c>
      <c r="E253">
        <v>0.51583579999999996</v>
      </c>
      <c r="F253" t="s">
        <v>42</v>
      </c>
      <c r="G253">
        <v>-459.90120000000002</v>
      </c>
      <c r="H253">
        <v>1.041679</v>
      </c>
      <c r="I253">
        <v>368.19299999999998</v>
      </c>
      <c r="J253">
        <v>-460.53660000000002</v>
      </c>
      <c r="K253">
        <v>1.10819</v>
      </c>
      <c r="L253">
        <v>368.23140000000001</v>
      </c>
      <c r="M253">
        <v>0.99850309999999998</v>
      </c>
      <c r="N253">
        <v>0</v>
      </c>
      <c r="O253">
        <v>5.4663820000000002E-2</v>
      </c>
      <c r="P253">
        <v>0.99455930000000003</v>
      </c>
      <c r="Q253">
        <v>0.1030146</v>
      </c>
      <c r="R253">
        <v>-1.548042E-2</v>
      </c>
      <c r="S253">
        <v>3.0421140000000002</v>
      </c>
      <c r="T253">
        <v>-0.26928999999999997</v>
      </c>
      <c r="U253">
        <v>-0.13064580000000001</v>
      </c>
      <c r="V253">
        <v>6.9985649999999996E-2</v>
      </c>
      <c r="W253">
        <v>0.10473449999999999</v>
      </c>
      <c r="X253">
        <v>0.99203459999999999</v>
      </c>
      <c r="Y253">
        <v>9.6863950000000004E-2</v>
      </c>
      <c r="Z253">
        <v>-9.1037410000000003E-3</v>
      </c>
      <c r="AA253">
        <v>0.99525600000000003</v>
      </c>
      <c r="AB253">
        <v>21</v>
      </c>
      <c r="AC253">
        <v>0.63540000000000396</v>
      </c>
      <c r="AD253">
        <v>-6.6510999999999904E-2</v>
      </c>
      <c r="AE253">
        <v>-3.8399999999967301E-2</v>
      </c>
      <c r="AF253">
        <v>7.2286868919527306E-2</v>
      </c>
      <c r="AG253">
        <v>-6.6510999999999904E-2</v>
      </c>
      <c r="AH253">
        <v>0.62552194590535704</v>
      </c>
      <c r="AI253">
        <v>96.029557748850706</v>
      </c>
      <c r="AJ253">
        <v>83.407998411078395</v>
      </c>
      <c r="AK253">
        <v>0.63318781522421397</v>
      </c>
      <c r="AL253">
        <v>83.988129672159303</v>
      </c>
      <c r="AM253">
        <v>85.964606656273403</v>
      </c>
      <c r="AN253">
        <v>0.999999977146666</v>
      </c>
    </row>
    <row r="254" spans="1:40" x14ac:dyDescent="0.25">
      <c r="A254" t="str">
        <f>"20190312163958747"</f>
        <v>20190312163958747</v>
      </c>
      <c r="B254" t="str">
        <f>"1552379998736931"</f>
        <v>1552379998736931</v>
      </c>
      <c r="C254" t="s">
        <v>40</v>
      </c>
      <c r="D254">
        <v>5.1165909999999997</v>
      </c>
      <c r="E254">
        <v>0.51593270000000002</v>
      </c>
      <c r="F254" t="s">
        <v>42</v>
      </c>
      <c r="G254">
        <v>-459.71539999999999</v>
      </c>
      <c r="H254">
        <v>1.035755</v>
      </c>
      <c r="I254">
        <v>368.19470000000001</v>
      </c>
      <c r="J254">
        <v>-460.3553</v>
      </c>
      <c r="K254">
        <v>1.1081909999999999</v>
      </c>
      <c r="L254">
        <v>368.24029999999999</v>
      </c>
      <c r="M254">
        <v>0.99855380000000005</v>
      </c>
      <c r="N254">
        <v>0</v>
      </c>
      <c r="O254">
        <v>5.3729659999999999E-2</v>
      </c>
      <c r="P254">
        <v>0.99443499999999996</v>
      </c>
      <c r="Q254">
        <v>0.10397099999999999</v>
      </c>
      <c r="R254">
        <v>-1.701165E-2</v>
      </c>
      <c r="S254">
        <v>3.0421140000000002</v>
      </c>
      <c r="T254">
        <v>-0.26849070000000003</v>
      </c>
      <c r="U254">
        <v>-0.133606</v>
      </c>
      <c r="V254">
        <v>7.0582640000000002E-2</v>
      </c>
      <c r="W254">
        <v>0.1057255</v>
      </c>
      <c r="X254">
        <v>0.99188719999999997</v>
      </c>
      <c r="Y254">
        <v>9.6906510000000001E-2</v>
      </c>
      <c r="Z254">
        <v>-8.9963360000000006E-3</v>
      </c>
      <c r="AA254">
        <v>0.99525280000000005</v>
      </c>
      <c r="AB254">
        <v>21</v>
      </c>
      <c r="AC254">
        <v>0.63990000000001102</v>
      </c>
      <c r="AD254">
        <v>-7.2435999999999903E-2</v>
      </c>
      <c r="AE254">
        <v>-4.55999999999789E-2</v>
      </c>
      <c r="AF254">
        <v>7.8909759074066693E-2</v>
      </c>
      <c r="AG254">
        <v>-7.2435999999999903E-2</v>
      </c>
      <c r="AH254">
        <v>0.62851252882595698</v>
      </c>
      <c r="AI254">
        <v>96.523559623054496</v>
      </c>
      <c r="AJ254">
        <v>82.843956891660596</v>
      </c>
      <c r="AK254">
        <v>0.63757487643752597</v>
      </c>
      <c r="AL254">
        <v>83.931032705971205</v>
      </c>
      <c r="AM254">
        <v>85.929696464332906</v>
      </c>
      <c r="AN254">
        <v>1.0000000039717201</v>
      </c>
    </row>
    <row r="255" spans="1:40" x14ac:dyDescent="0.25">
      <c r="A255" t="str">
        <f>"20190312163958759"</f>
        <v>20190312163958759</v>
      </c>
      <c r="B255" t="str">
        <f>"1552379998756448"</f>
        <v>1552379998756448</v>
      </c>
      <c r="C255" t="s">
        <v>40</v>
      </c>
      <c r="D255">
        <v>5.6181609999999997</v>
      </c>
      <c r="E255">
        <v>0.51603920000000003</v>
      </c>
      <c r="F255" t="s">
        <v>42</v>
      </c>
      <c r="G255">
        <v>-459.5256</v>
      </c>
      <c r="H255">
        <v>1.0356810000000001</v>
      </c>
      <c r="I255">
        <v>368.20209999999997</v>
      </c>
      <c r="J255">
        <v>-460.23899999999998</v>
      </c>
      <c r="K255">
        <v>1.108193</v>
      </c>
      <c r="L255">
        <v>368.24590000000001</v>
      </c>
      <c r="M255">
        <v>0.99858570000000002</v>
      </c>
      <c r="N255">
        <v>0</v>
      </c>
      <c r="O255">
        <v>5.3130759999999999E-2</v>
      </c>
      <c r="P255">
        <v>0.99440220000000001</v>
      </c>
      <c r="Q255">
        <v>0.10420169999999999</v>
      </c>
      <c r="R255">
        <v>-1.7498650000000001E-2</v>
      </c>
      <c r="S255">
        <v>3.0422060000000002</v>
      </c>
      <c r="T255">
        <v>-0.265847099999999</v>
      </c>
      <c r="U255">
        <v>-0.13912959999999999</v>
      </c>
      <c r="V255">
        <v>7.0473359999999999E-2</v>
      </c>
      <c r="W255">
        <v>0.1059797</v>
      </c>
      <c r="X255">
        <v>0.99186779999999997</v>
      </c>
      <c r="Y255">
        <v>9.8120840000000001E-2</v>
      </c>
      <c r="Z255">
        <v>-8.9082680000000004E-3</v>
      </c>
      <c r="AA255">
        <v>0.99513470000000004</v>
      </c>
      <c r="AB255">
        <v>21</v>
      </c>
      <c r="AC255">
        <v>0.71340000000003501</v>
      </c>
      <c r="AD255">
        <v>-7.2512000000000104E-2</v>
      </c>
      <c r="AE255">
        <v>-4.3800000000032903E-2</v>
      </c>
      <c r="AF255">
        <v>8.0809955815741796E-2</v>
      </c>
      <c r="AG255">
        <v>-7.2512000000000104E-2</v>
      </c>
      <c r="AH255">
        <v>0.70283136252672396</v>
      </c>
      <c r="AI255">
        <v>95.852151962793101</v>
      </c>
      <c r="AJ255">
        <v>83.441062830172697</v>
      </c>
      <c r="AK255">
        <v>0.71116816805458405</v>
      </c>
      <c r="AL255">
        <v>83.916385573792297</v>
      </c>
      <c r="AM255">
        <v>85.935897982213206</v>
      </c>
      <c r="AN255">
        <v>0.99999996197930896</v>
      </c>
    </row>
    <row r="256" spans="1:40" x14ac:dyDescent="0.25">
      <c r="A256" t="str">
        <f>"20190312163958772"</f>
        <v>20190312163958772</v>
      </c>
      <c r="B256" t="str">
        <f>"1552379998766208"</f>
        <v>1552379998766208</v>
      </c>
      <c r="C256" t="s">
        <v>40</v>
      </c>
      <c r="D256">
        <v>5.129848</v>
      </c>
      <c r="E256">
        <v>0.51609519999999998</v>
      </c>
      <c r="F256" t="s">
        <v>42</v>
      </c>
      <c r="G256">
        <v>-459.33679999999998</v>
      </c>
      <c r="H256">
        <v>1.029908</v>
      </c>
      <c r="I256">
        <v>368.20330000000001</v>
      </c>
      <c r="J256">
        <v>-460.11500000000001</v>
      </c>
      <c r="K256">
        <v>1.108193</v>
      </c>
      <c r="L256">
        <v>368.2518</v>
      </c>
      <c r="M256">
        <v>0.99861940000000005</v>
      </c>
      <c r="N256">
        <v>0</v>
      </c>
      <c r="O256">
        <v>5.2493770000000002E-2</v>
      </c>
      <c r="P256">
        <v>0.99432220000000004</v>
      </c>
      <c r="Q256">
        <v>0.10481070000000001</v>
      </c>
      <c r="R256">
        <v>-1.8390719999999999E-2</v>
      </c>
      <c r="S256">
        <v>3.0420530000000001</v>
      </c>
      <c r="T256">
        <v>-0.26409009999999999</v>
      </c>
      <c r="U256">
        <v>-0.1422119</v>
      </c>
      <c r="V256">
        <v>7.0728970000000002E-2</v>
      </c>
      <c r="W256">
        <v>0.1066126</v>
      </c>
      <c r="X256">
        <v>0.99178180000000005</v>
      </c>
      <c r="Y256">
        <v>9.8502980000000004E-2</v>
      </c>
      <c r="Z256">
        <v>-8.8112859999999998E-3</v>
      </c>
      <c r="AA256">
        <v>0.99509780000000003</v>
      </c>
      <c r="AB256">
        <v>21</v>
      </c>
      <c r="AC256">
        <v>0.77820000000002598</v>
      </c>
      <c r="AD256">
        <v>-7.8284999999999896E-2</v>
      </c>
      <c r="AE256">
        <v>-4.8499999999990002E-2</v>
      </c>
      <c r="AF256">
        <v>8.8392795824048104E-2</v>
      </c>
      <c r="AG256">
        <v>-7.8284999999999896E-2</v>
      </c>
      <c r="AH256">
        <v>0.76685070331349703</v>
      </c>
      <c r="AI256">
        <v>95.790844747763103</v>
      </c>
      <c r="AJ256">
        <v>83.4246898465572</v>
      </c>
      <c r="AK256">
        <v>0.77588776814111204</v>
      </c>
      <c r="AL256">
        <v>83.879916606761896</v>
      </c>
      <c r="AM256">
        <v>85.920854476956094</v>
      </c>
      <c r="AN256">
        <v>0.99999998624362996</v>
      </c>
    </row>
    <row r="257" spans="1:40" x14ac:dyDescent="0.25">
      <c r="A257" t="str">
        <f>"20190312163958794"</f>
        <v>20190312163958794</v>
      </c>
      <c r="B257" t="str">
        <f>"1552379998786703"</f>
        <v>1552379998786703</v>
      </c>
      <c r="C257" t="s">
        <v>40</v>
      </c>
      <c r="D257">
        <v>5.1005529999999997</v>
      </c>
      <c r="E257">
        <v>0.51611779999999996</v>
      </c>
      <c r="F257" t="s">
        <v>42</v>
      </c>
      <c r="G257">
        <v>-459.33199999999999</v>
      </c>
      <c r="H257">
        <v>1.0410980000000001</v>
      </c>
      <c r="I257">
        <v>368.214</v>
      </c>
      <c r="J257">
        <v>-459.91140000000001</v>
      </c>
      <c r="K257">
        <v>1.108196</v>
      </c>
      <c r="L257">
        <v>368.26139999999998</v>
      </c>
      <c r="M257">
        <v>0.99867379999999994</v>
      </c>
      <c r="N257">
        <v>0</v>
      </c>
      <c r="O257">
        <v>5.1449519999999999E-2</v>
      </c>
      <c r="P257">
        <v>0.99418519999999999</v>
      </c>
      <c r="Q257">
        <v>0.1058944</v>
      </c>
      <c r="R257">
        <v>-1.9555309999999999E-2</v>
      </c>
      <c r="S257">
        <v>3.0419309999999999</v>
      </c>
      <c r="T257">
        <v>-0.26078810000000002</v>
      </c>
      <c r="U257">
        <v>-0.1454773</v>
      </c>
      <c r="V257">
        <v>7.0850540000000004E-2</v>
      </c>
      <c r="W257">
        <v>0.1077362</v>
      </c>
      <c r="X257">
        <v>0.99165170000000002</v>
      </c>
      <c r="Y257">
        <v>9.8547830000000003E-2</v>
      </c>
      <c r="Z257">
        <v>-8.6143239999999996E-3</v>
      </c>
      <c r="AA257">
        <v>0.99509499999999995</v>
      </c>
      <c r="AB257">
        <v>21</v>
      </c>
      <c r="AC257">
        <v>0.57940000000002101</v>
      </c>
      <c r="AD257">
        <v>-6.7098000000000102E-2</v>
      </c>
      <c r="AE257">
        <v>-4.7399999999981901E-2</v>
      </c>
      <c r="AF257">
        <v>7.6132895712417201E-2</v>
      </c>
      <c r="AG257">
        <v>-6.7098000000000102E-2</v>
      </c>
      <c r="AH257">
        <v>0.56861885847094196</v>
      </c>
      <c r="AI257">
        <v>96.670894249266894</v>
      </c>
      <c r="AJ257">
        <v>82.373970228388401</v>
      </c>
      <c r="AK257">
        <v>0.57760346746046698</v>
      </c>
      <c r="AL257">
        <v>83.815166146244394</v>
      </c>
      <c r="AM257">
        <v>85.913332644913794</v>
      </c>
      <c r="AN257">
        <v>0.99999999096081005</v>
      </c>
    </row>
    <row r="258" spans="1:40" x14ac:dyDescent="0.25">
      <c r="A258" t="str">
        <f>"20190312163958815"</f>
        <v>20190312163958815</v>
      </c>
      <c r="B258" t="str">
        <f>"1552379998807054"</f>
        <v>1552379998807054</v>
      </c>
      <c r="C258" t="s">
        <v>40</v>
      </c>
      <c r="D258">
        <v>5.1190810000000004</v>
      </c>
      <c r="E258">
        <v>0.51619879999999996</v>
      </c>
      <c r="F258" t="s">
        <v>42</v>
      </c>
      <c r="G258">
        <v>-459.13839999999999</v>
      </c>
      <c r="H258">
        <v>1.043331</v>
      </c>
      <c r="I258">
        <v>368.22359999999998</v>
      </c>
      <c r="J258">
        <v>-459.69729999999998</v>
      </c>
      <c r="K258">
        <v>1.1081989999999999</v>
      </c>
      <c r="L258">
        <v>368.27120000000002</v>
      </c>
      <c r="M258">
        <v>0.99872950000000005</v>
      </c>
      <c r="N258">
        <v>0</v>
      </c>
      <c r="O258">
        <v>5.0354129999999997E-2</v>
      </c>
      <c r="P258">
        <v>0.99400120000000003</v>
      </c>
      <c r="Q258">
        <v>0.1073786</v>
      </c>
      <c r="R258">
        <v>-2.0775999999999999E-2</v>
      </c>
      <c r="S258">
        <v>3.0418400000000001</v>
      </c>
      <c r="T258">
        <v>-0.2553338</v>
      </c>
      <c r="U258">
        <v>-0.1485291</v>
      </c>
      <c r="V258">
        <v>7.0976330000000004E-2</v>
      </c>
      <c r="W258">
        <v>0.1092621</v>
      </c>
      <c r="X258">
        <v>0.99147580000000002</v>
      </c>
      <c r="Y258">
        <v>9.848063E-2</v>
      </c>
      <c r="Z258">
        <v>-8.3403609999999993E-3</v>
      </c>
      <c r="AA258">
        <v>0.99510399999999999</v>
      </c>
      <c r="AB258">
        <v>21</v>
      </c>
      <c r="AC258">
        <v>0.55889999999999396</v>
      </c>
      <c r="AD258">
        <v>-6.4867999999999898E-2</v>
      </c>
      <c r="AE258">
        <v>-4.7600000000045301E-2</v>
      </c>
      <c r="AF258">
        <v>7.4683788830243097E-2</v>
      </c>
      <c r="AG258">
        <v>-6.4867999999999898E-2</v>
      </c>
      <c r="AH258">
        <v>0.548459160517488</v>
      </c>
      <c r="AI258">
        <v>96.684098741339696</v>
      </c>
      <c r="AJ258">
        <v>82.245715509404405</v>
      </c>
      <c r="AK258">
        <v>0.55730869048812504</v>
      </c>
      <c r="AL258">
        <v>83.727219712873193</v>
      </c>
      <c r="AM258">
        <v>85.905377873525296</v>
      </c>
      <c r="AN258">
        <v>1.00000005395115</v>
      </c>
    </row>
    <row r="259" spans="1:40" x14ac:dyDescent="0.25">
      <c r="A259" t="str">
        <f>"20190312163958839"</f>
        <v>20190312163958839</v>
      </c>
      <c r="B259" t="str">
        <f>"1552379998826574"</f>
        <v>1552379998826574</v>
      </c>
      <c r="C259" t="s">
        <v>40</v>
      </c>
      <c r="D259">
        <v>5.1310560000000001</v>
      </c>
      <c r="E259">
        <v>0.5161791</v>
      </c>
      <c r="F259" t="s">
        <v>42</v>
      </c>
      <c r="G259">
        <v>-458.94290000000001</v>
      </c>
      <c r="H259">
        <v>1.0465009999999999</v>
      </c>
      <c r="I259">
        <v>368.23259999999999</v>
      </c>
      <c r="J259">
        <v>-459.47699999999998</v>
      </c>
      <c r="K259">
        <v>1.1082000000000001</v>
      </c>
      <c r="L259">
        <v>368.28109999999998</v>
      </c>
      <c r="M259">
        <v>0.99878529999999999</v>
      </c>
      <c r="N259">
        <v>0</v>
      </c>
      <c r="O259">
        <v>4.923143E-2</v>
      </c>
      <c r="P259">
        <v>0.99388129999999997</v>
      </c>
      <c r="Q259">
        <v>0.10828889999999999</v>
      </c>
      <c r="R259">
        <v>-2.1760080000000001E-2</v>
      </c>
      <c r="S259">
        <v>3.0418090000000002</v>
      </c>
      <c r="T259">
        <v>-0.24897269999999999</v>
      </c>
      <c r="U259">
        <v>-0.15335079999999901</v>
      </c>
      <c r="V259">
        <v>7.0841660000000001E-2</v>
      </c>
      <c r="W259">
        <v>0.1102148</v>
      </c>
      <c r="X259">
        <v>0.99137989999999998</v>
      </c>
      <c r="Y259">
        <v>9.8963919999999997E-2</v>
      </c>
      <c r="Z259">
        <v>-8.0611629999999997E-3</v>
      </c>
      <c r="AA259">
        <v>0.99505840000000001</v>
      </c>
      <c r="AB259">
        <v>22</v>
      </c>
      <c r="AC259">
        <v>0.53409999999996605</v>
      </c>
      <c r="AD259">
        <v>-6.16989999999999E-2</v>
      </c>
      <c r="AE259">
        <v>-4.8499999999990002E-2</v>
      </c>
      <c r="AF259">
        <v>7.3759496981909201E-2</v>
      </c>
      <c r="AG259">
        <v>-6.16989999999999E-2</v>
      </c>
      <c r="AH259">
        <v>0.52412745988431497</v>
      </c>
      <c r="AI259">
        <v>96.648899631349593</v>
      </c>
      <c r="AJ259">
        <v>81.989474787922902</v>
      </c>
      <c r="AK259">
        <v>0.53287599326748503</v>
      </c>
      <c r="AL259">
        <v>83.672301846433896</v>
      </c>
      <c r="AM259">
        <v>85.912726631192299</v>
      </c>
      <c r="AN259">
        <v>0.99999997452730205</v>
      </c>
    </row>
    <row r="260" spans="1:40" x14ac:dyDescent="0.25">
      <c r="A260" t="str">
        <f>"20190312163958859"</f>
        <v>20190312163958859</v>
      </c>
      <c r="B260" t="str">
        <f>"1552379998856831"</f>
        <v>1552379998856831</v>
      </c>
      <c r="C260" t="s">
        <v>40</v>
      </c>
      <c r="D260">
        <v>5.540451</v>
      </c>
      <c r="E260">
        <v>0.51622539999999995</v>
      </c>
      <c r="F260" t="s">
        <v>42</v>
      </c>
      <c r="G260">
        <v>-458.55590000000001</v>
      </c>
      <c r="H260">
        <v>1.033839</v>
      </c>
      <c r="I260">
        <v>368.23320000000001</v>
      </c>
      <c r="J260">
        <v>-459.2697</v>
      </c>
      <c r="K260">
        <v>1.108201</v>
      </c>
      <c r="L260">
        <v>368.29020000000003</v>
      </c>
      <c r="M260">
        <v>0.99883659999999996</v>
      </c>
      <c r="N260">
        <v>0</v>
      </c>
      <c r="O260">
        <v>4.8177989999999997E-2</v>
      </c>
      <c r="P260">
        <v>0.99372050000000001</v>
      </c>
      <c r="Q260">
        <v>0.109567</v>
      </c>
      <c r="R260">
        <v>-2.2688679999999999E-2</v>
      </c>
      <c r="S260">
        <v>3.0418699999999999</v>
      </c>
      <c r="T260">
        <v>-0.24576700000000001</v>
      </c>
      <c r="U260">
        <v>-0.15625</v>
      </c>
      <c r="V260">
        <v>7.0719260000000006E-2</v>
      </c>
      <c r="W260">
        <v>0.1115313</v>
      </c>
      <c r="X260">
        <v>0.9912415</v>
      </c>
      <c r="Y260">
        <v>9.8875759999999993E-2</v>
      </c>
      <c r="Z260">
        <v>-7.8689329999999998E-3</v>
      </c>
      <c r="AA260">
        <v>0.99506870000000003</v>
      </c>
      <c r="AB260">
        <v>22</v>
      </c>
      <c r="AC260">
        <v>0.713799999999992</v>
      </c>
      <c r="AD260">
        <v>-7.4361999999999998E-2</v>
      </c>
      <c r="AE260">
        <v>-5.7000000000016302E-2</v>
      </c>
      <c r="AF260">
        <v>9.0348990315525193E-2</v>
      </c>
      <c r="AG260">
        <v>-7.4361999999999998E-2</v>
      </c>
      <c r="AH260">
        <v>0.70264745662949302</v>
      </c>
      <c r="AI260">
        <v>95.9922213583352</v>
      </c>
      <c r="AJ260">
        <v>82.672903234012693</v>
      </c>
      <c r="AK260">
        <v>0.712324431283197</v>
      </c>
      <c r="AL260">
        <v>83.596404667907706</v>
      </c>
      <c r="AM260">
        <v>85.919196967472502</v>
      </c>
      <c r="AN260">
        <v>1.0000000779684399</v>
      </c>
    </row>
    <row r="261" spans="1:40" x14ac:dyDescent="0.25">
      <c r="A261" t="str">
        <f>"20190312163958882"</f>
        <v>20190312163958882</v>
      </c>
      <c r="B261" t="str">
        <f>"1552379998876351"</f>
        <v>1552379998876351</v>
      </c>
      <c r="C261" t="s">
        <v>40</v>
      </c>
      <c r="D261">
        <v>5.1909799999999997</v>
      </c>
      <c r="E261">
        <v>0.51622299999999999</v>
      </c>
      <c r="F261" t="s">
        <v>42</v>
      </c>
      <c r="G261">
        <v>-458.35700000000003</v>
      </c>
      <c r="H261">
        <v>1.0353760000000001</v>
      </c>
      <c r="I261">
        <v>368.24189999999999</v>
      </c>
      <c r="J261">
        <v>-459.04610000000002</v>
      </c>
      <c r="K261">
        <v>1.108196</v>
      </c>
      <c r="L261">
        <v>368.29969999999997</v>
      </c>
      <c r="M261">
        <v>0.99889059999999996</v>
      </c>
      <c r="N261">
        <v>0</v>
      </c>
      <c r="O261">
        <v>4.7043120000000001E-2</v>
      </c>
      <c r="P261">
        <v>0.99356319999999998</v>
      </c>
      <c r="Q261">
        <v>0.1108581</v>
      </c>
      <c r="R261">
        <v>-2.3294990000000002E-2</v>
      </c>
      <c r="S261">
        <v>3.042084</v>
      </c>
      <c r="T261">
        <v>-0.24285090000000001</v>
      </c>
      <c r="U261">
        <v>-0.15945429999999999</v>
      </c>
      <c r="V261">
        <v>7.0195270000000004E-2</v>
      </c>
      <c r="W261">
        <v>0.1128637</v>
      </c>
      <c r="X261">
        <v>0.9911278</v>
      </c>
      <c r="Y261">
        <v>9.880216E-2</v>
      </c>
      <c r="Z261">
        <v>-7.6818299999999997E-3</v>
      </c>
      <c r="AA261">
        <v>0.9950774</v>
      </c>
      <c r="AB261">
        <v>22</v>
      </c>
      <c r="AC261">
        <v>0.689100000000053</v>
      </c>
      <c r="AD261">
        <v>-7.2819999999999802E-2</v>
      </c>
      <c r="AE261">
        <v>-5.7799999999986001E-2</v>
      </c>
      <c r="AF261">
        <v>8.91647469302283E-2</v>
      </c>
      <c r="AG261">
        <v>-7.2819999999999802E-2</v>
      </c>
      <c r="AH261">
        <v>0.678098537900234</v>
      </c>
      <c r="AI261">
        <v>96.077500074744407</v>
      </c>
      <c r="AJ261">
        <v>82.509021578542004</v>
      </c>
      <c r="AK261">
        <v>0.6878013751059</v>
      </c>
      <c r="AL261">
        <v>83.519577875265895</v>
      </c>
      <c r="AM261">
        <v>85.948869265962202</v>
      </c>
      <c r="AN261">
        <v>0.99999995332045</v>
      </c>
    </row>
    <row r="262" spans="1:40" x14ac:dyDescent="0.25">
      <c r="A262" t="str">
        <f>"20190312163958894"</f>
        <v>20190312163958894</v>
      </c>
      <c r="B262" t="str">
        <f>"1552379998887087"</f>
        <v>1552379998887087</v>
      </c>
      <c r="C262" t="s">
        <v>40</v>
      </c>
      <c r="D262">
        <v>5.2024549999999996</v>
      </c>
      <c r="E262">
        <v>0.51624599999999998</v>
      </c>
      <c r="F262" t="s">
        <v>42</v>
      </c>
      <c r="G262">
        <v>-458.1558</v>
      </c>
      <c r="H262">
        <v>1.0387550000000001</v>
      </c>
      <c r="I262">
        <v>368.25200000000001</v>
      </c>
      <c r="J262">
        <v>-458.9126</v>
      </c>
      <c r="K262">
        <v>1.1081939999999999</v>
      </c>
      <c r="L262">
        <v>368.30520000000001</v>
      </c>
      <c r="M262">
        <v>0.99892219999999998</v>
      </c>
      <c r="N262">
        <v>0</v>
      </c>
      <c r="O262">
        <v>4.6367190000000003E-2</v>
      </c>
      <c r="P262">
        <v>0.99350609999999995</v>
      </c>
      <c r="Q262">
        <v>0.11124970000000001</v>
      </c>
      <c r="R262">
        <v>-2.3861360000000002E-2</v>
      </c>
      <c r="S262">
        <v>3.0421450000000001</v>
      </c>
      <c r="T262">
        <v>-0.23738400000000001</v>
      </c>
      <c r="U262">
        <v>-0.16125490000000001</v>
      </c>
      <c r="V262">
        <v>7.0089579999999999E-2</v>
      </c>
      <c r="W262">
        <v>0.11327909999999999</v>
      </c>
      <c r="X262">
        <v>0.99108790000000002</v>
      </c>
      <c r="Y262">
        <v>9.8737980000000003E-2</v>
      </c>
      <c r="Z262">
        <v>-7.4540619999999896E-3</v>
      </c>
      <c r="AA262">
        <v>0.99508549999999996</v>
      </c>
      <c r="AB262">
        <v>22</v>
      </c>
      <c r="AC262">
        <v>0.75679999999999803</v>
      </c>
      <c r="AD262">
        <v>-6.9439000000000195E-2</v>
      </c>
      <c r="AE262">
        <v>-5.3200000000060699E-2</v>
      </c>
      <c r="AF262">
        <v>8.7500532045972607E-2</v>
      </c>
      <c r="AG262">
        <v>-6.9439000000000195E-2</v>
      </c>
      <c r="AH262">
        <v>0.74725927778652201</v>
      </c>
      <c r="AI262">
        <v>95.273136530420899</v>
      </c>
      <c r="AJ262">
        <v>83.321348360520005</v>
      </c>
      <c r="AK262">
        <v>0.75556240382073203</v>
      </c>
      <c r="AL262">
        <v>83.495623658895497</v>
      </c>
      <c r="AM262">
        <v>85.954786307942499</v>
      </c>
      <c r="AN262">
        <v>0.99999996462389695</v>
      </c>
    </row>
    <row r="263" spans="1:40" x14ac:dyDescent="0.25">
      <c r="A263" t="str">
        <f>"20190312163958915"</f>
        <v>20190312163958915</v>
      </c>
      <c r="B263" t="str">
        <f>"1552379998907165"</f>
        <v>1552379998907165</v>
      </c>
      <c r="C263" t="s">
        <v>40</v>
      </c>
      <c r="D263">
        <v>5.1723730000000003</v>
      </c>
      <c r="E263">
        <v>0.51627209999999901</v>
      </c>
      <c r="F263" t="s">
        <v>42</v>
      </c>
      <c r="G263">
        <v>-458.1515</v>
      </c>
      <c r="H263">
        <v>1.049024</v>
      </c>
      <c r="I263">
        <v>368.26389999999998</v>
      </c>
      <c r="J263">
        <v>-458.70960000000002</v>
      </c>
      <c r="K263">
        <v>1.1081939999999999</v>
      </c>
      <c r="L263">
        <v>368.31349999999998</v>
      </c>
      <c r="M263">
        <v>0.99896929999999995</v>
      </c>
      <c r="N263">
        <v>0</v>
      </c>
      <c r="O263">
        <v>4.5339860000000003E-2</v>
      </c>
      <c r="P263">
        <v>0.99333950000000004</v>
      </c>
      <c r="Q263">
        <v>0.1125567</v>
      </c>
      <c r="R263">
        <v>-2.4655440000000001E-2</v>
      </c>
      <c r="S263">
        <v>3.0421450000000001</v>
      </c>
      <c r="T263">
        <v>-0.2365717</v>
      </c>
      <c r="U263">
        <v>-0.163269</v>
      </c>
      <c r="V263">
        <v>6.9859909999999997E-2</v>
      </c>
      <c r="W263">
        <v>0.11462219999999999</v>
      </c>
      <c r="X263">
        <v>0.99094970000000004</v>
      </c>
      <c r="Y263">
        <v>9.8378779999999999E-2</v>
      </c>
      <c r="Z263">
        <v>-7.3348809999999997E-3</v>
      </c>
      <c r="AA263">
        <v>0.99512199999999995</v>
      </c>
      <c r="AB263">
        <v>22</v>
      </c>
      <c r="AC263">
        <v>0.55810000000002402</v>
      </c>
      <c r="AD263">
        <v>-5.9170000000000098E-2</v>
      </c>
      <c r="AE263">
        <v>-4.9599999999998E-2</v>
      </c>
      <c r="AF263">
        <v>7.4027652031350505E-2</v>
      </c>
      <c r="AG263">
        <v>-5.9170000000000098E-2</v>
      </c>
      <c r="AH263">
        <v>0.54915290780395198</v>
      </c>
      <c r="AI263">
        <v>96.095057225728098</v>
      </c>
      <c r="AJ263">
        <v>82.322618023253597</v>
      </c>
      <c r="AK263">
        <v>0.55727022019376804</v>
      </c>
      <c r="AL263">
        <v>83.418165269589693</v>
      </c>
      <c r="AM263">
        <v>85.967437444005895</v>
      </c>
      <c r="AN263">
        <v>0.99999998184406902</v>
      </c>
    </row>
    <row r="264" spans="1:40" x14ac:dyDescent="0.25">
      <c r="A264" t="str">
        <f>"20190312163958927"</f>
        <v>20190312163958927</v>
      </c>
      <c r="B264" t="str">
        <f>"1552379998916925"</f>
        <v>1552379998916925</v>
      </c>
      <c r="C264" t="s">
        <v>40</v>
      </c>
      <c r="D264">
        <v>5.2311550000000002</v>
      </c>
      <c r="E264">
        <v>0.51628679999999905</v>
      </c>
      <c r="F264" t="s">
        <v>42</v>
      </c>
      <c r="G264">
        <v>-457.95</v>
      </c>
      <c r="H264">
        <v>1.0499229999999999</v>
      </c>
      <c r="I264">
        <v>368.27190000000002</v>
      </c>
      <c r="J264">
        <v>-458.58640000000003</v>
      </c>
      <c r="K264">
        <v>1.1081909999999999</v>
      </c>
      <c r="L264">
        <v>368.31849999999997</v>
      </c>
      <c r="M264">
        <v>0.99899729999999998</v>
      </c>
      <c r="N264">
        <v>0</v>
      </c>
      <c r="O264">
        <v>4.4717220000000002E-2</v>
      </c>
      <c r="P264">
        <v>0.99322180000000004</v>
      </c>
      <c r="Q264">
        <v>0.1135019</v>
      </c>
      <c r="R264">
        <v>-2.5057590000000001E-2</v>
      </c>
      <c r="S264">
        <v>3.0424190000000002</v>
      </c>
      <c r="T264">
        <v>-0.23351240000000001</v>
      </c>
      <c r="U264">
        <v>-0.16571040000000001</v>
      </c>
      <c r="V264">
        <v>6.9641910000000001E-2</v>
      </c>
      <c r="W264">
        <v>0.1155904</v>
      </c>
      <c r="X264">
        <v>0.99085259999999997</v>
      </c>
      <c r="Y264">
        <v>9.8562460000000005E-2</v>
      </c>
      <c r="Z264">
        <v>-7.1988740000000001E-3</v>
      </c>
      <c r="AA264">
        <v>0.99510480000000001</v>
      </c>
      <c r="AB264">
        <v>22</v>
      </c>
      <c r="AC264">
        <v>0.63640000000003705</v>
      </c>
      <c r="AD264">
        <v>-5.8267999999999903E-2</v>
      </c>
      <c r="AE264">
        <v>-4.6599999999955302E-2</v>
      </c>
      <c r="AF264">
        <v>7.4391195618083703E-2</v>
      </c>
      <c r="AG264">
        <v>-5.8267999999999903E-2</v>
      </c>
      <c r="AH264">
        <v>0.62843945250584499</v>
      </c>
      <c r="AI264">
        <v>95.260715588097497</v>
      </c>
      <c r="AJ264">
        <v>83.249057291615898</v>
      </c>
      <c r="AK264">
        <v>0.63550401672635703</v>
      </c>
      <c r="AL264">
        <v>83.362320459243506</v>
      </c>
      <c r="AM264">
        <v>85.979587202221197</v>
      </c>
      <c r="AN264">
        <v>1.00000000556368</v>
      </c>
    </row>
    <row r="265" spans="1:40" x14ac:dyDescent="0.25">
      <c r="A265" t="str">
        <f>"20190312163958948"</f>
        <v>20190312163958948</v>
      </c>
      <c r="B265" t="str">
        <f>"1552379998936448"</f>
        <v>1552379998936448</v>
      </c>
      <c r="C265" t="s">
        <v>40</v>
      </c>
      <c r="D265">
        <v>5.2678039999999999</v>
      </c>
      <c r="E265">
        <v>0.51634579999999997</v>
      </c>
      <c r="F265" t="s">
        <v>42</v>
      </c>
      <c r="G265">
        <v>-457.74979999999999</v>
      </c>
      <c r="H265">
        <v>1.0447090000000001</v>
      </c>
      <c r="I265">
        <v>368.27229999999997</v>
      </c>
      <c r="J265">
        <v>-458.3766</v>
      </c>
      <c r="K265">
        <v>1.108187</v>
      </c>
      <c r="L265">
        <v>368.32670000000002</v>
      </c>
      <c r="M265">
        <v>0.99904409999999999</v>
      </c>
      <c r="N265">
        <v>0</v>
      </c>
      <c r="O265">
        <v>4.365774E-2</v>
      </c>
      <c r="P265">
        <v>0.99317290000000003</v>
      </c>
      <c r="Q265">
        <v>0.11360679999999999</v>
      </c>
      <c r="R265">
        <v>-2.6479989999999998E-2</v>
      </c>
      <c r="S265">
        <v>3.0425719999999998</v>
      </c>
      <c r="T265">
        <v>-0.23088230000000001</v>
      </c>
      <c r="U265">
        <v>-0.1671753</v>
      </c>
      <c r="V265">
        <v>7.0012279999999996E-2</v>
      </c>
      <c r="W265">
        <v>0.1157348</v>
      </c>
      <c r="X265">
        <v>0.99080959999999996</v>
      </c>
      <c r="Y265">
        <v>9.7996200000000006E-2</v>
      </c>
      <c r="Z265">
        <v>-7.0159360000000004E-3</v>
      </c>
      <c r="AA265">
        <v>0.99516210000000005</v>
      </c>
      <c r="AB265">
        <v>22</v>
      </c>
      <c r="AC265">
        <v>0.62680000000000202</v>
      </c>
      <c r="AD265">
        <v>-6.3477999999999896E-2</v>
      </c>
      <c r="AE265">
        <v>-5.4400000000043698E-2</v>
      </c>
      <c r="AF265">
        <v>8.0889450371042199E-2</v>
      </c>
      <c r="AG265">
        <v>-6.3477999999999896E-2</v>
      </c>
      <c r="AH265">
        <v>0.61754108289190901</v>
      </c>
      <c r="AI265">
        <v>95.819542630319106</v>
      </c>
      <c r="AJ265">
        <v>82.537520599501605</v>
      </c>
      <c r="AK265">
        <v>0.62604276908581902</v>
      </c>
      <c r="AL265">
        <v>83.353990764660097</v>
      </c>
      <c r="AM265">
        <v>85.958101668716907</v>
      </c>
      <c r="AN265">
        <v>0.99999996336699803</v>
      </c>
    </row>
    <row r="266" spans="1:40" x14ac:dyDescent="0.25">
      <c r="A266" t="str">
        <f>"20190312163958970"</f>
        <v>20190312163958970</v>
      </c>
      <c r="B266" t="str">
        <f>"1552379998966701"</f>
        <v>1552379998966701</v>
      </c>
      <c r="C266" t="s">
        <v>40</v>
      </c>
      <c r="D266">
        <v>5.1978090000000003</v>
      </c>
      <c r="E266">
        <v>0.51644959999999995</v>
      </c>
      <c r="F266" t="s">
        <v>42</v>
      </c>
      <c r="G266">
        <v>-457.54579999999999</v>
      </c>
      <c r="H266">
        <v>1.0450349999999999</v>
      </c>
      <c r="I266">
        <v>368.27960000000002</v>
      </c>
      <c r="J266">
        <v>-458.14769999999999</v>
      </c>
      <c r="K266">
        <v>1.1081780000000001</v>
      </c>
      <c r="L266">
        <v>368.33539999999999</v>
      </c>
      <c r="M266">
        <v>0.99909360000000003</v>
      </c>
      <c r="N266">
        <v>0</v>
      </c>
      <c r="O266">
        <v>4.2502869999999998E-2</v>
      </c>
      <c r="P266">
        <v>0.99318430000000002</v>
      </c>
      <c r="Q266">
        <v>0.1131704</v>
      </c>
      <c r="R266">
        <v>-2.788527E-2</v>
      </c>
      <c r="S266">
        <v>3.0425110000000002</v>
      </c>
      <c r="T266">
        <v>-0.23134979999999999</v>
      </c>
      <c r="U266">
        <v>-0.1716309</v>
      </c>
      <c r="V266">
        <v>7.0273009999999997E-2</v>
      </c>
      <c r="W266">
        <v>0.1153445</v>
      </c>
      <c r="X266">
        <v>0.99083670000000001</v>
      </c>
      <c r="Y266">
        <v>9.8300639999999995E-2</v>
      </c>
      <c r="Z266">
        <v>-6.9539229999999999E-3</v>
      </c>
      <c r="AA266">
        <v>0.99513240000000003</v>
      </c>
      <c r="AB266">
        <v>23</v>
      </c>
      <c r="AC266">
        <v>0.60189999999999999</v>
      </c>
      <c r="AD266">
        <v>-6.3143000000000102E-2</v>
      </c>
      <c r="AE266">
        <v>-5.57999999999765E-2</v>
      </c>
      <c r="AF266">
        <v>8.0454245466706695E-2</v>
      </c>
      <c r="AG266">
        <v>-6.3143000000000102E-2</v>
      </c>
      <c r="AH266">
        <v>0.59251913738186401</v>
      </c>
      <c r="AI266">
        <v>96.027980450497793</v>
      </c>
      <c r="AJ266">
        <v>82.267476368298901</v>
      </c>
      <c r="AK266">
        <v>0.60128100936780404</v>
      </c>
      <c r="AL266">
        <v>83.376504378920899</v>
      </c>
      <c r="AM266">
        <v>85.943210147973502</v>
      </c>
      <c r="AN266">
        <v>1.0000000078408</v>
      </c>
    </row>
    <row r="267" spans="1:40" x14ac:dyDescent="0.25">
      <c r="A267" t="str">
        <f>"20190312163958995"</f>
        <v>20190312163958995</v>
      </c>
      <c r="B267" t="str">
        <f>"1552379998986223"</f>
        <v>1552379998986223</v>
      </c>
      <c r="C267" t="s">
        <v>40</v>
      </c>
      <c r="D267">
        <v>5.2440850000000001</v>
      </c>
      <c r="E267">
        <v>0.51649730000000005</v>
      </c>
      <c r="F267" t="s">
        <v>42</v>
      </c>
      <c r="G267">
        <v>-457.3399</v>
      </c>
      <c r="H267">
        <v>1.0466</v>
      </c>
      <c r="I267">
        <v>368.28800000000001</v>
      </c>
      <c r="J267">
        <v>-457.89960000000002</v>
      </c>
      <c r="K267">
        <v>1.108176</v>
      </c>
      <c r="L267">
        <v>368.34469999999999</v>
      </c>
      <c r="M267">
        <v>0.99914599999999998</v>
      </c>
      <c r="N267">
        <v>0</v>
      </c>
      <c r="O267">
        <v>4.1251370000000002E-2</v>
      </c>
      <c r="P267">
        <v>0.99313680000000004</v>
      </c>
      <c r="Q267">
        <v>0.11322119999999999</v>
      </c>
      <c r="R267">
        <v>-2.9330419999999999E-2</v>
      </c>
      <c r="S267">
        <v>3.042084</v>
      </c>
      <c r="T267">
        <v>-0.23207520000000001</v>
      </c>
      <c r="U267">
        <v>-0.17675779999999999</v>
      </c>
      <c r="V267">
        <v>7.0476609999999995E-2</v>
      </c>
      <c r="W267">
        <v>0.1154497</v>
      </c>
      <c r="X267">
        <v>0.99080999999999997</v>
      </c>
      <c r="Y267">
        <v>9.8733429999999997E-2</v>
      </c>
      <c r="Z267">
        <v>-6.8975520000000004E-3</v>
      </c>
      <c r="AA267">
        <v>0.99509000000000003</v>
      </c>
      <c r="AB267">
        <v>23</v>
      </c>
      <c r="AC267">
        <v>0.55970000000001996</v>
      </c>
      <c r="AD267">
        <v>-6.1575999999999999E-2</v>
      </c>
      <c r="AE267">
        <v>-5.66999999999779E-2</v>
      </c>
      <c r="AF267">
        <v>7.8796168757883797E-2</v>
      </c>
      <c r="AG267">
        <v>-6.1575999999999999E-2</v>
      </c>
      <c r="AH267">
        <v>0.55029180293991298</v>
      </c>
      <c r="AI267">
        <v>96.320727263657403</v>
      </c>
      <c r="AJ267">
        <v>81.851220316748694</v>
      </c>
      <c r="AK267">
        <v>0.55930448627718099</v>
      </c>
      <c r="AL267">
        <v>83.370436412216307</v>
      </c>
      <c r="AM267">
        <v>85.931386670549202</v>
      </c>
      <c r="AN267">
        <v>1.00000002094359</v>
      </c>
    </row>
    <row r="268" spans="1:40" x14ac:dyDescent="0.25">
      <c r="A268" t="str">
        <f>"20190312163959017"</f>
        <v>20190312163959017</v>
      </c>
      <c r="B268" t="str">
        <f>"1552379999006717"</f>
        <v>1552379999006717</v>
      </c>
      <c r="C268" t="s">
        <v>40</v>
      </c>
      <c r="D268">
        <v>5.2179989999999998</v>
      </c>
      <c r="E268">
        <v>0.51649179999999995</v>
      </c>
      <c r="F268" t="s">
        <v>42</v>
      </c>
      <c r="G268">
        <v>-457.13209999999998</v>
      </c>
      <c r="H268">
        <v>1.0495410000000001</v>
      </c>
      <c r="I268">
        <v>368.2987</v>
      </c>
      <c r="J268">
        <v>-457.66730000000001</v>
      </c>
      <c r="K268">
        <v>1.1081749999999999</v>
      </c>
      <c r="L268">
        <v>368.35300000000001</v>
      </c>
      <c r="M268">
        <v>0.99919369999999996</v>
      </c>
      <c r="N268">
        <v>0</v>
      </c>
      <c r="O268">
        <v>4.008097E-2</v>
      </c>
      <c r="P268">
        <v>0.99309829999999999</v>
      </c>
      <c r="Q268">
        <v>0.113191899999999</v>
      </c>
      <c r="R268">
        <v>-3.0725260000000001E-2</v>
      </c>
      <c r="S268">
        <v>3.0418699999999999</v>
      </c>
      <c r="T268">
        <v>-0.2324862</v>
      </c>
      <c r="U268">
        <v>-0.18203739999999999</v>
      </c>
      <c r="V268">
        <v>7.071036E-2</v>
      </c>
      <c r="W268">
        <v>0.1154776</v>
      </c>
      <c r="X268">
        <v>0.99079010000000001</v>
      </c>
      <c r="Y268">
        <v>9.9293309999999996E-2</v>
      </c>
      <c r="Z268">
        <v>-6.8419980000000002E-3</v>
      </c>
      <c r="AA268">
        <v>0.99503470000000005</v>
      </c>
      <c r="AB268">
        <v>23</v>
      </c>
      <c r="AC268">
        <v>0.53520000000003098</v>
      </c>
      <c r="AD268">
        <v>-5.8633999999999797E-2</v>
      </c>
      <c r="AE268">
        <v>-5.4300000000011998E-2</v>
      </c>
      <c r="AF268">
        <v>7.4818905640473402E-2</v>
      </c>
      <c r="AG268">
        <v>-5.8633999999999797E-2</v>
      </c>
      <c r="AH268">
        <v>0.52634056101586302</v>
      </c>
      <c r="AI268">
        <v>96.293751388970094</v>
      </c>
      <c r="AJ268">
        <v>81.909650771312101</v>
      </c>
      <c r="AK268">
        <v>0.534855308254234</v>
      </c>
      <c r="AL268">
        <v>83.368827134671704</v>
      </c>
      <c r="AM268">
        <v>85.9178561194678</v>
      </c>
      <c r="AN268">
        <v>1.00000002668554</v>
      </c>
    </row>
    <row r="269" spans="1:40" x14ac:dyDescent="0.25">
      <c r="A269" t="str">
        <f>"20190312163959039"</f>
        <v>20190312163959039</v>
      </c>
      <c r="B269" t="str">
        <f>"1552379999036974"</f>
        <v>1552379999036974</v>
      </c>
      <c r="C269" t="s">
        <v>40</v>
      </c>
      <c r="D269">
        <v>5.4449709999999998</v>
      </c>
      <c r="E269">
        <v>0.49536190000000002</v>
      </c>
      <c r="F269" t="s">
        <v>42</v>
      </c>
      <c r="G269">
        <v>-456.92329999999998</v>
      </c>
      <c r="H269">
        <v>1.051212</v>
      </c>
      <c r="I269">
        <v>368.30689999999998</v>
      </c>
      <c r="J269">
        <v>-457.43700000000001</v>
      </c>
      <c r="K269">
        <v>1.1081730000000001</v>
      </c>
      <c r="L269">
        <v>368.36090000000002</v>
      </c>
      <c r="M269">
        <v>0.99923930000000005</v>
      </c>
      <c r="N269">
        <v>0</v>
      </c>
      <c r="O269">
        <v>3.8921579999999997E-2</v>
      </c>
      <c r="P269">
        <v>0.99303439999999998</v>
      </c>
      <c r="Q269">
        <v>0.11345040000000001</v>
      </c>
      <c r="R269">
        <v>-3.1810070000000003E-2</v>
      </c>
      <c r="S269">
        <v>3.0416259999999999</v>
      </c>
      <c r="T269">
        <v>-0.2330092</v>
      </c>
      <c r="U269">
        <v>-0.18649289999999999</v>
      </c>
      <c r="V269">
        <v>7.0645399999999997E-2</v>
      </c>
      <c r="W269">
        <v>0.1158044</v>
      </c>
      <c r="X269">
        <v>0.99075659999999999</v>
      </c>
      <c r="Y269">
        <v>9.9596459999999998E-2</v>
      </c>
      <c r="Z269">
        <v>-6.7805900000000004E-3</v>
      </c>
      <c r="AA269">
        <v>0.99500480000000002</v>
      </c>
      <c r="AB269">
        <v>23</v>
      </c>
      <c r="AC269">
        <v>0.51369999999997096</v>
      </c>
      <c r="AD269">
        <v>-5.6960999999999803E-2</v>
      </c>
      <c r="AE269">
        <v>-5.4000000000030399E-2</v>
      </c>
      <c r="AF269">
        <v>7.3064630311592299E-2</v>
      </c>
      <c r="AG269">
        <v>-5.6960999999999803E-2</v>
      </c>
      <c r="AH269">
        <v>0.50506694380365402</v>
      </c>
      <c r="AI269">
        <v>96.368834655605895</v>
      </c>
      <c r="AJ269">
        <v>81.768510189403798</v>
      </c>
      <c r="AK269">
        <v>0.51349353788215601</v>
      </c>
      <c r="AL269">
        <v>83.349976468584899</v>
      </c>
      <c r="AM269">
        <v>85.921456195714597</v>
      </c>
      <c r="AN269">
        <v>1.00000003602203</v>
      </c>
    </row>
    <row r="270" spans="1:40" x14ac:dyDescent="0.25">
      <c r="A270" t="str">
        <f>"20190312163959060"</f>
        <v>20190312163959060</v>
      </c>
      <c r="B270" t="str">
        <f>"1552379999056493"</f>
        <v>1552379999056493</v>
      </c>
      <c r="C270" t="s">
        <v>40</v>
      </c>
      <c r="D270">
        <v>5.3008459999999999</v>
      </c>
      <c r="E270">
        <v>0.49198839999999999</v>
      </c>
      <c r="F270" t="s">
        <v>42</v>
      </c>
      <c r="G270">
        <v>-456.50700000000001</v>
      </c>
      <c r="H270">
        <v>1.047477</v>
      </c>
      <c r="I270">
        <v>368.35340000000002</v>
      </c>
      <c r="J270">
        <v>-457.21699999999998</v>
      </c>
      <c r="K270">
        <v>1.1081719999999999</v>
      </c>
      <c r="L270">
        <v>368.36829999999998</v>
      </c>
      <c r="M270">
        <v>0.99928150000000004</v>
      </c>
      <c r="N270">
        <v>0</v>
      </c>
      <c r="O270">
        <v>3.7815319999999999E-2</v>
      </c>
      <c r="P270">
        <v>0.99307730000000005</v>
      </c>
      <c r="Q270">
        <v>0.1128821</v>
      </c>
      <c r="R270">
        <v>-3.2482440000000001E-2</v>
      </c>
      <c r="S270">
        <v>3.0430600000000001</v>
      </c>
      <c r="T270">
        <v>-0.19880149999999999</v>
      </c>
      <c r="U270">
        <v>-2.3010249999999999E-2</v>
      </c>
      <c r="V270">
        <v>7.0223469999999996E-2</v>
      </c>
      <c r="W270">
        <v>0.115319</v>
      </c>
      <c r="X270">
        <v>0.99084320000000004</v>
      </c>
      <c r="Y270">
        <v>4.5193369999999997E-2</v>
      </c>
      <c r="Z270">
        <v>-3.9420799999999997E-3</v>
      </c>
      <c r="AA270">
        <v>0.99897049999999998</v>
      </c>
      <c r="AB270">
        <v>23</v>
      </c>
      <c r="AC270">
        <v>0.71000000000003605</v>
      </c>
      <c r="AD270">
        <v>-6.0694999999999902E-2</v>
      </c>
      <c r="AE270">
        <v>-1.4899999999954601E-2</v>
      </c>
      <c r="AF270">
        <v>4.1435635128573602E-2</v>
      </c>
      <c r="AG270">
        <v>-6.0694999999999902E-2</v>
      </c>
      <c r="AH270">
        <v>0.703787809716518</v>
      </c>
      <c r="AI270">
        <v>94.920541370788797</v>
      </c>
      <c r="AJ270">
        <v>86.630590096204003</v>
      </c>
      <c r="AK270">
        <v>0.70761435541478501</v>
      </c>
      <c r="AL270">
        <v>83.377975365332006</v>
      </c>
      <c r="AM270">
        <v>85.946087008948396</v>
      </c>
      <c r="AN270">
        <v>1.00000002724304</v>
      </c>
    </row>
    <row r="271" spans="1:40" x14ac:dyDescent="0.25">
      <c r="A271" t="str">
        <f>"20190312163959083"</f>
        <v>20190312163959083</v>
      </c>
      <c r="B271" t="str">
        <f>"1552379999076990"</f>
        <v>1552379999076990</v>
      </c>
      <c r="C271" t="s">
        <v>40</v>
      </c>
      <c r="D271">
        <v>5.2833839999999999</v>
      </c>
      <c r="E271">
        <v>0.49112660000000002</v>
      </c>
      <c r="F271" t="s">
        <v>42</v>
      </c>
      <c r="G271">
        <v>-456.29230000000001</v>
      </c>
      <c r="H271">
        <v>1.050845</v>
      </c>
      <c r="I271">
        <v>368.36860000000001</v>
      </c>
      <c r="J271">
        <v>-456.96789999999999</v>
      </c>
      <c r="K271">
        <v>1.108179</v>
      </c>
      <c r="L271">
        <v>368.37630000000001</v>
      </c>
      <c r="M271">
        <v>0.99932770000000004</v>
      </c>
      <c r="N271">
        <v>0</v>
      </c>
      <c r="O271">
        <v>3.6562780000000003E-2</v>
      </c>
      <c r="P271">
        <v>0.99306340000000004</v>
      </c>
      <c r="Q271">
        <v>0.1127447</v>
      </c>
      <c r="R271">
        <v>-3.3375830000000002E-2</v>
      </c>
      <c r="S271">
        <v>3.0424190000000002</v>
      </c>
      <c r="T271">
        <v>-0.1886458</v>
      </c>
      <c r="U271">
        <v>1.12915E-3</v>
      </c>
      <c r="V271">
        <v>6.9876190000000005E-2</v>
      </c>
      <c r="W271">
        <v>0.11528960000000001</v>
      </c>
      <c r="X271">
        <v>0.9908711</v>
      </c>
      <c r="Y271">
        <v>3.6052590000000002E-2</v>
      </c>
      <c r="Z271">
        <v>-3.3811850000000001E-3</v>
      </c>
      <c r="AA271">
        <v>0.99934420000000002</v>
      </c>
      <c r="AB271">
        <v>23</v>
      </c>
      <c r="AC271">
        <v>0.675599999999974</v>
      </c>
      <c r="AD271">
        <v>-5.7334000000000003E-2</v>
      </c>
      <c r="AE271">
        <v>-7.6999999999998103E-3</v>
      </c>
      <c r="AF271">
        <v>3.2165136879349403E-2</v>
      </c>
      <c r="AG271">
        <v>-5.7334000000000003E-2</v>
      </c>
      <c r="AH271">
        <v>0.67004180137486302</v>
      </c>
      <c r="AI271">
        <v>94.885162015852401</v>
      </c>
      <c r="AJ271">
        <v>87.251644751326396</v>
      </c>
      <c r="AK271">
        <v>0.67325908770408605</v>
      </c>
      <c r="AL271">
        <v>83.379670693489402</v>
      </c>
      <c r="AM271">
        <v>85.966181908169304</v>
      </c>
      <c r="AN271">
        <v>0.99999995530614205</v>
      </c>
    </row>
    <row r="272" spans="1:40" x14ac:dyDescent="0.25">
      <c r="A272" t="str">
        <f>"20190312163959106"</f>
        <v>20190312163959106</v>
      </c>
      <c r="B272" t="str">
        <f>"1552379999096514"</f>
        <v>1552379999096514</v>
      </c>
      <c r="C272" t="s">
        <v>40</v>
      </c>
      <c r="D272">
        <v>5.4151040000000004</v>
      </c>
      <c r="E272">
        <v>0.49100939999999998</v>
      </c>
      <c r="F272" t="s">
        <v>42</v>
      </c>
      <c r="G272">
        <v>-456.07940000000002</v>
      </c>
      <c r="H272">
        <v>1.0506819999999999</v>
      </c>
      <c r="I272">
        <v>368.3775</v>
      </c>
      <c r="J272">
        <v>-456.72640000000001</v>
      </c>
      <c r="K272">
        <v>1.1081909999999999</v>
      </c>
      <c r="L272">
        <v>368.38389999999998</v>
      </c>
      <c r="M272">
        <v>0.99937100000000001</v>
      </c>
      <c r="N272">
        <v>0</v>
      </c>
      <c r="O272">
        <v>3.5350239999999998E-2</v>
      </c>
      <c r="P272">
        <v>0.99302539999999995</v>
      </c>
      <c r="Q272">
        <v>0.1129235</v>
      </c>
      <c r="R272">
        <v>-3.3895809999999998E-2</v>
      </c>
      <c r="S272">
        <v>3.0435490000000001</v>
      </c>
      <c r="T272">
        <v>-0.19708899999999999</v>
      </c>
      <c r="U272">
        <v>5.5236819999999898E-3</v>
      </c>
      <c r="V272">
        <v>6.9195309999999996E-2</v>
      </c>
      <c r="W272">
        <v>0.11559319999999999</v>
      </c>
      <c r="X272">
        <v>0.99088350000000003</v>
      </c>
      <c r="Y272">
        <v>3.339263E-2</v>
      </c>
      <c r="Z272">
        <v>-3.3664469999999998E-3</v>
      </c>
      <c r="AA272">
        <v>0.99943660000000001</v>
      </c>
      <c r="AB272">
        <v>24</v>
      </c>
      <c r="AC272">
        <v>0.64699999999999103</v>
      </c>
      <c r="AD272">
        <v>-5.7508999999999998E-2</v>
      </c>
      <c r="AE272">
        <v>-6.39999999998508E-3</v>
      </c>
      <c r="AF272">
        <v>2.9038297130441901E-2</v>
      </c>
      <c r="AG272">
        <v>-5.7508999999999998E-2</v>
      </c>
      <c r="AH272">
        <v>0.64130315069307997</v>
      </c>
      <c r="AI272">
        <v>95.119087706095698</v>
      </c>
      <c r="AJ272">
        <v>87.407409908222206</v>
      </c>
      <c r="AK272">
        <v>0.64453102242646698</v>
      </c>
      <c r="AL272">
        <v>83.362158542550205</v>
      </c>
      <c r="AM272">
        <v>86.005409757065095</v>
      </c>
      <c r="AN272">
        <v>0.99999994469224096</v>
      </c>
    </row>
    <row r="273" spans="1:40" x14ac:dyDescent="0.25">
      <c r="A273" t="str">
        <f>"20190312163959128"</f>
        <v>20190312163959128</v>
      </c>
      <c r="B273" t="str">
        <f>"1552379999117005"</f>
        <v>1552379999117005</v>
      </c>
      <c r="C273" t="s">
        <v>40</v>
      </c>
      <c r="D273">
        <v>5.2937699999999897</v>
      </c>
      <c r="E273">
        <v>0.49024780000000001</v>
      </c>
      <c r="F273" t="s">
        <v>42</v>
      </c>
      <c r="G273">
        <v>-455.8648</v>
      </c>
      <c r="H273">
        <v>1.051156</v>
      </c>
      <c r="I273">
        <v>368.3852</v>
      </c>
      <c r="J273">
        <v>-456.49180000000001</v>
      </c>
      <c r="K273">
        <v>1.1082110000000001</v>
      </c>
      <c r="L273">
        <v>368.39089999999999</v>
      </c>
      <c r="M273">
        <v>0.99941170000000001</v>
      </c>
      <c r="N273">
        <v>0</v>
      </c>
      <c r="O273">
        <v>3.4172220000000003E-2</v>
      </c>
      <c r="P273">
        <v>0.99297259999999998</v>
      </c>
      <c r="Q273">
        <v>0.11333799999999999</v>
      </c>
      <c r="R273">
        <v>-3.406468E-2</v>
      </c>
      <c r="S273">
        <v>3.0441590000000001</v>
      </c>
      <c r="T273">
        <v>-0.2015837</v>
      </c>
      <c r="U273">
        <v>4.8828129999999997E-3</v>
      </c>
      <c r="V273">
        <v>6.819762E-2</v>
      </c>
      <c r="W273">
        <v>0.11615490000000001</v>
      </c>
      <c r="X273">
        <v>0.99088699999999996</v>
      </c>
      <c r="Y273">
        <v>3.2423439999999998E-2</v>
      </c>
      <c r="Z273">
        <v>-3.332429E-3</v>
      </c>
      <c r="AA273">
        <v>0.99946869999999999</v>
      </c>
      <c r="AB273">
        <v>24</v>
      </c>
      <c r="AC273">
        <v>0.62700000000000899</v>
      </c>
      <c r="AD273">
        <v>-5.7055000000000002E-2</v>
      </c>
      <c r="AE273">
        <v>-5.6999999999902597E-3</v>
      </c>
      <c r="AF273">
        <v>2.6900019047657799E-2</v>
      </c>
      <c r="AG273">
        <v>-5.7055000000000002E-2</v>
      </c>
      <c r="AH273">
        <v>0.62129486382931098</v>
      </c>
      <c r="AI273">
        <v>95.242009111656401</v>
      </c>
      <c r="AJ273">
        <v>87.520830045528896</v>
      </c>
      <c r="AK273">
        <v>0.62448874439051805</v>
      </c>
      <c r="AL273">
        <v>83.329757355443505</v>
      </c>
      <c r="AM273">
        <v>86.062837012591103</v>
      </c>
      <c r="AN273">
        <v>0.99999996146833603</v>
      </c>
    </row>
    <row r="274" spans="1:40" x14ac:dyDescent="0.25">
      <c r="A274" t="str">
        <f>"20190312163959151"</f>
        <v>20190312163959151</v>
      </c>
      <c r="B274" t="str">
        <f>"1552379999146286"</f>
        <v>1552379999146286</v>
      </c>
      <c r="C274" t="s">
        <v>40</v>
      </c>
      <c r="D274">
        <v>5.3801399999999999</v>
      </c>
      <c r="E274">
        <v>0.48915740000000002</v>
      </c>
      <c r="F274" t="s">
        <v>42</v>
      </c>
      <c r="G274">
        <v>-455.64679999999998</v>
      </c>
      <c r="H274">
        <v>1.0542830000000001</v>
      </c>
      <c r="I274">
        <v>368.39319999999998</v>
      </c>
      <c r="J274">
        <v>-456.2466</v>
      </c>
      <c r="K274">
        <v>1.108236</v>
      </c>
      <c r="L274">
        <v>368.39789999999999</v>
      </c>
      <c r="M274">
        <v>0.99945240000000002</v>
      </c>
      <c r="N274">
        <v>0</v>
      </c>
      <c r="O274">
        <v>3.2941940000000003E-2</v>
      </c>
      <c r="P274">
        <v>0.99288209999999999</v>
      </c>
      <c r="Q274">
        <v>0.11396630000000001</v>
      </c>
      <c r="R274">
        <v>-3.4598499999999997E-2</v>
      </c>
      <c r="S274">
        <v>3.0437620000000001</v>
      </c>
      <c r="T274">
        <v>-0.19441439999999999</v>
      </c>
      <c r="U274">
        <v>9.7351069999999998E-3</v>
      </c>
      <c r="V274">
        <v>6.7512359999999993E-2</v>
      </c>
      <c r="W274">
        <v>0.11696289999999999</v>
      </c>
      <c r="X274">
        <v>0.99083889999999997</v>
      </c>
      <c r="Y274">
        <v>2.9617850000000001E-2</v>
      </c>
      <c r="Z274">
        <v>-3.0465779999999999E-3</v>
      </c>
      <c r="AA274">
        <v>0.99955669999999996</v>
      </c>
      <c r="AB274">
        <v>24</v>
      </c>
      <c r="AC274">
        <v>0.59980000000001599</v>
      </c>
      <c r="AD274">
        <v>-5.3952999999999897E-2</v>
      </c>
      <c r="AE274">
        <v>-4.7000000000139101E-3</v>
      </c>
      <c r="AF274">
        <v>2.42598392838765E-2</v>
      </c>
      <c r="AG274">
        <v>-5.3952999999999897E-2</v>
      </c>
      <c r="AH274">
        <v>0.59450957805004201</v>
      </c>
      <c r="AI274">
        <v>95.181219784852601</v>
      </c>
      <c r="AJ274">
        <v>87.663257744844003</v>
      </c>
      <c r="AK274">
        <v>0.59744548236999695</v>
      </c>
      <c r="AL274">
        <v>83.283144780153094</v>
      </c>
      <c r="AM274">
        <v>86.102087033287603</v>
      </c>
      <c r="AN274">
        <v>0.99999998224119402</v>
      </c>
    </row>
    <row r="275" spans="1:40" x14ac:dyDescent="0.25">
      <c r="A275" t="str">
        <f>"20190312163959172"</f>
        <v>20190312163959172</v>
      </c>
      <c r="B275" t="str">
        <f>"1552379999166782"</f>
        <v>1552379999166782</v>
      </c>
      <c r="C275" t="s">
        <v>40</v>
      </c>
      <c r="D275">
        <v>5.4167870000000002</v>
      </c>
      <c r="E275">
        <v>0.48904449999999999</v>
      </c>
      <c r="F275" t="s">
        <v>43</v>
      </c>
      <c r="G275">
        <v>-438.24829999999997</v>
      </c>
      <c r="H275">
        <v>-0.05</v>
      </c>
      <c r="I275">
        <v>368.49799999999999</v>
      </c>
      <c r="J275">
        <v>-456.01389999999998</v>
      </c>
      <c r="K275">
        <v>1.1082590000000001</v>
      </c>
      <c r="L275">
        <v>368.40429999999998</v>
      </c>
      <c r="M275">
        <v>0.99948970000000004</v>
      </c>
      <c r="N275">
        <v>0</v>
      </c>
      <c r="O275">
        <v>3.1773900000000001E-2</v>
      </c>
      <c r="P275">
        <v>0.99285000000000001</v>
      </c>
      <c r="Q275">
        <v>0.11417869999999999</v>
      </c>
      <c r="R275">
        <v>-3.4821730000000002E-2</v>
      </c>
      <c r="S275">
        <v>3.0445859999999998</v>
      </c>
      <c r="T275">
        <v>-0.19592709999999999</v>
      </c>
      <c r="U275">
        <v>1.6937259999999999E-2</v>
      </c>
      <c r="V275">
        <v>6.6579189999999996E-2</v>
      </c>
      <c r="W275">
        <v>0.1173696</v>
      </c>
      <c r="X275">
        <v>0.99085400000000001</v>
      </c>
      <c r="Y275">
        <v>2.6093729999999999E-2</v>
      </c>
      <c r="Z275">
        <v>-2.8810400000000001E-3</v>
      </c>
      <c r="AA275">
        <v>0.99965539999999997</v>
      </c>
      <c r="AB275">
        <v>24</v>
      </c>
      <c r="AC275">
        <v>17.765599999999999</v>
      </c>
      <c r="AD275">
        <v>-1.1582589999999999</v>
      </c>
      <c r="AE275">
        <v>9.3700000000069394E-2</v>
      </c>
      <c r="AF275">
        <v>0.468839943854781</v>
      </c>
      <c r="AG275">
        <v>-1.1582589999999999</v>
      </c>
      <c r="AH275">
        <v>17.684439341680299</v>
      </c>
      <c r="AI275">
        <v>93.745976391818701</v>
      </c>
      <c r="AJ275">
        <v>88.481362135458696</v>
      </c>
      <c r="AK275">
        <v>17.728529821550499</v>
      </c>
      <c r="AL275">
        <v>83.259681301049895</v>
      </c>
      <c r="AM275">
        <v>86.155860539794105</v>
      </c>
      <c r="AN275">
        <v>1.0000000304306</v>
      </c>
    </row>
    <row r="276" spans="1:40" x14ac:dyDescent="0.25">
      <c r="A276" t="str">
        <f>"20190312163959195"</f>
        <v>20190312163959195</v>
      </c>
      <c r="B276" t="str">
        <f>"1552379999186301"</f>
        <v>1552379999186301</v>
      </c>
      <c r="C276" t="s">
        <v>40</v>
      </c>
      <c r="D276">
        <v>5.3542579999999997</v>
      </c>
      <c r="E276">
        <v>0.48898150000000001</v>
      </c>
      <c r="F276" t="s">
        <v>43</v>
      </c>
      <c r="G276">
        <v>-438.15249999999997</v>
      </c>
      <c r="H276">
        <v>-0.05</v>
      </c>
      <c r="I276">
        <v>368.50580000000002</v>
      </c>
      <c r="J276">
        <v>-455.76920000000001</v>
      </c>
      <c r="K276">
        <v>1.1082920000000001</v>
      </c>
      <c r="L276">
        <v>368.41079999999999</v>
      </c>
      <c r="M276">
        <v>0.99952700000000005</v>
      </c>
      <c r="N276">
        <v>0</v>
      </c>
      <c r="O276">
        <v>3.0546739999999999E-2</v>
      </c>
      <c r="P276">
        <v>0.99282530000000002</v>
      </c>
      <c r="Q276">
        <v>0.1142254</v>
      </c>
      <c r="R276">
        <v>-3.536429E-2</v>
      </c>
      <c r="S276">
        <v>3.0449830000000002</v>
      </c>
      <c r="T276">
        <v>-0.19745850000000001</v>
      </c>
      <c r="U276">
        <v>1.7303470000000001E-2</v>
      </c>
      <c r="V276">
        <v>6.5906580000000006E-2</v>
      </c>
      <c r="W276">
        <v>0.1176396</v>
      </c>
      <c r="X276">
        <v>0.99086689999999999</v>
      </c>
      <c r="Y276">
        <v>2.475045E-2</v>
      </c>
      <c r="Z276">
        <v>-2.7801639999999999E-3</v>
      </c>
      <c r="AA276">
        <v>0.99968979999999996</v>
      </c>
      <c r="AB276">
        <v>24</v>
      </c>
      <c r="AC276">
        <v>17.616700000000002</v>
      </c>
      <c r="AD276">
        <v>-1.1582920000000001</v>
      </c>
      <c r="AE276">
        <v>9.5000000000027202E-2</v>
      </c>
      <c r="AF276">
        <v>0.44127292266234702</v>
      </c>
      <c r="AG276">
        <v>-1.1582920000000001</v>
      </c>
      <c r="AH276">
        <v>17.535576435738498</v>
      </c>
      <c r="AI276">
        <v>93.777923350055502</v>
      </c>
      <c r="AJ276">
        <v>88.558488146971598</v>
      </c>
      <c r="AK276">
        <v>17.579328857586301</v>
      </c>
      <c r="AL276">
        <v>83.244103202492994</v>
      </c>
      <c r="AM276">
        <v>86.194630307973497</v>
      </c>
      <c r="AN276">
        <v>0.99999998314553296</v>
      </c>
    </row>
    <row r="277" spans="1:40" x14ac:dyDescent="0.25">
      <c r="A277" t="str">
        <f>"20190312163959219"</f>
        <v>20190312163959219</v>
      </c>
      <c r="B277" t="str">
        <f>"1552379999206797"</f>
        <v>1552379999206797</v>
      </c>
      <c r="C277" t="s">
        <v>40</v>
      </c>
      <c r="D277">
        <v>5.204237</v>
      </c>
      <c r="E277">
        <v>0.48871209999999998</v>
      </c>
      <c r="F277" t="s">
        <v>43</v>
      </c>
      <c r="G277">
        <v>-437.84100000000001</v>
      </c>
      <c r="H277">
        <v>-0.05</v>
      </c>
      <c r="I277">
        <v>368.50540000000001</v>
      </c>
      <c r="J277">
        <v>-455.51299999999998</v>
      </c>
      <c r="K277">
        <v>1.1083270000000001</v>
      </c>
      <c r="L277">
        <v>368.41719999999998</v>
      </c>
      <c r="M277">
        <v>0.99956429999999996</v>
      </c>
      <c r="N277">
        <v>0</v>
      </c>
      <c r="O277">
        <v>2.9267580000000001E-2</v>
      </c>
      <c r="P277">
        <v>0.99280939999999995</v>
      </c>
      <c r="Q277">
        <v>0.1141783</v>
      </c>
      <c r="R277">
        <v>-3.5959610000000003E-2</v>
      </c>
      <c r="S277">
        <v>3.0449220000000001</v>
      </c>
      <c r="T277">
        <v>-0.1967238</v>
      </c>
      <c r="U277">
        <v>1.6082760000000001E-2</v>
      </c>
      <c r="V277">
        <v>6.5234500000000001E-2</v>
      </c>
      <c r="W277">
        <v>0.1178418</v>
      </c>
      <c r="X277">
        <v>0.99088730000000003</v>
      </c>
      <c r="Y277">
        <v>2.387711E-2</v>
      </c>
      <c r="Z277">
        <v>-2.659196E-3</v>
      </c>
      <c r="AA277">
        <v>0.99971140000000003</v>
      </c>
      <c r="AB277">
        <v>24</v>
      </c>
      <c r="AC277">
        <v>17.672000000000001</v>
      </c>
      <c r="AD277">
        <v>-1.1583270000000001</v>
      </c>
      <c r="AE277">
        <v>8.8200000000028894E-2</v>
      </c>
      <c r="AF277">
        <v>0.42722282241308301</v>
      </c>
      <c r="AG277">
        <v>-1.1583270000000001</v>
      </c>
      <c r="AH277">
        <v>17.591435280626701</v>
      </c>
      <c r="AI277">
        <v>93.766156718255999</v>
      </c>
      <c r="AJ277">
        <v>88.608797204838098</v>
      </c>
      <c r="AK277">
        <v>17.634705441583002</v>
      </c>
      <c r="AL277">
        <v>83.2324365253087</v>
      </c>
      <c r="AM277">
        <v>86.233400470147899</v>
      </c>
      <c r="AN277">
        <v>0.99999993555938704</v>
      </c>
    </row>
    <row r="278" spans="1:40" x14ac:dyDescent="0.25">
      <c r="A278" t="str">
        <f>"20190312163959241"</f>
        <v>20190312163959241</v>
      </c>
      <c r="B278" t="str">
        <f>"1552379999237054"</f>
        <v>1552379999237054</v>
      </c>
      <c r="C278" t="s">
        <v>40</v>
      </c>
      <c r="D278">
        <v>5.3811210000000003</v>
      </c>
      <c r="E278">
        <v>0.48849569999999998</v>
      </c>
      <c r="F278" t="s">
        <v>42</v>
      </c>
      <c r="G278">
        <v>-454.5625</v>
      </c>
      <c r="H278">
        <v>1.047186</v>
      </c>
      <c r="I278">
        <v>368.42189999999999</v>
      </c>
      <c r="J278">
        <v>-455.26260000000002</v>
      </c>
      <c r="K278">
        <v>1.108366</v>
      </c>
      <c r="L278">
        <v>368.42320000000001</v>
      </c>
      <c r="M278">
        <v>0.9995986</v>
      </c>
      <c r="N278">
        <v>0</v>
      </c>
      <c r="O278">
        <v>2.8033659999999998E-2</v>
      </c>
      <c r="P278">
        <v>0.99273979999999995</v>
      </c>
      <c r="Q278">
        <v>0.11454499999999999</v>
      </c>
      <c r="R278">
        <v>-3.6704920000000002E-2</v>
      </c>
      <c r="S278">
        <v>3.044861</v>
      </c>
      <c r="T278">
        <v>-0.19601150000000001</v>
      </c>
      <c r="U278">
        <v>1.6296390000000001E-2</v>
      </c>
      <c r="V278">
        <v>6.4754720000000002E-2</v>
      </c>
      <c r="W278">
        <v>0.1184597</v>
      </c>
      <c r="X278">
        <v>0.99084510000000003</v>
      </c>
      <c r="Y278">
        <v>2.2578839999999999E-2</v>
      </c>
      <c r="Z278">
        <v>-2.528574E-3</v>
      </c>
      <c r="AA278">
        <v>0.99974189999999996</v>
      </c>
      <c r="AB278">
        <v>24</v>
      </c>
      <c r="AC278">
        <v>0.70010000000002004</v>
      </c>
      <c r="AD278">
        <v>-6.1179999999999998E-2</v>
      </c>
      <c r="AE278">
        <v>-1.3000000000147299E-3</v>
      </c>
      <c r="AF278">
        <v>2.0767427300413199E-2</v>
      </c>
      <c r="AG278">
        <v>-6.1179999999999998E-2</v>
      </c>
      <c r="AH278">
        <v>0.69448492781858895</v>
      </c>
      <c r="AI278">
        <v>95.032183763632901</v>
      </c>
      <c r="AJ278">
        <v>88.287174553841297</v>
      </c>
      <c r="AK278">
        <v>0.69748375852335698</v>
      </c>
      <c r="AL278">
        <v>83.196783788833599</v>
      </c>
      <c r="AM278">
        <v>86.260865008576999</v>
      </c>
      <c r="AN278">
        <v>0.99999994324018704</v>
      </c>
    </row>
    <row r="279" spans="1:40" x14ac:dyDescent="0.25">
      <c r="A279" t="str">
        <f>"20190312163959262"</f>
        <v>20190312163959262</v>
      </c>
      <c r="B279" t="str">
        <f>"1552379999256573"</f>
        <v>1552379999256573</v>
      </c>
      <c r="C279" t="s">
        <v>40</v>
      </c>
      <c r="D279">
        <v>5.4423370000000002</v>
      </c>
      <c r="E279">
        <v>0.48871330000000002</v>
      </c>
      <c r="F279" t="s">
        <v>42</v>
      </c>
      <c r="G279">
        <v>-454.33980000000003</v>
      </c>
      <c r="H279">
        <v>1.0494129999999999</v>
      </c>
      <c r="I279">
        <v>368.42770000000002</v>
      </c>
      <c r="J279">
        <v>-455.0333</v>
      </c>
      <c r="K279">
        <v>1.1084020000000001</v>
      </c>
      <c r="L279">
        <v>368.42840000000001</v>
      </c>
      <c r="M279">
        <v>0.99962850000000003</v>
      </c>
      <c r="N279">
        <v>0</v>
      </c>
      <c r="O279">
        <v>2.6916590000000001E-2</v>
      </c>
      <c r="P279">
        <v>0.99268809999999996</v>
      </c>
      <c r="Q279">
        <v>0.1146933</v>
      </c>
      <c r="R279">
        <v>-3.7631520000000002E-2</v>
      </c>
      <c r="S279">
        <v>3.045013</v>
      </c>
      <c r="T279">
        <v>-0.1946013</v>
      </c>
      <c r="U279">
        <v>1.5472410000000001E-2</v>
      </c>
      <c r="V279">
        <v>6.4571199999999995E-2</v>
      </c>
      <c r="W279">
        <v>0.1188365</v>
      </c>
      <c r="X279">
        <v>0.99081200000000003</v>
      </c>
      <c r="Y279">
        <v>2.1737929999999999E-2</v>
      </c>
      <c r="Z279">
        <v>-2.4121609999999999E-3</v>
      </c>
      <c r="AA279">
        <v>0.99976080000000001</v>
      </c>
      <c r="AB279">
        <v>25</v>
      </c>
      <c r="AC279">
        <v>0.69349999999997103</v>
      </c>
      <c r="AD279">
        <v>-5.8989000000000097E-2</v>
      </c>
      <c r="AE279">
        <v>-6.9999999999481501E-4</v>
      </c>
      <c r="AF279">
        <v>1.9227458973097598E-2</v>
      </c>
      <c r="AG279">
        <v>-5.8989000000000097E-2</v>
      </c>
      <c r="AH279">
        <v>0.68825027947419204</v>
      </c>
      <c r="AI279">
        <v>94.896870475591697</v>
      </c>
      <c r="AJ279">
        <v>88.399759770295603</v>
      </c>
      <c r="AK279">
        <v>0.691041130827873</v>
      </c>
      <c r="AL279">
        <v>83.175041452213193</v>
      </c>
      <c r="AM279">
        <v>86.271307869486506</v>
      </c>
      <c r="AN279">
        <v>0.99999998647284405</v>
      </c>
    </row>
    <row r="280" spans="1:40" x14ac:dyDescent="0.25">
      <c r="A280" t="str">
        <f>"20190312163959284"</f>
        <v>20190312163959284</v>
      </c>
      <c r="B280" t="str">
        <f>"1552379999276093"</f>
        <v>1552379999276093</v>
      </c>
      <c r="C280" t="s">
        <v>40</v>
      </c>
      <c r="D280">
        <v>5.2854010000000002</v>
      </c>
      <c r="E280">
        <v>0.48854130000000001</v>
      </c>
      <c r="F280" t="s">
        <v>42</v>
      </c>
      <c r="G280">
        <v>-454.11919999999998</v>
      </c>
      <c r="H280">
        <v>1.048362</v>
      </c>
      <c r="I280">
        <v>368.43180000000001</v>
      </c>
      <c r="J280">
        <v>-454.78089999999997</v>
      </c>
      <c r="K280">
        <v>1.108441</v>
      </c>
      <c r="L280">
        <v>368.43380000000002</v>
      </c>
      <c r="M280">
        <v>0.99965919999999997</v>
      </c>
      <c r="N280">
        <v>0</v>
      </c>
      <c r="O280">
        <v>2.5710790000000001E-2</v>
      </c>
      <c r="P280">
        <v>0.99259889999999995</v>
      </c>
      <c r="Q280">
        <v>0.1150868</v>
      </c>
      <c r="R280">
        <v>-3.8763989999999998E-2</v>
      </c>
      <c r="S280">
        <v>3.0456539999999999</v>
      </c>
      <c r="T280">
        <v>-0.20003070000000001</v>
      </c>
      <c r="U280">
        <v>1.1627200000000001E-2</v>
      </c>
      <c r="V280">
        <v>6.4503459999999999E-2</v>
      </c>
      <c r="W280">
        <v>0.1194766</v>
      </c>
      <c r="X280">
        <v>0.9907395</v>
      </c>
      <c r="Y280">
        <v>2.1792189999999999E-2</v>
      </c>
      <c r="Z280">
        <v>-2.4015059999999999E-3</v>
      </c>
      <c r="AA280">
        <v>0.99975959999999997</v>
      </c>
      <c r="AB280">
        <v>25</v>
      </c>
      <c r="AC280">
        <v>0.66169999999999596</v>
      </c>
      <c r="AD280">
        <v>-6.0079E-2</v>
      </c>
      <c r="AE280">
        <v>-2.0000000000095402E-3</v>
      </c>
      <c r="AF280">
        <v>1.88568929561777E-2</v>
      </c>
      <c r="AG280">
        <v>-6.0079E-2</v>
      </c>
      <c r="AH280">
        <v>0.65602182120123298</v>
      </c>
      <c r="AI280">
        <v>95.230448594630005</v>
      </c>
      <c r="AJ280">
        <v>88.353525853587797</v>
      </c>
      <c r="AK280">
        <v>0.65903694778452504</v>
      </c>
      <c r="AL280">
        <v>83.138103732105506</v>
      </c>
      <c r="AM280">
        <v>86.274936723558099</v>
      </c>
      <c r="AN280">
        <v>1.00000005557988</v>
      </c>
    </row>
    <row r="281" spans="1:40" x14ac:dyDescent="0.25">
      <c r="A281" t="str">
        <f>"20190312163959306"</f>
        <v>20190312163959306</v>
      </c>
      <c r="B281" t="str">
        <f>"1552379999296592"</f>
        <v>1552379999296592</v>
      </c>
      <c r="C281" t="s">
        <v>40</v>
      </c>
      <c r="D281">
        <v>5.388808</v>
      </c>
      <c r="E281">
        <v>0.48830279999999998</v>
      </c>
      <c r="F281" t="s">
        <v>42</v>
      </c>
      <c r="G281">
        <v>-453.89580000000001</v>
      </c>
      <c r="H281">
        <v>1.0496219999999901</v>
      </c>
      <c r="I281">
        <v>368.43650000000002</v>
      </c>
      <c r="J281">
        <v>-454.53870000000001</v>
      </c>
      <c r="K281">
        <v>1.108482</v>
      </c>
      <c r="L281">
        <v>368.43880000000001</v>
      </c>
      <c r="M281">
        <v>0.99968619999999997</v>
      </c>
      <c r="N281">
        <v>0</v>
      </c>
      <c r="O281">
        <v>2.4587919999999999E-2</v>
      </c>
      <c r="P281">
        <v>0.99255760000000004</v>
      </c>
      <c r="Q281">
        <v>0.11523990000000001</v>
      </c>
      <c r="R281">
        <v>-3.936485E-2</v>
      </c>
      <c r="S281">
        <v>3.046265</v>
      </c>
      <c r="T281">
        <v>-0.2025527</v>
      </c>
      <c r="U281">
        <v>9.4604489999999992E-3</v>
      </c>
      <c r="V281">
        <v>6.3985020000000004E-2</v>
      </c>
      <c r="W281">
        <v>0.11986339999999999</v>
      </c>
      <c r="X281">
        <v>0.99072640000000001</v>
      </c>
      <c r="Y281">
        <v>2.138195E-2</v>
      </c>
      <c r="Z281">
        <v>-2.343056E-3</v>
      </c>
      <c r="AA281">
        <v>0.99976860000000001</v>
      </c>
      <c r="AB281">
        <v>25</v>
      </c>
      <c r="AC281">
        <v>0.64289999999999703</v>
      </c>
      <c r="AD281">
        <v>-5.88600000000001E-2</v>
      </c>
      <c r="AE281">
        <v>-2.29999999999108E-3</v>
      </c>
      <c r="AF281">
        <v>1.7956547739607601E-2</v>
      </c>
      <c r="AG281">
        <v>-5.88600000000001E-2</v>
      </c>
      <c r="AH281">
        <v>0.63730716146435895</v>
      </c>
      <c r="AI281">
        <v>95.274635579958002</v>
      </c>
      <c r="AJ281">
        <v>88.386080779991005</v>
      </c>
      <c r="AK281">
        <v>0.64027131378852398</v>
      </c>
      <c r="AL281">
        <v>83.115781331166502</v>
      </c>
      <c r="AM281">
        <v>86.304744528941299</v>
      </c>
      <c r="AN281">
        <v>1.00000005855045</v>
      </c>
    </row>
    <row r="282" spans="1:40" x14ac:dyDescent="0.25">
      <c r="A282" t="str">
        <f>"20190312163959327"</f>
        <v>20190312163959327</v>
      </c>
      <c r="B282" t="str">
        <f>"1552379999317089"</f>
        <v>1552379999317089</v>
      </c>
      <c r="C282" t="s">
        <v>40</v>
      </c>
      <c r="D282">
        <v>5.3307079999999996</v>
      </c>
      <c r="E282">
        <v>0.48808420000000002</v>
      </c>
      <c r="F282" t="s">
        <v>42</v>
      </c>
      <c r="G282">
        <v>-453.67149999999998</v>
      </c>
      <c r="H282">
        <v>1.0509820000000001</v>
      </c>
      <c r="I282">
        <v>368.44139999999999</v>
      </c>
      <c r="J282">
        <v>-454.3</v>
      </c>
      <c r="K282">
        <v>1.10853</v>
      </c>
      <c r="L282">
        <v>368.44349999999997</v>
      </c>
      <c r="M282">
        <v>0.99971069999999995</v>
      </c>
      <c r="N282">
        <v>0</v>
      </c>
      <c r="O282">
        <v>2.3523780000000001E-2</v>
      </c>
      <c r="P282">
        <v>0.99251210000000001</v>
      </c>
      <c r="Q282">
        <v>0.1153387</v>
      </c>
      <c r="R282">
        <v>-4.0210320000000001E-2</v>
      </c>
      <c r="S282">
        <v>3.0462950000000002</v>
      </c>
      <c r="T282">
        <v>-0.2020556</v>
      </c>
      <c r="U282">
        <v>9.4909669999999995E-3</v>
      </c>
      <c r="V282">
        <v>6.376772E-2</v>
      </c>
      <c r="W282">
        <v>0.120183399999999</v>
      </c>
      <c r="X282">
        <v>0.99070159999999996</v>
      </c>
      <c r="Y282">
        <v>2.031295E-2</v>
      </c>
      <c r="Z282">
        <v>-2.2313950000000002E-3</v>
      </c>
      <c r="AA282">
        <v>0.99979119999999999</v>
      </c>
      <c r="AB282">
        <v>25</v>
      </c>
      <c r="AC282">
        <v>0.62850000000003003</v>
      </c>
      <c r="AD282">
        <v>-5.7548000000000099E-2</v>
      </c>
      <c r="AE282">
        <v>-2.0999999999844398E-3</v>
      </c>
      <c r="AF282">
        <v>1.6743921475598601E-2</v>
      </c>
      <c r="AG282">
        <v>-5.7548000000000099E-2</v>
      </c>
      <c r="AH282">
        <v>0.62305307279674405</v>
      </c>
      <c r="AI282">
        <v>95.275230779621793</v>
      </c>
      <c r="AJ282">
        <v>88.460604365234005</v>
      </c>
      <c r="AK282">
        <v>0.62592911957492903</v>
      </c>
      <c r="AL282">
        <v>83.097312882440207</v>
      </c>
      <c r="AM282">
        <v>86.317167483289694</v>
      </c>
      <c r="AN282">
        <v>1.00000001599605</v>
      </c>
    </row>
    <row r="283" spans="1:40" x14ac:dyDescent="0.25">
      <c r="A283" t="str">
        <f>"20190312163959350"</f>
        <v>20190312163959350</v>
      </c>
      <c r="B283" t="str">
        <f>"1552379999346366"</f>
        <v>1552379999346366</v>
      </c>
      <c r="C283" t="s">
        <v>40</v>
      </c>
      <c r="D283">
        <v>6.2035739999999997</v>
      </c>
      <c r="E283">
        <v>0.48778660000000001</v>
      </c>
      <c r="F283" t="s">
        <v>42</v>
      </c>
      <c r="G283">
        <v>-453.43860000000001</v>
      </c>
      <c r="H283">
        <v>1.0518080000000001</v>
      </c>
      <c r="I283">
        <v>368.44580000000002</v>
      </c>
      <c r="J283">
        <v>-454.04820000000001</v>
      </c>
      <c r="K283">
        <v>1.108587</v>
      </c>
      <c r="L283">
        <v>368.44819999999999</v>
      </c>
      <c r="M283">
        <v>0.99973420000000002</v>
      </c>
      <c r="N283">
        <v>0</v>
      </c>
      <c r="O283">
        <v>2.2453979999999998E-2</v>
      </c>
      <c r="P283">
        <v>0.99240799999999996</v>
      </c>
      <c r="Q283">
        <v>0.11584899999999999</v>
      </c>
      <c r="R283">
        <v>-4.1295020000000002E-2</v>
      </c>
      <c r="S283">
        <v>3.0463260000000001</v>
      </c>
      <c r="T283">
        <v>-0.20072960000000001</v>
      </c>
      <c r="U283">
        <v>8.8500980000000007E-3</v>
      </c>
      <c r="V283">
        <v>6.3780989999999996E-2</v>
      </c>
      <c r="W283">
        <v>0.1209152</v>
      </c>
      <c r="X283">
        <v>0.99061169999999998</v>
      </c>
      <c r="Y283">
        <v>1.945889E-2</v>
      </c>
      <c r="Z283">
        <v>-2.1182559999999998E-3</v>
      </c>
      <c r="AA283">
        <v>0.99980840000000004</v>
      </c>
      <c r="AB283">
        <v>25</v>
      </c>
      <c r="AC283">
        <v>0.60960000000000003</v>
      </c>
      <c r="AD283">
        <v>-5.6778999999999899E-2</v>
      </c>
      <c r="AE283">
        <v>-2.3999999999659801E-3</v>
      </c>
      <c r="AF283">
        <v>1.59491662760744E-2</v>
      </c>
      <c r="AG283">
        <v>-5.6778999999999899E-2</v>
      </c>
      <c r="AH283">
        <v>0.60415128648548599</v>
      </c>
      <c r="AI283">
        <v>95.367110042598398</v>
      </c>
      <c r="AJ283">
        <v>88.487783215436707</v>
      </c>
      <c r="AK283">
        <v>0.60702307016123402</v>
      </c>
      <c r="AL283">
        <v>83.0550758396719</v>
      </c>
      <c r="AM283">
        <v>86.316069826046999</v>
      </c>
      <c r="AN283">
        <v>1.0000000202266499</v>
      </c>
    </row>
    <row r="284" spans="1:40" x14ac:dyDescent="0.25">
      <c r="A284" t="str">
        <f>"20190312163959372"</f>
        <v>20190312163959372</v>
      </c>
      <c r="B284" t="str">
        <f>"1552379999366862"</f>
        <v>1552379999366862</v>
      </c>
      <c r="C284" t="s">
        <v>40</v>
      </c>
      <c r="D284">
        <v>6.2437849999999999</v>
      </c>
      <c r="E284">
        <v>0.48763050000000002</v>
      </c>
      <c r="F284" t="s">
        <v>43</v>
      </c>
      <c r="G284">
        <v>-436.1671</v>
      </c>
      <c r="H284">
        <v>-0.05</v>
      </c>
      <c r="I284">
        <v>368.49860000000001</v>
      </c>
      <c r="J284">
        <v>-453.791</v>
      </c>
      <c r="K284">
        <v>1.1086370000000001</v>
      </c>
      <c r="L284">
        <v>368.4529</v>
      </c>
      <c r="M284">
        <v>0.99975599999999998</v>
      </c>
      <c r="N284">
        <v>0</v>
      </c>
      <c r="O284">
        <v>2.1420729999999999E-2</v>
      </c>
      <c r="P284">
        <v>0.99237089999999994</v>
      </c>
      <c r="Q284">
        <v>0.1158463</v>
      </c>
      <c r="R284">
        <v>-4.2192569999999999E-2</v>
      </c>
      <c r="S284">
        <v>3.0463260000000001</v>
      </c>
      <c r="T284">
        <v>-0.19738349999999999</v>
      </c>
      <c r="U284">
        <v>8.5754390000000007E-3</v>
      </c>
      <c r="V284">
        <v>6.3642240000000003E-2</v>
      </c>
      <c r="W284">
        <v>0.1211235</v>
      </c>
      <c r="X284">
        <v>0.99059520000000001</v>
      </c>
      <c r="Y284">
        <v>1.8522859999999999E-2</v>
      </c>
      <c r="Z284">
        <v>-1.985863E-3</v>
      </c>
      <c r="AA284">
        <v>0.99982649999999995</v>
      </c>
      <c r="AB284">
        <v>25</v>
      </c>
      <c r="AC284">
        <v>17.6238999999999</v>
      </c>
      <c r="AD284">
        <v>-1.1586369999999999</v>
      </c>
      <c r="AE284">
        <v>4.5700000000010697E-2</v>
      </c>
      <c r="AF284">
        <v>0.33040476179824202</v>
      </c>
      <c r="AG284">
        <v>-1.1586369999999999</v>
      </c>
      <c r="AH284">
        <v>17.545004970818901</v>
      </c>
      <c r="AI284">
        <v>93.777544819913999</v>
      </c>
      <c r="AJ284">
        <v>88.921142454634804</v>
      </c>
      <c r="AK284">
        <v>17.586324415023299</v>
      </c>
      <c r="AL284">
        <v>83.043052924684702</v>
      </c>
      <c r="AM284">
        <v>86.324000837843499</v>
      </c>
      <c r="AN284">
        <v>1.0000000436137499</v>
      </c>
    </row>
    <row r="285" spans="1:40" x14ac:dyDescent="0.25">
      <c r="A285" t="str">
        <f>"20190312163959396"</f>
        <v>20190312163959396</v>
      </c>
      <c r="B285" t="str">
        <f>"1552379999386381"</f>
        <v>1552379999386381</v>
      </c>
      <c r="C285" t="s">
        <v>40</v>
      </c>
      <c r="D285">
        <v>5.2856870000000002</v>
      </c>
      <c r="E285">
        <v>0.48747580000000001</v>
      </c>
      <c r="F285" t="s">
        <v>43</v>
      </c>
      <c r="G285">
        <v>-435.8458</v>
      </c>
      <c r="H285">
        <v>-0.05</v>
      </c>
      <c r="I285">
        <v>368.48880000000003</v>
      </c>
      <c r="J285">
        <v>-453.53390000000002</v>
      </c>
      <c r="K285">
        <v>1.1086849999999999</v>
      </c>
      <c r="L285">
        <v>368.45729999999998</v>
      </c>
      <c r="M285">
        <v>0.99977510000000003</v>
      </c>
      <c r="N285">
        <v>0</v>
      </c>
      <c r="O285">
        <v>2.0448709999999998E-2</v>
      </c>
      <c r="P285">
        <v>0.99225989999999997</v>
      </c>
      <c r="Q285">
        <v>0.1160761</v>
      </c>
      <c r="R285">
        <v>-4.4123370000000002E-2</v>
      </c>
      <c r="S285">
        <v>3.0463559999999998</v>
      </c>
      <c r="T285">
        <v>-0.19668830000000001</v>
      </c>
      <c r="U285">
        <v>6.1035159999999998E-3</v>
      </c>
      <c r="V285">
        <v>6.4595879999999994E-2</v>
      </c>
      <c r="W285">
        <v>0.12154470000000001</v>
      </c>
      <c r="X285">
        <v>0.99048190000000003</v>
      </c>
      <c r="Y285">
        <v>1.8365059999999999E-2</v>
      </c>
      <c r="Z285">
        <v>-1.911098E-3</v>
      </c>
      <c r="AA285">
        <v>0.99982950000000004</v>
      </c>
      <c r="AB285">
        <v>25</v>
      </c>
      <c r="AC285">
        <v>17.688099999999999</v>
      </c>
      <c r="AD285">
        <v>-1.158685</v>
      </c>
      <c r="AE285">
        <v>3.1500000000050897E-2</v>
      </c>
      <c r="AF285">
        <v>0.32880021964294198</v>
      </c>
      <c r="AG285">
        <v>-1.158685</v>
      </c>
      <c r="AH285">
        <v>17.609481737341198</v>
      </c>
      <c r="AI285">
        <v>93.763919980930893</v>
      </c>
      <c r="AJ285">
        <v>88.930310594535797</v>
      </c>
      <c r="AK285">
        <v>17.650623432939</v>
      </c>
      <c r="AL285">
        <v>83.018740486211101</v>
      </c>
      <c r="AM285">
        <v>86.268647103456402</v>
      </c>
      <c r="AN285">
        <v>1.0000000680193299</v>
      </c>
    </row>
    <row r="286" spans="1:40" x14ac:dyDescent="0.25">
      <c r="A286" t="str">
        <f>"20190312163959418"</f>
        <v>20190312163959418</v>
      </c>
      <c r="B286" t="str">
        <f>"1552379999416637"</f>
        <v>1552379999416637</v>
      </c>
      <c r="C286" t="s">
        <v>40</v>
      </c>
      <c r="D286">
        <v>5.3490219999999997</v>
      </c>
      <c r="E286">
        <v>0.48749150000000002</v>
      </c>
      <c r="F286" t="s">
        <v>43</v>
      </c>
      <c r="G286">
        <v>-435.39139999999998</v>
      </c>
      <c r="H286">
        <v>-0.05</v>
      </c>
      <c r="I286">
        <v>368.4633</v>
      </c>
      <c r="J286">
        <v>-453.2808</v>
      </c>
      <c r="K286">
        <v>1.1087320000000001</v>
      </c>
      <c r="L286">
        <v>368.4615</v>
      </c>
      <c r="M286">
        <v>0.99979220000000002</v>
      </c>
      <c r="N286">
        <v>0</v>
      </c>
      <c r="O286">
        <v>1.9551490000000001E-2</v>
      </c>
      <c r="P286">
        <v>0.99226899999999996</v>
      </c>
      <c r="Q286">
        <v>0.1157171</v>
      </c>
      <c r="R286">
        <v>-4.4854810000000002E-2</v>
      </c>
      <c r="S286">
        <v>3.0462340000000001</v>
      </c>
      <c r="T286">
        <v>-0.19454979999999999</v>
      </c>
      <c r="U286">
        <v>1.00708E-3</v>
      </c>
      <c r="V286">
        <v>6.4427029999999996E-2</v>
      </c>
      <c r="W286">
        <v>0.1213583</v>
      </c>
      <c r="X286">
        <v>0.9905157</v>
      </c>
      <c r="Y286">
        <v>1.914246E-2</v>
      </c>
      <c r="Z286">
        <v>-1.85801E-3</v>
      </c>
      <c r="AA286">
        <v>0.99981500000000001</v>
      </c>
      <c r="AB286">
        <v>25</v>
      </c>
      <c r="AC286">
        <v>17.889399999999998</v>
      </c>
      <c r="AD286">
        <v>-1.1587319999999901</v>
      </c>
      <c r="AE286">
        <v>1.8000000000029099E-3</v>
      </c>
      <c r="AF286">
        <v>0.346516812091341</v>
      </c>
      <c r="AG286">
        <v>-1.1587319999999901</v>
      </c>
      <c r="AH286">
        <v>17.811289874474699</v>
      </c>
      <c r="AI286">
        <v>93.7214891187175</v>
      </c>
      <c r="AJ286">
        <v>88.885457105513694</v>
      </c>
      <c r="AK286">
        <v>17.8523046338968</v>
      </c>
      <c r="AL286">
        <v>83.029499700543298</v>
      </c>
      <c r="AM286">
        <v>86.278499842008898</v>
      </c>
      <c r="AN286">
        <v>1.00000001556</v>
      </c>
    </row>
    <row r="287" spans="1:40" x14ac:dyDescent="0.25">
      <c r="A287" t="str">
        <f>"20190312163959442"</f>
        <v>20190312163959442</v>
      </c>
      <c r="B287" t="str">
        <f>"1552379999437134"</f>
        <v>1552379999437134</v>
      </c>
      <c r="C287" t="s">
        <v>40</v>
      </c>
      <c r="D287">
        <v>5.2457440000000002</v>
      </c>
      <c r="E287">
        <v>0.48735909999999899</v>
      </c>
      <c r="F287" t="s">
        <v>42</v>
      </c>
      <c r="G287">
        <v>-452.32170000000002</v>
      </c>
      <c r="H287">
        <v>1.047256</v>
      </c>
      <c r="I287">
        <v>368.46089999999998</v>
      </c>
      <c r="J287">
        <v>-453.01589999999999</v>
      </c>
      <c r="K287">
        <v>1.108778</v>
      </c>
      <c r="L287">
        <v>368.46570000000003</v>
      </c>
      <c r="M287">
        <v>0.99980789999999997</v>
      </c>
      <c r="N287">
        <v>0</v>
      </c>
      <c r="O287">
        <v>1.8676700000000001E-2</v>
      </c>
      <c r="P287">
        <v>0.99220379999999997</v>
      </c>
      <c r="Q287">
        <v>0.1159616</v>
      </c>
      <c r="R287">
        <v>-4.5659669999999999E-2</v>
      </c>
      <c r="S287">
        <v>3.0460820000000002</v>
      </c>
      <c r="T287">
        <v>-0.19523309999999999</v>
      </c>
      <c r="U287">
        <v>-1.495361E-3</v>
      </c>
      <c r="V287">
        <v>6.4353690000000005E-2</v>
      </c>
      <c r="W287">
        <v>0.121762</v>
      </c>
      <c r="X287">
        <v>0.99047090000000004</v>
      </c>
      <c r="Y287">
        <v>1.9090360000000001E-2</v>
      </c>
      <c r="Z287">
        <v>-1.8069469999999999E-3</v>
      </c>
      <c r="AA287">
        <v>0.99981609999999999</v>
      </c>
      <c r="AB287">
        <v>25</v>
      </c>
      <c r="AC287">
        <v>0.69419999999996596</v>
      </c>
      <c r="AD287">
        <v>-6.1522E-2</v>
      </c>
      <c r="AE287">
        <v>-4.8000000000456497E-3</v>
      </c>
      <c r="AF287">
        <v>1.7626326206561401E-2</v>
      </c>
      <c r="AG287">
        <v>-6.1522E-2</v>
      </c>
      <c r="AH287">
        <v>0.68858139094772797</v>
      </c>
      <c r="AI287">
        <v>95.103929525217893</v>
      </c>
      <c r="AJ287">
        <v>88.533661213055595</v>
      </c>
      <c r="AK287">
        <v>0.691548968489613</v>
      </c>
      <c r="AL287">
        <v>83.0061964209264</v>
      </c>
      <c r="AM287">
        <v>86.282556632993604</v>
      </c>
      <c r="AN287">
        <v>0.999999992903713</v>
      </c>
    </row>
    <row r="288" spans="1:40" x14ac:dyDescent="0.25">
      <c r="A288" t="str">
        <f>"20190312163959463"</f>
        <v>20190312163959463</v>
      </c>
      <c r="B288" t="str">
        <f>"1552379999456654"</f>
        <v>1552379999456654</v>
      </c>
      <c r="C288" t="s">
        <v>40</v>
      </c>
      <c r="D288">
        <v>5.3319279999999996</v>
      </c>
      <c r="E288">
        <v>0.48736780000000002</v>
      </c>
      <c r="F288" t="s">
        <v>42</v>
      </c>
      <c r="G288">
        <v>-452.09129999999999</v>
      </c>
      <c r="H288">
        <v>1.049968</v>
      </c>
      <c r="I288">
        <v>368.46460000000002</v>
      </c>
      <c r="J288">
        <v>-452.77010000000001</v>
      </c>
      <c r="K288">
        <v>1.1088180000000001</v>
      </c>
      <c r="L288">
        <v>368.46940000000001</v>
      </c>
      <c r="M288">
        <v>0.99982139999999997</v>
      </c>
      <c r="N288">
        <v>0</v>
      </c>
      <c r="O288">
        <v>1.7903550000000001E-2</v>
      </c>
      <c r="P288">
        <v>0.99212429999999996</v>
      </c>
      <c r="Q288">
        <v>0.1165477</v>
      </c>
      <c r="R288">
        <v>-4.5892750000000003E-2</v>
      </c>
      <c r="S288">
        <v>3.0461429999999998</v>
      </c>
      <c r="T288">
        <v>-0.1939429</v>
      </c>
      <c r="U288">
        <v>-2.7770999999999998E-3</v>
      </c>
      <c r="V288">
        <v>6.3812729999999998E-2</v>
      </c>
      <c r="W288">
        <v>0.1224809</v>
      </c>
      <c r="X288">
        <v>0.9904172</v>
      </c>
      <c r="Y288">
        <v>1.87412E-2</v>
      </c>
      <c r="Z288">
        <v>-1.734721E-3</v>
      </c>
      <c r="AA288">
        <v>0.99982289999999996</v>
      </c>
      <c r="AB288">
        <v>25</v>
      </c>
      <c r="AC288">
        <v>0.67880000000002305</v>
      </c>
      <c r="AD288">
        <v>-5.885E-2</v>
      </c>
      <c r="AE288">
        <v>-4.7999999999888097E-3</v>
      </c>
      <c r="AF288">
        <v>1.6825919118963702E-2</v>
      </c>
      <c r="AG288">
        <v>-5.885E-2</v>
      </c>
      <c r="AH288">
        <v>0.67354290085317803</v>
      </c>
      <c r="AI288">
        <v>94.991918987208194</v>
      </c>
      <c r="AJ288">
        <v>88.568979521714695</v>
      </c>
      <c r="AK288">
        <v>0.67631832249608004</v>
      </c>
      <c r="AL288">
        <v>82.964695433325502</v>
      </c>
      <c r="AM288">
        <v>86.313519785162597</v>
      </c>
      <c r="AN288">
        <v>0.99999993271534904</v>
      </c>
    </row>
    <row r="289" spans="1:40" x14ac:dyDescent="0.25">
      <c r="A289" t="str">
        <f>"20190312163959475"</f>
        <v>20190312163959475</v>
      </c>
      <c r="B289" t="str">
        <f>"1552379999466414"</f>
        <v>1552379999466414</v>
      </c>
      <c r="C289" t="s">
        <v>40</v>
      </c>
      <c r="D289">
        <v>5.3254130000000002</v>
      </c>
      <c r="E289">
        <v>0.4873383</v>
      </c>
      <c r="F289" t="s">
        <v>42</v>
      </c>
      <c r="G289">
        <v>-451.85359999999997</v>
      </c>
      <c r="H289">
        <v>1.050948</v>
      </c>
      <c r="I289">
        <v>368.46820000000002</v>
      </c>
      <c r="J289">
        <v>-452.62020000000001</v>
      </c>
      <c r="K289">
        <v>1.1088359999999999</v>
      </c>
      <c r="L289">
        <v>368.47160000000002</v>
      </c>
      <c r="M289">
        <v>0.99982899999999997</v>
      </c>
      <c r="N289">
        <v>0</v>
      </c>
      <c r="O289">
        <v>1.7447520000000001E-2</v>
      </c>
      <c r="P289">
        <v>0.99207529999999999</v>
      </c>
      <c r="Q289">
        <v>0.1169123</v>
      </c>
      <c r="R289">
        <v>-4.6022939999999998E-2</v>
      </c>
      <c r="S289">
        <v>3.0462340000000001</v>
      </c>
      <c r="T289">
        <v>-0.19241230000000001</v>
      </c>
      <c r="U289">
        <v>-4.1198729999999996E-3</v>
      </c>
      <c r="V289">
        <v>6.3487070000000007E-2</v>
      </c>
      <c r="W289">
        <v>0.1229205</v>
      </c>
      <c r="X289">
        <v>0.99038369999999998</v>
      </c>
      <c r="Y289">
        <v>1.8727980000000002E-2</v>
      </c>
      <c r="Z289">
        <v>-1.691817E-3</v>
      </c>
      <c r="AA289">
        <v>0.99982320000000002</v>
      </c>
      <c r="AB289">
        <v>25</v>
      </c>
      <c r="AC289">
        <v>0.76660000000003903</v>
      </c>
      <c r="AD289">
        <v>-5.7888000000000099E-2</v>
      </c>
      <c r="AE289">
        <v>-3.3999999999991802E-3</v>
      </c>
      <c r="AF289">
        <v>1.66798928654808E-2</v>
      </c>
      <c r="AG289">
        <v>-5.7888000000000099E-2</v>
      </c>
      <c r="AH289">
        <v>0.76207857233089904</v>
      </c>
      <c r="AI289">
        <v>94.342847794558807</v>
      </c>
      <c r="AJ289">
        <v>88.746146482871495</v>
      </c>
      <c r="AK289">
        <v>0.76445600905212696</v>
      </c>
      <c r="AL289">
        <v>82.939316667168697</v>
      </c>
      <c r="AM289">
        <v>86.332158051956796</v>
      </c>
      <c r="AN289">
        <v>0.99999996530156099</v>
      </c>
    </row>
    <row r="290" spans="1:40" x14ac:dyDescent="0.25">
      <c r="A290" t="str">
        <f>"20190312163959496"</f>
        <v>20190312163959496</v>
      </c>
      <c r="B290" t="str">
        <f>"1552379999486909"</f>
        <v>1552379999486909</v>
      </c>
      <c r="C290" t="s">
        <v>40</v>
      </c>
      <c r="D290">
        <v>5.24735</v>
      </c>
      <c r="E290">
        <v>0.48758889999999999</v>
      </c>
      <c r="F290" t="s">
        <v>43</v>
      </c>
      <c r="G290">
        <v>-434.34530000000001</v>
      </c>
      <c r="H290">
        <v>-0.05</v>
      </c>
      <c r="I290">
        <v>368.44709999999998</v>
      </c>
      <c r="J290">
        <v>-452.38119999999998</v>
      </c>
      <c r="K290">
        <v>1.1088629999999999</v>
      </c>
      <c r="L290">
        <v>368.4751</v>
      </c>
      <c r="M290">
        <v>0.99984039999999996</v>
      </c>
      <c r="N290">
        <v>0</v>
      </c>
      <c r="O290">
        <v>1.6746799999999999E-2</v>
      </c>
      <c r="P290">
        <v>0.99195610000000001</v>
      </c>
      <c r="Q290">
        <v>0.1178529</v>
      </c>
      <c r="R290">
        <v>-4.619645E-2</v>
      </c>
      <c r="S290">
        <v>3.0465390000000001</v>
      </c>
      <c r="T290">
        <v>-0.19318569999999999</v>
      </c>
      <c r="U290">
        <v>-4.0893550000000002E-3</v>
      </c>
      <c r="V290">
        <v>6.2960189999999999E-2</v>
      </c>
      <c r="W290">
        <v>0.1239691</v>
      </c>
      <c r="X290">
        <v>0.99028660000000002</v>
      </c>
      <c r="Y290">
        <v>1.801939E-2</v>
      </c>
      <c r="Z290">
        <v>-1.6316049999999999E-3</v>
      </c>
      <c r="AA290">
        <v>0.99983630000000001</v>
      </c>
      <c r="AB290">
        <v>25</v>
      </c>
      <c r="AC290">
        <v>18.035899999999899</v>
      </c>
      <c r="AD290">
        <v>-1.158863</v>
      </c>
      <c r="AE290">
        <v>-2.8000000000019998E-2</v>
      </c>
      <c r="AF290">
        <v>0.32868855516665102</v>
      </c>
      <c r="AG290">
        <v>-1.158863</v>
      </c>
      <c r="AH290">
        <v>17.958759749507301</v>
      </c>
      <c r="AI290">
        <v>93.6915108198924</v>
      </c>
      <c r="AJ290">
        <v>88.951466312327696</v>
      </c>
      <c r="AK290">
        <v>17.999112515887798</v>
      </c>
      <c r="AL290">
        <v>82.878773033038598</v>
      </c>
      <c r="AM290">
        <v>86.362159747339305</v>
      </c>
      <c r="AN290">
        <v>0.99999993670960097</v>
      </c>
    </row>
    <row r="291" spans="1:40" x14ac:dyDescent="0.25">
      <c r="A291" t="str">
        <f>"20190312163959518"</f>
        <v>20190312163959518</v>
      </c>
      <c r="B291" t="str">
        <f>"1552379999506433"</f>
        <v>1552379999506433</v>
      </c>
      <c r="C291" t="s">
        <v>40</v>
      </c>
      <c r="D291">
        <v>5.1889180000000001</v>
      </c>
      <c r="E291">
        <v>0.52653179999999999</v>
      </c>
      <c r="F291" t="s">
        <v>43</v>
      </c>
      <c r="G291">
        <v>-434.01060000000001</v>
      </c>
      <c r="H291">
        <v>-0.05</v>
      </c>
      <c r="I291">
        <v>368.43400000000003</v>
      </c>
      <c r="J291">
        <v>-452.14420000000001</v>
      </c>
      <c r="K291">
        <v>1.1088880000000001</v>
      </c>
      <c r="L291">
        <v>368.47829999999999</v>
      </c>
      <c r="M291">
        <v>0.99985060000000003</v>
      </c>
      <c r="N291">
        <v>0</v>
      </c>
      <c r="O291">
        <v>1.6085160000000001E-2</v>
      </c>
      <c r="P291">
        <v>0.99187760000000003</v>
      </c>
      <c r="Q291">
        <v>0.118675</v>
      </c>
      <c r="R291">
        <v>-4.5776690000000002E-2</v>
      </c>
      <c r="S291">
        <v>3.0468139999999999</v>
      </c>
      <c r="T291">
        <v>-0.19220039999999999</v>
      </c>
      <c r="U291">
        <v>-6.8054200000000004E-3</v>
      </c>
      <c r="V291">
        <v>6.1879469999999999E-2</v>
      </c>
      <c r="W291">
        <v>0.124888899999999</v>
      </c>
      <c r="X291">
        <v>0.99023919999999999</v>
      </c>
      <c r="Y291">
        <v>1.8250519999999999E-2</v>
      </c>
      <c r="Z291">
        <v>-1.588746E-3</v>
      </c>
      <c r="AA291">
        <v>0.99983219999999995</v>
      </c>
      <c r="AB291">
        <v>26</v>
      </c>
      <c r="AC291">
        <v>18.133600000000001</v>
      </c>
      <c r="AD291">
        <v>-1.1588879999999999</v>
      </c>
      <c r="AE291">
        <v>-4.4299999999964201E-2</v>
      </c>
      <c r="AF291">
        <v>0.33461531380786502</v>
      </c>
      <c r="AG291">
        <v>-1.1588879999999999</v>
      </c>
      <c r="AH291">
        <v>18.0567928435681</v>
      </c>
      <c r="AI291">
        <v>93.671587571533095</v>
      </c>
      <c r="AJ291">
        <v>88.938357921662899</v>
      </c>
      <c r="AK291">
        <v>18.097037232660799</v>
      </c>
      <c r="AL291">
        <v>82.825659981424295</v>
      </c>
      <c r="AM291">
        <v>86.424269644459798</v>
      </c>
      <c r="AN291">
        <v>0.99999998968366499</v>
      </c>
    </row>
    <row r="292" spans="1:40" x14ac:dyDescent="0.25">
      <c r="A292" t="str">
        <f>"20190312163959530"</f>
        <v>20190312163959530</v>
      </c>
      <c r="B292" t="str">
        <f>"1552379999526926"</f>
        <v>1552379999526926</v>
      </c>
      <c r="C292" t="s">
        <v>40</v>
      </c>
      <c r="D292">
        <v>5.282635</v>
      </c>
      <c r="E292">
        <v>0.537219</v>
      </c>
      <c r="F292" t="s">
        <v>43</v>
      </c>
      <c r="G292">
        <v>-430.01710000000003</v>
      </c>
      <c r="H292">
        <v>-0.05</v>
      </c>
      <c r="I292">
        <v>366.15300000000002</v>
      </c>
      <c r="J292">
        <v>-451.99799999999999</v>
      </c>
      <c r="K292">
        <v>1.1089100000000001</v>
      </c>
      <c r="L292">
        <v>368.48020000000002</v>
      </c>
      <c r="M292">
        <v>0.99985619999999997</v>
      </c>
      <c r="N292">
        <v>0</v>
      </c>
      <c r="O292">
        <v>1.5697289999999999E-2</v>
      </c>
      <c r="P292">
        <v>0.99185719999999999</v>
      </c>
      <c r="Q292">
        <v>0.1188314</v>
      </c>
      <c r="R292">
        <v>-4.5807559999999997E-2</v>
      </c>
      <c r="S292">
        <v>3.0289000000000001</v>
      </c>
      <c r="T292">
        <v>-0.1586359</v>
      </c>
      <c r="U292">
        <v>-0.31829829999999998</v>
      </c>
      <c r="V292">
        <v>6.1522359999999998E-2</v>
      </c>
      <c r="W292">
        <v>0.12509990000000001</v>
      </c>
      <c r="X292">
        <v>0.99023490000000003</v>
      </c>
      <c r="Y292">
        <v>0.11992650000000001</v>
      </c>
      <c r="Z292">
        <v>-3.9492449999999997E-3</v>
      </c>
      <c r="AA292">
        <v>0.99277490000000002</v>
      </c>
      <c r="AB292">
        <v>26</v>
      </c>
      <c r="AC292">
        <v>21.980899999999998</v>
      </c>
      <c r="AD292">
        <v>-1.1589100000000001</v>
      </c>
      <c r="AE292">
        <v>-2.3271999999999999</v>
      </c>
      <c r="AF292">
        <v>2.66463595792986</v>
      </c>
      <c r="AG292">
        <v>-1.1589100000000001</v>
      </c>
      <c r="AH292">
        <v>21.881508877577399</v>
      </c>
      <c r="AI292">
        <v>93.009531609622698</v>
      </c>
      <c r="AJ292">
        <v>83.056952162989305</v>
      </c>
      <c r="AK292">
        <v>22.073599342560598</v>
      </c>
      <c r="AL292">
        <v>82.813475601372303</v>
      </c>
      <c r="AM292">
        <v>86.444836914423007</v>
      </c>
      <c r="AN292">
        <v>1.0000000714689901</v>
      </c>
    </row>
    <row r="293" spans="1:40" x14ac:dyDescent="0.25">
      <c r="A293" t="str">
        <f>"20190312163959552"</f>
        <v>20190312163959552</v>
      </c>
      <c r="B293" t="str">
        <f>"1552379999546446"</f>
        <v>1552379999546446</v>
      </c>
      <c r="C293" t="s">
        <v>40</v>
      </c>
      <c r="D293">
        <v>5.2799899999999997</v>
      </c>
      <c r="E293">
        <v>0.54289679999999996</v>
      </c>
      <c r="F293" t="s">
        <v>43</v>
      </c>
      <c r="G293">
        <v>-428.15089999999998</v>
      </c>
      <c r="H293">
        <v>-0.05</v>
      </c>
      <c r="I293">
        <v>365.28949999999998</v>
      </c>
      <c r="J293">
        <v>-451.74970000000002</v>
      </c>
      <c r="K293">
        <v>1.1089370000000001</v>
      </c>
      <c r="L293">
        <v>368.48340000000002</v>
      </c>
      <c r="M293">
        <v>0.99986549999999996</v>
      </c>
      <c r="N293">
        <v>0</v>
      </c>
      <c r="O293">
        <v>1.506012E-2</v>
      </c>
      <c r="P293">
        <v>0.9917665</v>
      </c>
      <c r="Q293">
        <v>0.1195533</v>
      </c>
      <c r="R293">
        <v>-4.5894310000000001E-2</v>
      </c>
      <c r="S293">
        <v>3.0235289999999999</v>
      </c>
      <c r="T293">
        <v>-0.1469357</v>
      </c>
      <c r="U293">
        <v>-0.40454099999999998</v>
      </c>
      <c r="V293">
        <v>6.0970419999999997E-2</v>
      </c>
      <c r="W293">
        <v>0.12590879999999999</v>
      </c>
      <c r="X293">
        <v>0.9901664</v>
      </c>
      <c r="Y293">
        <v>0.1473399</v>
      </c>
      <c r="Z293">
        <v>-4.2906029999999996E-3</v>
      </c>
      <c r="AA293">
        <v>0.98907659999999997</v>
      </c>
      <c r="AB293">
        <v>26</v>
      </c>
      <c r="AC293">
        <v>23.598800000000001</v>
      </c>
      <c r="AD293">
        <v>-1.1589370000000001</v>
      </c>
      <c r="AE293">
        <v>-3.1939000000000402</v>
      </c>
      <c r="AF293">
        <v>3.5405605241488098</v>
      </c>
      <c r="AG293">
        <v>-1.1589370000000001</v>
      </c>
      <c r="AH293">
        <v>23.492382448690002</v>
      </c>
      <c r="AI293">
        <v>92.792763792125896</v>
      </c>
      <c r="AJ293">
        <v>81.429397498216204</v>
      </c>
      <c r="AK293">
        <v>23.785935695504001</v>
      </c>
      <c r="AL293">
        <v>82.766758848815599</v>
      </c>
      <c r="AM293">
        <v>86.476407765744597</v>
      </c>
      <c r="AN293">
        <v>0.99999995886068704</v>
      </c>
    </row>
    <row r="294" spans="1:40" x14ac:dyDescent="0.25">
      <c r="A294" t="str">
        <f>"20190312163959564"</f>
        <v>20190312163959564</v>
      </c>
      <c r="B294" t="str">
        <f>"1552379999556207"</f>
        <v>1552379999556207</v>
      </c>
      <c r="C294" t="s">
        <v>40</v>
      </c>
      <c r="D294">
        <v>5.151338</v>
      </c>
      <c r="E294">
        <v>0.54458589999999996</v>
      </c>
      <c r="F294" t="s">
        <v>43</v>
      </c>
      <c r="G294">
        <v>-427.27510000000001</v>
      </c>
      <c r="H294">
        <v>-0.05</v>
      </c>
      <c r="I294">
        <v>364.83359999999999</v>
      </c>
      <c r="J294">
        <v>-451.60059999999999</v>
      </c>
      <c r="K294">
        <v>1.108957</v>
      </c>
      <c r="L294">
        <v>368.4853</v>
      </c>
      <c r="M294">
        <v>0.9998707</v>
      </c>
      <c r="N294">
        <v>0</v>
      </c>
      <c r="O294">
        <v>1.4694280000000001E-2</v>
      </c>
      <c r="P294">
        <v>0.9917511</v>
      </c>
      <c r="Q294">
        <v>0.11971039999999999</v>
      </c>
      <c r="R294">
        <v>-4.5817209999999997E-2</v>
      </c>
      <c r="S294">
        <v>3.0213320000000001</v>
      </c>
      <c r="T294">
        <v>-0.143068</v>
      </c>
      <c r="U294">
        <v>-0.4505615</v>
      </c>
      <c r="V294">
        <v>6.052627E-2</v>
      </c>
      <c r="W294">
        <v>0.12611459999999999</v>
      </c>
      <c r="X294">
        <v>0.99016749999999998</v>
      </c>
      <c r="Y294">
        <v>0.16182009999999999</v>
      </c>
      <c r="Z294">
        <v>-4.4999269999999999E-3</v>
      </c>
      <c r="AA294">
        <v>0.98680999999999996</v>
      </c>
      <c r="AB294">
        <v>26</v>
      </c>
      <c r="AC294">
        <v>24.325499999999899</v>
      </c>
      <c r="AD294">
        <v>-1.158957</v>
      </c>
      <c r="AE294">
        <v>-3.6516999999999999</v>
      </c>
      <c r="AF294">
        <v>3.9998797351794599</v>
      </c>
      <c r="AG294">
        <v>-1.158957</v>
      </c>
      <c r="AH294">
        <v>24.215457488048699</v>
      </c>
      <c r="AI294">
        <v>92.703519640283503</v>
      </c>
      <c r="AJ294">
        <v>80.620643310870506</v>
      </c>
      <c r="AK294">
        <v>24.5709299901173</v>
      </c>
      <c r="AL294">
        <v>82.754872927656194</v>
      </c>
      <c r="AM294">
        <v>86.502015916917301</v>
      </c>
      <c r="AN294">
        <v>0.99999999987476096</v>
      </c>
    </row>
    <row r="295" spans="1:40" x14ac:dyDescent="0.25">
      <c r="A295" t="str">
        <f>"20190312163959576"</f>
        <v>20190312163959576</v>
      </c>
      <c r="B295" t="str">
        <f>"1552379999566943"</f>
        <v>1552379999566943</v>
      </c>
      <c r="C295" t="s">
        <v>40</v>
      </c>
      <c r="D295">
        <v>4.8704720000000004</v>
      </c>
      <c r="E295">
        <v>0.54581109999999999</v>
      </c>
      <c r="F295" t="s">
        <v>43</v>
      </c>
      <c r="G295">
        <v>-426.892</v>
      </c>
      <c r="H295">
        <v>-0.05</v>
      </c>
      <c r="I295">
        <v>364.69060000000002</v>
      </c>
      <c r="J295">
        <v>-451.45069999999998</v>
      </c>
      <c r="K295">
        <v>1.108975</v>
      </c>
      <c r="L295">
        <v>368.48719999999997</v>
      </c>
      <c r="M295">
        <v>0.99987570000000003</v>
      </c>
      <c r="N295">
        <v>0</v>
      </c>
      <c r="O295">
        <v>1.433513E-2</v>
      </c>
      <c r="P295">
        <v>0.99167519999999998</v>
      </c>
      <c r="Q295">
        <v>0.12023880000000001</v>
      </c>
      <c r="R295">
        <v>-4.608052E-2</v>
      </c>
      <c r="S295">
        <v>3.0206300000000001</v>
      </c>
      <c r="T295">
        <v>-0.14168249999999999</v>
      </c>
      <c r="U295">
        <v>-0.46389770000000002</v>
      </c>
      <c r="V295">
        <v>6.0428620000000002E-2</v>
      </c>
      <c r="W295">
        <v>0.12668889999999999</v>
      </c>
      <c r="X295">
        <v>0.99010010000000004</v>
      </c>
      <c r="Y295">
        <v>0.16575699999999999</v>
      </c>
      <c r="Z295">
        <v>-4.5309579999999999E-3</v>
      </c>
      <c r="AA295">
        <v>0.98615620000000004</v>
      </c>
      <c r="AB295">
        <v>26</v>
      </c>
      <c r="AC295">
        <v>24.558699999999899</v>
      </c>
      <c r="AD295">
        <v>-1.1589750000000001</v>
      </c>
      <c r="AE295">
        <v>-3.79659999999995</v>
      </c>
      <c r="AF295">
        <v>4.1392662722447602</v>
      </c>
      <c r="AG295">
        <v>-1.1589750000000001</v>
      </c>
      <c r="AH295">
        <v>24.448572258524401</v>
      </c>
      <c r="AI295">
        <v>92.676026658687704</v>
      </c>
      <c r="AJ295">
        <v>80.3906594998939</v>
      </c>
      <c r="AK295">
        <v>24.823566097631002</v>
      </c>
      <c r="AL295">
        <v>82.7217015484581</v>
      </c>
      <c r="AM295">
        <v>86.5074082574843</v>
      </c>
      <c r="AN295">
        <v>0.99999995175916101</v>
      </c>
    </row>
    <row r="296" spans="1:40" x14ac:dyDescent="0.25">
      <c r="A296" t="str">
        <f>"20190312163959596"</f>
        <v>20190312163959596</v>
      </c>
      <c r="B296" t="str">
        <f>"1552379999586462"</f>
        <v>1552379999586462</v>
      </c>
      <c r="C296" t="s">
        <v>40</v>
      </c>
      <c r="D296">
        <v>5.2671390000000002</v>
      </c>
      <c r="E296">
        <v>0.54759089999999999</v>
      </c>
      <c r="F296" t="s">
        <v>43</v>
      </c>
      <c r="G296">
        <v>-426.30509999999998</v>
      </c>
      <c r="H296">
        <v>-0.05</v>
      </c>
      <c r="I296">
        <v>364.53410000000002</v>
      </c>
      <c r="J296">
        <v>-451.22809999999998</v>
      </c>
      <c r="K296">
        <v>1.1090120000000001</v>
      </c>
      <c r="L296">
        <v>368.4898</v>
      </c>
      <c r="M296">
        <v>0.99988239999999995</v>
      </c>
      <c r="N296">
        <v>0</v>
      </c>
      <c r="O296">
        <v>1.383091E-2</v>
      </c>
      <c r="P296">
        <v>0.99151719999999999</v>
      </c>
      <c r="Q296">
        <v>0.121099</v>
      </c>
      <c r="R296">
        <v>-4.7210950000000002E-2</v>
      </c>
      <c r="S296">
        <v>3.0200200000000001</v>
      </c>
      <c r="T296">
        <v>-0.1391946</v>
      </c>
      <c r="U296">
        <v>-0.47476200000000002</v>
      </c>
      <c r="V296">
        <v>6.1051090000000002E-2</v>
      </c>
      <c r="W296">
        <v>0.12761059999999999</v>
      </c>
      <c r="X296">
        <v>0.98994360000000003</v>
      </c>
      <c r="Y296">
        <v>0.16875699999999999</v>
      </c>
      <c r="Z296">
        <v>-4.4967339999999996E-3</v>
      </c>
      <c r="AA296">
        <v>0.98564739999999995</v>
      </c>
      <c r="AB296">
        <v>26</v>
      </c>
      <c r="AC296">
        <v>24.922999999999998</v>
      </c>
      <c r="AD296">
        <v>-1.1590119999999999</v>
      </c>
      <c r="AE296">
        <v>-3.95569999999997</v>
      </c>
      <c r="AF296">
        <v>4.2909853056445799</v>
      </c>
      <c r="AG296">
        <v>-1.1590119999999999</v>
      </c>
      <c r="AH296">
        <v>24.813560729351199</v>
      </c>
      <c r="AI296">
        <v>92.635218456311307</v>
      </c>
      <c r="AJ296">
        <v>80.188926051276695</v>
      </c>
      <c r="AK296">
        <v>25.208503719550698</v>
      </c>
      <c r="AL296">
        <v>82.668460363263307</v>
      </c>
      <c r="AM296">
        <v>86.470965396408999</v>
      </c>
      <c r="AN296">
        <v>1.0000000160017499</v>
      </c>
    </row>
    <row r="297" spans="1:40" x14ac:dyDescent="0.25">
      <c r="A297" t="str">
        <f>"20190312163959609"</f>
        <v>20190312163959609</v>
      </c>
      <c r="B297" t="str">
        <f>"1552379999596222"</f>
        <v>1552379999596222</v>
      </c>
      <c r="C297" t="s">
        <v>40</v>
      </c>
      <c r="D297">
        <v>5.1309610000000001</v>
      </c>
      <c r="E297">
        <v>0.54799409999999904</v>
      </c>
      <c r="F297" t="s">
        <v>43</v>
      </c>
      <c r="G297">
        <v>-425.5231</v>
      </c>
      <c r="H297">
        <v>-0.05</v>
      </c>
      <c r="I297">
        <v>364.29360000000003</v>
      </c>
      <c r="J297">
        <v>-451.08080000000001</v>
      </c>
      <c r="K297">
        <v>1.1090329999999999</v>
      </c>
      <c r="L297">
        <v>368.49149999999997</v>
      </c>
      <c r="M297">
        <v>0.99988650000000001</v>
      </c>
      <c r="N297">
        <v>0</v>
      </c>
      <c r="O297">
        <v>1.3516800000000001E-2</v>
      </c>
      <c r="P297">
        <v>0.99143740000000002</v>
      </c>
      <c r="Q297">
        <v>0.1215104</v>
      </c>
      <c r="R297">
        <v>-4.7829709999999998E-2</v>
      </c>
      <c r="S297">
        <v>3.0188290000000002</v>
      </c>
      <c r="T297">
        <v>-0.1361154</v>
      </c>
      <c r="U297">
        <v>-0.49279790000000001</v>
      </c>
      <c r="V297">
        <v>6.135326E-2</v>
      </c>
      <c r="W297">
        <v>0.1280599</v>
      </c>
      <c r="X297">
        <v>0.98986689999999999</v>
      </c>
      <c r="Y297">
        <v>0.17424879999999901</v>
      </c>
      <c r="Z297">
        <v>-4.505879E-3</v>
      </c>
      <c r="AA297">
        <v>0.98469130000000005</v>
      </c>
      <c r="AB297">
        <v>26</v>
      </c>
      <c r="AC297">
        <v>25.557700000000001</v>
      </c>
      <c r="AD297">
        <v>-1.159033</v>
      </c>
      <c r="AE297">
        <v>-4.1978999999999402</v>
      </c>
      <c r="AF297">
        <v>4.5339030119238704</v>
      </c>
      <c r="AG297">
        <v>-1.159033</v>
      </c>
      <c r="AH297">
        <v>25.4476610158118</v>
      </c>
      <c r="AI297">
        <v>92.567402595711499</v>
      </c>
      <c r="AJ297">
        <v>79.897852252944205</v>
      </c>
      <c r="AK297">
        <v>25.874371203804898</v>
      </c>
      <c r="AL297">
        <v>82.642504442334499</v>
      </c>
      <c r="AM297">
        <v>86.453268950295694</v>
      </c>
      <c r="AN297">
        <v>1.0000000201081201</v>
      </c>
    </row>
    <row r="298" spans="1:40" x14ac:dyDescent="0.25">
      <c r="A298" t="str">
        <f>"20190312163959632"</f>
        <v>20190312163959632</v>
      </c>
      <c r="B298" t="str">
        <f>"1552379999626478"</f>
        <v>1552379999626478</v>
      </c>
      <c r="C298" t="s">
        <v>40</v>
      </c>
      <c r="D298">
        <v>5.2516610000000004</v>
      </c>
      <c r="E298">
        <v>0.54937100000000005</v>
      </c>
      <c r="F298" t="s">
        <v>43</v>
      </c>
      <c r="G298">
        <v>-425.0471</v>
      </c>
      <c r="H298">
        <v>-0.05</v>
      </c>
      <c r="I298">
        <v>364.19600000000003</v>
      </c>
      <c r="J298">
        <v>-450.81979999999999</v>
      </c>
      <c r="K298">
        <v>1.109073</v>
      </c>
      <c r="L298">
        <v>368.49439999999998</v>
      </c>
      <c r="M298">
        <v>0.99989300000000003</v>
      </c>
      <c r="N298">
        <v>0</v>
      </c>
      <c r="O298">
        <v>1.2988120000000001E-2</v>
      </c>
      <c r="P298">
        <v>0.99120180000000002</v>
      </c>
      <c r="Q298">
        <v>0.12274649999999999</v>
      </c>
      <c r="R298">
        <v>-4.9522669999999998E-2</v>
      </c>
      <c r="S298">
        <v>3.0183409999999999</v>
      </c>
      <c r="T298">
        <v>-0.134378</v>
      </c>
      <c r="U298">
        <v>-0.49801640000000003</v>
      </c>
      <c r="V298">
        <v>6.2512129999999999E-2</v>
      </c>
      <c r="W298">
        <v>0.129358</v>
      </c>
      <c r="X298">
        <v>0.98962559999999999</v>
      </c>
      <c r="Y298">
        <v>0.175415299999999</v>
      </c>
      <c r="Z298">
        <v>-4.4509140000000003E-3</v>
      </c>
      <c r="AA298">
        <v>0.98448449999999998</v>
      </c>
      <c r="AB298">
        <v>26</v>
      </c>
      <c r="AC298">
        <v>25.772699999999901</v>
      </c>
      <c r="AD298">
        <v>-1.159073</v>
      </c>
      <c r="AE298">
        <v>-4.2984000000000098</v>
      </c>
      <c r="AF298">
        <v>4.6236853171686398</v>
      </c>
      <c r="AG298">
        <v>-1.159073</v>
      </c>
      <c r="AH298">
        <v>25.664193962879899</v>
      </c>
      <c r="AI298">
        <v>92.544976953711796</v>
      </c>
      <c r="AJ298">
        <v>79.787094717964607</v>
      </c>
      <c r="AK298">
        <v>26.103117972683901</v>
      </c>
      <c r="AL298">
        <v>82.567505146052198</v>
      </c>
      <c r="AM298">
        <v>86.385573693891004</v>
      </c>
      <c r="AN298">
        <v>1.0000000433682401</v>
      </c>
    </row>
    <row r="299" spans="1:40" x14ac:dyDescent="0.25">
      <c r="A299" t="str">
        <f>"20190312163959653"</f>
        <v>20190312163959653</v>
      </c>
      <c r="B299" t="str">
        <f>"1552379999646975"</f>
        <v>1552379999646975</v>
      </c>
      <c r="C299" t="s">
        <v>40</v>
      </c>
      <c r="D299">
        <v>5.1451960000000003</v>
      </c>
      <c r="E299">
        <v>0.54997739999999995</v>
      </c>
      <c r="F299" t="s">
        <v>43</v>
      </c>
      <c r="G299">
        <v>-423.79289999999997</v>
      </c>
      <c r="H299">
        <v>-0.05</v>
      </c>
      <c r="I299">
        <v>363.89060000000001</v>
      </c>
      <c r="J299">
        <v>-450.56259999999997</v>
      </c>
      <c r="K299">
        <v>1.1091070000000001</v>
      </c>
      <c r="L299">
        <v>368.49720000000002</v>
      </c>
      <c r="M299">
        <v>0.99989890000000003</v>
      </c>
      <c r="N299">
        <v>0</v>
      </c>
      <c r="O299">
        <v>1.2504019999999999E-2</v>
      </c>
      <c r="P299">
        <v>0.99102619999999997</v>
      </c>
      <c r="Q299">
        <v>0.1234126</v>
      </c>
      <c r="R299">
        <v>-5.1351149999999998E-2</v>
      </c>
      <c r="S299">
        <v>3.0169679999999999</v>
      </c>
      <c r="T299">
        <v>-0.12938540000000001</v>
      </c>
      <c r="U299">
        <v>-0.51391600000000004</v>
      </c>
      <c r="V299">
        <v>6.3852030000000004E-2</v>
      </c>
      <c r="W299">
        <v>0.1300799</v>
      </c>
      <c r="X299">
        <v>0.98944540000000003</v>
      </c>
      <c r="Y299">
        <v>0.18006459999999999</v>
      </c>
      <c r="Z299">
        <v>-4.3640959999999996E-3</v>
      </c>
      <c r="AA299">
        <v>0.98364510000000005</v>
      </c>
      <c r="AB299">
        <v>26</v>
      </c>
      <c r="AC299">
        <v>26.7697</v>
      </c>
      <c r="AD299">
        <v>-1.1591069999999899</v>
      </c>
      <c r="AE299">
        <v>-4.60660000000001</v>
      </c>
      <c r="AF299">
        <v>4.9319957089353696</v>
      </c>
      <c r="AG299">
        <v>-1.1591069999999899</v>
      </c>
      <c r="AH299">
        <v>26.661456888602999</v>
      </c>
      <c r="AI299">
        <v>92.447887773195404</v>
      </c>
      <c r="AJ299">
        <v>79.519558607308696</v>
      </c>
      <c r="AK299">
        <v>27.138559175705002</v>
      </c>
      <c r="AL299">
        <v>82.525790777446105</v>
      </c>
      <c r="AM299">
        <v>86.307642735997206</v>
      </c>
      <c r="AN299">
        <v>1.00000003085014</v>
      </c>
    </row>
    <row r="300" spans="1:40" x14ac:dyDescent="0.25">
      <c r="A300" t="str">
        <f>"20190312163959675"</f>
        <v>20190312163959675</v>
      </c>
      <c r="B300" t="str">
        <f>"1552379999666497"</f>
        <v>1552379999666497</v>
      </c>
      <c r="C300" t="s">
        <v>40</v>
      </c>
      <c r="D300">
        <v>5.204116</v>
      </c>
      <c r="E300">
        <v>0.55041090000000004</v>
      </c>
      <c r="F300" t="s">
        <v>43</v>
      </c>
      <c r="G300">
        <v>-422.6361</v>
      </c>
      <c r="H300">
        <v>-0.05</v>
      </c>
      <c r="I300">
        <v>363.6327</v>
      </c>
      <c r="J300">
        <v>-450.3005</v>
      </c>
      <c r="K300">
        <v>1.109135</v>
      </c>
      <c r="L300">
        <v>368.5</v>
      </c>
      <c r="M300">
        <v>0.99990420000000002</v>
      </c>
      <c r="N300">
        <v>0</v>
      </c>
      <c r="O300">
        <v>1.203926E-2</v>
      </c>
      <c r="P300">
        <v>0.9908614</v>
      </c>
      <c r="Q300">
        <v>0.1241061</v>
      </c>
      <c r="R300">
        <v>-5.283798E-2</v>
      </c>
      <c r="S300">
        <v>3.0155029999999998</v>
      </c>
      <c r="T300">
        <v>-0.12516060000000001</v>
      </c>
      <c r="U300">
        <v>-0.52526859999999997</v>
      </c>
      <c r="V300">
        <v>6.4871040000000005E-2</v>
      </c>
      <c r="W300">
        <v>0.130825</v>
      </c>
      <c r="X300">
        <v>0.98928079999999996</v>
      </c>
      <c r="Y300">
        <v>0.1832906</v>
      </c>
      <c r="Z300">
        <v>-4.2696770000000004E-3</v>
      </c>
      <c r="AA300">
        <v>0.98304950000000002</v>
      </c>
      <c r="AB300">
        <v>26</v>
      </c>
      <c r="AC300">
        <v>27.664400000000001</v>
      </c>
      <c r="AD300">
        <v>-1.159135</v>
      </c>
      <c r="AE300">
        <v>-4.8673000000000002</v>
      </c>
      <c r="AF300">
        <v>5.1911739204713898</v>
      </c>
      <c r="AG300">
        <v>-1.159135</v>
      </c>
      <c r="AH300">
        <v>27.556868662708698</v>
      </c>
      <c r="AI300">
        <v>92.367048998453299</v>
      </c>
      <c r="AJ300">
        <v>79.331622508490298</v>
      </c>
      <c r="AK300">
        <v>28.065510704681401</v>
      </c>
      <c r="AL300">
        <v>82.482731250372595</v>
      </c>
      <c r="AM300">
        <v>86.248261248707607</v>
      </c>
      <c r="AN300">
        <v>0.99999996685215997</v>
      </c>
    </row>
    <row r="301" spans="1:40" x14ac:dyDescent="0.25">
      <c r="A301" t="str">
        <f>"20190312163959687"</f>
        <v>20190312163959687</v>
      </c>
      <c r="B301" t="str">
        <f>"1552379999676254"</f>
        <v>1552379999676254</v>
      </c>
      <c r="C301" t="s">
        <v>40</v>
      </c>
      <c r="D301">
        <v>5.2951639999999998</v>
      </c>
      <c r="E301">
        <v>0.55066169999999903</v>
      </c>
      <c r="F301" t="s">
        <v>43</v>
      </c>
      <c r="G301">
        <v>-421.69670000000002</v>
      </c>
      <c r="H301">
        <v>-0.05</v>
      </c>
      <c r="I301">
        <v>363.43770000000001</v>
      </c>
      <c r="J301">
        <v>-450.1533</v>
      </c>
      <c r="K301">
        <v>1.1091489999999999</v>
      </c>
      <c r="L301">
        <v>368.50150000000002</v>
      </c>
      <c r="M301">
        <v>0.99990690000000004</v>
      </c>
      <c r="N301">
        <v>0</v>
      </c>
      <c r="O301">
        <v>1.1788170000000001E-2</v>
      </c>
      <c r="P301">
        <v>0.99077179999999998</v>
      </c>
      <c r="Q301">
        <v>0.12439600000000001</v>
      </c>
      <c r="R301">
        <v>-5.3821420000000002E-2</v>
      </c>
      <c r="S301">
        <v>3.014526</v>
      </c>
      <c r="T301">
        <v>-0.12216</v>
      </c>
      <c r="U301">
        <v>-0.53350830000000005</v>
      </c>
      <c r="V301">
        <v>6.5603030000000007E-2</v>
      </c>
      <c r="W301">
        <v>0.13114129999999999</v>
      </c>
      <c r="X301">
        <v>0.98919069999999998</v>
      </c>
      <c r="Y301">
        <v>0.18570970000000001</v>
      </c>
      <c r="Z301">
        <v>-4.206273E-3</v>
      </c>
      <c r="AA301">
        <v>0.98259569999999996</v>
      </c>
      <c r="AB301">
        <v>26</v>
      </c>
      <c r="AC301">
        <v>28.456599999999899</v>
      </c>
      <c r="AD301">
        <v>-1.159149</v>
      </c>
      <c r="AE301">
        <v>-5.0638000000000103</v>
      </c>
      <c r="AF301">
        <v>5.3902380463774602</v>
      </c>
      <c r="AG301">
        <v>-1.159149</v>
      </c>
      <c r="AH301">
        <v>28.349333397471</v>
      </c>
      <c r="AI301">
        <v>92.300244141570204</v>
      </c>
      <c r="AJ301">
        <v>79.234494442987199</v>
      </c>
      <c r="AK301">
        <v>28.8804950906625</v>
      </c>
      <c r="AL301">
        <v>82.464451503073505</v>
      </c>
      <c r="AM301">
        <v>86.205705876229302</v>
      </c>
      <c r="AN301">
        <v>1.00000001953868</v>
      </c>
    </row>
    <row r="302" spans="1:40" x14ac:dyDescent="0.25">
      <c r="A302" t="str">
        <f>"20190312163959708"</f>
        <v>20190312163959708</v>
      </c>
      <c r="B302" t="str">
        <f>"1552379999696750"</f>
        <v>1552379999696750</v>
      </c>
      <c r="C302" t="s">
        <v>40</v>
      </c>
      <c r="D302">
        <v>5.3127430000000002</v>
      </c>
      <c r="E302">
        <v>0.55086040000000003</v>
      </c>
      <c r="F302" t="s">
        <v>43</v>
      </c>
      <c r="G302">
        <v>-421.31670000000003</v>
      </c>
      <c r="H302">
        <v>-0.05</v>
      </c>
      <c r="I302">
        <v>363.3485</v>
      </c>
      <c r="J302">
        <v>-449.91820000000001</v>
      </c>
      <c r="K302">
        <v>1.1091599999999999</v>
      </c>
      <c r="L302">
        <v>368.50389999999999</v>
      </c>
      <c r="M302">
        <v>0.9999112</v>
      </c>
      <c r="N302">
        <v>0</v>
      </c>
      <c r="O302">
        <v>1.1394400000000001E-2</v>
      </c>
      <c r="P302">
        <v>0.99056929999999999</v>
      </c>
      <c r="Q302">
        <v>0.12538930000000001</v>
      </c>
      <c r="R302">
        <v>-5.5229189999999997E-2</v>
      </c>
      <c r="S302">
        <v>3.0138850000000001</v>
      </c>
      <c r="T302">
        <v>-0.1211498</v>
      </c>
      <c r="U302">
        <v>-0.538574199999999</v>
      </c>
      <c r="V302">
        <v>6.6616939999999999E-2</v>
      </c>
      <c r="W302">
        <v>0.13217219999999999</v>
      </c>
      <c r="X302">
        <v>0.98898569999999997</v>
      </c>
      <c r="Y302">
        <v>0.1869613</v>
      </c>
      <c r="Z302">
        <v>-4.1810249999999997E-3</v>
      </c>
      <c r="AA302">
        <v>0.98235839999999996</v>
      </c>
      <c r="AB302">
        <v>26</v>
      </c>
      <c r="AC302">
        <v>28.601499999999898</v>
      </c>
      <c r="AD302">
        <v>-1.15916</v>
      </c>
      <c r="AE302">
        <v>-5.1553999999999798</v>
      </c>
      <c r="AF302">
        <v>5.4722645837621302</v>
      </c>
      <c r="AG302">
        <v>-1.15916</v>
      </c>
      <c r="AH302">
        <v>28.495567495820598</v>
      </c>
      <c r="AI302">
        <v>92.287672184143602</v>
      </c>
      <c r="AJ302">
        <v>79.129311251760598</v>
      </c>
      <c r="AK302">
        <v>29.039399072452699</v>
      </c>
      <c r="AL302">
        <v>82.404866552234296</v>
      </c>
      <c r="AM302">
        <v>86.146443251735505</v>
      </c>
      <c r="AN302">
        <v>1.00000001097614</v>
      </c>
    </row>
    <row r="303" spans="1:40" x14ac:dyDescent="0.25">
      <c r="A303" t="str">
        <f>"20190312163959722"</f>
        <v>20190312163959722</v>
      </c>
      <c r="B303" t="str">
        <f>"1552379999716270"</f>
        <v>1552379999716270</v>
      </c>
      <c r="C303" t="s">
        <v>40</v>
      </c>
      <c r="D303">
        <v>5.8921449999999904</v>
      </c>
      <c r="E303">
        <v>0.55123750000000005</v>
      </c>
      <c r="F303" t="s">
        <v>43</v>
      </c>
      <c r="G303">
        <v>-420.39609999999999</v>
      </c>
      <c r="H303">
        <v>-0.05</v>
      </c>
      <c r="I303">
        <v>363.16359999999997</v>
      </c>
      <c r="J303">
        <v>-449.74790000000002</v>
      </c>
      <c r="K303">
        <v>1.109167</v>
      </c>
      <c r="L303">
        <v>368.50560000000002</v>
      </c>
      <c r="M303">
        <v>0.99991430000000003</v>
      </c>
      <c r="N303">
        <v>0</v>
      </c>
      <c r="O303">
        <v>1.111353E-2</v>
      </c>
      <c r="P303">
        <v>0.99043700000000001</v>
      </c>
      <c r="Q303">
        <v>0.12586620000000001</v>
      </c>
      <c r="R303">
        <v>-5.6501530000000001E-2</v>
      </c>
      <c r="S303">
        <v>3.0131230000000002</v>
      </c>
      <c r="T303">
        <v>-0.11830739999999899</v>
      </c>
      <c r="U303">
        <v>-0.54504390000000003</v>
      </c>
      <c r="V303">
        <v>6.7609600000000006E-2</v>
      </c>
      <c r="W303">
        <v>0.1326727</v>
      </c>
      <c r="X303">
        <v>0.98885129999999999</v>
      </c>
      <c r="Y303">
        <v>0.18877740000000001</v>
      </c>
      <c r="Z303">
        <v>-4.1076669999999997E-3</v>
      </c>
      <c r="AA303">
        <v>0.98201130000000003</v>
      </c>
      <c r="AB303">
        <v>26</v>
      </c>
      <c r="AC303">
        <v>29.351800000000001</v>
      </c>
      <c r="AD303">
        <v>-1.1591670000000001</v>
      </c>
      <c r="AE303">
        <v>-5.3420000000000396</v>
      </c>
      <c r="AF303">
        <v>5.6593364985584804</v>
      </c>
      <c r="AG303">
        <v>-1.1591670000000001</v>
      </c>
      <c r="AH303">
        <v>29.2464660166622</v>
      </c>
      <c r="AI303">
        <v>92.228403437583694</v>
      </c>
      <c r="AJ303">
        <v>79.0483352265517</v>
      </c>
      <c r="AK303">
        <v>29.811533543271199</v>
      </c>
      <c r="AL303">
        <v>82.375935130819499</v>
      </c>
      <c r="AM303">
        <v>86.088668340167303</v>
      </c>
      <c r="AN303">
        <v>0.99999999842456899</v>
      </c>
    </row>
    <row r="304" spans="1:40" x14ac:dyDescent="0.25">
      <c r="A304" t="str">
        <f>"20190312163959741"</f>
        <v>20190312163959741</v>
      </c>
      <c r="B304" t="str">
        <f>"1552379999736766"</f>
        <v>1552379999736766</v>
      </c>
      <c r="C304" t="s">
        <v>40</v>
      </c>
      <c r="D304">
        <v>5.6683589999999997</v>
      </c>
      <c r="E304">
        <v>0.55180890000000005</v>
      </c>
      <c r="F304" t="s">
        <v>43</v>
      </c>
      <c r="G304">
        <v>-419.72309999999999</v>
      </c>
      <c r="H304">
        <v>-0.05</v>
      </c>
      <c r="I304">
        <v>363.0059</v>
      </c>
      <c r="J304">
        <v>-449.51670000000001</v>
      </c>
      <c r="K304">
        <v>1.109178</v>
      </c>
      <c r="L304">
        <v>368.5077</v>
      </c>
      <c r="M304">
        <v>0.99991819999999998</v>
      </c>
      <c r="N304">
        <v>0</v>
      </c>
      <c r="O304">
        <v>1.073636E-2</v>
      </c>
      <c r="P304">
        <v>0.9901664</v>
      </c>
      <c r="Q304">
        <v>0.12656500000000001</v>
      </c>
      <c r="R304">
        <v>-5.9599109999999997E-2</v>
      </c>
      <c r="S304">
        <v>3.012238</v>
      </c>
      <c r="T304">
        <v>-0.1162937</v>
      </c>
      <c r="U304">
        <v>-0.55175779999999996</v>
      </c>
      <c r="V304">
        <v>7.0331340000000006E-2</v>
      </c>
      <c r="W304">
        <v>0.13339529999999999</v>
      </c>
      <c r="X304">
        <v>0.9885642</v>
      </c>
      <c r="Y304">
        <v>0.19057969999999999</v>
      </c>
      <c r="Z304">
        <v>-4.0582200000000004E-3</v>
      </c>
      <c r="AA304">
        <v>0.98166330000000002</v>
      </c>
      <c r="AB304">
        <v>27</v>
      </c>
      <c r="AC304">
        <v>29.793600000000001</v>
      </c>
      <c r="AD304">
        <v>-1.159178</v>
      </c>
      <c r="AE304">
        <v>-5.5018000000000002</v>
      </c>
      <c r="AF304">
        <v>5.8128563758666596</v>
      </c>
      <c r="AG304">
        <v>-1.159178</v>
      </c>
      <c r="AH304">
        <v>29.6893517445945</v>
      </c>
      <c r="AI304">
        <v>92.194275885997698</v>
      </c>
      <c r="AJ304">
        <v>78.922232432830398</v>
      </c>
      <c r="AK304">
        <v>30.275247313546298</v>
      </c>
      <c r="AL304">
        <v>82.334161835826393</v>
      </c>
      <c r="AM304">
        <v>85.930551977586802</v>
      </c>
      <c r="AN304">
        <v>0.99999999048496202</v>
      </c>
    </row>
    <row r="305" spans="1:40" x14ac:dyDescent="0.25">
      <c r="A305" t="str">
        <f>"20190312163959766"</f>
        <v>20190312163959766</v>
      </c>
      <c r="B305" t="str">
        <f>"1552379999756289"</f>
        <v>1552379999756289</v>
      </c>
      <c r="C305" t="s">
        <v>40</v>
      </c>
      <c r="D305">
        <v>5.5415179999999999</v>
      </c>
      <c r="E305">
        <v>0.55192750000000002</v>
      </c>
      <c r="F305" t="s">
        <v>43</v>
      </c>
      <c r="G305">
        <v>-419.80189999999999</v>
      </c>
      <c r="H305">
        <v>-0.05</v>
      </c>
      <c r="I305">
        <v>362.92360000000002</v>
      </c>
      <c r="J305">
        <v>-449.23340000000002</v>
      </c>
      <c r="K305">
        <v>1.1091799999999901</v>
      </c>
      <c r="L305">
        <v>368.51029999999997</v>
      </c>
      <c r="M305">
        <v>0.9999228</v>
      </c>
      <c r="N305">
        <v>0</v>
      </c>
      <c r="O305">
        <v>1.027554E-2</v>
      </c>
      <c r="P305">
        <v>0.989873</v>
      </c>
      <c r="Q305">
        <v>0.12738820000000001</v>
      </c>
      <c r="R305">
        <v>-6.264082E-2</v>
      </c>
      <c r="S305">
        <v>3.010742</v>
      </c>
      <c r="T305">
        <v>-0.117449499999999</v>
      </c>
      <c r="U305">
        <v>-0.56579590000000002</v>
      </c>
      <c r="V305">
        <v>7.2915649999999999E-2</v>
      </c>
      <c r="W305">
        <v>0.13423929999999901</v>
      </c>
      <c r="X305">
        <v>0.98826270000000005</v>
      </c>
      <c r="Y305">
        <v>0.19463140000000001</v>
      </c>
      <c r="Z305">
        <v>-4.159294E-3</v>
      </c>
      <c r="AA305">
        <v>0.98086759999999995</v>
      </c>
      <c r="AB305">
        <v>27</v>
      </c>
      <c r="AC305">
        <v>29.4315</v>
      </c>
      <c r="AD305">
        <v>-1.1591800000000001</v>
      </c>
      <c r="AE305">
        <v>-5.5866999999999498</v>
      </c>
      <c r="AF305">
        <v>5.8800329001484597</v>
      </c>
      <c r="AG305">
        <v>-1.1591800000000001</v>
      </c>
      <c r="AH305">
        <v>29.328625084564301</v>
      </c>
      <c r="AI305">
        <v>92.219254382510798</v>
      </c>
      <c r="AJ305">
        <v>78.663193532808407</v>
      </c>
      <c r="AK305">
        <v>29.9347078577721</v>
      </c>
      <c r="AL305">
        <v>82.285365572937593</v>
      </c>
      <c r="AM305">
        <v>85.780268946279406</v>
      </c>
      <c r="AN305">
        <v>1.0000000229453501</v>
      </c>
    </row>
    <row r="306" spans="1:40" x14ac:dyDescent="0.25">
      <c r="A306" t="str">
        <f>"20190312163959778"</f>
        <v>20190312163959778</v>
      </c>
      <c r="B306" t="str">
        <f>"1552379999767023"</f>
        <v>1552379999767023</v>
      </c>
      <c r="C306" t="s">
        <v>40</v>
      </c>
      <c r="D306">
        <v>5.3101690000000001</v>
      </c>
      <c r="E306">
        <v>0.55204209999999998</v>
      </c>
      <c r="F306" t="s">
        <v>43</v>
      </c>
      <c r="G306">
        <v>-418.63709999999998</v>
      </c>
      <c r="H306">
        <v>-0.05</v>
      </c>
      <c r="I306">
        <v>362.64850000000001</v>
      </c>
      <c r="J306">
        <v>-449.07560000000001</v>
      </c>
      <c r="K306">
        <v>1.109178</v>
      </c>
      <c r="L306">
        <v>368.51170000000002</v>
      </c>
      <c r="M306">
        <v>0.99992539999999996</v>
      </c>
      <c r="N306">
        <v>0</v>
      </c>
      <c r="O306">
        <v>1.001817E-2</v>
      </c>
      <c r="P306">
        <v>0.98969229999999997</v>
      </c>
      <c r="Q306">
        <v>0.12799920000000001</v>
      </c>
      <c r="R306">
        <v>-6.4233639999999995E-2</v>
      </c>
      <c r="S306">
        <v>3.0088499999999998</v>
      </c>
      <c r="T306">
        <v>-0.113994</v>
      </c>
      <c r="U306">
        <v>-0.57644649999999997</v>
      </c>
      <c r="V306">
        <v>7.4253089999999994E-2</v>
      </c>
      <c r="W306">
        <v>0.1348588</v>
      </c>
      <c r="X306">
        <v>0.98807869999999998</v>
      </c>
      <c r="Y306">
        <v>0.19784769999999999</v>
      </c>
      <c r="Z306">
        <v>-4.088876E-3</v>
      </c>
      <c r="AA306">
        <v>0.98022430000000005</v>
      </c>
      <c r="AB306">
        <v>27</v>
      </c>
      <c r="AC306">
        <v>30.438500000000001</v>
      </c>
      <c r="AD306">
        <v>-1.159178</v>
      </c>
      <c r="AE306">
        <v>-5.8632</v>
      </c>
      <c r="AF306">
        <v>6.1592381869648802</v>
      </c>
      <c r="AG306">
        <v>-1.159178</v>
      </c>
      <c r="AH306">
        <v>30.335810863495698</v>
      </c>
      <c r="AI306">
        <v>92.144580400249794</v>
      </c>
      <c r="AJ306">
        <v>78.5229486359014</v>
      </c>
      <c r="AK306">
        <v>30.9764641207681</v>
      </c>
      <c r="AL306">
        <v>82.249544686514895</v>
      </c>
      <c r="AM306">
        <v>85.702359535710002</v>
      </c>
      <c r="AN306">
        <v>0.99999996735283803</v>
      </c>
    </row>
    <row r="307" spans="1:40" x14ac:dyDescent="0.25">
      <c r="A307" t="str">
        <f>"20190312163959798"</f>
        <v>20190312163959798</v>
      </c>
      <c r="B307" t="str">
        <f>"1552379999786547"</f>
        <v>1552379999786547</v>
      </c>
      <c r="C307" t="s">
        <v>40</v>
      </c>
      <c r="D307">
        <v>5.4576370000000001</v>
      </c>
      <c r="E307">
        <v>0.55234659999999902</v>
      </c>
      <c r="F307" t="s">
        <v>43</v>
      </c>
      <c r="G307">
        <v>-418.09179999999998</v>
      </c>
      <c r="H307">
        <v>-0.05</v>
      </c>
      <c r="I307">
        <v>362.51310000000001</v>
      </c>
      <c r="J307">
        <v>-448.84339999999997</v>
      </c>
      <c r="K307">
        <v>1.1091740000000001</v>
      </c>
      <c r="L307">
        <v>368.51350000000002</v>
      </c>
      <c r="M307">
        <v>0.99992910000000002</v>
      </c>
      <c r="N307">
        <v>0</v>
      </c>
      <c r="O307">
        <v>9.63578E-3</v>
      </c>
      <c r="P307">
        <v>0.98941179999999995</v>
      </c>
      <c r="Q307">
        <v>0.12841350000000001</v>
      </c>
      <c r="R307">
        <v>-6.7633150000000003E-2</v>
      </c>
      <c r="S307">
        <v>3.0080260000000001</v>
      </c>
      <c r="T307">
        <v>-0.1125374</v>
      </c>
      <c r="U307">
        <v>-0.58236690000000002</v>
      </c>
      <c r="V307">
        <v>7.7273229999999998E-2</v>
      </c>
      <c r="W307">
        <v>0.1352816</v>
      </c>
      <c r="X307">
        <v>0.98778929999999998</v>
      </c>
      <c r="Y307">
        <v>0.19938529999999999</v>
      </c>
      <c r="Z307">
        <v>-4.0513190000000003E-3</v>
      </c>
      <c r="AA307">
        <v>0.97991280000000003</v>
      </c>
      <c r="AB307">
        <v>27</v>
      </c>
      <c r="AC307">
        <v>30.7516</v>
      </c>
      <c r="AD307">
        <v>-1.1591739999999999</v>
      </c>
      <c r="AE307">
        <v>-6.0004000000000097</v>
      </c>
      <c r="AF307">
        <v>6.2878376546050498</v>
      </c>
      <c r="AG307">
        <v>-1.1591739999999999</v>
      </c>
      <c r="AH307">
        <v>30.650398679248202</v>
      </c>
      <c r="AI307">
        <v>92.1217046395913</v>
      </c>
      <c r="AJ307">
        <v>78.406790640817704</v>
      </c>
      <c r="AK307">
        <v>31.310182464013302</v>
      </c>
      <c r="AL307">
        <v>82.2250960995882</v>
      </c>
      <c r="AM307">
        <v>85.526949456796501</v>
      </c>
      <c r="AN307">
        <v>0.99999998228384102</v>
      </c>
    </row>
    <row r="308" spans="1:40" x14ac:dyDescent="0.25">
      <c r="A308" t="str">
        <f>"20190312163959811"</f>
        <v>20190312163959811</v>
      </c>
      <c r="B308" t="str">
        <f>"1552379999807038"</f>
        <v>1552379999807038</v>
      </c>
      <c r="C308" t="s">
        <v>40</v>
      </c>
      <c r="D308">
        <v>5.2346550000000001</v>
      </c>
      <c r="E308">
        <v>0.57540500000000006</v>
      </c>
      <c r="F308" t="s">
        <v>43</v>
      </c>
      <c r="G308">
        <v>-417.29969999999997</v>
      </c>
      <c r="H308">
        <v>-0.05</v>
      </c>
      <c r="I308">
        <v>362.27089999999998</v>
      </c>
      <c r="J308">
        <v>-448.67720000000003</v>
      </c>
      <c r="K308">
        <v>1.1091740000000001</v>
      </c>
      <c r="L308">
        <v>368.51479999999998</v>
      </c>
      <c r="M308">
        <v>0.99993149999999997</v>
      </c>
      <c r="N308">
        <v>0</v>
      </c>
      <c r="O308">
        <v>9.3583759999999998E-3</v>
      </c>
      <c r="P308">
        <v>0.98923030000000001</v>
      </c>
      <c r="Q308">
        <v>0.12878149999999999</v>
      </c>
      <c r="R308">
        <v>-6.9560070000000002E-2</v>
      </c>
      <c r="S308">
        <v>3.0057680000000002</v>
      </c>
      <c r="T308">
        <v>-0.11045629999999999</v>
      </c>
      <c r="U308">
        <v>-0.59484859999999995</v>
      </c>
      <c r="V308">
        <v>7.8925540000000002E-2</v>
      </c>
      <c r="W308">
        <v>0.13565479999999899</v>
      </c>
      <c r="X308">
        <v>0.98760749999999997</v>
      </c>
      <c r="Y308">
        <v>0.20317109999999999</v>
      </c>
      <c r="Z308">
        <v>-4.036586E-3</v>
      </c>
      <c r="AA308">
        <v>0.97913490000000003</v>
      </c>
      <c r="AB308">
        <v>27</v>
      </c>
      <c r="AC308">
        <v>31.377500000000001</v>
      </c>
      <c r="AD308">
        <v>-1.1591739999999999</v>
      </c>
      <c r="AE308">
        <v>-6.2438999999999902</v>
      </c>
      <c r="AF308">
        <v>6.5287054455463602</v>
      </c>
      <c r="AG308">
        <v>-1.1591739999999999</v>
      </c>
      <c r="AH308">
        <v>31.2766320536109</v>
      </c>
      <c r="AI308">
        <v>92.077779694182098</v>
      </c>
      <c r="AJ308">
        <v>78.209344489419905</v>
      </c>
      <c r="AK308">
        <v>31.971790562524699</v>
      </c>
      <c r="AL308">
        <v>82.203514661799503</v>
      </c>
      <c r="AM308">
        <v>85.430866831742605</v>
      </c>
      <c r="AN308">
        <v>1.00000001984179</v>
      </c>
    </row>
    <row r="309" spans="1:40" x14ac:dyDescent="0.25">
      <c r="A309" t="str">
        <f>"20190312163959833"</f>
        <v>20190312163959833</v>
      </c>
      <c r="B309" t="str">
        <f>"1552379999826559"</f>
        <v>1552379999826559</v>
      </c>
      <c r="C309" t="s">
        <v>40</v>
      </c>
      <c r="D309">
        <v>5.2311690000000004</v>
      </c>
      <c r="E309">
        <v>0.57770690000000002</v>
      </c>
      <c r="F309" t="s">
        <v>43</v>
      </c>
      <c r="G309">
        <v>-416.61500000000001</v>
      </c>
      <c r="H309">
        <v>-0.05</v>
      </c>
      <c r="I309">
        <v>360.10149999999999</v>
      </c>
      <c r="J309">
        <v>-448.4248</v>
      </c>
      <c r="K309">
        <v>1.109173</v>
      </c>
      <c r="L309">
        <v>368.51679999999999</v>
      </c>
      <c r="M309">
        <v>0.99993540000000003</v>
      </c>
      <c r="N309">
        <v>0</v>
      </c>
      <c r="O309">
        <v>8.9306779999999992E-3</v>
      </c>
      <c r="P309">
        <v>0.98884329999999998</v>
      </c>
      <c r="Q309">
        <v>0.12978499999999901</v>
      </c>
      <c r="R309">
        <v>-7.3108129999999993E-2</v>
      </c>
      <c r="S309">
        <v>2.9915470000000002</v>
      </c>
      <c r="T309">
        <v>-0.1081563</v>
      </c>
      <c r="U309">
        <v>-0.78500369999999997</v>
      </c>
      <c r="V309">
        <v>8.2050059999999994E-2</v>
      </c>
      <c r="W309">
        <v>0.13666199999999901</v>
      </c>
      <c r="X309">
        <v>0.98721389999999998</v>
      </c>
      <c r="Y309">
        <v>0.26227679999999998</v>
      </c>
      <c r="Z309">
        <v>-4.9783070000000004E-3</v>
      </c>
      <c r="AA309">
        <v>0.9649799</v>
      </c>
      <c r="AB309">
        <v>27</v>
      </c>
      <c r="AC309">
        <v>31.809799999999999</v>
      </c>
      <c r="AD309">
        <v>-1.159173</v>
      </c>
      <c r="AE309">
        <v>-8.4153000000000002</v>
      </c>
      <c r="AF309">
        <v>8.6882717408505403</v>
      </c>
      <c r="AG309">
        <v>-1.159173</v>
      </c>
      <c r="AH309">
        <v>31.6940406818455</v>
      </c>
      <c r="AI309">
        <v>92.020130123498703</v>
      </c>
      <c r="AJ309">
        <v>74.670127998270004</v>
      </c>
      <c r="AK309">
        <v>32.883764423029</v>
      </c>
      <c r="AL309">
        <v>82.145263705191795</v>
      </c>
      <c r="AM309">
        <v>85.248909989361294</v>
      </c>
      <c r="AN309">
        <v>0.999999999471606</v>
      </c>
    </row>
    <row r="310" spans="1:40" x14ac:dyDescent="0.25">
      <c r="A310" t="str">
        <f>"20190312163959855"</f>
        <v>20190312163959855</v>
      </c>
      <c r="B310" t="str">
        <f>"1552379999847055"</f>
        <v>1552379999847055</v>
      </c>
      <c r="C310" t="s">
        <v>40</v>
      </c>
      <c r="D310">
        <v>5.2082499999999996</v>
      </c>
      <c r="E310">
        <v>0.57845279999999999</v>
      </c>
      <c r="F310" t="s">
        <v>43</v>
      </c>
      <c r="G310">
        <v>-420.8605</v>
      </c>
      <c r="H310">
        <v>-0.05</v>
      </c>
      <c r="I310">
        <v>361.02</v>
      </c>
      <c r="J310">
        <v>-448.15359999999998</v>
      </c>
      <c r="K310">
        <v>1.109165</v>
      </c>
      <c r="L310">
        <v>368.51870000000002</v>
      </c>
      <c r="M310">
        <v>0.99993960000000004</v>
      </c>
      <c r="N310">
        <v>0</v>
      </c>
      <c r="O310">
        <v>8.458073E-3</v>
      </c>
      <c r="P310">
        <v>0.98837379999999997</v>
      </c>
      <c r="Q310">
        <v>0.13110929999999901</v>
      </c>
      <c r="R310">
        <v>-7.6992499999999894E-2</v>
      </c>
      <c r="S310">
        <v>2.9902340000000001</v>
      </c>
      <c r="T310">
        <v>-0.12574959999999999</v>
      </c>
      <c r="U310">
        <v>-0.81326290000000001</v>
      </c>
      <c r="V310">
        <v>8.5467730000000006E-2</v>
      </c>
      <c r="W310">
        <v>0.13798450000000001</v>
      </c>
      <c r="X310">
        <v>0.9867399</v>
      </c>
      <c r="Y310">
        <v>0.27036270000000001</v>
      </c>
      <c r="Z310">
        <v>-5.9303960000000001E-3</v>
      </c>
      <c r="AA310">
        <v>0.96274029999999999</v>
      </c>
      <c r="AB310">
        <v>27</v>
      </c>
      <c r="AC310">
        <v>27.2930999999999</v>
      </c>
      <c r="AD310">
        <v>-1.159165</v>
      </c>
      <c r="AE310">
        <v>-7.4987000000000403</v>
      </c>
      <c r="AF310">
        <v>7.71634276852512</v>
      </c>
      <c r="AG310">
        <v>-1.159165</v>
      </c>
      <c r="AH310">
        <v>27.183106559029</v>
      </c>
      <c r="AI310">
        <v>92.349075618848801</v>
      </c>
      <c r="AJ310">
        <v>74.152591501272497</v>
      </c>
      <c r="AK310">
        <v>28.280857331738101</v>
      </c>
      <c r="AL310">
        <v>82.068765651829295</v>
      </c>
      <c r="AM310">
        <v>85.049608500957106</v>
      </c>
      <c r="AN310">
        <v>1.0000000426818001</v>
      </c>
    </row>
    <row r="311" spans="1:40" x14ac:dyDescent="0.25">
      <c r="A311" t="str">
        <f>"20190312163959876"</f>
        <v>20190312163959876</v>
      </c>
      <c r="B311" t="str">
        <f>"1552379999866574"</f>
        <v>1552379999866574</v>
      </c>
      <c r="C311" t="s">
        <v>40</v>
      </c>
      <c r="D311">
        <v>5.170693</v>
      </c>
      <c r="E311">
        <v>0.57928199999999996</v>
      </c>
      <c r="F311" t="s">
        <v>43</v>
      </c>
      <c r="G311">
        <v>-419.33769999999998</v>
      </c>
      <c r="H311">
        <v>-0.05</v>
      </c>
      <c r="I311">
        <v>360.49680000000001</v>
      </c>
      <c r="J311">
        <v>-447.8954</v>
      </c>
      <c r="K311">
        <v>1.109154</v>
      </c>
      <c r="L311">
        <v>368.5204</v>
      </c>
      <c r="M311">
        <v>0.99994340000000004</v>
      </c>
      <c r="N311">
        <v>0</v>
      </c>
      <c r="O311">
        <v>7.9895049999999992E-3</v>
      </c>
      <c r="P311">
        <v>0.98803269999999999</v>
      </c>
      <c r="Q311">
        <v>0.13165450000000001</v>
      </c>
      <c r="R311">
        <v>-8.0366350000000003E-2</v>
      </c>
      <c r="S311">
        <v>2.9864809999999999</v>
      </c>
      <c r="T311">
        <v>-0.12013600000000001</v>
      </c>
      <c r="U311">
        <v>-0.83139039999999997</v>
      </c>
      <c r="V311">
        <v>8.8380990000000006E-2</v>
      </c>
      <c r="W311">
        <v>0.138523799999999</v>
      </c>
      <c r="X311">
        <v>0.98640760000000005</v>
      </c>
      <c r="Y311">
        <v>0.27566200000000002</v>
      </c>
      <c r="Z311">
        <v>-5.7543109999999998E-3</v>
      </c>
      <c r="AA311">
        <v>0.96123740000000002</v>
      </c>
      <c r="AB311">
        <v>27</v>
      </c>
      <c r="AC311">
        <v>28.557700000000001</v>
      </c>
      <c r="AD311">
        <v>-1.159154</v>
      </c>
      <c r="AE311">
        <v>-8.0235999999999805</v>
      </c>
      <c r="AF311">
        <v>8.2389305770716099</v>
      </c>
      <c r="AG311">
        <v>-1.159154</v>
      </c>
      <c r="AH311">
        <v>28.4492403395999</v>
      </c>
      <c r="AI311">
        <v>92.2412131296486</v>
      </c>
      <c r="AJ311">
        <v>73.848926837673801</v>
      </c>
      <c r="AK311">
        <v>29.6408989565067</v>
      </c>
      <c r="AL311">
        <v>82.037566067482999</v>
      </c>
      <c r="AM311">
        <v>84.880035586842098</v>
      </c>
      <c r="AN311">
        <v>0.99999999794879002</v>
      </c>
    </row>
    <row r="312" spans="1:40" x14ac:dyDescent="0.25">
      <c r="A312" t="str">
        <f>"20190312163959897"</f>
        <v>20190312163959897</v>
      </c>
      <c r="B312" t="str">
        <f>"1552379999887073"</f>
        <v>1552379999887073</v>
      </c>
      <c r="C312" t="s">
        <v>40</v>
      </c>
      <c r="D312">
        <v>5.1874330000000004</v>
      </c>
      <c r="E312">
        <v>0.5792505</v>
      </c>
      <c r="F312" t="s">
        <v>43</v>
      </c>
      <c r="G312">
        <v>-418.43740000000003</v>
      </c>
      <c r="H312">
        <v>-0.05</v>
      </c>
      <c r="I312">
        <v>360.1422</v>
      </c>
      <c r="J312">
        <v>-447.63499999999999</v>
      </c>
      <c r="K312">
        <v>1.109135</v>
      </c>
      <c r="L312">
        <v>368.52190000000002</v>
      </c>
      <c r="M312">
        <v>0.99994709999999998</v>
      </c>
      <c r="N312">
        <v>0</v>
      </c>
      <c r="O312">
        <v>7.495158E-3</v>
      </c>
      <c r="P312">
        <v>0.98776140000000001</v>
      </c>
      <c r="Q312">
        <v>0.1319729</v>
      </c>
      <c r="R312">
        <v>-8.3130469999999998E-2</v>
      </c>
      <c r="S312">
        <v>2.982971</v>
      </c>
      <c r="T312">
        <v>-0.1173781</v>
      </c>
      <c r="U312">
        <v>-0.848388699999999</v>
      </c>
      <c r="V312">
        <v>9.0661409999999998E-2</v>
      </c>
      <c r="W312">
        <v>0.1388317</v>
      </c>
      <c r="X312">
        <v>0.98615730000000001</v>
      </c>
      <c r="Y312">
        <v>0.280557</v>
      </c>
      <c r="Z312">
        <v>-5.699745E-3</v>
      </c>
      <c r="AA312">
        <v>0.95982040000000002</v>
      </c>
      <c r="AB312">
        <v>27</v>
      </c>
      <c r="AC312">
        <v>29.197599999999898</v>
      </c>
      <c r="AD312">
        <v>-1.159135</v>
      </c>
      <c r="AE312">
        <v>-8.3797000000000104</v>
      </c>
      <c r="AF312">
        <v>8.5858086596957897</v>
      </c>
      <c r="AG312">
        <v>-1.159135</v>
      </c>
      <c r="AH312">
        <v>29.0916100887829</v>
      </c>
      <c r="AI312">
        <v>92.188479684832402</v>
      </c>
      <c r="AJ312">
        <v>73.557085659291701</v>
      </c>
      <c r="AK312">
        <v>30.3542662874085</v>
      </c>
      <c r="AL312">
        <v>82.019752400882794</v>
      </c>
      <c r="AM312">
        <v>84.747333436652895</v>
      </c>
      <c r="AN312">
        <v>0.99999997626568304</v>
      </c>
    </row>
    <row r="313" spans="1:40" x14ac:dyDescent="0.25">
      <c r="A313" t="str">
        <f>"20190312163959911"</f>
        <v>20190312163959911</v>
      </c>
      <c r="B313" t="str">
        <f>"1552379999906590"</f>
        <v>1552379999906590</v>
      </c>
      <c r="C313" t="s">
        <v>40</v>
      </c>
      <c r="D313">
        <v>5.043831</v>
      </c>
      <c r="E313">
        <v>0.57856949999999996</v>
      </c>
      <c r="F313" t="s">
        <v>43</v>
      </c>
      <c r="G313">
        <v>-418.7792</v>
      </c>
      <c r="H313">
        <v>-0.05</v>
      </c>
      <c r="I313">
        <v>360.2285</v>
      </c>
      <c r="J313">
        <v>-447.46879999999999</v>
      </c>
      <c r="K313">
        <v>1.109121</v>
      </c>
      <c r="L313">
        <v>368.52280000000002</v>
      </c>
      <c r="M313">
        <v>0.9999498</v>
      </c>
      <c r="N313">
        <v>0</v>
      </c>
      <c r="O313">
        <v>7.162435E-3</v>
      </c>
      <c r="P313">
        <v>0.98764090000000004</v>
      </c>
      <c r="Q313">
        <v>0.13208829999999999</v>
      </c>
      <c r="R313">
        <v>-8.4370940000000005E-2</v>
      </c>
      <c r="S313">
        <v>2.9810490000000001</v>
      </c>
      <c r="T313">
        <v>-0.11974849999999999</v>
      </c>
      <c r="U313">
        <v>-0.85678099999999902</v>
      </c>
      <c r="V313">
        <v>9.1577740000000005E-2</v>
      </c>
      <c r="W313">
        <v>0.1389398</v>
      </c>
      <c r="X313">
        <v>0.98605739999999997</v>
      </c>
      <c r="Y313">
        <v>0.28288760000000002</v>
      </c>
      <c r="Z313">
        <v>-5.848921E-3</v>
      </c>
      <c r="AA313">
        <v>0.95913519999999997</v>
      </c>
      <c r="AB313">
        <v>27</v>
      </c>
      <c r="AC313">
        <v>28.689599999999899</v>
      </c>
      <c r="AD313">
        <v>-1.1591209999999901</v>
      </c>
      <c r="AE313">
        <v>-8.2943000000000193</v>
      </c>
      <c r="AF313">
        <v>8.4867949721974405</v>
      </c>
      <c r="AG313">
        <v>-1.1591209999999901</v>
      </c>
      <c r="AH313">
        <v>28.586392016267599</v>
      </c>
      <c r="AI313">
        <v>92.226031251097197</v>
      </c>
      <c r="AJ313">
        <v>73.464775621819101</v>
      </c>
      <c r="AK313">
        <v>29.8421021193294</v>
      </c>
      <c r="AL313">
        <v>82.013498089063802</v>
      </c>
      <c r="AM313">
        <v>84.694010867235406</v>
      </c>
      <c r="AN313">
        <v>0.99999997329115298</v>
      </c>
    </row>
    <row r="314" spans="1:40" x14ac:dyDescent="0.25">
      <c r="A314" t="str">
        <f>"20190312163959931"</f>
        <v>20190312163959931</v>
      </c>
      <c r="B314" t="str">
        <f>"1552379999927086"</f>
        <v>1552379999927086</v>
      </c>
      <c r="C314" t="s">
        <v>40</v>
      </c>
      <c r="D314">
        <v>5.1050879999999896</v>
      </c>
      <c r="E314">
        <v>0.57844099999999998</v>
      </c>
      <c r="F314" t="s">
        <v>43</v>
      </c>
      <c r="G314">
        <v>-416.43009999999998</v>
      </c>
      <c r="H314">
        <v>-0.05</v>
      </c>
      <c r="I314">
        <v>359.61320000000001</v>
      </c>
      <c r="J314">
        <v>-447.22329999999999</v>
      </c>
      <c r="K314">
        <v>1.1090960000000001</v>
      </c>
      <c r="L314">
        <v>368.52409999999998</v>
      </c>
      <c r="M314">
        <v>0.99995310000000004</v>
      </c>
      <c r="N314">
        <v>0</v>
      </c>
      <c r="O314">
        <v>6.6530219999999998E-3</v>
      </c>
      <c r="P314">
        <v>0.98740300000000003</v>
      </c>
      <c r="Q314">
        <v>0.1325451</v>
      </c>
      <c r="R314">
        <v>-8.6412559999999999E-2</v>
      </c>
      <c r="S314">
        <v>2.9793699999999999</v>
      </c>
      <c r="T314">
        <v>-0.1112628</v>
      </c>
      <c r="U314">
        <v>-0.855224599999999</v>
      </c>
      <c r="V314">
        <v>9.312339E-2</v>
      </c>
      <c r="W314">
        <v>0.13938510000000001</v>
      </c>
      <c r="X314">
        <v>0.9858498</v>
      </c>
      <c r="Y314">
        <v>0.28210960000000002</v>
      </c>
      <c r="Z314">
        <v>-5.4051749999999999E-3</v>
      </c>
      <c r="AA314">
        <v>0.95936699999999997</v>
      </c>
      <c r="AB314">
        <v>27</v>
      </c>
      <c r="AC314">
        <v>30.793199999999999</v>
      </c>
      <c r="AD314">
        <v>-1.1590959999999999</v>
      </c>
      <c r="AE314">
        <v>-8.9108999999999696</v>
      </c>
      <c r="AF314">
        <v>9.1036736682877102</v>
      </c>
      <c r="AG314">
        <v>-1.1590959999999999</v>
      </c>
      <c r="AH314">
        <v>30.6931048279869</v>
      </c>
      <c r="AI314">
        <v>92.073492234830397</v>
      </c>
      <c r="AJ314">
        <v>73.479473885516697</v>
      </c>
      <c r="AK314">
        <v>32.035715409175502</v>
      </c>
      <c r="AL314">
        <v>81.987733793149005</v>
      </c>
      <c r="AM314">
        <v>84.603851014341501</v>
      </c>
      <c r="AN314">
        <v>1.00000000001357</v>
      </c>
    </row>
    <row r="315" spans="1:40" x14ac:dyDescent="0.25">
      <c r="A315" t="str">
        <f>"20190312163959944"</f>
        <v>20190312163959944</v>
      </c>
      <c r="B315" t="str">
        <f>"1552379999936846"</f>
        <v>1552379999936846</v>
      </c>
      <c r="C315" t="s">
        <v>40</v>
      </c>
      <c r="D315">
        <v>5.0428139999999999</v>
      </c>
      <c r="E315">
        <v>0.57819339999999997</v>
      </c>
      <c r="F315" t="s">
        <v>43</v>
      </c>
      <c r="G315">
        <v>-416.94290000000001</v>
      </c>
      <c r="H315">
        <v>-0.05</v>
      </c>
      <c r="I315">
        <v>359.77780000000001</v>
      </c>
      <c r="J315">
        <v>-447.05810000000002</v>
      </c>
      <c r="K315">
        <v>1.109081</v>
      </c>
      <c r="L315">
        <v>368.52480000000003</v>
      </c>
      <c r="M315">
        <v>0.9999555</v>
      </c>
      <c r="N315">
        <v>0</v>
      </c>
      <c r="O315">
        <v>6.2954209999999998E-3</v>
      </c>
      <c r="P315">
        <v>0.98729630000000002</v>
      </c>
      <c r="Q315">
        <v>0.13281699999999999</v>
      </c>
      <c r="R315">
        <v>-8.7212289999999998E-2</v>
      </c>
      <c r="S315">
        <v>2.9783019999999998</v>
      </c>
      <c r="T315">
        <v>-0.1140058</v>
      </c>
      <c r="U315">
        <v>-0.86026000000000002</v>
      </c>
      <c r="V315">
        <v>9.3575259999999993E-2</v>
      </c>
      <c r="W315">
        <v>0.13965050000000001</v>
      </c>
      <c r="X315">
        <v>0.98576949999999997</v>
      </c>
      <c r="Y315">
        <v>0.28334540000000003</v>
      </c>
      <c r="Z315">
        <v>-5.5487330000000001E-3</v>
      </c>
      <c r="AA315">
        <v>0.95900180000000002</v>
      </c>
      <c r="AB315">
        <v>27</v>
      </c>
      <c r="AC315">
        <v>30.115200000000002</v>
      </c>
      <c r="AD315">
        <v>-1.159081</v>
      </c>
      <c r="AE315">
        <v>-8.7470000000000105</v>
      </c>
      <c r="AF315">
        <v>8.9242278320541804</v>
      </c>
      <c r="AG315">
        <v>-1.159081</v>
      </c>
      <c r="AH315">
        <v>30.0185275459982</v>
      </c>
      <c r="AI315">
        <v>92.119621055392997</v>
      </c>
      <c r="AJ315">
        <v>73.443278091772996</v>
      </c>
      <c r="AK315">
        <v>31.3384317921753</v>
      </c>
      <c r="AL315">
        <v>81.972377698127701</v>
      </c>
      <c r="AM315">
        <v>84.577383479328702</v>
      </c>
      <c r="AN315">
        <v>1.00000004928228</v>
      </c>
    </row>
    <row r="316" spans="1:40" x14ac:dyDescent="0.25">
      <c r="A316" t="str">
        <f>"20190312163959966"</f>
        <v>20190312163959966</v>
      </c>
      <c r="B316" t="str">
        <f>"1552379999956369"</f>
        <v>1552379999956369</v>
      </c>
      <c r="C316" t="s">
        <v>40</v>
      </c>
      <c r="D316">
        <v>5.1282620000000003</v>
      </c>
      <c r="E316">
        <v>0.57793369999999999</v>
      </c>
      <c r="F316" t="s">
        <v>43</v>
      </c>
      <c r="G316">
        <v>-415.84300000000002</v>
      </c>
      <c r="H316">
        <v>-0.05</v>
      </c>
      <c r="I316">
        <v>359.50049999999999</v>
      </c>
      <c r="J316">
        <v>-446.79719999999998</v>
      </c>
      <c r="K316">
        <v>1.1090610000000001</v>
      </c>
      <c r="L316">
        <v>368.5258</v>
      </c>
      <c r="M316">
        <v>0.99995919999999905</v>
      </c>
      <c r="N316">
        <v>0</v>
      </c>
      <c r="O316">
        <v>5.7072379999999999E-3</v>
      </c>
      <c r="P316">
        <v>0.98714999999999997</v>
      </c>
      <c r="Q316">
        <v>0.1330973</v>
      </c>
      <c r="R316">
        <v>-8.8431549999999998E-2</v>
      </c>
      <c r="S316">
        <v>2.9774479999999999</v>
      </c>
      <c r="T316">
        <v>-0.1105585</v>
      </c>
      <c r="U316">
        <v>-0.86077879999999996</v>
      </c>
      <c r="V316">
        <v>9.4222609999999998E-2</v>
      </c>
      <c r="W316">
        <v>0.13992199999999999</v>
      </c>
      <c r="X316">
        <v>0.98566929999999997</v>
      </c>
      <c r="Y316">
        <v>0.28302110000000003</v>
      </c>
      <c r="Z316">
        <v>-5.3551129999999999E-3</v>
      </c>
      <c r="AA316">
        <v>0.95909880000000003</v>
      </c>
      <c r="AB316">
        <v>27</v>
      </c>
      <c r="AC316">
        <v>30.954199999999901</v>
      </c>
      <c r="AD316">
        <v>-1.1590609999999999</v>
      </c>
      <c r="AE316">
        <v>-9.0253000000000103</v>
      </c>
      <c r="AF316">
        <v>9.1899448319091501</v>
      </c>
      <c r="AG316">
        <v>-1.1590609999999999</v>
      </c>
      <c r="AH316">
        <v>30.8623039640832</v>
      </c>
      <c r="AI316">
        <v>92.061414444606996</v>
      </c>
      <c r="AJ316">
        <v>73.417916804925198</v>
      </c>
      <c r="AK316">
        <v>32.222357368552601</v>
      </c>
      <c r="AL316">
        <v>81.956667392597097</v>
      </c>
      <c r="AM316">
        <v>84.539544266163901</v>
      </c>
      <c r="AN316">
        <v>1.0000000176408499</v>
      </c>
    </row>
    <row r="317" spans="1:40" x14ac:dyDescent="0.25">
      <c r="A317" t="str">
        <f>"20190312163959989"</f>
        <v>20190312163959989</v>
      </c>
      <c r="B317" t="str">
        <f>"1552379999976869"</f>
        <v>1552379999976869</v>
      </c>
      <c r="C317" t="s">
        <v>40</v>
      </c>
      <c r="D317">
        <v>4.9874910000000003</v>
      </c>
      <c r="E317">
        <v>0.57770509999999997</v>
      </c>
      <c r="F317" t="s">
        <v>43</v>
      </c>
      <c r="G317">
        <v>-414.52629999999999</v>
      </c>
      <c r="H317">
        <v>-0.05</v>
      </c>
      <c r="I317">
        <v>359.17439999999999</v>
      </c>
      <c r="J317">
        <v>-446.5147</v>
      </c>
      <c r="K317">
        <v>1.1090370000000001</v>
      </c>
      <c r="L317">
        <v>368.52670000000001</v>
      </c>
      <c r="M317">
        <v>0.99996269999999998</v>
      </c>
      <c r="N317">
        <v>0</v>
      </c>
      <c r="O317">
        <v>5.040007E-3</v>
      </c>
      <c r="P317">
        <v>0.98702590000000001</v>
      </c>
      <c r="Q317">
        <v>0.13358310000000001</v>
      </c>
      <c r="R317">
        <v>-8.9082099999999997E-2</v>
      </c>
      <c r="S317">
        <v>2.9761660000000001</v>
      </c>
      <c r="T317">
        <v>-0.1068938</v>
      </c>
      <c r="U317">
        <v>-0.86242680000000005</v>
      </c>
      <c r="V317">
        <v>9.4223479999999998E-2</v>
      </c>
      <c r="W317">
        <v>0.1404021</v>
      </c>
      <c r="X317">
        <v>0.9856009</v>
      </c>
      <c r="Y317">
        <v>0.28299360000000001</v>
      </c>
      <c r="Z317">
        <v>-5.155499E-3</v>
      </c>
      <c r="AA317">
        <v>0.95910790000000001</v>
      </c>
      <c r="AB317">
        <v>27</v>
      </c>
      <c r="AC317">
        <v>31.988399999999999</v>
      </c>
      <c r="AD317">
        <v>-1.1590370000000001</v>
      </c>
      <c r="AE317">
        <v>-9.3523000000000103</v>
      </c>
      <c r="AF317">
        <v>9.5019148247010001</v>
      </c>
      <c r="AG317">
        <v>-1.1590370000000001</v>
      </c>
      <c r="AH317">
        <v>31.902272604707601</v>
      </c>
      <c r="AI317">
        <v>91.994189955981497</v>
      </c>
      <c r="AJ317">
        <v>73.414129247070804</v>
      </c>
      <c r="AK317">
        <v>33.307427841974302</v>
      </c>
      <c r="AL317">
        <v>81.928885086895505</v>
      </c>
      <c r="AM317">
        <v>84.539117487557604</v>
      </c>
      <c r="AN317">
        <v>0.99999997397426399</v>
      </c>
    </row>
    <row r="318" spans="1:40" x14ac:dyDescent="0.25">
      <c r="A318" t="str">
        <f>"20190312164000011"</f>
        <v>20190312164000011</v>
      </c>
      <c r="B318" t="str">
        <f>"1552380000007118"</f>
        <v>1552380000007118</v>
      </c>
      <c r="C318" t="s">
        <v>40</v>
      </c>
      <c r="D318">
        <v>5.0699310000000004</v>
      </c>
      <c r="E318">
        <v>0.57787749999999904</v>
      </c>
      <c r="F318" t="s">
        <v>43</v>
      </c>
      <c r="G318">
        <v>-412.9787</v>
      </c>
      <c r="H318">
        <v>-0.05</v>
      </c>
      <c r="I318">
        <v>358.80439999999999</v>
      </c>
      <c r="J318">
        <v>-446.23869999999999</v>
      </c>
      <c r="K318">
        <v>1.1090070000000001</v>
      </c>
      <c r="L318">
        <v>368.5274</v>
      </c>
      <c r="M318">
        <v>0.99996600000000002</v>
      </c>
      <c r="N318">
        <v>0</v>
      </c>
      <c r="O318">
        <v>4.3606399999999998E-3</v>
      </c>
      <c r="P318">
        <v>0.987008</v>
      </c>
      <c r="Q318">
        <v>0.133957299999999</v>
      </c>
      <c r="R318">
        <v>-8.8719649999999997E-2</v>
      </c>
      <c r="S318">
        <v>2.9754939999999999</v>
      </c>
      <c r="T318">
        <v>-0.10283589999999999</v>
      </c>
      <c r="U318">
        <v>-0.86260990000000004</v>
      </c>
      <c r="V318">
        <v>9.3198929999999999E-2</v>
      </c>
      <c r="W318">
        <v>0.1407755</v>
      </c>
      <c r="X318">
        <v>0.98564510000000005</v>
      </c>
      <c r="Y318">
        <v>0.28246769999999999</v>
      </c>
      <c r="Z318">
        <v>-4.9290209999999996E-3</v>
      </c>
      <c r="AA318">
        <v>0.95926420000000001</v>
      </c>
      <c r="AB318">
        <v>28</v>
      </c>
      <c r="AC318">
        <v>33.259999999999899</v>
      </c>
      <c r="AD318">
        <v>-1.1590069999999999</v>
      </c>
      <c r="AE318">
        <v>-9.7230000000000096</v>
      </c>
      <c r="AF318">
        <v>9.8569190382779706</v>
      </c>
      <c r="AG318">
        <v>-1.1590069999999999</v>
      </c>
      <c r="AH318">
        <v>33.180165508217698</v>
      </c>
      <c r="AI318">
        <v>91.917799250128198</v>
      </c>
      <c r="AJ318">
        <v>73.454756477321695</v>
      </c>
      <c r="AK318">
        <v>34.632723446271598</v>
      </c>
      <c r="AL318">
        <v>81.907276620255701</v>
      </c>
      <c r="AM318">
        <v>84.598384676514499</v>
      </c>
      <c r="AN318">
        <v>1.0000000225537</v>
      </c>
    </row>
    <row r="319" spans="1:40" x14ac:dyDescent="0.25">
      <c r="A319" t="str">
        <f>"20190312164000034"</f>
        <v>20190312164000034</v>
      </c>
      <c r="B319" t="str">
        <f>"1552380000026638"</f>
        <v>1552380000026638</v>
      </c>
      <c r="C319" t="s">
        <v>40</v>
      </c>
      <c r="D319">
        <v>4.9437949999999997</v>
      </c>
      <c r="E319">
        <v>0.57542660000000001</v>
      </c>
      <c r="F319" t="s">
        <v>43</v>
      </c>
      <c r="G319">
        <v>-414.7099</v>
      </c>
      <c r="H319">
        <v>-0.05</v>
      </c>
      <c r="I319">
        <v>359.39240000000001</v>
      </c>
      <c r="J319">
        <v>-445.95339999999999</v>
      </c>
      <c r="K319">
        <v>1.1089929999999999</v>
      </c>
      <c r="L319">
        <v>368.52789999999999</v>
      </c>
      <c r="M319">
        <v>0.99996870000000004</v>
      </c>
      <c r="N319">
        <v>0</v>
      </c>
      <c r="O319">
        <v>3.6355739999999999E-3</v>
      </c>
      <c r="P319">
        <v>0.98714389999999996</v>
      </c>
      <c r="Q319">
        <v>0.1341195</v>
      </c>
      <c r="R319">
        <v>-8.6942800000000001E-2</v>
      </c>
      <c r="S319">
        <v>2.976807</v>
      </c>
      <c r="T319">
        <v>-0.10942830000000001</v>
      </c>
      <c r="U319">
        <v>-0.86248780000000003</v>
      </c>
      <c r="V319">
        <v>9.0714310000000006E-2</v>
      </c>
      <c r="W319">
        <v>0.14094309999999999</v>
      </c>
      <c r="X319">
        <v>0.98585290000000003</v>
      </c>
      <c r="Y319">
        <v>0.28160289999999999</v>
      </c>
      <c r="Z319">
        <v>-5.2009309999999998E-3</v>
      </c>
      <c r="AA319">
        <v>0.95951690000000001</v>
      </c>
      <c r="AB319">
        <v>28</v>
      </c>
      <c r="AC319">
        <v>31.243499999999901</v>
      </c>
      <c r="AD319">
        <v>-1.1589929999999999</v>
      </c>
      <c r="AE319">
        <v>-9.1354999999999809</v>
      </c>
      <c r="AF319">
        <v>9.2373203979079701</v>
      </c>
      <c r="AG319">
        <v>-1.1589929999999999</v>
      </c>
      <c r="AH319">
        <v>31.170565197620601</v>
      </c>
      <c r="AI319">
        <v>92.041719113397306</v>
      </c>
      <c r="AJ319">
        <v>73.492939428003794</v>
      </c>
      <c r="AK319">
        <v>32.531146423800898</v>
      </c>
      <c r="AL319">
        <v>81.897576890792394</v>
      </c>
      <c r="AM319">
        <v>84.742672013134197</v>
      </c>
      <c r="AN319">
        <v>0.99999999195739797</v>
      </c>
    </row>
    <row r="320" spans="1:40" x14ac:dyDescent="0.25">
      <c r="A320" t="str">
        <f>"20190312164000071"</f>
        <v>20190312164000071</v>
      </c>
      <c r="B320" t="str">
        <f>"1552380000066654"</f>
        <v>1552380000066654</v>
      </c>
      <c r="C320" t="s">
        <v>40</v>
      </c>
      <c r="D320">
        <v>5.2240580000000003</v>
      </c>
      <c r="E320">
        <v>0.47721839999999999</v>
      </c>
      <c r="F320" t="s">
        <v>43</v>
      </c>
      <c r="G320">
        <v>-415.55790000000002</v>
      </c>
      <c r="H320">
        <v>-0.05</v>
      </c>
      <c r="I320">
        <v>359.99439999999998</v>
      </c>
      <c r="J320">
        <v>-445.51580000000001</v>
      </c>
      <c r="K320">
        <v>1.10897</v>
      </c>
      <c r="L320">
        <v>368.52820000000003</v>
      </c>
      <c r="M320">
        <v>0.99997210000000003</v>
      </c>
      <c r="N320">
        <v>0</v>
      </c>
      <c r="O320">
        <v>2.4909070000000001E-3</v>
      </c>
      <c r="P320">
        <v>0.98752580000000001</v>
      </c>
      <c r="Q320">
        <v>0.13335900000000001</v>
      </c>
      <c r="R320">
        <v>-8.3718020000000004E-2</v>
      </c>
      <c r="S320">
        <v>2.9807739999999998</v>
      </c>
      <c r="T320">
        <v>-0.1136582</v>
      </c>
      <c r="U320">
        <v>-0.83685299999999996</v>
      </c>
      <c r="V320">
        <v>8.6366899999999996E-2</v>
      </c>
      <c r="W320">
        <v>0.14020050000000001</v>
      </c>
      <c r="X320">
        <v>0.98634909999999998</v>
      </c>
      <c r="Y320">
        <v>0.27251180000000003</v>
      </c>
      <c r="Z320">
        <v>-5.1883720000000001E-3</v>
      </c>
      <c r="AA320">
        <v>0.96213839999999995</v>
      </c>
      <c r="AB320">
        <v>28</v>
      </c>
      <c r="AC320">
        <v>29.957899999999899</v>
      </c>
      <c r="AD320">
        <v>-1.1589700000000001</v>
      </c>
      <c r="AE320">
        <v>-8.5338000000000402</v>
      </c>
      <c r="AF320">
        <v>8.5964973817282999</v>
      </c>
      <c r="AG320">
        <v>-1.1589700000000001</v>
      </c>
      <c r="AH320">
        <v>29.895165039423301</v>
      </c>
      <c r="AI320">
        <v>92.133739635996605</v>
      </c>
      <c r="AJ320">
        <v>73.957158093981107</v>
      </c>
      <c r="AK320">
        <v>31.128184518685298</v>
      </c>
      <c r="AL320">
        <v>81.940551392786006</v>
      </c>
      <c r="AM320">
        <v>84.995818538585993</v>
      </c>
      <c r="AN320">
        <v>0.99999998434333404</v>
      </c>
    </row>
    <row r="321" spans="1:40" x14ac:dyDescent="0.25">
      <c r="A321" t="str">
        <f>"20190312164000088"</f>
        <v>20190312164000088</v>
      </c>
      <c r="B321" t="str">
        <f>"1552380000076414"</f>
        <v>1552380000076414</v>
      </c>
      <c r="C321" t="s">
        <v>40</v>
      </c>
      <c r="D321">
        <v>5.0782990000000003</v>
      </c>
      <c r="E321">
        <v>0.47542089999999998</v>
      </c>
      <c r="F321" t="s">
        <v>41</v>
      </c>
      <c r="G321">
        <v>-376.70659999999998</v>
      </c>
      <c r="H321" s="1">
        <v>-1.778807E-6</v>
      </c>
      <c r="I321">
        <v>367.45350000000002</v>
      </c>
      <c r="J321">
        <v>-445.28489999999999</v>
      </c>
      <c r="K321">
        <v>1.1089610000000001</v>
      </c>
      <c r="L321">
        <v>368.52809999999999</v>
      </c>
      <c r="M321">
        <v>0.99997340000000001</v>
      </c>
      <c r="N321">
        <v>0</v>
      </c>
      <c r="O321">
        <v>1.879494E-3</v>
      </c>
      <c r="P321">
        <v>0.98776850000000005</v>
      </c>
      <c r="Q321">
        <v>0.132445799999999</v>
      </c>
      <c r="R321">
        <v>-8.2291450000000002E-2</v>
      </c>
      <c r="S321">
        <v>3.0404969999999998</v>
      </c>
      <c r="T321">
        <v>-4.9002530000000002E-2</v>
      </c>
      <c r="U321">
        <v>-4.7485350000000003E-2</v>
      </c>
      <c r="V321">
        <v>8.4338590000000005E-2</v>
      </c>
      <c r="W321">
        <v>0.1392996</v>
      </c>
      <c r="X321">
        <v>0.98665219999999998</v>
      </c>
      <c r="Y321">
        <v>1.7492489999999999E-2</v>
      </c>
      <c r="Z321">
        <v>-1.7123029999999999E-4</v>
      </c>
      <c r="AA321">
        <v>0.99984700000000004</v>
      </c>
      <c r="AB321">
        <v>28</v>
      </c>
      <c r="AC321">
        <v>68.578299999999999</v>
      </c>
      <c r="AD321">
        <v>-1.108962778807</v>
      </c>
      <c r="AE321">
        <v>-1.07459999999997</v>
      </c>
      <c r="AF321">
        <v>1.2031792601902001</v>
      </c>
      <c r="AG321">
        <v>-1.108962778807</v>
      </c>
      <c r="AH321">
        <v>68.558235996905594</v>
      </c>
      <c r="AI321">
        <v>90.926563603566095</v>
      </c>
      <c r="AJ321">
        <v>88.994577142746095</v>
      </c>
      <c r="AK321">
        <v>68.577759964760702</v>
      </c>
      <c r="AL321">
        <v>81.992680602857405</v>
      </c>
      <c r="AM321">
        <v>85.114258860383501</v>
      </c>
      <c r="AN321">
        <v>0.99999997004409302</v>
      </c>
    </row>
    <row r="322" spans="1:40" x14ac:dyDescent="0.25">
      <c r="A322" t="str">
        <f>"20190312164000111"</f>
        <v>20190312164000111</v>
      </c>
      <c r="B322" t="str">
        <f>"1552380000106671"</f>
        <v>1552380000106671</v>
      </c>
      <c r="C322" t="s">
        <v>40</v>
      </c>
      <c r="D322">
        <v>5.1097419999999998</v>
      </c>
      <c r="E322">
        <v>0.47400009999999998</v>
      </c>
      <c r="F322" t="s">
        <v>41</v>
      </c>
      <c r="G322">
        <v>-395.2903</v>
      </c>
      <c r="H322" s="1">
        <v>-2.2787650000000002E-6</v>
      </c>
      <c r="I322">
        <v>368.06040000000002</v>
      </c>
      <c r="J322">
        <v>-444.99160000000001</v>
      </c>
      <c r="K322">
        <v>1.108951</v>
      </c>
      <c r="L322">
        <v>368.52789999999999</v>
      </c>
      <c r="M322">
        <v>0.99997449999999999</v>
      </c>
      <c r="N322">
        <v>0</v>
      </c>
      <c r="O322">
        <v>1.0993929999999999E-3</v>
      </c>
      <c r="P322">
        <v>0.98796450000000002</v>
      </c>
      <c r="Q322">
        <v>0.13172909999999999</v>
      </c>
      <c r="R322">
        <v>-8.1080299999999994E-2</v>
      </c>
      <c r="S322">
        <v>3.0438230000000002</v>
      </c>
      <c r="T322">
        <v>-6.7516919999999994E-2</v>
      </c>
      <c r="U322">
        <v>-2.8472899999999999E-2</v>
      </c>
      <c r="V322">
        <v>8.2358399999999998E-2</v>
      </c>
      <c r="W322">
        <v>0.13859939999999901</v>
      </c>
      <c r="X322">
        <v>0.98691810000000002</v>
      </c>
      <c r="Y322">
        <v>1.045044E-2</v>
      </c>
      <c r="Z322">
        <v>-1.4027049999999999E-4</v>
      </c>
      <c r="AA322">
        <v>0.99994539999999998</v>
      </c>
      <c r="AB322">
        <v>28</v>
      </c>
      <c r="AC322">
        <v>49.701300000000003</v>
      </c>
      <c r="AD322">
        <v>-1.1089532787650001</v>
      </c>
      <c r="AE322">
        <v>-0.46749999999997199</v>
      </c>
      <c r="AF322">
        <v>0.521882547386888</v>
      </c>
      <c r="AG322">
        <v>-1.1089532787650001</v>
      </c>
      <c r="AH322">
        <v>49.676027388664103</v>
      </c>
      <c r="AI322">
        <v>91.278771471359903</v>
      </c>
      <c r="AJ322">
        <v>89.398088596711503</v>
      </c>
      <c r="AK322">
        <v>49.691144441309198</v>
      </c>
      <c r="AL322">
        <v>82.033192476674202</v>
      </c>
      <c r="AM322">
        <v>85.229715090927002</v>
      </c>
      <c r="AN322">
        <v>1.0000000179192601</v>
      </c>
    </row>
    <row r="323" spans="1:40" x14ac:dyDescent="0.25">
      <c r="A323" t="str">
        <f>"20190312164000133"</f>
        <v>20190312164000133</v>
      </c>
      <c r="B323" t="str">
        <f>"1552380000127167"</f>
        <v>1552380000127167</v>
      </c>
      <c r="C323" t="s">
        <v>40</v>
      </c>
      <c r="D323">
        <v>5.064934</v>
      </c>
      <c r="E323">
        <v>0.47370180000000001</v>
      </c>
      <c r="F323" t="s">
        <v>43</v>
      </c>
      <c r="G323">
        <v>-411.2799</v>
      </c>
      <c r="H323">
        <v>-0.05</v>
      </c>
      <c r="I323">
        <v>368.3956</v>
      </c>
      <c r="J323">
        <v>-444.70170000000002</v>
      </c>
      <c r="K323">
        <v>1.108948</v>
      </c>
      <c r="L323">
        <v>368.5274</v>
      </c>
      <c r="M323">
        <v>0.99997480000000005</v>
      </c>
      <c r="N323">
        <v>0</v>
      </c>
      <c r="O323">
        <v>3.2747180000000002E-4</v>
      </c>
      <c r="P323">
        <v>0.98808530000000006</v>
      </c>
      <c r="Q323">
        <v>0.131469</v>
      </c>
      <c r="R323">
        <v>-8.002273E-2</v>
      </c>
      <c r="S323">
        <v>3.0495610000000002</v>
      </c>
      <c r="T323">
        <v>-0.10483870000000001</v>
      </c>
      <c r="U323">
        <v>-1.196289E-2</v>
      </c>
      <c r="V323">
        <v>8.0539490000000005E-2</v>
      </c>
      <c r="W323">
        <v>0.1383566</v>
      </c>
      <c r="X323">
        <v>0.98710220000000004</v>
      </c>
      <c r="Y323">
        <v>4.2475689999999997E-3</v>
      </c>
      <c r="Z323" s="1">
        <v>-8.424513E-5</v>
      </c>
      <c r="AA323">
        <v>0.99999099999999996</v>
      </c>
      <c r="AB323">
        <v>28</v>
      </c>
      <c r="AC323">
        <v>33.421799999999998</v>
      </c>
      <c r="AD323">
        <v>-1.1589479999999901</v>
      </c>
      <c r="AE323">
        <v>-0.131799999999998</v>
      </c>
      <c r="AF323">
        <v>0.14257352981499599</v>
      </c>
      <c r="AG323">
        <v>-1.1589479999999901</v>
      </c>
      <c r="AH323">
        <v>33.381615835168702</v>
      </c>
      <c r="AI323">
        <v>91.9883867881138</v>
      </c>
      <c r="AJ323">
        <v>89.755290100440106</v>
      </c>
      <c r="AK323">
        <v>33.402032325068099</v>
      </c>
      <c r="AL323">
        <v>82.047238727192195</v>
      </c>
      <c r="AM323">
        <v>85.335464270819799</v>
      </c>
      <c r="AN323">
        <v>0.99999995572892897</v>
      </c>
    </row>
    <row r="324" spans="1:40" x14ac:dyDescent="0.25">
      <c r="A324" t="str">
        <f>"20190312164000156"</f>
        <v>20190312164000156</v>
      </c>
      <c r="B324" t="str">
        <f>"1552380000146687"</f>
        <v>1552380000146687</v>
      </c>
      <c r="C324" t="s">
        <v>40</v>
      </c>
      <c r="D324">
        <v>5.0254009999999996</v>
      </c>
      <c r="E324">
        <v>0.4738272</v>
      </c>
      <c r="F324" t="s">
        <v>43</v>
      </c>
      <c r="G324">
        <v>-413.01280000000003</v>
      </c>
      <c r="H324">
        <v>-0.05</v>
      </c>
      <c r="I324">
        <v>368.46179999999998</v>
      </c>
      <c r="J324">
        <v>-444.42320000000001</v>
      </c>
      <c r="K324">
        <v>1.1089469999999999</v>
      </c>
      <c r="L324">
        <v>368.52679999999998</v>
      </c>
      <c r="M324">
        <v>0.99997480000000005</v>
      </c>
      <c r="N324">
        <v>0</v>
      </c>
      <c r="O324">
        <v>-4.1338889999999997E-4</v>
      </c>
      <c r="P324">
        <v>0.98812359999999999</v>
      </c>
      <c r="Q324">
        <v>0.13168060000000001</v>
      </c>
      <c r="R324">
        <v>-7.9199459999999999E-2</v>
      </c>
      <c r="S324">
        <v>3.0505369999999998</v>
      </c>
      <c r="T324">
        <v>-0.1115664</v>
      </c>
      <c r="U324">
        <v>-6.3171390000000003E-3</v>
      </c>
      <c r="V324">
        <v>7.89855E-2</v>
      </c>
      <c r="W324">
        <v>0.13858570000000001</v>
      </c>
      <c r="X324">
        <v>0.98719570000000001</v>
      </c>
      <c r="Y324">
        <v>1.6565939999999999E-3</v>
      </c>
      <c r="Z324" s="1">
        <v>-1.516886E-5</v>
      </c>
      <c r="AA324">
        <v>0.99999859999999896</v>
      </c>
      <c r="AB324">
        <v>28</v>
      </c>
      <c r="AC324">
        <v>31.4103999999999</v>
      </c>
      <c r="AD324">
        <v>-1.1589469999999999</v>
      </c>
      <c r="AE324">
        <v>-6.4999999999997699E-2</v>
      </c>
      <c r="AF324">
        <v>5.19442419399797E-2</v>
      </c>
      <c r="AG324">
        <v>-1.1589469999999999</v>
      </c>
      <c r="AH324">
        <v>31.367720898255499</v>
      </c>
      <c r="AI324">
        <v>92.115948766156095</v>
      </c>
      <c r="AJ324">
        <v>89.905119561528494</v>
      </c>
      <c r="AK324">
        <v>31.389166454430299</v>
      </c>
      <c r="AL324">
        <v>82.0339851568814</v>
      </c>
      <c r="AM324">
        <v>85.425511038640494</v>
      </c>
      <c r="AN324">
        <v>1.0000000277766099</v>
      </c>
    </row>
    <row r="325" spans="1:40" x14ac:dyDescent="0.25">
      <c r="A325" t="str">
        <f>"20190312164000177"</f>
        <v>20190312164000177</v>
      </c>
      <c r="B325" t="str">
        <f>"1552380000167187"</f>
        <v>1552380000167187</v>
      </c>
      <c r="C325" t="s">
        <v>40</v>
      </c>
      <c r="D325">
        <v>4.9081169999999998</v>
      </c>
      <c r="E325">
        <v>0.4741417</v>
      </c>
      <c r="F325" t="s">
        <v>43</v>
      </c>
      <c r="G325">
        <v>-412.66449999999998</v>
      </c>
      <c r="H325">
        <v>-0.05</v>
      </c>
      <c r="I325">
        <v>368.47019999999998</v>
      </c>
      <c r="J325">
        <v>-444.1431</v>
      </c>
      <c r="K325">
        <v>1.1089450000000001</v>
      </c>
      <c r="L325">
        <v>368.52589999999998</v>
      </c>
      <c r="M325">
        <v>0.99997409999999998</v>
      </c>
      <c r="N325">
        <v>0</v>
      </c>
      <c r="O325">
        <v>-1.1571140000000001E-3</v>
      </c>
      <c r="P325">
        <v>0.98822840000000001</v>
      </c>
      <c r="Q325">
        <v>0.1315672</v>
      </c>
      <c r="R325">
        <v>-7.8070890000000004E-2</v>
      </c>
      <c r="S325">
        <v>3.0504150000000001</v>
      </c>
      <c r="T325">
        <v>-0.1113166</v>
      </c>
      <c r="U325">
        <v>-5.432129E-3</v>
      </c>
      <c r="V325">
        <v>7.7123049999999999E-2</v>
      </c>
      <c r="W325">
        <v>0.1384917</v>
      </c>
      <c r="X325">
        <v>0.98735609999999996</v>
      </c>
      <c r="Y325">
        <v>6.2399319999999995E-4</v>
      </c>
      <c r="Z325" s="1">
        <v>3.0830999999999997E-5</v>
      </c>
      <c r="AA325">
        <v>0.99999979999999999</v>
      </c>
      <c r="AB325">
        <v>28</v>
      </c>
      <c r="AC325">
        <v>31.4786</v>
      </c>
      <c r="AD325">
        <v>-1.1589449999999999</v>
      </c>
      <c r="AE325">
        <v>-5.5700000000001602E-2</v>
      </c>
      <c r="AF325">
        <v>1.9248623774592799E-2</v>
      </c>
      <c r="AG325">
        <v>-1.1589449999999999</v>
      </c>
      <c r="AH325">
        <v>31.436032429643198</v>
      </c>
      <c r="AI325">
        <v>92.111353762485393</v>
      </c>
      <c r="AJ325">
        <v>89.964917176862002</v>
      </c>
      <c r="AK325">
        <v>31.4573943444164</v>
      </c>
      <c r="AL325">
        <v>82.039423114299495</v>
      </c>
      <c r="AM325">
        <v>85.533656805262197</v>
      </c>
      <c r="AN325">
        <v>0.99999999200870104</v>
      </c>
    </row>
    <row r="326" spans="1:40" x14ac:dyDescent="0.25">
      <c r="A326" t="str">
        <f>"20190312164000199"</f>
        <v>20190312164000199</v>
      </c>
      <c r="B326" t="str">
        <f>"1552380000196462"</f>
        <v>1552380000196462</v>
      </c>
      <c r="C326" t="s">
        <v>40</v>
      </c>
      <c r="D326">
        <v>5.0858220000000003</v>
      </c>
      <c r="E326">
        <v>0.47440569999999999</v>
      </c>
      <c r="F326" t="s">
        <v>43</v>
      </c>
      <c r="G326">
        <v>-412.93549999999999</v>
      </c>
      <c r="H326">
        <v>-0.05</v>
      </c>
      <c r="I326">
        <v>368.48</v>
      </c>
      <c r="J326">
        <v>-443.87389999999999</v>
      </c>
      <c r="K326">
        <v>1.1089420000000001</v>
      </c>
      <c r="L326">
        <v>368.52480000000003</v>
      </c>
      <c r="M326">
        <v>0.9999728</v>
      </c>
      <c r="N326">
        <v>0</v>
      </c>
      <c r="O326">
        <v>-1.8703229999999999E-3</v>
      </c>
      <c r="P326">
        <v>0.98840170000000005</v>
      </c>
      <c r="Q326">
        <v>0.1311426</v>
      </c>
      <c r="R326">
        <v>-7.6574589999999998E-2</v>
      </c>
      <c r="S326">
        <v>3.0505070000000001</v>
      </c>
      <c r="T326">
        <v>-0.1132855</v>
      </c>
      <c r="U326">
        <v>-4.4860840000000004E-3</v>
      </c>
      <c r="V326">
        <v>7.4921929999999998E-2</v>
      </c>
      <c r="W326">
        <v>0.13808879999999901</v>
      </c>
      <c r="X326">
        <v>0.98758199999999996</v>
      </c>
      <c r="Y326">
        <v>-3.9820559999999999E-4</v>
      </c>
      <c r="Z326" s="1">
        <v>7.6826689999999993E-5</v>
      </c>
      <c r="AA326">
        <v>0.99999990000000005</v>
      </c>
      <c r="AB326">
        <v>28</v>
      </c>
      <c r="AC326">
        <v>30.938400000000001</v>
      </c>
      <c r="AD326">
        <v>-1.1589419999999999</v>
      </c>
      <c r="AE326">
        <v>-4.4800000000009201E-2</v>
      </c>
      <c r="AF326">
        <v>-1.30480428955631E-2</v>
      </c>
      <c r="AG326">
        <v>-1.1589419999999999</v>
      </c>
      <c r="AH326">
        <v>30.895076984420601</v>
      </c>
      <c r="AI326">
        <v>92.148282695207001</v>
      </c>
      <c r="AJ326">
        <v>90.0241979569997</v>
      </c>
      <c r="AK326">
        <v>30.916809322503799</v>
      </c>
      <c r="AL326">
        <v>82.062731677262605</v>
      </c>
      <c r="AM326">
        <v>85.661622673632095</v>
      </c>
      <c r="AN326">
        <v>1.0000000095021799</v>
      </c>
    </row>
    <row r="327" spans="1:40" x14ac:dyDescent="0.25">
      <c r="A327" t="str">
        <f>"20190312164000221"</f>
        <v>20190312164000221</v>
      </c>
      <c r="B327" t="str">
        <f>"1552380000216958"</f>
        <v>1552380000216958</v>
      </c>
      <c r="C327" t="s">
        <v>40</v>
      </c>
      <c r="D327">
        <v>4.9291299999999998</v>
      </c>
      <c r="E327">
        <v>0.47502169999999999</v>
      </c>
      <c r="F327" t="s">
        <v>43</v>
      </c>
      <c r="G327">
        <v>-414.7432</v>
      </c>
      <c r="H327">
        <v>-0.05</v>
      </c>
      <c r="I327">
        <v>368.51459999999997</v>
      </c>
      <c r="J327">
        <v>-443.58249999999998</v>
      </c>
      <c r="K327">
        <v>1.108932</v>
      </c>
      <c r="L327">
        <v>368.52350000000001</v>
      </c>
      <c r="M327">
        <v>0.9999709</v>
      </c>
      <c r="N327">
        <v>0</v>
      </c>
      <c r="O327">
        <v>-2.6412409999999999E-3</v>
      </c>
      <c r="P327">
        <v>0.9885178</v>
      </c>
      <c r="Q327">
        <v>0.13111979999999901</v>
      </c>
      <c r="R327">
        <v>-7.5100929999999996E-2</v>
      </c>
      <c r="S327">
        <v>3.0512700000000001</v>
      </c>
      <c r="T327">
        <v>-0.1213924</v>
      </c>
      <c r="U327">
        <v>-1.0681149999999999E-3</v>
      </c>
      <c r="V327">
        <v>7.2687160000000001E-2</v>
      </c>
      <c r="W327">
        <v>0.138089299999999</v>
      </c>
      <c r="X327">
        <v>0.98774890000000004</v>
      </c>
      <c r="Y327">
        <v>-2.287355E-3</v>
      </c>
      <c r="Z327">
        <v>1.5052299999999901E-4</v>
      </c>
      <c r="AA327">
        <v>0.99999740000000004</v>
      </c>
      <c r="AB327">
        <v>28</v>
      </c>
      <c r="AC327">
        <v>28.839299999999898</v>
      </c>
      <c r="AD327">
        <v>-1.1589320000000001</v>
      </c>
      <c r="AE327">
        <v>-8.9000000000396505E-3</v>
      </c>
      <c r="AF327">
        <v>-6.7165058505432002E-2</v>
      </c>
      <c r="AG327">
        <v>-1.1589320000000001</v>
      </c>
      <c r="AH327">
        <v>28.792725450238098</v>
      </c>
      <c r="AI327">
        <v>92.304953970191207</v>
      </c>
      <c r="AJ327">
        <v>90.133654155443296</v>
      </c>
      <c r="AK327">
        <v>28.816118291305202</v>
      </c>
      <c r="AL327">
        <v>82.062702546364505</v>
      </c>
      <c r="AM327">
        <v>85.791264168935598</v>
      </c>
      <c r="AN327">
        <v>0.99999998372728205</v>
      </c>
    </row>
    <row r="328" spans="1:40" x14ac:dyDescent="0.25">
      <c r="A328" t="str">
        <f>"20190312164000246"</f>
        <v>20190312164000246</v>
      </c>
      <c r="B328" t="str">
        <f>"1552380000236478"</f>
        <v>1552380000236478</v>
      </c>
      <c r="C328" t="s">
        <v>40</v>
      </c>
      <c r="D328">
        <v>4.978396</v>
      </c>
      <c r="E328">
        <v>0.47560609999999998</v>
      </c>
      <c r="F328" t="s">
        <v>43</v>
      </c>
      <c r="G328">
        <v>-414.69009999999997</v>
      </c>
      <c r="H328">
        <v>-0.05</v>
      </c>
      <c r="I328">
        <v>368.50259999999997</v>
      </c>
      <c r="J328">
        <v>-443.27199999999999</v>
      </c>
      <c r="K328">
        <v>1.108932</v>
      </c>
      <c r="L328">
        <v>368.52179999999998</v>
      </c>
      <c r="M328">
        <v>0.99996830000000003</v>
      </c>
      <c r="N328">
        <v>0</v>
      </c>
      <c r="O328">
        <v>-3.4599660000000001E-3</v>
      </c>
      <c r="P328">
        <v>0.9887397</v>
      </c>
      <c r="Q328">
        <v>0.13051460000000001</v>
      </c>
      <c r="R328">
        <v>-7.3211129999999999E-2</v>
      </c>
      <c r="S328">
        <v>3.0509029999999999</v>
      </c>
      <c r="T328">
        <v>-0.122378</v>
      </c>
      <c r="U328">
        <v>-2.1972659999999998E-3</v>
      </c>
      <c r="V328">
        <v>6.9987110000000005E-2</v>
      </c>
      <c r="W328">
        <v>0.137510299999999</v>
      </c>
      <c r="X328">
        <v>0.98802469999999998</v>
      </c>
      <c r="Y328">
        <v>-2.7348749999999999E-3</v>
      </c>
      <c r="Z328">
        <v>1.935625E-4</v>
      </c>
      <c r="AA328">
        <v>0.9999962</v>
      </c>
      <c r="AB328">
        <v>29</v>
      </c>
      <c r="AC328">
        <v>28.581900000000001</v>
      </c>
      <c r="AD328">
        <v>-1.1589320000000001</v>
      </c>
      <c r="AE328">
        <v>-1.9200000000011999E-2</v>
      </c>
      <c r="AF328">
        <v>-7.9564246973029398E-2</v>
      </c>
      <c r="AG328">
        <v>-1.1589320000000001</v>
      </c>
      <c r="AH328">
        <v>28.534880572639199</v>
      </c>
      <c r="AI328">
        <v>92.325756353418697</v>
      </c>
      <c r="AJ328">
        <v>90.159758290418395</v>
      </c>
      <c r="AK328">
        <v>28.558516473108298</v>
      </c>
      <c r="AL328">
        <v>82.096196802421105</v>
      </c>
      <c r="AM328">
        <v>85.948199198011395</v>
      </c>
      <c r="AN328">
        <v>1.00000004299116</v>
      </c>
    </row>
    <row r="329" spans="1:40" x14ac:dyDescent="0.25">
      <c r="A329" t="str">
        <f>"20190312164000268"</f>
        <v>20190312164000268</v>
      </c>
      <c r="B329" t="str">
        <f>"1552380000256974"</f>
        <v>1552380000256974</v>
      </c>
      <c r="C329" t="s">
        <v>40</v>
      </c>
      <c r="D329">
        <v>5.0714290000000002</v>
      </c>
      <c r="E329">
        <v>0.47575099999999998</v>
      </c>
      <c r="F329" t="s">
        <v>43</v>
      </c>
      <c r="G329">
        <v>-414.95679999999999</v>
      </c>
      <c r="H329">
        <v>-0.05</v>
      </c>
      <c r="I329">
        <v>368.51220000000001</v>
      </c>
      <c r="J329">
        <v>-442.99040000000002</v>
      </c>
      <c r="K329">
        <v>1.108922</v>
      </c>
      <c r="L329">
        <v>368.52010000000001</v>
      </c>
      <c r="M329">
        <v>0.99996529999999995</v>
      </c>
      <c r="N329">
        <v>0</v>
      </c>
      <c r="O329">
        <v>-4.194494E-3</v>
      </c>
      <c r="P329">
        <v>0.98897409999999997</v>
      </c>
      <c r="Q329">
        <v>0.12986049999999999</v>
      </c>
      <c r="R329">
        <v>-7.1181220000000003E-2</v>
      </c>
      <c r="S329">
        <v>3.0505680000000002</v>
      </c>
      <c r="T329">
        <v>-0.1248591</v>
      </c>
      <c r="U329">
        <v>-1.037598E-3</v>
      </c>
      <c r="V329">
        <v>6.722881E-2</v>
      </c>
      <c r="W329">
        <v>0.13688400000000001</v>
      </c>
      <c r="X329">
        <v>0.98830309999999999</v>
      </c>
      <c r="Y329">
        <v>-3.8477400000000001E-3</v>
      </c>
      <c r="Z329">
        <v>2.5032260000000002E-4</v>
      </c>
      <c r="AA329">
        <v>0.99999249999999995</v>
      </c>
      <c r="AB329">
        <v>29</v>
      </c>
      <c r="AC329">
        <v>28.0336</v>
      </c>
      <c r="AD329">
        <v>-1.158922</v>
      </c>
      <c r="AE329">
        <v>-7.9000000000064505E-3</v>
      </c>
      <c r="AF329">
        <v>-0.109502738534036</v>
      </c>
      <c r="AG329">
        <v>-1.158922</v>
      </c>
      <c r="AH329">
        <v>27.985558251864699</v>
      </c>
      <c r="AI329">
        <v>92.371327132270693</v>
      </c>
      <c r="AJ329">
        <v>90.224187514428294</v>
      </c>
      <c r="AK329">
        <v>28.009758330273801</v>
      </c>
      <c r="AL329">
        <v>82.132423219134793</v>
      </c>
      <c r="AM329">
        <v>86.108479133640898</v>
      </c>
      <c r="AN329">
        <v>0.99999997990981204</v>
      </c>
    </row>
    <row r="330" spans="1:40" x14ac:dyDescent="0.25">
      <c r="A330" t="str">
        <f>"20190312164000289"</f>
        <v>20190312164000289</v>
      </c>
      <c r="B330" t="str">
        <f>"1552380000276498"</f>
        <v>1552380000276498</v>
      </c>
      <c r="C330" t="s">
        <v>40</v>
      </c>
      <c r="D330">
        <v>5.1151549999999997</v>
      </c>
      <c r="E330">
        <v>0.47590300000000002</v>
      </c>
      <c r="F330" t="s">
        <v>43</v>
      </c>
      <c r="G330">
        <v>-414.90269999999998</v>
      </c>
      <c r="H330">
        <v>-0.05</v>
      </c>
      <c r="I330">
        <v>368.55489999999998</v>
      </c>
      <c r="J330">
        <v>-442.72449999999998</v>
      </c>
      <c r="K330">
        <v>1.1089249999999999</v>
      </c>
      <c r="L330">
        <v>368.51830000000001</v>
      </c>
      <c r="M330">
        <v>0.99996209999999996</v>
      </c>
      <c r="N330">
        <v>0</v>
      </c>
      <c r="O330">
        <v>-4.8740279999999999E-3</v>
      </c>
      <c r="P330">
        <v>0.98910889999999996</v>
      </c>
      <c r="Q330">
        <v>0.12992670000000001</v>
      </c>
      <c r="R330">
        <v>-6.9158129999999998E-2</v>
      </c>
      <c r="S330">
        <v>3.0502319999999998</v>
      </c>
      <c r="T330">
        <v>-0.1258552</v>
      </c>
      <c r="U330">
        <v>3.7841799999999998E-3</v>
      </c>
      <c r="V330">
        <v>6.4531050000000006E-2</v>
      </c>
      <c r="W330">
        <v>0.136980399999999</v>
      </c>
      <c r="X330">
        <v>0.98846959999999995</v>
      </c>
      <c r="Y330">
        <v>-6.105414E-3</v>
      </c>
      <c r="Z330">
        <v>3.2692950000000001E-4</v>
      </c>
      <c r="AA330">
        <v>0.99998129999999996</v>
      </c>
      <c r="AB330">
        <v>29</v>
      </c>
      <c r="AC330">
        <v>27.8218</v>
      </c>
      <c r="AD330">
        <v>-1.158925</v>
      </c>
      <c r="AE330">
        <v>3.6599999999964397E-2</v>
      </c>
      <c r="AF330">
        <v>-0.17190903653189801</v>
      </c>
      <c r="AG330">
        <v>-1.158925</v>
      </c>
      <c r="AH330">
        <v>27.773100351745299</v>
      </c>
      <c r="AI330">
        <v>92.389425028219506</v>
      </c>
      <c r="AJ330">
        <v>90.3546430301557</v>
      </c>
      <c r="AK330">
        <v>27.7978014062368</v>
      </c>
      <c r="AL330">
        <v>82.126847687720797</v>
      </c>
      <c r="AM330">
        <v>86.264814290764903</v>
      </c>
      <c r="AN330">
        <v>1.0000000182612101</v>
      </c>
    </row>
    <row r="331" spans="1:40" x14ac:dyDescent="0.25">
      <c r="A331" t="str">
        <f>"20190312164000311"</f>
        <v>20190312164000311</v>
      </c>
      <c r="B331" t="str">
        <f>"1552380000306751"</f>
        <v>1552380000306751</v>
      </c>
      <c r="C331" t="s">
        <v>40</v>
      </c>
      <c r="D331">
        <v>4.9219549999999996</v>
      </c>
      <c r="E331">
        <v>0.47623840000000001</v>
      </c>
      <c r="F331" t="s">
        <v>43</v>
      </c>
      <c r="G331">
        <v>-414.4984</v>
      </c>
      <c r="H331">
        <v>-0.05</v>
      </c>
      <c r="I331">
        <v>368.59820000000002</v>
      </c>
      <c r="J331">
        <v>-442.43189999999998</v>
      </c>
      <c r="K331">
        <v>1.1089469999999999</v>
      </c>
      <c r="L331">
        <v>368.51609999999999</v>
      </c>
      <c r="M331">
        <v>0.99995809999999996</v>
      </c>
      <c r="N331">
        <v>0</v>
      </c>
      <c r="O331">
        <v>-5.5988089999999997E-3</v>
      </c>
      <c r="P331">
        <v>0.98927989999999999</v>
      </c>
      <c r="Q331">
        <v>0.1299555</v>
      </c>
      <c r="R331">
        <v>-6.661272E-2</v>
      </c>
      <c r="S331">
        <v>3.0500790000000002</v>
      </c>
      <c r="T331">
        <v>-0.12523199999999901</v>
      </c>
      <c r="U331">
        <v>8.6364749999999994E-3</v>
      </c>
      <c r="V331">
        <v>6.1263390000000001E-2</v>
      </c>
      <c r="W331">
        <v>0.13704649999999999</v>
      </c>
      <c r="X331">
        <v>0.98866830000000006</v>
      </c>
      <c r="Y331">
        <v>-8.4186239999999996E-3</v>
      </c>
      <c r="Z331">
        <v>4.0254279999999998E-4</v>
      </c>
      <c r="AA331">
        <v>0.99996450000000003</v>
      </c>
      <c r="AB331">
        <v>29</v>
      </c>
      <c r="AC331">
        <v>27.933499999999899</v>
      </c>
      <c r="AD331">
        <v>-1.1589469999999999</v>
      </c>
      <c r="AE331">
        <v>8.2100000000025306E-2</v>
      </c>
      <c r="AF331">
        <v>-0.23808731116879001</v>
      </c>
      <c r="AG331">
        <v>-1.1589469999999999</v>
      </c>
      <c r="AH331">
        <v>27.884602939633801</v>
      </c>
      <c r="AI331">
        <v>92.379885421192796</v>
      </c>
      <c r="AJ331">
        <v>90.489197089569501</v>
      </c>
      <c r="AK331">
        <v>27.909692309618599</v>
      </c>
      <c r="AL331">
        <v>82.123024050969505</v>
      </c>
      <c r="AM331">
        <v>86.454168348447993</v>
      </c>
      <c r="AN331">
        <v>0.99999997677071495</v>
      </c>
    </row>
    <row r="332" spans="1:40" x14ac:dyDescent="0.25">
      <c r="A332" t="str">
        <f>"20190312164000334"</f>
        <v>20190312164000334</v>
      </c>
      <c r="B332" t="str">
        <f>"1552380000326271"</f>
        <v>1552380000326271</v>
      </c>
      <c r="C332" t="s">
        <v>40</v>
      </c>
      <c r="D332">
        <v>4.9031520000000004</v>
      </c>
      <c r="E332">
        <v>0.4765046</v>
      </c>
      <c r="F332" t="s">
        <v>43</v>
      </c>
      <c r="G332">
        <v>-413.98910000000001</v>
      </c>
      <c r="H332">
        <v>-0.05</v>
      </c>
      <c r="I332">
        <v>368.63929999999999</v>
      </c>
      <c r="J332">
        <v>-442.13659999999999</v>
      </c>
      <c r="K332">
        <v>1.108975</v>
      </c>
      <c r="L332">
        <v>368.5138</v>
      </c>
      <c r="M332">
        <v>0.9999536</v>
      </c>
      <c r="N332">
        <v>0</v>
      </c>
      <c r="O332">
        <v>-6.2957350000000002E-3</v>
      </c>
      <c r="P332">
        <v>0.98939529999999998</v>
      </c>
      <c r="Q332">
        <v>0.1300915</v>
      </c>
      <c r="R332">
        <v>-6.4598870000000003E-2</v>
      </c>
      <c r="S332">
        <v>3.0497130000000001</v>
      </c>
      <c r="T332">
        <v>-0.1242656</v>
      </c>
      <c r="U332">
        <v>1.3214109999999999E-2</v>
      </c>
      <c r="V332">
        <v>5.855279E-2</v>
      </c>
      <c r="W332">
        <v>0.13722219999999999</v>
      </c>
      <c r="X332">
        <v>0.98880820000000003</v>
      </c>
      <c r="Y332">
        <v>-1.061459E-2</v>
      </c>
      <c r="Z332">
        <v>4.7259249999999999E-4</v>
      </c>
      <c r="AA332">
        <v>0.99994360000000004</v>
      </c>
      <c r="AB332">
        <v>29</v>
      </c>
      <c r="AC332">
        <v>28.147499999999901</v>
      </c>
      <c r="AD332">
        <v>-1.1589750000000001</v>
      </c>
      <c r="AE332">
        <v>0.12549999999998801</v>
      </c>
      <c r="AF332">
        <v>-0.30219909033675701</v>
      </c>
      <c r="AG332">
        <v>-1.1589750000000001</v>
      </c>
      <c r="AH332">
        <v>28.098515128124301</v>
      </c>
      <c r="AI332">
        <v>92.361794655560004</v>
      </c>
      <c r="AJ332">
        <v>90.616191454238702</v>
      </c>
      <c r="AK332">
        <v>28.124030645450802</v>
      </c>
      <c r="AL332">
        <v>82.112861422911806</v>
      </c>
      <c r="AM332">
        <v>86.611157992579606</v>
      </c>
      <c r="AN332">
        <v>1.00000000888843</v>
      </c>
    </row>
    <row r="333" spans="1:40" x14ac:dyDescent="0.25">
      <c r="A333" t="str">
        <f>"20190312164000356"</f>
        <v>20190312164000356</v>
      </c>
      <c r="B333" t="str">
        <f>"1552380000346766"</f>
        <v>1552380000346766</v>
      </c>
      <c r="C333" t="s">
        <v>40</v>
      </c>
      <c r="D333">
        <v>4.884506</v>
      </c>
      <c r="E333">
        <v>0.47676679999999999</v>
      </c>
      <c r="F333" t="s">
        <v>43</v>
      </c>
      <c r="G333">
        <v>-413.45589999999999</v>
      </c>
      <c r="H333">
        <v>-0.05</v>
      </c>
      <c r="I333">
        <v>368.67450000000002</v>
      </c>
      <c r="J333">
        <v>-441.84840000000003</v>
      </c>
      <c r="K333">
        <v>1.109013</v>
      </c>
      <c r="L333">
        <v>368.51130000000001</v>
      </c>
      <c r="M333">
        <v>0.99994930000000004</v>
      </c>
      <c r="N333">
        <v>0</v>
      </c>
      <c r="O333">
        <v>-6.930103E-3</v>
      </c>
      <c r="P333">
        <v>0.98945459999999996</v>
      </c>
      <c r="Q333">
        <v>0.1306272</v>
      </c>
      <c r="R333">
        <v>-6.2579019999999999E-2</v>
      </c>
      <c r="S333">
        <v>3.0495299999999999</v>
      </c>
      <c r="T333">
        <v>-0.1232303</v>
      </c>
      <c r="U333">
        <v>1.7089839999999999E-2</v>
      </c>
      <c r="V333">
        <v>5.5895359999999998E-2</v>
      </c>
      <c r="W333">
        <v>0.13779739999999999</v>
      </c>
      <c r="X333">
        <v>0.98888200000000004</v>
      </c>
      <c r="Y333">
        <v>-1.251817E-2</v>
      </c>
      <c r="Z333">
        <v>5.3275570000000001E-4</v>
      </c>
      <c r="AA333">
        <v>0.99992150000000002</v>
      </c>
      <c r="AB333">
        <v>29</v>
      </c>
      <c r="AC333">
        <v>28.392499999999998</v>
      </c>
      <c r="AD333">
        <v>-1.1590129999999901</v>
      </c>
      <c r="AE333">
        <v>0.163200000000017</v>
      </c>
      <c r="AF333">
        <v>-0.35936546799607599</v>
      </c>
      <c r="AG333">
        <v>-1.1590129999999901</v>
      </c>
      <c r="AH333">
        <v>28.3434582381852</v>
      </c>
      <c r="AI333">
        <v>92.341430894637796</v>
      </c>
      <c r="AJ333">
        <v>90.726411760487295</v>
      </c>
      <c r="AK333">
        <v>28.3694215586696</v>
      </c>
      <c r="AL333">
        <v>82.079588841434798</v>
      </c>
      <c r="AM333">
        <v>86.7648677237882</v>
      </c>
      <c r="AN333">
        <v>1.00000001232014</v>
      </c>
    </row>
    <row r="334" spans="1:40" x14ac:dyDescent="0.25">
      <c r="A334" t="str">
        <f>"20190312164000377"</f>
        <v>20190312164000377</v>
      </c>
      <c r="B334" t="str">
        <f>"1552380000366290"</f>
        <v>1552380000366290</v>
      </c>
      <c r="C334" t="s">
        <v>40</v>
      </c>
      <c r="D334">
        <v>4.8155260000000002</v>
      </c>
      <c r="E334">
        <v>0.47695739999999998</v>
      </c>
      <c r="F334" t="s">
        <v>43</v>
      </c>
      <c r="G334">
        <v>-412.67129999999997</v>
      </c>
      <c r="H334">
        <v>-0.05</v>
      </c>
      <c r="I334">
        <v>368.71620000000001</v>
      </c>
      <c r="J334">
        <v>-441.56950000000001</v>
      </c>
      <c r="K334">
        <v>1.1090580000000001</v>
      </c>
      <c r="L334">
        <v>368.50880000000001</v>
      </c>
      <c r="M334">
        <v>0.99994499999999997</v>
      </c>
      <c r="N334">
        <v>0</v>
      </c>
      <c r="O334">
        <v>-7.4878459999999899E-3</v>
      </c>
      <c r="P334">
        <v>0.98946049999999997</v>
      </c>
      <c r="Q334">
        <v>0.131382</v>
      </c>
      <c r="R334">
        <v>-6.0886030000000001E-2</v>
      </c>
      <c r="S334">
        <v>3.049347</v>
      </c>
      <c r="T334">
        <v>-0.12113019999999999</v>
      </c>
      <c r="U334">
        <v>2.1423339999999999E-2</v>
      </c>
      <c r="V334">
        <v>5.3638030000000003E-2</v>
      </c>
      <c r="W334">
        <v>0.13859089999999999</v>
      </c>
      <c r="X334">
        <v>0.98889609999999994</v>
      </c>
      <c r="Y334">
        <v>-1.449571E-2</v>
      </c>
      <c r="Z334">
        <v>5.851211E-4</v>
      </c>
      <c r="AA334">
        <v>0.99989470000000003</v>
      </c>
      <c r="AB334">
        <v>29</v>
      </c>
      <c r="AC334">
        <v>28.898199999999999</v>
      </c>
      <c r="AD334">
        <v>-1.1590579999999999</v>
      </c>
      <c r="AE334">
        <v>0.207400000000006</v>
      </c>
      <c r="AF334">
        <v>-0.423104688051408</v>
      </c>
      <c r="AG334">
        <v>-1.1590579999999999</v>
      </c>
      <c r="AH334">
        <v>28.849429780856301</v>
      </c>
      <c r="AI334">
        <v>92.300437359696403</v>
      </c>
      <c r="AJ334">
        <v>90.840237579851902</v>
      </c>
      <c r="AK334">
        <v>28.875803568125502</v>
      </c>
      <c r="AL334">
        <v>82.033683982461795</v>
      </c>
      <c r="AM334">
        <v>86.895301517544496</v>
      </c>
      <c r="AN334">
        <v>0.99999998621014996</v>
      </c>
    </row>
    <row r="335" spans="1:40" x14ac:dyDescent="0.25">
      <c r="A335" t="str">
        <f>"20190312164000400"</f>
        <v>20190312164000400</v>
      </c>
      <c r="B335" t="str">
        <f>"1552380000396543"</f>
        <v>1552380000396543</v>
      </c>
      <c r="C335" t="s">
        <v>40</v>
      </c>
      <c r="D335">
        <v>4.8785129999999999</v>
      </c>
      <c r="E335">
        <v>0.4773753</v>
      </c>
      <c r="F335" t="s">
        <v>43</v>
      </c>
      <c r="G335">
        <v>-412.72820000000002</v>
      </c>
      <c r="H335">
        <v>-0.05</v>
      </c>
      <c r="I335">
        <v>368.75209999999998</v>
      </c>
      <c r="J335">
        <v>-441.279</v>
      </c>
      <c r="K335">
        <v>1.1090930000000001</v>
      </c>
      <c r="L335">
        <v>368.50599999999997</v>
      </c>
      <c r="M335">
        <v>0.99994119999999997</v>
      </c>
      <c r="N335">
        <v>0</v>
      </c>
      <c r="O335">
        <v>-7.9941270000000002E-3</v>
      </c>
      <c r="P335">
        <v>0.98946889999999998</v>
      </c>
      <c r="Q335">
        <v>0.13191910000000001</v>
      </c>
      <c r="R335">
        <v>-5.957221E-2</v>
      </c>
      <c r="S335">
        <v>3.0497740000000002</v>
      </c>
      <c r="T335">
        <v>-0.1225625</v>
      </c>
      <c r="U335">
        <v>2.572632E-2</v>
      </c>
      <c r="V335">
        <v>5.1806459999999999E-2</v>
      </c>
      <c r="W335">
        <v>0.1391193</v>
      </c>
      <c r="X335">
        <v>0.98891960000000001</v>
      </c>
      <c r="Y335">
        <v>-1.6409279999999998E-2</v>
      </c>
      <c r="Z335">
        <v>6.5072090000000001E-4</v>
      </c>
      <c r="AA335">
        <v>0.99986520000000001</v>
      </c>
      <c r="AB335">
        <v>29</v>
      </c>
      <c r="AC335">
        <v>28.550799999999899</v>
      </c>
      <c r="AD335">
        <v>-1.1590929999999999</v>
      </c>
      <c r="AE335">
        <v>0.246100000000012</v>
      </c>
      <c r="AF335">
        <v>-0.47355654422721499</v>
      </c>
      <c r="AG335">
        <v>-1.1590929999999999</v>
      </c>
      <c r="AH335">
        <v>28.500949540784099</v>
      </c>
      <c r="AI335">
        <v>92.328533293749899</v>
      </c>
      <c r="AJ335">
        <v>90.9519084561163</v>
      </c>
      <c r="AK335">
        <v>28.528439794519901</v>
      </c>
      <c r="AL335">
        <v>82.003113108580294</v>
      </c>
      <c r="AM335">
        <v>87.001191412733206</v>
      </c>
      <c r="AN335">
        <v>1.00000003209719</v>
      </c>
    </row>
    <row r="336" spans="1:40" x14ac:dyDescent="0.25">
      <c r="A336" t="str">
        <f>"20190312164000423"</f>
        <v>20190312164000423</v>
      </c>
      <c r="B336" t="str">
        <f>"1552380000416819"</f>
        <v>1552380000416819</v>
      </c>
      <c r="C336" t="s">
        <v>40</v>
      </c>
      <c r="D336">
        <v>4.8544960000000001</v>
      </c>
      <c r="E336">
        <v>0.47754770000000002</v>
      </c>
      <c r="F336" t="s">
        <v>43</v>
      </c>
      <c r="G336">
        <v>-412.55700000000002</v>
      </c>
      <c r="H336">
        <v>-0.05</v>
      </c>
      <c r="I336">
        <v>368.75599999999997</v>
      </c>
      <c r="J336">
        <v>-440.96960000000001</v>
      </c>
      <c r="K336">
        <v>1.1089469999999999</v>
      </c>
      <c r="L336">
        <v>368.50310000000002</v>
      </c>
      <c r="M336">
        <v>0.99994150000000004</v>
      </c>
      <c r="N336">
        <v>0</v>
      </c>
      <c r="O336">
        <v>-8.4634199999999993E-3</v>
      </c>
      <c r="P336">
        <v>0.98940240000000002</v>
      </c>
      <c r="Q336">
        <v>0.13311809999999999</v>
      </c>
      <c r="R336">
        <v>-5.7987839999999999E-2</v>
      </c>
      <c r="S336">
        <v>3.0499269999999998</v>
      </c>
      <c r="T336">
        <v>-0.1230816</v>
      </c>
      <c r="U336">
        <v>2.6550290000000001E-2</v>
      </c>
      <c r="V336">
        <v>4.9740949999999999E-2</v>
      </c>
      <c r="W336">
        <v>0.13973969999999999</v>
      </c>
      <c r="X336">
        <v>0.98893819999999999</v>
      </c>
      <c r="Y336">
        <v>-1.7147030000000001E-2</v>
      </c>
      <c r="Z336">
        <v>6.8725049999999999E-4</v>
      </c>
      <c r="AA336">
        <v>0.99985270000000004</v>
      </c>
      <c r="AB336">
        <v>29</v>
      </c>
      <c r="AC336">
        <v>28.412600000000001</v>
      </c>
      <c r="AD336">
        <v>-1.1589469999999999</v>
      </c>
      <c r="AE336">
        <v>0.25289999999995399</v>
      </c>
      <c r="AF336">
        <v>-0.49254472513512598</v>
      </c>
      <c r="AG336">
        <v>-1.1589469999999999</v>
      </c>
      <c r="AH336">
        <v>28.362256072071801</v>
      </c>
      <c r="AI336">
        <v>92.339583153122106</v>
      </c>
      <c r="AJ336">
        <v>90.994910187309102</v>
      </c>
      <c r="AK336">
        <v>28.390197744165899</v>
      </c>
      <c r="AL336">
        <v>81.967216348484001</v>
      </c>
      <c r="AM336">
        <v>87.120601812939796</v>
      </c>
      <c r="AN336">
        <v>1.0000000546411101</v>
      </c>
    </row>
    <row r="337" spans="1:40" x14ac:dyDescent="0.25">
      <c r="A337" t="str">
        <f>"20190312164000448"</f>
        <v>20190312164000448</v>
      </c>
      <c r="B337" t="str">
        <f>"1552380000436338"</f>
        <v>1552380000436338</v>
      </c>
      <c r="C337" t="s">
        <v>40</v>
      </c>
      <c r="D337">
        <v>4.8604250000000002</v>
      </c>
      <c r="E337">
        <v>0.47776249999999998</v>
      </c>
      <c r="F337" t="s">
        <v>43</v>
      </c>
      <c r="G337">
        <v>-411.24209999999999</v>
      </c>
      <c r="H337">
        <v>-0.05</v>
      </c>
      <c r="I337">
        <v>368.79790000000003</v>
      </c>
      <c r="J337">
        <v>-440.65</v>
      </c>
      <c r="K337">
        <v>1.108684</v>
      </c>
      <c r="L337">
        <v>368.5</v>
      </c>
      <c r="M337">
        <v>0.99994079999999996</v>
      </c>
      <c r="N337">
        <v>0</v>
      </c>
      <c r="O337">
        <v>-8.8726039999999992E-3</v>
      </c>
      <c r="P337">
        <v>0.98938809999999999</v>
      </c>
      <c r="Q337">
        <v>0.1337431</v>
      </c>
      <c r="R337">
        <v>-5.6782350000000002E-2</v>
      </c>
      <c r="S337">
        <v>3.0498959999999999</v>
      </c>
      <c r="T337">
        <v>-0.1189021</v>
      </c>
      <c r="U337">
        <v>3.024292E-2</v>
      </c>
      <c r="V337">
        <v>4.8112559999999999E-2</v>
      </c>
      <c r="W337">
        <v>0.1399376</v>
      </c>
      <c r="X337">
        <v>0.9889907</v>
      </c>
      <c r="Y337">
        <v>-1.8766519999999998E-2</v>
      </c>
      <c r="Z337">
        <v>7.1143569999999998E-4</v>
      </c>
      <c r="AA337">
        <v>0.99982360000000003</v>
      </c>
      <c r="AB337">
        <v>30</v>
      </c>
      <c r="AC337">
        <v>29.407899999999898</v>
      </c>
      <c r="AD337">
        <v>-1.158684</v>
      </c>
      <c r="AE337">
        <v>0.29790000000002598</v>
      </c>
      <c r="AF337">
        <v>-0.55795202812172096</v>
      </c>
      <c r="AG337">
        <v>-1.158684</v>
      </c>
      <c r="AH337">
        <v>29.358527859359398</v>
      </c>
      <c r="AI337">
        <v>92.259694336106804</v>
      </c>
      <c r="AJ337">
        <v>91.088761963346798</v>
      </c>
      <c r="AK337">
        <v>29.386680948115298</v>
      </c>
      <c r="AL337">
        <v>81.9557643722177</v>
      </c>
      <c r="AM337">
        <v>87.214862538769594</v>
      </c>
      <c r="AN337">
        <v>0.99999997750500103</v>
      </c>
    </row>
    <row r="338" spans="1:40" x14ac:dyDescent="0.25">
      <c r="A338" t="str">
        <f>"20190312164000469"</f>
        <v>20190312164000469</v>
      </c>
      <c r="B338" t="str">
        <f>"1552380000466595"</f>
        <v>1552380000466595</v>
      </c>
      <c r="C338" t="s">
        <v>40</v>
      </c>
      <c r="D338">
        <v>4.8259169999999996</v>
      </c>
      <c r="E338">
        <v>0.47814649999999997</v>
      </c>
      <c r="F338" t="s">
        <v>43</v>
      </c>
      <c r="G338">
        <v>-410.48860000000002</v>
      </c>
      <c r="H338">
        <v>-0.05</v>
      </c>
      <c r="I338">
        <v>368.81229999999999</v>
      </c>
      <c r="J338">
        <v>-440.35629999999998</v>
      </c>
      <c r="K338">
        <v>1.1083379999999901</v>
      </c>
      <c r="L338">
        <v>368.49709999999999</v>
      </c>
      <c r="M338">
        <v>0.99993829999999995</v>
      </c>
      <c r="N338">
        <v>0</v>
      </c>
      <c r="O338">
        <v>-9.1667199999999997E-3</v>
      </c>
      <c r="P338">
        <v>0.98945830000000001</v>
      </c>
      <c r="Q338">
        <v>0.13364960000000001</v>
      </c>
      <c r="R338">
        <v>-5.5769840000000001E-2</v>
      </c>
      <c r="S338">
        <v>3.0497740000000002</v>
      </c>
      <c r="T338">
        <v>-0.1171603</v>
      </c>
      <c r="U338">
        <v>3.158569E-2</v>
      </c>
      <c r="V338">
        <v>4.6790110000000003E-2</v>
      </c>
      <c r="W338">
        <v>0.13985439999999999</v>
      </c>
      <c r="X338">
        <v>0.98906590000000005</v>
      </c>
      <c r="Y338">
        <v>-1.9501000000000001E-2</v>
      </c>
      <c r="Z338">
        <v>7.264452E-4</v>
      </c>
      <c r="AA338">
        <v>0.99980959999999997</v>
      </c>
      <c r="AB338">
        <v>30</v>
      </c>
      <c r="AC338">
        <v>29.8676999999999</v>
      </c>
      <c r="AD338">
        <v>-1.1583380000000001</v>
      </c>
      <c r="AE338">
        <v>0.31520000000000398</v>
      </c>
      <c r="AF338">
        <v>-0.588096550716391</v>
      </c>
      <c r="AG338">
        <v>-1.1583380000000001</v>
      </c>
      <c r="AH338">
        <v>29.8187113130742</v>
      </c>
      <c r="AI338">
        <v>92.224161881760395</v>
      </c>
      <c r="AJ338">
        <v>91.1298637990663</v>
      </c>
      <c r="AK338">
        <v>29.846995641901199</v>
      </c>
      <c r="AL338">
        <v>81.960578591530293</v>
      </c>
      <c r="AM338">
        <v>87.291506476090504</v>
      </c>
      <c r="AN338">
        <v>0.99999996106799005</v>
      </c>
    </row>
    <row r="339" spans="1:40" x14ac:dyDescent="0.25">
      <c r="A339" t="str">
        <f>"20190312164000490"</f>
        <v>20190312164000490</v>
      </c>
      <c r="B339" t="str">
        <f>"1552380000487091"</f>
        <v>1552380000487091</v>
      </c>
      <c r="C339" t="s">
        <v>40</v>
      </c>
      <c r="D339">
        <v>4.7974800000000002</v>
      </c>
      <c r="E339">
        <v>0.4783424</v>
      </c>
      <c r="F339" t="s">
        <v>43</v>
      </c>
      <c r="G339">
        <v>-411.50029999999998</v>
      </c>
      <c r="H339">
        <v>-0.05</v>
      </c>
      <c r="I339">
        <v>368.79899999999998</v>
      </c>
      <c r="J339">
        <v>-440.07310000000001</v>
      </c>
      <c r="K339">
        <v>1.107842</v>
      </c>
      <c r="L339">
        <v>368.49430000000001</v>
      </c>
      <c r="M339">
        <v>0.99993399999999999</v>
      </c>
      <c r="N339">
        <v>0</v>
      </c>
      <c r="O339">
        <v>-9.3622510000000003E-3</v>
      </c>
      <c r="P339">
        <v>0.98964379999999996</v>
      </c>
      <c r="Q339">
        <v>0.13268869999999999</v>
      </c>
      <c r="R339">
        <v>-5.4760990000000002E-2</v>
      </c>
      <c r="S339">
        <v>3.050262</v>
      </c>
      <c r="T339">
        <v>-0.1224436</v>
      </c>
      <c r="U339">
        <v>3.1921390000000001E-2</v>
      </c>
      <c r="V339">
        <v>4.5567419999999997E-2</v>
      </c>
      <c r="W339">
        <v>0.1392765</v>
      </c>
      <c r="X339">
        <v>0.98920459999999999</v>
      </c>
      <c r="Y339">
        <v>-1.980256E-2</v>
      </c>
      <c r="Z339">
        <v>7.7295259999999905E-4</v>
      </c>
      <c r="AA339">
        <v>0.99980360000000001</v>
      </c>
      <c r="AB339">
        <v>30</v>
      </c>
      <c r="AC339">
        <v>28.572800000000001</v>
      </c>
      <c r="AD339">
        <v>-1.157842</v>
      </c>
      <c r="AE339">
        <v>0.30470000000002501</v>
      </c>
      <c r="AF339">
        <v>-0.57126035636505201</v>
      </c>
      <c r="AG339">
        <v>-1.157842</v>
      </c>
      <c r="AH339">
        <v>28.5218652309423</v>
      </c>
      <c r="AI339">
        <v>92.3241738858395</v>
      </c>
      <c r="AJ339">
        <v>91.147415552973897</v>
      </c>
      <c r="AK339">
        <v>28.551072357159399</v>
      </c>
      <c r="AL339">
        <v>81.9940177034062</v>
      </c>
      <c r="AM339">
        <v>87.362551171411994</v>
      </c>
      <c r="AN339">
        <v>1.00000003693943</v>
      </c>
    </row>
    <row r="340" spans="1:40" x14ac:dyDescent="0.25">
      <c r="A340" t="str">
        <f>"20190312164000512"</f>
        <v>20190312164000512</v>
      </c>
      <c r="B340" t="str">
        <f>"1552380000506490"</f>
        <v>1552380000506490</v>
      </c>
      <c r="C340" t="s">
        <v>40</v>
      </c>
      <c r="D340">
        <v>4.8432490000000001</v>
      </c>
      <c r="E340">
        <v>0.47855370000000003</v>
      </c>
      <c r="F340" t="s">
        <v>43</v>
      </c>
      <c r="G340">
        <v>-412.36540000000002</v>
      </c>
      <c r="H340">
        <v>-0.05</v>
      </c>
      <c r="I340">
        <v>368.79590000000002</v>
      </c>
      <c r="J340">
        <v>-439.77609999999999</v>
      </c>
      <c r="K340">
        <v>1.107118</v>
      </c>
      <c r="L340">
        <v>368.4914</v>
      </c>
      <c r="M340">
        <v>0.99992760000000003</v>
      </c>
      <c r="N340">
        <v>0</v>
      </c>
      <c r="O340">
        <v>-9.4752039999999992E-3</v>
      </c>
      <c r="P340">
        <v>0.98984320000000003</v>
      </c>
      <c r="Q340">
        <v>0.13161439999999999</v>
      </c>
      <c r="R340">
        <v>-5.3740280000000001E-2</v>
      </c>
      <c r="S340">
        <v>3.0503230000000001</v>
      </c>
      <c r="T340">
        <v>-0.12746579999999999</v>
      </c>
      <c r="U340">
        <v>3.3203129999999997E-2</v>
      </c>
      <c r="V340">
        <v>4.4412260000000002E-2</v>
      </c>
      <c r="W340">
        <v>0.1389446</v>
      </c>
      <c r="X340">
        <v>0.98930379999999996</v>
      </c>
      <c r="Y340">
        <v>-2.0332869999999999E-2</v>
      </c>
      <c r="Z340">
        <v>8.2040719999999995E-4</v>
      </c>
      <c r="AA340">
        <v>0.99979289999999998</v>
      </c>
      <c r="AB340">
        <v>30</v>
      </c>
      <c r="AC340">
        <v>27.410699999999899</v>
      </c>
      <c r="AD340">
        <v>-1.1571180000000001</v>
      </c>
      <c r="AE340">
        <v>0.30450000000001798</v>
      </c>
      <c r="AF340">
        <v>-0.56321191216530397</v>
      </c>
      <c r="AG340">
        <v>-1.1571180000000001</v>
      </c>
      <c r="AH340">
        <v>27.3578376904984</v>
      </c>
      <c r="AI340">
        <v>92.421407250901495</v>
      </c>
      <c r="AJ340">
        <v>91.179373466322502</v>
      </c>
      <c r="AK340">
        <v>27.388088885929701</v>
      </c>
      <c r="AL340">
        <v>82.013220829104696</v>
      </c>
      <c r="AM340">
        <v>87.429578564875399</v>
      </c>
      <c r="AN340">
        <v>1.0000000297009499</v>
      </c>
    </row>
    <row r="341" spans="1:40" x14ac:dyDescent="0.25">
      <c r="A341" t="str">
        <f>"20190312164000534"</f>
        <v>20190312164000534</v>
      </c>
      <c r="B341" t="str">
        <f>"1552380000526988"</f>
        <v>1552380000526988</v>
      </c>
      <c r="C341" t="s">
        <v>40</v>
      </c>
      <c r="D341">
        <v>4.8664259999999997</v>
      </c>
      <c r="E341">
        <v>0.47879660000000002</v>
      </c>
      <c r="F341" t="s">
        <v>43</v>
      </c>
      <c r="G341">
        <v>-413.40280000000001</v>
      </c>
      <c r="H341">
        <v>-0.05</v>
      </c>
      <c r="I341">
        <v>368.79399999999998</v>
      </c>
      <c r="J341">
        <v>-439.47300000000001</v>
      </c>
      <c r="K341">
        <v>1.1062129999999999</v>
      </c>
      <c r="L341">
        <v>368.48849999999999</v>
      </c>
      <c r="M341">
        <v>0.9999171</v>
      </c>
      <c r="N341">
        <v>0</v>
      </c>
      <c r="O341">
        <v>-9.471541E-3</v>
      </c>
      <c r="P341">
        <v>0.99004049999999999</v>
      </c>
      <c r="Q341">
        <v>0.13044819999999999</v>
      </c>
      <c r="R341">
        <v>-5.2947330000000001E-2</v>
      </c>
      <c r="S341">
        <v>3.0505070000000001</v>
      </c>
      <c r="T341">
        <v>-0.13383970000000001</v>
      </c>
      <c r="U341">
        <v>3.5003659999999999E-2</v>
      </c>
      <c r="V341">
        <v>4.3595509999999997E-2</v>
      </c>
      <c r="W341">
        <v>0.13908719999999999</v>
      </c>
      <c r="X341">
        <v>0.98931999999999998</v>
      </c>
      <c r="Y341">
        <v>-2.091548E-2</v>
      </c>
      <c r="Z341">
        <v>8.7395690000000004E-4</v>
      </c>
      <c r="AA341">
        <v>0.99978089999999997</v>
      </c>
      <c r="AB341">
        <v>30</v>
      </c>
      <c r="AC341">
        <v>26.0702</v>
      </c>
      <c r="AD341">
        <v>-1.1562129999999999</v>
      </c>
      <c r="AE341">
        <v>0.30550000000005101</v>
      </c>
      <c r="AF341">
        <v>-0.55133637122371204</v>
      </c>
      <c r="AG341">
        <v>-1.1562129999999999</v>
      </c>
      <c r="AH341">
        <v>26.014974458720999</v>
      </c>
      <c r="AI341">
        <v>92.5442160581172</v>
      </c>
      <c r="AJ341">
        <v>91.214089950548797</v>
      </c>
      <c r="AK341">
        <v>26.046491057021601</v>
      </c>
      <c r="AL341">
        <v>82.004969618702503</v>
      </c>
      <c r="AM341">
        <v>87.476828708827497</v>
      </c>
      <c r="AN341">
        <v>0.99999994004799797</v>
      </c>
    </row>
    <row r="342" spans="1:40" x14ac:dyDescent="0.25">
      <c r="A342" t="str">
        <f>"20190312164000556"</f>
        <v>20190312164000556</v>
      </c>
      <c r="B342" t="str">
        <f>"1552380000546508"</f>
        <v>1552380000546508</v>
      </c>
      <c r="C342" t="s">
        <v>40</v>
      </c>
      <c r="D342">
        <v>4.8486599999999997</v>
      </c>
      <c r="E342">
        <v>0.47897109999999898</v>
      </c>
      <c r="F342" t="s">
        <v>43</v>
      </c>
      <c r="G342">
        <v>-414.31810000000002</v>
      </c>
      <c r="H342">
        <v>-0.05</v>
      </c>
      <c r="I342">
        <v>368.78019999999998</v>
      </c>
      <c r="J342">
        <v>-439.17860000000002</v>
      </c>
      <c r="K342">
        <v>1.1051979999999999</v>
      </c>
      <c r="L342">
        <v>368.48579999999998</v>
      </c>
      <c r="M342">
        <v>0.99990049999999997</v>
      </c>
      <c r="N342">
        <v>0</v>
      </c>
      <c r="O342">
        <v>-9.3568049999999993E-3</v>
      </c>
      <c r="P342">
        <v>0.99027489999999996</v>
      </c>
      <c r="Q342">
        <v>0.1285541</v>
      </c>
      <c r="R342">
        <v>-5.3193160000000003E-2</v>
      </c>
      <c r="S342">
        <v>3.0505680000000002</v>
      </c>
      <c r="T342">
        <v>-0.14021529999999999</v>
      </c>
      <c r="U342">
        <v>3.5369869999999998E-2</v>
      </c>
      <c r="V342">
        <v>4.392414E-2</v>
      </c>
      <c r="W342">
        <v>0.1390102</v>
      </c>
      <c r="X342">
        <v>0.98931630000000004</v>
      </c>
      <c r="Y342">
        <v>-2.0917970000000001E-2</v>
      </c>
      <c r="Z342">
        <v>9.1032060000000004E-4</v>
      </c>
      <c r="AA342">
        <v>0.99978080000000003</v>
      </c>
      <c r="AB342">
        <v>30</v>
      </c>
      <c r="AC342">
        <v>24.860499999999998</v>
      </c>
      <c r="AD342">
        <v>-1.1551979999999999</v>
      </c>
      <c r="AE342">
        <v>0.294399999999996</v>
      </c>
      <c r="AF342">
        <v>-0.52587960334497796</v>
      </c>
      <c r="AG342">
        <v>-1.1551979999999999</v>
      </c>
      <c r="AH342">
        <v>24.803109394563201</v>
      </c>
      <c r="AI342">
        <v>92.666009854493893</v>
      </c>
      <c r="AJ342">
        <v>91.214612556924607</v>
      </c>
      <c r="AK342">
        <v>24.8355645680763</v>
      </c>
      <c r="AL342">
        <v>82.009424781512607</v>
      </c>
      <c r="AM342">
        <v>87.4578240000059</v>
      </c>
      <c r="AN342">
        <v>0.99999995361223304</v>
      </c>
    </row>
    <row r="343" spans="1:40" x14ac:dyDescent="0.25">
      <c r="A343" t="str">
        <f>"20190312164000578"</f>
        <v>20190312164000578</v>
      </c>
      <c r="B343" t="str">
        <f>"1552380000567002"</f>
        <v>1552380000567002</v>
      </c>
      <c r="C343" t="s">
        <v>40</v>
      </c>
      <c r="D343">
        <v>4.8350220000000004</v>
      </c>
      <c r="E343">
        <v>0.47909010000000002</v>
      </c>
      <c r="F343" t="s">
        <v>43</v>
      </c>
      <c r="G343">
        <v>-414.98289999999997</v>
      </c>
      <c r="H343">
        <v>-0.05</v>
      </c>
      <c r="I343">
        <v>368.75299999999999</v>
      </c>
      <c r="J343">
        <v>-438.8897</v>
      </c>
      <c r="K343">
        <v>1.104061</v>
      </c>
      <c r="L343">
        <v>368.48320000000001</v>
      </c>
      <c r="M343">
        <v>0.99987899999999996</v>
      </c>
      <c r="N343">
        <v>0</v>
      </c>
      <c r="O343">
        <v>-9.1459850000000006E-3</v>
      </c>
      <c r="P343">
        <v>0.99057870000000003</v>
      </c>
      <c r="Q343">
        <v>0.12626519999999999</v>
      </c>
      <c r="R343">
        <v>-5.301997E-2</v>
      </c>
      <c r="S343">
        <v>3.0501710000000002</v>
      </c>
      <c r="T343">
        <v>-0.14562749999999999</v>
      </c>
      <c r="U343">
        <v>3.3691409999999998E-2</v>
      </c>
      <c r="V343">
        <v>4.3922410000000002E-2</v>
      </c>
      <c r="W343">
        <v>0.1387391</v>
      </c>
      <c r="X343">
        <v>0.98935450000000003</v>
      </c>
      <c r="Y343">
        <v>-2.0157379999999999E-2</v>
      </c>
      <c r="Z343">
        <v>9.1734900000000003E-4</v>
      </c>
      <c r="AA343">
        <v>0.99979640000000003</v>
      </c>
      <c r="AB343">
        <v>30</v>
      </c>
      <c r="AC343">
        <v>23.9068</v>
      </c>
      <c r="AD343">
        <v>-1.154061</v>
      </c>
      <c r="AE343">
        <v>0.26980000000003201</v>
      </c>
      <c r="AF343">
        <v>-0.48732179151993299</v>
      </c>
      <c r="AG343">
        <v>-1.154061</v>
      </c>
      <c r="AH343">
        <v>23.8477664170351</v>
      </c>
      <c r="AI343">
        <v>92.769966369105603</v>
      </c>
      <c r="AJ343">
        <v>91.170658750625407</v>
      </c>
      <c r="AK343">
        <v>23.880647026445398</v>
      </c>
      <c r="AL343">
        <v>82.025110198533497</v>
      </c>
      <c r="AM343">
        <v>87.458022018455395</v>
      </c>
      <c r="AN343">
        <v>1.0000000213196301</v>
      </c>
    </row>
    <row r="344" spans="1:40" x14ac:dyDescent="0.25">
      <c r="A344" t="str">
        <f>"20190312164000589"</f>
        <v>20190312164000589</v>
      </c>
      <c r="B344" t="str">
        <f>"1552380000586522"</f>
        <v>1552380000586522</v>
      </c>
      <c r="C344" t="s">
        <v>40</v>
      </c>
      <c r="D344">
        <v>4.8270689999999998</v>
      </c>
      <c r="E344">
        <v>0.4792169</v>
      </c>
      <c r="F344" t="s">
        <v>43</v>
      </c>
      <c r="G344">
        <v>-416.10820000000001</v>
      </c>
      <c r="H344">
        <v>-0.05</v>
      </c>
      <c r="I344">
        <v>368.73829999999998</v>
      </c>
      <c r="J344">
        <v>-438.7278</v>
      </c>
      <c r="K344">
        <v>1.103356</v>
      </c>
      <c r="L344">
        <v>368.4819</v>
      </c>
      <c r="M344">
        <v>0.99986609999999998</v>
      </c>
      <c r="N344">
        <v>0</v>
      </c>
      <c r="O344">
        <v>-8.9691489999999992E-3</v>
      </c>
      <c r="P344">
        <v>0.99073330000000004</v>
      </c>
      <c r="Q344">
        <v>0.1250858</v>
      </c>
      <c r="R344">
        <v>-5.2928500000000003E-2</v>
      </c>
      <c r="S344">
        <v>3.0500180000000001</v>
      </c>
      <c r="T344">
        <v>-0.15450759999999999</v>
      </c>
      <c r="U344">
        <v>3.414917E-2</v>
      </c>
      <c r="V344">
        <v>4.3983189999999998E-2</v>
      </c>
      <c r="W344">
        <v>0.13866310000000001</v>
      </c>
      <c r="X344">
        <v>0.98936239999999998</v>
      </c>
      <c r="Y344">
        <v>-2.0127349999999999E-2</v>
      </c>
      <c r="Z344">
        <v>9.6355940000000004E-4</v>
      </c>
      <c r="AA344">
        <v>0.99979700000000005</v>
      </c>
      <c r="AB344">
        <v>30</v>
      </c>
      <c r="AC344">
        <v>22.619599999999899</v>
      </c>
      <c r="AD344">
        <v>-1.153356</v>
      </c>
      <c r="AE344">
        <v>0.25639999999998497</v>
      </c>
      <c r="AF344">
        <v>-0.45809640082425801</v>
      </c>
      <c r="AG344">
        <v>-1.153356</v>
      </c>
      <c r="AH344">
        <v>22.557749686307101</v>
      </c>
      <c r="AI344">
        <v>92.926326952275105</v>
      </c>
      <c r="AJ344">
        <v>91.163386575302198</v>
      </c>
      <c r="AK344">
        <v>22.591860332546201</v>
      </c>
      <c r="AL344">
        <v>82.029506745202198</v>
      </c>
      <c r="AM344">
        <v>87.454529342018603</v>
      </c>
      <c r="AN344">
        <v>0.99999996741897201</v>
      </c>
    </row>
    <row r="345" spans="1:40" x14ac:dyDescent="0.25">
      <c r="A345" t="str">
        <f>"20190312164000602"</f>
        <v>20190312164000602</v>
      </c>
      <c r="B345" t="str">
        <f>"1552380000596282"</f>
        <v>1552380000596282</v>
      </c>
      <c r="C345" t="s">
        <v>40</v>
      </c>
      <c r="D345">
        <v>5.0036860000000001</v>
      </c>
      <c r="E345">
        <v>0.47919859999999997</v>
      </c>
      <c r="F345" t="s">
        <v>43</v>
      </c>
      <c r="G345">
        <v>-416.80739999999997</v>
      </c>
      <c r="H345">
        <v>-0.05</v>
      </c>
      <c r="I345">
        <v>368.72190000000001</v>
      </c>
      <c r="J345">
        <v>-438.57679999999999</v>
      </c>
      <c r="K345">
        <v>1.102662</v>
      </c>
      <c r="L345">
        <v>368.48070000000001</v>
      </c>
      <c r="M345">
        <v>0.99985440000000003</v>
      </c>
      <c r="N345">
        <v>0</v>
      </c>
      <c r="O345">
        <v>-8.7850240000000007E-3</v>
      </c>
      <c r="P345">
        <v>0.99087800000000004</v>
      </c>
      <c r="Q345">
        <v>0.1238855</v>
      </c>
      <c r="R345">
        <v>-5.3040959999999998E-2</v>
      </c>
      <c r="S345">
        <v>3.0501100000000001</v>
      </c>
      <c r="T345">
        <v>-0.160483399999999</v>
      </c>
      <c r="U345">
        <v>3.3386230000000003E-2</v>
      </c>
      <c r="V345">
        <v>4.4257249999999998E-2</v>
      </c>
      <c r="W345">
        <v>0.138401</v>
      </c>
      <c r="X345">
        <v>0.98938689999999996</v>
      </c>
      <c r="Y345">
        <v>-1.9690880000000001E-2</v>
      </c>
      <c r="Z345">
        <v>9.7959700000000002E-4</v>
      </c>
      <c r="AA345">
        <v>0.99980559999999996</v>
      </c>
      <c r="AB345">
        <v>30</v>
      </c>
      <c r="AC345">
        <v>21.769400000000001</v>
      </c>
      <c r="AD345">
        <v>-1.1526620000000001</v>
      </c>
      <c r="AE345">
        <v>0.241199999999992</v>
      </c>
      <c r="AF345">
        <v>-0.43124697681387802</v>
      </c>
      <c r="AG345">
        <v>-1.1526620000000001</v>
      </c>
      <c r="AH345">
        <v>21.7055949514017</v>
      </c>
      <c r="AI345">
        <v>93.039202416130195</v>
      </c>
      <c r="AJ345">
        <v>91.138203370168597</v>
      </c>
      <c r="AK345">
        <v>21.740456661155299</v>
      </c>
      <c r="AL345">
        <v>82.044670352381203</v>
      </c>
      <c r="AM345">
        <v>87.438752869172603</v>
      </c>
      <c r="AN345">
        <v>0.99999998943508595</v>
      </c>
    </row>
    <row r="346" spans="1:40" x14ac:dyDescent="0.25">
      <c r="A346" t="str">
        <f>"20190312164000613"</f>
        <v>20190312164000613</v>
      </c>
      <c r="B346" t="str">
        <f>"1552380000607018"</f>
        <v>1552380000607018</v>
      </c>
      <c r="C346" t="s">
        <v>40</v>
      </c>
      <c r="D346">
        <v>4.8780749999999999</v>
      </c>
      <c r="E346">
        <v>0.47927740000000002</v>
      </c>
      <c r="F346" t="s">
        <v>43</v>
      </c>
      <c r="G346">
        <v>-417.3331</v>
      </c>
      <c r="H346">
        <v>-0.05</v>
      </c>
      <c r="I346">
        <v>368.71280000000002</v>
      </c>
      <c r="J346">
        <v>-438.4024</v>
      </c>
      <c r="K346">
        <v>1.1017790000000001</v>
      </c>
      <c r="L346">
        <v>368.4794</v>
      </c>
      <c r="M346">
        <v>0.99984410000000001</v>
      </c>
      <c r="N346">
        <v>0</v>
      </c>
      <c r="O346">
        <v>-8.5207479999999999E-3</v>
      </c>
      <c r="P346">
        <v>0.99104349999999997</v>
      </c>
      <c r="Q346">
        <v>0.1225633</v>
      </c>
      <c r="R346">
        <v>-5.3019749999999997E-2</v>
      </c>
      <c r="S346">
        <v>3.0501100000000001</v>
      </c>
      <c r="T346">
        <v>-0.16549559999999999</v>
      </c>
      <c r="U346">
        <v>3.3325199999999902E-2</v>
      </c>
      <c r="V346">
        <v>4.4476630000000003E-2</v>
      </c>
      <c r="W346">
        <v>0.13791129999999999</v>
      </c>
      <c r="X346">
        <v>0.98944540000000003</v>
      </c>
      <c r="Y346">
        <v>-1.9405039999999998E-2</v>
      </c>
      <c r="Z346">
        <v>9.880748999999999E-4</v>
      </c>
      <c r="AA346">
        <v>0.99981120000000001</v>
      </c>
      <c r="AB346">
        <v>30</v>
      </c>
      <c r="AC346">
        <v>21.069299999999998</v>
      </c>
      <c r="AD346">
        <v>-1.1517790000000001</v>
      </c>
      <c r="AE346">
        <v>0.23340000000001701</v>
      </c>
      <c r="AF346">
        <v>-0.411708995177482</v>
      </c>
      <c r="AG346">
        <v>-1.1517790000000001</v>
      </c>
      <c r="AH346">
        <v>21.003786052391099</v>
      </c>
      <c r="AI346">
        <v>93.138168079031004</v>
      </c>
      <c r="AJ346">
        <v>91.122948370547604</v>
      </c>
      <c r="AK346">
        <v>21.039370895922001</v>
      </c>
      <c r="AL346">
        <v>82.072999435120295</v>
      </c>
      <c r="AM346">
        <v>87.426225960228905</v>
      </c>
      <c r="AN346">
        <v>0.99999994843250195</v>
      </c>
    </row>
    <row r="347" spans="1:40" x14ac:dyDescent="0.25">
      <c r="A347" t="str">
        <f>"20190312164000626"</f>
        <v>20190312164000626</v>
      </c>
      <c r="B347" t="str">
        <f>"1552380000616777"</f>
        <v>1552380000616777</v>
      </c>
      <c r="C347" t="s">
        <v>40</v>
      </c>
      <c r="D347">
        <v>4.9865370000000002</v>
      </c>
      <c r="E347">
        <v>0.47928019999999999</v>
      </c>
      <c r="F347" t="s">
        <v>43</v>
      </c>
      <c r="G347">
        <v>-417.68340000000001</v>
      </c>
      <c r="H347">
        <v>-0.05</v>
      </c>
      <c r="I347">
        <v>368.7004</v>
      </c>
      <c r="J347">
        <v>-438.23630000000003</v>
      </c>
      <c r="K347">
        <v>1.100873</v>
      </c>
      <c r="L347">
        <v>368.47820000000002</v>
      </c>
      <c r="M347">
        <v>0.99983639999999996</v>
      </c>
      <c r="N347">
        <v>0</v>
      </c>
      <c r="O347">
        <v>-8.2369590000000003E-3</v>
      </c>
      <c r="P347">
        <v>0.99112730000000004</v>
      </c>
      <c r="Q347">
        <v>0.12189079999999999</v>
      </c>
      <c r="R347">
        <v>-5.300477E-2</v>
      </c>
      <c r="S347">
        <v>3.0498050000000001</v>
      </c>
      <c r="T347">
        <v>-0.16954029999999901</v>
      </c>
      <c r="U347">
        <v>3.2531740000000003E-2</v>
      </c>
      <c r="V347">
        <v>4.472425E-2</v>
      </c>
      <c r="W347">
        <v>0.13788619999999999</v>
      </c>
      <c r="X347">
        <v>0.98943780000000003</v>
      </c>
      <c r="Y347">
        <v>-1.8861579999999999E-2</v>
      </c>
      <c r="Z347">
        <v>9.8143470000000002E-4</v>
      </c>
      <c r="AA347">
        <v>0.99982159999999998</v>
      </c>
      <c r="AB347">
        <v>30</v>
      </c>
      <c r="AC347">
        <v>20.552900000000001</v>
      </c>
      <c r="AD347">
        <v>-1.150873</v>
      </c>
      <c r="AE347">
        <v>0.22219999999998599</v>
      </c>
      <c r="AF347">
        <v>-0.390284211883627</v>
      </c>
      <c r="AG347">
        <v>-1.150873</v>
      </c>
      <c r="AH347">
        <v>20.4861450222729</v>
      </c>
      <c r="AI347">
        <v>93.214807010231695</v>
      </c>
      <c r="AJ347">
        <v>91.091417314668703</v>
      </c>
      <c r="AK347">
        <v>20.5221579835497</v>
      </c>
      <c r="AL347">
        <v>82.074451933240397</v>
      </c>
      <c r="AM347">
        <v>87.4118962610723</v>
      </c>
      <c r="AN347">
        <v>1.00000001137867</v>
      </c>
    </row>
    <row r="348" spans="1:40" x14ac:dyDescent="0.25">
      <c r="A348" t="str">
        <f>"20190312164000648"</f>
        <v>20190312164000648</v>
      </c>
      <c r="B348" t="str">
        <f>"1552380000636297"</f>
        <v>1552380000636297</v>
      </c>
      <c r="C348" t="s">
        <v>40</v>
      </c>
      <c r="D348">
        <v>4.9127660000000004</v>
      </c>
      <c r="E348">
        <v>0.47949989999999998</v>
      </c>
      <c r="F348" t="s">
        <v>43</v>
      </c>
      <c r="G348">
        <v>-417.97280000000001</v>
      </c>
      <c r="H348">
        <v>-0.05</v>
      </c>
      <c r="I348">
        <v>368.6952</v>
      </c>
      <c r="J348">
        <v>-437.9468</v>
      </c>
      <c r="K348">
        <v>1.0992010000000001</v>
      </c>
      <c r="L348">
        <v>368.47629999999998</v>
      </c>
      <c r="M348">
        <v>0.99982470000000001</v>
      </c>
      <c r="N348">
        <v>0</v>
      </c>
      <c r="O348">
        <v>-7.7005340000000002E-3</v>
      </c>
      <c r="P348">
        <v>0.9912531</v>
      </c>
      <c r="Q348">
        <v>0.1206719</v>
      </c>
      <c r="R348">
        <v>-5.3437329999999998E-2</v>
      </c>
      <c r="S348">
        <v>3.0498959999999999</v>
      </c>
      <c r="T348">
        <v>-0.17322089999999901</v>
      </c>
      <c r="U348">
        <v>3.2653809999999998E-2</v>
      </c>
      <c r="V348">
        <v>4.5659749999999999E-2</v>
      </c>
      <c r="W348">
        <v>0.1376269</v>
      </c>
      <c r="X348">
        <v>0.98943110000000001</v>
      </c>
      <c r="Y348">
        <v>-1.8364809999999999E-2</v>
      </c>
      <c r="Z348">
        <v>9.5814320000000002E-4</v>
      </c>
      <c r="AA348">
        <v>0.99983089999999997</v>
      </c>
      <c r="AB348">
        <v>30</v>
      </c>
      <c r="AC348">
        <v>19.973999999999901</v>
      </c>
      <c r="AD348">
        <v>-1.1492009999999999</v>
      </c>
      <c r="AE348">
        <v>0.218900000000019</v>
      </c>
      <c r="AF348">
        <v>-0.37149677644844098</v>
      </c>
      <c r="AG348">
        <v>-1.1492009999999999</v>
      </c>
      <c r="AH348">
        <v>19.905836166215501</v>
      </c>
      <c r="AI348">
        <v>93.303550501459696</v>
      </c>
      <c r="AJ348">
        <v>91.069170194329999</v>
      </c>
      <c r="AK348">
        <v>19.942441833173898</v>
      </c>
      <c r="AL348">
        <v>82.089451158928199</v>
      </c>
      <c r="AM348">
        <v>87.357818794162199</v>
      </c>
      <c r="AN348">
        <v>0.99999993901043904</v>
      </c>
    </row>
    <row r="349" spans="1:40" x14ac:dyDescent="0.25">
      <c r="A349" t="str">
        <f>"20190312164000669"</f>
        <v>20190312164000669</v>
      </c>
      <c r="B349" t="str">
        <f>"1552380000666554"</f>
        <v>1552380000666554</v>
      </c>
      <c r="C349" t="s">
        <v>40</v>
      </c>
      <c r="D349">
        <v>5.3141280000000002</v>
      </c>
      <c r="E349">
        <v>0.47970180000000001</v>
      </c>
      <c r="F349" t="s">
        <v>43</v>
      </c>
      <c r="G349">
        <v>-418.21179999999998</v>
      </c>
      <c r="H349">
        <v>-0.05</v>
      </c>
      <c r="I349">
        <v>368.66829999999999</v>
      </c>
      <c r="J349">
        <v>-437.654</v>
      </c>
      <c r="K349">
        <v>1.097367</v>
      </c>
      <c r="L349">
        <v>368.47469999999998</v>
      </c>
      <c r="M349">
        <v>0.9998146</v>
      </c>
      <c r="N349">
        <v>0</v>
      </c>
      <c r="O349">
        <v>-7.1219300000000003E-3</v>
      </c>
      <c r="P349">
        <v>0.99137399999999998</v>
      </c>
      <c r="Q349">
        <v>0.1196344</v>
      </c>
      <c r="R349">
        <v>-5.3528689999999997E-2</v>
      </c>
      <c r="S349">
        <v>3.0496829999999999</v>
      </c>
      <c r="T349">
        <v>-0.17758740000000001</v>
      </c>
      <c r="U349">
        <v>2.966309E-2</v>
      </c>
      <c r="V349">
        <v>4.629958E-2</v>
      </c>
      <c r="W349">
        <v>0.13741819999999999</v>
      </c>
      <c r="X349">
        <v>0.98943040000000004</v>
      </c>
      <c r="Y349">
        <v>-1.6808099999999999E-2</v>
      </c>
      <c r="Z349">
        <v>9.0338090000000005E-4</v>
      </c>
      <c r="AA349">
        <v>0.99985829999999998</v>
      </c>
      <c r="AB349">
        <v>30</v>
      </c>
      <c r="AC349">
        <v>19.4422</v>
      </c>
      <c r="AD349">
        <v>-1.147367</v>
      </c>
      <c r="AE349">
        <v>0.19360000000000299</v>
      </c>
      <c r="AF349">
        <v>-0.33093082607665403</v>
      </c>
      <c r="AG349">
        <v>-1.147367</v>
      </c>
      <c r="AH349">
        <v>19.372864886813701</v>
      </c>
      <c r="AI349">
        <v>93.388916869689496</v>
      </c>
      <c r="AJ349">
        <v>90.978641817045201</v>
      </c>
      <c r="AK349">
        <v>19.4096331796115</v>
      </c>
      <c r="AL349">
        <v>82.101523696094901</v>
      </c>
      <c r="AM349">
        <v>87.320845595146196</v>
      </c>
      <c r="AN349">
        <v>0.99999996462178697</v>
      </c>
    </row>
    <row r="350" spans="1:40" x14ac:dyDescent="0.25">
      <c r="A350" t="str">
        <f>"20190312164000690"</f>
        <v>20190312164000690</v>
      </c>
      <c r="B350" t="str">
        <f>"1552380000687050"</f>
        <v>1552380000687050</v>
      </c>
      <c r="C350" t="s">
        <v>40</v>
      </c>
      <c r="D350">
        <v>5.017404</v>
      </c>
      <c r="E350">
        <v>0.47984640000000001</v>
      </c>
      <c r="F350" t="s">
        <v>43</v>
      </c>
      <c r="G350">
        <v>-418.31470000000002</v>
      </c>
      <c r="H350">
        <v>-0.05</v>
      </c>
      <c r="I350">
        <v>368.649</v>
      </c>
      <c r="J350">
        <v>-437.36130000000003</v>
      </c>
      <c r="K350">
        <v>1.095351</v>
      </c>
      <c r="L350">
        <v>368.47320000000002</v>
      </c>
      <c r="M350">
        <v>0.99980800000000003</v>
      </c>
      <c r="N350">
        <v>0</v>
      </c>
      <c r="O350">
        <v>-6.5081509999999898E-3</v>
      </c>
      <c r="P350">
        <v>0.99148879999999995</v>
      </c>
      <c r="Q350">
        <v>0.1190085</v>
      </c>
      <c r="R350">
        <v>-5.2791789999999998E-2</v>
      </c>
      <c r="S350">
        <v>3.0494080000000001</v>
      </c>
      <c r="T350">
        <v>-0.18091650000000001</v>
      </c>
      <c r="U350">
        <v>2.7496340000000001E-2</v>
      </c>
      <c r="V350">
        <v>4.6151409999999997E-2</v>
      </c>
      <c r="W350">
        <v>0.1373866</v>
      </c>
      <c r="X350">
        <v>0.98944180000000004</v>
      </c>
      <c r="Y350">
        <v>-1.5486710000000001E-2</v>
      </c>
      <c r="Z350">
        <v>8.4482610000000005E-4</v>
      </c>
      <c r="AA350">
        <v>0.99987969999999904</v>
      </c>
      <c r="AB350">
        <v>30</v>
      </c>
      <c r="AC350">
        <v>19.046600000000002</v>
      </c>
      <c r="AD350">
        <v>-1.145351</v>
      </c>
      <c r="AE350">
        <v>0.175799999999981</v>
      </c>
      <c r="AF350">
        <v>-0.29869557669692998</v>
      </c>
      <c r="AG350">
        <v>-1.145351</v>
      </c>
      <c r="AH350">
        <v>18.9764370204947</v>
      </c>
      <c r="AI350">
        <v>93.453554876467905</v>
      </c>
      <c r="AJ350">
        <v>90.901780598607303</v>
      </c>
      <c r="AK350">
        <v>19.013316647905999</v>
      </c>
      <c r="AL350">
        <v>82.103352282410199</v>
      </c>
      <c r="AM350">
        <v>87.329437838036199</v>
      </c>
      <c r="AN350">
        <v>1.0000000530458899</v>
      </c>
    </row>
    <row r="351" spans="1:40" x14ac:dyDescent="0.25">
      <c r="A351" t="str">
        <f>"20190312164000703"</f>
        <v>20190312164000703</v>
      </c>
      <c r="B351" t="str">
        <f>"1552380000696810"</f>
        <v>1552380000696810</v>
      </c>
      <c r="C351" t="s">
        <v>40</v>
      </c>
      <c r="D351">
        <v>4.9489029999999996</v>
      </c>
      <c r="E351">
        <v>0.47988009999999898</v>
      </c>
      <c r="F351" t="s">
        <v>43</v>
      </c>
      <c r="G351">
        <v>-418.36590000000001</v>
      </c>
      <c r="H351">
        <v>-0.05</v>
      </c>
      <c r="I351">
        <v>368.6447</v>
      </c>
      <c r="J351">
        <v>-437.18740000000003</v>
      </c>
      <c r="K351">
        <v>1.0940589999999999</v>
      </c>
      <c r="L351">
        <v>368.47239999999999</v>
      </c>
      <c r="M351">
        <v>0.99980659999999999</v>
      </c>
      <c r="N351">
        <v>0</v>
      </c>
      <c r="O351">
        <v>-6.1291829999999999E-3</v>
      </c>
      <c r="P351">
        <v>0.991568</v>
      </c>
      <c r="Q351">
        <v>0.11851150000000001</v>
      </c>
      <c r="R351">
        <v>-5.242144E-2</v>
      </c>
      <c r="S351">
        <v>3.0492859999999999</v>
      </c>
      <c r="T351">
        <v>-0.18386069999999999</v>
      </c>
      <c r="U351">
        <v>2.752686E-2</v>
      </c>
      <c r="V351">
        <v>4.61477E-2</v>
      </c>
      <c r="W351">
        <v>0.1370942</v>
      </c>
      <c r="X351">
        <v>0.98948250000000004</v>
      </c>
      <c r="Y351">
        <v>-1.511819E-2</v>
      </c>
      <c r="Z351">
        <v>8.2465220000000001E-4</v>
      </c>
      <c r="AA351">
        <v>0.99988540000000004</v>
      </c>
      <c r="AB351">
        <v>30</v>
      </c>
      <c r="AC351">
        <v>18.8215</v>
      </c>
      <c r="AD351">
        <v>-1.1440589999999999</v>
      </c>
      <c r="AE351">
        <v>0.172300000000007</v>
      </c>
      <c r="AF351">
        <v>-0.28661842446033498</v>
      </c>
      <c r="AG351">
        <v>-1.1440589999999999</v>
      </c>
      <c r="AH351">
        <v>18.750815796794001</v>
      </c>
      <c r="AI351">
        <v>93.491099564553494</v>
      </c>
      <c r="AJ351">
        <v>90.875735082740704</v>
      </c>
      <c r="AK351">
        <v>18.787871464378799</v>
      </c>
      <c r="AL351">
        <v>82.120265373723001</v>
      </c>
      <c r="AM351">
        <v>87.329761886702201</v>
      </c>
      <c r="AN351">
        <v>1.0000000238475799</v>
      </c>
    </row>
    <row r="352" spans="1:40" x14ac:dyDescent="0.25">
      <c r="A352" t="str">
        <f>"20190312164000715"</f>
        <v>20190312164000715</v>
      </c>
      <c r="B352" t="str">
        <f>"1552380000706570"</f>
        <v>1552380000706570</v>
      </c>
      <c r="C352" t="s">
        <v>40</v>
      </c>
      <c r="D352">
        <v>4.9279060000000001</v>
      </c>
      <c r="E352">
        <v>0.47988009999999898</v>
      </c>
      <c r="F352" t="s">
        <v>43</v>
      </c>
      <c r="G352">
        <v>-418.46539999999999</v>
      </c>
      <c r="H352">
        <v>-0.05</v>
      </c>
      <c r="I352">
        <v>368.64370000000002</v>
      </c>
      <c r="J352">
        <v>-437.02339999999998</v>
      </c>
      <c r="K352">
        <v>1.0927880000000001</v>
      </c>
      <c r="L352">
        <v>368.47179999999997</v>
      </c>
      <c r="M352">
        <v>0.99980720000000001</v>
      </c>
      <c r="N352">
        <v>0</v>
      </c>
      <c r="O352">
        <v>-5.7639960000000004E-3</v>
      </c>
      <c r="P352">
        <v>0.99166469999999995</v>
      </c>
      <c r="Q352">
        <v>0.1180645</v>
      </c>
      <c r="R352">
        <v>-5.159627E-2</v>
      </c>
      <c r="S352">
        <v>3.0492249999999999</v>
      </c>
      <c r="T352">
        <v>-0.18633079999999999</v>
      </c>
      <c r="U352">
        <v>2.7893069999999999E-2</v>
      </c>
      <c r="V352">
        <v>4.5677349999999999E-2</v>
      </c>
      <c r="W352">
        <v>0.13673660000000001</v>
      </c>
      <c r="X352">
        <v>0.98955369999999998</v>
      </c>
      <c r="Y352">
        <v>-1.4873330000000001E-2</v>
      </c>
      <c r="Z352">
        <v>8.0595500000000002E-4</v>
      </c>
      <c r="AA352">
        <v>0.99988909999999998</v>
      </c>
      <c r="AB352">
        <v>30</v>
      </c>
      <c r="AC352">
        <v>18.558</v>
      </c>
      <c r="AD352">
        <v>-1.1427879999999999</v>
      </c>
      <c r="AE352">
        <v>0.17190000000005001</v>
      </c>
      <c r="AF352">
        <v>-0.27783078511245202</v>
      </c>
      <c r="AG352">
        <v>-1.1427879999999999</v>
      </c>
      <c r="AH352">
        <v>18.4866052992517</v>
      </c>
      <c r="AI352">
        <v>93.536958269725403</v>
      </c>
      <c r="AJ352">
        <v>90.861019794483397</v>
      </c>
      <c r="AK352">
        <v>18.5239771606537</v>
      </c>
      <c r="AL352">
        <v>82.140948319918095</v>
      </c>
      <c r="AM352">
        <v>87.357128796192299</v>
      </c>
      <c r="AN352">
        <v>0.999999921633133</v>
      </c>
    </row>
    <row r="353" spans="1:40" x14ac:dyDescent="0.25">
      <c r="A353" t="str">
        <f>"20190312164000727"</f>
        <v>20190312164000727</v>
      </c>
      <c r="B353" t="str">
        <f>"1552380000716330"</f>
        <v>1552380000716330</v>
      </c>
      <c r="C353" t="s">
        <v>40</v>
      </c>
      <c r="D353">
        <v>5.1490819999999999</v>
      </c>
      <c r="E353">
        <v>0.4799388</v>
      </c>
      <c r="F353" t="s">
        <v>43</v>
      </c>
      <c r="G353">
        <v>-418.46940000000001</v>
      </c>
      <c r="H353">
        <v>-0.05</v>
      </c>
      <c r="I353">
        <v>368.65730000000002</v>
      </c>
      <c r="J353">
        <v>-436.86380000000003</v>
      </c>
      <c r="K353">
        <v>1.0914839999999999</v>
      </c>
      <c r="L353">
        <v>368.47120000000001</v>
      </c>
      <c r="M353">
        <v>0.99980970000000002</v>
      </c>
      <c r="N353">
        <v>0</v>
      </c>
      <c r="O353">
        <v>-5.4253210000000003E-3</v>
      </c>
      <c r="P353">
        <v>0.99169079999999998</v>
      </c>
      <c r="Q353">
        <v>0.1180976</v>
      </c>
      <c r="R353">
        <v>-5.1012439999999999E-2</v>
      </c>
      <c r="S353">
        <v>3.049194</v>
      </c>
      <c r="T353">
        <v>-0.18780740000000001</v>
      </c>
      <c r="U353">
        <v>3.048706E-2</v>
      </c>
      <c r="V353">
        <v>4.5422730000000001E-2</v>
      </c>
      <c r="W353">
        <v>0.13673469999999999</v>
      </c>
      <c r="X353">
        <v>0.98956569999999999</v>
      </c>
      <c r="Y353">
        <v>-1.538432E-2</v>
      </c>
      <c r="Z353">
        <v>8.0721299999999998E-4</v>
      </c>
      <c r="AA353">
        <v>0.99988129999999997</v>
      </c>
      <c r="AB353">
        <v>30</v>
      </c>
      <c r="AC353">
        <v>18.394400000000001</v>
      </c>
      <c r="AD353">
        <v>-1.1414839999999999</v>
      </c>
      <c r="AE353">
        <v>0.18610000000001001</v>
      </c>
      <c r="AF353">
        <v>-0.28481361790596499</v>
      </c>
      <c r="AG353">
        <v>-1.1414839999999999</v>
      </c>
      <c r="AH353">
        <v>18.3225672081829</v>
      </c>
      <c r="AI353">
        <v>93.564452980649804</v>
      </c>
      <c r="AJ353">
        <v>90.890557742761899</v>
      </c>
      <c r="AK353">
        <v>18.3602988433625</v>
      </c>
      <c r="AL353">
        <v>82.141058348269894</v>
      </c>
      <c r="AM353">
        <v>87.371872108162407</v>
      </c>
      <c r="AN353">
        <v>0.99999993860061398</v>
      </c>
    </row>
    <row r="354" spans="1:40" x14ac:dyDescent="0.25">
      <c r="A354" t="str">
        <f>"20190312164000747"</f>
        <v>20190312164000747</v>
      </c>
      <c r="B354" t="str">
        <f>"1552380000736825"</f>
        <v>1552380000736825</v>
      </c>
      <c r="C354" t="s">
        <v>40</v>
      </c>
      <c r="D354">
        <v>5.0785619999999998</v>
      </c>
      <c r="E354">
        <v>0.4786628</v>
      </c>
      <c r="F354" t="s">
        <v>43</v>
      </c>
      <c r="G354">
        <v>-418.42380000000003</v>
      </c>
      <c r="H354">
        <v>-0.05</v>
      </c>
      <c r="I354">
        <v>368.66460000000001</v>
      </c>
      <c r="J354">
        <v>-436.59</v>
      </c>
      <c r="K354">
        <v>1.089175</v>
      </c>
      <c r="L354">
        <v>368.47039999999998</v>
      </c>
      <c r="M354">
        <v>0.99981560000000003</v>
      </c>
      <c r="N354">
        <v>0</v>
      </c>
      <c r="O354">
        <v>-4.8610959999999996E-3</v>
      </c>
      <c r="P354">
        <v>0.99178840000000001</v>
      </c>
      <c r="Q354">
        <v>0.1176521</v>
      </c>
      <c r="R354">
        <v>-5.0140320000000002E-2</v>
      </c>
      <c r="S354">
        <v>3.049255</v>
      </c>
      <c r="T354">
        <v>-0.18875690000000001</v>
      </c>
      <c r="U354">
        <v>3.1982419999999998E-2</v>
      </c>
      <c r="V354">
        <v>4.5102259999999998E-2</v>
      </c>
      <c r="W354">
        <v>0.1361395</v>
      </c>
      <c r="X354">
        <v>0.9896625</v>
      </c>
      <c r="Y354">
        <v>-1.531096E-2</v>
      </c>
      <c r="Z354">
        <v>7.7409989999999997E-4</v>
      </c>
      <c r="AA354">
        <v>0.99988250000000001</v>
      </c>
      <c r="AB354">
        <v>31</v>
      </c>
      <c r="AC354">
        <v>18.1661999999999</v>
      </c>
      <c r="AD354">
        <v>-1.139175</v>
      </c>
      <c r="AE354">
        <v>0.19420000000002299</v>
      </c>
      <c r="AF354">
        <v>-0.28141409620427799</v>
      </c>
      <c r="AG354">
        <v>-1.139175</v>
      </c>
      <c r="AH354">
        <v>18.093897603920599</v>
      </c>
      <c r="AI354">
        <v>93.602099668308497</v>
      </c>
      <c r="AJ354">
        <v>90.891048488050899</v>
      </c>
      <c r="AK354">
        <v>18.131906796454999</v>
      </c>
      <c r="AL354">
        <v>82.1754833559323</v>
      </c>
      <c r="AM354">
        <v>87.390643454353096</v>
      </c>
      <c r="AN354">
        <v>1.0000000206118</v>
      </c>
    </row>
    <row r="355" spans="1:40" x14ac:dyDescent="0.25">
      <c r="A355" t="str">
        <f>"20190312164000769"</f>
        <v>20190312164000769</v>
      </c>
      <c r="B355" t="str">
        <f>"1552380000767082"</f>
        <v>1552380000767082</v>
      </c>
      <c r="C355" t="s">
        <v>40</v>
      </c>
      <c r="D355">
        <v>5.1510689999999997</v>
      </c>
      <c r="E355">
        <v>0.47887730000000001</v>
      </c>
      <c r="F355" t="s">
        <v>42</v>
      </c>
      <c r="G355">
        <v>-435.71480000000003</v>
      </c>
      <c r="H355">
        <v>1.0043010000000001</v>
      </c>
      <c r="I355">
        <v>368.48450000000003</v>
      </c>
      <c r="J355">
        <v>-436.29539999999997</v>
      </c>
      <c r="K355">
        <v>1.0866119999999999</v>
      </c>
      <c r="L355">
        <v>368.46969999999999</v>
      </c>
      <c r="M355">
        <v>0.99982289999999996</v>
      </c>
      <c r="N355">
        <v>0</v>
      </c>
      <c r="O355">
        <v>-4.2526949999999999E-3</v>
      </c>
      <c r="P355">
        <v>0.99185040000000002</v>
      </c>
      <c r="Q355">
        <v>0.1174796</v>
      </c>
      <c r="R355">
        <v>-4.9312410000000001E-2</v>
      </c>
      <c r="S355">
        <v>3.0626530000000001</v>
      </c>
      <c r="T355">
        <v>-0.29724129999999999</v>
      </c>
      <c r="U355">
        <v>5.0354000000000003E-2</v>
      </c>
      <c r="V355">
        <v>4.4877220000000002E-2</v>
      </c>
      <c r="W355">
        <v>0.13572290000000001</v>
      </c>
      <c r="X355">
        <v>0.98972990000000005</v>
      </c>
      <c r="Y355">
        <v>-2.0575139999999999E-2</v>
      </c>
      <c r="Z355">
        <v>1.407854E-3</v>
      </c>
      <c r="AA355">
        <v>0.99978730000000005</v>
      </c>
      <c r="AB355">
        <v>31</v>
      </c>
      <c r="AC355">
        <v>0.58059999999994705</v>
      </c>
      <c r="AD355">
        <v>-8.2310999999999995E-2</v>
      </c>
      <c r="AE355">
        <v>1.4800000000036499E-2</v>
      </c>
      <c r="AF355">
        <v>-1.6929363523235E-2</v>
      </c>
      <c r="AG355">
        <v>-8.2310999999999995E-2</v>
      </c>
      <c r="AH355">
        <v>0.56910119603120701</v>
      </c>
      <c r="AI355">
        <v>98.226220899202403</v>
      </c>
      <c r="AJ355">
        <v>91.703906301554895</v>
      </c>
      <c r="AK355">
        <v>0.57527200122590005</v>
      </c>
      <c r="AL355">
        <v>82.199576026283694</v>
      </c>
      <c r="AM355">
        <v>87.403821678154202</v>
      </c>
      <c r="AN355">
        <v>0.99999997270667396</v>
      </c>
    </row>
    <row r="356" spans="1:40" x14ac:dyDescent="0.25">
      <c r="A356" t="str">
        <f>"20190312164000781"</f>
        <v>20190312164000781</v>
      </c>
      <c r="B356" t="str">
        <f>"1552380000776841"</f>
        <v>1552380000776841</v>
      </c>
      <c r="C356" t="s">
        <v>40</v>
      </c>
      <c r="D356">
        <v>4.8883470000000004</v>
      </c>
      <c r="E356">
        <v>0.47894979999999998</v>
      </c>
      <c r="F356" t="s">
        <v>42</v>
      </c>
      <c r="G356">
        <v>-435.43880000000001</v>
      </c>
      <c r="H356">
        <v>1.004723</v>
      </c>
      <c r="I356">
        <v>368.48390000000001</v>
      </c>
      <c r="J356">
        <v>-436.12060000000002</v>
      </c>
      <c r="K356">
        <v>1.0850679999999999</v>
      </c>
      <c r="L356">
        <v>368.46929999999998</v>
      </c>
      <c r="M356">
        <v>0.99982789999999999</v>
      </c>
      <c r="N356">
        <v>0</v>
      </c>
      <c r="O356">
        <v>-3.8803069999999999E-3</v>
      </c>
      <c r="P356">
        <v>0.99184890000000003</v>
      </c>
      <c r="Q356">
        <v>0.117678</v>
      </c>
      <c r="R356">
        <v>-4.8866319999999998E-2</v>
      </c>
      <c r="S356">
        <v>3.0618289999999999</v>
      </c>
      <c r="T356">
        <v>-0.29280529999999999</v>
      </c>
      <c r="U356">
        <v>5.111694E-2</v>
      </c>
      <c r="V356">
        <v>4.4803370000000002E-2</v>
      </c>
      <c r="W356">
        <v>0.1357276</v>
      </c>
      <c r="X356">
        <v>0.98973259999999996</v>
      </c>
      <c r="Y356">
        <v>-2.046183E-2</v>
      </c>
      <c r="Z356">
        <v>1.346367E-3</v>
      </c>
      <c r="AA356">
        <v>0.9997897</v>
      </c>
      <c r="AB356">
        <v>31</v>
      </c>
      <c r="AC356">
        <v>0.68180000000000895</v>
      </c>
      <c r="AD356">
        <v>-8.0344999999999805E-2</v>
      </c>
      <c r="AE356">
        <v>1.46000000000299E-2</v>
      </c>
      <c r="AF356">
        <v>-1.7009814361033101E-2</v>
      </c>
      <c r="AG356">
        <v>-8.0344999999999805E-2</v>
      </c>
      <c r="AH356">
        <v>0.672404898107549</v>
      </c>
      <c r="AI356">
        <v>96.811751369990901</v>
      </c>
      <c r="AJ356">
        <v>91.449101223736903</v>
      </c>
      <c r="AK356">
        <v>0.67740165323729495</v>
      </c>
      <c r="AL356">
        <v>82.199304210975995</v>
      </c>
      <c r="AM356">
        <v>87.4080951820346</v>
      </c>
      <c r="AN356">
        <v>0.99999997143393804</v>
      </c>
    </row>
    <row r="357" spans="1:40" x14ac:dyDescent="0.25">
      <c r="A357" t="str">
        <f>"20190312164000793"</f>
        <v>20190312164000793</v>
      </c>
      <c r="B357" t="str">
        <f>"1552380000786602"</f>
        <v>1552380000786602</v>
      </c>
      <c r="C357" t="s">
        <v>40</v>
      </c>
      <c r="D357">
        <v>5.0327609999999998</v>
      </c>
      <c r="E357">
        <v>0.47932200000000003</v>
      </c>
      <c r="F357" t="s">
        <v>42</v>
      </c>
      <c r="G357">
        <v>-435.1748</v>
      </c>
      <c r="H357">
        <v>0.99256920000000004</v>
      </c>
      <c r="I357">
        <v>368.48520000000002</v>
      </c>
      <c r="J357">
        <v>-435.94819999999999</v>
      </c>
      <c r="K357">
        <v>1.083539</v>
      </c>
      <c r="L357">
        <v>368.46899999999999</v>
      </c>
      <c r="M357">
        <v>0.99983390000000005</v>
      </c>
      <c r="N357">
        <v>0</v>
      </c>
      <c r="O357">
        <v>-3.5012939999999998E-3</v>
      </c>
      <c r="P357">
        <v>0.99184380000000005</v>
      </c>
      <c r="Q357">
        <v>0.1179216</v>
      </c>
      <c r="R357">
        <v>-4.838377E-2</v>
      </c>
      <c r="S357">
        <v>3.0627749999999998</v>
      </c>
      <c r="T357">
        <v>-0.29955080000000001</v>
      </c>
      <c r="U357">
        <v>5.1757810000000001E-2</v>
      </c>
      <c r="V357">
        <v>4.4701909999999997E-2</v>
      </c>
      <c r="W357">
        <v>0.13572049999999999</v>
      </c>
      <c r="X357">
        <v>0.98973820000000001</v>
      </c>
      <c r="Y357">
        <v>-2.0284369999999999E-2</v>
      </c>
      <c r="Z357">
        <v>1.3311690000000001E-3</v>
      </c>
      <c r="AA357">
        <v>0.99979340000000005</v>
      </c>
      <c r="AB357">
        <v>31</v>
      </c>
      <c r="AC357">
        <v>0.77339999999997999</v>
      </c>
      <c r="AD357">
        <v>-9.0969800000000101E-2</v>
      </c>
      <c r="AE357">
        <v>1.62000000000261E-2</v>
      </c>
      <c r="AF357">
        <v>-1.8650316585165801E-2</v>
      </c>
      <c r="AG357">
        <v>-9.0969800000000101E-2</v>
      </c>
      <c r="AH357">
        <v>0.76278978978442102</v>
      </c>
      <c r="AI357">
        <v>96.798922069115505</v>
      </c>
      <c r="AJ357">
        <v>91.400610733117603</v>
      </c>
      <c r="AK357">
        <v>0.76842150036300205</v>
      </c>
      <c r="AL357">
        <v>82.199715110842106</v>
      </c>
      <c r="AM357">
        <v>87.413971345548305</v>
      </c>
      <c r="AN357">
        <v>1.00000000970856</v>
      </c>
    </row>
    <row r="358" spans="1:40" x14ac:dyDescent="0.25">
      <c r="A358" t="str">
        <f>"20190312164000806"</f>
        <v>20190312164000806</v>
      </c>
      <c r="B358" t="str">
        <f>"1552380000796362"</f>
        <v>1552380000796362</v>
      </c>
      <c r="C358" t="s">
        <v>40</v>
      </c>
      <c r="D358">
        <v>5.0611290000000002</v>
      </c>
      <c r="E358">
        <v>0.47931550000000001</v>
      </c>
      <c r="F358" t="s">
        <v>43</v>
      </c>
      <c r="G358">
        <v>-424.06630000000001</v>
      </c>
      <c r="H358">
        <v>-0.05</v>
      </c>
      <c r="I358">
        <v>368.66160000000002</v>
      </c>
      <c r="J358">
        <v>-435.7903</v>
      </c>
      <c r="K358">
        <v>1.08216</v>
      </c>
      <c r="L358">
        <v>368.46879999999999</v>
      </c>
      <c r="M358">
        <v>0.99983979999999995</v>
      </c>
      <c r="N358">
        <v>0</v>
      </c>
      <c r="O358">
        <v>-3.1537840000000002E-3</v>
      </c>
      <c r="P358">
        <v>0.99188220000000005</v>
      </c>
      <c r="Q358">
        <v>0.1179931</v>
      </c>
      <c r="R358">
        <v>-4.7408119999999998E-2</v>
      </c>
      <c r="S358">
        <v>3.061798</v>
      </c>
      <c r="T358">
        <v>-0.29209790000000002</v>
      </c>
      <c r="U358">
        <v>4.9621579999999998E-2</v>
      </c>
      <c r="V358">
        <v>4.4076789999999998E-2</v>
      </c>
      <c r="W358">
        <v>0.1355122</v>
      </c>
      <c r="X358">
        <v>0.98979479999999997</v>
      </c>
      <c r="Y358">
        <v>-1.9256599999999999E-2</v>
      </c>
      <c r="Z358">
        <v>1.216628E-3</v>
      </c>
      <c r="AA358">
        <v>0.99981390000000003</v>
      </c>
      <c r="AB358">
        <v>31</v>
      </c>
      <c r="AC358">
        <v>11.723999999999901</v>
      </c>
      <c r="AD358">
        <v>-1.1321600000000001</v>
      </c>
      <c r="AE358">
        <v>0.192800000000033</v>
      </c>
      <c r="AF358">
        <v>-0.22765734005603899</v>
      </c>
      <c r="AG358">
        <v>-1.1321600000000001</v>
      </c>
      <c r="AH358">
        <v>11.615048707724</v>
      </c>
      <c r="AI358">
        <v>95.566173365595503</v>
      </c>
      <c r="AJ358">
        <v>91.122865270374504</v>
      </c>
      <c r="AK358">
        <v>11.6723164201834</v>
      </c>
      <c r="AL358">
        <v>82.211761291480698</v>
      </c>
      <c r="AM358">
        <v>87.450232412017399</v>
      </c>
      <c r="AN358">
        <v>1.0000000329362899</v>
      </c>
    </row>
    <row r="359" spans="1:40" x14ac:dyDescent="0.25">
      <c r="A359" t="str">
        <f>"20190312164000825"</f>
        <v>20190312164000825</v>
      </c>
      <c r="B359" t="str">
        <f>"1552380000816861"</f>
        <v>1552380000816861</v>
      </c>
      <c r="C359" t="s">
        <v>40</v>
      </c>
      <c r="D359">
        <v>5.0807419999999999</v>
      </c>
      <c r="E359">
        <v>0.48036509999999999</v>
      </c>
      <c r="F359" t="s">
        <v>42</v>
      </c>
      <c r="G359">
        <v>-434.8954</v>
      </c>
      <c r="H359">
        <v>0.99831020000000004</v>
      </c>
      <c r="I359">
        <v>368.4837</v>
      </c>
      <c r="J359">
        <v>-435.524</v>
      </c>
      <c r="K359">
        <v>1.0798760000000001</v>
      </c>
      <c r="L359">
        <v>368.46850000000001</v>
      </c>
      <c r="M359">
        <v>0.99985109999999999</v>
      </c>
      <c r="N359">
        <v>0</v>
      </c>
      <c r="O359">
        <v>-2.579877E-3</v>
      </c>
      <c r="P359">
        <v>0.99186870000000005</v>
      </c>
      <c r="Q359">
        <v>0.1184418</v>
      </c>
      <c r="R359">
        <v>-4.656391E-2</v>
      </c>
      <c r="S359">
        <v>3.061188</v>
      </c>
      <c r="T359">
        <v>-0.28691230000000001</v>
      </c>
      <c r="U359">
        <v>5.1696779999999998E-2</v>
      </c>
      <c r="V359">
        <v>4.3811969999999999E-2</v>
      </c>
      <c r="W359">
        <v>0.13541339999999999</v>
      </c>
      <c r="X359">
        <v>0.98982009999999998</v>
      </c>
      <c r="Y359">
        <v>-1.9369069999999999E-2</v>
      </c>
      <c r="Z359">
        <v>1.1469339999999901E-3</v>
      </c>
      <c r="AA359">
        <v>0.99981180000000003</v>
      </c>
      <c r="AB359">
        <v>31</v>
      </c>
      <c r="AC359">
        <v>0.62860000000000504</v>
      </c>
      <c r="AD359">
        <v>-8.1565800000000105E-2</v>
      </c>
      <c r="AE359">
        <v>1.51999999999929E-2</v>
      </c>
      <c r="AF359">
        <v>-1.65435140645823E-2</v>
      </c>
      <c r="AG359">
        <v>-8.1565800000000105E-2</v>
      </c>
      <c r="AH359">
        <v>0.61815679814547198</v>
      </c>
      <c r="AI359">
        <v>97.514095829711906</v>
      </c>
      <c r="AJ359">
        <v>91.533020962952705</v>
      </c>
      <c r="AK359">
        <v>0.62373431417608105</v>
      </c>
      <c r="AL359">
        <v>82.217474943621795</v>
      </c>
      <c r="AM359">
        <v>87.465596460922598</v>
      </c>
      <c r="AN359">
        <v>1.00000005398942</v>
      </c>
    </row>
    <row r="360" spans="1:40" x14ac:dyDescent="0.25">
      <c r="A360" t="str">
        <f>"20190312164000837"</f>
        <v>20190312164000837</v>
      </c>
      <c r="B360" t="str">
        <f>"1552380000826618"</f>
        <v>1552380000826618</v>
      </c>
      <c r="C360" t="s">
        <v>40</v>
      </c>
      <c r="D360">
        <v>5.1634650000000004</v>
      </c>
      <c r="E360">
        <v>0.48050900000000002</v>
      </c>
      <c r="F360" t="s">
        <v>42</v>
      </c>
      <c r="G360">
        <v>-434.61579999999998</v>
      </c>
      <c r="H360">
        <v>1.0003500000000001</v>
      </c>
      <c r="I360">
        <v>368.48160000000001</v>
      </c>
      <c r="J360">
        <v>-435.35700000000003</v>
      </c>
      <c r="K360">
        <v>1.078484</v>
      </c>
      <c r="L360">
        <v>368.46839999999997</v>
      </c>
      <c r="M360">
        <v>0.99985849999999998</v>
      </c>
      <c r="N360">
        <v>0</v>
      </c>
      <c r="O360">
        <v>-2.232698E-3</v>
      </c>
      <c r="P360">
        <v>0.99187829999999999</v>
      </c>
      <c r="Q360">
        <v>0.1186633</v>
      </c>
      <c r="R360">
        <v>-4.5788839999999997E-2</v>
      </c>
      <c r="S360">
        <v>3.058716</v>
      </c>
      <c r="T360">
        <v>-0.26801360000000002</v>
      </c>
      <c r="U360">
        <v>4.501343E-2</v>
      </c>
      <c r="V360">
        <v>4.3387969999999998E-2</v>
      </c>
      <c r="W360">
        <v>0.13525609999999999</v>
      </c>
      <c r="X360">
        <v>0.98986019999999997</v>
      </c>
      <c r="Y360">
        <v>-1.6874380000000001E-2</v>
      </c>
      <c r="Z360">
        <v>9.3311670000000002E-4</v>
      </c>
      <c r="AA360">
        <v>0.9998572</v>
      </c>
      <c r="AB360">
        <v>31</v>
      </c>
      <c r="AC360">
        <v>0.74119999999999198</v>
      </c>
      <c r="AD360">
        <v>-7.8133999999999898E-2</v>
      </c>
      <c r="AE360">
        <v>1.32000000000402E-2</v>
      </c>
      <c r="AF360">
        <v>-1.46918622952783E-2</v>
      </c>
      <c r="AG360">
        <v>-7.8133999999999898E-2</v>
      </c>
      <c r="AH360">
        <v>0.73302555898732302</v>
      </c>
      <c r="AI360">
        <v>96.083034594975203</v>
      </c>
      <c r="AJ360">
        <v>91.148212366458594</v>
      </c>
      <c r="AK360">
        <v>0.73732438105787701</v>
      </c>
      <c r="AL360">
        <v>82.226570614947605</v>
      </c>
      <c r="AM360">
        <v>87.490193739185003</v>
      </c>
      <c r="AN360">
        <v>0.99999997203598501</v>
      </c>
    </row>
    <row r="361" spans="1:40" x14ac:dyDescent="0.25">
      <c r="A361" t="str">
        <f>"20190312164000860"</f>
        <v>20190312164000860</v>
      </c>
      <c r="B361" t="str">
        <f>"1552380000856874"</f>
        <v>1552380000856874</v>
      </c>
      <c r="C361" t="s">
        <v>40</v>
      </c>
      <c r="D361">
        <v>5.2420359999999997</v>
      </c>
      <c r="E361">
        <v>0.48130889999999998</v>
      </c>
      <c r="F361" t="s">
        <v>43</v>
      </c>
      <c r="G361">
        <v>-422.03629999999998</v>
      </c>
      <c r="H361">
        <v>-0.05</v>
      </c>
      <c r="I361">
        <v>368.66699999999997</v>
      </c>
      <c r="J361">
        <v>-435.04399999999998</v>
      </c>
      <c r="K361">
        <v>1.0760529999999999</v>
      </c>
      <c r="L361">
        <v>368.4683</v>
      </c>
      <c r="M361">
        <v>0.99987190000000004</v>
      </c>
      <c r="N361">
        <v>0</v>
      </c>
      <c r="O361">
        <v>-1.6450659999999999E-3</v>
      </c>
      <c r="P361">
        <v>0.99183509999999997</v>
      </c>
      <c r="Q361">
        <v>0.1194371</v>
      </c>
      <c r="R361">
        <v>-4.4701230000000002E-2</v>
      </c>
      <c r="S361">
        <v>3.0576780000000001</v>
      </c>
      <c r="T361">
        <v>-0.25903559999999998</v>
      </c>
      <c r="U361">
        <v>4.5593259999999997E-2</v>
      </c>
      <c r="V361">
        <v>4.2895809999999999E-2</v>
      </c>
      <c r="W361">
        <v>0.13527400000000001</v>
      </c>
      <c r="X361">
        <v>0.98987930000000002</v>
      </c>
      <c r="Y361">
        <v>-1.648954E-2</v>
      </c>
      <c r="Z361">
        <v>8.3630580000000003E-4</v>
      </c>
      <c r="AA361">
        <v>0.99986370000000002</v>
      </c>
      <c r="AB361">
        <v>31</v>
      </c>
      <c r="AC361">
        <v>13.0077</v>
      </c>
      <c r="AD361">
        <v>-1.126053</v>
      </c>
      <c r="AE361">
        <v>0.19869999999997301</v>
      </c>
      <c r="AF361">
        <v>-0.21846416894047399</v>
      </c>
      <c r="AG361">
        <v>-1.126053</v>
      </c>
      <c r="AH361">
        <v>12.910625167405801</v>
      </c>
      <c r="AI361">
        <v>94.983961754822303</v>
      </c>
      <c r="AJ361">
        <v>90.969424813232393</v>
      </c>
      <c r="AK361">
        <v>12.9614800144571</v>
      </c>
      <c r="AL361">
        <v>82.225536250741101</v>
      </c>
      <c r="AM361">
        <v>87.518675095528707</v>
      </c>
      <c r="AN361">
        <v>1.00000006708002</v>
      </c>
    </row>
    <row r="362" spans="1:40" x14ac:dyDescent="0.25">
      <c r="A362" t="str">
        <f>"20190312164000882"</f>
        <v>20190312164000882</v>
      </c>
      <c r="B362" t="str">
        <f>"1552380000876393"</f>
        <v>1552380000876393</v>
      </c>
      <c r="C362" t="s">
        <v>40</v>
      </c>
      <c r="D362">
        <v>5.0751900000000001</v>
      </c>
      <c r="E362">
        <v>0.48146250000000002</v>
      </c>
      <c r="F362" t="s">
        <v>42</v>
      </c>
      <c r="G362">
        <v>-434.07069999999999</v>
      </c>
      <c r="H362">
        <v>0.99601229999999996</v>
      </c>
      <c r="I362">
        <v>368.48149999999998</v>
      </c>
      <c r="J362">
        <v>-434.74349999999998</v>
      </c>
      <c r="K362">
        <v>1.073915</v>
      </c>
      <c r="L362">
        <v>368.4683</v>
      </c>
      <c r="M362">
        <v>0.99988379999999999</v>
      </c>
      <c r="N362">
        <v>0</v>
      </c>
      <c r="O362">
        <v>-1.1503419999999999E-3</v>
      </c>
      <c r="P362">
        <v>0.99185800000000002</v>
      </c>
      <c r="Q362">
        <v>0.1195633</v>
      </c>
      <c r="R362">
        <v>-4.3845870000000002E-2</v>
      </c>
      <c r="S362">
        <v>3.0568849999999999</v>
      </c>
      <c r="T362">
        <v>-0.25153239999999999</v>
      </c>
      <c r="U362">
        <v>4.1992189999999999E-2</v>
      </c>
      <c r="V362">
        <v>4.2545979999999997E-2</v>
      </c>
      <c r="W362">
        <v>0.13467680000000001</v>
      </c>
      <c r="X362">
        <v>0.98997579999999996</v>
      </c>
      <c r="Y362">
        <v>-1.483198E-2</v>
      </c>
      <c r="Z362">
        <v>7.0366020000000001E-4</v>
      </c>
      <c r="AA362">
        <v>0.99988969999999999</v>
      </c>
      <c r="AB362">
        <v>31</v>
      </c>
      <c r="AC362">
        <v>0.67279999999999496</v>
      </c>
      <c r="AD362">
        <v>-7.7902699999999894E-2</v>
      </c>
      <c r="AE362">
        <v>1.31999999999834E-2</v>
      </c>
      <c r="AF362">
        <v>-1.3789229117915301E-2</v>
      </c>
      <c r="AG362">
        <v>-7.7902699999999894E-2</v>
      </c>
      <c r="AH362">
        <v>0.66388703025100404</v>
      </c>
      <c r="AI362">
        <v>96.691240039958004</v>
      </c>
      <c r="AJ362">
        <v>91.189887752443099</v>
      </c>
      <c r="AK362">
        <v>0.66858429718506995</v>
      </c>
      <c r="AL362">
        <v>82.260069112530999</v>
      </c>
      <c r="AM362">
        <v>87.539125771553103</v>
      </c>
      <c r="AN362">
        <v>1.0000000427290101</v>
      </c>
    </row>
    <row r="363" spans="1:40" x14ac:dyDescent="0.25">
      <c r="A363" t="str">
        <f>"20190312164000903"</f>
        <v>20190312164000903</v>
      </c>
      <c r="B363" t="str">
        <f>"1552380000896890"</f>
        <v>1552380000896890</v>
      </c>
      <c r="C363" t="s">
        <v>40</v>
      </c>
      <c r="D363">
        <v>5.2192540000000003</v>
      </c>
      <c r="E363">
        <v>0.48141790000000001</v>
      </c>
      <c r="F363" t="s">
        <v>43</v>
      </c>
      <c r="G363">
        <v>-420.67290000000003</v>
      </c>
      <c r="H363">
        <v>-0.05</v>
      </c>
      <c r="I363">
        <v>368.66730000000001</v>
      </c>
      <c r="J363">
        <v>-434.44990000000001</v>
      </c>
      <c r="K363">
        <v>1.07202</v>
      </c>
      <c r="L363">
        <v>368.46839999999997</v>
      </c>
      <c r="M363">
        <v>0.99989430000000001</v>
      </c>
      <c r="N363">
        <v>0</v>
      </c>
      <c r="O363">
        <v>-7.1908360000000001E-4</v>
      </c>
      <c r="P363">
        <v>0.99188810000000005</v>
      </c>
      <c r="Q363">
        <v>0.1196772</v>
      </c>
      <c r="R363">
        <v>-4.2839339999999997E-2</v>
      </c>
      <c r="S363">
        <v>3.055939</v>
      </c>
      <c r="T363">
        <v>-0.2440995</v>
      </c>
      <c r="U363">
        <v>4.3212889999999997E-2</v>
      </c>
      <c r="V363">
        <v>4.1982730000000003E-2</v>
      </c>
      <c r="W363">
        <v>0.13411029999999999</v>
      </c>
      <c r="X363">
        <v>0.99007670000000003</v>
      </c>
      <c r="Y363">
        <v>-1.480885E-2</v>
      </c>
      <c r="Z363">
        <v>6.4782429999999996E-4</v>
      </c>
      <c r="AA363">
        <v>0.9998901</v>
      </c>
      <c r="AB363">
        <v>31</v>
      </c>
      <c r="AC363">
        <v>13.7769999999999</v>
      </c>
      <c r="AD363">
        <v>-1.12202</v>
      </c>
      <c r="AE363">
        <v>0.19890000000003699</v>
      </c>
      <c r="AF363">
        <v>-0.20743225398499801</v>
      </c>
      <c r="AG363">
        <v>-1.12202</v>
      </c>
      <c r="AH363">
        <v>13.6860962237911</v>
      </c>
      <c r="AI363">
        <v>94.686232446065205</v>
      </c>
      <c r="AJ363">
        <v>90.868332544002996</v>
      </c>
      <c r="AK363">
        <v>13.7335788076984</v>
      </c>
      <c r="AL363">
        <v>82.292823970443493</v>
      </c>
      <c r="AM363">
        <v>87.571912264921295</v>
      </c>
      <c r="AN363">
        <v>0.99999999703361597</v>
      </c>
    </row>
    <row r="364" spans="1:40" x14ac:dyDescent="0.25">
      <c r="A364" t="str">
        <f>"20190312164000915"</f>
        <v>20190312164000915</v>
      </c>
      <c r="B364" t="str">
        <f>"1552380000906650"</f>
        <v>1552380000906650</v>
      </c>
      <c r="C364" t="s">
        <v>40</v>
      </c>
      <c r="D364">
        <v>5.1456650000000002</v>
      </c>
      <c r="E364">
        <v>0.4814872</v>
      </c>
      <c r="F364" t="s">
        <v>43</v>
      </c>
      <c r="G364">
        <v>-420.08580000000001</v>
      </c>
      <c r="H364">
        <v>-0.05</v>
      </c>
      <c r="I364">
        <v>368.68540000000002</v>
      </c>
      <c r="J364">
        <v>-434.28149999999999</v>
      </c>
      <c r="K364">
        <v>1.0710150000000001</v>
      </c>
      <c r="L364">
        <v>368.46850000000001</v>
      </c>
      <c r="M364">
        <v>0.99989980000000001</v>
      </c>
      <c r="N364">
        <v>0</v>
      </c>
      <c r="O364">
        <v>-4.9150309999999896E-4</v>
      </c>
      <c r="P364">
        <v>0.99192089999999999</v>
      </c>
      <c r="Q364">
        <v>0.1195846</v>
      </c>
      <c r="R364">
        <v>-4.2334040000000003E-2</v>
      </c>
      <c r="S364">
        <v>3.0553279999999998</v>
      </c>
      <c r="T364">
        <v>-0.2386606</v>
      </c>
      <c r="U364">
        <v>4.6142580000000002E-2</v>
      </c>
      <c r="V364">
        <v>4.1712869999999999E-2</v>
      </c>
      <c r="W364">
        <v>0.13364389999999901</v>
      </c>
      <c r="X364">
        <v>0.99015120000000001</v>
      </c>
      <c r="Y364">
        <v>-1.554327E-2</v>
      </c>
      <c r="Z364">
        <v>6.4444329999999996E-4</v>
      </c>
      <c r="AA364">
        <v>0.99987899999999996</v>
      </c>
      <c r="AB364">
        <v>31</v>
      </c>
      <c r="AC364">
        <v>14.195699999999899</v>
      </c>
      <c r="AD364">
        <v>-1.1210149999999901</v>
      </c>
      <c r="AE364">
        <v>0.216900000000009</v>
      </c>
      <c r="AF364">
        <v>-0.222490764175378</v>
      </c>
      <c r="AG364">
        <v>-1.1210149999999901</v>
      </c>
      <c r="AH364">
        <v>14.1076363496112</v>
      </c>
      <c r="AI364">
        <v>94.542704099315301</v>
      </c>
      <c r="AJ364">
        <v>90.903533711958403</v>
      </c>
      <c r="AK364">
        <v>14.153853897198401</v>
      </c>
      <c r="AL364">
        <v>82.319789700353795</v>
      </c>
      <c r="AM364">
        <v>87.587682528657595</v>
      </c>
      <c r="AN364">
        <v>1.00000002719614</v>
      </c>
    </row>
    <row r="365" spans="1:40" x14ac:dyDescent="0.25">
      <c r="A365" t="str">
        <f>"20190312164000928"</f>
        <v>20190312164000928</v>
      </c>
      <c r="B365" t="str">
        <f>"1552380000916411"</f>
        <v>1552380000916411</v>
      </c>
      <c r="C365" t="s">
        <v>40</v>
      </c>
      <c r="D365">
        <v>5.1059769999999904</v>
      </c>
      <c r="E365">
        <v>0.48150169999999998</v>
      </c>
      <c r="F365" t="s">
        <v>43</v>
      </c>
      <c r="G365">
        <v>-419.73919999999998</v>
      </c>
      <c r="H365">
        <v>-0.05</v>
      </c>
      <c r="I365">
        <v>368.69240000000002</v>
      </c>
      <c r="J365">
        <v>-434.10750000000002</v>
      </c>
      <c r="K365">
        <v>1.070065</v>
      </c>
      <c r="L365">
        <v>368.46870000000001</v>
      </c>
      <c r="M365">
        <v>0.99990509999999999</v>
      </c>
      <c r="N365">
        <v>0</v>
      </c>
      <c r="O365">
        <v>-2.8110590000000001E-4</v>
      </c>
      <c r="P365">
        <v>0.99190999999999996</v>
      </c>
      <c r="Q365">
        <v>0.11980639999999899</v>
      </c>
      <c r="R365">
        <v>-4.1965860000000001E-2</v>
      </c>
      <c r="S365">
        <v>3.0548099999999998</v>
      </c>
      <c r="T365">
        <v>-0.23548469999999999</v>
      </c>
      <c r="U365">
        <v>4.7027590000000001E-2</v>
      </c>
      <c r="V365">
        <v>4.1562790000000002E-2</v>
      </c>
      <c r="W365">
        <v>0.13350020000000001</v>
      </c>
      <c r="X365">
        <v>0.99017690000000003</v>
      </c>
      <c r="Y365">
        <v>-1.56267E-2</v>
      </c>
      <c r="Z365">
        <v>6.2301469999999999E-4</v>
      </c>
      <c r="AA365">
        <v>0.99987769999999998</v>
      </c>
      <c r="AB365">
        <v>31</v>
      </c>
      <c r="AC365">
        <v>14.3683</v>
      </c>
      <c r="AD365">
        <v>-1.1200649999999901</v>
      </c>
      <c r="AE365">
        <v>0.223700000000008</v>
      </c>
      <c r="AF365">
        <v>-0.22636414959679499</v>
      </c>
      <c r="AG365">
        <v>-1.1200649999999901</v>
      </c>
      <c r="AH365">
        <v>14.2814717793543</v>
      </c>
      <c r="AI365">
        <v>94.483844009038194</v>
      </c>
      <c r="AJ365">
        <v>90.908073386803494</v>
      </c>
      <c r="AK365">
        <v>14.327114940452599</v>
      </c>
      <c r="AL365">
        <v>82.328097579567697</v>
      </c>
      <c r="AM365">
        <v>87.596413994114101</v>
      </c>
      <c r="AN365">
        <v>1.0000000311031101</v>
      </c>
    </row>
    <row r="366" spans="1:40" x14ac:dyDescent="0.25">
      <c r="A366" t="str">
        <f>"20190312164000947"</f>
        <v>20190312164000947</v>
      </c>
      <c r="B366" t="str">
        <f>"1552380000936909"</f>
        <v>1552380000936909</v>
      </c>
      <c r="C366" t="s">
        <v>40</v>
      </c>
      <c r="D366">
        <v>5.036524</v>
      </c>
      <c r="E366">
        <v>0.48119899999999999</v>
      </c>
      <c r="F366" t="s">
        <v>43</v>
      </c>
      <c r="G366">
        <v>-419.6859</v>
      </c>
      <c r="H366">
        <v>-0.05</v>
      </c>
      <c r="I366">
        <v>368.69479999999999</v>
      </c>
      <c r="J366">
        <v>-433.8449</v>
      </c>
      <c r="K366">
        <v>1.068735</v>
      </c>
      <c r="L366">
        <v>368.46890000000002</v>
      </c>
      <c r="M366">
        <v>0.99991209999999997</v>
      </c>
      <c r="N366">
        <v>0</v>
      </c>
      <c r="O366" s="1">
        <v>1.782199E-6</v>
      </c>
      <c r="P366">
        <v>0.99188350000000003</v>
      </c>
      <c r="Q366">
        <v>0.1201734</v>
      </c>
      <c r="R366">
        <v>-4.1538239999999997E-2</v>
      </c>
      <c r="S366">
        <v>3.055145</v>
      </c>
      <c r="T366">
        <v>-0.2372804</v>
      </c>
      <c r="U366">
        <v>4.79126E-2</v>
      </c>
      <c r="V366">
        <v>4.1431290000000003E-2</v>
      </c>
      <c r="W366">
        <v>0.1333443</v>
      </c>
      <c r="X366">
        <v>0.99020339999999996</v>
      </c>
      <c r="Y366">
        <v>-1.5631820000000001E-2</v>
      </c>
      <c r="Z366">
        <v>6.0594130000000003E-4</v>
      </c>
      <c r="AA366">
        <v>0.99987760000000003</v>
      </c>
      <c r="AB366">
        <v>31</v>
      </c>
      <c r="AC366">
        <v>14.158999999999899</v>
      </c>
      <c r="AD366">
        <v>-1.118735</v>
      </c>
      <c r="AE366">
        <v>0.22589999999996699</v>
      </c>
      <c r="AF366">
        <v>-0.224473743729761</v>
      </c>
      <c r="AG366">
        <v>-1.118735</v>
      </c>
      <c r="AH366">
        <v>14.071177217090099</v>
      </c>
      <c r="AI366">
        <v>94.5451877114442</v>
      </c>
      <c r="AJ366">
        <v>90.913946790960907</v>
      </c>
      <c r="AK366">
        <v>14.117364652675199</v>
      </c>
      <c r="AL366">
        <v>82.337110440195303</v>
      </c>
      <c r="AM366">
        <v>87.604073840838396</v>
      </c>
      <c r="AN366">
        <v>1.00000001375255</v>
      </c>
    </row>
    <row r="367" spans="1:40" x14ac:dyDescent="0.25">
      <c r="A367" t="str">
        <f>"20190312164000961"</f>
        <v>20190312164000961</v>
      </c>
      <c r="B367" t="str">
        <f>"1552380000956426"</f>
        <v>1552380000956426</v>
      </c>
      <c r="C367" t="s">
        <v>40</v>
      </c>
      <c r="D367">
        <v>5.0545059999999999</v>
      </c>
      <c r="E367">
        <v>0.48133530000000002</v>
      </c>
      <c r="F367" t="s">
        <v>43</v>
      </c>
      <c r="G367">
        <v>-420.07870000000003</v>
      </c>
      <c r="H367">
        <v>-0.05</v>
      </c>
      <c r="I367">
        <v>368.70679999999999</v>
      </c>
      <c r="J367">
        <v>-433.65530000000001</v>
      </c>
      <c r="K367">
        <v>1.0678529999999999</v>
      </c>
      <c r="L367">
        <v>368.46910000000003</v>
      </c>
      <c r="M367">
        <v>0.99991669999999999</v>
      </c>
      <c r="N367">
        <v>0</v>
      </c>
      <c r="O367">
        <v>1.78054399999999E-4</v>
      </c>
      <c r="P367">
        <v>0.99188069999999895</v>
      </c>
      <c r="Q367">
        <v>0.1203914</v>
      </c>
      <c r="R367">
        <v>-4.0972109999999999E-2</v>
      </c>
      <c r="S367">
        <v>3.0568240000000002</v>
      </c>
      <c r="T367">
        <v>-0.2484189</v>
      </c>
      <c r="U367">
        <v>5.282593E-2</v>
      </c>
      <c r="V367">
        <v>4.105176E-2</v>
      </c>
      <c r="W367">
        <v>0.13320770000000001</v>
      </c>
      <c r="X367">
        <v>0.99023760000000005</v>
      </c>
      <c r="Y367">
        <v>-1.7045100000000001E-2</v>
      </c>
      <c r="Z367">
        <v>6.7696480000000001E-4</v>
      </c>
      <c r="AA367">
        <v>0.99985449999999998</v>
      </c>
      <c r="AB367">
        <v>31</v>
      </c>
      <c r="AC367">
        <v>13.5765999999999</v>
      </c>
      <c r="AD367">
        <v>-1.117853</v>
      </c>
      <c r="AE367">
        <v>0.237699999999961</v>
      </c>
      <c r="AF367">
        <v>-0.233698585096595</v>
      </c>
      <c r="AG367">
        <v>-1.117853</v>
      </c>
      <c r="AH367">
        <v>13.485249052659199</v>
      </c>
      <c r="AI367">
        <v>94.737962808174402</v>
      </c>
      <c r="AJ367">
        <v>90.992833157188201</v>
      </c>
      <c r="AK367">
        <v>13.533519585478601</v>
      </c>
      <c r="AL367">
        <v>82.3450075523523</v>
      </c>
      <c r="AM367">
        <v>87.626078315833794</v>
      </c>
      <c r="AN367">
        <v>1.00000002139607</v>
      </c>
    </row>
    <row r="368" spans="1:40" x14ac:dyDescent="0.25">
      <c r="A368" t="str">
        <f>"20190312164000981"</f>
        <v>20190312164000981</v>
      </c>
      <c r="B368" t="str">
        <f>"1552380000976922"</f>
        <v>1552380000976922</v>
      </c>
      <c r="C368" t="s">
        <v>40</v>
      </c>
      <c r="D368">
        <v>5.3213850000000003</v>
      </c>
      <c r="E368">
        <v>0.4815083</v>
      </c>
      <c r="F368" t="s">
        <v>42</v>
      </c>
      <c r="G368">
        <v>-432.68239999999997</v>
      </c>
      <c r="H368">
        <v>0.99113379999999995</v>
      </c>
      <c r="I368">
        <v>368.48570000000001</v>
      </c>
      <c r="J368">
        <v>-433.37060000000002</v>
      </c>
      <c r="K368">
        <v>1.066675</v>
      </c>
      <c r="L368">
        <v>368.46929999999998</v>
      </c>
      <c r="M368">
        <v>0.99992300000000001</v>
      </c>
      <c r="N368">
        <v>0</v>
      </c>
      <c r="O368">
        <v>3.898466E-4</v>
      </c>
      <c r="P368">
        <v>0.99190809999999996</v>
      </c>
      <c r="Q368">
        <v>0.12039320000000001</v>
      </c>
      <c r="R368">
        <v>-4.0303489999999997E-2</v>
      </c>
      <c r="S368">
        <v>3.0560299999999998</v>
      </c>
      <c r="T368">
        <v>-0.24118210000000001</v>
      </c>
      <c r="U368">
        <v>5.3100590000000003E-2</v>
      </c>
      <c r="V368">
        <v>4.0611229999999998E-2</v>
      </c>
      <c r="W368">
        <v>0.132723799999999</v>
      </c>
      <c r="X368">
        <v>0.99032070000000005</v>
      </c>
      <c r="Y368">
        <v>-1.693182E-2</v>
      </c>
      <c r="Z368">
        <v>6.3632390000000004E-4</v>
      </c>
      <c r="AA368">
        <v>0.99985650000000004</v>
      </c>
      <c r="AB368">
        <v>31</v>
      </c>
      <c r="AC368">
        <v>0.68820000000005099</v>
      </c>
      <c r="AD368">
        <v>-7.5541200000000003E-2</v>
      </c>
      <c r="AE368">
        <v>1.6400000000032802E-2</v>
      </c>
      <c r="AF368">
        <v>-1.5939742294178001E-2</v>
      </c>
      <c r="AG368">
        <v>-7.5541200000000003E-2</v>
      </c>
      <c r="AH368">
        <v>0.68001769601203399</v>
      </c>
      <c r="AI368">
        <v>96.337106769107606</v>
      </c>
      <c r="AJ368">
        <v>91.342777924088495</v>
      </c>
      <c r="AK368">
        <v>0.684386305511266</v>
      </c>
      <c r="AL368">
        <v>82.372981082373002</v>
      </c>
      <c r="AM368">
        <v>87.651721242930506</v>
      </c>
      <c r="AN368">
        <v>0.99999998396852097</v>
      </c>
    </row>
    <row r="369" spans="1:40" x14ac:dyDescent="0.25">
      <c r="A369" t="str">
        <f>"20190312164001004"</f>
        <v>20190312164001004</v>
      </c>
      <c r="B369" t="str">
        <f>"1552380000996441"</f>
        <v>1552380000996441</v>
      </c>
      <c r="C369" t="s">
        <v>40</v>
      </c>
      <c r="D369">
        <v>5.2305979999999996</v>
      </c>
      <c r="E369">
        <v>0.48161029999999999</v>
      </c>
      <c r="F369" t="s">
        <v>43</v>
      </c>
      <c r="G369">
        <v>-418.89359999999999</v>
      </c>
      <c r="H369">
        <v>-0.05</v>
      </c>
      <c r="I369">
        <v>368.72570000000002</v>
      </c>
      <c r="J369">
        <v>-433.05470000000003</v>
      </c>
      <c r="K369">
        <v>1.0655479999999999</v>
      </c>
      <c r="L369">
        <v>368.46960000000001</v>
      </c>
      <c r="M369">
        <v>0.9999287</v>
      </c>
      <c r="N369">
        <v>0</v>
      </c>
      <c r="O369">
        <v>5.6307340000000001E-4</v>
      </c>
      <c r="P369">
        <v>0.99190049999999996</v>
      </c>
      <c r="Q369">
        <v>0.12049609999999999</v>
      </c>
      <c r="R369">
        <v>-4.0174000000000001E-2</v>
      </c>
      <c r="S369">
        <v>3.0552670000000002</v>
      </c>
      <c r="T369">
        <v>-0.2356673</v>
      </c>
      <c r="U369">
        <v>5.4107669999999997E-2</v>
      </c>
      <c r="V369">
        <v>4.0672489999999999E-2</v>
      </c>
      <c r="W369">
        <v>0.13234470000000001</v>
      </c>
      <c r="X369">
        <v>0.9903689</v>
      </c>
      <c r="Y369">
        <v>-1.7094740000000001E-2</v>
      </c>
      <c r="Z369">
        <v>6.1490259999999995E-4</v>
      </c>
      <c r="AA369">
        <v>0.99985369999999996</v>
      </c>
      <c r="AB369">
        <v>31</v>
      </c>
      <c r="AC369">
        <v>14.161099999999999</v>
      </c>
      <c r="AD369">
        <v>-1.115548</v>
      </c>
      <c r="AE369">
        <v>0.25610000000000299</v>
      </c>
      <c r="AF369">
        <v>-0.24659588262962301</v>
      </c>
      <c r="AG369">
        <v>-1.115548</v>
      </c>
      <c r="AH369">
        <v>14.073933569038401</v>
      </c>
      <c r="AI369">
        <v>94.531291226299402</v>
      </c>
      <c r="AJ369">
        <v>91.003803069810601</v>
      </c>
      <c r="AK369">
        <v>14.1202288570455</v>
      </c>
      <c r="AL369">
        <v>82.394895081782707</v>
      </c>
      <c r="AM369">
        <v>87.648297288315305</v>
      </c>
      <c r="AN369">
        <v>0.99999996457404905</v>
      </c>
    </row>
    <row r="370" spans="1:40" x14ac:dyDescent="0.25">
      <c r="A370" t="str">
        <f>"20190312164001015"</f>
        <v>20190312164001015</v>
      </c>
      <c r="B370" t="str">
        <f>"1552380001006203"</f>
        <v>1552380001006203</v>
      </c>
      <c r="C370" t="s">
        <v>40</v>
      </c>
      <c r="D370">
        <v>5.2906579999999996</v>
      </c>
      <c r="E370">
        <v>0.48165409999999997</v>
      </c>
      <c r="F370" t="s">
        <v>43</v>
      </c>
      <c r="G370">
        <v>-418.29199999999997</v>
      </c>
      <c r="H370">
        <v>-0.05</v>
      </c>
      <c r="I370">
        <v>368.73110000000003</v>
      </c>
      <c r="J370">
        <v>-432.88029999999998</v>
      </c>
      <c r="K370">
        <v>1.0649839999999999</v>
      </c>
      <c r="L370">
        <v>368.46980000000002</v>
      </c>
      <c r="M370">
        <v>0.99993160000000003</v>
      </c>
      <c r="N370">
        <v>0</v>
      </c>
      <c r="O370">
        <v>6.3809070000000003E-4</v>
      </c>
      <c r="P370">
        <v>0.99192279999999999</v>
      </c>
      <c r="Q370">
        <v>0.1203259</v>
      </c>
      <c r="R370">
        <v>-4.013866E-2</v>
      </c>
      <c r="S370">
        <v>3.0547789999999999</v>
      </c>
      <c r="T370">
        <v>-0.2308347</v>
      </c>
      <c r="U370">
        <v>5.4107669999999997E-2</v>
      </c>
      <c r="V370">
        <v>4.0720989999999999E-2</v>
      </c>
      <c r="W370">
        <v>0.1319292</v>
      </c>
      <c r="X370">
        <v>0.99042240000000004</v>
      </c>
      <c r="Y370">
        <v>-1.702495E-2</v>
      </c>
      <c r="Z370">
        <v>5.9413199999999895E-4</v>
      </c>
      <c r="AA370">
        <v>0.99985489999999999</v>
      </c>
      <c r="AB370">
        <v>31</v>
      </c>
      <c r="AC370">
        <v>14.5883</v>
      </c>
      <c r="AD370">
        <v>-1.114984</v>
      </c>
      <c r="AE370">
        <v>0.26130000000000497</v>
      </c>
      <c r="AF370">
        <v>-0.250527653602797</v>
      </c>
      <c r="AG370">
        <v>-1.114984</v>
      </c>
      <c r="AH370">
        <v>14.5037665088729</v>
      </c>
      <c r="AI370">
        <v>94.395341144270404</v>
      </c>
      <c r="AJ370">
        <v>90.989587763196596</v>
      </c>
      <c r="AK370">
        <v>14.548718031819099</v>
      </c>
      <c r="AL370">
        <v>82.418912508019801</v>
      </c>
      <c r="AM370">
        <v>87.645623190341894</v>
      </c>
      <c r="AN370">
        <v>1.0000000216304801</v>
      </c>
    </row>
    <row r="371" spans="1:40" x14ac:dyDescent="0.25">
      <c r="A371" t="str">
        <f>"20190312164001028"</f>
        <v>20190312164001028</v>
      </c>
      <c r="B371" t="str">
        <f>"1552380001016938"</f>
        <v>1552380001016938</v>
      </c>
      <c r="C371" t="s">
        <v>40</v>
      </c>
      <c r="D371">
        <v>5.3415780000000002</v>
      </c>
      <c r="E371">
        <v>0.48171370000000002</v>
      </c>
      <c r="F371" t="s">
        <v>43</v>
      </c>
      <c r="G371">
        <v>-418.02519999999998</v>
      </c>
      <c r="H371">
        <v>-0.05</v>
      </c>
      <c r="I371">
        <v>368.73450000000003</v>
      </c>
      <c r="J371">
        <v>-432.70800000000003</v>
      </c>
      <c r="K371">
        <v>1.064486</v>
      </c>
      <c r="L371">
        <v>368.47</v>
      </c>
      <c r="M371">
        <v>0.99993399999999999</v>
      </c>
      <c r="N371">
        <v>0</v>
      </c>
      <c r="O371">
        <v>6.8952019999999996E-4</v>
      </c>
      <c r="P371">
        <v>0.99195049999999996</v>
      </c>
      <c r="Q371">
        <v>0.1201657</v>
      </c>
      <c r="R371">
        <v>-3.9928980000000003E-2</v>
      </c>
      <c r="S371">
        <v>3.054443</v>
      </c>
      <c r="T371">
        <v>-0.2292584</v>
      </c>
      <c r="U371">
        <v>5.4412839999999997E-2</v>
      </c>
      <c r="V371">
        <v>4.0570710000000003E-2</v>
      </c>
      <c r="W371">
        <v>0.13154920000000001</v>
      </c>
      <c r="X371">
        <v>0.99047909999999995</v>
      </c>
      <c r="Y371">
        <v>-1.7075960000000001E-2</v>
      </c>
      <c r="Z371">
        <v>5.8820740000000002E-4</v>
      </c>
      <c r="AA371">
        <v>0.99985400000000002</v>
      </c>
      <c r="AB371">
        <v>31</v>
      </c>
      <c r="AC371">
        <v>14.6828</v>
      </c>
      <c r="AD371">
        <v>-1.1144860000000001</v>
      </c>
      <c r="AE371">
        <v>0.26449999999999801</v>
      </c>
      <c r="AF371">
        <v>-0.25291848073936202</v>
      </c>
      <c r="AG371">
        <v>-1.1144860000000001</v>
      </c>
      <c r="AH371">
        <v>14.5988954430685</v>
      </c>
      <c r="AI371">
        <v>94.364864765045894</v>
      </c>
      <c r="AJ371">
        <v>90.992521115143106</v>
      </c>
      <c r="AK371">
        <v>14.643558138640399</v>
      </c>
      <c r="AL371">
        <v>82.4408762509875</v>
      </c>
      <c r="AM371">
        <v>87.654436376953896</v>
      </c>
      <c r="AN371">
        <v>1.00000001103367</v>
      </c>
    </row>
    <row r="372" spans="1:40" x14ac:dyDescent="0.25">
      <c r="A372" t="str">
        <f>"20190312164001049"</f>
        <v>20190312164001049</v>
      </c>
      <c r="B372" t="str">
        <f>"1552380001047194"</f>
        <v>1552380001047194</v>
      </c>
      <c r="C372" t="s">
        <v>40</v>
      </c>
      <c r="D372">
        <v>5.3615550000000001</v>
      </c>
      <c r="E372">
        <v>0.4820332</v>
      </c>
      <c r="F372" t="s">
        <v>43</v>
      </c>
      <c r="G372">
        <v>-417.78989999999999</v>
      </c>
      <c r="H372">
        <v>-0.05</v>
      </c>
      <c r="I372">
        <v>368.7353</v>
      </c>
      <c r="J372">
        <v>-432.42590000000001</v>
      </c>
      <c r="K372">
        <v>1.063752</v>
      </c>
      <c r="L372">
        <v>368.47030000000001</v>
      </c>
      <c r="M372">
        <v>0.99993770000000004</v>
      </c>
      <c r="N372">
        <v>0</v>
      </c>
      <c r="O372">
        <v>7.5118729999999897E-4</v>
      </c>
      <c r="P372">
        <v>0.99201189999999995</v>
      </c>
      <c r="Q372">
        <v>0.1196571</v>
      </c>
      <c r="R372">
        <v>-3.9933999999999997E-2</v>
      </c>
      <c r="S372">
        <v>3.054138</v>
      </c>
      <c r="T372">
        <v>-0.2281649</v>
      </c>
      <c r="U372">
        <v>5.4321290000000001E-2</v>
      </c>
      <c r="V372">
        <v>4.0648789999999997E-2</v>
      </c>
      <c r="W372">
        <v>0.13070680000000001</v>
      </c>
      <c r="X372">
        <v>0.99058740000000001</v>
      </c>
      <c r="Y372">
        <v>-1.6986970000000001E-2</v>
      </c>
      <c r="Z372">
        <v>5.7754870000000002E-4</v>
      </c>
      <c r="AA372">
        <v>0.99985550000000001</v>
      </c>
      <c r="AB372">
        <v>31</v>
      </c>
      <c r="AC372">
        <v>14.635999999999999</v>
      </c>
      <c r="AD372">
        <v>-1.1137520000000001</v>
      </c>
      <c r="AE372">
        <v>0.26499999999998602</v>
      </c>
      <c r="AF372">
        <v>-0.25254294107017999</v>
      </c>
      <c r="AG372">
        <v>-1.1137520000000001</v>
      </c>
      <c r="AH372">
        <v>14.551956330826499</v>
      </c>
      <c r="AI372">
        <v>94.376014494782297</v>
      </c>
      <c r="AJ372">
        <v>90.994243793861699</v>
      </c>
      <c r="AK372">
        <v>14.596700123961901</v>
      </c>
      <c r="AL372">
        <v>82.489562475658602</v>
      </c>
      <c r="AM372">
        <v>87.650183942892696</v>
      </c>
      <c r="AN372">
        <v>0.99999999436673204</v>
      </c>
    </row>
    <row r="373" spans="1:40" x14ac:dyDescent="0.25">
      <c r="A373" t="str">
        <f>"20190312164001072"</f>
        <v>20190312164001072</v>
      </c>
      <c r="B373" t="str">
        <f>"1552380001067303"</f>
        <v>1552380001067303</v>
      </c>
      <c r="C373" t="s">
        <v>40</v>
      </c>
      <c r="D373">
        <v>5.484375</v>
      </c>
      <c r="E373">
        <v>0.48213430000000002</v>
      </c>
      <c r="F373" t="s">
        <v>43</v>
      </c>
      <c r="G373">
        <v>-417.85829999999999</v>
      </c>
      <c r="H373">
        <v>-0.05</v>
      </c>
      <c r="I373">
        <v>368.71870000000001</v>
      </c>
      <c r="J373">
        <v>-432.10359999999997</v>
      </c>
      <c r="K373">
        <v>1.063037</v>
      </c>
      <c r="L373">
        <v>368.47050000000002</v>
      </c>
      <c r="M373">
        <v>0.99994150000000004</v>
      </c>
      <c r="N373">
        <v>0</v>
      </c>
      <c r="O373">
        <v>7.9001149999999895E-4</v>
      </c>
      <c r="P373">
        <v>0.99203969999999997</v>
      </c>
      <c r="Q373">
        <v>0.1192896</v>
      </c>
      <c r="R373">
        <v>-4.0340760000000003E-2</v>
      </c>
      <c r="S373">
        <v>3.0543819999999999</v>
      </c>
      <c r="T373">
        <v>-0.2335207</v>
      </c>
      <c r="U373">
        <v>5.2093510000000003E-2</v>
      </c>
      <c r="V373">
        <v>4.1104439999999999E-2</v>
      </c>
      <c r="W373">
        <v>0.1300029</v>
      </c>
      <c r="X373">
        <v>0.99066120000000002</v>
      </c>
      <c r="Y373">
        <v>-1.6217889999999999E-2</v>
      </c>
      <c r="Z373">
        <v>5.5870500000000005E-4</v>
      </c>
      <c r="AA373">
        <v>0.99986830000000004</v>
      </c>
      <c r="AB373">
        <v>31</v>
      </c>
      <c r="AC373">
        <v>14.245299999999901</v>
      </c>
      <c r="AD373">
        <v>-1.1130370000000001</v>
      </c>
      <c r="AE373">
        <v>0.24819999999999701</v>
      </c>
      <c r="AF373">
        <v>-0.235508008761841</v>
      </c>
      <c r="AG373">
        <v>-1.1130370000000001</v>
      </c>
      <c r="AH373">
        <v>14.159078627449601</v>
      </c>
      <c r="AI373">
        <v>94.494125957459602</v>
      </c>
      <c r="AJ373">
        <v>90.952913048811993</v>
      </c>
      <c r="AK373">
        <v>14.204711294632499</v>
      </c>
      <c r="AL373">
        <v>82.530239886529998</v>
      </c>
      <c r="AM373">
        <v>87.624050662580004</v>
      </c>
      <c r="AN373">
        <v>0.99999997109078098</v>
      </c>
    </row>
    <row r="374" spans="1:40" x14ac:dyDescent="0.25">
      <c r="A374" t="str">
        <f>"20190312164001093"</f>
        <v>20190312164001093</v>
      </c>
      <c r="B374" t="str">
        <f>"1552380001086825"</f>
        <v>1552380001086825</v>
      </c>
      <c r="C374" t="s">
        <v>40</v>
      </c>
      <c r="D374">
        <v>5.0910789999999997</v>
      </c>
      <c r="E374">
        <v>0.48223680000000002</v>
      </c>
      <c r="F374" t="s">
        <v>43</v>
      </c>
      <c r="G374">
        <v>-417.39370000000002</v>
      </c>
      <c r="H374">
        <v>-0.05</v>
      </c>
      <c r="I374">
        <v>368.71230000000003</v>
      </c>
      <c r="J374">
        <v>-431.79860000000002</v>
      </c>
      <c r="K374">
        <v>1.0624659999999999</v>
      </c>
      <c r="L374">
        <v>368.4708</v>
      </c>
      <c r="M374">
        <v>0.99994439999999996</v>
      </c>
      <c r="N374">
        <v>0</v>
      </c>
      <c r="O374">
        <v>8.0413459999999996E-4</v>
      </c>
      <c r="P374">
        <v>0.99210640000000005</v>
      </c>
      <c r="Q374">
        <v>0.1185428</v>
      </c>
      <c r="R374">
        <v>-4.0898700000000003E-2</v>
      </c>
      <c r="S374">
        <v>3.053925</v>
      </c>
      <c r="T374">
        <v>-0.23107739999999999</v>
      </c>
      <c r="U374">
        <v>5.0201419999999997E-2</v>
      </c>
      <c r="V374">
        <v>4.1683530000000003E-2</v>
      </c>
      <c r="W374">
        <v>0.1289778</v>
      </c>
      <c r="X374">
        <v>0.99077099999999996</v>
      </c>
      <c r="Y374">
        <v>-1.5589779999999999E-2</v>
      </c>
      <c r="Z374">
        <v>5.281668E-4</v>
      </c>
      <c r="AA374">
        <v>0.9998783</v>
      </c>
      <c r="AB374">
        <v>31</v>
      </c>
      <c r="AC374">
        <v>14.4048999999999</v>
      </c>
      <c r="AD374">
        <v>-1.112466</v>
      </c>
      <c r="AE374">
        <v>0.24150000000003</v>
      </c>
      <c r="AF374">
        <v>-0.228553047513433</v>
      </c>
      <c r="AG374">
        <v>-1.112466</v>
      </c>
      <c r="AH374">
        <v>14.319707791181999</v>
      </c>
      <c r="AI374">
        <v>94.441694650922798</v>
      </c>
      <c r="AJ374">
        <v>90.914405056693298</v>
      </c>
      <c r="AK374">
        <v>14.364673623912299</v>
      </c>
      <c r="AL374">
        <v>82.589472574045701</v>
      </c>
      <c r="AM374">
        <v>87.590883546378905</v>
      </c>
      <c r="AN374">
        <v>0.99999998200355</v>
      </c>
    </row>
    <row r="375" spans="1:40" x14ac:dyDescent="0.25">
      <c r="A375" t="str">
        <f>"20190312164001116"</f>
        <v>20190312164001116</v>
      </c>
      <c r="B375" t="str">
        <f>"1552380001106343"</f>
        <v>1552380001106343</v>
      </c>
      <c r="C375" t="s">
        <v>40</v>
      </c>
      <c r="D375">
        <v>5.2835900000000002</v>
      </c>
      <c r="E375">
        <v>0.48234159999999998</v>
      </c>
      <c r="F375" t="s">
        <v>43</v>
      </c>
      <c r="G375">
        <v>-417.07400000000001</v>
      </c>
      <c r="H375">
        <v>-0.05</v>
      </c>
      <c r="I375">
        <v>368.702</v>
      </c>
      <c r="J375">
        <v>-431.48160000000001</v>
      </c>
      <c r="K375">
        <v>1.061963</v>
      </c>
      <c r="L375">
        <v>368.471</v>
      </c>
      <c r="M375">
        <v>0.99994700000000003</v>
      </c>
      <c r="N375">
        <v>0</v>
      </c>
      <c r="O375">
        <v>7.9290770000000005E-4</v>
      </c>
      <c r="P375">
        <v>0.99216409999999999</v>
      </c>
      <c r="Q375">
        <v>0.11785080000000001</v>
      </c>
      <c r="R375">
        <v>-4.1491100000000003E-2</v>
      </c>
      <c r="S375">
        <v>3.053375</v>
      </c>
      <c r="T375">
        <v>-0.230688</v>
      </c>
      <c r="U375">
        <v>4.7943119999999999E-2</v>
      </c>
      <c r="V375">
        <v>4.227148E-2</v>
      </c>
      <c r="W375">
        <v>0.12803299999999901</v>
      </c>
      <c r="X375">
        <v>0.99086859999999999</v>
      </c>
      <c r="Y375">
        <v>-1.486679E-2</v>
      </c>
      <c r="Z375">
        <v>5.0095290000000002E-4</v>
      </c>
      <c r="AA375">
        <v>0.99988940000000004</v>
      </c>
      <c r="AB375">
        <v>31</v>
      </c>
      <c r="AC375">
        <v>14.4076</v>
      </c>
      <c r="AD375">
        <v>-1.11196299999999</v>
      </c>
      <c r="AE375">
        <v>0.23099999999999399</v>
      </c>
      <c r="AF375">
        <v>-0.21827558542321701</v>
      </c>
      <c r="AG375">
        <v>-1.11196299999999</v>
      </c>
      <c r="AH375">
        <v>14.322487444474801</v>
      </c>
      <c r="AI375">
        <v>94.438885874456204</v>
      </c>
      <c r="AJ375">
        <v>90.873123594326799</v>
      </c>
      <c r="AK375">
        <v>14.367245823110901</v>
      </c>
      <c r="AL375">
        <v>82.644058008289903</v>
      </c>
      <c r="AM375">
        <v>87.557183973412293</v>
      </c>
      <c r="AN375">
        <v>0.99999995478817405</v>
      </c>
    </row>
    <row r="376" spans="1:40" x14ac:dyDescent="0.25">
      <c r="A376" t="str">
        <f>"20190312164001139"</f>
        <v>20190312164001139</v>
      </c>
      <c r="B376" t="str">
        <f>"1552380001126839"</f>
        <v>1552380001126839</v>
      </c>
      <c r="C376" t="s">
        <v>40</v>
      </c>
      <c r="D376">
        <v>5.2980859999999996</v>
      </c>
      <c r="E376">
        <v>0.48244229999999999</v>
      </c>
      <c r="F376" t="s">
        <v>43</v>
      </c>
      <c r="G376">
        <v>-416.75259999999997</v>
      </c>
      <c r="H376">
        <v>-0.05</v>
      </c>
      <c r="I376">
        <v>368.68950000000001</v>
      </c>
      <c r="J376">
        <v>-431.16820000000001</v>
      </c>
      <c r="K376">
        <v>1.0615289999999999</v>
      </c>
      <c r="L376">
        <v>368.47129999999999</v>
      </c>
      <c r="M376">
        <v>0.99994919999999998</v>
      </c>
      <c r="N376">
        <v>0</v>
      </c>
      <c r="O376">
        <v>7.4599499999999995E-4</v>
      </c>
      <c r="P376">
        <v>0.99222569999999999</v>
      </c>
      <c r="Q376">
        <v>0.1171402</v>
      </c>
      <c r="R376">
        <v>-4.2027410000000001E-2</v>
      </c>
      <c r="S376">
        <v>3.0529480000000002</v>
      </c>
      <c r="T376">
        <v>-0.23048189999999999</v>
      </c>
      <c r="U376">
        <v>4.5288090000000003E-2</v>
      </c>
      <c r="V376">
        <v>4.276982E-2</v>
      </c>
      <c r="W376">
        <v>0.1271041</v>
      </c>
      <c r="X376">
        <v>0.99096689999999998</v>
      </c>
      <c r="Y376">
        <v>-1.404878E-2</v>
      </c>
      <c r="Z376">
        <v>4.7328460000000002E-4</v>
      </c>
      <c r="AA376">
        <v>0.99990120000000005</v>
      </c>
      <c r="AB376">
        <v>31</v>
      </c>
      <c r="AC376">
        <v>14.4156</v>
      </c>
      <c r="AD376">
        <v>-1.111529</v>
      </c>
      <c r="AE376">
        <v>0.21820000000002401</v>
      </c>
      <c r="AF376">
        <v>-0.20621966676339001</v>
      </c>
      <c r="AG376">
        <v>-1.111529</v>
      </c>
      <c r="AH376">
        <v>14.3305782355792</v>
      </c>
      <c r="AI376">
        <v>94.434720749973806</v>
      </c>
      <c r="AJ376">
        <v>90.824439941619602</v>
      </c>
      <c r="AK376">
        <v>14.3750998547786</v>
      </c>
      <c r="AL376">
        <v>82.697719204933193</v>
      </c>
      <c r="AM376">
        <v>87.528665899005006</v>
      </c>
      <c r="AN376">
        <v>1.0000000533176201</v>
      </c>
    </row>
    <row r="377" spans="1:40" x14ac:dyDescent="0.25">
      <c r="A377" t="str">
        <f>"20190312164001160"</f>
        <v>20190312164001160</v>
      </c>
      <c r="B377" t="str">
        <f>"1552380001157095"</f>
        <v>1552380001157095</v>
      </c>
      <c r="C377" t="s">
        <v>40</v>
      </c>
      <c r="D377">
        <v>5.2477049999999998</v>
      </c>
      <c r="E377">
        <v>0.48260009999999998</v>
      </c>
      <c r="F377" t="s">
        <v>42</v>
      </c>
      <c r="G377">
        <v>-430.16140000000001</v>
      </c>
      <c r="H377">
        <v>0.9858365</v>
      </c>
      <c r="I377">
        <v>368.4853</v>
      </c>
      <c r="J377">
        <v>-430.85509999999999</v>
      </c>
      <c r="K377">
        <v>1.0611619999999999</v>
      </c>
      <c r="L377">
        <v>368.47140000000002</v>
      </c>
      <c r="M377">
        <v>0.99995109999999998</v>
      </c>
      <c r="N377">
        <v>0</v>
      </c>
      <c r="O377">
        <v>6.5211499999999999E-4</v>
      </c>
      <c r="P377">
        <v>0.99231860000000005</v>
      </c>
      <c r="Q377">
        <v>0.1162039</v>
      </c>
      <c r="R377">
        <v>-4.2435439999999998E-2</v>
      </c>
      <c r="S377">
        <v>3.0524290000000001</v>
      </c>
      <c r="T377">
        <v>-0.2295835</v>
      </c>
      <c r="U377">
        <v>4.2510989999999999E-2</v>
      </c>
      <c r="V377">
        <v>4.3096240000000001E-2</v>
      </c>
      <c r="W377">
        <v>0.1259788</v>
      </c>
      <c r="X377">
        <v>0.99109639999999999</v>
      </c>
      <c r="Y377">
        <v>-1.323796E-2</v>
      </c>
      <c r="Z377">
        <v>4.48131E-4</v>
      </c>
      <c r="AA377">
        <v>0.99991229999999998</v>
      </c>
      <c r="AB377">
        <v>32</v>
      </c>
      <c r="AC377">
        <v>0.693699999999978</v>
      </c>
      <c r="AD377">
        <v>-7.5325500000000101E-2</v>
      </c>
      <c r="AE377">
        <v>1.3899999999978201E-2</v>
      </c>
      <c r="AF377">
        <v>-1.3290955680259699E-2</v>
      </c>
      <c r="AG377">
        <v>-7.5325500000000101E-2</v>
      </c>
      <c r="AH377">
        <v>0.68562810658276296</v>
      </c>
      <c r="AI377">
        <v>96.268402428026903</v>
      </c>
      <c r="AJ377">
        <v>91.110544174861204</v>
      </c>
      <c r="AK377">
        <v>0.68988149778741703</v>
      </c>
      <c r="AL377">
        <v>82.762716316998706</v>
      </c>
      <c r="AM377">
        <v>87.510153252376895</v>
      </c>
      <c r="AN377">
        <v>1.0000000090222601</v>
      </c>
    </row>
    <row r="378" spans="1:40" x14ac:dyDescent="0.25">
      <c r="A378" t="str">
        <f>"20190312164001182"</f>
        <v>20190312164001182</v>
      </c>
      <c r="B378" t="str">
        <f>"1552380001176614"</f>
        <v>1552380001176614</v>
      </c>
      <c r="C378" t="s">
        <v>40</v>
      </c>
      <c r="D378">
        <v>5.214842</v>
      </c>
      <c r="E378">
        <v>0.48261199999999999</v>
      </c>
      <c r="F378" t="s">
        <v>42</v>
      </c>
      <c r="G378">
        <v>-429.87630000000001</v>
      </c>
      <c r="H378">
        <v>0.98770460000000004</v>
      </c>
      <c r="I378">
        <v>368.48390000000001</v>
      </c>
      <c r="J378">
        <v>-430.54360000000003</v>
      </c>
      <c r="K378">
        <v>1.0608439999999999</v>
      </c>
      <c r="L378">
        <v>368.47149999999999</v>
      </c>
      <c r="M378">
        <v>0.99995290000000003</v>
      </c>
      <c r="N378">
        <v>0</v>
      </c>
      <c r="O378">
        <v>5.2075150000000002E-4</v>
      </c>
      <c r="P378">
        <v>0.99241299999999999</v>
      </c>
      <c r="Q378">
        <v>0.1152355</v>
      </c>
      <c r="R378">
        <v>-4.286529E-2</v>
      </c>
      <c r="S378">
        <v>3.051758</v>
      </c>
      <c r="T378">
        <v>-0.22912109999999999</v>
      </c>
      <c r="U378">
        <v>3.9672850000000003E-2</v>
      </c>
      <c r="V378">
        <v>4.3408370000000002E-2</v>
      </c>
      <c r="W378">
        <v>0.12484720000000001</v>
      </c>
      <c r="X378">
        <v>0.99122600000000005</v>
      </c>
      <c r="Y378">
        <v>-1.244461E-2</v>
      </c>
      <c r="Z378">
        <v>4.2744240000000002E-4</v>
      </c>
      <c r="AA378">
        <v>0.99992250000000005</v>
      </c>
      <c r="AB378">
        <v>32</v>
      </c>
      <c r="AC378">
        <v>0.667300000000011</v>
      </c>
      <c r="AD378">
        <v>-7.3139399999999993E-2</v>
      </c>
      <c r="AE378">
        <v>1.24000000000137E-2</v>
      </c>
      <c r="AF378">
        <v>-1.1909462549626101E-2</v>
      </c>
      <c r="AG378">
        <v>-7.3139399999999993E-2</v>
      </c>
      <c r="AH378">
        <v>0.65938771164811605</v>
      </c>
      <c r="AI378">
        <v>96.328361326924295</v>
      </c>
      <c r="AJ378">
        <v>91.034729255870701</v>
      </c>
      <c r="AK378">
        <v>0.66353851538785602</v>
      </c>
      <c r="AL378">
        <v>82.828068472307706</v>
      </c>
      <c r="AM378">
        <v>87.492470638134293</v>
      </c>
      <c r="AN378">
        <v>1.0000000465049399</v>
      </c>
    </row>
    <row r="379" spans="1:40" x14ac:dyDescent="0.25">
      <c r="A379" t="str">
        <f>"20190312164001195"</f>
        <v>20190312164001195</v>
      </c>
      <c r="B379" t="str">
        <f>"1552380001186375"</f>
        <v>1552380001186375</v>
      </c>
      <c r="C379" t="s">
        <v>40</v>
      </c>
      <c r="D379">
        <v>5.2351749999999999</v>
      </c>
      <c r="E379">
        <v>0.4825835</v>
      </c>
      <c r="F379" t="s">
        <v>42</v>
      </c>
      <c r="G379">
        <v>-429.59120000000001</v>
      </c>
      <c r="H379">
        <v>0.98884490000000003</v>
      </c>
      <c r="I379">
        <v>368.48340000000002</v>
      </c>
      <c r="J379">
        <v>-430.36200000000002</v>
      </c>
      <c r="K379">
        <v>1.0606819999999999</v>
      </c>
      <c r="L379">
        <v>368.47160000000002</v>
      </c>
      <c r="M379">
        <v>0.99995369999999995</v>
      </c>
      <c r="N379">
        <v>0</v>
      </c>
      <c r="O379">
        <v>4.2579949999999999E-4</v>
      </c>
      <c r="P379">
        <v>0.9924366</v>
      </c>
      <c r="Q379">
        <v>0.11496389999999999</v>
      </c>
      <c r="R379">
        <v>-4.3050089999999999E-2</v>
      </c>
      <c r="S379">
        <v>3.0513309999999998</v>
      </c>
      <c r="T379">
        <v>-0.23078309999999999</v>
      </c>
      <c r="U379">
        <v>3.8391109999999999E-2</v>
      </c>
      <c r="V379">
        <v>4.3506419999999997E-2</v>
      </c>
      <c r="W379">
        <v>0.12448910000000001</v>
      </c>
      <c r="X379">
        <v>0.99126669999999995</v>
      </c>
      <c r="Y379">
        <v>-1.212158E-2</v>
      </c>
      <c r="Z379">
        <v>4.2556849999999998E-4</v>
      </c>
      <c r="AA379">
        <v>0.99992639999999999</v>
      </c>
      <c r="AB379">
        <v>32</v>
      </c>
      <c r="AC379">
        <v>0.77079999999995097</v>
      </c>
      <c r="AD379">
        <v>-7.1837099999999807E-2</v>
      </c>
      <c r="AE379">
        <v>1.17999999999938E-2</v>
      </c>
      <c r="AF379">
        <v>-1.1373015923865601E-2</v>
      </c>
      <c r="AG379">
        <v>-7.1837099999999807E-2</v>
      </c>
      <c r="AH379">
        <v>0.76416902422618005</v>
      </c>
      <c r="AI379">
        <v>95.369820005385805</v>
      </c>
      <c r="AJ379">
        <v>90.852661763230998</v>
      </c>
      <c r="AK379">
        <v>0.76762244105706401</v>
      </c>
      <c r="AL379">
        <v>82.848747137072294</v>
      </c>
      <c r="AM379">
        <v>87.486916988075606</v>
      </c>
      <c r="AN379">
        <v>1.00000000756445</v>
      </c>
    </row>
    <row r="380" spans="1:40" x14ac:dyDescent="0.25">
      <c r="A380" t="str">
        <f>"20190312164001207"</f>
        <v>20190312164001207</v>
      </c>
      <c r="B380" t="str">
        <f>"1552380001197111"</f>
        <v>1552380001197111</v>
      </c>
      <c r="C380" t="s">
        <v>40</v>
      </c>
      <c r="D380">
        <v>5.2600160000000002</v>
      </c>
      <c r="E380">
        <v>0.48257660000000002</v>
      </c>
      <c r="F380" t="s">
        <v>43</v>
      </c>
      <c r="G380">
        <v>-415.80329999999998</v>
      </c>
      <c r="H380">
        <v>-0.05</v>
      </c>
      <c r="I380">
        <v>368.65300000000002</v>
      </c>
      <c r="J380">
        <v>-430.18650000000002</v>
      </c>
      <c r="K380">
        <v>1.0605370000000001</v>
      </c>
      <c r="L380">
        <v>368.47149999999999</v>
      </c>
      <c r="M380">
        <v>0.99995440000000002</v>
      </c>
      <c r="N380">
        <v>0</v>
      </c>
      <c r="O380">
        <v>3.1261279999999998E-4</v>
      </c>
      <c r="P380">
        <v>0.99245450000000002</v>
      </c>
      <c r="Q380">
        <v>0.1147653</v>
      </c>
      <c r="R380">
        <v>-4.3161249999999998E-2</v>
      </c>
      <c r="S380">
        <v>3.051453</v>
      </c>
      <c r="T380">
        <v>-0.23279569999999999</v>
      </c>
      <c r="U380">
        <v>3.80249E-2</v>
      </c>
      <c r="V380">
        <v>4.3513070000000001E-2</v>
      </c>
      <c r="W380">
        <v>0.12421509999999999</v>
      </c>
      <c r="X380">
        <v>0.99130079999999998</v>
      </c>
      <c r="Y380">
        <v>-1.211339E-2</v>
      </c>
      <c r="Z380">
        <v>4.3756300000000003E-4</v>
      </c>
      <c r="AA380">
        <v>0.99992650000000005</v>
      </c>
      <c r="AB380">
        <v>32</v>
      </c>
      <c r="AC380">
        <v>14.3832</v>
      </c>
      <c r="AD380">
        <v>-1.1105370000000001</v>
      </c>
      <c r="AE380">
        <v>0.181500000000028</v>
      </c>
      <c r="AF380">
        <v>-0.175954628628057</v>
      </c>
      <c r="AG380">
        <v>-1.1105370000000001</v>
      </c>
      <c r="AH380">
        <v>14.2980319943933</v>
      </c>
      <c r="AI380">
        <v>94.440947073291298</v>
      </c>
      <c r="AJ380">
        <v>90.705058481804301</v>
      </c>
      <c r="AK380">
        <v>14.342174569164801</v>
      </c>
      <c r="AL380">
        <v>82.864569128218903</v>
      </c>
      <c r="AM380">
        <v>87.4866197038818</v>
      </c>
      <c r="AN380">
        <v>1.00000002720473</v>
      </c>
    </row>
    <row r="381" spans="1:40" x14ac:dyDescent="0.25">
      <c r="A381" t="str">
        <f>"20190312164001221"</f>
        <v>20190312164001221</v>
      </c>
      <c r="B381" t="str">
        <f>"1552380001216631"</f>
        <v>1552380001216631</v>
      </c>
      <c r="C381" t="s">
        <v>40</v>
      </c>
      <c r="D381">
        <v>5.3067039999999999</v>
      </c>
      <c r="E381">
        <v>0.48272890000000002</v>
      </c>
      <c r="F381" t="s">
        <v>43</v>
      </c>
      <c r="G381">
        <v>-415.7568</v>
      </c>
      <c r="H381">
        <v>-0.05</v>
      </c>
      <c r="I381">
        <v>368.65309999999999</v>
      </c>
      <c r="J381">
        <v>-429.99380000000002</v>
      </c>
      <c r="K381">
        <v>1.0603899999999999</v>
      </c>
      <c r="L381">
        <v>368.47140000000002</v>
      </c>
      <c r="M381">
        <v>0.99995540000000005</v>
      </c>
      <c r="N381">
        <v>0</v>
      </c>
      <c r="O381">
        <v>1.7323309999999999E-4</v>
      </c>
      <c r="P381">
        <v>0.99248029999999998</v>
      </c>
      <c r="Q381">
        <v>0.1144864</v>
      </c>
      <c r="R381">
        <v>-4.3316340000000002E-2</v>
      </c>
      <c r="S381">
        <v>3.0516049999999999</v>
      </c>
      <c r="T381">
        <v>-0.23485800000000001</v>
      </c>
      <c r="U381">
        <v>3.8421629999999998E-2</v>
      </c>
      <c r="V381">
        <v>4.3538199999999902E-2</v>
      </c>
      <c r="W381">
        <v>0.12385839999999899</v>
      </c>
      <c r="X381">
        <v>0.99134429999999996</v>
      </c>
      <c r="Y381">
        <v>-1.238031E-2</v>
      </c>
      <c r="Z381">
        <v>4.6237269999999998E-4</v>
      </c>
      <c r="AA381">
        <v>0.99992320000000001</v>
      </c>
      <c r="AB381">
        <v>32</v>
      </c>
      <c r="AC381">
        <v>14.237</v>
      </c>
      <c r="AD381">
        <v>-1.11039</v>
      </c>
      <c r="AE381">
        <v>0.18169999999997799</v>
      </c>
      <c r="AF381">
        <v>-0.178150066530082</v>
      </c>
      <c r="AG381">
        <v>-1.11039</v>
      </c>
      <c r="AH381">
        <v>14.1509656923247</v>
      </c>
      <c r="AI381">
        <v>94.486305625155296</v>
      </c>
      <c r="AJ381">
        <v>90.721272876990994</v>
      </c>
      <c r="AK381">
        <v>14.1955814753625</v>
      </c>
      <c r="AL381">
        <v>82.885165388664106</v>
      </c>
      <c r="AM381">
        <v>87.485280228953897</v>
      </c>
      <c r="AN381">
        <v>0.99999999962614405</v>
      </c>
    </row>
    <row r="382" spans="1:40" x14ac:dyDescent="0.25">
      <c r="A382" t="str">
        <f>"20190312164001239"</f>
        <v>20190312164001239</v>
      </c>
      <c r="B382" t="str">
        <f>"1552380001237126"</f>
        <v>1552380001237126</v>
      </c>
      <c r="C382" t="s">
        <v>40</v>
      </c>
      <c r="D382">
        <v>5.3889230000000001</v>
      </c>
      <c r="E382">
        <v>0.48299999999999998</v>
      </c>
      <c r="F382" t="s">
        <v>42</v>
      </c>
      <c r="G382">
        <v>-429.02379999999999</v>
      </c>
      <c r="H382">
        <v>0.98533510000000002</v>
      </c>
      <c r="I382">
        <v>368.48309999999998</v>
      </c>
      <c r="J382">
        <v>-429.74160000000001</v>
      </c>
      <c r="K382">
        <v>1.0602069999999999</v>
      </c>
      <c r="L382">
        <v>368.47129999999999</v>
      </c>
      <c r="M382">
        <v>0.99995610000000001</v>
      </c>
      <c r="N382">
        <v>0</v>
      </c>
      <c r="O382" s="1">
        <v>-4.5722449999999998E-5</v>
      </c>
      <c r="P382">
        <v>0.99245340000000004</v>
      </c>
      <c r="Q382">
        <v>0.1146943</v>
      </c>
      <c r="R382">
        <v>-4.3377350000000002E-2</v>
      </c>
      <c r="S382">
        <v>3.0516049999999999</v>
      </c>
      <c r="T382">
        <v>-0.23623230000000001</v>
      </c>
      <c r="U382">
        <v>3.7139890000000002E-2</v>
      </c>
      <c r="V382">
        <v>4.3393840000000003E-2</v>
      </c>
      <c r="W382">
        <v>0.1239743</v>
      </c>
      <c r="X382">
        <v>0.9913362</v>
      </c>
      <c r="Y382">
        <v>-1.217886E-2</v>
      </c>
      <c r="Z382">
        <v>4.7421049999999998E-4</v>
      </c>
      <c r="AA382">
        <v>0.99992570000000003</v>
      </c>
      <c r="AB382">
        <v>32</v>
      </c>
      <c r="AC382">
        <v>0.71780000000001098</v>
      </c>
      <c r="AD382">
        <v>-7.4871899999999797E-2</v>
      </c>
      <c r="AE382">
        <v>1.17999999999938E-2</v>
      </c>
      <c r="AF382">
        <v>-1.17054990231276E-2</v>
      </c>
      <c r="AG382">
        <v>-7.4871899999999797E-2</v>
      </c>
      <c r="AH382">
        <v>0.71007588741074201</v>
      </c>
      <c r="AI382">
        <v>96.018334933980199</v>
      </c>
      <c r="AJ382">
        <v>90.944427153159097</v>
      </c>
      <c r="AK382">
        <v>0.71410824529558803</v>
      </c>
      <c r="AL382">
        <v>82.878473639251098</v>
      </c>
      <c r="AM382">
        <v>87.493587203963799</v>
      </c>
      <c r="AN382">
        <v>1.0000000569204299</v>
      </c>
    </row>
    <row r="383" spans="1:40" x14ac:dyDescent="0.25">
      <c r="A383" t="str">
        <f>"20190312164001262"</f>
        <v>20190312164001262</v>
      </c>
      <c r="B383" t="str">
        <f>"1552380001256647"</f>
        <v>1552380001256647</v>
      </c>
      <c r="C383" t="s">
        <v>40</v>
      </c>
      <c r="D383">
        <v>5.2851460000000001</v>
      </c>
      <c r="E383">
        <v>0.48306949999999999</v>
      </c>
      <c r="F383" t="s">
        <v>42</v>
      </c>
      <c r="G383">
        <v>-428.74</v>
      </c>
      <c r="H383">
        <v>0.98283569999999998</v>
      </c>
      <c r="I383">
        <v>368.48259999999999</v>
      </c>
      <c r="J383">
        <v>-429.41059999999999</v>
      </c>
      <c r="K383">
        <v>1.0600080000000001</v>
      </c>
      <c r="L383">
        <v>368.47089999999997</v>
      </c>
      <c r="M383">
        <v>0.99995690000000004</v>
      </c>
      <c r="N383">
        <v>0</v>
      </c>
      <c r="O383">
        <v>-3.8996369999999997E-4</v>
      </c>
      <c r="P383">
        <v>0.99237980000000003</v>
      </c>
      <c r="Q383">
        <v>0.1152504</v>
      </c>
      <c r="R383">
        <v>-4.3586310000000003E-2</v>
      </c>
      <c r="S383">
        <v>3.0516359999999998</v>
      </c>
      <c r="T383">
        <v>-0.2359086</v>
      </c>
      <c r="U383">
        <v>3.5522459999999999E-2</v>
      </c>
      <c r="V383">
        <v>4.3275969999999997E-2</v>
      </c>
      <c r="W383">
        <v>0.1244266</v>
      </c>
      <c r="X383">
        <v>0.99128459999999996</v>
      </c>
      <c r="Y383">
        <v>-1.199269E-2</v>
      </c>
      <c r="Z383">
        <v>4.9294689999999995E-4</v>
      </c>
      <c r="AA383">
        <v>0.99992789999999998</v>
      </c>
      <c r="AB383">
        <v>32</v>
      </c>
      <c r="AC383">
        <v>0.67059999999997899</v>
      </c>
      <c r="AD383">
        <v>-7.7172299999999999E-2</v>
      </c>
      <c r="AE383">
        <v>1.17000000000189E-2</v>
      </c>
      <c r="AF383">
        <v>-1.18052275781621E-2</v>
      </c>
      <c r="AG383">
        <v>-7.7172299999999999E-2</v>
      </c>
      <c r="AH383">
        <v>0.66183320636920795</v>
      </c>
      <c r="AI383">
        <v>96.6498259184321</v>
      </c>
      <c r="AJ383">
        <v>91.021885860697594</v>
      </c>
      <c r="AK383">
        <v>0.66642187864625801</v>
      </c>
      <c r="AL383">
        <v>82.852355937663901</v>
      </c>
      <c r="AM383">
        <v>87.500256737408293</v>
      </c>
      <c r="AN383">
        <v>0.99999997328208001</v>
      </c>
    </row>
    <row r="384" spans="1:40" x14ac:dyDescent="0.25">
      <c r="A384" t="str">
        <f>"20190312164001285"</f>
        <v>20190312164001285</v>
      </c>
      <c r="B384" t="str">
        <f>"1552380001277143"</f>
        <v>1552380001277143</v>
      </c>
      <c r="C384" t="s">
        <v>40</v>
      </c>
      <c r="D384">
        <v>5.4502569999999997</v>
      </c>
      <c r="E384">
        <v>0.48311660000000001</v>
      </c>
      <c r="F384" t="s">
        <v>42</v>
      </c>
      <c r="G384">
        <v>-428.4502</v>
      </c>
      <c r="H384">
        <v>0.98689850000000001</v>
      </c>
      <c r="I384">
        <v>368.48140000000001</v>
      </c>
      <c r="J384">
        <v>-429.07510000000002</v>
      </c>
      <c r="K384">
        <v>1.059842</v>
      </c>
      <c r="L384">
        <v>368.47030000000001</v>
      </c>
      <c r="M384">
        <v>0.9999574</v>
      </c>
      <c r="N384">
        <v>0</v>
      </c>
      <c r="O384">
        <v>-7.8258759999999896E-4</v>
      </c>
      <c r="P384">
        <v>0.99236389999999997</v>
      </c>
      <c r="Q384">
        <v>0.1152652</v>
      </c>
      <c r="R384">
        <v>-4.3906180000000003E-2</v>
      </c>
      <c r="S384">
        <v>3.0514830000000002</v>
      </c>
      <c r="T384">
        <v>-0.23235420000000001</v>
      </c>
      <c r="U384">
        <v>3.414917E-2</v>
      </c>
      <c r="V384">
        <v>4.32185E-2</v>
      </c>
      <c r="W384">
        <v>0.1243533</v>
      </c>
      <c r="X384">
        <v>0.99129639999999997</v>
      </c>
      <c r="Y384">
        <v>-1.193606E-2</v>
      </c>
      <c r="Z384">
        <v>5.132674E-4</v>
      </c>
      <c r="AA384">
        <v>0.9999287</v>
      </c>
      <c r="AB384">
        <v>32</v>
      </c>
      <c r="AC384">
        <v>0.62490000000002499</v>
      </c>
      <c r="AD384">
        <v>-7.2943499999999897E-2</v>
      </c>
      <c r="AE384">
        <v>1.1099999999999E-2</v>
      </c>
      <c r="AF384">
        <v>-1.14333208089684E-2</v>
      </c>
      <c r="AG384">
        <v>-7.2943499999999897E-2</v>
      </c>
      <c r="AH384">
        <v>0.61649374142344504</v>
      </c>
      <c r="AI384">
        <v>96.746711083997695</v>
      </c>
      <c r="AJ384">
        <v>91.062469731611998</v>
      </c>
      <c r="AK384">
        <v>0.62089935434919497</v>
      </c>
      <c r="AL384">
        <v>82.856589266872902</v>
      </c>
      <c r="AM384">
        <v>87.503601844592296</v>
      </c>
      <c r="AN384">
        <v>1.00000006730804</v>
      </c>
    </row>
    <row r="385" spans="1:40" x14ac:dyDescent="0.25">
      <c r="A385" t="str">
        <f>"20190312164001306"</f>
        <v>20190312164001306</v>
      </c>
      <c r="B385" t="str">
        <f>"1552380001296662"</f>
        <v>1552380001296662</v>
      </c>
      <c r="C385" t="s">
        <v>40</v>
      </c>
      <c r="D385">
        <v>5.343102</v>
      </c>
      <c r="E385">
        <v>0.48314259999999898</v>
      </c>
      <c r="F385" t="s">
        <v>43</v>
      </c>
      <c r="G385">
        <v>-414.38010000000003</v>
      </c>
      <c r="H385">
        <v>-0.05</v>
      </c>
      <c r="I385">
        <v>368.6336</v>
      </c>
      <c r="J385">
        <v>-428.7758</v>
      </c>
      <c r="K385">
        <v>1.0597209999999999</v>
      </c>
      <c r="L385">
        <v>368.46980000000002</v>
      </c>
      <c r="M385">
        <v>0.99995780000000001</v>
      </c>
      <c r="N385">
        <v>0</v>
      </c>
      <c r="O385">
        <v>-1.1595399999999999E-3</v>
      </c>
      <c r="P385">
        <v>0.99240159999999999</v>
      </c>
      <c r="Q385">
        <v>0.1147691</v>
      </c>
      <c r="R385">
        <v>-4.4356439999999997E-2</v>
      </c>
      <c r="S385">
        <v>3.051361</v>
      </c>
      <c r="T385">
        <v>-0.2304534</v>
      </c>
      <c r="U385">
        <v>3.3905030000000003E-2</v>
      </c>
      <c r="V385">
        <v>4.330254E-2</v>
      </c>
      <c r="W385">
        <v>0.1237912</v>
      </c>
      <c r="X385">
        <v>0.99136299999999999</v>
      </c>
      <c r="Y385">
        <v>-1.2232130000000001E-2</v>
      </c>
      <c r="Z385">
        <v>5.4869420000000003E-4</v>
      </c>
      <c r="AA385">
        <v>0.99992499999999995</v>
      </c>
      <c r="AB385">
        <v>32</v>
      </c>
      <c r="AC385">
        <v>14.3956999999999</v>
      </c>
      <c r="AD385">
        <v>-1.109721</v>
      </c>
      <c r="AE385">
        <v>0.16379999999997999</v>
      </c>
      <c r="AF385">
        <v>-0.17942688441038601</v>
      </c>
      <c r="AG385">
        <v>-1.109721</v>
      </c>
      <c r="AH385">
        <v>14.3104728059016</v>
      </c>
      <c r="AI385">
        <v>94.433841750777404</v>
      </c>
      <c r="AJ385">
        <v>90.718345556222204</v>
      </c>
      <c r="AK385">
        <v>14.3545569988468</v>
      </c>
      <c r="AL385">
        <v>82.889045417873206</v>
      </c>
      <c r="AM385">
        <v>87.498921484490296</v>
      </c>
      <c r="AN385">
        <v>0.99999998446844496</v>
      </c>
    </row>
    <row r="386" spans="1:40" x14ac:dyDescent="0.25">
      <c r="A386" t="str">
        <f>"20190312164001318"</f>
        <v>20190312164001318</v>
      </c>
      <c r="B386" t="str">
        <f>"1552380001306423"</f>
        <v>1552380001306423</v>
      </c>
      <c r="C386" t="s">
        <v>40</v>
      </c>
      <c r="D386">
        <v>5.3755829999999998</v>
      </c>
      <c r="E386">
        <v>0.48316599999999998</v>
      </c>
      <c r="F386" t="s">
        <v>43</v>
      </c>
      <c r="G386">
        <v>-414.08280000000002</v>
      </c>
      <c r="H386">
        <v>-0.05</v>
      </c>
      <c r="I386">
        <v>368.6259</v>
      </c>
      <c r="J386">
        <v>-428.60289999999998</v>
      </c>
      <c r="K386">
        <v>1.0596559999999999</v>
      </c>
      <c r="L386">
        <v>368.46940000000001</v>
      </c>
      <c r="M386">
        <v>0.99995769999999995</v>
      </c>
      <c r="N386">
        <v>0</v>
      </c>
      <c r="O386">
        <v>-1.3837630000000001E-3</v>
      </c>
      <c r="P386">
        <v>0.99242070000000004</v>
      </c>
      <c r="Q386">
        <v>0.1144487</v>
      </c>
      <c r="R386">
        <v>-4.4751249999999999E-2</v>
      </c>
      <c r="S386">
        <v>3.0510860000000002</v>
      </c>
      <c r="T386">
        <v>-0.2304409</v>
      </c>
      <c r="U386">
        <v>3.2440190000000001E-2</v>
      </c>
      <c r="V386">
        <v>4.3478650000000001E-2</v>
      </c>
      <c r="W386">
        <v>0.1234368</v>
      </c>
      <c r="X386">
        <v>0.99139949999999999</v>
      </c>
      <c r="Y386">
        <v>-1.1977420000000001E-2</v>
      </c>
      <c r="Z386">
        <v>5.5602120000000004E-4</v>
      </c>
      <c r="AA386">
        <v>0.99992809999999999</v>
      </c>
      <c r="AB386">
        <v>32</v>
      </c>
      <c r="AC386">
        <v>14.5200999999999</v>
      </c>
      <c r="AD386">
        <v>-1.109656</v>
      </c>
      <c r="AE386">
        <v>0.15649999999999401</v>
      </c>
      <c r="AF386">
        <v>-0.17556780288541399</v>
      </c>
      <c r="AG386">
        <v>-1.109656</v>
      </c>
      <c r="AH386">
        <v>14.4355707999167</v>
      </c>
      <c r="AI386">
        <v>94.3953333923575</v>
      </c>
      <c r="AJ386">
        <v>90.696806404310706</v>
      </c>
      <c r="AK386">
        <v>14.479221830304001</v>
      </c>
      <c r="AL386">
        <v>82.909508111927295</v>
      </c>
      <c r="AM386">
        <v>87.488855013197494</v>
      </c>
      <c r="AN386">
        <v>1.0000000026001501</v>
      </c>
    </row>
    <row r="387" spans="1:40" x14ac:dyDescent="0.25">
      <c r="A387" t="str">
        <f>"20190312164001337"</f>
        <v>20190312164001337</v>
      </c>
      <c r="B387" t="str">
        <f>"1552380001326922"</f>
        <v>1552380001326922</v>
      </c>
      <c r="C387" t="s">
        <v>40</v>
      </c>
      <c r="D387">
        <v>5.420922</v>
      </c>
      <c r="E387">
        <v>0.48317510000000002</v>
      </c>
      <c r="F387" t="s">
        <v>42</v>
      </c>
      <c r="G387">
        <v>-427.59070000000003</v>
      </c>
      <c r="H387">
        <v>0.98316610000000004</v>
      </c>
      <c r="I387">
        <v>368.47949999999997</v>
      </c>
      <c r="J387">
        <v>-428.32029999999997</v>
      </c>
      <c r="K387">
        <v>1.0595619999999999</v>
      </c>
      <c r="L387">
        <v>368.46859999999998</v>
      </c>
      <c r="M387">
        <v>0.9999576</v>
      </c>
      <c r="N387">
        <v>0</v>
      </c>
      <c r="O387">
        <v>-1.7635019999999999E-3</v>
      </c>
      <c r="P387">
        <v>0.99253740000000001</v>
      </c>
      <c r="Q387">
        <v>0.1132435</v>
      </c>
      <c r="R387">
        <v>-4.5229310000000002E-2</v>
      </c>
      <c r="S387">
        <v>3.0509029999999999</v>
      </c>
      <c r="T387">
        <v>-0.23070360000000001</v>
      </c>
      <c r="U387">
        <v>3.1097409999999999E-2</v>
      </c>
      <c r="V387">
        <v>4.3582799999999998E-2</v>
      </c>
      <c r="W387">
        <v>0.1221851</v>
      </c>
      <c r="X387">
        <v>0.99155000000000004</v>
      </c>
      <c r="Y387">
        <v>-1.191674E-2</v>
      </c>
      <c r="Z387">
        <v>5.8307170000000002E-4</v>
      </c>
      <c r="AA387">
        <v>0.99992879999999995</v>
      </c>
      <c r="AB387">
        <v>32</v>
      </c>
      <c r="AC387">
        <v>0.72959999999994796</v>
      </c>
      <c r="AD387">
        <v>-7.6395900000000003E-2</v>
      </c>
      <c r="AE387">
        <v>1.08999999999923E-2</v>
      </c>
      <c r="AF387">
        <v>-1.2054549640128099E-2</v>
      </c>
      <c r="AG387">
        <v>-7.6395900000000003E-2</v>
      </c>
      <c r="AH387">
        <v>0.72166900313028504</v>
      </c>
      <c r="AI387">
        <v>96.041990541669307</v>
      </c>
      <c r="AJ387">
        <v>90.956963081555003</v>
      </c>
      <c r="AK387">
        <v>0.72580148510656495</v>
      </c>
      <c r="AL387">
        <v>82.981772476601094</v>
      </c>
      <c r="AM387">
        <v>87.483229041062401</v>
      </c>
      <c r="AN387">
        <v>1.0000000308089201</v>
      </c>
    </row>
    <row r="388" spans="1:40" x14ac:dyDescent="0.25">
      <c r="A388" t="str">
        <f>"20190312164001349"</f>
        <v>20190312164001349</v>
      </c>
      <c r="B388" t="str">
        <f>"1552380001336679"</f>
        <v>1552380001336679</v>
      </c>
      <c r="C388" t="s">
        <v>40</v>
      </c>
      <c r="D388">
        <v>5.2622119999999999</v>
      </c>
      <c r="E388">
        <v>0.48319509999999999</v>
      </c>
      <c r="F388" t="s">
        <v>43</v>
      </c>
      <c r="G388">
        <v>-413.80829999999997</v>
      </c>
      <c r="H388">
        <v>-0.05</v>
      </c>
      <c r="I388">
        <v>368.60660000000001</v>
      </c>
      <c r="J388">
        <v>-428.16320000000002</v>
      </c>
      <c r="K388">
        <v>1.0595239999999999</v>
      </c>
      <c r="L388">
        <v>368.46809999999999</v>
      </c>
      <c r="M388">
        <v>0.99995730000000005</v>
      </c>
      <c r="N388">
        <v>0</v>
      </c>
      <c r="O388">
        <v>-1.9786270000000002E-3</v>
      </c>
      <c r="P388">
        <v>0.99259679999999995</v>
      </c>
      <c r="Q388">
        <v>0.1126003</v>
      </c>
      <c r="R388">
        <v>-4.5527190000000002E-2</v>
      </c>
      <c r="S388">
        <v>3.0505369999999998</v>
      </c>
      <c r="T388">
        <v>-0.2332388</v>
      </c>
      <c r="U388">
        <v>2.9022220000000001E-2</v>
      </c>
      <c r="V388">
        <v>4.366826E-2</v>
      </c>
      <c r="W388">
        <v>0.12152019999999999</v>
      </c>
      <c r="X388">
        <v>0.99162790000000001</v>
      </c>
      <c r="Y388">
        <v>-1.1452779999999999E-2</v>
      </c>
      <c r="Z388">
        <v>5.8824699999999997E-4</v>
      </c>
      <c r="AA388">
        <v>0.99993430000000005</v>
      </c>
      <c r="AB388">
        <v>32</v>
      </c>
      <c r="AC388">
        <v>14.354900000000001</v>
      </c>
      <c r="AD388">
        <v>-1.109524</v>
      </c>
      <c r="AE388">
        <v>0.138500000000021</v>
      </c>
      <c r="AF388">
        <v>-0.16591279019970201</v>
      </c>
      <c r="AG388">
        <v>-1.109524</v>
      </c>
      <c r="AH388">
        <v>14.2693590918123</v>
      </c>
      <c r="AI388">
        <v>94.4458281667752</v>
      </c>
      <c r="AJ388">
        <v>90.666159862993595</v>
      </c>
      <c r="AK388">
        <v>14.3133916124591</v>
      </c>
      <c r="AL388">
        <v>83.020154126379097</v>
      </c>
      <c r="AM388">
        <v>87.478498199726204</v>
      </c>
      <c r="AN388">
        <v>0.99999998399893797</v>
      </c>
    </row>
    <row r="389" spans="1:40" x14ac:dyDescent="0.25">
      <c r="A389" t="str">
        <f>"20190312164001362"</f>
        <v>20190312164001362</v>
      </c>
      <c r="B389" t="str">
        <f>"1552380001357175"</f>
        <v>1552380001357175</v>
      </c>
      <c r="C389" t="s">
        <v>40</v>
      </c>
      <c r="D389">
        <v>5.3954899999999997</v>
      </c>
      <c r="E389">
        <v>0.4832071</v>
      </c>
      <c r="F389" t="s">
        <v>43</v>
      </c>
      <c r="G389">
        <v>-413.73919999999998</v>
      </c>
      <c r="H389">
        <v>-0.05</v>
      </c>
      <c r="I389">
        <v>368.59949999999998</v>
      </c>
      <c r="J389">
        <v>-427.9787</v>
      </c>
      <c r="K389">
        <v>1.0594859999999999</v>
      </c>
      <c r="L389">
        <v>368.46749999999997</v>
      </c>
      <c r="M389">
        <v>0.99995699999999998</v>
      </c>
      <c r="N389">
        <v>0</v>
      </c>
      <c r="O389">
        <v>-2.2318910000000002E-3</v>
      </c>
      <c r="P389">
        <v>0.99264280000000005</v>
      </c>
      <c r="Q389">
        <v>0.112069</v>
      </c>
      <c r="R389">
        <v>-4.5835229999999998E-2</v>
      </c>
      <c r="S389">
        <v>3.0502319999999998</v>
      </c>
      <c r="T389">
        <v>-0.2346298</v>
      </c>
      <c r="U389">
        <v>2.7801510000000001E-2</v>
      </c>
      <c r="V389">
        <v>4.372587E-2</v>
      </c>
      <c r="W389">
        <v>0.1209649</v>
      </c>
      <c r="X389">
        <v>0.9916933</v>
      </c>
      <c r="Y389">
        <v>-1.130606E-2</v>
      </c>
      <c r="Z389">
        <v>6.0562349999999997E-4</v>
      </c>
      <c r="AA389">
        <v>0.99993589999999999</v>
      </c>
      <c r="AB389">
        <v>32</v>
      </c>
      <c r="AC389">
        <v>14.2395</v>
      </c>
      <c r="AD389">
        <v>-1.109486</v>
      </c>
      <c r="AE389">
        <v>0.132000000000005</v>
      </c>
      <c r="AF389">
        <v>-0.162793748439477</v>
      </c>
      <c r="AG389">
        <v>-1.109486</v>
      </c>
      <c r="AH389">
        <v>14.1532540859875</v>
      </c>
      <c r="AI389">
        <v>94.482004694216897</v>
      </c>
      <c r="AJ389">
        <v>90.658999220372607</v>
      </c>
      <c r="AK389">
        <v>14.197607622809199</v>
      </c>
      <c r="AL389">
        <v>83.052207251264406</v>
      </c>
      <c r="AM389">
        <v>87.475342264145596</v>
      </c>
      <c r="AN389">
        <v>1.0000000300020699</v>
      </c>
    </row>
    <row r="390" spans="1:40" x14ac:dyDescent="0.25">
      <c r="A390" t="str">
        <f>"20190312164001383"</f>
        <v>20190312164001383</v>
      </c>
      <c r="B390" t="str">
        <f>"1552380001376695"</f>
        <v>1552380001376695</v>
      </c>
      <c r="C390" t="s">
        <v>40</v>
      </c>
      <c r="D390">
        <v>5.2761829999999996</v>
      </c>
      <c r="E390">
        <v>0.48322949999999998</v>
      </c>
      <c r="F390" t="s">
        <v>42</v>
      </c>
      <c r="G390">
        <v>-427.01220000000001</v>
      </c>
      <c r="H390">
        <v>0.98483299999999996</v>
      </c>
      <c r="I390">
        <v>368.47579999999999</v>
      </c>
      <c r="J390">
        <v>-427.66239999999999</v>
      </c>
      <c r="K390">
        <v>1.0594220000000001</v>
      </c>
      <c r="L390">
        <v>368.46640000000002</v>
      </c>
      <c r="M390">
        <v>0.99995639999999997</v>
      </c>
      <c r="N390">
        <v>0</v>
      </c>
      <c r="O390">
        <v>-2.6685879999999999E-3</v>
      </c>
      <c r="P390">
        <v>0.99269770000000002</v>
      </c>
      <c r="Q390">
        <v>0.1115442</v>
      </c>
      <c r="R390">
        <v>-4.593183E-2</v>
      </c>
      <c r="S390">
        <v>3.0500790000000002</v>
      </c>
      <c r="T390">
        <v>-0.23581579999999999</v>
      </c>
      <c r="U390">
        <v>2.716064E-2</v>
      </c>
      <c r="V390">
        <v>4.3390449999999997E-2</v>
      </c>
      <c r="W390">
        <v>0.120405399999999</v>
      </c>
      <c r="X390">
        <v>0.99177610000000005</v>
      </c>
      <c r="Y390">
        <v>-1.1530729999999999E-2</v>
      </c>
      <c r="Z390">
        <v>6.5109230000000003E-4</v>
      </c>
      <c r="AA390">
        <v>0.99993330000000002</v>
      </c>
      <c r="AB390">
        <v>32</v>
      </c>
      <c r="AC390">
        <v>0.65019999999998301</v>
      </c>
      <c r="AD390">
        <v>-7.4588999999999905E-2</v>
      </c>
      <c r="AE390">
        <v>9.3999999999709802E-3</v>
      </c>
      <c r="AF390">
        <v>-1.09905466330364E-2</v>
      </c>
      <c r="AG390">
        <v>-7.4588999999999905E-2</v>
      </c>
      <c r="AH390">
        <v>0.64172921208942402</v>
      </c>
      <c r="AI390">
        <v>96.628848847804406</v>
      </c>
      <c r="AJ390">
        <v>90.981177679778</v>
      </c>
      <c r="AK390">
        <v>0.64614293518168697</v>
      </c>
      <c r="AL390">
        <v>83.084500149400697</v>
      </c>
      <c r="AM390">
        <v>87.494892969894593</v>
      </c>
      <c r="AN390">
        <v>1.0000000120157799</v>
      </c>
    </row>
    <row r="391" spans="1:40" x14ac:dyDescent="0.25">
      <c r="A391" t="str">
        <f>"20190312164001395"</f>
        <v>20190312164001395</v>
      </c>
      <c r="B391" t="str">
        <f>"1552380001386455"</f>
        <v>1552380001386455</v>
      </c>
      <c r="C391" t="s">
        <v>40</v>
      </c>
      <c r="D391">
        <v>5.1976339999999999</v>
      </c>
      <c r="E391">
        <v>0.48323090000000002</v>
      </c>
      <c r="F391" t="s">
        <v>42</v>
      </c>
      <c r="G391">
        <v>-426.72109999999998</v>
      </c>
      <c r="H391">
        <v>0.98661909999999997</v>
      </c>
      <c r="I391">
        <v>368.47449999999998</v>
      </c>
      <c r="J391">
        <v>-427.48320000000001</v>
      </c>
      <c r="K391">
        <v>1.0593900000000001</v>
      </c>
      <c r="L391">
        <v>368.46570000000003</v>
      </c>
      <c r="M391">
        <v>0.9999557</v>
      </c>
      <c r="N391">
        <v>0</v>
      </c>
      <c r="O391">
        <v>-2.9155499999999998E-3</v>
      </c>
      <c r="P391">
        <v>0.99272439999999995</v>
      </c>
      <c r="Q391">
        <v>0.11121060000000001</v>
      </c>
      <c r="R391">
        <v>-4.6158299999999999E-2</v>
      </c>
      <c r="S391">
        <v>3.0498050000000001</v>
      </c>
      <c r="T391">
        <v>-0.23589889999999999</v>
      </c>
      <c r="U391">
        <v>2.624512E-2</v>
      </c>
      <c r="V391">
        <v>4.3372519999999998E-2</v>
      </c>
      <c r="W391">
        <v>0.1200551</v>
      </c>
      <c r="X391">
        <v>0.99181929999999996</v>
      </c>
      <c r="Y391">
        <v>-1.147772E-2</v>
      </c>
      <c r="Z391">
        <v>6.6840770000000001E-4</v>
      </c>
      <c r="AA391">
        <v>0.99993390000000004</v>
      </c>
      <c r="AB391">
        <v>32</v>
      </c>
      <c r="AC391">
        <v>0.76210000000003197</v>
      </c>
      <c r="AD391">
        <v>-7.2770900000000194E-2</v>
      </c>
      <c r="AE391">
        <v>8.7999999999510692E-3</v>
      </c>
      <c r="AF391">
        <v>-1.0922416761006601E-2</v>
      </c>
      <c r="AG391">
        <v>-7.2770900000000194E-2</v>
      </c>
      <c r="AH391">
        <v>0.75518635866863904</v>
      </c>
      <c r="AI391">
        <v>95.503541685919302</v>
      </c>
      <c r="AJ391">
        <v>90.8286229542407</v>
      </c>
      <c r="AK391">
        <v>0.75876303243760501</v>
      </c>
      <c r="AL391">
        <v>83.104717178631802</v>
      </c>
      <c r="AM391">
        <v>87.496035753126094</v>
      </c>
      <c r="AN391">
        <v>0.99999996318982398</v>
      </c>
    </row>
    <row r="392" spans="1:40" x14ac:dyDescent="0.25">
      <c r="A392" t="str">
        <f>"20190312164001407"</f>
        <v>20190312164001407</v>
      </c>
      <c r="B392" t="str">
        <f>"1552380001397191"</f>
        <v>1552380001397191</v>
      </c>
      <c r="C392" t="s">
        <v>40</v>
      </c>
      <c r="D392">
        <v>5.1563129999999999</v>
      </c>
      <c r="E392">
        <v>0.48322880000000001</v>
      </c>
      <c r="F392" t="s">
        <v>43</v>
      </c>
      <c r="G392">
        <v>-413.15570000000002</v>
      </c>
      <c r="H392">
        <v>-0.05</v>
      </c>
      <c r="I392">
        <v>368.58580000000001</v>
      </c>
      <c r="J392">
        <v>-427.31240000000003</v>
      </c>
      <c r="K392">
        <v>1.059364</v>
      </c>
      <c r="L392">
        <v>368.4649</v>
      </c>
      <c r="M392">
        <v>0.99995509999999999</v>
      </c>
      <c r="N392">
        <v>0</v>
      </c>
      <c r="O392">
        <v>-3.150838E-3</v>
      </c>
      <c r="P392">
        <v>0.99273520000000004</v>
      </c>
      <c r="Q392">
        <v>0.1110333</v>
      </c>
      <c r="R392">
        <v>-4.6353520000000002E-2</v>
      </c>
      <c r="S392">
        <v>3.0496219999999998</v>
      </c>
      <c r="T392">
        <v>-0.23613509999999999</v>
      </c>
      <c r="U392">
        <v>2.5573729999999999E-2</v>
      </c>
      <c r="V392">
        <v>4.3334890000000001E-2</v>
      </c>
      <c r="W392">
        <v>0.1198644</v>
      </c>
      <c r="X392">
        <v>0.99184410000000001</v>
      </c>
      <c r="Y392">
        <v>-1.1492560000000001E-2</v>
      </c>
      <c r="Z392">
        <v>6.8788110000000003E-4</v>
      </c>
      <c r="AA392">
        <v>0.99993370000000004</v>
      </c>
      <c r="AB392">
        <v>32</v>
      </c>
      <c r="AC392">
        <v>14.156700000000001</v>
      </c>
      <c r="AD392">
        <v>-1.109364</v>
      </c>
      <c r="AE392">
        <v>0.120900000000006</v>
      </c>
      <c r="AF392">
        <v>-0.164496584634893</v>
      </c>
      <c r="AG392">
        <v>-1.109364</v>
      </c>
      <c r="AH392">
        <v>14.069855079172299</v>
      </c>
      <c r="AI392">
        <v>94.507958990514595</v>
      </c>
      <c r="AJ392">
        <v>90.669838501937605</v>
      </c>
      <c r="AK392">
        <v>14.1144808462714</v>
      </c>
      <c r="AL392">
        <v>83.115723580162395</v>
      </c>
      <c r="AM392">
        <v>87.4982679063707</v>
      </c>
      <c r="AN392">
        <v>1.0000000528917301</v>
      </c>
    </row>
    <row r="393" spans="1:40" x14ac:dyDescent="0.25">
      <c r="A393" t="str">
        <f>"20190312164001420"</f>
        <v>20190312164001420</v>
      </c>
      <c r="B393" t="str">
        <f>"1552380001416711"</f>
        <v>1552380001416711</v>
      </c>
      <c r="C393" t="s">
        <v>40</v>
      </c>
      <c r="D393">
        <v>5.3756789999999999</v>
      </c>
      <c r="E393">
        <v>0.48326659999999999</v>
      </c>
      <c r="F393" t="s">
        <v>43</v>
      </c>
      <c r="G393">
        <v>-412.95780000000002</v>
      </c>
      <c r="H393">
        <v>-0.05</v>
      </c>
      <c r="I393">
        <v>368.58269999999999</v>
      </c>
      <c r="J393">
        <v>-427.12819999999999</v>
      </c>
      <c r="K393">
        <v>1.0593410000000001</v>
      </c>
      <c r="L393">
        <v>368.46409999999997</v>
      </c>
      <c r="M393">
        <v>0.99995440000000002</v>
      </c>
      <c r="N393">
        <v>0</v>
      </c>
      <c r="O393">
        <v>-3.4044029999999999E-3</v>
      </c>
      <c r="P393">
        <v>0.99277899999999997</v>
      </c>
      <c r="Q393">
        <v>0.1105889</v>
      </c>
      <c r="R393">
        <v>-4.6476379999999998E-2</v>
      </c>
      <c r="S393">
        <v>3.0495299999999999</v>
      </c>
      <c r="T393">
        <v>-0.2356752</v>
      </c>
      <c r="U393">
        <v>2.502441E-2</v>
      </c>
      <c r="V393">
        <v>4.3206620000000001E-2</v>
      </c>
      <c r="W393">
        <v>0.1194146</v>
      </c>
      <c r="X393">
        <v>0.99190389999999995</v>
      </c>
      <c r="Y393">
        <v>-1.156545E-2</v>
      </c>
      <c r="Z393">
        <v>7.0894619999999997E-4</v>
      </c>
      <c r="AA393">
        <v>0.99993290000000001</v>
      </c>
      <c r="AB393">
        <v>32</v>
      </c>
      <c r="AC393">
        <v>14.1703999999999</v>
      </c>
      <c r="AD393">
        <v>-1.1093409999999999</v>
      </c>
      <c r="AE393">
        <v>0.118600000000014</v>
      </c>
      <c r="AF393">
        <v>-0.16582675972415001</v>
      </c>
      <c r="AG393">
        <v>-1.1093409999999999</v>
      </c>
      <c r="AH393">
        <v>14.083606432511001</v>
      </c>
      <c r="AI393">
        <v>94.503478141549493</v>
      </c>
      <c r="AJ393">
        <v>90.674595280039497</v>
      </c>
      <c r="AK393">
        <v>14.128202508259401</v>
      </c>
      <c r="AL393">
        <v>83.141681321785001</v>
      </c>
      <c r="AM393">
        <v>87.505813782124704</v>
      </c>
      <c r="AN393">
        <v>1.0000000027700899</v>
      </c>
    </row>
    <row r="394" spans="1:40" x14ac:dyDescent="0.25">
      <c r="A394" t="str">
        <f>"20190312164001439"</f>
        <v>20190312164001439</v>
      </c>
      <c r="B394" t="str">
        <f>"1552380001436231"</f>
        <v>1552380001436231</v>
      </c>
      <c r="C394" t="s">
        <v>40</v>
      </c>
      <c r="D394">
        <v>5.3100709999999998</v>
      </c>
      <c r="E394">
        <v>0.48330810000000002</v>
      </c>
      <c r="F394" t="s">
        <v>42</v>
      </c>
      <c r="G394">
        <v>-426.14370000000002</v>
      </c>
      <c r="H394">
        <v>0.98318669999999997</v>
      </c>
      <c r="I394">
        <v>368.47199999999998</v>
      </c>
      <c r="J394">
        <v>-426.85680000000002</v>
      </c>
      <c r="K394">
        <v>1.0593239999999999</v>
      </c>
      <c r="L394">
        <v>368.46289999999999</v>
      </c>
      <c r="M394">
        <v>0.99995250000000002</v>
      </c>
      <c r="N394">
        <v>0</v>
      </c>
      <c r="O394">
        <v>-3.7756930000000001E-3</v>
      </c>
      <c r="P394">
        <v>0.99284229999999996</v>
      </c>
      <c r="Q394">
        <v>0.1101277</v>
      </c>
      <c r="R394">
        <v>-4.6221119999999997E-2</v>
      </c>
      <c r="S394">
        <v>3.0492249999999999</v>
      </c>
      <c r="T394">
        <v>-0.2359301</v>
      </c>
      <c r="U394">
        <v>2.471924E-2</v>
      </c>
      <c r="V394">
        <v>4.2583280000000001E-2</v>
      </c>
      <c r="W394">
        <v>0.1190051</v>
      </c>
      <c r="X394">
        <v>0.99198010000000003</v>
      </c>
      <c r="Y394">
        <v>-1.1835470000000001E-2</v>
      </c>
      <c r="Z394">
        <v>7.4889809999999896E-4</v>
      </c>
      <c r="AA394">
        <v>0.99992970000000003</v>
      </c>
      <c r="AB394">
        <v>32</v>
      </c>
      <c r="AC394">
        <v>0.71309999999999696</v>
      </c>
      <c r="AD394">
        <v>-7.6137299999999894E-2</v>
      </c>
      <c r="AE394">
        <v>9.0999999999894499E-3</v>
      </c>
      <c r="AF394">
        <v>-1.16595960578991E-2</v>
      </c>
      <c r="AG394">
        <v>-7.6137299999999894E-2</v>
      </c>
      <c r="AH394">
        <v>0.70502478205827501</v>
      </c>
      <c r="AI394">
        <v>96.162784328174993</v>
      </c>
      <c r="AJ394">
        <v>90.947462796080103</v>
      </c>
      <c r="AK394">
        <v>0.70921983753124296</v>
      </c>
      <c r="AL394">
        <v>83.165312670998901</v>
      </c>
      <c r="AM394">
        <v>87.5419414327759</v>
      </c>
      <c r="AN394">
        <v>1.00000003417878</v>
      </c>
    </row>
    <row r="395" spans="1:40" x14ac:dyDescent="0.25">
      <c r="A395" t="str">
        <f>"20190312164001451"</f>
        <v>20190312164001451</v>
      </c>
      <c r="B395" t="str">
        <f>"1552380001446967"</f>
        <v>1552380001446967</v>
      </c>
      <c r="C395" t="s">
        <v>40</v>
      </c>
      <c r="D395">
        <v>5.3367490000000002</v>
      </c>
      <c r="E395">
        <v>0.48331239999999998</v>
      </c>
      <c r="F395" t="s">
        <v>42</v>
      </c>
      <c r="G395">
        <v>-425.8546</v>
      </c>
      <c r="H395">
        <v>0.98171779999999997</v>
      </c>
      <c r="I395">
        <v>368.47089999999997</v>
      </c>
      <c r="J395">
        <v>-426.67239999999998</v>
      </c>
      <c r="K395">
        <v>1.0593319999999999</v>
      </c>
      <c r="L395">
        <v>368.46190000000001</v>
      </c>
      <c r="M395">
        <v>0.99995069999999997</v>
      </c>
      <c r="N395">
        <v>0</v>
      </c>
      <c r="O395">
        <v>-4.0308130000000003E-3</v>
      </c>
      <c r="P395">
        <v>0.99287199999999998</v>
      </c>
      <c r="Q395">
        <v>0.1097588</v>
      </c>
      <c r="R395">
        <v>-4.6461170000000003E-2</v>
      </c>
      <c r="S395">
        <v>3.0489809999999999</v>
      </c>
      <c r="T395">
        <v>-0.23622099999999999</v>
      </c>
      <c r="U395">
        <v>2.502441E-2</v>
      </c>
      <c r="V395">
        <v>4.2571320000000003E-2</v>
      </c>
      <c r="W395">
        <v>0.11874560000000001</v>
      </c>
      <c r="X395">
        <v>0.99201170000000005</v>
      </c>
      <c r="Y395">
        <v>-1.218936E-2</v>
      </c>
      <c r="Z395">
        <v>7.8330330000000005E-4</v>
      </c>
      <c r="AA395">
        <v>0.99992539999999996</v>
      </c>
      <c r="AB395">
        <v>32</v>
      </c>
      <c r="AC395">
        <v>0.81779999999997699</v>
      </c>
      <c r="AD395">
        <v>-7.7614199999999897E-2</v>
      </c>
      <c r="AE395">
        <v>8.9999999999576998E-3</v>
      </c>
      <c r="AF395">
        <v>-1.2186707090349899E-2</v>
      </c>
      <c r="AG395">
        <v>-7.7614199999999897E-2</v>
      </c>
      <c r="AH395">
        <v>0.81045803115926096</v>
      </c>
      <c r="AI395">
        <v>95.469682117746601</v>
      </c>
      <c r="AJ395">
        <v>90.861481084579907</v>
      </c>
      <c r="AK395">
        <v>0.81425714620253198</v>
      </c>
      <c r="AL395">
        <v>83.180287035622698</v>
      </c>
      <c r="AM395">
        <v>87.542709142356998</v>
      </c>
      <c r="AN395">
        <v>1.00000002387139</v>
      </c>
    </row>
    <row r="396" spans="1:40" x14ac:dyDescent="0.25">
      <c r="A396" t="str">
        <f>"20190312164001474"</f>
        <v>20190312164001474</v>
      </c>
      <c r="B396" t="str">
        <f>"1552380001466487"</f>
        <v>1552380001466487</v>
      </c>
      <c r="C396" t="s">
        <v>40</v>
      </c>
      <c r="D396">
        <v>5.5483690000000001</v>
      </c>
      <c r="E396">
        <v>0.48329749999999999</v>
      </c>
      <c r="F396" t="s">
        <v>43</v>
      </c>
      <c r="G396">
        <v>-412.38819999999998</v>
      </c>
      <c r="H396">
        <v>-0.05</v>
      </c>
      <c r="I396">
        <v>368.57499999999999</v>
      </c>
      <c r="J396">
        <v>-426.35230000000001</v>
      </c>
      <c r="K396">
        <v>1.0593669999999999</v>
      </c>
      <c r="L396">
        <v>368.46019999999999</v>
      </c>
      <c r="M396">
        <v>0.99994640000000001</v>
      </c>
      <c r="N396">
        <v>0</v>
      </c>
      <c r="O396">
        <v>-4.4630729999999997E-3</v>
      </c>
      <c r="P396">
        <v>0.99290909999999999</v>
      </c>
      <c r="Q396">
        <v>0.1094705</v>
      </c>
      <c r="R396">
        <v>-4.6346039999999998E-2</v>
      </c>
      <c r="S396">
        <v>3.0488590000000002</v>
      </c>
      <c r="T396">
        <v>-0.23677960000000001</v>
      </c>
      <c r="U396">
        <v>2.4139399999999998E-2</v>
      </c>
      <c r="V396">
        <v>4.2029440000000001E-2</v>
      </c>
      <c r="W396">
        <v>0.1187163</v>
      </c>
      <c r="X396">
        <v>0.99203830000000004</v>
      </c>
      <c r="Y396">
        <v>-1.232976E-2</v>
      </c>
      <c r="Z396">
        <v>8.2414710000000004E-4</v>
      </c>
      <c r="AA396">
        <v>0.99992360000000002</v>
      </c>
      <c r="AB396">
        <v>32</v>
      </c>
      <c r="AC396">
        <v>13.9641</v>
      </c>
      <c r="AD396">
        <v>-1.109367</v>
      </c>
      <c r="AE396">
        <v>0.114800000000002</v>
      </c>
      <c r="AF396">
        <v>-0.17601356006584701</v>
      </c>
      <c r="AG396">
        <v>-1.109367</v>
      </c>
      <c r="AH396">
        <v>13.875878453561301</v>
      </c>
      <c r="AI396">
        <v>94.570669621849802</v>
      </c>
      <c r="AJ396">
        <v>90.726749900019797</v>
      </c>
      <c r="AK396">
        <v>13.921267139596999</v>
      </c>
      <c r="AL396">
        <v>83.181977674457301</v>
      </c>
      <c r="AM396">
        <v>87.574014761658901</v>
      </c>
      <c r="AN396">
        <v>1.0000000111896401</v>
      </c>
    </row>
    <row r="397" spans="1:40" x14ac:dyDescent="0.25">
      <c r="A397" t="str">
        <f>"20190312164001495"</f>
        <v>20190312164001495</v>
      </c>
      <c r="B397" t="str">
        <f>"1552380001486982"</f>
        <v>1552380001486982</v>
      </c>
      <c r="C397" t="s">
        <v>40</v>
      </c>
      <c r="D397">
        <v>5.2790470000000003</v>
      </c>
      <c r="E397">
        <v>0.48340149999999998</v>
      </c>
      <c r="F397" t="s">
        <v>43</v>
      </c>
      <c r="G397">
        <v>-412.13420000000002</v>
      </c>
      <c r="H397">
        <v>-0.05</v>
      </c>
      <c r="I397">
        <v>368.57659999999998</v>
      </c>
      <c r="J397">
        <v>-426.03539999999998</v>
      </c>
      <c r="K397">
        <v>1.0594030000000001</v>
      </c>
      <c r="L397">
        <v>368.45830000000001</v>
      </c>
      <c r="M397">
        <v>0.99994159999999999</v>
      </c>
      <c r="N397">
        <v>0</v>
      </c>
      <c r="O397">
        <v>-4.8862460000000003E-3</v>
      </c>
      <c r="P397">
        <v>0.99297829999999998</v>
      </c>
      <c r="Q397">
        <v>0.108877</v>
      </c>
      <c r="R397">
        <v>-4.6263150000000003E-2</v>
      </c>
      <c r="S397">
        <v>3.0488279999999999</v>
      </c>
      <c r="T397">
        <v>-0.2378844</v>
      </c>
      <c r="U397">
        <v>2.496338E-2</v>
      </c>
      <c r="V397">
        <v>4.1526670000000002E-2</v>
      </c>
      <c r="W397">
        <v>0.1184076</v>
      </c>
      <c r="X397">
        <v>0.99209639999999999</v>
      </c>
      <c r="Y397">
        <v>-1.3019380000000001E-2</v>
      </c>
      <c r="Z397">
        <v>8.8782119999999997E-4</v>
      </c>
      <c r="AA397">
        <v>0.99991479999999999</v>
      </c>
      <c r="AB397">
        <v>32</v>
      </c>
      <c r="AC397">
        <v>13.9011999999999</v>
      </c>
      <c r="AD397">
        <v>-1.1094029999999999</v>
      </c>
      <c r="AE397">
        <v>0.11829999999997599</v>
      </c>
      <c r="AF397">
        <v>-0.185047933917177</v>
      </c>
      <c r="AG397">
        <v>-1.1094029999999999</v>
      </c>
      <c r="AH397">
        <v>13.812490011969199</v>
      </c>
      <c r="AI397">
        <v>94.591661807202001</v>
      </c>
      <c r="AJ397">
        <v>90.767553957153396</v>
      </c>
      <c r="AK397">
        <v>13.858206885633001</v>
      </c>
      <c r="AL397">
        <v>83.199790755839203</v>
      </c>
      <c r="AM397">
        <v>87.603141353323196</v>
      </c>
      <c r="AN397">
        <v>1.0000000454760001</v>
      </c>
    </row>
    <row r="398" spans="1:40" x14ac:dyDescent="0.25">
      <c r="A398" t="str">
        <f>"20190312164001517"</f>
        <v>20190312164001517</v>
      </c>
      <c r="B398" t="str">
        <f>"1552380001506506"</f>
        <v>1552380001506506</v>
      </c>
      <c r="C398" t="s">
        <v>40</v>
      </c>
      <c r="D398">
        <v>5.3986919999999996</v>
      </c>
      <c r="E398">
        <v>0.4834002</v>
      </c>
      <c r="F398" t="s">
        <v>43</v>
      </c>
      <c r="G398">
        <v>-411.89530000000002</v>
      </c>
      <c r="H398">
        <v>-0.05</v>
      </c>
      <c r="I398">
        <v>368.57029999999997</v>
      </c>
      <c r="J398">
        <v>-425.7242</v>
      </c>
      <c r="K398">
        <v>1.059434</v>
      </c>
      <c r="L398">
        <v>368.4563</v>
      </c>
      <c r="M398">
        <v>0.99993710000000002</v>
      </c>
      <c r="N398">
        <v>0</v>
      </c>
      <c r="O398">
        <v>-5.2969180000000003E-3</v>
      </c>
      <c r="P398">
        <v>0.99301530000000005</v>
      </c>
      <c r="Q398">
        <v>0.10858180000000001</v>
      </c>
      <c r="R398">
        <v>-4.6161710000000002E-2</v>
      </c>
      <c r="S398">
        <v>3.0485229999999999</v>
      </c>
      <c r="T398">
        <v>-0.23918200000000001</v>
      </c>
      <c r="U398">
        <v>2.4139399999999998E-2</v>
      </c>
      <c r="V398">
        <v>4.1016259999999999E-2</v>
      </c>
      <c r="W398">
        <v>0.1183664</v>
      </c>
      <c r="X398">
        <v>0.99212250000000002</v>
      </c>
      <c r="Y398">
        <v>-1.3158329999999999E-2</v>
      </c>
      <c r="Z398">
        <v>9.3035470000000001E-4</v>
      </c>
      <c r="AA398">
        <v>0.99991300000000005</v>
      </c>
      <c r="AB398">
        <v>32</v>
      </c>
      <c r="AC398">
        <v>13.8288999999999</v>
      </c>
      <c r="AD398">
        <v>-1.109434</v>
      </c>
      <c r="AE398">
        <v>0.113999999999975</v>
      </c>
      <c r="AF398">
        <v>-0.18605512834914101</v>
      </c>
      <c r="AG398">
        <v>-1.109434</v>
      </c>
      <c r="AH398">
        <v>13.739677178176199</v>
      </c>
      <c r="AI398">
        <v>94.616009740564706</v>
      </c>
      <c r="AJ398">
        <v>90.775820418220107</v>
      </c>
      <c r="AK398">
        <v>13.7856515722557</v>
      </c>
      <c r="AL398">
        <v>83.202167726481306</v>
      </c>
      <c r="AM398">
        <v>87.632629953386299</v>
      </c>
      <c r="AN398">
        <v>0.99999999661979799</v>
      </c>
    </row>
    <row r="399" spans="1:40" x14ac:dyDescent="0.25">
      <c r="A399" t="str">
        <f>"20190312164001528"</f>
        <v>20190312164001528</v>
      </c>
      <c r="B399" t="str">
        <f>"1552380001526999"</f>
        <v>1552380001526999</v>
      </c>
      <c r="C399" t="s">
        <v>40</v>
      </c>
      <c r="D399">
        <v>5.2552699999999897</v>
      </c>
      <c r="E399">
        <v>0.48353839999999998</v>
      </c>
      <c r="F399" t="s">
        <v>43</v>
      </c>
      <c r="G399">
        <v>-411.5643</v>
      </c>
      <c r="H399">
        <v>-0.05</v>
      </c>
      <c r="I399">
        <v>368.57260000000002</v>
      </c>
      <c r="J399">
        <v>-425.54989999999998</v>
      </c>
      <c r="K399">
        <v>1.05945</v>
      </c>
      <c r="L399">
        <v>368.45519999999999</v>
      </c>
      <c r="M399">
        <v>0.99993449999999995</v>
      </c>
      <c r="N399">
        <v>0</v>
      </c>
      <c r="O399">
        <v>-5.5135590000000003E-3</v>
      </c>
      <c r="P399">
        <v>0.99298989999999998</v>
      </c>
      <c r="Q399">
        <v>0.1087095</v>
      </c>
      <c r="R399">
        <v>-4.6403340000000001E-2</v>
      </c>
      <c r="S399">
        <v>3.0484309999999999</v>
      </c>
      <c r="T399">
        <v>-0.2388458</v>
      </c>
      <c r="U399">
        <v>2.502441E-2</v>
      </c>
      <c r="V399">
        <v>4.1041620000000001E-2</v>
      </c>
      <c r="W399">
        <v>0.11862399999999999</v>
      </c>
      <c r="X399">
        <v>0.99209069999999999</v>
      </c>
      <c r="Y399">
        <v>-1.3663430000000001E-2</v>
      </c>
      <c r="Z399">
        <v>9.6578349999999996E-4</v>
      </c>
      <c r="AA399">
        <v>0.99990619999999997</v>
      </c>
      <c r="AB399">
        <v>32</v>
      </c>
      <c r="AC399">
        <v>13.9855999999999</v>
      </c>
      <c r="AD399">
        <v>-1.10945</v>
      </c>
      <c r="AE399">
        <v>0.11740000000003099</v>
      </c>
      <c r="AF399">
        <v>-0.19329621009755399</v>
      </c>
      <c r="AG399">
        <v>-1.10945</v>
      </c>
      <c r="AH399">
        <v>13.8972914827709</v>
      </c>
      <c r="AI399">
        <v>94.563922920472095</v>
      </c>
      <c r="AJ399">
        <v>90.796870594930397</v>
      </c>
      <c r="AK399">
        <v>13.9428459535503</v>
      </c>
      <c r="AL399">
        <v>83.187303718927694</v>
      </c>
      <c r="AM399">
        <v>87.631092052881101</v>
      </c>
      <c r="AN399">
        <v>1.00000001248735</v>
      </c>
    </row>
    <row r="400" spans="1:40" x14ac:dyDescent="0.25">
      <c r="A400" t="str">
        <f>"20190312164001541"</f>
        <v>20190312164001541</v>
      </c>
      <c r="B400" t="str">
        <f>"1552380001536759"</f>
        <v>1552380001536759</v>
      </c>
      <c r="C400" t="s">
        <v>40</v>
      </c>
      <c r="D400">
        <v>5.1995279999999999</v>
      </c>
      <c r="E400">
        <v>0.48352669999999998</v>
      </c>
      <c r="F400" t="s">
        <v>43</v>
      </c>
      <c r="G400">
        <v>-411.33170000000001</v>
      </c>
      <c r="H400">
        <v>-0.05</v>
      </c>
      <c r="I400">
        <v>368.56380000000001</v>
      </c>
      <c r="J400">
        <v>-425.37400000000002</v>
      </c>
      <c r="K400">
        <v>1.0594669999999999</v>
      </c>
      <c r="L400">
        <v>368.45400000000001</v>
      </c>
      <c r="M400">
        <v>0.99993220000000005</v>
      </c>
      <c r="N400">
        <v>0</v>
      </c>
      <c r="O400">
        <v>-5.7252800000000001E-3</v>
      </c>
      <c r="P400">
        <v>0.99300679999999997</v>
      </c>
      <c r="Q400">
        <v>0.1086705</v>
      </c>
      <c r="R400">
        <v>-4.6137360000000002E-2</v>
      </c>
      <c r="S400">
        <v>3.0483090000000002</v>
      </c>
      <c r="T400">
        <v>-0.2378596</v>
      </c>
      <c r="U400">
        <v>2.3284909999999999E-2</v>
      </c>
      <c r="V400">
        <v>4.0563040000000002E-2</v>
      </c>
      <c r="W400">
        <v>0.1187144</v>
      </c>
      <c r="X400">
        <v>0.99209959999999997</v>
      </c>
      <c r="Y400">
        <v>-1.3305849999999999E-2</v>
      </c>
      <c r="Z400">
        <v>9.6441539999999996E-4</v>
      </c>
      <c r="AA400">
        <v>0.99991099999999999</v>
      </c>
      <c r="AB400">
        <v>32</v>
      </c>
      <c r="AC400">
        <v>14.042299999999999</v>
      </c>
      <c r="AD400">
        <v>-1.109467</v>
      </c>
      <c r="AE400">
        <v>0.109800000000006</v>
      </c>
      <c r="AF400">
        <v>-0.18901857364865901</v>
      </c>
      <c r="AG400">
        <v>-1.109467</v>
      </c>
      <c r="AH400">
        <v>13.954337790181899</v>
      </c>
      <c r="AI400">
        <v>94.545435558065606</v>
      </c>
      <c r="AJ400">
        <v>90.7760528942283</v>
      </c>
      <c r="AK400">
        <v>13.999649574463399</v>
      </c>
      <c r="AL400">
        <v>83.182087527273495</v>
      </c>
      <c r="AM400">
        <v>87.6587055813944</v>
      </c>
      <c r="AN400">
        <v>1.00000004265077</v>
      </c>
    </row>
    <row r="401" spans="1:40" x14ac:dyDescent="0.25">
      <c r="A401" t="str">
        <f>"20190312164001562"</f>
        <v>20190312164001562</v>
      </c>
      <c r="B401" t="str">
        <f>"1552380001556279"</f>
        <v>1552380001556279</v>
      </c>
      <c r="C401" t="s">
        <v>40</v>
      </c>
      <c r="D401">
        <v>5.7768139999999999</v>
      </c>
      <c r="E401">
        <v>0.48364740000000001</v>
      </c>
      <c r="F401" t="s">
        <v>42</v>
      </c>
      <c r="G401">
        <v>-424.40320000000003</v>
      </c>
      <c r="H401">
        <v>0.98386320000000005</v>
      </c>
      <c r="I401">
        <v>368.46190000000001</v>
      </c>
      <c r="J401">
        <v>-425.07569999999998</v>
      </c>
      <c r="K401">
        <v>1.059507</v>
      </c>
      <c r="L401">
        <v>368.45190000000002</v>
      </c>
      <c r="M401">
        <v>0.99992809999999999</v>
      </c>
      <c r="N401">
        <v>0</v>
      </c>
      <c r="O401">
        <v>-6.047724E-3</v>
      </c>
      <c r="P401">
        <v>0.99301450000000002</v>
      </c>
      <c r="Q401">
        <v>0.1085677</v>
      </c>
      <c r="R401">
        <v>-4.6208840000000001E-2</v>
      </c>
      <c r="S401">
        <v>3.0482480000000001</v>
      </c>
      <c r="T401">
        <v>-0.23735590000000001</v>
      </c>
      <c r="U401">
        <v>2.471924E-2</v>
      </c>
      <c r="V401">
        <v>4.0307509999999998E-2</v>
      </c>
      <c r="W401">
        <v>0.11881899999999999</v>
      </c>
      <c r="X401">
        <v>0.99209740000000002</v>
      </c>
      <c r="Y401">
        <v>-1.409579E-2</v>
      </c>
      <c r="Z401">
        <v>1.018176E-3</v>
      </c>
      <c r="AA401">
        <v>0.99990009999999996</v>
      </c>
      <c r="AB401">
        <v>32</v>
      </c>
      <c r="AC401">
        <v>0.67249999999995602</v>
      </c>
      <c r="AD401">
        <v>-7.5643799999999997E-2</v>
      </c>
      <c r="AE401">
        <v>9.9999999999908998E-3</v>
      </c>
      <c r="AF401">
        <v>-1.38914130636977E-2</v>
      </c>
      <c r="AG401">
        <v>-7.5643799999999997E-2</v>
      </c>
      <c r="AH401">
        <v>0.66402774161976297</v>
      </c>
      <c r="AI401">
        <v>96.497516857321202</v>
      </c>
      <c r="AJ401">
        <v>91.198448816219695</v>
      </c>
      <c r="AK401">
        <v>0.66846675121204702</v>
      </c>
      <c r="AL401">
        <v>83.176051037214506</v>
      </c>
      <c r="AM401">
        <v>87.673433333872396</v>
      </c>
      <c r="AN401">
        <v>0.99999995060507796</v>
      </c>
    </row>
    <row r="402" spans="1:40" x14ac:dyDescent="0.25">
      <c r="A402" t="str">
        <f>"20190312164001574"</f>
        <v>20190312164001574</v>
      </c>
      <c r="B402" t="str">
        <f>"1552380001567015"</f>
        <v>1552380001567015</v>
      </c>
      <c r="C402" t="s">
        <v>40</v>
      </c>
      <c r="D402">
        <v>5.4360210000000002</v>
      </c>
      <c r="E402">
        <v>0.48364740000000001</v>
      </c>
      <c r="F402" t="s">
        <v>42</v>
      </c>
      <c r="G402">
        <v>-424.113</v>
      </c>
      <c r="H402">
        <v>0.98481669999999999</v>
      </c>
      <c r="I402">
        <v>368.45859999999999</v>
      </c>
      <c r="J402">
        <v>-424.88900000000001</v>
      </c>
      <c r="K402">
        <v>1.059534</v>
      </c>
      <c r="L402">
        <v>368.45049999999998</v>
      </c>
      <c r="M402">
        <v>0.99992570000000003</v>
      </c>
      <c r="N402">
        <v>0</v>
      </c>
      <c r="O402">
        <v>-6.2288309999999998E-3</v>
      </c>
      <c r="P402">
        <v>0.99302650000000003</v>
      </c>
      <c r="Q402">
        <v>0.1084997</v>
      </c>
      <c r="R402">
        <v>-4.6109589999999999E-2</v>
      </c>
      <c r="S402">
        <v>3.0481259999999999</v>
      </c>
      <c r="T402">
        <v>-0.23691770000000001</v>
      </c>
      <c r="U402">
        <v>2.34375E-2</v>
      </c>
      <c r="V402">
        <v>4.0022200000000001E-2</v>
      </c>
      <c r="W402">
        <v>0.1188739</v>
      </c>
      <c r="X402">
        <v>0.99210240000000005</v>
      </c>
      <c r="Y402">
        <v>-1.385719E-2</v>
      </c>
      <c r="Z402">
        <v>1.0211420000000001E-3</v>
      </c>
      <c r="AA402">
        <v>0.9999034</v>
      </c>
      <c r="AB402">
        <v>32</v>
      </c>
      <c r="AC402">
        <v>0.77599999999995295</v>
      </c>
      <c r="AD402">
        <v>-7.4717299999999903E-2</v>
      </c>
      <c r="AE402">
        <v>8.1000000000130898E-3</v>
      </c>
      <c r="AF402">
        <v>-1.28148892860937E-2</v>
      </c>
      <c r="AG402">
        <v>-7.4717299999999903E-2</v>
      </c>
      <c r="AH402">
        <v>0.76880777387388599</v>
      </c>
      <c r="AI402">
        <v>95.550145059786402</v>
      </c>
      <c r="AJ402">
        <v>90.954947526634299</v>
      </c>
      <c r="AK402">
        <v>0.77253627065376396</v>
      </c>
      <c r="AL402">
        <v>83.172883222615496</v>
      </c>
      <c r="AM402">
        <v>87.689895273462398</v>
      </c>
      <c r="AN402">
        <v>0.99999997633990401</v>
      </c>
    </row>
    <row r="403" spans="1:40" x14ac:dyDescent="0.25">
      <c r="A403" t="str">
        <f>"20190312164001596"</f>
        <v>20190312164001596</v>
      </c>
      <c r="B403" t="str">
        <f>"1552380001586534"</f>
        <v>1552380001586534</v>
      </c>
      <c r="C403" t="s">
        <v>40</v>
      </c>
      <c r="D403">
        <v>5.3760599999999998</v>
      </c>
      <c r="E403">
        <v>0.4974575</v>
      </c>
      <c r="F403" t="s">
        <v>43</v>
      </c>
      <c r="G403">
        <v>-410.6284</v>
      </c>
      <c r="H403">
        <v>-0.05</v>
      </c>
      <c r="I403">
        <v>368.5616</v>
      </c>
      <c r="J403">
        <v>-424.58359999999999</v>
      </c>
      <c r="K403">
        <v>1.059582</v>
      </c>
      <c r="L403">
        <v>368.44830000000002</v>
      </c>
      <c r="M403">
        <v>0.99992219999999998</v>
      </c>
      <c r="N403">
        <v>0</v>
      </c>
      <c r="O403">
        <v>-6.4918040000000003E-3</v>
      </c>
      <c r="P403">
        <v>0.99303819999999998</v>
      </c>
      <c r="Q403">
        <v>0.1083069</v>
      </c>
      <c r="R403">
        <v>-4.631424E-2</v>
      </c>
      <c r="S403">
        <v>3.048035</v>
      </c>
      <c r="T403">
        <v>-0.23714950000000001</v>
      </c>
      <c r="U403">
        <v>2.3742679999999999E-2</v>
      </c>
      <c r="V403">
        <v>3.9953629999999997E-2</v>
      </c>
      <c r="W403">
        <v>0.1188683</v>
      </c>
      <c r="X403">
        <v>0.99210580000000004</v>
      </c>
      <c r="Y403">
        <v>-1.421849E-2</v>
      </c>
      <c r="Z403">
        <v>1.056633E-3</v>
      </c>
      <c r="AA403">
        <v>0.99989839999999997</v>
      </c>
      <c r="AB403">
        <v>32</v>
      </c>
      <c r="AC403">
        <v>13.9551999999999</v>
      </c>
      <c r="AD403">
        <v>-1.1095820000000001</v>
      </c>
      <c r="AE403">
        <v>0.113299999999981</v>
      </c>
      <c r="AF403">
        <v>-0.202616341845582</v>
      </c>
      <c r="AG403">
        <v>-1.1095820000000001</v>
      </c>
      <c r="AH403">
        <v>13.866513596412799</v>
      </c>
      <c r="AI403">
        <v>94.574506231580003</v>
      </c>
      <c r="AJ403">
        <v>90.837141583114501</v>
      </c>
      <c r="AK403">
        <v>13.9123119903274</v>
      </c>
      <c r="AL403">
        <v>83.173206133588806</v>
      </c>
      <c r="AM403">
        <v>87.693856791667898</v>
      </c>
      <c r="AN403">
        <v>0.99999994184435104</v>
      </c>
    </row>
    <row r="404" spans="1:40" x14ac:dyDescent="0.25">
      <c r="A404" t="str">
        <f>"20190312164001608"</f>
        <v>20190312164001608</v>
      </c>
      <c r="B404" t="str">
        <f>"1552380001596296"</f>
        <v>1552380001596296</v>
      </c>
      <c r="C404" t="s">
        <v>40</v>
      </c>
      <c r="D404">
        <v>5.4467990000000004</v>
      </c>
      <c r="E404">
        <v>0.49897999999999998</v>
      </c>
      <c r="F404" t="s">
        <v>43</v>
      </c>
      <c r="G404">
        <v>-409.20679999999999</v>
      </c>
      <c r="H404">
        <v>-0.05</v>
      </c>
      <c r="I404">
        <v>368.00189999999998</v>
      </c>
      <c r="J404">
        <v>-424.40410000000003</v>
      </c>
      <c r="K404">
        <v>1.0596110000000001</v>
      </c>
      <c r="L404">
        <v>368.447</v>
      </c>
      <c r="M404">
        <v>0.99992020000000004</v>
      </c>
      <c r="N404">
        <v>0</v>
      </c>
      <c r="O404">
        <v>-6.6165479999999999E-3</v>
      </c>
      <c r="P404">
        <v>0.99306039999999995</v>
      </c>
      <c r="Q404">
        <v>0.10813339999999901</v>
      </c>
      <c r="R404">
        <v>-4.6246830000000003E-2</v>
      </c>
      <c r="S404">
        <v>3.0408330000000001</v>
      </c>
      <c r="T404">
        <v>-0.21942539999999999</v>
      </c>
      <c r="U404">
        <v>-8.8287350000000001E-2</v>
      </c>
      <c r="V404">
        <v>3.9754100000000001E-2</v>
      </c>
      <c r="W404">
        <v>0.1187954</v>
      </c>
      <c r="X404">
        <v>0.99212259999999997</v>
      </c>
      <c r="Y404">
        <v>2.236602E-2</v>
      </c>
      <c r="Z404">
        <v>-3.2900410000000002E-4</v>
      </c>
      <c r="AA404">
        <v>0.99974980000000002</v>
      </c>
      <c r="AB404">
        <v>32</v>
      </c>
      <c r="AC404">
        <v>15.1973</v>
      </c>
      <c r="AD404">
        <v>-1.1096109999999999</v>
      </c>
      <c r="AE404">
        <v>-0.44509999999996802</v>
      </c>
      <c r="AF404">
        <v>0.342705371263341</v>
      </c>
      <c r="AG404">
        <v>-1.1096109999999999</v>
      </c>
      <c r="AH404">
        <v>15.119380168283501</v>
      </c>
      <c r="AI404">
        <v>94.196336999888004</v>
      </c>
      <c r="AJ404">
        <v>88.701520204827105</v>
      </c>
      <c r="AK404">
        <v>15.1639157283301</v>
      </c>
      <c r="AL404">
        <v>83.177413163783498</v>
      </c>
      <c r="AM404">
        <v>87.705400234278002</v>
      </c>
      <c r="AN404">
        <v>0.99999999447936405</v>
      </c>
    </row>
    <row r="405" spans="1:40" x14ac:dyDescent="0.25">
      <c r="A405" t="str">
        <f>"20190312164001628"</f>
        <v>20190312164001628</v>
      </c>
      <c r="B405" t="str">
        <f>"1552380001616791"</f>
        <v>1552380001616791</v>
      </c>
      <c r="C405" t="s">
        <v>40</v>
      </c>
      <c r="D405">
        <v>5.4023450000000004</v>
      </c>
      <c r="E405">
        <v>0.49747350000000001</v>
      </c>
      <c r="F405" t="s">
        <v>42</v>
      </c>
      <c r="G405">
        <v>-423.52969999999999</v>
      </c>
      <c r="H405">
        <v>0.99660800000000005</v>
      </c>
      <c r="I405">
        <v>368.4178</v>
      </c>
      <c r="J405">
        <v>-424.10919999999999</v>
      </c>
      <c r="K405">
        <v>1.0596589999999999</v>
      </c>
      <c r="L405">
        <v>368.44479999999999</v>
      </c>
      <c r="M405">
        <v>0.99991750000000001</v>
      </c>
      <c r="N405">
        <v>0</v>
      </c>
      <c r="O405">
        <v>-6.7836160000000001E-3</v>
      </c>
      <c r="P405">
        <v>0.99304999999999999</v>
      </c>
      <c r="Q405">
        <v>0.10823919999999999</v>
      </c>
      <c r="R405">
        <v>-4.6222350000000002E-2</v>
      </c>
      <c r="S405">
        <v>3.0401310000000001</v>
      </c>
      <c r="T405">
        <v>-0.2192056</v>
      </c>
      <c r="U405">
        <v>-0.1002502</v>
      </c>
      <c r="V405">
        <v>3.9550019999999998E-2</v>
      </c>
      <c r="W405">
        <v>0.1190543</v>
      </c>
      <c r="X405">
        <v>0.99209970000000003</v>
      </c>
      <c r="Y405">
        <v>2.6126469999999999E-2</v>
      </c>
      <c r="Z405">
        <v>-4.520638E-4</v>
      </c>
      <c r="AA405">
        <v>0.99965850000000001</v>
      </c>
      <c r="AB405">
        <v>32</v>
      </c>
      <c r="AC405">
        <v>0.57949999999999502</v>
      </c>
      <c r="AD405">
        <v>-6.3050999999999899E-2</v>
      </c>
      <c r="AE405">
        <v>-2.6999999999986798E-2</v>
      </c>
      <c r="AF405">
        <v>2.2798733324922799E-2</v>
      </c>
      <c r="AG405">
        <v>-6.3050999999999899E-2</v>
      </c>
      <c r="AH405">
        <v>0.57290252331754299</v>
      </c>
      <c r="AI405">
        <v>96.2755056229594</v>
      </c>
      <c r="AJ405">
        <v>87.721109195554305</v>
      </c>
      <c r="AK405">
        <v>0.57681237163034904</v>
      </c>
      <c r="AL405">
        <v>83.162473111296293</v>
      </c>
      <c r="AM405">
        <v>87.717114564685005</v>
      </c>
      <c r="AN405">
        <v>0.99999997258528905</v>
      </c>
    </row>
    <row r="406" spans="1:40" x14ac:dyDescent="0.25">
      <c r="A406" t="str">
        <f>"20190312164001642"</f>
        <v>20190312164001642</v>
      </c>
      <c r="B406" t="str">
        <f>"1552380001636312"</f>
        <v>1552380001636312</v>
      </c>
      <c r="C406" t="s">
        <v>40</v>
      </c>
      <c r="D406">
        <v>5.3534800000000002</v>
      </c>
      <c r="E406">
        <v>0.49754120000000002</v>
      </c>
      <c r="F406" t="s">
        <v>42</v>
      </c>
      <c r="G406">
        <v>-423.24149999999997</v>
      </c>
      <c r="H406">
        <v>0.99470729999999996</v>
      </c>
      <c r="I406">
        <v>368.4196</v>
      </c>
      <c r="J406">
        <v>-423.92790000000002</v>
      </c>
      <c r="K406">
        <v>1.0596920000000001</v>
      </c>
      <c r="L406">
        <v>368.44349999999997</v>
      </c>
      <c r="M406">
        <v>0.99991600000000003</v>
      </c>
      <c r="N406">
        <v>0</v>
      </c>
      <c r="O406">
        <v>-6.8623499999999997E-3</v>
      </c>
      <c r="P406">
        <v>0.9930814</v>
      </c>
      <c r="Q406">
        <v>0.10790379999999999</v>
      </c>
      <c r="R406">
        <v>-4.633176E-2</v>
      </c>
      <c r="S406">
        <v>3.0417179999999999</v>
      </c>
      <c r="T406">
        <v>-0.2277131</v>
      </c>
      <c r="U406">
        <v>-8.7829589999999999E-2</v>
      </c>
      <c r="V406">
        <v>3.9571950000000002E-2</v>
      </c>
      <c r="W406">
        <v>0.1188063</v>
      </c>
      <c r="X406">
        <v>0.99212860000000003</v>
      </c>
      <c r="Y406">
        <v>2.1960170000000001E-2</v>
      </c>
      <c r="Z406">
        <v>-3.0775749999999998E-4</v>
      </c>
      <c r="AA406">
        <v>0.99975879999999995</v>
      </c>
      <c r="AB406">
        <v>32</v>
      </c>
      <c r="AC406">
        <v>0.68640000000004797</v>
      </c>
      <c r="AD406">
        <v>-6.4984699999999895E-2</v>
      </c>
      <c r="AE406">
        <v>-2.3899999999969099E-2</v>
      </c>
      <c r="AF406">
        <v>1.9018572718330899E-2</v>
      </c>
      <c r="AG406">
        <v>-6.4984699999999895E-2</v>
      </c>
      <c r="AH406">
        <v>0.68045611273442597</v>
      </c>
      <c r="AI406">
        <v>95.4531813208323</v>
      </c>
      <c r="AJ406">
        <v>88.399014554663296</v>
      </c>
      <c r="AK406">
        <v>0.68381667038759597</v>
      </c>
      <c r="AL406">
        <v>83.176784343533896</v>
      </c>
      <c r="AM406">
        <v>87.715916538347699</v>
      </c>
      <c r="AN406">
        <v>1.0000000175422199</v>
      </c>
    </row>
    <row r="407" spans="1:40" x14ac:dyDescent="0.25">
      <c r="A407" t="str">
        <f>"20190312164001653"</f>
        <v>20190312164001653</v>
      </c>
      <c r="B407" t="str">
        <f>"1552380001647047"</f>
        <v>1552380001647047</v>
      </c>
      <c r="C407" t="s">
        <v>40</v>
      </c>
      <c r="D407">
        <v>5.3133689999999998</v>
      </c>
      <c r="E407">
        <v>0.49718800000000002</v>
      </c>
      <c r="F407" t="s">
        <v>42</v>
      </c>
      <c r="G407">
        <v>-422.9588</v>
      </c>
      <c r="H407">
        <v>0.98654430000000004</v>
      </c>
      <c r="I407">
        <v>368.41500000000002</v>
      </c>
      <c r="J407">
        <v>-423.74079999999998</v>
      </c>
      <c r="K407">
        <v>1.05972</v>
      </c>
      <c r="L407">
        <v>368.44209999999998</v>
      </c>
      <c r="M407">
        <v>0.99991459999999999</v>
      </c>
      <c r="N407">
        <v>0</v>
      </c>
      <c r="O407">
        <v>-6.9200729999999997E-3</v>
      </c>
      <c r="P407">
        <v>0.99303149999999996</v>
      </c>
      <c r="Q407">
        <v>0.1083694</v>
      </c>
      <c r="R407">
        <v>-4.6308469999999997E-2</v>
      </c>
      <c r="S407">
        <v>3.0417179999999999</v>
      </c>
      <c r="T407">
        <v>-0.2298145</v>
      </c>
      <c r="U407">
        <v>-8.8348389999999999E-2</v>
      </c>
      <c r="V407">
        <v>3.9483169999999998E-2</v>
      </c>
      <c r="W407">
        <v>0.119354</v>
      </c>
      <c r="X407">
        <v>0.99206640000000001</v>
      </c>
      <c r="Y407">
        <v>2.2071899999999998E-2</v>
      </c>
      <c r="Z407">
        <v>-3.1044809999999999E-4</v>
      </c>
      <c r="AA407">
        <v>0.99975630000000004</v>
      </c>
      <c r="AB407">
        <v>32</v>
      </c>
      <c r="AC407">
        <v>0.78199999999998204</v>
      </c>
      <c r="AD407">
        <v>-7.3175699999999802E-2</v>
      </c>
      <c r="AE407">
        <v>-2.70999999999617E-2</v>
      </c>
      <c r="AF407">
        <v>2.1499491348462602E-2</v>
      </c>
      <c r="AG407">
        <v>-7.3175699999999802E-2</v>
      </c>
      <c r="AH407">
        <v>0.77538744376686897</v>
      </c>
      <c r="AI407">
        <v>95.389152699699807</v>
      </c>
      <c r="AJ407">
        <v>88.411742941658503</v>
      </c>
      <c r="AK407">
        <v>0.77912938537193699</v>
      </c>
      <c r="AL407">
        <v>83.145178575913604</v>
      </c>
      <c r="AM407">
        <v>87.720892754998602</v>
      </c>
      <c r="AN407">
        <v>1.0000000200190999</v>
      </c>
    </row>
    <row r="408" spans="1:40" x14ac:dyDescent="0.25">
      <c r="A408" t="str">
        <f>"20190312164001675"</f>
        <v>20190312164001675</v>
      </c>
      <c r="B408" t="str">
        <f>"1552380001666567"</f>
        <v>1552380001666567</v>
      </c>
      <c r="C408" t="s">
        <v>40</v>
      </c>
      <c r="D408">
        <v>5.3195050000000004</v>
      </c>
      <c r="E408">
        <v>0.49713930000000001</v>
      </c>
      <c r="F408" t="s">
        <v>43</v>
      </c>
      <c r="G408">
        <v>-409.21019999999999</v>
      </c>
      <c r="H408">
        <v>-0.05</v>
      </c>
      <c r="I408">
        <v>368.03500000000003</v>
      </c>
      <c r="J408">
        <v>-423.43540000000002</v>
      </c>
      <c r="K408">
        <v>1.0597700000000001</v>
      </c>
      <c r="L408">
        <v>368.43990000000002</v>
      </c>
      <c r="M408">
        <v>0.99991300000000005</v>
      </c>
      <c r="N408">
        <v>0</v>
      </c>
      <c r="O408">
        <v>-6.9751700000000002E-3</v>
      </c>
      <c r="P408">
        <v>0.99304959999999998</v>
      </c>
      <c r="Q408">
        <v>0.1081478</v>
      </c>
      <c r="R408">
        <v>-4.6441389999999999E-2</v>
      </c>
      <c r="S408">
        <v>3.0424500000000001</v>
      </c>
      <c r="T408">
        <v>-0.2323567</v>
      </c>
      <c r="U408">
        <v>-8.5235599999999995E-2</v>
      </c>
      <c r="V408">
        <v>3.9547270000000002E-2</v>
      </c>
      <c r="W408">
        <v>0.1192565</v>
      </c>
      <c r="X408">
        <v>0.99207559999999995</v>
      </c>
      <c r="Y408">
        <v>2.0990129999999999E-2</v>
      </c>
      <c r="Z408">
        <v>-2.6835960000000001E-4</v>
      </c>
      <c r="AA408">
        <v>0.99977959999999999</v>
      </c>
      <c r="AB408">
        <v>32</v>
      </c>
      <c r="AC408">
        <v>14.225199999999999</v>
      </c>
      <c r="AD408">
        <v>-1.1097699999999999</v>
      </c>
      <c r="AE408">
        <v>-0.40489999999999698</v>
      </c>
      <c r="AF408">
        <v>0.30381315822660898</v>
      </c>
      <c r="AG408">
        <v>-1.1097699999999999</v>
      </c>
      <c r="AH408">
        <v>14.1416783284403</v>
      </c>
      <c r="AI408">
        <v>94.486066699982203</v>
      </c>
      <c r="AJ408">
        <v>88.769273772826693</v>
      </c>
      <c r="AK408">
        <v>14.1884092777552</v>
      </c>
      <c r="AL408">
        <v>83.150805291823303</v>
      </c>
      <c r="AM408">
        <v>87.717217736325196</v>
      </c>
      <c r="AN408">
        <v>1.00000004773603</v>
      </c>
    </row>
    <row r="409" spans="1:40" x14ac:dyDescent="0.25">
      <c r="A409" t="str">
        <f>"20190312164001697"</f>
        <v>20190312164001697</v>
      </c>
      <c r="B409" t="str">
        <f>"1552380001687063"</f>
        <v>1552380001687063</v>
      </c>
      <c r="C409" t="s">
        <v>40</v>
      </c>
      <c r="D409">
        <v>5.2817660000000002</v>
      </c>
      <c r="E409">
        <v>0.49716840000000001</v>
      </c>
      <c r="F409" t="s">
        <v>43</v>
      </c>
      <c r="G409">
        <v>-408.56200000000001</v>
      </c>
      <c r="H409">
        <v>-0.05</v>
      </c>
      <c r="I409">
        <v>368.01929999999999</v>
      </c>
      <c r="J409">
        <v>-423.11180000000002</v>
      </c>
      <c r="K409">
        <v>1.0598129999999999</v>
      </c>
      <c r="L409">
        <v>368.4375</v>
      </c>
      <c r="M409">
        <v>0.99991169999999996</v>
      </c>
      <c r="N409">
        <v>0</v>
      </c>
      <c r="O409">
        <v>-6.9903600000000001E-3</v>
      </c>
      <c r="P409">
        <v>0.99307409999999996</v>
      </c>
      <c r="Q409">
        <v>0.1077772</v>
      </c>
      <c r="R409">
        <v>-4.6781160000000002E-2</v>
      </c>
      <c r="S409">
        <v>3.0416259999999999</v>
      </c>
      <c r="T409">
        <v>-0.2269495</v>
      </c>
      <c r="U409">
        <v>-8.5998539999999998E-2</v>
      </c>
      <c r="V409">
        <v>3.9859480000000003E-2</v>
      </c>
      <c r="W409">
        <v>0.11900090000000001</v>
      </c>
      <c r="X409">
        <v>0.99209369999999997</v>
      </c>
      <c r="Y409">
        <v>2.1234309999999999E-2</v>
      </c>
      <c r="Z409">
        <v>-2.7016490000000002E-4</v>
      </c>
      <c r="AA409">
        <v>0.99977450000000001</v>
      </c>
      <c r="AB409">
        <v>32</v>
      </c>
      <c r="AC409">
        <v>14.549799999999999</v>
      </c>
      <c r="AD409">
        <v>-1.1098129999999999</v>
      </c>
      <c r="AE409">
        <v>-0.41820000000001201</v>
      </c>
      <c r="AF409">
        <v>0.314645796798598</v>
      </c>
      <c r="AG409">
        <v>-1.1098129999999999</v>
      </c>
      <c r="AH409">
        <v>14.468258875317099</v>
      </c>
      <c r="AI409">
        <v>94.385350135058005</v>
      </c>
      <c r="AJ409">
        <v>88.754166960206206</v>
      </c>
      <c r="AK409">
        <v>14.514172444738399</v>
      </c>
      <c r="AL409">
        <v>83.165554464087094</v>
      </c>
      <c r="AM409">
        <v>87.699257299004003</v>
      </c>
      <c r="AN409">
        <v>0.99999995096318395</v>
      </c>
    </row>
    <row r="410" spans="1:40" x14ac:dyDescent="0.25">
      <c r="A410" t="str">
        <f>"20190312164001718"</f>
        <v>20190312164001718</v>
      </c>
      <c r="B410" t="str">
        <f>"1552380001706583"</f>
        <v>1552380001706583</v>
      </c>
      <c r="C410" t="s">
        <v>40</v>
      </c>
      <c r="D410">
        <v>5.3547659999999997</v>
      </c>
      <c r="E410">
        <v>0.49704310000000002</v>
      </c>
      <c r="F410" t="s">
        <v>43</v>
      </c>
      <c r="G410">
        <v>-408.16460000000001</v>
      </c>
      <c r="H410">
        <v>-0.05</v>
      </c>
      <c r="I410">
        <v>368.00720000000001</v>
      </c>
      <c r="J410">
        <v>-422.8218</v>
      </c>
      <c r="K410">
        <v>1.0598379999999901</v>
      </c>
      <c r="L410">
        <v>368.43549999999999</v>
      </c>
      <c r="M410">
        <v>0.99991070000000004</v>
      </c>
      <c r="N410">
        <v>0</v>
      </c>
      <c r="O410">
        <v>-6.9765259999999898E-3</v>
      </c>
      <c r="P410">
        <v>0.99307210000000001</v>
      </c>
      <c r="Q410">
        <v>0.1076921</v>
      </c>
      <c r="R410">
        <v>-4.7014769999999997E-2</v>
      </c>
      <c r="S410">
        <v>3.0413209999999999</v>
      </c>
      <c r="T410">
        <v>-0.22581480000000001</v>
      </c>
      <c r="U410">
        <v>-8.7554930000000003E-2</v>
      </c>
      <c r="V410">
        <v>4.0098849999999998E-2</v>
      </c>
      <c r="W410">
        <v>0.119006</v>
      </c>
      <c r="X410">
        <v>0.99208350000000001</v>
      </c>
      <c r="Y410">
        <v>2.176109E-2</v>
      </c>
      <c r="Z410">
        <v>-2.8939349999999999E-4</v>
      </c>
      <c r="AA410">
        <v>0.99976310000000002</v>
      </c>
      <c r="AB410">
        <v>32</v>
      </c>
      <c r="AC410">
        <v>14.6571999999999</v>
      </c>
      <c r="AD410">
        <v>-1.1098380000000001</v>
      </c>
      <c r="AE410">
        <v>-0.42829999999997798</v>
      </c>
      <c r="AF410">
        <v>0.32416956617710402</v>
      </c>
      <c r="AG410">
        <v>-1.1098380000000001</v>
      </c>
      <c r="AH410">
        <v>14.5763299173466</v>
      </c>
      <c r="AI410">
        <v>94.353012706255399</v>
      </c>
      <c r="AJ410">
        <v>88.725983365795301</v>
      </c>
      <c r="AK410">
        <v>14.6221140794761</v>
      </c>
      <c r="AL410">
        <v>83.1652605586238</v>
      </c>
      <c r="AM410">
        <v>87.685431752130896</v>
      </c>
      <c r="AN410">
        <v>1.00000000838978</v>
      </c>
    </row>
    <row r="411" spans="1:40" x14ac:dyDescent="0.25">
      <c r="A411" t="str">
        <f>"20190312164001730"</f>
        <v>20190312164001730</v>
      </c>
      <c r="B411" t="str">
        <f>"1552380001727079"</f>
        <v>1552380001727079</v>
      </c>
      <c r="C411" t="s">
        <v>40</v>
      </c>
      <c r="D411">
        <v>5.5034390000000002</v>
      </c>
      <c r="E411">
        <v>0.49701640000000002</v>
      </c>
      <c r="F411" t="s">
        <v>43</v>
      </c>
      <c r="G411">
        <v>-407.87869999999998</v>
      </c>
      <c r="H411">
        <v>-0.05</v>
      </c>
      <c r="I411">
        <v>368.00330000000002</v>
      </c>
      <c r="J411">
        <v>-422.64120000000003</v>
      </c>
      <c r="K411">
        <v>1.05985</v>
      </c>
      <c r="L411">
        <v>368.43419999999998</v>
      </c>
      <c r="M411">
        <v>0.99991019999999997</v>
      </c>
      <c r="N411">
        <v>0</v>
      </c>
      <c r="O411">
        <v>-6.9617289999999998E-3</v>
      </c>
      <c r="P411">
        <v>0.99308280000000004</v>
      </c>
      <c r="Q411">
        <v>0.1075758</v>
      </c>
      <c r="R411">
        <v>-4.7054650000000003E-2</v>
      </c>
      <c r="S411">
        <v>3.0412599999999999</v>
      </c>
      <c r="T411">
        <v>-0.22587740000000001</v>
      </c>
      <c r="U411">
        <v>-8.7951660000000001E-2</v>
      </c>
      <c r="V411">
        <v>4.0149860000000002E-2</v>
      </c>
      <c r="W411">
        <v>0.1189388</v>
      </c>
      <c r="X411">
        <v>0.99208949999999996</v>
      </c>
      <c r="Y411">
        <v>2.1906289999999998E-2</v>
      </c>
      <c r="Z411">
        <v>-2.9595959999999998E-4</v>
      </c>
      <c r="AA411">
        <v>0.99975999999999998</v>
      </c>
      <c r="AB411">
        <v>32</v>
      </c>
      <c r="AC411">
        <v>14.762499999999999</v>
      </c>
      <c r="AD411">
        <v>-1.10985</v>
      </c>
      <c r="AE411">
        <v>-0.43089999999995099</v>
      </c>
      <c r="AF411">
        <v>0.32626776981577799</v>
      </c>
      <c r="AG411">
        <v>-1.10985</v>
      </c>
      <c r="AH411">
        <v>14.682227647937699</v>
      </c>
      <c r="AI411">
        <v>94.321783566818397</v>
      </c>
      <c r="AJ411">
        <v>88.726985408984902</v>
      </c>
      <c r="AK411">
        <v>14.7277298449553</v>
      </c>
      <c r="AL411">
        <v>83.169138406570198</v>
      </c>
      <c r="AM411">
        <v>87.682504584265601</v>
      </c>
      <c r="AN411">
        <v>1.00000001270685</v>
      </c>
    </row>
    <row r="412" spans="1:40" x14ac:dyDescent="0.25">
      <c r="A412" t="str">
        <f>"20190312164001751"</f>
        <v>20190312164001751</v>
      </c>
      <c r="B412" t="str">
        <f>"1552380001746600"</f>
        <v>1552380001746600</v>
      </c>
      <c r="C412" t="s">
        <v>40</v>
      </c>
      <c r="D412">
        <v>5.3148739999999997</v>
      </c>
      <c r="E412">
        <v>0.49722559999999899</v>
      </c>
      <c r="F412" t="s">
        <v>42</v>
      </c>
      <c r="G412">
        <v>-421.79419999999999</v>
      </c>
      <c r="H412">
        <v>0.99690780000000001</v>
      </c>
      <c r="I412">
        <v>368.40929999999997</v>
      </c>
      <c r="J412">
        <v>-422.3347</v>
      </c>
      <c r="K412">
        <v>1.059869</v>
      </c>
      <c r="L412">
        <v>368.43209999999999</v>
      </c>
      <c r="M412">
        <v>0.99990959999999995</v>
      </c>
      <c r="N412">
        <v>0</v>
      </c>
      <c r="O412">
        <v>-6.9401080000000004E-3</v>
      </c>
      <c r="P412">
        <v>0.99309530000000001</v>
      </c>
      <c r="Q412">
        <v>0.10758860000000001</v>
      </c>
      <c r="R412">
        <v>-4.6760139999999999E-2</v>
      </c>
      <c r="S412">
        <v>3.04129</v>
      </c>
      <c r="T412">
        <v>-0.22627990000000001</v>
      </c>
      <c r="U412">
        <v>-8.7829589999999999E-2</v>
      </c>
      <c r="V412">
        <v>3.9871660000000003E-2</v>
      </c>
      <c r="W412">
        <v>0.1190288</v>
      </c>
      <c r="X412">
        <v>0.99208989999999997</v>
      </c>
      <c r="Y412">
        <v>2.1887380000000001E-2</v>
      </c>
      <c r="Z412">
        <v>-2.9738570000000002E-4</v>
      </c>
      <c r="AA412">
        <v>0.99976039999999999</v>
      </c>
      <c r="AB412">
        <v>32</v>
      </c>
      <c r="AC412">
        <v>0.54050000000000797</v>
      </c>
      <c r="AD412">
        <v>-6.2961199999999801E-2</v>
      </c>
      <c r="AE412">
        <v>-2.28000000000179E-2</v>
      </c>
      <c r="AF412">
        <v>1.8793513508086199E-2</v>
      </c>
      <c r="AG412">
        <v>-6.2961199999999801E-2</v>
      </c>
      <c r="AH412">
        <v>0.53341999469123902</v>
      </c>
      <c r="AI412">
        <v>96.727514901944303</v>
      </c>
      <c r="AJ412">
        <v>87.982183254386001</v>
      </c>
      <c r="AK412">
        <v>0.53745157883461503</v>
      </c>
      <c r="AL412">
        <v>83.1639447168278</v>
      </c>
      <c r="AM412">
        <v>87.698546203170906</v>
      </c>
      <c r="AN412">
        <v>0.999999987091302</v>
      </c>
    </row>
    <row r="413" spans="1:40" x14ac:dyDescent="0.25">
      <c r="A413" t="str">
        <f>"20190312164001764"</f>
        <v>20190312164001764</v>
      </c>
      <c r="B413" t="str">
        <f>"1552380001756360"</f>
        <v>1552380001756360</v>
      </c>
      <c r="C413" t="s">
        <v>40</v>
      </c>
      <c r="D413">
        <v>5.4665879999999998</v>
      </c>
      <c r="E413">
        <v>0.49722480000000002</v>
      </c>
      <c r="F413" t="s">
        <v>42</v>
      </c>
      <c r="G413">
        <v>-421.50099999999998</v>
      </c>
      <c r="H413">
        <v>0.99799280000000001</v>
      </c>
      <c r="I413">
        <v>368.40730000000002</v>
      </c>
      <c r="J413">
        <v>-422.15429999999998</v>
      </c>
      <c r="K413">
        <v>1.059871</v>
      </c>
      <c r="L413">
        <v>368.43079999999998</v>
      </c>
      <c r="M413">
        <v>0.9999091</v>
      </c>
      <c r="N413">
        <v>0</v>
      </c>
      <c r="O413">
        <v>-6.9304980000000002E-3</v>
      </c>
      <c r="P413">
        <v>0.99314329999999995</v>
      </c>
      <c r="Q413">
        <v>0.1073721</v>
      </c>
      <c r="R413">
        <v>-4.6235070000000003E-2</v>
      </c>
      <c r="S413">
        <v>3.0411069999999998</v>
      </c>
      <c r="T413">
        <v>-0.2259514</v>
      </c>
      <c r="U413">
        <v>-8.8928220000000002E-2</v>
      </c>
      <c r="V413">
        <v>3.9354010000000002E-2</v>
      </c>
      <c r="W413">
        <v>0.1188593</v>
      </c>
      <c r="X413">
        <v>0.99213090000000004</v>
      </c>
      <c r="Y413">
        <v>2.2258650000000001E-2</v>
      </c>
      <c r="Z413">
        <v>-3.114549E-4</v>
      </c>
      <c r="AA413">
        <v>0.99975219999999998</v>
      </c>
      <c r="AB413">
        <v>32</v>
      </c>
      <c r="AC413">
        <v>0.65330000000000099</v>
      </c>
      <c r="AD413">
        <v>-6.1878200000000001E-2</v>
      </c>
      <c r="AE413">
        <v>-2.3499999999955799E-2</v>
      </c>
      <c r="AF413">
        <v>1.8802971324828999E-2</v>
      </c>
      <c r="AG413">
        <v>-6.1878200000000001E-2</v>
      </c>
      <c r="AH413">
        <v>0.64764455195422499</v>
      </c>
      <c r="AI413">
        <v>95.455385426876802</v>
      </c>
      <c r="AJ413">
        <v>88.337007001038302</v>
      </c>
      <c r="AK413">
        <v>0.65086552300907097</v>
      </c>
      <c r="AL413">
        <v>83.173725855904905</v>
      </c>
      <c r="AM413">
        <v>87.728488029735701</v>
      </c>
      <c r="AN413">
        <v>0.99999999701719</v>
      </c>
    </row>
    <row r="414" spans="1:40" x14ac:dyDescent="0.25">
      <c r="A414" t="str">
        <f>"20190312164001776"</f>
        <v>20190312164001776</v>
      </c>
      <c r="B414" t="str">
        <f>"1552380001767095"</f>
        <v>1552380001767095</v>
      </c>
      <c r="C414" t="s">
        <v>40</v>
      </c>
      <c r="D414">
        <v>5.4496500000000001</v>
      </c>
      <c r="E414">
        <v>0.49722349999999998</v>
      </c>
      <c r="F414" t="s">
        <v>42</v>
      </c>
      <c r="G414">
        <v>-421.22210000000001</v>
      </c>
      <c r="H414">
        <v>0.99077820000000005</v>
      </c>
      <c r="I414">
        <v>368.40350000000001</v>
      </c>
      <c r="J414">
        <v>-421.96510000000001</v>
      </c>
      <c r="K414">
        <v>1.0598829999999999</v>
      </c>
      <c r="L414">
        <v>368.42950000000002</v>
      </c>
      <c r="M414">
        <v>0.99990869999999998</v>
      </c>
      <c r="N414">
        <v>0</v>
      </c>
      <c r="O414">
        <v>-6.9227380000000003E-3</v>
      </c>
      <c r="P414">
        <v>0.99316079999999995</v>
      </c>
      <c r="Q414">
        <v>0.10733810000000001</v>
      </c>
      <c r="R414">
        <v>-4.5940189999999999E-2</v>
      </c>
      <c r="S414">
        <v>3.0410460000000001</v>
      </c>
      <c r="T414">
        <v>-0.2256852</v>
      </c>
      <c r="U414">
        <v>-8.7921139999999995E-2</v>
      </c>
      <c r="V414">
        <v>3.9065290000000003E-2</v>
      </c>
      <c r="W414">
        <v>0.11887540000000001</v>
      </c>
      <c r="X414">
        <v>0.99214040000000003</v>
      </c>
      <c r="Y414">
        <v>2.1937149999999999E-2</v>
      </c>
      <c r="Z414">
        <v>-2.9976029999999998E-4</v>
      </c>
      <c r="AA414">
        <v>0.99975930000000002</v>
      </c>
      <c r="AB414">
        <v>32</v>
      </c>
      <c r="AC414">
        <v>0.742999999999994</v>
      </c>
      <c r="AD414">
        <v>-6.9104799999999897E-2</v>
      </c>
      <c r="AE414">
        <v>-2.60000000000104E-2</v>
      </c>
      <c r="AF414">
        <v>2.0676791351012299E-2</v>
      </c>
      <c r="AG414">
        <v>-6.9104799999999897E-2</v>
      </c>
      <c r="AH414">
        <v>0.73679637031409095</v>
      </c>
      <c r="AI414">
        <v>95.356052062857401</v>
      </c>
      <c r="AJ414">
        <v>88.392524615864104</v>
      </c>
      <c r="AK414">
        <v>0.74031877889976005</v>
      </c>
      <c r="AL414">
        <v>83.172796933541306</v>
      </c>
      <c r="AM414">
        <v>87.745157240634697</v>
      </c>
      <c r="AN414">
        <v>1.0000000154600499</v>
      </c>
    </row>
    <row r="415" spans="1:40" x14ac:dyDescent="0.25">
      <c r="A415" t="str">
        <f>"20190312164001789"</f>
        <v>20190312164001789</v>
      </c>
      <c r="B415" t="str">
        <f>"1552380001786614"</f>
        <v>1552380001786614</v>
      </c>
      <c r="C415" t="s">
        <v>40</v>
      </c>
      <c r="D415">
        <v>5.2786179999999998</v>
      </c>
      <c r="E415">
        <v>0.4970793</v>
      </c>
      <c r="F415" t="s">
        <v>43</v>
      </c>
      <c r="G415">
        <v>-406.98309999999998</v>
      </c>
      <c r="H415">
        <v>-0.05</v>
      </c>
      <c r="I415">
        <v>367.99889999999999</v>
      </c>
      <c r="J415">
        <v>-421.78809999999999</v>
      </c>
      <c r="K415">
        <v>1.0597460000000001</v>
      </c>
      <c r="L415">
        <v>368.42829999999998</v>
      </c>
      <c r="M415">
        <v>0.99991410000000003</v>
      </c>
      <c r="N415">
        <v>0</v>
      </c>
      <c r="O415">
        <v>-6.9162969999999897E-3</v>
      </c>
      <c r="P415">
        <v>0.9931046</v>
      </c>
      <c r="Q415">
        <v>0.1080757</v>
      </c>
      <c r="R415">
        <v>-4.5421070000000001E-2</v>
      </c>
      <c r="S415">
        <v>3.0409549999999999</v>
      </c>
      <c r="T415">
        <v>-0.22527610000000001</v>
      </c>
      <c r="U415">
        <v>-8.7402339999999995E-2</v>
      </c>
      <c r="V415">
        <v>3.8552339999999997E-2</v>
      </c>
      <c r="W415">
        <v>0.1191367</v>
      </c>
      <c r="X415">
        <v>0.99212909999999999</v>
      </c>
      <c r="Y415">
        <v>2.177465E-2</v>
      </c>
      <c r="Z415">
        <v>-2.9369759999999998E-4</v>
      </c>
      <c r="AA415">
        <v>0.99976279999999995</v>
      </c>
      <c r="AB415">
        <v>32</v>
      </c>
      <c r="AC415">
        <v>14.805</v>
      </c>
      <c r="AD415">
        <v>-1.1097459999999999</v>
      </c>
      <c r="AE415">
        <v>-0.42939999999998602</v>
      </c>
      <c r="AF415">
        <v>0.325162174330274</v>
      </c>
      <c r="AG415">
        <v>-1.1097459999999999</v>
      </c>
      <c r="AH415">
        <v>14.724951394426199</v>
      </c>
      <c r="AI415">
        <v>94.308902397702695</v>
      </c>
      <c r="AJ415">
        <v>88.734977632901206</v>
      </c>
      <c r="AK415">
        <v>14.7702897802428</v>
      </c>
      <c r="AL415">
        <v>83.157718241286005</v>
      </c>
      <c r="AM415">
        <v>87.774709357209204</v>
      </c>
      <c r="AN415">
        <v>0.99999999363658698</v>
      </c>
    </row>
    <row r="416" spans="1:40" x14ac:dyDescent="0.25">
      <c r="A416" t="str">
        <f>"20190312164001808"</f>
        <v>20190312164001808</v>
      </c>
      <c r="B416" t="str">
        <f>"1552380001796378"</f>
        <v>1552380001796378</v>
      </c>
      <c r="C416" t="s">
        <v>40</v>
      </c>
      <c r="D416">
        <v>5.2205120000000003</v>
      </c>
      <c r="E416">
        <v>0.4970388</v>
      </c>
      <c r="F416" t="s">
        <v>42</v>
      </c>
      <c r="G416">
        <v>-420.92500000000001</v>
      </c>
      <c r="H416">
        <v>0.99639319999999998</v>
      </c>
      <c r="I416">
        <v>368.40370000000001</v>
      </c>
      <c r="J416">
        <v>-421.5172</v>
      </c>
      <c r="K416">
        <v>1.059507</v>
      </c>
      <c r="L416">
        <v>368.4264</v>
      </c>
      <c r="M416">
        <v>0.99992409999999998</v>
      </c>
      <c r="N416">
        <v>0</v>
      </c>
      <c r="O416">
        <v>-6.9069369999999897E-3</v>
      </c>
      <c r="P416">
        <v>0.99299630000000005</v>
      </c>
      <c r="Q416">
        <v>0.1094808</v>
      </c>
      <c r="R416">
        <v>-4.4410690000000003E-2</v>
      </c>
      <c r="S416">
        <v>3.0412599999999999</v>
      </c>
      <c r="T416">
        <v>-0.22356819999999999</v>
      </c>
      <c r="U416">
        <v>-8.5083010000000001E-2</v>
      </c>
      <c r="V416">
        <v>3.7551769999999998E-2</v>
      </c>
      <c r="W416">
        <v>0.11961869999999999</v>
      </c>
      <c r="X416">
        <v>0.99210949999999998</v>
      </c>
      <c r="Y416">
        <v>2.1021979999999999E-2</v>
      </c>
      <c r="Z416">
        <v>-2.6452019999999998E-4</v>
      </c>
      <c r="AA416">
        <v>0.99977899999999997</v>
      </c>
      <c r="AB416">
        <v>32</v>
      </c>
      <c r="AC416">
        <v>0.59219999999999096</v>
      </c>
      <c r="AD416">
        <v>-6.3113800000000095E-2</v>
      </c>
      <c r="AE416">
        <v>-2.2699999999986099E-2</v>
      </c>
      <c r="AF416">
        <v>1.84002690592261E-2</v>
      </c>
      <c r="AG416">
        <v>-6.3113800000000095E-2</v>
      </c>
      <c r="AH416">
        <v>0.58569989621775898</v>
      </c>
      <c r="AI416">
        <v>96.147332006575198</v>
      </c>
      <c r="AJ416">
        <v>88.200595329625401</v>
      </c>
      <c r="AK416">
        <v>0.589377883943218</v>
      </c>
      <c r="AL416">
        <v>83.129902907581794</v>
      </c>
      <c r="AM416">
        <v>87.832364939043103</v>
      </c>
      <c r="AN416">
        <v>1.0000000144050301</v>
      </c>
    </row>
    <row r="417" spans="1:40" x14ac:dyDescent="0.25">
      <c r="A417" t="str">
        <f>"20190312164001820"</f>
        <v>20190312164001820</v>
      </c>
      <c r="B417" t="str">
        <f>"1552380001816871"</f>
        <v>1552380001816871</v>
      </c>
      <c r="C417" t="s">
        <v>40</v>
      </c>
      <c r="D417">
        <v>5.2730249999999996</v>
      </c>
      <c r="E417">
        <v>0.49707119999999999</v>
      </c>
      <c r="F417" t="s">
        <v>42</v>
      </c>
      <c r="G417">
        <v>-420.63150000000002</v>
      </c>
      <c r="H417">
        <v>0.99545870000000003</v>
      </c>
      <c r="I417">
        <v>368.40219999999999</v>
      </c>
      <c r="J417">
        <v>-421.32580000000002</v>
      </c>
      <c r="K417">
        <v>1.0593269999999999</v>
      </c>
      <c r="L417">
        <v>368.42509999999999</v>
      </c>
      <c r="M417">
        <v>0.99993129999999997</v>
      </c>
      <c r="N417">
        <v>0</v>
      </c>
      <c r="O417">
        <v>-6.9003419999999899E-3</v>
      </c>
      <c r="P417">
        <v>0.99287110000000001</v>
      </c>
      <c r="Q417">
        <v>0.11074929999999999</v>
      </c>
      <c r="R417">
        <v>-4.4063999999999999E-2</v>
      </c>
      <c r="S417">
        <v>3.0418090000000002</v>
      </c>
      <c r="T417">
        <v>-0.22023509999999999</v>
      </c>
      <c r="U417">
        <v>-8.1573489999999999E-2</v>
      </c>
      <c r="V417">
        <v>3.721261E-2</v>
      </c>
      <c r="W417">
        <v>0.1201517</v>
      </c>
      <c r="X417">
        <v>0.99205790000000005</v>
      </c>
      <c r="Y417">
        <v>1.987504E-2</v>
      </c>
      <c r="Z417">
        <v>-2.1956530000000001E-4</v>
      </c>
      <c r="AA417">
        <v>0.99980250000000004</v>
      </c>
      <c r="AB417">
        <v>33</v>
      </c>
      <c r="AC417">
        <v>0.69429999999999803</v>
      </c>
      <c r="AD417">
        <v>-6.3868300000000197E-2</v>
      </c>
      <c r="AE417">
        <v>-2.2899999999992801E-2</v>
      </c>
      <c r="AF417">
        <v>1.79565478630896E-2</v>
      </c>
      <c r="AG417">
        <v>-6.3868300000000197E-2</v>
      </c>
      <c r="AH417">
        <v>0.68862067284758299</v>
      </c>
      <c r="AI417">
        <v>95.297128265758005</v>
      </c>
      <c r="AJ417">
        <v>88.506287491953699</v>
      </c>
      <c r="AK417">
        <v>0.69180924280404599</v>
      </c>
      <c r="AL417">
        <v>83.099142604434107</v>
      </c>
      <c r="AM417">
        <v>87.851812534067193</v>
      </c>
      <c r="AN417">
        <v>1.00000004315415</v>
      </c>
    </row>
    <row r="418" spans="1:40" x14ac:dyDescent="0.25">
      <c r="A418" t="str">
        <f>"20190312164001833"</f>
        <v>20190312164001833</v>
      </c>
      <c r="B418" t="str">
        <f>"1552380001826631"</f>
        <v>1552380001826631</v>
      </c>
      <c r="C418" t="s">
        <v>40</v>
      </c>
      <c r="D418">
        <v>5.2457140000000004</v>
      </c>
      <c r="E418">
        <v>0.4970463</v>
      </c>
      <c r="F418" t="s">
        <v>42</v>
      </c>
      <c r="G418">
        <v>-420.34019999999998</v>
      </c>
      <c r="H418">
        <v>0.98966799999999999</v>
      </c>
      <c r="I418">
        <v>368.39859999999999</v>
      </c>
      <c r="J418">
        <v>-421.13330000000002</v>
      </c>
      <c r="K418">
        <v>1.059167</v>
      </c>
      <c r="L418">
        <v>368.42380000000003</v>
      </c>
      <c r="M418">
        <v>0.99993829999999995</v>
      </c>
      <c r="N418">
        <v>0</v>
      </c>
      <c r="O418">
        <v>-6.8942179999999997E-3</v>
      </c>
      <c r="P418">
        <v>0.99278960000000005</v>
      </c>
      <c r="Q418">
        <v>0.1115612</v>
      </c>
      <c r="R418">
        <v>-4.3855980000000003E-2</v>
      </c>
      <c r="S418">
        <v>3.0419619999999998</v>
      </c>
      <c r="T418">
        <v>-0.21519460000000001</v>
      </c>
      <c r="U418">
        <v>-8.0627439999999995E-2</v>
      </c>
      <c r="V418">
        <v>3.7011410000000002E-2</v>
      </c>
      <c r="W418">
        <v>0.1202189</v>
      </c>
      <c r="X418">
        <v>0.99205730000000003</v>
      </c>
      <c r="Y418">
        <v>1.9571430000000001E-2</v>
      </c>
      <c r="Z418">
        <v>-2.0425489999999999E-4</v>
      </c>
      <c r="AA418">
        <v>0.99980840000000004</v>
      </c>
      <c r="AB418">
        <v>33</v>
      </c>
      <c r="AC418">
        <v>0.793100000000038</v>
      </c>
      <c r="AD418">
        <v>-6.9498999999999894E-2</v>
      </c>
      <c r="AE418">
        <v>-2.52000000000407E-2</v>
      </c>
      <c r="AF418">
        <v>1.9581178328486399E-2</v>
      </c>
      <c r="AG418">
        <v>-6.9498999999999894E-2</v>
      </c>
      <c r="AH418">
        <v>0.787216004321039</v>
      </c>
      <c r="AI418">
        <v>95.043698625775406</v>
      </c>
      <c r="AJ418">
        <v>88.575120966064105</v>
      </c>
      <c r="AK418">
        <v>0.79052044312902703</v>
      </c>
      <c r="AL418">
        <v>83.095264314713404</v>
      </c>
      <c r="AM418">
        <v>87.863415203566902</v>
      </c>
      <c r="AN418">
        <v>1.00000005743534</v>
      </c>
    </row>
    <row r="419" spans="1:40" x14ac:dyDescent="0.25">
      <c r="A419" t="str">
        <f>"20190312164001852"</f>
        <v>20190312164001852</v>
      </c>
      <c r="B419" t="str">
        <f>"1552380001847128"</f>
        <v>1552380001847128</v>
      </c>
      <c r="C419" t="s">
        <v>40</v>
      </c>
      <c r="D419">
        <v>5.301069</v>
      </c>
      <c r="E419">
        <v>0.49712260000000003</v>
      </c>
      <c r="F419" t="s">
        <v>43</v>
      </c>
      <c r="G419">
        <v>-405.3682</v>
      </c>
      <c r="H419">
        <v>-0.05</v>
      </c>
      <c r="I419">
        <v>368.00990000000002</v>
      </c>
      <c r="J419">
        <v>-420.85270000000003</v>
      </c>
      <c r="K419">
        <v>1.058964</v>
      </c>
      <c r="L419">
        <v>368.42189999999999</v>
      </c>
      <c r="M419">
        <v>0.99994700000000003</v>
      </c>
      <c r="N419">
        <v>0</v>
      </c>
      <c r="O419">
        <v>-6.8858050000000001E-3</v>
      </c>
      <c r="P419">
        <v>0.9926817</v>
      </c>
      <c r="Q419">
        <v>0.11274960000000001</v>
      </c>
      <c r="R419">
        <v>-4.325205E-2</v>
      </c>
      <c r="S419">
        <v>3.0423279999999999</v>
      </c>
      <c r="T419">
        <v>-0.2140456</v>
      </c>
      <c r="U419">
        <v>-7.9864500000000005E-2</v>
      </c>
      <c r="V419">
        <v>3.6417190000000002E-2</v>
      </c>
      <c r="W419">
        <v>0.1203396</v>
      </c>
      <c r="X419">
        <v>0.99206459999999996</v>
      </c>
      <c r="Y419">
        <v>1.9327090000000002E-2</v>
      </c>
      <c r="Z419">
        <v>-1.951551E-4</v>
      </c>
      <c r="AA419">
        <v>0.99981319999999996</v>
      </c>
      <c r="AB419">
        <v>33</v>
      </c>
      <c r="AC419">
        <v>15.484500000000001</v>
      </c>
      <c r="AD419">
        <v>-1.1089639999999901</v>
      </c>
      <c r="AE419">
        <v>-0.411999999999977</v>
      </c>
      <c r="AF419">
        <v>0.30380671084122901</v>
      </c>
      <c r="AG419">
        <v>-1.1089639999999901</v>
      </c>
      <c r="AH419">
        <v>15.407996784898501</v>
      </c>
      <c r="AI419">
        <v>94.115869153006102</v>
      </c>
      <c r="AJ419">
        <v>88.870418569960194</v>
      </c>
      <c r="AK419">
        <v>15.4508402552835</v>
      </c>
      <c r="AL419">
        <v>83.088297747527704</v>
      </c>
      <c r="AM419">
        <v>87.897702601797505</v>
      </c>
      <c r="AN419">
        <v>1.0000000008144001</v>
      </c>
    </row>
    <row r="420" spans="1:40" x14ac:dyDescent="0.25">
      <c r="A420" t="str">
        <f>"20190312164001865"</f>
        <v>20190312164001865</v>
      </c>
      <c r="B420" t="str">
        <f>"1552380001856887"</f>
        <v>1552380001856887</v>
      </c>
      <c r="C420" t="s">
        <v>40</v>
      </c>
      <c r="D420">
        <v>5.4788940000000004</v>
      </c>
      <c r="E420">
        <v>0.49717729999999999</v>
      </c>
      <c r="F420" t="s">
        <v>43</v>
      </c>
      <c r="G420">
        <v>-404.7912</v>
      </c>
      <c r="H420">
        <v>-0.05</v>
      </c>
      <c r="I420">
        <v>368.00170000000003</v>
      </c>
      <c r="J420">
        <v>-420.65949999999998</v>
      </c>
      <c r="K420">
        <v>1.0588379999999999</v>
      </c>
      <c r="L420">
        <v>368.42059999999998</v>
      </c>
      <c r="M420">
        <v>0.99995239999999996</v>
      </c>
      <c r="N420">
        <v>0</v>
      </c>
      <c r="O420">
        <v>-6.8808080000000004E-3</v>
      </c>
      <c r="P420">
        <v>0.99261790000000005</v>
      </c>
      <c r="Q420">
        <v>0.1134531</v>
      </c>
      <c r="R420">
        <v>-4.2875219999999999E-2</v>
      </c>
      <c r="S420">
        <v>3.0425420000000001</v>
      </c>
      <c r="T420">
        <v>-0.2100725</v>
      </c>
      <c r="U420">
        <v>-7.9589839999999995E-2</v>
      </c>
      <c r="V420">
        <v>3.6046019999999998E-2</v>
      </c>
      <c r="W420">
        <v>0.1203254</v>
      </c>
      <c r="X420">
        <v>0.99207990000000001</v>
      </c>
      <c r="Y420">
        <v>1.924141E-2</v>
      </c>
      <c r="Z420">
        <v>-1.8892130000000001E-4</v>
      </c>
      <c r="AA420">
        <v>0.99981489999999995</v>
      </c>
      <c r="AB420">
        <v>33</v>
      </c>
      <c r="AC420">
        <v>15.8682999999999</v>
      </c>
      <c r="AD420">
        <v>-1.108838</v>
      </c>
      <c r="AE420">
        <v>-0.41889999999995098</v>
      </c>
      <c r="AF420">
        <v>0.30819690655230703</v>
      </c>
      <c r="AG420">
        <v>-1.108838</v>
      </c>
      <c r="AH420">
        <v>15.793741646977701</v>
      </c>
      <c r="AI420">
        <v>94.0152377320602</v>
      </c>
      <c r="AJ420">
        <v>88.882079906859303</v>
      </c>
      <c r="AK420">
        <v>15.8356175204799</v>
      </c>
      <c r="AL420">
        <v>83.089117454855995</v>
      </c>
      <c r="AM420">
        <v>87.9191426931271</v>
      </c>
      <c r="AN420">
        <v>1.0000000227135</v>
      </c>
    </row>
    <row r="421" spans="1:40" x14ac:dyDescent="0.25">
      <c r="A421" t="str">
        <f>"20190312164001888"</f>
        <v>20190312164001888</v>
      </c>
      <c r="B421" t="str">
        <f>"1552380001876407"</f>
        <v>1552380001876407</v>
      </c>
      <c r="C421" t="s">
        <v>40</v>
      </c>
      <c r="D421">
        <v>5.3591749999999996</v>
      </c>
      <c r="E421">
        <v>0.49726179999999998</v>
      </c>
      <c r="F421" t="s">
        <v>42</v>
      </c>
      <c r="G421">
        <v>-419.73469999999998</v>
      </c>
      <c r="H421">
        <v>0.99575420000000003</v>
      </c>
      <c r="I421">
        <v>368.39620000000002</v>
      </c>
      <c r="J421">
        <v>-420.3193</v>
      </c>
      <c r="K421">
        <v>1.0586549999999999</v>
      </c>
      <c r="L421">
        <v>368.41820000000001</v>
      </c>
      <c r="M421">
        <v>0.99996019999999997</v>
      </c>
      <c r="N421">
        <v>0</v>
      </c>
      <c r="O421">
        <v>-6.8745909999999898E-3</v>
      </c>
      <c r="P421">
        <v>0.99254589999999998</v>
      </c>
      <c r="Q421">
        <v>0.1142077</v>
      </c>
      <c r="R421">
        <v>-4.25414E-2</v>
      </c>
      <c r="S421">
        <v>3.0426639999999998</v>
      </c>
      <c r="T421">
        <v>-0.2078352</v>
      </c>
      <c r="U421">
        <v>-7.8887940000000004E-2</v>
      </c>
      <c r="V421">
        <v>3.5719309999999997E-2</v>
      </c>
      <c r="W421">
        <v>0.11986670000000001</v>
      </c>
      <c r="X421">
        <v>0.99214720000000001</v>
      </c>
      <c r="Y421">
        <v>1.9017269999999999E-2</v>
      </c>
      <c r="Z421">
        <v>-1.796898E-4</v>
      </c>
      <c r="AA421">
        <v>0.99981920000000002</v>
      </c>
      <c r="AB421">
        <v>34</v>
      </c>
      <c r="AC421">
        <v>0.58460000000002299</v>
      </c>
      <c r="AD421">
        <v>-6.2900799999999896E-2</v>
      </c>
      <c r="AE421">
        <v>-2.1999999999991301E-2</v>
      </c>
      <c r="AF421">
        <v>1.7775039246484999E-2</v>
      </c>
      <c r="AG421">
        <v>-6.2900799999999896E-2</v>
      </c>
      <c r="AH421">
        <v>0.57805477297631103</v>
      </c>
      <c r="AI421">
        <v>96.207272530608606</v>
      </c>
      <c r="AJ421">
        <v>88.238724137528095</v>
      </c>
      <c r="AK421">
        <v>0.58173858667063605</v>
      </c>
      <c r="AL421">
        <v>83.115590343260095</v>
      </c>
      <c r="AM421">
        <v>87.938126337311303</v>
      </c>
      <c r="AN421">
        <v>0.99999998067180196</v>
      </c>
    </row>
    <row r="422" spans="1:40" x14ac:dyDescent="0.25">
      <c r="A422" t="str">
        <f>"20190312164001909"</f>
        <v>20190312164001909</v>
      </c>
      <c r="B422" t="str">
        <f>"1552380001896903"</f>
        <v>1552380001896903</v>
      </c>
      <c r="C422" t="s">
        <v>40</v>
      </c>
      <c r="D422">
        <v>5.454987</v>
      </c>
      <c r="E422">
        <v>0.4973554</v>
      </c>
      <c r="F422" t="s">
        <v>42</v>
      </c>
      <c r="G422">
        <v>-419.42829999999998</v>
      </c>
      <c r="H422">
        <v>0.99877059999999995</v>
      </c>
      <c r="I422">
        <v>368.3947</v>
      </c>
      <c r="J422">
        <v>-419.99180000000001</v>
      </c>
      <c r="K422">
        <v>1.058527</v>
      </c>
      <c r="L422">
        <v>368.416</v>
      </c>
      <c r="M422">
        <v>0.99996580000000002</v>
      </c>
      <c r="N422">
        <v>0</v>
      </c>
      <c r="O422">
        <v>-6.8709089999999997E-3</v>
      </c>
      <c r="P422">
        <v>0.99249350000000003</v>
      </c>
      <c r="Q422">
        <v>0.1148597</v>
      </c>
      <c r="R422">
        <v>-4.200429E-2</v>
      </c>
      <c r="S422">
        <v>3.042694</v>
      </c>
      <c r="T422">
        <v>-0.20474529999999999</v>
      </c>
      <c r="U422">
        <v>-7.9040529999999998E-2</v>
      </c>
      <c r="V422">
        <v>3.5186599999999998E-2</v>
      </c>
      <c r="W422">
        <v>0.1194667</v>
      </c>
      <c r="X422">
        <v>0.9922145</v>
      </c>
      <c r="Y422">
        <v>1.9071540000000001E-2</v>
      </c>
      <c r="Z422">
        <v>-1.7909619999999999E-4</v>
      </c>
      <c r="AA422">
        <v>0.99981810000000004</v>
      </c>
      <c r="AB422">
        <v>34</v>
      </c>
      <c r="AC422">
        <v>0.56350000000003297</v>
      </c>
      <c r="AD422">
        <v>-5.9756399999999897E-2</v>
      </c>
      <c r="AE422">
        <v>-2.1299999999996499E-2</v>
      </c>
      <c r="AF422">
        <v>1.7234167646345399E-2</v>
      </c>
      <c r="AG422">
        <v>-5.9756399999999897E-2</v>
      </c>
      <c r="AH422">
        <v>0.55737401135667697</v>
      </c>
      <c r="AI422">
        <v>96.116439662270693</v>
      </c>
      <c r="AJ422">
        <v>88.228961984636598</v>
      </c>
      <c r="AK422">
        <v>0.56083298085192501</v>
      </c>
      <c r="AL422">
        <v>83.138674680286499</v>
      </c>
      <c r="AM422">
        <v>87.968988373779396</v>
      </c>
      <c r="AN422">
        <v>1.00000000161935</v>
      </c>
    </row>
    <row r="423" spans="1:40" x14ac:dyDescent="0.25">
      <c r="A423" t="str">
        <f>"20190312164001930"</f>
        <v>20190312164001930</v>
      </c>
      <c r="B423" t="str">
        <f>"1552380001927160"</f>
        <v>1552380001927160</v>
      </c>
      <c r="C423" t="s">
        <v>40</v>
      </c>
      <c r="D423">
        <v>5.3724819999999998</v>
      </c>
      <c r="E423">
        <v>0.497477</v>
      </c>
      <c r="F423" t="s">
        <v>42</v>
      </c>
      <c r="G423">
        <v>-419.1207</v>
      </c>
      <c r="H423">
        <v>1.0005759999999999</v>
      </c>
      <c r="I423">
        <v>368.39319999999998</v>
      </c>
      <c r="J423">
        <v>-419.66820000000001</v>
      </c>
      <c r="K423">
        <v>1.058465</v>
      </c>
      <c r="L423">
        <v>368.41379999999998</v>
      </c>
      <c r="M423">
        <v>0.9999692</v>
      </c>
      <c r="N423">
        <v>0</v>
      </c>
      <c r="O423">
        <v>-6.8687899999999996E-3</v>
      </c>
      <c r="P423">
        <v>0.992452</v>
      </c>
      <c r="Q423">
        <v>0.1154123</v>
      </c>
      <c r="R423">
        <v>-4.146495E-2</v>
      </c>
      <c r="S423">
        <v>3.0428160000000002</v>
      </c>
      <c r="T423">
        <v>-0.20249400000000001</v>
      </c>
      <c r="U423">
        <v>-7.9010010000000006E-2</v>
      </c>
      <c r="V423">
        <v>3.4650090000000001E-2</v>
      </c>
      <c r="W423">
        <v>0.1191888</v>
      </c>
      <c r="X423">
        <v>0.9922668</v>
      </c>
      <c r="Y423">
        <v>1.9063239999999999E-2</v>
      </c>
      <c r="Z423">
        <v>-1.769908E-4</v>
      </c>
      <c r="AA423">
        <v>0.99981830000000005</v>
      </c>
      <c r="AB423">
        <v>34</v>
      </c>
      <c r="AC423">
        <v>0.54750000000001298</v>
      </c>
      <c r="AD423">
        <v>-5.7888999999999802E-2</v>
      </c>
      <c r="AE423">
        <v>-2.06000000000017E-2</v>
      </c>
      <c r="AF423">
        <v>1.6652915680996298E-2</v>
      </c>
      <c r="AG423">
        <v>-5.7888999999999802E-2</v>
      </c>
      <c r="AH423">
        <v>0.54158249948217696</v>
      </c>
      <c r="AI423">
        <v>96.098240697929398</v>
      </c>
      <c r="AJ423">
        <v>88.238788642770601</v>
      </c>
      <c r="AK423">
        <v>0.54492206751703598</v>
      </c>
      <c r="AL423">
        <v>83.154711756585797</v>
      </c>
      <c r="AM423">
        <v>88.000036344718396</v>
      </c>
      <c r="AN423">
        <v>1.00000000058234</v>
      </c>
    </row>
    <row r="424" spans="1:40" x14ac:dyDescent="0.25">
      <c r="A424" t="str">
        <f>"20190312164001942"</f>
        <v>20190312164001942</v>
      </c>
      <c r="B424" t="str">
        <f>"1552380001936919"</f>
        <v>1552380001936919</v>
      </c>
      <c r="C424" t="s">
        <v>40</v>
      </c>
      <c r="D424">
        <v>5.2414339999999999</v>
      </c>
      <c r="E424">
        <v>0.49753910000000001</v>
      </c>
      <c r="F424" t="s">
        <v>42</v>
      </c>
      <c r="G424">
        <v>-418.80829999999997</v>
      </c>
      <c r="H424">
        <v>1.001773</v>
      </c>
      <c r="I424">
        <v>368.3913</v>
      </c>
      <c r="J424">
        <v>-419.47890000000001</v>
      </c>
      <c r="K424">
        <v>1.058462</v>
      </c>
      <c r="L424">
        <v>368.41250000000002</v>
      </c>
      <c r="M424">
        <v>0.99997060000000004</v>
      </c>
      <c r="N424">
        <v>0</v>
      </c>
      <c r="O424">
        <v>-6.8676730000000004E-3</v>
      </c>
      <c r="P424">
        <v>0.99243840000000005</v>
      </c>
      <c r="Q424">
        <v>0.11565780000000001</v>
      </c>
      <c r="R424">
        <v>-4.1102470000000002E-2</v>
      </c>
      <c r="S424">
        <v>3.0428769999999998</v>
      </c>
      <c r="T424">
        <v>-0.20083999999999999</v>
      </c>
      <c r="U424">
        <v>-7.8613279999999994E-2</v>
      </c>
      <c r="V424">
        <v>3.4289180000000002E-2</v>
      </c>
      <c r="W424">
        <v>0.1190827</v>
      </c>
      <c r="X424">
        <v>0.99229199999999995</v>
      </c>
      <c r="Y424">
        <v>1.8934289999999999E-2</v>
      </c>
      <c r="Z424">
        <v>-1.7136889999999901E-4</v>
      </c>
      <c r="AA424">
        <v>0.99982070000000001</v>
      </c>
      <c r="AB424">
        <v>34</v>
      </c>
      <c r="AC424">
        <v>0.67060000000003495</v>
      </c>
      <c r="AD424">
        <v>-5.6688999999999899E-2</v>
      </c>
      <c r="AE424">
        <v>-2.1200000000021601E-2</v>
      </c>
      <c r="AF424">
        <v>1.6476387001175399E-2</v>
      </c>
      <c r="AG424">
        <v>-5.6688999999999899E-2</v>
      </c>
      <c r="AH424">
        <v>0.66597539020927299</v>
      </c>
      <c r="AI424">
        <v>94.863908190040107</v>
      </c>
      <c r="AJ424">
        <v>88.582778110335994</v>
      </c>
      <c r="AK424">
        <v>0.66858681890537297</v>
      </c>
      <c r="AL424">
        <v>83.160833927293595</v>
      </c>
      <c r="AM424">
        <v>88.020901226407602</v>
      </c>
      <c r="AN424">
        <v>0.99999992528417803</v>
      </c>
    </row>
    <row r="425" spans="1:40" x14ac:dyDescent="0.25">
      <c r="A425" t="str">
        <f>"20190312164001965"</f>
        <v>20190312164001965</v>
      </c>
      <c r="B425" t="str">
        <f>"1552380001956442"</f>
        <v>1552380001956442</v>
      </c>
      <c r="C425" t="s">
        <v>40</v>
      </c>
      <c r="D425">
        <v>5.4880430000000002</v>
      </c>
      <c r="E425">
        <v>0.49764350000000002</v>
      </c>
      <c r="F425" t="s">
        <v>42</v>
      </c>
      <c r="G425">
        <v>-418.50880000000001</v>
      </c>
      <c r="H425">
        <v>0.99467090000000002</v>
      </c>
      <c r="I425">
        <v>368.38729999999998</v>
      </c>
      <c r="J425">
        <v>-419.13490000000002</v>
      </c>
      <c r="K425">
        <v>1.058538</v>
      </c>
      <c r="L425">
        <v>368.4101</v>
      </c>
      <c r="M425">
        <v>0.99997150000000001</v>
      </c>
      <c r="N425">
        <v>0</v>
      </c>
      <c r="O425">
        <v>-6.865403E-3</v>
      </c>
      <c r="P425">
        <v>0.9924248</v>
      </c>
      <c r="Q425">
        <v>0.11606</v>
      </c>
      <c r="R425">
        <v>-4.0291840000000002E-2</v>
      </c>
      <c r="S425">
        <v>3.0429379999999999</v>
      </c>
      <c r="T425">
        <v>-0.20029079999999999</v>
      </c>
      <c r="U425">
        <v>-7.8125E-2</v>
      </c>
      <c r="V425">
        <v>3.3480919999999997E-2</v>
      </c>
      <c r="W425">
        <v>0.11919399999999999</v>
      </c>
      <c r="X425">
        <v>0.99230629999999997</v>
      </c>
      <c r="Y425">
        <v>1.87762E-2</v>
      </c>
      <c r="Z425">
        <v>-1.6585149999999999E-4</v>
      </c>
      <c r="AA425">
        <v>0.99982369999999998</v>
      </c>
      <c r="AB425">
        <v>35</v>
      </c>
      <c r="AC425">
        <v>0.62610000000000798</v>
      </c>
      <c r="AD425">
        <v>-6.3867099999999899E-2</v>
      </c>
      <c r="AE425">
        <v>-2.28000000000179E-2</v>
      </c>
      <c r="AF425">
        <v>1.83107308988802E-2</v>
      </c>
      <c r="AG425">
        <v>-6.3867099999999899E-2</v>
      </c>
      <c r="AH425">
        <v>0.61980091941003901</v>
      </c>
      <c r="AI425">
        <v>95.880704940376603</v>
      </c>
      <c r="AJ425">
        <v>88.307807383799499</v>
      </c>
      <c r="AK425">
        <v>0.62335180197861895</v>
      </c>
      <c r="AL425">
        <v>83.154411588215694</v>
      </c>
      <c r="AM425">
        <v>88.067544309416903</v>
      </c>
      <c r="AN425">
        <v>0.99999998732986795</v>
      </c>
    </row>
    <row r="426" spans="1:40" x14ac:dyDescent="0.25">
      <c r="A426" t="str">
        <f>"20190312164001976"</f>
        <v>20190312164001976</v>
      </c>
      <c r="B426" t="str">
        <f>"1552380001967175"</f>
        <v>1552380001967175</v>
      </c>
      <c r="C426" t="s">
        <v>40</v>
      </c>
      <c r="D426">
        <v>5.3791630000000001</v>
      </c>
      <c r="E426">
        <v>0.4977297</v>
      </c>
      <c r="F426" t="s">
        <v>42</v>
      </c>
      <c r="G426">
        <v>-418.19659999999999</v>
      </c>
      <c r="H426">
        <v>0.99697329999999995</v>
      </c>
      <c r="I426">
        <v>368.38600000000002</v>
      </c>
      <c r="J426">
        <v>-418.94099999999997</v>
      </c>
      <c r="K426">
        <v>1.058611</v>
      </c>
      <c r="L426">
        <v>368.40879999999999</v>
      </c>
      <c r="M426">
        <v>0.99997159999999996</v>
      </c>
      <c r="N426">
        <v>0</v>
      </c>
      <c r="O426">
        <v>-6.8641789999999998E-3</v>
      </c>
      <c r="P426">
        <v>0.99241990000000002</v>
      </c>
      <c r="Q426">
        <v>0.1161787</v>
      </c>
      <c r="R426">
        <v>-4.006734E-2</v>
      </c>
      <c r="S426">
        <v>3.0431520000000001</v>
      </c>
      <c r="T426">
        <v>-0.1999495</v>
      </c>
      <c r="U426">
        <v>-7.7362059999999996E-2</v>
      </c>
      <c r="V426">
        <v>3.3257849999999999E-2</v>
      </c>
      <c r="W426">
        <v>0.1192911</v>
      </c>
      <c r="X426">
        <v>0.99230220000000002</v>
      </c>
      <c r="Y426">
        <v>1.8525759999999999E-2</v>
      </c>
      <c r="Z426">
        <v>-1.5742109999999999E-4</v>
      </c>
      <c r="AA426">
        <v>0.99982839999999995</v>
      </c>
      <c r="AB426">
        <v>35</v>
      </c>
      <c r="AC426">
        <v>0.74439999999998396</v>
      </c>
      <c r="AD426">
        <v>-6.16376999999999E-2</v>
      </c>
      <c r="AE426">
        <v>-2.28000000000179E-2</v>
      </c>
      <c r="AF426">
        <v>1.7569397794944298E-2</v>
      </c>
      <c r="AG426">
        <v>-6.16376999999999E-2</v>
      </c>
      <c r="AH426">
        <v>0.73947377755076504</v>
      </c>
      <c r="AI426">
        <v>94.763448949209106</v>
      </c>
      <c r="AJ426">
        <v>88.638947023337806</v>
      </c>
      <c r="AK426">
        <v>0.74224615693539697</v>
      </c>
      <c r="AL426">
        <v>83.148808644938399</v>
      </c>
      <c r="AM426">
        <v>88.080401899848695</v>
      </c>
      <c r="AN426">
        <v>1.00000005362533</v>
      </c>
    </row>
    <row r="427" spans="1:40" x14ac:dyDescent="0.25">
      <c r="A427" t="str">
        <f>"20190312164001997"</f>
        <v>20190312164001997</v>
      </c>
      <c r="B427" t="str">
        <f>"1552380001986695"</f>
        <v>1552380001986695</v>
      </c>
      <c r="C427" t="s">
        <v>40</v>
      </c>
      <c r="D427">
        <v>5.3770819999999997</v>
      </c>
      <c r="E427">
        <v>0.49779899999999999</v>
      </c>
      <c r="F427" t="s">
        <v>43</v>
      </c>
      <c r="G427">
        <v>-402.04329999999999</v>
      </c>
      <c r="H427">
        <v>-0.05</v>
      </c>
      <c r="I427">
        <v>367.98099999999999</v>
      </c>
      <c r="J427">
        <v>-418.63130000000001</v>
      </c>
      <c r="K427">
        <v>1.058748</v>
      </c>
      <c r="L427">
        <v>368.4067</v>
      </c>
      <c r="M427">
        <v>0.99997100000000005</v>
      </c>
      <c r="N427">
        <v>0</v>
      </c>
      <c r="O427">
        <v>-6.861944E-3</v>
      </c>
      <c r="P427">
        <v>0.99243919999999997</v>
      </c>
      <c r="Q427">
        <v>0.1163603</v>
      </c>
      <c r="R427">
        <v>-3.9049809999999997E-2</v>
      </c>
      <c r="S427">
        <v>3.0432130000000002</v>
      </c>
      <c r="T427">
        <v>-0.19965720000000001</v>
      </c>
      <c r="U427">
        <v>-7.7056879999999994E-2</v>
      </c>
      <c r="V427">
        <v>3.224254E-2</v>
      </c>
      <c r="W427">
        <v>0.1196367</v>
      </c>
      <c r="X427">
        <v>0.99229409999999896</v>
      </c>
      <c r="Y427">
        <v>1.8427559999999999E-2</v>
      </c>
      <c r="Z427">
        <v>-1.541174E-4</v>
      </c>
      <c r="AA427">
        <v>0.9998302</v>
      </c>
      <c r="AB427">
        <v>35</v>
      </c>
      <c r="AC427">
        <v>16.588000000000001</v>
      </c>
      <c r="AD427">
        <v>-1.1087480000000001</v>
      </c>
      <c r="AE427">
        <v>-0.42570000000000602</v>
      </c>
      <c r="AF427">
        <v>0.310477243359852</v>
      </c>
      <c r="AG427">
        <v>-1.1087480000000001</v>
      </c>
      <c r="AH427">
        <v>16.516788195158199</v>
      </c>
      <c r="AI427">
        <v>93.839744445178894</v>
      </c>
      <c r="AJ427">
        <v>88.923099294747402</v>
      </c>
      <c r="AK427">
        <v>16.556872003185401</v>
      </c>
      <c r="AL427">
        <v>83.128864377459195</v>
      </c>
      <c r="AM427">
        <v>88.138947180878802</v>
      </c>
      <c r="AN427">
        <v>1.00000005113367</v>
      </c>
    </row>
    <row r="428" spans="1:40" x14ac:dyDescent="0.25">
      <c r="A428" t="str">
        <f>"20190312164002019"</f>
        <v>20190312164002019</v>
      </c>
      <c r="B428" t="str">
        <f>"1552380002016332"</f>
        <v>1552380002016332</v>
      </c>
      <c r="C428" t="s">
        <v>40</v>
      </c>
      <c r="D428">
        <v>5.3309730000000002</v>
      </c>
      <c r="E428">
        <v>0.50573829999999997</v>
      </c>
      <c r="F428" t="s">
        <v>43</v>
      </c>
      <c r="G428">
        <v>-401.71359999999999</v>
      </c>
      <c r="H428">
        <v>-0.05</v>
      </c>
      <c r="I428">
        <v>367.9907</v>
      </c>
      <c r="J428">
        <v>-418.28699999999998</v>
      </c>
      <c r="K428">
        <v>1.058894</v>
      </c>
      <c r="L428">
        <v>368.40429999999998</v>
      </c>
      <c r="M428">
        <v>0.99997009999999997</v>
      </c>
      <c r="N428">
        <v>0</v>
      </c>
      <c r="O428">
        <v>-6.8600730000000004E-3</v>
      </c>
      <c r="P428">
        <v>0.992479</v>
      </c>
      <c r="Q428">
        <v>0.11635379999999999</v>
      </c>
      <c r="R428">
        <v>-3.8046709999999997E-2</v>
      </c>
      <c r="S428">
        <v>3.043304</v>
      </c>
      <c r="T428">
        <v>-0.19945070000000001</v>
      </c>
      <c r="U428">
        <v>-7.4829099999999996E-2</v>
      </c>
      <c r="V428">
        <v>3.1241120000000001E-2</v>
      </c>
      <c r="W428">
        <v>0.11992360000000001</v>
      </c>
      <c r="X428">
        <v>0.99229149999999999</v>
      </c>
      <c r="Y428">
        <v>1.7698820000000001E-2</v>
      </c>
      <c r="Z428">
        <v>-1.3022620000000001E-4</v>
      </c>
      <c r="AA428">
        <v>0.99984340000000005</v>
      </c>
      <c r="AB428">
        <v>35</v>
      </c>
      <c r="AC428">
        <v>16.5733999999999</v>
      </c>
      <c r="AD428">
        <v>-1.108894</v>
      </c>
      <c r="AE428">
        <v>-0.41359999999997399</v>
      </c>
      <c r="AF428">
        <v>0.29855908555934901</v>
      </c>
      <c r="AG428">
        <v>-1.108894</v>
      </c>
      <c r="AH428">
        <v>16.502018944043201</v>
      </c>
      <c r="AI428">
        <v>93.843725105443298</v>
      </c>
      <c r="AJ428">
        <v>88.963502011185298</v>
      </c>
      <c r="AK428">
        <v>16.541928928041202</v>
      </c>
      <c r="AL428">
        <v>83.112306999966194</v>
      </c>
      <c r="AM428">
        <v>88.196706062933899</v>
      </c>
      <c r="AN428">
        <v>1.00000004919403</v>
      </c>
    </row>
    <row r="429" spans="1:40" x14ac:dyDescent="0.25">
      <c r="A429" t="str">
        <f>"20190312164002042"</f>
        <v>20190312164002042</v>
      </c>
      <c r="B429" t="str">
        <f>"1552380002036828"</f>
        <v>1552380002036828</v>
      </c>
      <c r="C429" t="s">
        <v>40</v>
      </c>
      <c r="D429">
        <v>5.323429</v>
      </c>
      <c r="E429">
        <v>0.50318750000000001</v>
      </c>
      <c r="F429" t="s">
        <v>42</v>
      </c>
      <c r="G429">
        <v>-417.27550000000002</v>
      </c>
      <c r="H429">
        <v>0.9726011</v>
      </c>
      <c r="I429">
        <v>368.36</v>
      </c>
      <c r="J429">
        <v>-417.91820000000001</v>
      </c>
      <c r="K429">
        <v>1.059016</v>
      </c>
      <c r="L429">
        <v>368.40179999999998</v>
      </c>
      <c r="M429">
        <v>0.99996859999999999</v>
      </c>
      <c r="N429">
        <v>0</v>
      </c>
      <c r="O429">
        <v>-6.8587530000000004E-3</v>
      </c>
      <c r="P429">
        <v>0.99254200000000004</v>
      </c>
      <c r="Q429">
        <v>0.11607729999999999</v>
      </c>
      <c r="R429">
        <v>-3.723862E-2</v>
      </c>
      <c r="S429">
        <v>3.0481569999999998</v>
      </c>
      <c r="T429">
        <v>-0.26019779999999998</v>
      </c>
      <c r="U429">
        <v>-0.13244629999999999</v>
      </c>
      <c r="V429">
        <v>3.0433999999999999E-2</v>
      </c>
      <c r="W429">
        <v>0.12001680000000001</v>
      </c>
      <c r="X429">
        <v>0.99230529999999995</v>
      </c>
      <c r="Y429">
        <v>3.6449559999999999E-2</v>
      </c>
      <c r="Z429">
        <v>-9.6803549999999996E-4</v>
      </c>
      <c r="AA429">
        <v>0.99933510000000003</v>
      </c>
      <c r="AB429">
        <v>35</v>
      </c>
      <c r="AC429">
        <v>0.64269999999998995</v>
      </c>
      <c r="AD429">
        <v>-8.6414899999999906E-2</v>
      </c>
      <c r="AE429">
        <v>-4.1799999999966503E-2</v>
      </c>
      <c r="AF429">
        <v>3.6729644196266197E-2</v>
      </c>
      <c r="AG429">
        <v>-8.6414899999999906E-2</v>
      </c>
      <c r="AH429">
        <v>0.63160131740602099</v>
      </c>
      <c r="AI429">
        <v>97.777785165348803</v>
      </c>
      <c r="AJ429">
        <v>86.6718148585433</v>
      </c>
      <c r="AK429">
        <v>0.63854273612172197</v>
      </c>
      <c r="AL429">
        <v>83.106928083434994</v>
      </c>
      <c r="AM429">
        <v>88.243289325129695</v>
      </c>
      <c r="AN429">
        <v>1.0000000345231601</v>
      </c>
    </row>
    <row r="430" spans="1:40" x14ac:dyDescent="0.25">
      <c r="A430" t="str">
        <f>"20190312164002054"</f>
        <v>20190312164002054</v>
      </c>
      <c r="B430" t="str">
        <f>"1552380002046588"</f>
        <v>1552380002046588</v>
      </c>
      <c r="C430" t="s">
        <v>40</v>
      </c>
      <c r="D430">
        <v>5.5480229999999997</v>
      </c>
      <c r="E430">
        <v>0.50320859999999901</v>
      </c>
      <c r="F430" t="s">
        <v>42</v>
      </c>
      <c r="G430">
        <v>-416.9579</v>
      </c>
      <c r="H430">
        <v>0.98161100000000001</v>
      </c>
      <c r="I430">
        <v>368.36669999999998</v>
      </c>
      <c r="J430">
        <v>-417.7244</v>
      </c>
      <c r="K430">
        <v>1.05907</v>
      </c>
      <c r="L430">
        <v>368.40050000000002</v>
      </c>
      <c r="M430">
        <v>0.99996779999999996</v>
      </c>
      <c r="N430">
        <v>0</v>
      </c>
      <c r="O430">
        <v>-6.8583359999999996E-3</v>
      </c>
      <c r="P430">
        <v>0.99256409999999995</v>
      </c>
      <c r="Q430">
        <v>0.1159273</v>
      </c>
      <c r="R430">
        <v>-3.7110240000000003E-2</v>
      </c>
      <c r="S430">
        <v>3.04718</v>
      </c>
      <c r="T430">
        <v>-0.2457558</v>
      </c>
      <c r="U430">
        <v>-0.11059570000000001</v>
      </c>
      <c r="V430">
        <v>3.0305950000000002E-2</v>
      </c>
      <c r="W430">
        <v>0.12007080000000001</v>
      </c>
      <c r="X430">
        <v>0.99230269999999998</v>
      </c>
      <c r="Y430">
        <v>2.9342920000000002E-2</v>
      </c>
      <c r="Z430">
        <v>-6.2891849999999997E-4</v>
      </c>
      <c r="AA430">
        <v>0.99956920000000005</v>
      </c>
      <c r="AB430">
        <v>35</v>
      </c>
      <c r="AC430">
        <v>0.76650000000000695</v>
      </c>
      <c r="AD430">
        <v>-7.7459000000000097E-2</v>
      </c>
      <c r="AE430">
        <v>-3.3800000000041998E-2</v>
      </c>
      <c r="AF430">
        <v>2.8254266535458601E-2</v>
      </c>
      <c r="AG430">
        <v>-7.7459000000000097E-2</v>
      </c>
      <c r="AH430">
        <v>0.75897799112197994</v>
      </c>
      <c r="AI430">
        <v>95.823252599427093</v>
      </c>
      <c r="AJ430">
        <v>87.868050128992905</v>
      </c>
      <c r="AK430">
        <v>0.76344337790435601</v>
      </c>
      <c r="AL430">
        <v>83.103811668264299</v>
      </c>
      <c r="AM430">
        <v>88.250671441586803</v>
      </c>
      <c r="AN430">
        <v>1.0000000480226601</v>
      </c>
    </row>
    <row r="431" spans="1:40" x14ac:dyDescent="0.25">
      <c r="A431" t="str">
        <f>"20190312164002067"</f>
        <v>20190312164002067</v>
      </c>
      <c r="B431" t="str">
        <f>"1552380002056348"</f>
        <v>1552380002056348</v>
      </c>
      <c r="C431" t="s">
        <v>40</v>
      </c>
      <c r="D431">
        <v>5.3347220000000002</v>
      </c>
      <c r="E431">
        <v>0.50173409999999996</v>
      </c>
      <c r="F431" t="s">
        <v>42</v>
      </c>
      <c r="G431">
        <v>-416.94850000000002</v>
      </c>
      <c r="H431">
        <v>0.99787020000000004</v>
      </c>
      <c r="I431">
        <v>368.37200000000001</v>
      </c>
      <c r="J431">
        <v>-417.54020000000003</v>
      </c>
      <c r="K431">
        <v>1.059113</v>
      </c>
      <c r="L431">
        <v>368.39920000000001</v>
      </c>
      <c r="M431">
        <v>0.99996700000000005</v>
      </c>
      <c r="N431">
        <v>0</v>
      </c>
      <c r="O431">
        <v>-6.858042E-3</v>
      </c>
      <c r="P431">
        <v>0.99257459999999997</v>
      </c>
      <c r="Q431">
        <v>0.1159975</v>
      </c>
      <c r="R431">
        <v>-3.6617410000000003E-2</v>
      </c>
      <c r="S431">
        <v>3.0464169999999999</v>
      </c>
      <c r="T431">
        <v>-0.24043429999999999</v>
      </c>
      <c r="U431">
        <v>-0.1109924</v>
      </c>
      <c r="V431">
        <v>2.9813220000000001E-2</v>
      </c>
      <c r="W431">
        <v>0.12033629999999999</v>
      </c>
      <c r="X431">
        <v>0.99228539999999998</v>
      </c>
      <c r="Y431">
        <v>2.9484929999999999E-2</v>
      </c>
      <c r="Z431">
        <v>-6.2111079999999997E-4</v>
      </c>
      <c r="AA431">
        <v>0.99956500000000004</v>
      </c>
      <c r="AB431">
        <v>35</v>
      </c>
      <c r="AC431">
        <v>0.591700000000002</v>
      </c>
      <c r="AD431">
        <v>-6.12428E-2</v>
      </c>
      <c r="AE431">
        <v>-2.7200000000050201E-2</v>
      </c>
      <c r="AF431">
        <v>2.2896646229652599E-2</v>
      </c>
      <c r="AG431">
        <v>-6.12428E-2</v>
      </c>
      <c r="AH431">
        <v>0.58561225084082702</v>
      </c>
      <c r="AI431">
        <v>95.965713630127198</v>
      </c>
      <c r="AJ431">
        <v>87.760953067781799</v>
      </c>
      <c r="AK431">
        <v>0.58925091879034497</v>
      </c>
      <c r="AL431">
        <v>83.088488091722098</v>
      </c>
      <c r="AM431">
        <v>88.279065712632203</v>
      </c>
      <c r="AN431">
        <v>0.99999998411880897</v>
      </c>
    </row>
    <row r="432" spans="1:40" x14ac:dyDescent="0.25">
      <c r="A432" t="str">
        <f>"20190312164002088"</f>
        <v>20190312164002088</v>
      </c>
      <c r="B432" t="str">
        <f>"1552380002076844"</f>
        <v>1552380002076844</v>
      </c>
      <c r="C432" t="s">
        <v>40</v>
      </c>
      <c r="D432">
        <v>5.282832</v>
      </c>
      <c r="E432">
        <v>0.49972</v>
      </c>
      <c r="F432" t="s">
        <v>42</v>
      </c>
      <c r="G432">
        <v>-416.64010000000002</v>
      </c>
      <c r="H432">
        <v>0.98997489999999999</v>
      </c>
      <c r="I432">
        <v>368.37</v>
      </c>
      <c r="J432">
        <v>-417.202</v>
      </c>
      <c r="K432">
        <v>1.0591809999999999</v>
      </c>
      <c r="L432">
        <v>368.39690000000002</v>
      </c>
      <c r="M432">
        <v>0.9999654</v>
      </c>
      <c r="N432">
        <v>0</v>
      </c>
      <c r="O432">
        <v>-6.8575550000000004E-3</v>
      </c>
      <c r="P432">
        <v>0.99262550000000005</v>
      </c>
      <c r="Q432">
        <v>0.1156436</v>
      </c>
      <c r="R432">
        <v>-3.6352219999999998E-2</v>
      </c>
      <c r="S432">
        <v>3.046173</v>
      </c>
      <c r="T432">
        <v>-0.23415040000000001</v>
      </c>
      <c r="U432">
        <v>-9.7869869999999998E-2</v>
      </c>
      <c r="V432">
        <v>2.9548390000000001E-2</v>
      </c>
      <c r="W432">
        <v>0.1203415</v>
      </c>
      <c r="X432">
        <v>0.99229270000000003</v>
      </c>
      <c r="Y432">
        <v>2.5203320000000001E-2</v>
      </c>
      <c r="Z432">
        <v>-4.4078089999999997E-4</v>
      </c>
      <c r="AA432">
        <v>0.99968219999999997</v>
      </c>
      <c r="AB432">
        <v>35</v>
      </c>
      <c r="AC432">
        <v>0.56189999999997997</v>
      </c>
      <c r="AD432">
        <v>-6.9206099999999895E-2</v>
      </c>
      <c r="AE432">
        <v>-2.6900000000011901E-2</v>
      </c>
      <c r="AF432">
        <v>2.2702467456547599E-2</v>
      </c>
      <c r="AG432">
        <v>-6.9206099999999895E-2</v>
      </c>
      <c r="AH432">
        <v>0.55369125526988106</v>
      </c>
      <c r="AI432">
        <v>97.118555850828997</v>
      </c>
      <c r="AJ432">
        <v>87.652071686522007</v>
      </c>
      <c r="AK432">
        <v>0.55846118259746802</v>
      </c>
      <c r="AL432">
        <v>83.088188035896707</v>
      </c>
      <c r="AM432">
        <v>88.294356193878897</v>
      </c>
      <c r="AN432">
        <v>0.99999999322356603</v>
      </c>
    </row>
    <row r="433" spans="1:40" x14ac:dyDescent="0.25">
      <c r="A433" t="str">
        <f>"20190312164002111"</f>
        <v>20190312164002111</v>
      </c>
      <c r="B433" t="str">
        <f>"1552380002107100"</f>
        <v>1552380002107100</v>
      </c>
      <c r="C433" t="s">
        <v>40</v>
      </c>
      <c r="D433">
        <v>5.4065779999999997</v>
      </c>
      <c r="E433">
        <v>0.49723060000000002</v>
      </c>
      <c r="F433" t="s">
        <v>42</v>
      </c>
      <c r="G433">
        <v>-416.32310000000001</v>
      </c>
      <c r="H433">
        <v>0.99389510000000003</v>
      </c>
      <c r="I433">
        <v>368.37299999999999</v>
      </c>
      <c r="J433">
        <v>-416.85899999999998</v>
      </c>
      <c r="K433">
        <v>1.0592330000000001</v>
      </c>
      <c r="L433">
        <v>368.39460000000003</v>
      </c>
      <c r="M433">
        <v>0.99996370000000001</v>
      </c>
      <c r="N433">
        <v>0</v>
      </c>
      <c r="O433">
        <v>-6.8568989999999996E-3</v>
      </c>
      <c r="P433">
        <v>0.99269770000000002</v>
      </c>
      <c r="Q433">
        <v>0.11519450000000001</v>
      </c>
      <c r="R433">
        <v>-3.580237E-2</v>
      </c>
      <c r="S433">
        <v>3.0456850000000002</v>
      </c>
      <c r="T433">
        <v>-0.22654260000000001</v>
      </c>
      <c r="U433">
        <v>-8.099365E-2</v>
      </c>
      <c r="V433">
        <v>2.8998690000000001E-2</v>
      </c>
      <c r="W433">
        <v>0.120253</v>
      </c>
      <c r="X433">
        <v>0.99231959999999997</v>
      </c>
      <c r="Y433">
        <v>1.9692899999999999E-2</v>
      </c>
      <c r="Z433">
        <v>-2.2202950000000001E-4</v>
      </c>
      <c r="AA433">
        <v>0.99980599999999997</v>
      </c>
      <c r="AB433">
        <v>35</v>
      </c>
      <c r="AC433">
        <v>0.53590000000002602</v>
      </c>
      <c r="AD433">
        <v>-6.5337900000000101E-2</v>
      </c>
      <c r="AE433">
        <v>-2.1599999999978001E-2</v>
      </c>
      <c r="AF433">
        <v>1.7662704033249699E-2</v>
      </c>
      <c r="AG433">
        <v>-6.5337900000000101E-2</v>
      </c>
      <c r="AH433">
        <v>0.52819664165623303</v>
      </c>
      <c r="AI433">
        <v>97.047763742352799</v>
      </c>
      <c r="AJ433">
        <v>88.084763589341406</v>
      </c>
      <c r="AK433">
        <v>0.53251545005483103</v>
      </c>
      <c r="AL433">
        <v>83.093295493594596</v>
      </c>
      <c r="AM433">
        <v>88.326114065624196</v>
      </c>
      <c r="AN433">
        <v>0.99999994828743599</v>
      </c>
    </row>
    <row r="434" spans="1:40" x14ac:dyDescent="0.25">
      <c r="A434" t="str">
        <f>"20190312164002132"</f>
        <v>20190312164002132</v>
      </c>
      <c r="B434" t="str">
        <f>"1552380002126620"</f>
        <v>1552380002126620</v>
      </c>
      <c r="C434" t="s">
        <v>40</v>
      </c>
      <c r="D434">
        <v>5.2092269999999896</v>
      </c>
      <c r="E434">
        <v>0.49610369999999998</v>
      </c>
      <c r="F434" t="s">
        <v>42</v>
      </c>
      <c r="G434">
        <v>-415.99860000000001</v>
      </c>
      <c r="H434">
        <v>0.99983440000000001</v>
      </c>
      <c r="I434">
        <v>368.37700000000001</v>
      </c>
      <c r="J434">
        <v>-416.51339999999999</v>
      </c>
      <c r="K434">
        <v>1.059274</v>
      </c>
      <c r="L434">
        <v>368.3922</v>
      </c>
      <c r="M434">
        <v>0.99996160000000001</v>
      </c>
      <c r="N434">
        <v>0</v>
      </c>
      <c r="O434">
        <v>-6.8561739999999996E-3</v>
      </c>
      <c r="P434">
        <v>0.99280020000000002</v>
      </c>
      <c r="Q434">
        <v>0.1144143</v>
      </c>
      <c r="R434">
        <v>-3.545968E-2</v>
      </c>
      <c r="S434">
        <v>3.0442809999999998</v>
      </c>
      <c r="T434">
        <v>-0.21041950000000001</v>
      </c>
      <c r="U434">
        <v>-6.0760500000000002E-2</v>
      </c>
      <c r="V434">
        <v>2.865593E-2</v>
      </c>
      <c r="W434">
        <v>0.1198279</v>
      </c>
      <c r="X434">
        <v>0.99238099999999996</v>
      </c>
      <c r="Y434">
        <v>1.308469E-2</v>
      </c>
      <c r="Z434" s="1">
        <v>2.1659740000000001E-5</v>
      </c>
      <c r="AA434">
        <v>0.99991439999999998</v>
      </c>
      <c r="AB434">
        <v>35</v>
      </c>
      <c r="AC434">
        <v>0.51479999999997905</v>
      </c>
      <c r="AD434">
        <v>-5.9439599999999898E-2</v>
      </c>
      <c r="AE434">
        <v>-1.52000000000498E-2</v>
      </c>
      <c r="AF434">
        <v>1.15166330501579E-2</v>
      </c>
      <c r="AG434">
        <v>-5.9439599999999898E-2</v>
      </c>
      <c r="AH434">
        <v>0.50812402776160404</v>
      </c>
      <c r="AI434">
        <v>96.670355092845895</v>
      </c>
      <c r="AJ434">
        <v>88.701613233906002</v>
      </c>
      <c r="AK434">
        <v>0.51171840544741698</v>
      </c>
      <c r="AL434">
        <v>83.117829475246097</v>
      </c>
      <c r="AM434">
        <v>88.345990364855197</v>
      </c>
      <c r="AN434">
        <v>0.99999996855178697</v>
      </c>
    </row>
    <row r="435" spans="1:40" x14ac:dyDescent="0.25">
      <c r="A435" t="str">
        <f>"20190312164002155"</f>
        <v>20190312164002155</v>
      </c>
      <c r="B435" t="str">
        <f>"1552380002147117"</f>
        <v>1552380002147117</v>
      </c>
      <c r="C435" t="s">
        <v>40</v>
      </c>
      <c r="D435">
        <v>5.2655909999999997</v>
      </c>
      <c r="E435">
        <v>0.49528939999999999</v>
      </c>
      <c r="F435" t="s">
        <v>43</v>
      </c>
      <c r="G435">
        <v>-400.26940000000002</v>
      </c>
      <c r="H435">
        <v>-0.05</v>
      </c>
      <c r="I435">
        <v>368.12009999999998</v>
      </c>
      <c r="J435">
        <v>-416.15170000000001</v>
      </c>
      <c r="K435">
        <v>1.0593060000000001</v>
      </c>
      <c r="L435">
        <v>368.3897</v>
      </c>
      <c r="M435">
        <v>0.99995959999999995</v>
      </c>
      <c r="N435">
        <v>0</v>
      </c>
      <c r="O435">
        <v>-6.8555500000000002E-3</v>
      </c>
      <c r="P435">
        <v>0.99285330000000005</v>
      </c>
      <c r="Q435">
        <v>0.11396539999999999</v>
      </c>
      <c r="R435">
        <v>-3.5419979999999997E-2</v>
      </c>
      <c r="S435">
        <v>3.0438839999999998</v>
      </c>
      <c r="T435">
        <v>-0.2078623</v>
      </c>
      <c r="U435">
        <v>-5.0994869999999998E-2</v>
      </c>
      <c r="V435">
        <v>2.8616630000000001E-2</v>
      </c>
      <c r="W435">
        <v>0.11974700000000001</v>
      </c>
      <c r="X435">
        <v>0.99239189999999999</v>
      </c>
      <c r="Y435">
        <v>9.8887109999999997E-3</v>
      </c>
      <c r="Z435">
        <v>1.303501E-4</v>
      </c>
      <c r="AA435">
        <v>0.99995109999999998</v>
      </c>
      <c r="AB435">
        <v>35</v>
      </c>
      <c r="AC435">
        <v>15.882299999999899</v>
      </c>
      <c r="AD435">
        <v>-1.1093059999999999</v>
      </c>
      <c r="AE435">
        <v>-0.26960000000002499</v>
      </c>
      <c r="AF435">
        <v>0.15992994753724199</v>
      </c>
      <c r="AG435">
        <v>-1.1093059999999999</v>
      </c>
      <c r="AH435">
        <v>15.8066861844279</v>
      </c>
      <c r="AI435">
        <v>94.014204869330598</v>
      </c>
      <c r="AJ435">
        <v>89.420308707502102</v>
      </c>
      <c r="AK435">
        <v>15.846370736630501</v>
      </c>
      <c r="AL435">
        <v>83.122498327246504</v>
      </c>
      <c r="AM435">
        <v>88.348275620779205</v>
      </c>
      <c r="AN435">
        <v>0.99999996935358204</v>
      </c>
    </row>
    <row r="436" spans="1:40" x14ac:dyDescent="0.25">
      <c r="A436" t="str">
        <f>"20190312164002176"</f>
        <v>20190312164002176</v>
      </c>
      <c r="B436" t="str">
        <f>"1552380002166636"</f>
        <v>1552380002166636</v>
      </c>
      <c r="C436" t="s">
        <v>40</v>
      </c>
      <c r="D436">
        <v>5.4065320000000003</v>
      </c>
      <c r="E436">
        <v>0.49547469999999999</v>
      </c>
      <c r="F436" t="s">
        <v>43</v>
      </c>
      <c r="G436">
        <v>-400.30470000000003</v>
      </c>
      <c r="H436">
        <v>-0.05</v>
      </c>
      <c r="I436">
        <v>368.16</v>
      </c>
      <c r="J436">
        <v>-415.81599999999997</v>
      </c>
      <c r="K436">
        <v>1.0593379999999999</v>
      </c>
      <c r="L436">
        <v>368.38740000000001</v>
      </c>
      <c r="M436">
        <v>0.9999574</v>
      </c>
      <c r="N436">
        <v>0</v>
      </c>
      <c r="O436">
        <v>-6.8549750000000001E-3</v>
      </c>
      <c r="P436">
        <v>0.99294070000000001</v>
      </c>
      <c r="Q436">
        <v>0.1132036</v>
      </c>
      <c r="R436">
        <v>-3.5412599999999898E-2</v>
      </c>
      <c r="S436">
        <v>3.0444640000000001</v>
      </c>
      <c r="T436">
        <v>-0.213116</v>
      </c>
      <c r="U436">
        <v>-4.4128420000000002E-2</v>
      </c>
      <c r="V436">
        <v>2.8609200000000001E-2</v>
      </c>
      <c r="W436">
        <v>0.11934740000000001</v>
      </c>
      <c r="X436">
        <v>0.99244030000000005</v>
      </c>
      <c r="Y436">
        <v>7.6364800000000002E-3</v>
      </c>
      <c r="Z436">
        <v>2.123045E-4</v>
      </c>
      <c r="AA436">
        <v>0.99997080000000005</v>
      </c>
      <c r="AB436">
        <v>35</v>
      </c>
      <c r="AC436">
        <v>15.511299999999901</v>
      </c>
      <c r="AD436">
        <v>-1.1093379999999999</v>
      </c>
      <c r="AE436">
        <v>-0.227399999999988</v>
      </c>
      <c r="AF436">
        <v>0.120447117415779</v>
      </c>
      <c r="AG436">
        <v>-1.1093379999999999</v>
      </c>
      <c r="AH436">
        <v>15.4335712260695</v>
      </c>
      <c r="AI436">
        <v>94.1111247573116</v>
      </c>
      <c r="AJ436">
        <v>89.552859718586902</v>
      </c>
      <c r="AK436">
        <v>15.4738572791822</v>
      </c>
      <c r="AL436">
        <v>83.145559440967503</v>
      </c>
      <c r="AM436">
        <v>88.348784722695299</v>
      </c>
      <c r="AN436">
        <v>1.00000001863774</v>
      </c>
    </row>
    <row r="437" spans="1:40" x14ac:dyDescent="0.25">
      <c r="A437" t="str">
        <f>"20190312164002189"</f>
        <v>20190312164002189</v>
      </c>
      <c r="B437" t="str">
        <f>"1552380002177373"</f>
        <v>1552380002177373</v>
      </c>
      <c r="C437" t="s">
        <v>40</v>
      </c>
      <c r="D437">
        <v>5.4053399999999998</v>
      </c>
      <c r="E437">
        <v>0.49575089999999999</v>
      </c>
      <c r="F437" t="s">
        <v>43</v>
      </c>
      <c r="G437">
        <v>-400.31990000000002</v>
      </c>
      <c r="H437">
        <v>-0.05</v>
      </c>
      <c r="I437">
        <v>368.15429999999998</v>
      </c>
      <c r="J437">
        <v>-415.62209999999999</v>
      </c>
      <c r="K437">
        <v>1.0593629999999901</v>
      </c>
      <c r="L437">
        <v>368.3861</v>
      </c>
      <c r="M437">
        <v>0.99995599999999996</v>
      </c>
      <c r="N437">
        <v>0</v>
      </c>
      <c r="O437">
        <v>-6.8546669999999896E-3</v>
      </c>
      <c r="P437">
        <v>0.9929386</v>
      </c>
      <c r="Q437">
        <v>0.11319070000000001</v>
      </c>
      <c r="R437">
        <v>-3.551178E-2</v>
      </c>
      <c r="S437">
        <v>3.0445250000000001</v>
      </c>
      <c r="T437">
        <v>-0.2179527</v>
      </c>
      <c r="U437">
        <v>-4.5776369999999997E-2</v>
      </c>
      <c r="V437">
        <v>2.8708689999999999E-2</v>
      </c>
      <c r="W437">
        <v>0.1195746</v>
      </c>
      <c r="X437">
        <v>0.99241009999999996</v>
      </c>
      <c r="Y437">
        <v>8.1761690000000005E-3</v>
      </c>
      <c r="Z437">
        <v>1.9779190000000001E-4</v>
      </c>
      <c r="AA437">
        <v>0.99996660000000004</v>
      </c>
      <c r="AB437">
        <v>35</v>
      </c>
      <c r="AC437">
        <v>15.3021999999999</v>
      </c>
      <c r="AD437">
        <v>-1.1093630000000001</v>
      </c>
      <c r="AE437">
        <v>-0.23180000000002099</v>
      </c>
      <c r="AF437">
        <v>0.12623758916995401</v>
      </c>
      <c r="AG437">
        <v>-1.1093630000000001</v>
      </c>
      <c r="AH437">
        <v>15.223436303642201</v>
      </c>
      <c r="AI437">
        <v>94.167750861519096</v>
      </c>
      <c r="AJ437">
        <v>89.524896012034802</v>
      </c>
      <c r="AK437">
        <v>15.2643255693051</v>
      </c>
      <c r="AL437">
        <v>83.132448096174898</v>
      </c>
      <c r="AM437">
        <v>88.342995335462604</v>
      </c>
      <c r="AN437">
        <v>1.0000000402143401</v>
      </c>
    </row>
    <row r="438" spans="1:40" x14ac:dyDescent="0.25">
      <c r="A438" t="str">
        <f>"20190312164002201"</f>
        <v>20190312164002201</v>
      </c>
      <c r="B438" t="str">
        <f>"1552380002196893"</f>
        <v>1552380002196893</v>
      </c>
      <c r="C438" t="s">
        <v>40</v>
      </c>
      <c r="D438">
        <v>5.4119919999999997</v>
      </c>
      <c r="E438">
        <v>0.49583090000000002</v>
      </c>
      <c r="F438" t="s">
        <v>42</v>
      </c>
      <c r="G438">
        <v>-414.74020000000002</v>
      </c>
      <c r="H438">
        <v>0.99645419999999996</v>
      </c>
      <c r="I438">
        <v>368.37180000000001</v>
      </c>
      <c r="J438">
        <v>-415.42750000000001</v>
      </c>
      <c r="K438">
        <v>1.0593889999999999</v>
      </c>
      <c r="L438">
        <v>368.38470000000001</v>
      </c>
      <c r="M438">
        <v>0.99995429999999996</v>
      </c>
      <c r="N438">
        <v>0</v>
      </c>
      <c r="O438">
        <v>-6.8542050000000004E-3</v>
      </c>
      <c r="P438">
        <v>0.99298500000000001</v>
      </c>
      <c r="Q438">
        <v>0.1128237</v>
      </c>
      <c r="R438">
        <v>-3.538641E-2</v>
      </c>
      <c r="S438">
        <v>3.0443730000000002</v>
      </c>
      <c r="T438">
        <v>-0.21730920000000001</v>
      </c>
      <c r="U438">
        <v>-4.8187260000000003E-2</v>
      </c>
      <c r="V438">
        <v>2.8583540000000001E-2</v>
      </c>
      <c r="W438">
        <v>0.1194653</v>
      </c>
      <c r="X438">
        <v>0.99242680000000005</v>
      </c>
      <c r="Y438">
        <v>8.9670749999999997E-3</v>
      </c>
      <c r="Z438">
        <v>1.6899560000000001E-4</v>
      </c>
      <c r="AA438">
        <v>0.99995979999999995</v>
      </c>
      <c r="AB438">
        <v>35</v>
      </c>
      <c r="AC438">
        <v>0.68729999999999303</v>
      </c>
      <c r="AD438">
        <v>-6.2934799999999902E-2</v>
      </c>
      <c r="AE438">
        <v>-1.29000000000019E-2</v>
      </c>
      <c r="AF438">
        <v>8.1206319183212902E-3</v>
      </c>
      <c r="AG438">
        <v>-6.2934799999999902E-2</v>
      </c>
      <c r="AH438">
        <v>0.68165876439364903</v>
      </c>
      <c r="AI438">
        <v>95.274561629622994</v>
      </c>
      <c r="AJ438">
        <v>89.317465055499994</v>
      </c>
      <c r="AK438">
        <v>0.68460602158355899</v>
      </c>
      <c r="AL438">
        <v>83.138755220602405</v>
      </c>
      <c r="AM438">
        <v>88.350242473496706</v>
      </c>
      <c r="AN438">
        <v>0.99999996501063004</v>
      </c>
    </row>
    <row r="439" spans="1:40" x14ac:dyDescent="0.25">
      <c r="A439" t="str">
        <f>"20190312164002221"</f>
        <v>20190312164002221</v>
      </c>
      <c r="B439" t="str">
        <f>"1552380002216413"</f>
        <v>1552380002216413</v>
      </c>
      <c r="C439" t="s">
        <v>40</v>
      </c>
      <c r="D439">
        <v>5.2275609999999997</v>
      </c>
      <c r="E439">
        <v>0.49538900000000002</v>
      </c>
      <c r="F439" t="s">
        <v>42</v>
      </c>
      <c r="G439">
        <v>-414.4314</v>
      </c>
      <c r="H439">
        <v>0.98760760000000003</v>
      </c>
      <c r="I439">
        <v>368.36860000000001</v>
      </c>
      <c r="J439">
        <v>-415.11649999999997</v>
      </c>
      <c r="K439">
        <v>1.059455</v>
      </c>
      <c r="L439">
        <v>368.38260000000002</v>
      </c>
      <c r="M439">
        <v>0.99995089999999998</v>
      </c>
      <c r="N439">
        <v>0</v>
      </c>
      <c r="O439">
        <v>-6.8534769999999898E-3</v>
      </c>
      <c r="P439">
        <v>0.99303850000000005</v>
      </c>
      <c r="Q439">
        <v>0.1122596</v>
      </c>
      <c r="R439">
        <v>-3.5676720000000002E-2</v>
      </c>
      <c r="S439">
        <v>3.0444339999999999</v>
      </c>
      <c r="T439">
        <v>-0.21959819999999999</v>
      </c>
      <c r="U439">
        <v>-4.8248289999999999E-2</v>
      </c>
      <c r="V439">
        <v>2.8874070000000002E-2</v>
      </c>
      <c r="W439">
        <v>0.1193763</v>
      </c>
      <c r="X439">
        <v>0.99242909999999995</v>
      </c>
      <c r="Y439">
        <v>8.9873399999999999E-3</v>
      </c>
      <c r="Z439">
        <v>1.6998689999999999E-4</v>
      </c>
      <c r="AA439">
        <v>0.99995959999999995</v>
      </c>
      <c r="AB439">
        <v>35</v>
      </c>
      <c r="AC439">
        <v>0.68509999999997695</v>
      </c>
      <c r="AD439">
        <v>-7.1847400000000103E-2</v>
      </c>
      <c r="AE439">
        <v>-1.4000000000009999E-2</v>
      </c>
      <c r="AF439">
        <v>9.2030607056086799E-3</v>
      </c>
      <c r="AG439">
        <v>-7.1847400000000103E-2</v>
      </c>
      <c r="AH439">
        <v>0.67772929701406004</v>
      </c>
      <c r="AI439">
        <v>96.050881025179095</v>
      </c>
      <c r="AJ439">
        <v>89.222013667634798</v>
      </c>
      <c r="AK439">
        <v>0.68158913228152496</v>
      </c>
      <c r="AL439">
        <v>83.143891305244907</v>
      </c>
      <c r="AM439">
        <v>88.333487208235994</v>
      </c>
      <c r="AN439">
        <v>0.99999996572343097</v>
      </c>
    </row>
    <row r="440" spans="1:40" x14ac:dyDescent="0.25">
      <c r="A440" t="str">
        <f>"20190312164002233"</f>
        <v>20190312164002233</v>
      </c>
      <c r="B440" t="str">
        <f>"1552380002227149"</f>
        <v>1552380002227149</v>
      </c>
      <c r="C440" t="s">
        <v>40</v>
      </c>
      <c r="D440">
        <v>5.2949029999999997</v>
      </c>
      <c r="E440">
        <v>0.49533759999999999</v>
      </c>
      <c r="F440" t="s">
        <v>42</v>
      </c>
      <c r="G440">
        <v>-414.1157</v>
      </c>
      <c r="H440">
        <v>0.98648409999999997</v>
      </c>
      <c r="I440">
        <v>368.36739999999998</v>
      </c>
      <c r="J440">
        <v>-414.91539999999998</v>
      </c>
      <c r="K440">
        <v>1.0595060000000001</v>
      </c>
      <c r="L440">
        <v>368.38119999999998</v>
      </c>
      <c r="M440">
        <v>0.99994839999999996</v>
      </c>
      <c r="N440">
        <v>0</v>
      </c>
      <c r="O440">
        <v>-6.8534160000000002E-3</v>
      </c>
      <c r="P440">
        <v>0.99309729999999996</v>
      </c>
      <c r="Q440">
        <v>0.1117185</v>
      </c>
      <c r="R440">
        <v>-3.5735549999999998E-2</v>
      </c>
      <c r="S440">
        <v>3.0444640000000001</v>
      </c>
      <c r="T440">
        <v>-0.22208249999999999</v>
      </c>
      <c r="U440">
        <v>-4.553223E-2</v>
      </c>
      <c r="V440">
        <v>2.8932699999999999E-2</v>
      </c>
      <c r="W440">
        <v>0.11917460000000001</v>
      </c>
      <c r="X440">
        <v>0.99245170000000005</v>
      </c>
      <c r="Y440">
        <v>8.0975739999999997E-3</v>
      </c>
      <c r="Z440">
        <v>2.0430940000000001E-4</v>
      </c>
      <c r="AA440">
        <v>0.99996719999999895</v>
      </c>
      <c r="AB440">
        <v>35</v>
      </c>
      <c r="AC440">
        <v>0.79969999999997299</v>
      </c>
      <c r="AD440">
        <v>-7.3021899999999904E-2</v>
      </c>
      <c r="AE440">
        <v>-1.3800000000003299E-2</v>
      </c>
      <c r="AF440">
        <v>8.2500779086667805E-3</v>
      </c>
      <c r="AG440">
        <v>-7.3021899999999904E-2</v>
      </c>
      <c r="AH440">
        <v>0.79316451051535897</v>
      </c>
      <c r="AI440">
        <v>95.259768327917101</v>
      </c>
      <c r="AJ440">
        <v>89.404061083645601</v>
      </c>
      <c r="AK440">
        <v>0.79656148689613304</v>
      </c>
      <c r="AL440">
        <v>83.155531410728102</v>
      </c>
      <c r="AM440">
        <v>88.330143203861098</v>
      </c>
      <c r="AN440">
        <v>1.0000000316236599</v>
      </c>
    </row>
    <row r="441" spans="1:40" x14ac:dyDescent="0.25">
      <c r="A441" t="str">
        <f>"20190312164002255"</f>
        <v>20190312164002255</v>
      </c>
      <c r="B441" t="str">
        <f>"1552380002246668"</f>
        <v>1552380002246668</v>
      </c>
      <c r="C441" t="s">
        <v>40</v>
      </c>
      <c r="D441">
        <v>5.2263989999999998</v>
      </c>
      <c r="E441">
        <v>0.49483470000000002</v>
      </c>
      <c r="F441" t="s">
        <v>43</v>
      </c>
      <c r="G441">
        <v>-399.911</v>
      </c>
      <c r="H441">
        <v>-0.05</v>
      </c>
      <c r="I441">
        <v>368.15969999999999</v>
      </c>
      <c r="J441">
        <v>-414.5693</v>
      </c>
      <c r="K441">
        <v>1.059588</v>
      </c>
      <c r="L441">
        <v>368.37880000000001</v>
      </c>
      <c r="M441">
        <v>0.99994360000000004</v>
      </c>
      <c r="N441">
        <v>0</v>
      </c>
      <c r="O441">
        <v>-6.8531809999999999E-3</v>
      </c>
      <c r="P441">
        <v>0.99312990000000001</v>
      </c>
      <c r="Q441">
        <v>0.11139309999999999</v>
      </c>
      <c r="R441">
        <v>-3.584234E-2</v>
      </c>
      <c r="S441">
        <v>3.0445859999999998</v>
      </c>
      <c r="T441">
        <v>-0.22513230000000001</v>
      </c>
      <c r="U441">
        <v>-4.4952390000000002E-2</v>
      </c>
      <c r="V441">
        <v>2.903946E-2</v>
      </c>
      <c r="W441">
        <v>0.1194572</v>
      </c>
      <c r="X441">
        <v>0.99241460000000004</v>
      </c>
      <c r="Y441">
        <v>7.9072039999999993E-3</v>
      </c>
      <c r="Z441">
        <v>2.141132E-4</v>
      </c>
      <c r="AA441">
        <v>0.99996870000000004</v>
      </c>
      <c r="AB441">
        <v>35</v>
      </c>
      <c r="AC441">
        <v>14.658299999999899</v>
      </c>
      <c r="AD441">
        <v>-1.109588</v>
      </c>
      <c r="AE441">
        <v>-0.219100000000025</v>
      </c>
      <c r="AF441">
        <v>0.11795980341088699</v>
      </c>
      <c r="AG441">
        <v>-1.109588</v>
      </c>
      <c r="AH441">
        <v>14.575955443310299</v>
      </c>
      <c r="AI441">
        <v>94.353077306444206</v>
      </c>
      <c r="AJ441">
        <v>89.536328759164903</v>
      </c>
      <c r="AK441">
        <v>14.618603802358599</v>
      </c>
      <c r="AL441">
        <v>83.139223081415494</v>
      </c>
      <c r="AM441">
        <v>88.323922416465706</v>
      </c>
      <c r="AN441">
        <v>1.00000002558104</v>
      </c>
    </row>
    <row r="442" spans="1:40" x14ac:dyDescent="0.25">
      <c r="A442" t="str">
        <f>"20190312164002277"</f>
        <v>20190312164002277</v>
      </c>
      <c r="B442" t="str">
        <f>"1552380002267167"</f>
        <v>1552380002267167</v>
      </c>
      <c r="C442" t="s">
        <v>40</v>
      </c>
      <c r="D442">
        <v>5.8138370000000004</v>
      </c>
      <c r="E442">
        <v>0.49461749999999999</v>
      </c>
      <c r="F442" t="s">
        <v>43</v>
      </c>
      <c r="G442">
        <v>-399.89929999999998</v>
      </c>
      <c r="H442">
        <v>-0.05</v>
      </c>
      <c r="I442">
        <v>368.18090000000001</v>
      </c>
      <c r="J442">
        <v>-414.22120000000001</v>
      </c>
      <c r="K442">
        <v>1.0596639999999999</v>
      </c>
      <c r="L442">
        <v>368.37639999999999</v>
      </c>
      <c r="M442">
        <v>0.9999382</v>
      </c>
      <c r="N442">
        <v>0</v>
      </c>
      <c r="O442">
        <v>-6.8530459999999998E-3</v>
      </c>
      <c r="P442">
        <v>0.99316059999999995</v>
      </c>
      <c r="Q442">
        <v>0.1111094</v>
      </c>
      <c r="R442">
        <v>-3.58751E-2</v>
      </c>
      <c r="S442">
        <v>3.045105</v>
      </c>
      <c r="T442">
        <v>-0.23032069999999999</v>
      </c>
      <c r="U442">
        <v>-4.1076660000000001E-2</v>
      </c>
      <c r="V442">
        <v>2.9072279999999999E-2</v>
      </c>
      <c r="W442">
        <v>0.11981509999999999</v>
      </c>
      <c r="X442">
        <v>0.99237050000000004</v>
      </c>
      <c r="Y442">
        <v>6.635798E-3</v>
      </c>
      <c r="Z442">
        <v>2.6700299999999998E-4</v>
      </c>
      <c r="AA442">
        <v>0.99997789999999998</v>
      </c>
      <c r="AB442">
        <v>35</v>
      </c>
      <c r="AC442">
        <v>14.321899999999999</v>
      </c>
      <c r="AD442">
        <v>-1.109664</v>
      </c>
      <c r="AE442">
        <v>-0.19549999999998099</v>
      </c>
      <c r="AF442">
        <v>9.6762235085820505E-2</v>
      </c>
      <c r="AG442">
        <v>-1.109664</v>
      </c>
      <c r="AH442">
        <v>14.2374493655952</v>
      </c>
      <c r="AI442">
        <v>94.456509772651202</v>
      </c>
      <c r="AJ442">
        <v>89.610605650870198</v>
      </c>
      <c r="AK442">
        <v>14.2809552047796</v>
      </c>
      <c r="AL442">
        <v>83.118568625221499</v>
      </c>
      <c r="AM442">
        <v>88.321954694066093</v>
      </c>
      <c r="AN442">
        <v>1.0000000324613201</v>
      </c>
    </row>
    <row r="443" spans="1:40" x14ac:dyDescent="0.25">
      <c r="A443" t="str">
        <f>"20190312164002293"</f>
        <v>20190312164002293</v>
      </c>
      <c r="B443" t="str">
        <f>"1552380002286684"</f>
        <v>1552380002286684</v>
      </c>
      <c r="C443" t="s">
        <v>40</v>
      </c>
      <c r="D443">
        <v>5.3164210000000001</v>
      </c>
      <c r="E443">
        <v>0.49430030000000003</v>
      </c>
      <c r="F443" t="s">
        <v>43</v>
      </c>
      <c r="G443">
        <v>-399.52179999999998</v>
      </c>
      <c r="H443">
        <v>-0.05</v>
      </c>
      <c r="I443">
        <v>368.1884</v>
      </c>
      <c r="J443">
        <v>-413.97699999999998</v>
      </c>
      <c r="K443">
        <v>1.0597179999999999</v>
      </c>
      <c r="L443">
        <v>368.37470000000002</v>
      </c>
      <c r="M443">
        <v>0.99993399999999999</v>
      </c>
      <c r="N443">
        <v>0</v>
      </c>
      <c r="O443">
        <v>-6.8525829999999998E-3</v>
      </c>
      <c r="P443">
        <v>0.99320549999999996</v>
      </c>
      <c r="Q443">
        <v>0.11071780000000001</v>
      </c>
      <c r="R443">
        <v>-3.583998E-2</v>
      </c>
      <c r="S443">
        <v>3.0449830000000002</v>
      </c>
      <c r="T443">
        <v>-0.22986670000000001</v>
      </c>
      <c r="U443">
        <v>-3.8940429999999998E-2</v>
      </c>
      <c r="V443">
        <v>2.9037230000000001E-2</v>
      </c>
      <c r="W443">
        <v>0.1198757</v>
      </c>
      <c r="X443">
        <v>0.99236420000000003</v>
      </c>
      <c r="Y443">
        <v>5.9373350000000002E-3</v>
      </c>
      <c r="Z443">
        <v>2.927828E-4</v>
      </c>
      <c r="AA443">
        <v>0.99998240000000005</v>
      </c>
      <c r="AB443">
        <v>35</v>
      </c>
      <c r="AC443">
        <v>14.4551999999999</v>
      </c>
      <c r="AD443">
        <v>-1.109718</v>
      </c>
      <c r="AE443">
        <v>-0.18630000000001601</v>
      </c>
      <c r="AF443">
        <v>8.6724922794541401E-2</v>
      </c>
      <c r="AG443">
        <v>-1.109718</v>
      </c>
      <c r="AH443">
        <v>14.371452442260001</v>
      </c>
      <c r="AI443">
        <v>94.415356709971505</v>
      </c>
      <c r="AJ443">
        <v>89.654251248431095</v>
      </c>
      <c r="AK443">
        <v>14.4144941136309</v>
      </c>
      <c r="AL443">
        <v>83.115071241376697</v>
      </c>
      <c r="AM443">
        <v>88.323965983289597</v>
      </c>
      <c r="AN443">
        <v>1.0000000248091001</v>
      </c>
    </row>
    <row r="444" spans="1:40" x14ac:dyDescent="0.25">
      <c r="A444" t="str">
        <f>"20190312164002312"</f>
        <v>20190312164002312</v>
      </c>
      <c r="B444" t="str">
        <f>"1552380002307180"</f>
        <v>1552380002307180</v>
      </c>
      <c r="C444" t="s">
        <v>40</v>
      </c>
      <c r="D444">
        <v>5.2530839999999897</v>
      </c>
      <c r="E444">
        <v>0.4940042</v>
      </c>
      <c r="F444" t="s">
        <v>41</v>
      </c>
      <c r="G444">
        <v>-399.8965</v>
      </c>
      <c r="H444" s="1">
        <v>-3.9641580000000001E-7</v>
      </c>
      <c r="I444">
        <v>368.2063</v>
      </c>
      <c r="J444">
        <v>-413.68400000000003</v>
      </c>
      <c r="K444">
        <v>1.059782</v>
      </c>
      <c r="L444">
        <v>368.37270000000001</v>
      </c>
      <c r="M444">
        <v>0.99992910000000002</v>
      </c>
      <c r="N444">
        <v>0</v>
      </c>
      <c r="O444">
        <v>-6.8525679999999999E-3</v>
      </c>
      <c r="P444">
        <v>0.99326999999999999</v>
      </c>
      <c r="Q444">
        <v>0.110113</v>
      </c>
      <c r="R444">
        <v>-3.5917919999999999E-2</v>
      </c>
      <c r="S444">
        <v>3.0448</v>
      </c>
      <c r="T444">
        <v>-0.2291551</v>
      </c>
      <c r="U444">
        <v>-3.6407469999999997E-2</v>
      </c>
      <c r="V444">
        <v>2.911482E-2</v>
      </c>
      <c r="W444">
        <v>0.11979380000000001</v>
      </c>
      <c r="X444">
        <v>0.99237180000000003</v>
      </c>
      <c r="Y444">
        <v>5.108657E-3</v>
      </c>
      <c r="Z444">
        <v>3.2303820000000001E-4</v>
      </c>
      <c r="AA444">
        <v>0.99998690000000001</v>
      </c>
      <c r="AB444">
        <v>35</v>
      </c>
      <c r="AC444">
        <v>13.7875</v>
      </c>
      <c r="AD444">
        <v>-1.0597823964158</v>
      </c>
      <c r="AE444">
        <v>-0.16640000000001001</v>
      </c>
      <c r="AF444">
        <v>7.1489511199665901E-2</v>
      </c>
      <c r="AG444">
        <v>-1.0597823964158</v>
      </c>
      <c r="AH444">
        <v>13.7073413172392</v>
      </c>
      <c r="AI444">
        <v>94.420965345712602</v>
      </c>
      <c r="AJ444">
        <v>89.701181283903793</v>
      </c>
      <c r="AK444">
        <v>13.7484346550892</v>
      </c>
      <c r="AL444">
        <v>83.119797712272003</v>
      </c>
      <c r="AM444">
        <v>88.319502902166505</v>
      </c>
      <c r="AN444">
        <v>1.00000000834865</v>
      </c>
    </row>
    <row r="445" spans="1:40" x14ac:dyDescent="0.25">
      <c r="A445" t="str">
        <f>"20190312164002333"</f>
        <v>20190312164002333</v>
      </c>
      <c r="B445" t="str">
        <f>"1552380002326369"</f>
        <v>1552380002326369</v>
      </c>
      <c r="C445" t="s">
        <v>40</v>
      </c>
      <c r="D445">
        <v>5.2294039999999997</v>
      </c>
      <c r="E445">
        <v>0.49385210000000002</v>
      </c>
      <c r="F445" t="s">
        <v>41</v>
      </c>
      <c r="G445">
        <v>-399.56700000000001</v>
      </c>
      <c r="H445" s="1">
        <v>-5.0633299999999999E-7</v>
      </c>
      <c r="I445">
        <v>368.21480000000003</v>
      </c>
      <c r="J445">
        <v>-413.34809999999999</v>
      </c>
      <c r="K445">
        <v>1.059831</v>
      </c>
      <c r="L445">
        <v>368.37040000000002</v>
      </c>
      <c r="M445">
        <v>0.99992329999999996</v>
      </c>
      <c r="N445">
        <v>0</v>
      </c>
      <c r="O445">
        <v>-6.8522849999999996E-3</v>
      </c>
      <c r="P445">
        <v>0.99326369999999997</v>
      </c>
      <c r="Q445">
        <v>0.11019569999999999</v>
      </c>
      <c r="R445">
        <v>-3.5838599999999998E-2</v>
      </c>
      <c r="S445">
        <v>3.0444339999999999</v>
      </c>
      <c r="T445">
        <v>-0.2285471</v>
      </c>
      <c r="U445">
        <v>-3.4057619999999997E-2</v>
      </c>
      <c r="V445">
        <v>2.9035689999999999E-2</v>
      </c>
      <c r="W445">
        <v>0.12043479999999999</v>
      </c>
      <c r="X445">
        <v>0.99229650000000003</v>
      </c>
      <c r="Y445">
        <v>4.3407330000000003E-3</v>
      </c>
      <c r="Z445">
        <v>3.5098859999999998E-4</v>
      </c>
      <c r="AA445">
        <v>0.9999905</v>
      </c>
      <c r="AB445">
        <v>35</v>
      </c>
      <c r="AC445">
        <v>13.7811</v>
      </c>
      <c r="AD445">
        <v>-1.0598315063329999</v>
      </c>
      <c r="AE445">
        <v>-0.15559999999999199</v>
      </c>
      <c r="AF445">
        <v>6.0799751428311899E-2</v>
      </c>
      <c r="AG445">
        <v>-1.0598315063329999</v>
      </c>
      <c r="AH445">
        <v>13.700821782274099</v>
      </c>
      <c r="AI445">
        <v>94.423281403261001</v>
      </c>
      <c r="AJ445">
        <v>89.745741799967504</v>
      </c>
      <c r="AK445">
        <v>13.741886949805201</v>
      </c>
      <c r="AL445">
        <v>83.0828030700592</v>
      </c>
      <c r="AM445">
        <v>88.323940544557004</v>
      </c>
      <c r="AN445">
        <v>0.99999997812853203</v>
      </c>
    </row>
    <row r="446" spans="1:40" x14ac:dyDescent="0.25">
      <c r="A446" t="str">
        <f>"20190312164002356"</f>
        <v>20190312164002356</v>
      </c>
      <c r="B446" t="str">
        <f>"1552380002346864"</f>
        <v>1552380002346864</v>
      </c>
      <c r="C446" t="s">
        <v>40</v>
      </c>
      <c r="D446">
        <v>5.2738870000000002</v>
      </c>
      <c r="E446">
        <v>0.49361860000000002</v>
      </c>
      <c r="F446" t="s">
        <v>41</v>
      </c>
      <c r="G446">
        <v>-399.3143</v>
      </c>
      <c r="H446" s="1">
        <v>-5.9079959999999995E-7</v>
      </c>
      <c r="I446">
        <v>368.22039999999998</v>
      </c>
      <c r="J446">
        <v>-412.98250000000002</v>
      </c>
      <c r="K446">
        <v>1.0598799999999999</v>
      </c>
      <c r="L446">
        <v>368.36790000000002</v>
      </c>
      <c r="M446">
        <v>0.99991739999999996</v>
      </c>
      <c r="N446">
        <v>0</v>
      </c>
      <c r="O446">
        <v>-6.8524880000000003E-3</v>
      </c>
      <c r="P446">
        <v>0.99331309999999995</v>
      </c>
      <c r="Q446">
        <v>0.1098288</v>
      </c>
      <c r="R446">
        <v>-3.5586680000000002E-2</v>
      </c>
      <c r="S446">
        <v>3.0446780000000002</v>
      </c>
      <c r="T446">
        <v>-0.2299329</v>
      </c>
      <c r="U446">
        <v>-3.2531740000000003E-2</v>
      </c>
      <c r="V446">
        <v>2.8783139999999999E-2</v>
      </c>
      <c r="W446">
        <v>0.1206227</v>
      </c>
      <c r="X446">
        <v>0.99228110000000003</v>
      </c>
      <c r="Y446">
        <v>3.8400040000000002E-3</v>
      </c>
      <c r="Z446">
        <v>3.7198210000000001E-4</v>
      </c>
      <c r="AA446">
        <v>0.99999249999999995</v>
      </c>
      <c r="AB446">
        <v>35</v>
      </c>
      <c r="AC446">
        <v>13.668200000000001</v>
      </c>
      <c r="AD446">
        <v>-1.0598805907995901</v>
      </c>
      <c r="AE446">
        <v>-0.14750000000003599</v>
      </c>
      <c r="AF446">
        <v>5.3508115587197098E-2</v>
      </c>
      <c r="AG446">
        <v>-1.0598805907995901</v>
      </c>
      <c r="AH446">
        <v>13.587199531905799</v>
      </c>
      <c r="AI446">
        <v>94.460337254693698</v>
      </c>
      <c r="AJ446">
        <v>89.774363117517694</v>
      </c>
      <c r="AK446">
        <v>13.6285803040892</v>
      </c>
      <c r="AL446">
        <v>83.071958584214599</v>
      </c>
      <c r="AM446">
        <v>88.338484790715498</v>
      </c>
      <c r="AN446">
        <v>1.0000000431603699</v>
      </c>
    </row>
    <row r="447" spans="1:40" x14ac:dyDescent="0.25">
      <c r="A447" t="str">
        <f>"20190312164002369"</f>
        <v>20190312164002369</v>
      </c>
      <c r="B447" t="str">
        <f>"1552380002356625"</f>
        <v>1552380002356625</v>
      </c>
      <c r="C447" t="s">
        <v>40</v>
      </c>
      <c r="D447">
        <v>5.1910679999999996</v>
      </c>
      <c r="E447">
        <v>0.49352049999999997</v>
      </c>
      <c r="F447" t="s">
        <v>41</v>
      </c>
      <c r="G447">
        <v>-398.94150000000002</v>
      </c>
      <c r="H447" s="1">
        <v>-7.1463809999999898E-7</v>
      </c>
      <c r="I447">
        <v>368.23180000000002</v>
      </c>
      <c r="J447">
        <v>-412.7894</v>
      </c>
      <c r="K447">
        <v>1.059901</v>
      </c>
      <c r="L447">
        <v>368.36660000000001</v>
      </c>
      <c r="M447">
        <v>0.99991459999999999</v>
      </c>
      <c r="N447">
        <v>0</v>
      </c>
      <c r="O447">
        <v>-6.8513200000000002E-3</v>
      </c>
      <c r="P447">
        <v>0.99330929999999995</v>
      </c>
      <c r="Q447">
        <v>0.10988249999999999</v>
      </c>
      <c r="R447">
        <v>-3.5535770000000001E-2</v>
      </c>
      <c r="S447">
        <v>3.0445859999999998</v>
      </c>
      <c r="T447">
        <v>-0.2298191</v>
      </c>
      <c r="U447">
        <v>-2.9510499999999999E-2</v>
      </c>
      <c r="V447">
        <v>2.8733209999999999E-2</v>
      </c>
      <c r="W447">
        <v>0.1209408</v>
      </c>
      <c r="X447">
        <v>0.99224380000000001</v>
      </c>
      <c r="Y447">
        <v>2.8520500000000001E-3</v>
      </c>
      <c r="Z447">
        <v>4.0895910000000001E-4</v>
      </c>
      <c r="AA447">
        <v>0.99999579999999999</v>
      </c>
      <c r="AB447">
        <v>35</v>
      </c>
      <c r="AC447">
        <v>13.8478999999999</v>
      </c>
      <c r="AD447">
        <v>-1.0599017146381</v>
      </c>
      <c r="AE447">
        <v>-0.13479999999998399</v>
      </c>
      <c r="AF447">
        <v>3.9682122347795598E-2</v>
      </c>
      <c r="AG447">
        <v>-1.0599017146381</v>
      </c>
      <c r="AH447">
        <v>13.7678515273091</v>
      </c>
      <c r="AI447">
        <v>94.402146606697698</v>
      </c>
      <c r="AJ447">
        <v>89.834860810901901</v>
      </c>
      <c r="AK447">
        <v>13.8086459145549</v>
      </c>
      <c r="AL447">
        <v>83.0535981982744</v>
      </c>
      <c r="AM447">
        <v>88.341303087408804</v>
      </c>
      <c r="AN447">
        <v>1.00000001654999</v>
      </c>
    </row>
    <row r="448" spans="1:40" x14ac:dyDescent="0.25">
      <c r="A448" t="str">
        <f>"20190312164002388"</f>
        <v>20190312164002388</v>
      </c>
      <c r="B448" t="str">
        <f>"1552380002377120"</f>
        <v>1552380002377120</v>
      </c>
      <c r="C448" t="s">
        <v>40</v>
      </c>
      <c r="D448">
        <v>5.2834089999999998</v>
      </c>
      <c r="E448">
        <v>0.4933382</v>
      </c>
      <c r="F448" t="s">
        <v>42</v>
      </c>
      <c r="G448">
        <v>-411.9008</v>
      </c>
      <c r="H448">
        <v>0.99327580000000004</v>
      </c>
      <c r="I448">
        <v>368.35789999999997</v>
      </c>
      <c r="J448">
        <v>-412.47660000000002</v>
      </c>
      <c r="K448">
        <v>1.059928</v>
      </c>
      <c r="L448">
        <v>368.36439999999999</v>
      </c>
      <c r="M448">
        <v>0.99991010000000002</v>
      </c>
      <c r="N448">
        <v>0</v>
      </c>
      <c r="O448">
        <v>-6.8440200000000001E-3</v>
      </c>
      <c r="P448">
        <v>0.99332900000000002</v>
      </c>
      <c r="Q448">
        <v>0.1096374</v>
      </c>
      <c r="R448">
        <v>-3.57419E-2</v>
      </c>
      <c r="S448">
        <v>3.0444640000000001</v>
      </c>
      <c r="T448">
        <v>-0.22845270000000001</v>
      </c>
      <c r="U448">
        <v>-2.8472899999999999E-2</v>
      </c>
      <c r="V448">
        <v>2.8945430000000001E-2</v>
      </c>
      <c r="W448">
        <v>0.121097</v>
      </c>
      <c r="X448">
        <v>0.99221859999999995</v>
      </c>
      <c r="Y448">
        <v>2.519706E-3</v>
      </c>
      <c r="Z448">
        <v>4.184584E-4</v>
      </c>
      <c r="AA448">
        <v>0.99999669999999896</v>
      </c>
      <c r="AB448">
        <v>35</v>
      </c>
      <c r="AC448">
        <v>0.57580000000001497</v>
      </c>
      <c r="AD448">
        <v>-6.6652199999999995E-2</v>
      </c>
      <c r="AE448">
        <v>-6.5000000000168196E-3</v>
      </c>
      <c r="AF448">
        <v>2.52497023848468E-3</v>
      </c>
      <c r="AG448">
        <v>-6.6652199999999995E-2</v>
      </c>
      <c r="AH448">
        <v>0.56821818377997801</v>
      </c>
      <c r="AI448">
        <v>96.690177620503704</v>
      </c>
      <c r="AJ448">
        <v>89.745398528282706</v>
      </c>
      <c r="AK448">
        <v>0.57211956409282305</v>
      </c>
      <c r="AL448">
        <v>83.044582467124997</v>
      </c>
      <c r="AM448">
        <v>88.329016659251394</v>
      </c>
      <c r="AN448">
        <v>1.00000003575642</v>
      </c>
    </row>
    <row r="449" spans="1:40" x14ac:dyDescent="0.25">
      <c r="A449" t="str">
        <f>"20190312164002400"</f>
        <v>20190312164002400</v>
      </c>
      <c r="B449" t="str">
        <f>"1552380002396641"</f>
        <v>1552380002396641</v>
      </c>
      <c r="C449" t="s">
        <v>40</v>
      </c>
      <c r="D449">
        <v>5.1524089999999996</v>
      </c>
      <c r="E449">
        <v>0.4931837</v>
      </c>
      <c r="F449" t="s">
        <v>42</v>
      </c>
      <c r="G449">
        <v>-411.58179999999999</v>
      </c>
      <c r="H449">
        <v>0.99318870000000004</v>
      </c>
      <c r="I449">
        <v>368.35629999999998</v>
      </c>
      <c r="J449">
        <v>-412.28750000000002</v>
      </c>
      <c r="K449">
        <v>1.059941</v>
      </c>
      <c r="L449">
        <v>368.36309999999997</v>
      </c>
      <c r="M449">
        <v>0.9999074</v>
      </c>
      <c r="N449">
        <v>0</v>
      </c>
      <c r="O449">
        <v>-6.8351530000000001E-3</v>
      </c>
      <c r="P449">
        <v>0.99338550000000003</v>
      </c>
      <c r="Q449">
        <v>0.10918020000000001</v>
      </c>
      <c r="R449">
        <v>-3.5570599999999897E-2</v>
      </c>
      <c r="S449">
        <v>3.0442200000000001</v>
      </c>
      <c r="T449">
        <v>-0.22714719999999999</v>
      </c>
      <c r="U449">
        <v>-2.7374269999999999E-2</v>
      </c>
      <c r="V449">
        <v>2.8781540000000001E-2</v>
      </c>
      <c r="W449">
        <v>0.120866</v>
      </c>
      <c r="X449">
        <v>0.99225149999999995</v>
      </c>
      <c r="Y449">
        <v>2.1692579999999999E-3</v>
      </c>
      <c r="Z449">
        <v>4.2850469999999998E-4</v>
      </c>
      <c r="AA449">
        <v>0.99999760000000004</v>
      </c>
      <c r="AB449">
        <v>35</v>
      </c>
      <c r="AC449">
        <v>0.70570000000003497</v>
      </c>
      <c r="AD449">
        <v>-6.6752300000000098E-2</v>
      </c>
      <c r="AE449">
        <v>-6.7999999999983603E-3</v>
      </c>
      <c r="AF449">
        <v>1.9584187164697498E-3</v>
      </c>
      <c r="AG449">
        <v>-6.6752300000000098E-2</v>
      </c>
      <c r="AH449">
        <v>0.69947218504713504</v>
      </c>
      <c r="AI449">
        <v>95.451342603434696</v>
      </c>
      <c r="AJ449">
        <v>89.839580706475004</v>
      </c>
      <c r="AK449">
        <v>0.702652860674297</v>
      </c>
      <c r="AL449">
        <v>83.057915500080298</v>
      </c>
      <c r="AM449">
        <v>88.338527565047897</v>
      </c>
      <c r="AN449">
        <v>1.0000000031265099</v>
      </c>
    </row>
    <row r="450" spans="1:40" x14ac:dyDescent="0.25">
      <c r="A450" t="str">
        <f>"20190312164002413"</f>
        <v>20190312164002413</v>
      </c>
      <c r="B450" t="str">
        <f>"1552380002406401"</f>
        <v>1552380002406401</v>
      </c>
      <c r="C450" t="s">
        <v>40</v>
      </c>
      <c r="D450">
        <v>5.1914759999999998</v>
      </c>
      <c r="E450">
        <v>0.49310710000000002</v>
      </c>
      <c r="F450" t="s">
        <v>42</v>
      </c>
      <c r="G450">
        <v>-411.28550000000001</v>
      </c>
      <c r="H450">
        <v>0.98550919999999997</v>
      </c>
      <c r="I450">
        <v>368.3546</v>
      </c>
      <c r="J450">
        <v>-412.08139999999997</v>
      </c>
      <c r="K450">
        <v>1.0599559999999999</v>
      </c>
      <c r="L450">
        <v>368.36180000000002</v>
      </c>
      <c r="M450">
        <v>0.99990489999999999</v>
      </c>
      <c r="N450">
        <v>0</v>
      </c>
      <c r="O450">
        <v>-6.8189990000000001E-3</v>
      </c>
      <c r="P450">
        <v>0.99340050000000002</v>
      </c>
      <c r="Q450">
        <v>0.1090057</v>
      </c>
      <c r="R450">
        <v>-3.5688810000000001E-2</v>
      </c>
      <c r="S450">
        <v>3.0439150000000001</v>
      </c>
      <c r="T450">
        <v>-0.226213</v>
      </c>
      <c r="U450">
        <v>-2.5512699999999999E-2</v>
      </c>
      <c r="V450">
        <v>2.891376E-2</v>
      </c>
      <c r="W450">
        <v>0.1209171</v>
      </c>
      <c r="X450">
        <v>0.99224140000000005</v>
      </c>
      <c r="Y450">
        <v>1.5762580000000001E-3</v>
      </c>
      <c r="Z450">
        <v>4.4759770000000001E-4</v>
      </c>
      <c r="AA450">
        <v>0.99999859999999896</v>
      </c>
      <c r="AB450">
        <v>35</v>
      </c>
      <c r="AC450">
        <v>0.79589999999995997</v>
      </c>
      <c r="AD450">
        <v>-7.4446799999999994E-2</v>
      </c>
      <c r="AE450">
        <v>-7.2000000000116398E-3</v>
      </c>
      <c r="AF450">
        <v>1.7568314565801701E-3</v>
      </c>
      <c r="AG450">
        <v>-7.4446799999999994E-2</v>
      </c>
      <c r="AH450">
        <v>0.78902769035447096</v>
      </c>
      <c r="AI450">
        <v>95.390034453787905</v>
      </c>
      <c r="AJ450">
        <v>89.872426706103099</v>
      </c>
      <c r="AK450">
        <v>0.792533979481712</v>
      </c>
      <c r="AL450">
        <v>83.054965845050404</v>
      </c>
      <c r="AM450">
        <v>88.330882226425302</v>
      </c>
      <c r="AN450">
        <v>0.99999997323185297</v>
      </c>
    </row>
    <row r="451" spans="1:40" x14ac:dyDescent="0.25">
      <c r="A451" t="str">
        <f>"20190312164002433"</f>
        <v>20190312164002433</v>
      </c>
      <c r="B451" t="str">
        <f>"1552380002426560"</f>
        <v>1552380002426560</v>
      </c>
      <c r="C451" t="s">
        <v>40</v>
      </c>
      <c r="D451">
        <v>5.2279849999999897</v>
      </c>
      <c r="E451">
        <v>0.49292209999999997</v>
      </c>
      <c r="F451" t="s">
        <v>41</v>
      </c>
      <c r="G451">
        <v>-397.87950000000001</v>
      </c>
      <c r="H451" s="1">
        <v>-1.1352280000000001E-6</v>
      </c>
      <c r="I451">
        <v>368.245</v>
      </c>
      <c r="J451">
        <v>-411.7713</v>
      </c>
      <c r="K451">
        <v>1.0599879999999999</v>
      </c>
      <c r="L451">
        <v>368.3596</v>
      </c>
      <c r="M451">
        <v>0.99990140000000005</v>
      </c>
      <c r="N451">
        <v>0</v>
      </c>
      <c r="O451">
        <v>-6.7806350000000001E-3</v>
      </c>
      <c r="P451">
        <v>0.99338070000000001</v>
      </c>
      <c r="Q451">
        <v>0.1088718</v>
      </c>
      <c r="R451">
        <v>-3.6630650000000001E-2</v>
      </c>
      <c r="S451">
        <v>3.0439449999999999</v>
      </c>
      <c r="T451">
        <v>-0.22718440000000001</v>
      </c>
      <c r="U451">
        <v>-2.502441E-2</v>
      </c>
      <c r="V451">
        <v>2.9890090000000001E-2</v>
      </c>
      <c r="W451">
        <v>0.1210942</v>
      </c>
      <c r="X451">
        <v>0.99219089999999999</v>
      </c>
      <c r="Y451">
        <v>1.454475E-3</v>
      </c>
      <c r="Z451">
        <v>4.5119129999999998E-4</v>
      </c>
      <c r="AA451">
        <v>0.99999890000000002</v>
      </c>
      <c r="AB451">
        <v>35</v>
      </c>
      <c r="AC451">
        <v>13.8917999999999</v>
      </c>
      <c r="AD451">
        <v>-1.059989135228</v>
      </c>
      <c r="AE451">
        <v>-0.114599999999995</v>
      </c>
      <c r="AF451">
        <v>2.02769690317459E-2</v>
      </c>
      <c r="AG451">
        <v>-1.059989135228</v>
      </c>
      <c r="AH451">
        <v>13.8118480935353</v>
      </c>
      <c r="AI451">
        <v>94.388552738989503</v>
      </c>
      <c r="AJ451">
        <v>89.9158849775703</v>
      </c>
      <c r="AK451">
        <v>13.8524776080371</v>
      </c>
      <c r="AL451">
        <v>83.044743851509196</v>
      </c>
      <c r="AM451">
        <v>88.274466926406305</v>
      </c>
      <c r="AN451">
        <v>1.00000000239832</v>
      </c>
    </row>
    <row r="452" spans="1:40" x14ac:dyDescent="0.25">
      <c r="A452" t="str">
        <f>"20190312164002455"</f>
        <v>20190312164002455</v>
      </c>
      <c r="B452" t="str">
        <f>"1552380002447059"</f>
        <v>1552380002447059</v>
      </c>
      <c r="C452" t="s">
        <v>40</v>
      </c>
      <c r="D452">
        <v>5.248424</v>
      </c>
      <c r="E452">
        <v>0.49293989999999999</v>
      </c>
      <c r="F452" t="s">
        <v>41</v>
      </c>
      <c r="G452">
        <v>-397.51069999999999</v>
      </c>
      <c r="H452" s="1">
        <v>-1.29470499999999E-6</v>
      </c>
      <c r="I452">
        <v>368.23790000000002</v>
      </c>
      <c r="J452">
        <v>-411.41980000000001</v>
      </c>
      <c r="K452">
        <v>1.06002</v>
      </c>
      <c r="L452">
        <v>368.35730000000001</v>
      </c>
      <c r="M452">
        <v>0.99989790000000001</v>
      </c>
      <c r="N452">
        <v>0</v>
      </c>
      <c r="O452">
        <v>-6.7136100000000001E-3</v>
      </c>
      <c r="P452">
        <v>0.99337089999999995</v>
      </c>
      <c r="Q452">
        <v>0.1089493</v>
      </c>
      <c r="R452">
        <v>-3.6667190000000002E-2</v>
      </c>
      <c r="S452">
        <v>3.0438230000000002</v>
      </c>
      <c r="T452">
        <v>-0.226246</v>
      </c>
      <c r="U452">
        <v>-2.5970460000000001E-2</v>
      </c>
      <c r="V452">
        <v>2.998731E-2</v>
      </c>
      <c r="W452">
        <v>0.1214851</v>
      </c>
      <c r="X452">
        <v>0.99214020000000003</v>
      </c>
      <c r="Y452">
        <v>1.83125E-3</v>
      </c>
      <c r="Z452">
        <v>4.3039329999999999E-4</v>
      </c>
      <c r="AA452">
        <v>0.99999819999999995</v>
      </c>
      <c r="AB452">
        <v>35</v>
      </c>
      <c r="AC452">
        <v>13.9091</v>
      </c>
      <c r="AD452">
        <v>-1.0600212947050001</v>
      </c>
      <c r="AE452">
        <v>-0.11939999999998401</v>
      </c>
      <c r="AF452">
        <v>2.5859423749825201E-2</v>
      </c>
      <c r="AG452">
        <v>-1.0600212947050001</v>
      </c>
      <c r="AH452">
        <v>13.8292728232752</v>
      </c>
      <c r="AI452">
        <v>94.383174305189698</v>
      </c>
      <c r="AJ452">
        <v>89.892862471253906</v>
      </c>
      <c r="AK452">
        <v>13.8698630373772</v>
      </c>
      <c r="AL452">
        <v>83.022180488453401</v>
      </c>
      <c r="AM452">
        <v>88.268769485954806</v>
      </c>
      <c r="AN452">
        <v>1.00000002236954</v>
      </c>
    </row>
    <row r="453" spans="1:40" x14ac:dyDescent="0.25">
      <c r="A453" t="str">
        <f>"20190312164002477"</f>
        <v>20190312164002477</v>
      </c>
      <c r="B453" t="str">
        <f>"1552380002466580"</f>
        <v>1552380002466580</v>
      </c>
      <c r="C453" t="s">
        <v>40</v>
      </c>
      <c r="D453">
        <v>5.213006</v>
      </c>
      <c r="E453">
        <v>0.49278939999999999</v>
      </c>
      <c r="F453" t="s">
        <v>41</v>
      </c>
      <c r="G453">
        <v>-397.09890000000001</v>
      </c>
      <c r="H453" s="1">
        <v>-1.472311E-6</v>
      </c>
      <c r="I453">
        <v>368.23259999999999</v>
      </c>
      <c r="J453">
        <v>-411.09289999999999</v>
      </c>
      <c r="K453">
        <v>1.0600560000000001</v>
      </c>
      <c r="L453">
        <v>368.35520000000002</v>
      </c>
      <c r="M453">
        <v>0.99989519999999998</v>
      </c>
      <c r="N453">
        <v>0</v>
      </c>
      <c r="O453">
        <v>-6.6246459999999997E-3</v>
      </c>
      <c r="P453">
        <v>0.99334409999999895</v>
      </c>
      <c r="Q453">
        <v>0.1089415</v>
      </c>
      <c r="R453">
        <v>-3.741191E-2</v>
      </c>
      <c r="S453">
        <v>3.043793</v>
      </c>
      <c r="T453">
        <v>-0.22529830000000001</v>
      </c>
      <c r="U453">
        <v>-2.6489260000000001E-2</v>
      </c>
      <c r="V453">
        <v>3.0814040000000001E-2</v>
      </c>
      <c r="W453">
        <v>0.1217331</v>
      </c>
      <c r="X453">
        <v>0.99208439999999998</v>
      </c>
      <c r="Y453">
        <v>2.0896560000000001E-3</v>
      </c>
      <c r="Z453">
        <v>4.1247460000000001E-4</v>
      </c>
      <c r="AA453">
        <v>0.99999769999999999</v>
      </c>
      <c r="AB453">
        <v>35</v>
      </c>
      <c r="AC453">
        <v>13.9939999999999</v>
      </c>
      <c r="AD453">
        <v>-1.0600574723109999</v>
      </c>
      <c r="AE453">
        <v>-0.122600000000034</v>
      </c>
      <c r="AF453">
        <v>2.9713840820188599E-2</v>
      </c>
      <c r="AG453">
        <v>-1.0600574723109999</v>
      </c>
      <c r="AH453">
        <v>13.9146662246575</v>
      </c>
      <c r="AI453">
        <v>94.3565247173442</v>
      </c>
      <c r="AJ453">
        <v>89.877648873725605</v>
      </c>
      <c r="AK453">
        <v>13.9550184844221</v>
      </c>
      <c r="AL453">
        <v>83.007864410584801</v>
      </c>
      <c r="AM453">
        <v>88.220970887756295</v>
      </c>
      <c r="AN453">
        <v>0.99999995471004399</v>
      </c>
    </row>
    <row r="454" spans="1:40" x14ac:dyDescent="0.25">
      <c r="A454" t="str">
        <f>"20190312164002501"</f>
        <v>20190312164002501</v>
      </c>
      <c r="B454" t="str">
        <f>"1552380002496832"</f>
        <v>1552380002496832</v>
      </c>
      <c r="C454" t="s">
        <v>40</v>
      </c>
      <c r="D454">
        <v>5.2454660000000004</v>
      </c>
      <c r="E454">
        <v>0.49272919999999998</v>
      </c>
      <c r="F454" t="s">
        <v>41</v>
      </c>
      <c r="G454">
        <v>-396.7414</v>
      </c>
      <c r="H454" s="1">
        <v>-1.6271930000000001E-6</v>
      </c>
      <c r="I454">
        <v>368.2242</v>
      </c>
      <c r="J454">
        <v>-410.72469999999998</v>
      </c>
      <c r="K454">
        <v>1.0600909999999999</v>
      </c>
      <c r="L454">
        <v>368.35289999999998</v>
      </c>
      <c r="M454">
        <v>0.99989280000000003</v>
      </c>
      <c r="N454">
        <v>0</v>
      </c>
      <c r="O454">
        <v>-6.4948549999999999E-3</v>
      </c>
      <c r="P454">
        <v>0.99331689999999995</v>
      </c>
      <c r="Q454">
        <v>0.10889840000000001</v>
      </c>
      <c r="R454">
        <v>-3.8247610000000001E-2</v>
      </c>
      <c r="S454">
        <v>3.043701</v>
      </c>
      <c r="T454">
        <v>-0.2248182</v>
      </c>
      <c r="U454">
        <v>-2.7771000000000001E-2</v>
      </c>
      <c r="V454">
        <v>3.1771630000000002E-2</v>
      </c>
      <c r="W454">
        <v>0.12193900000000001</v>
      </c>
      <c r="X454">
        <v>0.99202900000000005</v>
      </c>
      <c r="Y454">
        <v>2.6388760000000001E-3</v>
      </c>
      <c r="Z454">
        <v>3.8178129999999998E-4</v>
      </c>
      <c r="AA454">
        <v>0.99999640000000001</v>
      </c>
      <c r="AB454">
        <v>35</v>
      </c>
      <c r="AC454">
        <v>13.9832999999999</v>
      </c>
      <c r="AD454">
        <v>-1.06009262719299</v>
      </c>
      <c r="AE454">
        <v>-0.12869999999998</v>
      </c>
      <c r="AF454">
        <v>3.7653568064939899E-2</v>
      </c>
      <c r="AG454">
        <v>-1.06009262719299</v>
      </c>
      <c r="AH454">
        <v>13.903936837148899</v>
      </c>
      <c r="AI454">
        <v>94.360011608230806</v>
      </c>
      <c r="AJ454">
        <v>89.844836373685197</v>
      </c>
      <c r="AK454">
        <v>13.944341997414</v>
      </c>
      <c r="AL454">
        <v>82.995979309283001</v>
      </c>
      <c r="AM454">
        <v>88.165619868166999</v>
      </c>
      <c r="AN454">
        <v>1.0000000465174199</v>
      </c>
    </row>
    <row r="455" spans="1:40" x14ac:dyDescent="0.25">
      <c r="A455" t="str">
        <f>"20190312164002524"</f>
        <v>20190312164002524</v>
      </c>
      <c r="B455" t="str">
        <f>"1552380002516923"</f>
        <v>1552380002516923</v>
      </c>
      <c r="C455" t="s">
        <v>40</v>
      </c>
      <c r="D455">
        <v>5.1230729999999998</v>
      </c>
      <c r="E455">
        <v>0.49275039999999998</v>
      </c>
      <c r="F455" t="s">
        <v>42</v>
      </c>
      <c r="G455">
        <v>-409.72590000000002</v>
      </c>
      <c r="H455">
        <v>0.98708859999999998</v>
      </c>
      <c r="I455">
        <v>368.34300000000002</v>
      </c>
      <c r="J455">
        <v>-410.35930000000002</v>
      </c>
      <c r="K455">
        <v>1.060122</v>
      </c>
      <c r="L455">
        <v>368.35070000000002</v>
      </c>
      <c r="M455">
        <v>0.99989090000000003</v>
      </c>
      <c r="N455">
        <v>0</v>
      </c>
      <c r="O455">
        <v>-6.3413080000000004E-3</v>
      </c>
      <c r="P455">
        <v>0.99333729999999998</v>
      </c>
      <c r="Q455">
        <v>0.10875120000000001</v>
      </c>
      <c r="R455">
        <v>-3.813341E-2</v>
      </c>
      <c r="S455">
        <v>3.0434269999999999</v>
      </c>
      <c r="T455">
        <v>-0.22254280000000001</v>
      </c>
      <c r="U455">
        <v>-2.972412E-2</v>
      </c>
      <c r="V455">
        <v>3.1803970000000001E-2</v>
      </c>
      <c r="W455">
        <v>0.1220053</v>
      </c>
      <c r="X455">
        <v>0.99201980000000001</v>
      </c>
      <c r="Y455">
        <v>3.4321989999999999E-3</v>
      </c>
      <c r="Z455">
        <v>3.3778299999999997E-4</v>
      </c>
      <c r="AA455">
        <v>0.99999400000000005</v>
      </c>
      <c r="AB455">
        <v>35</v>
      </c>
      <c r="AC455">
        <v>0.63339999999999397</v>
      </c>
      <c r="AD455">
        <v>-7.3033399999999901E-2</v>
      </c>
      <c r="AE455">
        <v>-7.6999999999998103E-3</v>
      </c>
      <c r="AF455">
        <v>3.63458863373415E-3</v>
      </c>
      <c r="AG455">
        <v>-7.3033399999999901E-2</v>
      </c>
      <c r="AH455">
        <v>0.62512629596424696</v>
      </c>
      <c r="AI455">
        <v>96.663536393012095</v>
      </c>
      <c r="AJ455">
        <v>89.666876527493102</v>
      </c>
      <c r="AK455">
        <v>0.62938857127856696</v>
      </c>
      <c r="AL455">
        <v>82.992151939451006</v>
      </c>
      <c r="AM455">
        <v>88.163736932314393</v>
      </c>
      <c r="AN455">
        <v>1.0000000346639399</v>
      </c>
    </row>
    <row r="456" spans="1:40" x14ac:dyDescent="0.25">
      <c r="A456" t="str">
        <f>"20190312164002545"</f>
        <v>20190312164002545</v>
      </c>
      <c r="B456" t="str">
        <f>"1552380002536442"</f>
        <v>1552380002536442</v>
      </c>
      <c r="C456" t="s">
        <v>40</v>
      </c>
      <c r="D456">
        <v>5.1682169999999896</v>
      </c>
      <c r="E456">
        <v>0.4926449</v>
      </c>
      <c r="F456" t="s">
        <v>42</v>
      </c>
      <c r="G456">
        <v>-409.4119</v>
      </c>
      <c r="H456">
        <v>0.99109270000000005</v>
      </c>
      <c r="I456">
        <v>368.3408</v>
      </c>
      <c r="J456">
        <v>-410.03440000000001</v>
      </c>
      <c r="K456">
        <v>1.0601449999999999</v>
      </c>
      <c r="L456">
        <v>368.34879999999998</v>
      </c>
      <c r="M456">
        <v>0.99988960000000005</v>
      </c>
      <c r="N456">
        <v>0</v>
      </c>
      <c r="O456">
        <v>-6.1905440000000001E-3</v>
      </c>
      <c r="P456">
        <v>0.99333419999999895</v>
      </c>
      <c r="Q456">
        <v>0.1088636</v>
      </c>
      <c r="R456">
        <v>-3.7891910000000001E-2</v>
      </c>
      <c r="S456">
        <v>3.0432130000000002</v>
      </c>
      <c r="T456">
        <v>-0.22211649999999999</v>
      </c>
      <c r="U456">
        <v>-3.0090329999999998E-2</v>
      </c>
      <c r="V456">
        <v>3.1708119999999999E-2</v>
      </c>
      <c r="W456">
        <v>0.1222821</v>
      </c>
      <c r="X456">
        <v>0.99198869999999895</v>
      </c>
      <c r="Y456">
        <v>3.7028249999999999E-3</v>
      </c>
      <c r="Z456">
        <v>3.1630960000000001E-4</v>
      </c>
      <c r="AA456">
        <v>0.99999309999999997</v>
      </c>
      <c r="AB456">
        <v>35</v>
      </c>
      <c r="AC456">
        <v>0.62250000000000205</v>
      </c>
      <c r="AD456">
        <v>-6.9052300000000094E-2</v>
      </c>
      <c r="AE456">
        <v>-7.9999999999813502E-3</v>
      </c>
      <c r="AF456">
        <v>4.0954951382603201E-3</v>
      </c>
      <c r="AG456">
        <v>-6.9052300000000094E-2</v>
      </c>
      <c r="AH456">
        <v>0.61497169176286204</v>
      </c>
      <c r="AI456">
        <v>96.406499653596001</v>
      </c>
      <c r="AJ456">
        <v>89.618435904244905</v>
      </c>
      <c r="AK456">
        <v>0.61884988073473401</v>
      </c>
      <c r="AL456">
        <v>82.976172217888006</v>
      </c>
      <c r="AM456">
        <v>88.169209887339406</v>
      </c>
      <c r="AN456">
        <v>0.99999994889101496</v>
      </c>
    </row>
    <row r="457" spans="1:40" x14ac:dyDescent="0.25">
      <c r="A457" t="str">
        <f>"20190312164002566"</f>
        <v>20190312164002566</v>
      </c>
      <c r="B457" t="str">
        <f>"1552380002556942"</f>
        <v>1552380002556942</v>
      </c>
      <c r="C457" t="s">
        <v>40</v>
      </c>
      <c r="D457">
        <v>5.1260629999999896</v>
      </c>
      <c r="E457">
        <v>0.49249120000000002</v>
      </c>
      <c r="F457" t="s">
        <v>42</v>
      </c>
      <c r="G457">
        <v>-409.09410000000003</v>
      </c>
      <c r="H457">
        <v>0.99212429999999996</v>
      </c>
      <c r="I457">
        <v>368.33980000000003</v>
      </c>
      <c r="J457">
        <v>-409.70659999999998</v>
      </c>
      <c r="K457">
        <v>1.0601659999999999</v>
      </c>
      <c r="L457">
        <v>368.34690000000001</v>
      </c>
      <c r="M457">
        <v>0.99988869999999996</v>
      </c>
      <c r="N457">
        <v>0</v>
      </c>
      <c r="O457">
        <v>-6.0291099999999999E-3</v>
      </c>
      <c r="P457">
        <v>0.99327860000000001</v>
      </c>
      <c r="Q457">
        <v>0.1094104</v>
      </c>
      <c r="R457">
        <v>-3.7780500000000002E-2</v>
      </c>
      <c r="S457">
        <v>3.0431520000000001</v>
      </c>
      <c r="T457">
        <v>-0.2203242</v>
      </c>
      <c r="U457">
        <v>-2.835083E-2</v>
      </c>
      <c r="V457">
        <v>3.1754259999999999E-2</v>
      </c>
      <c r="W457">
        <v>0.1229731</v>
      </c>
      <c r="X457">
        <v>0.9919019</v>
      </c>
      <c r="Y457">
        <v>3.2934499999999998E-3</v>
      </c>
      <c r="Z457">
        <v>3.1689860000000002E-4</v>
      </c>
      <c r="AA457">
        <v>0.99999450000000001</v>
      </c>
      <c r="AB457">
        <v>35</v>
      </c>
      <c r="AC457">
        <v>0.61249999999995397</v>
      </c>
      <c r="AD457">
        <v>-6.8041699999999802E-2</v>
      </c>
      <c r="AE457">
        <v>-7.0999999999799002E-3</v>
      </c>
      <c r="AF457">
        <v>3.3651742700051999E-3</v>
      </c>
      <c r="AG457">
        <v>-6.8041699999999802E-2</v>
      </c>
      <c r="AH457">
        <v>0.60506577296924202</v>
      </c>
      <c r="AI457">
        <v>96.416051382694803</v>
      </c>
      <c r="AJ457">
        <v>89.681343246244793</v>
      </c>
      <c r="AK457">
        <v>0.608888813294861</v>
      </c>
      <c r="AL457">
        <v>82.936280455304399</v>
      </c>
      <c r="AM457">
        <v>88.166387300721993</v>
      </c>
      <c r="AN457">
        <v>1.00000004778768</v>
      </c>
    </row>
    <row r="458" spans="1:40" x14ac:dyDescent="0.25">
      <c r="A458" t="str">
        <f>"20190312164002589"</f>
        <v>20190312164002589</v>
      </c>
      <c r="B458" t="str">
        <f>"1552380002576459"</f>
        <v>1552380002576459</v>
      </c>
      <c r="C458" t="s">
        <v>40</v>
      </c>
      <c r="D458">
        <v>5.5533789999999996</v>
      </c>
      <c r="E458">
        <v>0.49242249999999999</v>
      </c>
      <c r="F458" t="s">
        <v>41</v>
      </c>
      <c r="G458">
        <v>-394.85180000000003</v>
      </c>
      <c r="H458" s="1">
        <v>-2.4388900000000002E-6</v>
      </c>
      <c r="I458">
        <v>368.21800000000002</v>
      </c>
      <c r="J458">
        <v>-409.35739999999998</v>
      </c>
      <c r="K458">
        <v>1.0601879999999999</v>
      </c>
      <c r="L458">
        <v>368.34500000000003</v>
      </c>
      <c r="M458">
        <v>0.99988779999999999</v>
      </c>
      <c r="N458">
        <v>0</v>
      </c>
      <c r="O458">
        <v>-5.8513180000000003E-3</v>
      </c>
      <c r="P458">
        <v>0.99326289999999995</v>
      </c>
      <c r="Q458">
        <v>0.1097191</v>
      </c>
      <c r="R458">
        <v>-3.7289599999999999E-2</v>
      </c>
      <c r="S458">
        <v>3.0432130000000002</v>
      </c>
      <c r="T458">
        <v>-0.21718970000000001</v>
      </c>
      <c r="U458">
        <v>-2.6397710000000001E-2</v>
      </c>
      <c r="V458">
        <v>3.1437949999999999E-2</v>
      </c>
      <c r="W458">
        <v>0.1234146</v>
      </c>
      <c r="X458">
        <v>0.99185710000000005</v>
      </c>
      <c r="Y458">
        <v>2.8298450000000001E-3</v>
      </c>
      <c r="Z458">
        <v>3.1624620000000002E-4</v>
      </c>
      <c r="AA458">
        <v>0.99999590000000005</v>
      </c>
      <c r="AB458">
        <v>35</v>
      </c>
      <c r="AC458">
        <v>14.5055999999999</v>
      </c>
      <c r="AD458">
        <v>-1.0601904388900001</v>
      </c>
      <c r="AE458">
        <v>-0.12700000000000899</v>
      </c>
      <c r="AF458">
        <v>4.1889125593479501E-2</v>
      </c>
      <c r="AG458">
        <v>-1.0601904388900001</v>
      </c>
      <c r="AH458">
        <v>14.429022222326401</v>
      </c>
      <c r="AI458">
        <v>94.202309759091193</v>
      </c>
      <c r="AJ458">
        <v>89.833664171806603</v>
      </c>
      <c r="AK458">
        <v>14.4679798437082</v>
      </c>
      <c r="AL458">
        <v>82.910789913818107</v>
      </c>
      <c r="AM458">
        <v>88.184558028922496</v>
      </c>
      <c r="AN458">
        <v>1.00000000750688</v>
      </c>
    </row>
    <row r="459" spans="1:40" x14ac:dyDescent="0.25">
      <c r="A459" t="str">
        <f>"20190312164002611"</f>
        <v>20190312164002611</v>
      </c>
      <c r="B459" t="str">
        <f>"1552380002606715"</f>
        <v>1552380002606715</v>
      </c>
      <c r="C459" t="s">
        <v>40</v>
      </c>
      <c r="D459">
        <v>5.0706540000000002</v>
      </c>
      <c r="E459">
        <v>0.49233290000000002</v>
      </c>
      <c r="F459" t="s">
        <v>41</v>
      </c>
      <c r="G459">
        <v>-394.3603</v>
      </c>
      <c r="H459" s="1">
        <v>-2.6481819999999998E-6</v>
      </c>
      <c r="I459">
        <v>368.22699999999998</v>
      </c>
      <c r="J459">
        <v>-409.00409999999999</v>
      </c>
      <c r="K459">
        <v>1.0602009999999999</v>
      </c>
      <c r="L459">
        <v>368.34309999999999</v>
      </c>
      <c r="M459">
        <v>0.99988719999999998</v>
      </c>
      <c r="N459">
        <v>0</v>
      </c>
      <c r="O459">
        <v>-5.6692829999999998E-3</v>
      </c>
      <c r="P459">
        <v>0.99329330000000005</v>
      </c>
      <c r="Q459">
        <v>0.1092325</v>
      </c>
      <c r="R459">
        <v>-3.790321E-2</v>
      </c>
      <c r="S459">
        <v>3.0432130000000002</v>
      </c>
      <c r="T459">
        <v>-0.21513260000000001</v>
      </c>
      <c r="U459">
        <v>-2.3925780000000001E-2</v>
      </c>
      <c r="V459">
        <v>3.2230839999999997E-2</v>
      </c>
      <c r="W459">
        <v>0.123045</v>
      </c>
      <c r="X459">
        <v>0.99187760000000003</v>
      </c>
      <c r="Y459">
        <v>2.2006450000000002E-3</v>
      </c>
      <c r="Z459">
        <v>3.2261909999999999E-4</v>
      </c>
      <c r="AA459">
        <v>0.99999760000000004</v>
      </c>
      <c r="AB459">
        <v>35</v>
      </c>
      <c r="AC459">
        <v>14.643800000000001</v>
      </c>
      <c r="AD459">
        <v>-1.0602036481820001</v>
      </c>
      <c r="AE459">
        <v>-0.116100000000017</v>
      </c>
      <c r="AF459">
        <v>3.2897827096966301E-2</v>
      </c>
      <c r="AG459">
        <v>-1.0602036481820001</v>
      </c>
      <c r="AH459">
        <v>14.5678674991718</v>
      </c>
      <c r="AI459">
        <v>94.162457879536205</v>
      </c>
      <c r="AJ459">
        <v>89.8706122605942</v>
      </c>
      <c r="AK459">
        <v>14.6064327443791</v>
      </c>
      <c r="AL459">
        <v>82.932129281567498</v>
      </c>
      <c r="AM459">
        <v>88.138841391814694</v>
      </c>
      <c r="AN459">
        <v>1.0000000362269299</v>
      </c>
    </row>
    <row r="460" spans="1:40" x14ac:dyDescent="0.25">
      <c r="A460" t="str">
        <f>"20190312164002635"</f>
        <v>20190312164002635</v>
      </c>
      <c r="B460" t="str">
        <f>"1552380002626394"</f>
        <v>1552380002626394</v>
      </c>
      <c r="C460" t="s">
        <v>40</v>
      </c>
      <c r="D460">
        <v>5.1614800000000001</v>
      </c>
      <c r="E460">
        <v>0.4922454</v>
      </c>
      <c r="F460" t="s">
        <v>41</v>
      </c>
      <c r="G460">
        <v>-393.90230000000003</v>
      </c>
      <c r="H460" s="1">
        <v>-2.846515E-6</v>
      </c>
      <c r="I460">
        <v>368.21640000000002</v>
      </c>
      <c r="J460">
        <v>-408.6474</v>
      </c>
      <c r="K460">
        <v>1.060214</v>
      </c>
      <c r="L460">
        <v>368.34129999999999</v>
      </c>
      <c r="M460">
        <v>0.99988699999999997</v>
      </c>
      <c r="N460">
        <v>0</v>
      </c>
      <c r="O460">
        <v>-5.486561E-3</v>
      </c>
      <c r="P460">
        <v>0.99326999999999999</v>
      </c>
      <c r="Q460">
        <v>0.10928359999999999</v>
      </c>
      <c r="R460">
        <v>-3.8368840000000001E-2</v>
      </c>
      <c r="S460">
        <v>3.0427550000000001</v>
      </c>
      <c r="T460">
        <v>-0.21361169999999999</v>
      </c>
      <c r="U460">
        <v>-2.5512699999999999E-2</v>
      </c>
      <c r="V460">
        <v>3.2876910000000002E-2</v>
      </c>
      <c r="W460">
        <v>0.123195</v>
      </c>
      <c r="X460">
        <v>0.99183770000000004</v>
      </c>
      <c r="Y460">
        <v>2.9037659999999999E-3</v>
      </c>
      <c r="Z460">
        <v>2.8292909999999999E-4</v>
      </c>
      <c r="AA460">
        <v>0.99999579999999999</v>
      </c>
      <c r="AB460">
        <v>35</v>
      </c>
      <c r="AC460">
        <v>14.7450999999999</v>
      </c>
      <c r="AD460">
        <v>-1.0602168465149999</v>
      </c>
      <c r="AE460">
        <v>-0.12489999999996799</v>
      </c>
      <c r="AF460">
        <v>4.3764058698961002E-2</v>
      </c>
      <c r="AG460">
        <v>-1.0602168465149999</v>
      </c>
      <c r="AH460">
        <v>14.6697257256077</v>
      </c>
      <c r="AI460">
        <v>94.133700128106895</v>
      </c>
      <c r="AJ460">
        <v>89.829070531662893</v>
      </c>
      <c r="AK460">
        <v>14.708053165494899</v>
      </c>
      <c r="AL460">
        <v>82.923468492180703</v>
      </c>
      <c r="AM460">
        <v>88.101485021389095</v>
      </c>
      <c r="AN460">
        <v>0.99999996118871803</v>
      </c>
    </row>
    <row r="461" spans="1:40" x14ac:dyDescent="0.25">
      <c r="A461" t="str">
        <f>"20190312164002656"</f>
        <v>20190312164002656</v>
      </c>
      <c r="B461" t="str">
        <f>"1552380002646890"</f>
        <v>1552380002646890</v>
      </c>
      <c r="C461" t="s">
        <v>40</v>
      </c>
      <c r="D461">
        <v>5.1242599999999996</v>
      </c>
      <c r="E461">
        <v>0.49217670000000002</v>
      </c>
      <c r="F461" t="s">
        <v>41</v>
      </c>
      <c r="G461">
        <v>-393.38130000000001</v>
      </c>
      <c r="H461" s="1">
        <v>-3.0719129999999999E-6</v>
      </c>
      <c r="I461">
        <v>368.20589999999999</v>
      </c>
      <c r="J461">
        <v>-408.3184</v>
      </c>
      <c r="K461">
        <v>1.060227</v>
      </c>
      <c r="L461">
        <v>368.33960000000002</v>
      </c>
      <c r="M461">
        <v>0.99988690000000002</v>
      </c>
      <c r="N461">
        <v>0</v>
      </c>
      <c r="O461">
        <v>-5.3192059999999999E-3</v>
      </c>
      <c r="P461">
        <v>0.99322670000000002</v>
      </c>
      <c r="Q461">
        <v>0.109194</v>
      </c>
      <c r="R461">
        <v>-3.972299E-2</v>
      </c>
      <c r="S461">
        <v>3.0425110000000002</v>
      </c>
      <c r="T461">
        <v>-0.2112975</v>
      </c>
      <c r="U461">
        <v>-2.6977540000000001E-2</v>
      </c>
      <c r="V461">
        <v>3.439681E-2</v>
      </c>
      <c r="W461">
        <v>0.12318270000000001</v>
      </c>
      <c r="X461">
        <v>0.99178770000000005</v>
      </c>
      <c r="Y461">
        <v>3.5511290000000001E-3</v>
      </c>
      <c r="Z461">
        <v>2.4583249999999998E-4</v>
      </c>
      <c r="AA461">
        <v>0.99999369999999999</v>
      </c>
      <c r="AB461">
        <v>35</v>
      </c>
      <c r="AC461">
        <v>14.9370999999999</v>
      </c>
      <c r="AD461">
        <v>-1.060230071913</v>
      </c>
      <c r="AE461">
        <v>-0.13370000000003299</v>
      </c>
      <c r="AF461">
        <v>5.3964874194596002E-2</v>
      </c>
      <c r="AG461">
        <v>-1.060230071913</v>
      </c>
      <c r="AH461">
        <v>14.8627258387799</v>
      </c>
      <c r="AI461">
        <v>94.080246410461996</v>
      </c>
      <c r="AJ461">
        <v>89.791966427995604</v>
      </c>
      <c r="AK461">
        <v>14.9005912423558</v>
      </c>
      <c r="AL461">
        <v>82.9241787730585</v>
      </c>
      <c r="AM461">
        <v>88.013685342855197</v>
      </c>
      <c r="AN461">
        <v>0.99999997999437795</v>
      </c>
    </row>
    <row r="462" spans="1:40" x14ac:dyDescent="0.25">
      <c r="A462" t="str">
        <f>"20190312164002679"</f>
        <v>20190312164002679</v>
      </c>
      <c r="B462" t="str">
        <f>"1552380002667384"</f>
        <v>1552380002667384</v>
      </c>
      <c r="C462" t="s">
        <v>40</v>
      </c>
      <c r="D462">
        <v>5.2113269999999998</v>
      </c>
      <c r="E462">
        <v>0.49209459999999999</v>
      </c>
      <c r="F462" t="s">
        <v>41</v>
      </c>
      <c r="G462">
        <v>-392.93700000000001</v>
      </c>
      <c r="H462" s="1">
        <v>-3.266553E-6</v>
      </c>
      <c r="I462">
        <v>368.18310000000002</v>
      </c>
      <c r="J462">
        <v>-407.9794</v>
      </c>
      <c r="K462">
        <v>1.0602339999999999</v>
      </c>
      <c r="L462">
        <v>368.33800000000002</v>
      </c>
      <c r="M462">
        <v>0.99988670000000002</v>
      </c>
      <c r="N462">
        <v>0</v>
      </c>
      <c r="O462">
        <v>-5.1478649999999997E-3</v>
      </c>
      <c r="P462">
        <v>0.99314480000000005</v>
      </c>
      <c r="Q462">
        <v>0.1094026</v>
      </c>
      <c r="R462">
        <v>-4.1168860000000002E-2</v>
      </c>
      <c r="S462">
        <v>3.0422359999999999</v>
      </c>
      <c r="T462">
        <v>-0.2096983</v>
      </c>
      <c r="U462">
        <v>-3.0944820000000001E-2</v>
      </c>
      <c r="V462">
        <v>3.601244E-2</v>
      </c>
      <c r="W462">
        <v>0.1234571</v>
      </c>
      <c r="X462">
        <v>0.99169620000000003</v>
      </c>
      <c r="Y462">
        <v>5.0232590000000004E-3</v>
      </c>
      <c r="Z462">
        <v>1.8152509999999999E-4</v>
      </c>
      <c r="AA462">
        <v>0.99998739999999997</v>
      </c>
      <c r="AB462">
        <v>35</v>
      </c>
      <c r="AC462">
        <v>15.042400000000001</v>
      </c>
      <c r="AD462">
        <v>-1.060237266553</v>
      </c>
      <c r="AE462">
        <v>-0.15489999999999701</v>
      </c>
      <c r="AF462">
        <v>7.7071114364594601E-2</v>
      </c>
      <c r="AG462">
        <v>-1.060237266553</v>
      </c>
      <c r="AH462">
        <v>14.968643455853</v>
      </c>
      <c r="AI462">
        <v>94.051471704424301</v>
      </c>
      <c r="AJ462">
        <v>89.704995942555698</v>
      </c>
      <c r="AK462">
        <v>15.006342989766299</v>
      </c>
      <c r="AL462">
        <v>82.908335683641795</v>
      </c>
      <c r="AM462">
        <v>87.920275835942405</v>
      </c>
      <c r="AN462">
        <v>0.99999995223479998</v>
      </c>
    </row>
    <row r="463" spans="1:40" x14ac:dyDescent="0.25">
      <c r="A463" t="str">
        <f>"20190312164002701"</f>
        <v>20190312164002701</v>
      </c>
      <c r="B463" t="str">
        <f>"1552380002696662"</f>
        <v>1552380002696662</v>
      </c>
      <c r="C463" t="s">
        <v>40</v>
      </c>
      <c r="D463">
        <v>5.2374039999999997</v>
      </c>
      <c r="E463">
        <v>0.49198059999999899</v>
      </c>
      <c r="F463" t="s">
        <v>42</v>
      </c>
      <c r="G463">
        <v>-406.9427</v>
      </c>
      <c r="H463">
        <v>0.98970400000000003</v>
      </c>
      <c r="I463">
        <v>368.3261</v>
      </c>
      <c r="J463">
        <v>-407.6216</v>
      </c>
      <c r="K463">
        <v>1.0602450000000001</v>
      </c>
      <c r="L463">
        <v>368.33629999999999</v>
      </c>
      <c r="M463">
        <v>0.99988679999999996</v>
      </c>
      <c r="N463">
        <v>0</v>
      </c>
      <c r="O463">
        <v>-4.968493E-3</v>
      </c>
      <c r="P463">
        <v>0.99305710000000003</v>
      </c>
      <c r="Q463">
        <v>0.1093652</v>
      </c>
      <c r="R463">
        <v>-4.3323220000000003E-2</v>
      </c>
      <c r="S463">
        <v>3.0421140000000002</v>
      </c>
      <c r="T463">
        <v>-0.20707539999999999</v>
      </c>
      <c r="U463">
        <v>-3.4210209999999998E-2</v>
      </c>
      <c r="V463">
        <v>3.834543E-2</v>
      </c>
      <c r="W463">
        <v>0.1234789</v>
      </c>
      <c r="X463">
        <v>0.99160610000000005</v>
      </c>
      <c r="Y463">
        <v>6.27299E-3</v>
      </c>
      <c r="Z463">
        <v>1.2458590000000001E-4</v>
      </c>
      <c r="AA463">
        <v>0.99998030000000004</v>
      </c>
      <c r="AB463">
        <v>34</v>
      </c>
      <c r="AC463">
        <v>0.67889999999999795</v>
      </c>
      <c r="AD463">
        <v>-7.0540999999999895E-2</v>
      </c>
      <c r="AE463">
        <v>-1.0199999999997499E-2</v>
      </c>
      <c r="AF463">
        <v>6.7535278485736398E-3</v>
      </c>
      <c r="AG463">
        <v>-7.0540999999999895E-2</v>
      </c>
      <c r="AH463">
        <v>0.67169220410610198</v>
      </c>
      <c r="AI463">
        <v>95.994915833327596</v>
      </c>
      <c r="AJ463">
        <v>89.423939117179302</v>
      </c>
      <c r="AK463">
        <v>0.67541991373982702</v>
      </c>
      <c r="AL463">
        <v>82.907077588895305</v>
      </c>
      <c r="AM463">
        <v>87.785474334234195</v>
      </c>
      <c r="AN463">
        <v>1.00000003415215</v>
      </c>
    </row>
    <row r="464" spans="1:40" x14ac:dyDescent="0.25">
      <c r="A464" t="str">
        <f>"20190312164002724"</f>
        <v>20190312164002724</v>
      </c>
      <c r="B464" t="str">
        <f>"1552380002717159"</f>
        <v>1552380002717159</v>
      </c>
      <c r="C464" t="s">
        <v>40</v>
      </c>
      <c r="D464">
        <v>5.253946</v>
      </c>
      <c r="E464">
        <v>0.49187950000000003</v>
      </c>
      <c r="F464" t="s">
        <v>42</v>
      </c>
      <c r="G464">
        <v>-406.62509999999997</v>
      </c>
      <c r="H464">
        <v>0.99336809999999998</v>
      </c>
      <c r="I464">
        <v>368.32319999999999</v>
      </c>
      <c r="J464">
        <v>-407.26179999999999</v>
      </c>
      <c r="K464">
        <v>1.060257</v>
      </c>
      <c r="L464">
        <v>368.3347</v>
      </c>
      <c r="M464">
        <v>0.99988699999999997</v>
      </c>
      <c r="N464">
        <v>0</v>
      </c>
      <c r="O464">
        <v>-4.7888509999999898E-3</v>
      </c>
      <c r="P464">
        <v>0.99290780000000001</v>
      </c>
      <c r="Q464">
        <v>0.1097436</v>
      </c>
      <c r="R464">
        <v>-4.572391E-2</v>
      </c>
      <c r="S464">
        <v>3.0417179999999999</v>
      </c>
      <c r="T464">
        <v>-0.20417250000000001</v>
      </c>
      <c r="U464">
        <v>-4.0039060000000001E-2</v>
      </c>
      <c r="V464">
        <v>4.0924919999999997E-2</v>
      </c>
      <c r="W464">
        <v>0.12390669999999999</v>
      </c>
      <c r="X464">
        <v>0.99144960000000004</v>
      </c>
      <c r="Y464">
        <v>8.3650500000000006E-3</v>
      </c>
      <c r="Z464" s="1">
        <v>4.0680750000000002E-5</v>
      </c>
      <c r="AA464">
        <v>0.99996499999999999</v>
      </c>
      <c r="AB464">
        <v>34</v>
      </c>
      <c r="AC464">
        <v>0.63670000000001803</v>
      </c>
      <c r="AD464">
        <v>-6.6888899999999904E-2</v>
      </c>
      <c r="AE464">
        <v>-1.15000000000122E-2</v>
      </c>
      <c r="AF464">
        <v>8.3582795031464392E-3</v>
      </c>
      <c r="AG464">
        <v>-6.6888899999999904E-2</v>
      </c>
      <c r="AH464">
        <v>0.62979915095113603</v>
      </c>
      <c r="AI464">
        <v>96.061940325923004</v>
      </c>
      <c r="AJ464">
        <v>89.239652790682499</v>
      </c>
      <c r="AK464">
        <v>0.63339636588650705</v>
      </c>
      <c r="AL464">
        <v>82.882376624961097</v>
      </c>
      <c r="AM464">
        <v>87.636294573166595</v>
      </c>
      <c r="AN464">
        <v>1.0000000143610199</v>
      </c>
    </row>
    <row r="465" spans="1:40" x14ac:dyDescent="0.25">
      <c r="A465" t="str">
        <f>"20190312164002745"</f>
        <v>20190312164002745</v>
      </c>
      <c r="B465" t="str">
        <f>"1552380002736679"</f>
        <v>1552380002736679</v>
      </c>
      <c r="C465" t="s">
        <v>40</v>
      </c>
      <c r="D465">
        <v>5.1203279999999998</v>
      </c>
      <c r="E465">
        <v>0.49178169999999999</v>
      </c>
      <c r="F465" t="s">
        <v>41</v>
      </c>
      <c r="G465">
        <v>-391.23079999999999</v>
      </c>
      <c r="H465" s="1">
        <v>-4.0153579999999998E-6</v>
      </c>
      <c r="I465">
        <v>368.0881</v>
      </c>
      <c r="J465">
        <v>-406.94389999999999</v>
      </c>
      <c r="K465">
        <v>1.060265</v>
      </c>
      <c r="L465">
        <v>368.33330000000001</v>
      </c>
      <c r="M465">
        <v>0.99988699999999997</v>
      </c>
      <c r="N465">
        <v>0</v>
      </c>
      <c r="O465">
        <v>-4.6371839999999999E-3</v>
      </c>
      <c r="P465">
        <v>0.99277009999999999</v>
      </c>
      <c r="Q465">
        <v>0.1103341</v>
      </c>
      <c r="R465">
        <v>-4.7265130000000002E-2</v>
      </c>
      <c r="S465">
        <v>3.041534</v>
      </c>
      <c r="T465">
        <v>-0.20116029999999999</v>
      </c>
      <c r="U465">
        <v>-4.6783449999999997E-2</v>
      </c>
      <c r="V465">
        <v>4.2618040000000003E-2</v>
      </c>
      <c r="W465">
        <v>0.12453359999999999</v>
      </c>
      <c r="X465">
        <v>0.99129970000000001</v>
      </c>
      <c r="Y465">
        <v>1.072913E-2</v>
      </c>
      <c r="Z465" s="1">
        <v>-4.8024259999999997E-5</v>
      </c>
      <c r="AA465">
        <v>0.99994240000000001</v>
      </c>
      <c r="AB465">
        <v>34</v>
      </c>
      <c r="AC465">
        <v>15.713099999999899</v>
      </c>
      <c r="AD465">
        <v>-1.0602690153579899</v>
      </c>
      <c r="AE465">
        <v>-0.24520000000001099</v>
      </c>
      <c r="AF465">
        <v>0.17154450496257201</v>
      </c>
      <c r="AG465">
        <v>-1.0602690153579899</v>
      </c>
      <c r="AH465">
        <v>15.642861803404999</v>
      </c>
      <c r="AI465">
        <v>93.877329579005803</v>
      </c>
      <c r="AJ465">
        <v>89.371701784360994</v>
      </c>
      <c r="AK465">
        <v>15.679691428804899</v>
      </c>
      <c r="AL465">
        <v>82.846177460145299</v>
      </c>
      <c r="AM465">
        <v>87.538250985245696</v>
      </c>
      <c r="AN465">
        <v>1.0000000050412401</v>
      </c>
    </row>
    <row r="466" spans="1:40" x14ac:dyDescent="0.25">
      <c r="A466" t="str">
        <f>"20190312164002767"</f>
        <v>20190312164002767</v>
      </c>
      <c r="B466" t="str">
        <f>"1552380002757178"</f>
        <v>1552380002757178</v>
      </c>
      <c r="C466" t="s">
        <v>40</v>
      </c>
      <c r="D466">
        <v>5.1116609999999998</v>
      </c>
      <c r="E466">
        <v>0.4916818</v>
      </c>
      <c r="F466" t="s">
        <v>41</v>
      </c>
      <c r="G466">
        <v>-390.61059999999998</v>
      </c>
      <c r="H466" s="1">
        <v>-4.2854469999999999E-6</v>
      </c>
      <c r="I466">
        <v>368.06529999999998</v>
      </c>
      <c r="J466">
        <v>-406.60570000000001</v>
      </c>
      <c r="K466">
        <v>1.0602590000000001</v>
      </c>
      <c r="L466">
        <v>368.33190000000002</v>
      </c>
      <c r="M466">
        <v>0.99988730000000003</v>
      </c>
      <c r="N466">
        <v>0</v>
      </c>
      <c r="O466">
        <v>-4.4892819999999998E-3</v>
      </c>
      <c r="P466">
        <v>0.99269859999999999</v>
      </c>
      <c r="Q466">
        <v>0.1107809</v>
      </c>
      <c r="R466">
        <v>-4.7720980000000003E-2</v>
      </c>
      <c r="S466">
        <v>3.041382</v>
      </c>
      <c r="T466">
        <v>-0.1974292</v>
      </c>
      <c r="U466">
        <v>-4.9896240000000001E-2</v>
      </c>
      <c r="V466">
        <v>4.3223709999999999E-2</v>
      </c>
      <c r="W466">
        <v>0.12501279999999901</v>
      </c>
      <c r="X466">
        <v>0.99121309999999996</v>
      </c>
      <c r="Y466">
        <v>1.189868E-2</v>
      </c>
      <c r="Z466" s="1">
        <v>-9.4646060000000006E-5</v>
      </c>
      <c r="AA466">
        <v>0.99992919999999996</v>
      </c>
      <c r="AB466">
        <v>34</v>
      </c>
      <c r="AC466">
        <v>15.995100000000001</v>
      </c>
      <c r="AD466">
        <v>-1.060263285447</v>
      </c>
      <c r="AE466">
        <v>-0.26660000000003897</v>
      </c>
      <c r="AF466">
        <v>0.19393154300985199</v>
      </c>
      <c r="AG466">
        <v>-1.060263285447</v>
      </c>
      <c r="AH466">
        <v>15.9261766184016</v>
      </c>
      <c r="AI466">
        <v>93.808485893257995</v>
      </c>
      <c r="AJ466">
        <v>89.302349204541599</v>
      </c>
      <c r="AK466">
        <v>15.962608476009301</v>
      </c>
      <c r="AL466">
        <v>82.818504669351299</v>
      </c>
      <c r="AM466">
        <v>87.5030917308992</v>
      </c>
      <c r="AN466">
        <v>0.99999994944080495</v>
      </c>
    </row>
    <row r="467" spans="1:40" x14ac:dyDescent="0.25">
      <c r="A467" t="str">
        <f>"20190312164002791"</f>
        <v>20190312164002791</v>
      </c>
      <c r="B467" t="str">
        <f>"1552380002786455"</f>
        <v>1552380002786455</v>
      </c>
      <c r="C467" t="s">
        <v>40</v>
      </c>
      <c r="D467">
        <v>4.9248450000000004</v>
      </c>
      <c r="E467">
        <v>0.49168240000000002</v>
      </c>
      <c r="F467" t="s">
        <v>41</v>
      </c>
      <c r="G467">
        <v>-390.00749999999999</v>
      </c>
      <c r="H467" s="1">
        <v>-4.5462249999999998E-6</v>
      </c>
      <c r="I467">
        <v>368.05369999999999</v>
      </c>
      <c r="J467">
        <v>-406.25650000000002</v>
      </c>
      <c r="K467">
        <v>1.0602510000000001</v>
      </c>
      <c r="L467">
        <v>368.33049999999997</v>
      </c>
      <c r="M467">
        <v>0.99988730000000003</v>
      </c>
      <c r="N467">
        <v>0</v>
      </c>
      <c r="O467">
        <v>-4.3562419999999998E-3</v>
      </c>
      <c r="P467">
        <v>0.99271259999999995</v>
      </c>
      <c r="Q467">
        <v>0.1108637</v>
      </c>
      <c r="R467">
        <v>-4.7235699999999999E-2</v>
      </c>
      <c r="S467">
        <v>3.04129</v>
      </c>
      <c r="T467">
        <v>-0.1942711</v>
      </c>
      <c r="U467">
        <v>-5.096436E-2</v>
      </c>
      <c r="V467">
        <v>4.2874740000000001E-2</v>
      </c>
      <c r="W467">
        <v>0.12512400000000001</v>
      </c>
      <c r="X467">
        <v>0.99121429999999999</v>
      </c>
      <c r="Y467">
        <v>1.2382529999999999E-2</v>
      </c>
      <c r="Z467">
        <v>-1.170645E-4</v>
      </c>
      <c r="AA467">
        <v>0.99992329999999996</v>
      </c>
      <c r="AB467">
        <v>34</v>
      </c>
      <c r="AC467">
        <v>16.248999999999999</v>
      </c>
      <c r="AD467">
        <v>-1.0602555462250001</v>
      </c>
      <c r="AE467">
        <v>-0.27679999999998001</v>
      </c>
      <c r="AF467">
        <v>0.20513236615493799</v>
      </c>
      <c r="AG467">
        <v>-1.0602555462250001</v>
      </c>
      <c r="AH467">
        <v>16.1811782526682</v>
      </c>
      <c r="AI467">
        <v>93.748589359974602</v>
      </c>
      <c r="AJ467">
        <v>89.273687671445202</v>
      </c>
      <c r="AK467">
        <v>16.217174561419899</v>
      </c>
      <c r="AL467">
        <v>82.812083491800095</v>
      </c>
      <c r="AM467">
        <v>87.523228503698306</v>
      </c>
      <c r="AN467">
        <v>1.00000002361527</v>
      </c>
    </row>
    <row r="468" spans="1:40" x14ac:dyDescent="0.25">
      <c r="A468" t="str">
        <f>"20190312164002812"</f>
        <v>20190312164002812</v>
      </c>
      <c r="B468" t="str">
        <f>"1552380002806951"</f>
        <v>1552380002806951</v>
      </c>
      <c r="C468" t="s">
        <v>40</v>
      </c>
      <c r="D468">
        <v>4.8872720000000003</v>
      </c>
      <c r="E468">
        <v>0.51189119999999999</v>
      </c>
      <c r="F468" t="s">
        <v>41</v>
      </c>
      <c r="G468">
        <v>-389.48719999999997</v>
      </c>
      <c r="H468" s="1">
        <v>-5.7536409999999898E-7</v>
      </c>
      <c r="I468">
        <v>368.0573</v>
      </c>
      <c r="J468">
        <v>-405.9194</v>
      </c>
      <c r="K468">
        <v>1.0602529999999999</v>
      </c>
      <c r="L468">
        <v>368.32920000000001</v>
      </c>
      <c r="M468">
        <v>0.99988759999999999</v>
      </c>
      <c r="N468">
        <v>0</v>
      </c>
      <c r="O468">
        <v>-4.2494469999999999E-3</v>
      </c>
      <c r="P468">
        <v>0.9927762</v>
      </c>
      <c r="Q468">
        <v>0.1107783</v>
      </c>
      <c r="R468">
        <v>-4.6091319999999998E-2</v>
      </c>
      <c r="S468">
        <v>3.0411069999999998</v>
      </c>
      <c r="T468">
        <v>-0.192276</v>
      </c>
      <c r="U468">
        <v>-4.9530030000000003E-2</v>
      </c>
      <c r="V468">
        <v>4.1841759999999999E-2</v>
      </c>
      <c r="W468">
        <v>0.12506199999999901</v>
      </c>
      <c r="X468">
        <v>0.99126630000000004</v>
      </c>
      <c r="Y468">
        <v>1.2019699999999999E-2</v>
      </c>
      <c r="Z468">
        <v>-1.1115950000000001E-4</v>
      </c>
      <c r="AA468">
        <v>0.99992780000000003</v>
      </c>
      <c r="AB468">
        <v>34</v>
      </c>
      <c r="AC468">
        <v>16.432200000000002</v>
      </c>
      <c r="AD468">
        <v>-1.0602535753641</v>
      </c>
      <c r="AE468">
        <v>-0.27190000000001602</v>
      </c>
      <c r="AF468">
        <v>0.20122505032924201</v>
      </c>
      <c r="AG468">
        <v>-1.0602535753641</v>
      </c>
      <c r="AH468">
        <v>16.365094511287701</v>
      </c>
      <c r="AI468">
        <v>93.706590318680995</v>
      </c>
      <c r="AJ468">
        <v>89.295527128488104</v>
      </c>
      <c r="AK468">
        <v>16.400638631722</v>
      </c>
      <c r="AL468">
        <v>82.815664196484207</v>
      </c>
      <c r="AM468">
        <v>87.582956294876993</v>
      </c>
      <c r="AN468">
        <v>1.00000005711979</v>
      </c>
    </row>
    <row r="469" spans="1:40" x14ac:dyDescent="0.25">
      <c r="A469" t="str">
        <f>"20190312164002835"</f>
        <v>20190312164002835</v>
      </c>
      <c r="B469" t="str">
        <f>"1552380002826471"</f>
        <v>1552380002826471</v>
      </c>
      <c r="C469" t="s">
        <v>40</v>
      </c>
      <c r="D469">
        <v>4.8862589999999999</v>
      </c>
      <c r="E469">
        <v>0.51360709999999998</v>
      </c>
      <c r="F469" t="s">
        <v>41</v>
      </c>
      <c r="G469">
        <v>-388.95060000000001</v>
      </c>
      <c r="H469" s="1">
        <v>-9.937696999999999E-7</v>
      </c>
      <c r="I469">
        <v>367.17110000000002</v>
      </c>
      <c r="J469">
        <v>-405.57350000000002</v>
      </c>
      <c r="K469">
        <v>1.0602389999999999</v>
      </c>
      <c r="L469">
        <v>368.32769999999999</v>
      </c>
      <c r="M469">
        <v>0.99988750000000004</v>
      </c>
      <c r="N469">
        <v>0</v>
      </c>
      <c r="O469">
        <v>-4.1614879999999996E-3</v>
      </c>
      <c r="P469">
        <v>0.99285350000000006</v>
      </c>
      <c r="Q469">
        <v>0.110385</v>
      </c>
      <c r="R469">
        <v>-4.535786E-2</v>
      </c>
      <c r="S469">
        <v>3.0333559999999999</v>
      </c>
      <c r="T469">
        <v>-0.18953100000000001</v>
      </c>
      <c r="U469">
        <v>-0.20700070000000001</v>
      </c>
      <c r="V469">
        <v>4.1201469999999997E-2</v>
      </c>
      <c r="W469">
        <v>0.1246888</v>
      </c>
      <c r="X469">
        <v>0.99134009999999995</v>
      </c>
      <c r="Y469">
        <v>6.3814510000000005E-2</v>
      </c>
      <c r="Z469">
        <v>-1.7299069999999999E-3</v>
      </c>
      <c r="AA469">
        <v>0.99796030000000002</v>
      </c>
      <c r="AB469">
        <v>34</v>
      </c>
      <c r="AC469">
        <v>16.622900000000001</v>
      </c>
      <c r="AD469">
        <v>-1.0602399937697</v>
      </c>
      <c r="AE469">
        <v>-1.1565999999999601</v>
      </c>
      <c r="AF469">
        <v>1.0830221524900701</v>
      </c>
      <c r="AG469">
        <v>-1.0602399937697</v>
      </c>
      <c r="AH469">
        <v>16.560523932987699</v>
      </c>
      <c r="AI469">
        <v>93.655410991757705</v>
      </c>
      <c r="AJ469">
        <v>86.258309139593095</v>
      </c>
      <c r="AK469">
        <v>16.629732371936399</v>
      </c>
      <c r="AL469">
        <v>82.837215451328802</v>
      </c>
      <c r="AM469">
        <v>87.620077596046002</v>
      </c>
      <c r="AN469">
        <v>1.0000000259218</v>
      </c>
    </row>
    <row r="470" spans="1:40" x14ac:dyDescent="0.25">
      <c r="A470" t="str">
        <f>"20190312164002856"</f>
        <v>20190312164002856</v>
      </c>
      <c r="B470" t="str">
        <f>"1552380002846970"</f>
        <v>1552380002846970</v>
      </c>
      <c r="C470" t="s">
        <v>40</v>
      </c>
      <c r="D470">
        <v>4.8603079999999999</v>
      </c>
      <c r="E470">
        <v>0.51425469999999995</v>
      </c>
      <c r="F470" t="s">
        <v>41</v>
      </c>
      <c r="G470">
        <v>-388.43740000000003</v>
      </c>
      <c r="H470" s="1">
        <v>-1.1884750000000001E-6</v>
      </c>
      <c r="I470">
        <v>367.09570000000002</v>
      </c>
      <c r="J470">
        <v>-405.24439999999998</v>
      </c>
      <c r="K470">
        <v>1.060233</v>
      </c>
      <c r="L470">
        <v>368.32650000000001</v>
      </c>
      <c r="M470">
        <v>0.99988770000000005</v>
      </c>
      <c r="N470">
        <v>0</v>
      </c>
      <c r="O470">
        <v>-4.09728E-3</v>
      </c>
      <c r="P470">
        <v>0.99285069999999997</v>
      </c>
      <c r="Q470">
        <v>0.11079840000000001</v>
      </c>
      <c r="R470">
        <v>-4.4403810000000002E-2</v>
      </c>
      <c r="S470">
        <v>3.0325009999999999</v>
      </c>
      <c r="T470">
        <v>-0.1876255</v>
      </c>
      <c r="U470">
        <v>-0.21801760000000001</v>
      </c>
      <c r="V470">
        <v>4.031589E-2</v>
      </c>
      <c r="W470">
        <v>0.125116899999999</v>
      </c>
      <c r="X470">
        <v>0.99132260000000005</v>
      </c>
      <c r="Y470">
        <v>6.7500199999999996E-2</v>
      </c>
      <c r="Z470">
        <v>-1.830541E-3</v>
      </c>
      <c r="AA470">
        <v>0.99771759999999998</v>
      </c>
      <c r="AB470">
        <v>34</v>
      </c>
      <c r="AC470">
        <v>16.806999999999899</v>
      </c>
      <c r="AD470">
        <v>-1.060234188475</v>
      </c>
      <c r="AE470">
        <v>-1.2307999999999799</v>
      </c>
      <c r="AF470">
        <v>1.1573385204775599</v>
      </c>
      <c r="AG470">
        <v>-1.060234188475</v>
      </c>
      <c r="AH470">
        <v>16.745619436075199</v>
      </c>
      <c r="AI470">
        <v>93.614197689807696</v>
      </c>
      <c r="AJ470">
        <v>86.046408742046793</v>
      </c>
      <c r="AK470">
        <v>16.8190160022295</v>
      </c>
      <c r="AL470">
        <v>82.812493729611603</v>
      </c>
      <c r="AM470">
        <v>87.671133389692997</v>
      </c>
      <c r="AN470">
        <v>1.00000005346142</v>
      </c>
    </row>
    <row r="471" spans="1:40" x14ac:dyDescent="0.25">
      <c r="A471" t="str">
        <f>"20190312164002879"</f>
        <v>20190312164002879</v>
      </c>
      <c r="B471" t="str">
        <f>"1552380002866487"</f>
        <v>1552380002866487</v>
      </c>
      <c r="C471" t="s">
        <v>40</v>
      </c>
      <c r="D471">
        <v>4.9361290000000002</v>
      </c>
      <c r="E471">
        <v>0.51527049999999996</v>
      </c>
      <c r="F471" t="s">
        <v>41</v>
      </c>
      <c r="G471">
        <v>-387.8451</v>
      </c>
      <c r="H471" s="1">
        <v>-1.3991549999999999E-6</v>
      </c>
      <c r="I471">
        <v>367.06139999999999</v>
      </c>
      <c r="J471">
        <v>-404.9085</v>
      </c>
      <c r="K471">
        <v>1.06023</v>
      </c>
      <c r="L471">
        <v>368.32510000000002</v>
      </c>
      <c r="M471">
        <v>0.99988759999999999</v>
      </c>
      <c r="N471">
        <v>0</v>
      </c>
      <c r="O471">
        <v>-4.0463440000000003E-3</v>
      </c>
      <c r="P471">
        <v>0.99288299999999996</v>
      </c>
      <c r="Q471">
        <v>0.11078300000000001</v>
      </c>
      <c r="R471">
        <v>-4.3710989999999998E-2</v>
      </c>
      <c r="S471">
        <v>3.0323790000000002</v>
      </c>
      <c r="T471">
        <v>-0.1847782</v>
      </c>
      <c r="U471">
        <v>-0.22045899999999999</v>
      </c>
      <c r="V471">
        <v>3.9677579999999997E-2</v>
      </c>
      <c r="W471">
        <v>0.125115</v>
      </c>
      <c r="X471">
        <v>0.99134860000000002</v>
      </c>
      <c r="Y471">
        <v>6.8354940000000003E-2</v>
      </c>
      <c r="Z471">
        <v>-1.831914E-3</v>
      </c>
      <c r="AA471">
        <v>0.99765939999999997</v>
      </c>
      <c r="AB471">
        <v>34</v>
      </c>
      <c r="AC471">
        <v>17.063400000000001</v>
      </c>
      <c r="AD471">
        <v>-1.0602313991550001</v>
      </c>
      <c r="AE471">
        <v>-1.26370000000002</v>
      </c>
      <c r="AF471">
        <v>1.19006859132582</v>
      </c>
      <c r="AG471">
        <v>-1.0602313991550001</v>
      </c>
      <c r="AH471">
        <v>17.0030878142597</v>
      </c>
      <c r="AI471">
        <v>93.559386475128505</v>
      </c>
      <c r="AJ471">
        <v>85.996321857546704</v>
      </c>
      <c r="AK471">
        <v>17.077627150492599</v>
      </c>
      <c r="AL471">
        <v>82.812603502118407</v>
      </c>
      <c r="AM471">
        <v>87.708026079478998</v>
      </c>
      <c r="AN471">
        <v>1.0000000601507999</v>
      </c>
    </row>
    <row r="472" spans="1:40" x14ac:dyDescent="0.25">
      <c r="A472" t="str">
        <f>"20190312164002902"</f>
        <v>20190312164002902</v>
      </c>
      <c r="B472" t="str">
        <f>"1552380002896743"</f>
        <v>1552380002896743</v>
      </c>
      <c r="C472" t="s">
        <v>40</v>
      </c>
      <c r="D472">
        <v>4.7627100000000002</v>
      </c>
      <c r="E472">
        <v>0.51548989999999995</v>
      </c>
      <c r="F472" t="s">
        <v>42</v>
      </c>
      <c r="G472">
        <v>-403.88409999999999</v>
      </c>
      <c r="H472">
        <v>0.99767039999999996</v>
      </c>
      <c r="I472">
        <v>368.2482</v>
      </c>
      <c r="J472">
        <v>-404.54730000000001</v>
      </c>
      <c r="K472">
        <v>1.060227</v>
      </c>
      <c r="L472">
        <v>368.32369999999997</v>
      </c>
      <c r="M472">
        <v>0.99988759999999999</v>
      </c>
      <c r="N472">
        <v>0</v>
      </c>
      <c r="O472">
        <v>-4.0028449999999997E-3</v>
      </c>
      <c r="P472">
        <v>0.99287020000000004</v>
      </c>
      <c r="Q472">
        <v>0.1108606</v>
      </c>
      <c r="R472">
        <v>-4.3804040000000002E-2</v>
      </c>
      <c r="S472">
        <v>3.0322269999999998</v>
      </c>
      <c r="T472">
        <v>-0.1854953</v>
      </c>
      <c r="U472">
        <v>-0.2263184</v>
      </c>
      <c r="V472">
        <v>3.9816570000000003E-2</v>
      </c>
      <c r="W472">
        <v>0.12520439999999999</v>
      </c>
      <c r="X472">
        <v>0.99133170000000004</v>
      </c>
      <c r="Y472">
        <v>7.0314619999999994E-2</v>
      </c>
      <c r="Z472">
        <v>-1.9014290000000001E-3</v>
      </c>
      <c r="AA472">
        <v>0.9975231</v>
      </c>
      <c r="AB472">
        <v>34</v>
      </c>
      <c r="AC472">
        <v>0.663200000000017</v>
      </c>
      <c r="AD472">
        <v>-6.2556600000000004E-2</v>
      </c>
      <c r="AE472">
        <v>-7.5499999999976794E-2</v>
      </c>
      <c r="AF472">
        <v>7.2210176861670902E-2</v>
      </c>
      <c r="AG472">
        <v>-6.2556600000000004E-2</v>
      </c>
      <c r="AH472">
        <v>0.657719884873191</v>
      </c>
      <c r="AI472">
        <v>95.4008742630878</v>
      </c>
      <c r="AJ472">
        <v>83.734666593819298</v>
      </c>
      <c r="AK472">
        <v>0.664622513012882</v>
      </c>
      <c r="AL472">
        <v>82.807440373625596</v>
      </c>
      <c r="AM472">
        <v>87.699966766983394</v>
      </c>
      <c r="AN472">
        <v>1.0000000202254</v>
      </c>
    </row>
    <row r="473" spans="1:40" x14ac:dyDescent="0.25">
      <c r="A473" t="str">
        <f>"20190312164002927"</f>
        <v>20190312164002927</v>
      </c>
      <c r="B473" t="str">
        <f>"1552380002917239"</f>
        <v>1552380002917239</v>
      </c>
      <c r="C473" t="s">
        <v>40</v>
      </c>
      <c r="D473">
        <v>4.7605690000000003</v>
      </c>
      <c r="E473">
        <v>0.51550779999999996</v>
      </c>
      <c r="F473" t="s">
        <v>42</v>
      </c>
      <c r="G473">
        <v>-403.57749999999999</v>
      </c>
      <c r="H473">
        <v>1.0009999999999999</v>
      </c>
      <c r="I473">
        <v>368.25060000000002</v>
      </c>
      <c r="J473">
        <v>-404.1918</v>
      </c>
      <c r="K473">
        <v>1.060222</v>
      </c>
      <c r="L473">
        <v>368.32240000000002</v>
      </c>
      <c r="M473">
        <v>0.99988750000000004</v>
      </c>
      <c r="N473">
        <v>0</v>
      </c>
      <c r="O473">
        <v>-3.9651180000000001E-3</v>
      </c>
      <c r="P473">
        <v>0.99292879999999994</v>
      </c>
      <c r="Q473">
        <v>0.1103942</v>
      </c>
      <c r="R473">
        <v>-4.3651370000000002E-2</v>
      </c>
      <c r="S473">
        <v>3.0321660000000001</v>
      </c>
      <c r="T473">
        <v>-0.1851846</v>
      </c>
      <c r="U473">
        <v>-0.22872919999999999</v>
      </c>
      <c r="V473">
        <v>3.9702990000000001E-2</v>
      </c>
      <c r="W473">
        <v>0.1247484</v>
      </c>
      <c r="X473">
        <v>0.99139370000000004</v>
      </c>
      <c r="Y473">
        <v>7.1141250000000003E-2</v>
      </c>
      <c r="Z473">
        <v>-1.9257149999999999E-3</v>
      </c>
      <c r="AA473">
        <v>0.99746440000000003</v>
      </c>
      <c r="AB473">
        <v>34</v>
      </c>
      <c r="AC473">
        <v>0.61430000000001395</v>
      </c>
      <c r="AD473">
        <v>-5.9222000000000101E-2</v>
      </c>
      <c r="AE473">
        <v>-7.1799999999996006E-2</v>
      </c>
      <c r="AF473">
        <v>6.8733207820110401E-2</v>
      </c>
      <c r="AG473">
        <v>-5.9222000000000101E-2</v>
      </c>
      <c r="AH473">
        <v>0.60899613399416996</v>
      </c>
      <c r="AI473">
        <v>95.519455846522106</v>
      </c>
      <c r="AJ473">
        <v>83.5606685033096</v>
      </c>
      <c r="AK473">
        <v>0.61571729743534698</v>
      </c>
      <c r="AL473">
        <v>82.833773416698605</v>
      </c>
      <c r="AM473">
        <v>87.706664059303407</v>
      </c>
      <c r="AN473">
        <v>0.99999997955859399</v>
      </c>
    </row>
    <row r="474" spans="1:40" x14ac:dyDescent="0.25">
      <c r="A474" t="str">
        <f>"20190312164002946"</f>
        <v>20190312164002946</v>
      </c>
      <c r="B474" t="str">
        <f>"1552380002936759"</f>
        <v>1552380002936759</v>
      </c>
      <c r="C474" t="s">
        <v>40</v>
      </c>
      <c r="D474">
        <v>4.9658620000000004</v>
      </c>
      <c r="E474">
        <v>0.51556429999999998</v>
      </c>
      <c r="F474" t="s">
        <v>42</v>
      </c>
      <c r="G474">
        <v>-403.26670000000001</v>
      </c>
      <c r="H474">
        <v>1.003342</v>
      </c>
      <c r="I474">
        <v>368.25229999999999</v>
      </c>
      <c r="J474">
        <v>-403.88560000000001</v>
      </c>
      <c r="K474">
        <v>1.0602259999999999</v>
      </c>
      <c r="L474">
        <v>368.32119999999998</v>
      </c>
      <c r="M474">
        <v>0.99988759999999999</v>
      </c>
      <c r="N474">
        <v>0</v>
      </c>
      <c r="O474">
        <v>-3.9338849999999998E-3</v>
      </c>
      <c r="P474">
        <v>0.99295900000000004</v>
      </c>
      <c r="Q474">
        <v>0.1100704</v>
      </c>
      <c r="R474">
        <v>-4.3783429999999998E-2</v>
      </c>
      <c r="S474">
        <v>3.0320429999999998</v>
      </c>
      <c r="T474">
        <v>-0.18661829999999999</v>
      </c>
      <c r="U474">
        <v>-0.22897339999999999</v>
      </c>
      <c r="V474">
        <v>3.9867029999999998E-2</v>
      </c>
      <c r="W474">
        <v>0.1244318</v>
      </c>
      <c r="X474">
        <v>0.9914269</v>
      </c>
      <c r="Y474">
        <v>7.1253049999999998E-2</v>
      </c>
      <c r="Z474">
        <v>-1.9460180000000001E-3</v>
      </c>
      <c r="AA474">
        <v>0.99745640000000002</v>
      </c>
      <c r="AB474">
        <v>34</v>
      </c>
      <c r="AC474">
        <v>0.61889999999999601</v>
      </c>
      <c r="AD474">
        <v>-5.6884000000000101E-2</v>
      </c>
      <c r="AE474">
        <v>-6.8899999999985001E-2</v>
      </c>
      <c r="AF474">
        <v>6.5914519971161101E-2</v>
      </c>
      <c r="AG474">
        <v>-5.6884000000000101E-2</v>
      </c>
      <c r="AH474">
        <v>0.61404252820616301</v>
      </c>
      <c r="AI474">
        <v>95.262628546553401</v>
      </c>
      <c r="AJ474">
        <v>83.873034682812801</v>
      </c>
      <c r="AK474">
        <v>0.62018444018279295</v>
      </c>
      <c r="AL474">
        <v>82.852055681887705</v>
      </c>
      <c r="AM474">
        <v>87.697275942781701</v>
      </c>
      <c r="AN474">
        <v>0.99999997548793496</v>
      </c>
    </row>
    <row r="475" spans="1:40" x14ac:dyDescent="0.25">
      <c r="A475" t="str">
        <f>"20190312164002967"</f>
        <v>20190312164002967</v>
      </c>
      <c r="B475" t="str">
        <f>"1552380002956279"</f>
        <v>1552380002956279</v>
      </c>
      <c r="C475" t="s">
        <v>40</v>
      </c>
      <c r="D475">
        <v>4.7335479999999999</v>
      </c>
      <c r="E475">
        <v>0.51565090000000002</v>
      </c>
      <c r="F475" t="s">
        <v>41</v>
      </c>
      <c r="G475">
        <v>-386.3954</v>
      </c>
      <c r="H475" s="1">
        <v>-1.9937029999999999E-6</v>
      </c>
      <c r="I475">
        <v>366.99459999999999</v>
      </c>
      <c r="J475">
        <v>-403.55270000000002</v>
      </c>
      <c r="K475">
        <v>1.0602279999999999</v>
      </c>
      <c r="L475">
        <v>368.31990000000002</v>
      </c>
      <c r="M475">
        <v>0.99988770000000005</v>
      </c>
      <c r="N475">
        <v>0</v>
      </c>
      <c r="O475">
        <v>-3.8997709999999998E-3</v>
      </c>
      <c r="P475">
        <v>0.99302820000000003</v>
      </c>
      <c r="Q475">
        <v>0.10945439999999999</v>
      </c>
      <c r="R475">
        <v>-4.3762179999999998E-2</v>
      </c>
      <c r="S475">
        <v>3.0314939999999999</v>
      </c>
      <c r="T475">
        <v>-0.1837637</v>
      </c>
      <c r="U475">
        <v>-0.2299194</v>
      </c>
      <c r="V475">
        <v>3.9880390000000002E-2</v>
      </c>
      <c r="W475">
        <v>0.1238229</v>
      </c>
      <c r="X475">
        <v>0.99150260000000001</v>
      </c>
      <c r="Y475">
        <v>7.1613250000000003E-2</v>
      </c>
      <c r="Z475">
        <v>-1.929584E-3</v>
      </c>
      <c r="AA475">
        <v>0.99743059999999995</v>
      </c>
      <c r="AB475">
        <v>34</v>
      </c>
      <c r="AC475">
        <v>17.157299999999999</v>
      </c>
      <c r="AD475">
        <v>-1.060229993703</v>
      </c>
      <c r="AE475">
        <v>-1.3253000000000199</v>
      </c>
      <c r="AF475">
        <v>1.25361473401487</v>
      </c>
      <c r="AG475">
        <v>-1.060229993703</v>
      </c>
      <c r="AH475">
        <v>17.097437662000299</v>
      </c>
      <c r="AI475">
        <v>93.538951676052804</v>
      </c>
      <c r="AJ475">
        <v>85.806475057946699</v>
      </c>
      <c r="AK475">
        <v>17.176088383181799</v>
      </c>
      <c r="AL475">
        <v>82.887215034189893</v>
      </c>
      <c r="AM475">
        <v>87.696680778385797</v>
      </c>
      <c r="AN475">
        <v>0.99999998093886</v>
      </c>
    </row>
    <row r="476" spans="1:40" x14ac:dyDescent="0.25">
      <c r="A476" t="str">
        <f>"20190312164002979"</f>
        <v>20190312164002979</v>
      </c>
      <c r="B476" t="str">
        <f>"1552380002976776"</f>
        <v>1552380002976776</v>
      </c>
      <c r="C476" t="s">
        <v>40</v>
      </c>
      <c r="D476">
        <v>4.9417450000000001</v>
      </c>
      <c r="E476">
        <v>0.51583279999999998</v>
      </c>
      <c r="F476" t="s">
        <v>41</v>
      </c>
      <c r="G476">
        <v>-385.99369999999999</v>
      </c>
      <c r="H476" s="1">
        <v>-2.1679570000000001E-6</v>
      </c>
      <c r="I476">
        <v>366.9837</v>
      </c>
      <c r="J476">
        <v>-403.37790000000001</v>
      </c>
      <c r="K476">
        <v>1.0602309999999999</v>
      </c>
      <c r="L476">
        <v>368.3193</v>
      </c>
      <c r="M476">
        <v>0.99988779999999999</v>
      </c>
      <c r="N476">
        <v>0</v>
      </c>
      <c r="O476">
        <v>-3.881457E-3</v>
      </c>
      <c r="P476">
        <v>0.99304360000000003</v>
      </c>
      <c r="Q476">
        <v>0.109297699999999</v>
      </c>
      <c r="R476">
        <v>-4.3801619999999999E-2</v>
      </c>
      <c r="S476">
        <v>3.0310670000000002</v>
      </c>
      <c r="T476">
        <v>-0.18301890000000001</v>
      </c>
      <c r="U476">
        <v>-0.23065189999999999</v>
      </c>
      <c r="V476">
        <v>3.9938349999999997E-2</v>
      </c>
      <c r="W476">
        <v>0.1236696</v>
      </c>
      <c r="X476">
        <v>0.99151940000000005</v>
      </c>
      <c r="Y476">
        <v>7.1882199999999993E-2</v>
      </c>
      <c r="Z476">
        <v>-1.9312330000000001E-3</v>
      </c>
      <c r="AA476">
        <v>0.9974113</v>
      </c>
      <c r="AB476">
        <v>34</v>
      </c>
      <c r="AC476">
        <v>17.3842</v>
      </c>
      <c r="AD476">
        <v>-1.0602331679569901</v>
      </c>
      <c r="AE476">
        <v>-1.3355999999999899</v>
      </c>
      <c r="AF476">
        <v>1.2634349836060701</v>
      </c>
      <c r="AG476">
        <v>-1.0602331679569901</v>
      </c>
      <c r="AH476">
        <v>17.325189435040699</v>
      </c>
      <c r="AI476">
        <v>93.492656635615404</v>
      </c>
      <c r="AJ476">
        <v>85.829103194003196</v>
      </c>
      <c r="AK476">
        <v>17.403521232448401</v>
      </c>
      <c r="AL476">
        <v>82.896066512404204</v>
      </c>
      <c r="AM476">
        <v>87.693375913351105</v>
      </c>
      <c r="AN476">
        <v>0.99999998117062106</v>
      </c>
    </row>
    <row r="477" spans="1:40" x14ac:dyDescent="0.25">
      <c r="A477" t="str">
        <f>"20190312164003003"</f>
        <v>20190312164003003</v>
      </c>
      <c r="B477" t="str">
        <f>"1552380002996295"</f>
        <v>1552380002996295</v>
      </c>
      <c r="C477" t="s">
        <v>40</v>
      </c>
      <c r="D477">
        <v>5.0519259999999999</v>
      </c>
      <c r="E477">
        <v>0.51604659999999902</v>
      </c>
      <c r="F477" t="s">
        <v>42</v>
      </c>
      <c r="G477">
        <v>-402.36689999999999</v>
      </c>
      <c r="H477">
        <v>0.99956540000000005</v>
      </c>
      <c r="I477">
        <v>368.24180000000001</v>
      </c>
      <c r="J477">
        <v>-403.0308</v>
      </c>
      <c r="K477">
        <v>1.0602279999999999</v>
      </c>
      <c r="L477">
        <v>368.31799999999998</v>
      </c>
      <c r="M477">
        <v>0.99988779999999999</v>
      </c>
      <c r="N477">
        <v>0</v>
      </c>
      <c r="O477">
        <v>-3.8439770000000002E-3</v>
      </c>
      <c r="P477">
        <v>0.99310520000000002</v>
      </c>
      <c r="Q477">
        <v>0.1087762</v>
      </c>
      <c r="R477">
        <v>-4.3703880000000001E-2</v>
      </c>
      <c r="S477">
        <v>3.0308229999999998</v>
      </c>
      <c r="T477">
        <v>-0.18190590000000001</v>
      </c>
      <c r="U477">
        <v>-0.23217769999999999</v>
      </c>
      <c r="V477">
        <v>3.9878259999999999E-2</v>
      </c>
      <c r="W477">
        <v>0.12315329999999999</v>
      </c>
      <c r="X477">
        <v>0.99158610000000003</v>
      </c>
      <c r="Y477">
        <v>7.2425340000000005E-2</v>
      </c>
      <c r="Z477">
        <v>-1.938132E-3</v>
      </c>
      <c r="AA477">
        <v>0.99737200000000004</v>
      </c>
      <c r="AB477">
        <v>34</v>
      </c>
      <c r="AC477">
        <v>0.66390000000001204</v>
      </c>
      <c r="AD477">
        <v>-6.0662600000000101E-2</v>
      </c>
      <c r="AE477">
        <v>-7.6200000000028398E-2</v>
      </c>
      <c r="AF477">
        <v>7.3045224902347897E-2</v>
      </c>
      <c r="AG477">
        <v>-6.0662600000000101E-2</v>
      </c>
      <c r="AH477">
        <v>0.65875953688475497</v>
      </c>
      <c r="AI477">
        <v>95.229436436983306</v>
      </c>
      <c r="AJ477">
        <v>83.672719751510101</v>
      </c>
      <c r="AK477">
        <v>0.66556718921263802</v>
      </c>
      <c r="AL477">
        <v>82.925876352173802</v>
      </c>
      <c r="AM477">
        <v>87.696997405425094</v>
      </c>
      <c r="AN477">
        <v>1.0000000023173601</v>
      </c>
    </row>
    <row r="478" spans="1:40" x14ac:dyDescent="0.25">
      <c r="A478" t="str">
        <f>"20190312164003013"</f>
        <v>20190312164003013</v>
      </c>
      <c r="B478" t="str">
        <f>"1552380003007032"</f>
        <v>1552380003007032</v>
      </c>
      <c r="C478" t="s">
        <v>40</v>
      </c>
      <c r="D478">
        <v>4.946644</v>
      </c>
      <c r="E478">
        <v>0.51611569999999996</v>
      </c>
      <c r="F478" t="s">
        <v>42</v>
      </c>
      <c r="G478">
        <v>-402.06020000000001</v>
      </c>
      <c r="H478">
        <v>1.003112</v>
      </c>
      <c r="I478">
        <v>368.24279999999999</v>
      </c>
      <c r="J478">
        <v>-402.85140000000001</v>
      </c>
      <c r="K478">
        <v>1.06023</v>
      </c>
      <c r="L478">
        <v>368.31729999999999</v>
      </c>
      <c r="M478">
        <v>0.99988779999999999</v>
      </c>
      <c r="N478">
        <v>0</v>
      </c>
      <c r="O478">
        <v>-3.8239810000000002E-3</v>
      </c>
      <c r="P478">
        <v>0.9931567</v>
      </c>
      <c r="Q478">
        <v>0.10829320000000001</v>
      </c>
      <c r="R478">
        <v>-4.3733710000000002E-2</v>
      </c>
      <c r="S478">
        <v>3.03009</v>
      </c>
      <c r="T478">
        <v>-0.1785359</v>
      </c>
      <c r="U478">
        <v>-0.23391719999999999</v>
      </c>
      <c r="V478">
        <v>3.9928020000000002E-2</v>
      </c>
      <c r="W478">
        <v>0.1226735</v>
      </c>
      <c r="X478">
        <v>0.99164350000000001</v>
      </c>
      <c r="Y478">
        <v>7.3036190000000001E-2</v>
      </c>
      <c r="Z478">
        <v>-1.9218340000000001E-3</v>
      </c>
      <c r="AA478">
        <v>0.99732739999999998</v>
      </c>
      <c r="AB478">
        <v>34</v>
      </c>
      <c r="AC478">
        <v>0.79120000000000301</v>
      </c>
      <c r="AD478">
        <v>-5.7117999999999898E-2</v>
      </c>
      <c r="AE478">
        <v>-7.4500000000000399E-2</v>
      </c>
      <c r="AF478">
        <v>7.1106281314163494E-2</v>
      </c>
      <c r="AG478">
        <v>-5.7117999999999898E-2</v>
      </c>
      <c r="AH478">
        <v>0.78741149909037</v>
      </c>
      <c r="AI478">
        <v>94.132152978439294</v>
      </c>
      <c r="AJ478">
        <v>84.839967090796605</v>
      </c>
      <c r="AK478">
        <v>0.79267612431943002</v>
      </c>
      <c r="AL478">
        <v>82.953576416868898</v>
      </c>
      <c r="AM478">
        <v>87.694260152572198</v>
      </c>
      <c r="AN478">
        <v>0.99999993273780796</v>
      </c>
    </row>
    <row r="479" spans="1:40" x14ac:dyDescent="0.25">
      <c r="A479" t="str">
        <f>"20190312164003026"</f>
        <v>20190312164003026</v>
      </c>
      <c r="B479" t="str">
        <f>"1552380003016792"</f>
        <v>1552380003016792</v>
      </c>
      <c r="C479" t="s">
        <v>40</v>
      </c>
      <c r="D479">
        <v>4.8160470000000002</v>
      </c>
      <c r="E479">
        <v>0.51619229999999905</v>
      </c>
      <c r="F479" t="s">
        <v>41</v>
      </c>
      <c r="G479">
        <v>-384.76350000000002</v>
      </c>
      <c r="H479" s="1">
        <v>-2.707426E-6</v>
      </c>
      <c r="I479">
        <v>366.91759999999999</v>
      </c>
      <c r="J479">
        <v>-402.67430000000002</v>
      </c>
      <c r="K479">
        <v>1.06023</v>
      </c>
      <c r="L479">
        <v>368.31670000000003</v>
      </c>
      <c r="M479">
        <v>0.99988790000000005</v>
      </c>
      <c r="N479">
        <v>0</v>
      </c>
      <c r="O479">
        <v>-3.8043339999999999E-3</v>
      </c>
      <c r="P479">
        <v>0.99318329999999999</v>
      </c>
      <c r="Q479">
        <v>0.1080551</v>
      </c>
      <c r="R479">
        <v>-4.3721080000000002E-2</v>
      </c>
      <c r="S479">
        <v>3.0297239999999999</v>
      </c>
      <c r="T479">
        <v>-0.17758889999999999</v>
      </c>
      <c r="U479">
        <v>-0.23443600000000001</v>
      </c>
      <c r="V479">
        <v>3.9934900000000002E-2</v>
      </c>
      <c r="W479">
        <v>0.1224374</v>
      </c>
      <c r="X479">
        <v>0.99167249999999996</v>
      </c>
      <c r="Y479">
        <v>7.3235670000000003E-2</v>
      </c>
      <c r="Z479">
        <v>-1.9188569999999999E-3</v>
      </c>
      <c r="AA479">
        <v>0.9973128</v>
      </c>
      <c r="AB479">
        <v>34</v>
      </c>
      <c r="AC479">
        <v>17.910799999999899</v>
      </c>
      <c r="AD479">
        <v>-1.0602327074259901</v>
      </c>
      <c r="AE479">
        <v>-1.39910000000003</v>
      </c>
      <c r="AF479">
        <v>1.3263247179087301</v>
      </c>
      <c r="AG479">
        <v>-1.0602327074259901</v>
      </c>
      <c r="AH479">
        <v>17.853812033548799</v>
      </c>
      <c r="AI479">
        <v>93.3891505099364</v>
      </c>
      <c r="AJ479">
        <v>85.751412899179996</v>
      </c>
      <c r="AK479">
        <v>17.9343757845241</v>
      </c>
      <c r="AL479">
        <v>82.967207389921896</v>
      </c>
      <c r="AM479">
        <v>87.693930646051697</v>
      </c>
      <c r="AN479">
        <v>1.0000000302065</v>
      </c>
    </row>
    <row r="480" spans="1:40" x14ac:dyDescent="0.25">
      <c r="A480" t="str">
        <f>"20190312164003038"</f>
        <v>20190312164003038</v>
      </c>
      <c r="B480" t="str">
        <f>"1552380003026552"</f>
        <v>1552380003026552</v>
      </c>
      <c r="C480" t="s">
        <v>40</v>
      </c>
      <c r="D480">
        <v>4.6876769999999999</v>
      </c>
      <c r="E480">
        <v>0.51621459999999997</v>
      </c>
      <c r="F480" t="s">
        <v>41</v>
      </c>
      <c r="G480">
        <v>-384.43439999999998</v>
      </c>
      <c r="H480" s="1">
        <v>-2.851632E-6</v>
      </c>
      <c r="I480">
        <v>366.90069999999997</v>
      </c>
      <c r="J480">
        <v>-402.49869999999999</v>
      </c>
      <c r="K480">
        <v>1.0602290000000001</v>
      </c>
      <c r="L480">
        <v>368.31599999999997</v>
      </c>
      <c r="M480">
        <v>0.99988790000000005</v>
      </c>
      <c r="N480">
        <v>0</v>
      </c>
      <c r="O480">
        <v>-3.7850399999999999E-3</v>
      </c>
      <c r="P480">
        <v>0.99316740000000003</v>
      </c>
      <c r="Q480">
        <v>0.10809680000000001</v>
      </c>
      <c r="R480">
        <v>-4.3976750000000002E-2</v>
      </c>
      <c r="S480">
        <v>3.0294189999999999</v>
      </c>
      <c r="T480">
        <v>-0.1760912</v>
      </c>
      <c r="U480">
        <v>-0.2351685</v>
      </c>
      <c r="V480">
        <v>4.0209849999999998E-2</v>
      </c>
      <c r="W480">
        <v>0.1224799</v>
      </c>
      <c r="X480">
        <v>0.99165610000000004</v>
      </c>
      <c r="Y480">
        <v>7.3503799999999994E-2</v>
      </c>
      <c r="Z480">
        <v>-1.9117680000000001E-3</v>
      </c>
      <c r="AA480">
        <v>0.99729310000000004</v>
      </c>
      <c r="AB480">
        <v>34</v>
      </c>
      <c r="AC480">
        <v>18.064299999999999</v>
      </c>
      <c r="AD480">
        <v>-1.060231851632</v>
      </c>
      <c r="AE480">
        <v>-1.4153</v>
      </c>
      <c r="AF480">
        <v>1.3423128460052001</v>
      </c>
      <c r="AG480">
        <v>-1.060231851632</v>
      </c>
      <c r="AH480">
        <v>18.007873694011298</v>
      </c>
      <c r="AI480">
        <v>93.360156943844999</v>
      </c>
      <c r="AJ480">
        <v>85.737037405915899</v>
      </c>
      <c r="AK480">
        <v>18.088930602311201</v>
      </c>
      <c r="AL480">
        <v>82.964753563894206</v>
      </c>
      <c r="AM480">
        <v>87.678032422086204</v>
      </c>
      <c r="AN480">
        <v>0.99999998930412104</v>
      </c>
    </row>
    <row r="481" spans="1:40" x14ac:dyDescent="0.25">
      <c r="A481" t="str">
        <f>"20190312164003057"</f>
        <v>20190312164003057</v>
      </c>
      <c r="B481" t="str">
        <f>"1552380003047048"</f>
        <v>1552380003047048</v>
      </c>
      <c r="C481" t="s">
        <v>40</v>
      </c>
      <c r="D481">
        <v>4.854743</v>
      </c>
      <c r="E481">
        <v>0.5163084</v>
      </c>
      <c r="F481" t="s">
        <v>42</v>
      </c>
      <c r="G481">
        <v>-401.4615</v>
      </c>
      <c r="H481">
        <v>0.99974359999999995</v>
      </c>
      <c r="I481">
        <v>368.23469999999998</v>
      </c>
      <c r="J481">
        <v>-402.2011</v>
      </c>
      <c r="K481">
        <v>1.0602290000000001</v>
      </c>
      <c r="L481">
        <v>368.31490000000002</v>
      </c>
      <c r="M481">
        <v>0.99988809999999995</v>
      </c>
      <c r="N481">
        <v>0</v>
      </c>
      <c r="O481">
        <v>-3.7512159999999999E-3</v>
      </c>
      <c r="P481">
        <v>0.99321579999999998</v>
      </c>
      <c r="Q481">
        <v>0.1075188</v>
      </c>
      <c r="R481">
        <v>-4.4299980000000003E-2</v>
      </c>
      <c r="S481">
        <v>3.0295100000000001</v>
      </c>
      <c r="T481">
        <v>-0.17702079999999901</v>
      </c>
      <c r="U481">
        <v>-0.23593140000000001</v>
      </c>
      <c r="V481">
        <v>4.0566940000000003E-2</v>
      </c>
      <c r="W481">
        <v>0.121904399999999</v>
      </c>
      <c r="X481">
        <v>0.9917125</v>
      </c>
      <c r="Y481">
        <v>7.3783080000000001E-2</v>
      </c>
      <c r="Z481">
        <v>-1.9318779999999999E-3</v>
      </c>
      <c r="AA481">
        <v>0.99727239999999995</v>
      </c>
      <c r="AB481">
        <v>34</v>
      </c>
      <c r="AC481">
        <v>0.73959999999999504</v>
      </c>
      <c r="AD481">
        <v>-6.0485400000000099E-2</v>
      </c>
      <c r="AE481">
        <v>-8.0200000000047497E-2</v>
      </c>
      <c r="AF481">
        <v>7.6916294687032802E-2</v>
      </c>
      <c r="AG481">
        <v>-6.0485400000000099E-2</v>
      </c>
      <c r="AH481">
        <v>0.73503675739506102</v>
      </c>
      <c r="AI481">
        <v>94.678777785772098</v>
      </c>
      <c r="AJ481">
        <v>84.026151424444194</v>
      </c>
      <c r="AK481">
        <v>0.74152116269422097</v>
      </c>
      <c r="AL481">
        <v>82.997976464322207</v>
      </c>
      <c r="AM481">
        <v>87.657567765547995</v>
      </c>
      <c r="AN481">
        <v>1.00000002100828</v>
      </c>
    </row>
    <row r="482" spans="1:40" x14ac:dyDescent="0.25">
      <c r="A482" t="str">
        <f>"20190312164003080"</f>
        <v>20190312164003080</v>
      </c>
      <c r="B482" t="str">
        <f>"1552380003076327"</f>
        <v>1552380003076327</v>
      </c>
      <c r="C482" t="s">
        <v>40</v>
      </c>
      <c r="D482">
        <v>4.8794979999999999</v>
      </c>
      <c r="E482">
        <v>0.51659920000000004</v>
      </c>
      <c r="F482" t="s">
        <v>41</v>
      </c>
      <c r="G482">
        <v>-384.19409999999999</v>
      </c>
      <c r="H482" s="1">
        <v>-2.9545010000000001E-6</v>
      </c>
      <c r="I482">
        <v>366.90199999999999</v>
      </c>
      <c r="J482">
        <v>-401.86669999999998</v>
      </c>
      <c r="K482">
        <v>1.060238</v>
      </c>
      <c r="L482">
        <v>368.31369999999998</v>
      </c>
      <c r="M482">
        <v>0.99988809999999995</v>
      </c>
      <c r="N482">
        <v>0</v>
      </c>
      <c r="O482">
        <v>-3.713208E-3</v>
      </c>
      <c r="P482">
        <v>0.99324509999999999</v>
      </c>
      <c r="Q482">
        <v>0.1072369</v>
      </c>
      <c r="R482">
        <v>-4.432295E-2</v>
      </c>
      <c r="S482">
        <v>3.0292050000000001</v>
      </c>
      <c r="T482">
        <v>-0.17835509999999999</v>
      </c>
      <c r="U482">
        <v>-0.23767089999999999</v>
      </c>
      <c r="V482">
        <v>4.0627690000000001E-2</v>
      </c>
      <c r="W482">
        <v>0.1216247</v>
      </c>
      <c r="X482">
        <v>0.99174430000000002</v>
      </c>
      <c r="Y482">
        <v>7.4395039999999996E-2</v>
      </c>
      <c r="Z482">
        <v>-1.9667719999999999E-3</v>
      </c>
      <c r="AA482">
        <v>0.99722690000000003</v>
      </c>
      <c r="AB482">
        <v>34</v>
      </c>
      <c r="AC482">
        <v>17.6725999999999</v>
      </c>
      <c r="AD482">
        <v>-1.0602409545010001</v>
      </c>
      <c r="AE482">
        <v>-1.41169999999999</v>
      </c>
      <c r="AF482">
        <v>1.3412644390191699</v>
      </c>
      <c r="AG482">
        <v>-1.0602409545010001</v>
      </c>
      <c r="AH482">
        <v>17.614723362552201</v>
      </c>
      <c r="AI482">
        <v>93.434593677062196</v>
      </c>
      <c r="AJ482">
        <v>85.645643601835005</v>
      </c>
      <c r="AK482">
        <v>17.697502092561599</v>
      </c>
      <c r="AL482">
        <v>83.0141218528411</v>
      </c>
      <c r="AM482">
        <v>87.654138969071099</v>
      </c>
      <c r="AN482">
        <v>0.99999996671365698</v>
      </c>
    </row>
    <row r="483" spans="1:40" x14ac:dyDescent="0.25">
      <c r="A483" t="str">
        <f>"20190312164003092"</f>
        <v>20190312164003092</v>
      </c>
      <c r="B483" t="str">
        <f>"1552380003087065"</f>
        <v>1552380003087065</v>
      </c>
      <c r="C483" t="s">
        <v>40</v>
      </c>
      <c r="D483">
        <v>4.68161</v>
      </c>
      <c r="E483">
        <v>0.51664520000000003</v>
      </c>
      <c r="F483" t="s">
        <v>42</v>
      </c>
      <c r="G483">
        <v>-400.85759999999999</v>
      </c>
      <c r="H483">
        <v>1.0021530000000001</v>
      </c>
      <c r="I483">
        <v>368.23340000000002</v>
      </c>
      <c r="J483">
        <v>-401.6687</v>
      </c>
      <c r="K483">
        <v>1.060244</v>
      </c>
      <c r="L483">
        <v>368.31299999999999</v>
      </c>
      <c r="M483">
        <v>0.9998882</v>
      </c>
      <c r="N483">
        <v>0</v>
      </c>
      <c r="O483">
        <v>-3.6911579999999999E-3</v>
      </c>
      <c r="P483">
        <v>0.99325220000000003</v>
      </c>
      <c r="Q483">
        <v>0.10701049999999999</v>
      </c>
      <c r="R483">
        <v>-4.471489E-2</v>
      </c>
      <c r="S483">
        <v>3.0285030000000002</v>
      </c>
      <c r="T483">
        <v>-0.17446529999999999</v>
      </c>
      <c r="U483">
        <v>-0.24008180000000001</v>
      </c>
      <c r="V483">
        <v>4.1041269999999998E-2</v>
      </c>
      <c r="W483">
        <v>0.12139900000000001</v>
      </c>
      <c r="X483">
        <v>0.99175489999999999</v>
      </c>
      <c r="Y483">
        <v>7.5227760000000005E-2</v>
      </c>
      <c r="Z483">
        <v>-1.949529E-3</v>
      </c>
      <c r="AA483">
        <v>0.99716450000000001</v>
      </c>
      <c r="AB483">
        <v>34</v>
      </c>
      <c r="AC483">
        <v>0.81110000000001004</v>
      </c>
      <c r="AD483">
        <v>-5.8090999999999803E-2</v>
      </c>
      <c r="AE483">
        <v>-7.9600000000027593E-2</v>
      </c>
      <c r="AF483">
        <v>7.6218019623318201E-2</v>
      </c>
      <c r="AG483">
        <v>-5.8090999999999803E-2</v>
      </c>
      <c r="AH483">
        <v>0.80728690197470498</v>
      </c>
      <c r="AI483">
        <v>94.097653584191605</v>
      </c>
      <c r="AJ483">
        <v>84.6065463728075</v>
      </c>
      <c r="AK483">
        <v>0.81295503743824404</v>
      </c>
      <c r="AL483">
        <v>83.027149879267697</v>
      </c>
      <c r="AM483">
        <v>87.6303110601622</v>
      </c>
      <c r="AN483">
        <v>0.99999994235910905</v>
      </c>
    </row>
    <row r="484" spans="1:40" x14ac:dyDescent="0.25">
      <c r="A484" t="str">
        <f>"20190312164003116"</f>
        <v>20190312164003116</v>
      </c>
      <c r="B484" t="str">
        <f>"1552380003106583"</f>
        <v>1552380003106583</v>
      </c>
      <c r="C484" t="s">
        <v>40</v>
      </c>
      <c r="D484">
        <v>4.833189</v>
      </c>
      <c r="E484">
        <v>0.51672910000000005</v>
      </c>
      <c r="F484" t="s">
        <v>41</v>
      </c>
      <c r="G484">
        <v>-383.37909999999999</v>
      </c>
      <c r="H484" s="1">
        <v>-3.312622E-6</v>
      </c>
      <c r="I484">
        <v>366.85410000000002</v>
      </c>
      <c r="J484">
        <v>-401.33010000000002</v>
      </c>
      <c r="K484">
        <v>1.060246</v>
      </c>
      <c r="L484">
        <v>368.31169999999997</v>
      </c>
      <c r="M484">
        <v>0.99988840000000001</v>
      </c>
      <c r="N484">
        <v>0</v>
      </c>
      <c r="O484">
        <v>-3.6526660000000002E-3</v>
      </c>
      <c r="P484">
        <v>0.99324319999999999</v>
      </c>
      <c r="Q484">
        <v>0.1069475</v>
      </c>
      <c r="R484">
        <v>-4.5060059999999999E-2</v>
      </c>
      <c r="S484">
        <v>3.0284119999999999</v>
      </c>
      <c r="T484">
        <v>-0.17555609999999999</v>
      </c>
      <c r="U484">
        <v>-0.2415466</v>
      </c>
      <c r="V484">
        <v>4.1425150000000001E-2</v>
      </c>
      <c r="W484">
        <v>0.121336</v>
      </c>
      <c r="X484">
        <v>0.99174669999999998</v>
      </c>
      <c r="Y484">
        <v>7.5745399999999893E-2</v>
      </c>
      <c r="Z484">
        <v>-1.9789120000000002E-3</v>
      </c>
      <c r="AA484">
        <v>0.99712520000000004</v>
      </c>
      <c r="AB484">
        <v>34</v>
      </c>
      <c r="AC484">
        <v>17.951000000000001</v>
      </c>
      <c r="AD484">
        <v>-1.0602493126220001</v>
      </c>
      <c r="AE484">
        <v>-1.45759999999995</v>
      </c>
      <c r="AF484">
        <v>1.3872068129692501</v>
      </c>
      <c r="AG484">
        <v>-1.0602493126220001</v>
      </c>
      <c r="AH484">
        <v>17.894189910232399</v>
      </c>
      <c r="AI484">
        <v>93.380750054661107</v>
      </c>
      <c r="AJ484">
        <v>85.567139582427302</v>
      </c>
      <c r="AK484">
        <v>17.979168609541698</v>
      </c>
      <c r="AL484">
        <v>83.030786746883393</v>
      </c>
      <c r="AM484">
        <v>87.6081520163454</v>
      </c>
      <c r="AN484">
        <v>0.99999999245470605</v>
      </c>
    </row>
    <row r="485" spans="1:40" x14ac:dyDescent="0.25">
      <c r="A485" t="str">
        <f>"20190312164003138"</f>
        <v>20190312164003138</v>
      </c>
      <c r="B485" t="str">
        <f>"1552380003127080"</f>
        <v>1552380003127080</v>
      </c>
      <c r="C485" t="s">
        <v>40</v>
      </c>
      <c r="D485">
        <v>4.6392730000000002</v>
      </c>
      <c r="E485">
        <v>0.51680369999999998</v>
      </c>
      <c r="F485" t="s">
        <v>41</v>
      </c>
      <c r="G485">
        <v>-382.99400000000003</v>
      </c>
      <c r="H485" s="1">
        <v>-3.4803759999999999E-6</v>
      </c>
      <c r="I485">
        <v>366.83980000000003</v>
      </c>
      <c r="J485">
        <v>-400.99130000000002</v>
      </c>
      <c r="K485">
        <v>1.0605009999999999</v>
      </c>
      <c r="L485">
        <v>368.31049999999999</v>
      </c>
      <c r="M485">
        <v>0.99987470000000001</v>
      </c>
      <c r="N485">
        <v>0</v>
      </c>
      <c r="O485">
        <v>-3.6198770000000001E-3</v>
      </c>
      <c r="P485">
        <v>0.99338930000000003</v>
      </c>
      <c r="Q485">
        <v>0.1053796</v>
      </c>
      <c r="R485">
        <v>-4.5530149999999998E-2</v>
      </c>
      <c r="S485">
        <v>3.028168</v>
      </c>
      <c r="T485">
        <v>-0.17509720000000001</v>
      </c>
      <c r="U485">
        <v>-0.2430725</v>
      </c>
      <c r="V485">
        <v>4.1927800000000001E-2</v>
      </c>
      <c r="W485">
        <v>0.1206885</v>
      </c>
      <c r="X485">
        <v>0.99180460000000004</v>
      </c>
      <c r="Y485">
        <v>7.6283320000000002E-2</v>
      </c>
      <c r="Z485">
        <v>-1.9912699999999998E-3</v>
      </c>
      <c r="AA485">
        <v>0.99708419999999998</v>
      </c>
      <c r="AB485">
        <v>34</v>
      </c>
      <c r="AC485">
        <v>17.9972999999999</v>
      </c>
      <c r="AD485">
        <v>-1.060504480376</v>
      </c>
      <c r="AE485">
        <v>-1.4706999999999599</v>
      </c>
      <c r="AF485">
        <v>1.4007032908594601</v>
      </c>
      <c r="AG485">
        <v>-1.060504480376</v>
      </c>
      <c r="AH485">
        <v>17.9406254334986</v>
      </c>
      <c r="AI485">
        <v>93.372686033508202</v>
      </c>
      <c r="AJ485">
        <v>85.535723403083097</v>
      </c>
      <c r="AK485">
        <v>18.026443920169498</v>
      </c>
      <c r="AL485">
        <v>83.068160542548199</v>
      </c>
      <c r="AM485">
        <v>87.579304971016597</v>
      </c>
      <c r="AN485">
        <v>1.0000000095131201</v>
      </c>
    </row>
    <row r="486" spans="1:40" x14ac:dyDescent="0.25">
      <c r="A486" t="str">
        <f>"20190312164003159"</f>
        <v>20190312164003159</v>
      </c>
      <c r="B486" t="str">
        <f>"1552380003146600"</f>
        <v>1552380003146600</v>
      </c>
      <c r="C486" t="s">
        <v>40</v>
      </c>
      <c r="D486">
        <v>4.6187420000000001</v>
      </c>
      <c r="E486">
        <v>0.5168471</v>
      </c>
      <c r="F486" t="s">
        <v>42</v>
      </c>
      <c r="G486">
        <v>-399.96899999999999</v>
      </c>
      <c r="H486">
        <v>0.99996280000000004</v>
      </c>
      <c r="I486">
        <v>368.22739999999999</v>
      </c>
      <c r="J486">
        <v>-400.68540000000002</v>
      </c>
      <c r="K486">
        <v>1.061121</v>
      </c>
      <c r="L486">
        <v>368.30950000000001</v>
      </c>
      <c r="M486">
        <v>0.99985729999999995</v>
      </c>
      <c r="N486">
        <v>0</v>
      </c>
      <c r="O486">
        <v>-3.5905870000000001E-3</v>
      </c>
      <c r="P486">
        <v>0.99358360000000001</v>
      </c>
      <c r="Q486">
        <v>0.1035094</v>
      </c>
      <c r="R486">
        <v>-4.5585439999999998E-2</v>
      </c>
      <c r="S486">
        <v>3.027771</v>
      </c>
      <c r="T486">
        <v>-0.17960229999999999</v>
      </c>
      <c r="U486">
        <v>-0.24499509999999999</v>
      </c>
      <c r="V486">
        <v>4.2012069999999999E-2</v>
      </c>
      <c r="W486">
        <v>0.119907</v>
      </c>
      <c r="X486">
        <v>0.99189579999999999</v>
      </c>
      <c r="Y486">
        <v>7.6944429999999994E-2</v>
      </c>
      <c r="Z486">
        <v>-2.0639170000000002E-3</v>
      </c>
      <c r="AA486">
        <v>0.99703319999999995</v>
      </c>
      <c r="AB486">
        <v>33</v>
      </c>
      <c r="AC486">
        <v>0.71640000000002102</v>
      </c>
      <c r="AD486">
        <v>-6.1158199999999899E-2</v>
      </c>
      <c r="AE486">
        <v>-8.2100000000025306E-2</v>
      </c>
      <c r="AF486">
        <v>7.8958844392794894E-2</v>
      </c>
      <c r="AG486">
        <v>-6.1158199999999899E-2</v>
      </c>
      <c r="AH486">
        <v>0.71157161921104395</v>
      </c>
      <c r="AI486">
        <v>94.882567369845702</v>
      </c>
      <c r="AJ486">
        <v>83.668133549522295</v>
      </c>
      <c r="AK486">
        <v>0.71854644512495602</v>
      </c>
      <c r="AL486">
        <v>83.113264615736696</v>
      </c>
      <c r="AM486">
        <v>87.574668212320901</v>
      </c>
      <c r="AN486">
        <v>0.99999999036616205</v>
      </c>
    </row>
    <row r="487" spans="1:40" x14ac:dyDescent="0.25">
      <c r="A487" t="str">
        <f>"20190312164003181"</f>
        <v>20190312164003181</v>
      </c>
      <c r="B487" t="str">
        <f>"1552380003176856"</f>
        <v>1552380003176856</v>
      </c>
      <c r="C487" t="s">
        <v>40</v>
      </c>
      <c r="D487">
        <v>4.8630769999999997</v>
      </c>
      <c r="E487">
        <v>0.51683009999999996</v>
      </c>
      <c r="F487" t="s">
        <v>42</v>
      </c>
      <c r="G487">
        <v>-399.67779999999999</v>
      </c>
      <c r="H487">
        <v>0.99896240000000003</v>
      </c>
      <c r="I487">
        <v>368.22719999999998</v>
      </c>
      <c r="J487">
        <v>-400.36939999999998</v>
      </c>
      <c r="K487">
        <v>1.061812</v>
      </c>
      <c r="L487">
        <v>368.30829999999997</v>
      </c>
      <c r="M487">
        <v>0.99986140000000001</v>
      </c>
      <c r="N487">
        <v>0</v>
      </c>
      <c r="O487">
        <v>-3.5583009999999998E-3</v>
      </c>
      <c r="P487">
        <v>0.9935619</v>
      </c>
      <c r="Q487">
        <v>0.1036059</v>
      </c>
      <c r="R487">
        <v>-4.5836450000000001E-2</v>
      </c>
      <c r="S487">
        <v>3.0275880000000002</v>
      </c>
      <c r="T487">
        <v>-0.1870589</v>
      </c>
      <c r="U487">
        <v>-0.2457886</v>
      </c>
      <c r="V487">
        <v>4.2294999999999999E-2</v>
      </c>
      <c r="W487">
        <v>0.1197607</v>
      </c>
      <c r="X487">
        <v>0.99190149999999999</v>
      </c>
      <c r="Y487">
        <v>7.7229610000000004E-2</v>
      </c>
      <c r="Z487">
        <v>-2.1603320000000001E-3</v>
      </c>
      <c r="AA487">
        <v>0.99701099999999998</v>
      </c>
      <c r="AB487">
        <v>33</v>
      </c>
      <c r="AC487">
        <v>0.691599999999994</v>
      </c>
      <c r="AD487">
        <v>-6.2849599999999894E-2</v>
      </c>
      <c r="AE487">
        <v>-8.1099999999992095E-2</v>
      </c>
      <c r="AF487">
        <v>7.8002800722623902E-2</v>
      </c>
      <c r="AG487">
        <v>-6.2849599999999894E-2</v>
      </c>
      <c r="AH487">
        <v>0.68629344076114995</v>
      </c>
      <c r="AI487">
        <v>95.199167421798194</v>
      </c>
      <c r="AJ487">
        <v>83.515697427947401</v>
      </c>
      <c r="AK487">
        <v>0.69356556717624795</v>
      </c>
      <c r="AL487">
        <v>83.121708166612294</v>
      </c>
      <c r="AM487">
        <v>87.558368547198199</v>
      </c>
      <c r="AN487">
        <v>1.0000000389958601</v>
      </c>
    </row>
    <row r="488" spans="1:40" x14ac:dyDescent="0.25">
      <c r="A488" t="str">
        <f>"20190312164003193"</f>
        <v>20190312164003193</v>
      </c>
      <c r="B488" t="str">
        <f>"1552380003186618"</f>
        <v>1552380003186618</v>
      </c>
      <c r="C488" t="s">
        <v>40</v>
      </c>
      <c r="D488">
        <v>4.579968</v>
      </c>
      <c r="E488">
        <v>0.51694240000000002</v>
      </c>
      <c r="F488" t="s">
        <v>42</v>
      </c>
      <c r="G488">
        <v>-399.3818</v>
      </c>
      <c r="H488">
        <v>1.0011369999999999</v>
      </c>
      <c r="I488">
        <v>368.2276</v>
      </c>
      <c r="J488">
        <v>-400.17970000000003</v>
      </c>
      <c r="K488">
        <v>1.0622020000000001</v>
      </c>
      <c r="L488">
        <v>368.30770000000001</v>
      </c>
      <c r="M488">
        <v>0.99987740000000003</v>
      </c>
      <c r="N488">
        <v>0</v>
      </c>
      <c r="O488">
        <v>-3.5384679999999999E-3</v>
      </c>
      <c r="P488">
        <v>0.99351860000000003</v>
      </c>
      <c r="Q488">
        <v>0.1040886</v>
      </c>
      <c r="R488">
        <v>-4.5683880000000003E-2</v>
      </c>
      <c r="S488">
        <v>3.0274960000000002</v>
      </c>
      <c r="T488">
        <v>-0.18620320000000001</v>
      </c>
      <c r="U488">
        <v>-0.24646000000000001</v>
      </c>
      <c r="V488">
        <v>4.2161949999999997E-2</v>
      </c>
      <c r="W488">
        <v>0.11924369999999999</v>
      </c>
      <c r="X488">
        <v>0.9919694</v>
      </c>
      <c r="Y488">
        <v>7.7472280000000004E-2</v>
      </c>
      <c r="Z488">
        <v>-2.159177E-3</v>
      </c>
      <c r="AA488">
        <v>0.9969922</v>
      </c>
      <c r="AB488">
        <v>33</v>
      </c>
      <c r="AC488">
        <v>0.79790000000002603</v>
      </c>
      <c r="AD488">
        <v>-6.1064999999999897E-2</v>
      </c>
      <c r="AE488">
        <v>-8.0100000000015797E-2</v>
      </c>
      <c r="AF488">
        <v>7.6830308036483594E-2</v>
      </c>
      <c r="AG488">
        <v>-6.1064999999999897E-2</v>
      </c>
      <c r="AH488">
        <v>0.79357673015159502</v>
      </c>
      <c r="AI488">
        <v>94.379788330786397</v>
      </c>
      <c r="AJ488">
        <v>84.470130859119394</v>
      </c>
      <c r="AK488">
        <v>0.79962232153440904</v>
      </c>
      <c r="AL488">
        <v>83.151543553246995</v>
      </c>
      <c r="AM488">
        <v>87.566206490156006</v>
      </c>
      <c r="AN488">
        <v>0.99999999027692599</v>
      </c>
    </row>
    <row r="489" spans="1:40" x14ac:dyDescent="0.25">
      <c r="A489" t="str">
        <f>"20190312164003206"</f>
        <v>20190312164003206</v>
      </c>
      <c r="B489" t="str">
        <f>"1552380003196376"</f>
        <v>1552380003196376</v>
      </c>
      <c r="C489" t="s">
        <v>40</v>
      </c>
      <c r="D489">
        <v>4.8008790000000001</v>
      </c>
      <c r="E489">
        <v>0.51703279999999996</v>
      </c>
      <c r="F489" t="s">
        <v>41</v>
      </c>
      <c r="G489">
        <v>-382.65550000000002</v>
      </c>
      <c r="H489" s="1">
        <v>-3.618441E-6</v>
      </c>
      <c r="I489">
        <v>366.88</v>
      </c>
      <c r="J489">
        <v>-400.00049999999999</v>
      </c>
      <c r="K489">
        <v>1.062667</v>
      </c>
      <c r="L489">
        <v>368.30709999999999</v>
      </c>
      <c r="M489">
        <v>0.99989360000000005</v>
      </c>
      <c r="N489">
        <v>0</v>
      </c>
      <c r="O489">
        <v>-3.5203959999999999E-3</v>
      </c>
      <c r="P489">
        <v>0.99343090000000001</v>
      </c>
      <c r="Q489">
        <v>0.1049142</v>
      </c>
      <c r="R489">
        <v>-4.5696050000000002E-2</v>
      </c>
      <c r="S489">
        <v>3.0274350000000001</v>
      </c>
      <c r="T489">
        <v>-0.18350359999999999</v>
      </c>
      <c r="U489">
        <v>-0.2466431</v>
      </c>
      <c r="V489">
        <v>4.2192309999999997E-2</v>
      </c>
      <c r="W489">
        <v>0.1189762</v>
      </c>
      <c r="X489">
        <v>0.9920002</v>
      </c>
      <c r="Y489">
        <v>7.7555689999999997E-2</v>
      </c>
      <c r="Z489">
        <v>-2.1315850000000001E-3</v>
      </c>
      <c r="AA489">
        <v>0.99698569999999997</v>
      </c>
      <c r="AB489">
        <v>33</v>
      </c>
      <c r="AC489">
        <v>17.344999999999899</v>
      </c>
      <c r="AD489">
        <v>-1.062670618441</v>
      </c>
      <c r="AE489">
        <v>-1.42709999999999</v>
      </c>
      <c r="AF489">
        <v>1.3609496474531</v>
      </c>
      <c r="AG489">
        <v>-1.062670618441</v>
      </c>
      <c r="AH489">
        <v>17.285470380279602</v>
      </c>
      <c r="AI489">
        <v>93.507157556865195</v>
      </c>
      <c r="AJ489">
        <v>85.498176211248307</v>
      </c>
      <c r="AK489">
        <v>17.371497893207799</v>
      </c>
      <c r="AL489">
        <v>83.166979871740594</v>
      </c>
      <c r="AM489">
        <v>87.564531601068495</v>
      </c>
      <c r="AN489">
        <v>0.99999996199480701</v>
      </c>
    </row>
    <row r="490" spans="1:40" x14ac:dyDescent="0.25">
      <c r="A490" t="str">
        <f>"20190312164003218"</f>
        <v>20190312164003218</v>
      </c>
      <c r="B490" t="str">
        <f>"1552380003207112"</f>
        <v>1552380003207112</v>
      </c>
      <c r="C490" t="s">
        <v>40</v>
      </c>
      <c r="D490">
        <v>4.6035779999999997</v>
      </c>
      <c r="E490">
        <v>0.51701799999999998</v>
      </c>
      <c r="F490" t="s">
        <v>41</v>
      </c>
      <c r="G490">
        <v>-382.10210000000001</v>
      </c>
      <c r="H490" s="1">
        <v>-3.862373E-6</v>
      </c>
      <c r="I490">
        <v>366.84320000000002</v>
      </c>
      <c r="J490">
        <v>-399.81400000000002</v>
      </c>
      <c r="K490">
        <v>1.063212</v>
      </c>
      <c r="L490">
        <v>368.30650000000003</v>
      </c>
      <c r="M490">
        <v>0.99991019999999997</v>
      </c>
      <c r="N490">
        <v>0</v>
      </c>
      <c r="O490">
        <v>-3.5016460000000002E-3</v>
      </c>
      <c r="P490">
        <v>0.99334389999999995</v>
      </c>
      <c r="Q490">
        <v>0.10584780000000001</v>
      </c>
      <c r="R490">
        <v>-4.5431630000000001E-2</v>
      </c>
      <c r="S490">
        <v>3.0274049999999999</v>
      </c>
      <c r="T490">
        <v>-0.17974329999999999</v>
      </c>
      <c r="U490">
        <v>-0.24758910000000001</v>
      </c>
      <c r="V490">
        <v>4.194676E-2</v>
      </c>
      <c r="W490">
        <v>0.11869209999999999</v>
      </c>
      <c r="X490">
        <v>0.9920447</v>
      </c>
      <c r="Y490">
        <v>7.7889600000000003E-2</v>
      </c>
      <c r="Z490">
        <v>-2.098978E-3</v>
      </c>
      <c r="AA490">
        <v>0.99695979999999995</v>
      </c>
      <c r="AB490">
        <v>33</v>
      </c>
      <c r="AC490">
        <v>17.7119</v>
      </c>
      <c r="AD490">
        <v>-1.0632158623729999</v>
      </c>
      <c r="AE490">
        <v>-1.4633</v>
      </c>
      <c r="AF490">
        <v>1.39626782962048</v>
      </c>
      <c r="AG490">
        <v>-1.0632158623729999</v>
      </c>
      <c r="AH490">
        <v>17.6537335529712</v>
      </c>
      <c r="AI490">
        <v>93.435835480918996</v>
      </c>
      <c r="AJ490">
        <v>85.477780264059803</v>
      </c>
      <c r="AK490">
        <v>17.740752525790299</v>
      </c>
      <c r="AL490">
        <v>83.183374138748903</v>
      </c>
      <c r="AM490">
        <v>87.578797058042895</v>
      </c>
      <c r="AN490">
        <v>1.00000001603749</v>
      </c>
    </row>
    <row r="491" spans="1:40" x14ac:dyDescent="0.25">
      <c r="A491" t="str">
        <f>"20190312164003237"</f>
        <v>20190312164003237</v>
      </c>
      <c r="B491" t="str">
        <f>"1552380003226631"</f>
        <v>1552380003226631</v>
      </c>
      <c r="C491" t="s">
        <v>40</v>
      </c>
      <c r="D491">
        <v>4.6150580000000003</v>
      </c>
      <c r="E491">
        <v>0.51697669999999996</v>
      </c>
      <c r="F491" t="s">
        <v>42</v>
      </c>
      <c r="G491">
        <v>-398.79109999999997</v>
      </c>
      <c r="H491">
        <v>1.0034069999999999</v>
      </c>
      <c r="I491">
        <v>368.22289999999998</v>
      </c>
      <c r="J491">
        <v>-399.5301</v>
      </c>
      <c r="K491">
        <v>1.0643309999999999</v>
      </c>
      <c r="L491">
        <v>368.30549999999999</v>
      </c>
      <c r="M491">
        <v>0.99993100000000001</v>
      </c>
      <c r="N491">
        <v>0</v>
      </c>
      <c r="O491">
        <v>-3.4710510000000002E-3</v>
      </c>
      <c r="P491">
        <v>0.99323760000000005</v>
      </c>
      <c r="Q491">
        <v>0.1070555</v>
      </c>
      <c r="R491">
        <v>-4.492728E-2</v>
      </c>
      <c r="S491">
        <v>3.0276489999999998</v>
      </c>
      <c r="T491">
        <v>-0.17712220000000001</v>
      </c>
      <c r="U491">
        <v>-0.24694820000000001</v>
      </c>
      <c r="V491">
        <v>4.147356E-2</v>
      </c>
      <c r="W491">
        <v>0.1182059</v>
      </c>
      <c r="X491">
        <v>0.99212270000000002</v>
      </c>
      <c r="Y491">
        <v>7.7708040000000006E-2</v>
      </c>
      <c r="Z491">
        <v>-2.0647669999999999E-3</v>
      </c>
      <c r="AA491">
        <v>0.99697400000000003</v>
      </c>
      <c r="AB491">
        <v>33</v>
      </c>
      <c r="AC491">
        <v>0.73900000000003196</v>
      </c>
      <c r="AD491">
        <v>-6.0923999999999902E-2</v>
      </c>
      <c r="AE491">
        <v>-8.2600000000013496E-2</v>
      </c>
      <c r="AF491">
        <v>7.9500572312377102E-2</v>
      </c>
      <c r="AG491">
        <v>-6.0923999999999902E-2</v>
      </c>
      <c r="AH491">
        <v>0.73435280011945103</v>
      </c>
      <c r="AI491">
        <v>94.715135100589407</v>
      </c>
      <c r="AJ491">
        <v>83.821258433093206</v>
      </c>
      <c r="AK491">
        <v>0.74115188039785296</v>
      </c>
      <c r="AL491">
        <v>83.211429225584098</v>
      </c>
      <c r="AM491">
        <v>87.606266599489004</v>
      </c>
      <c r="AN491">
        <v>1.00000007141458</v>
      </c>
    </row>
    <row r="492" spans="1:40" x14ac:dyDescent="0.25">
      <c r="A492" t="str">
        <f>"20190312164003250"</f>
        <v>20190312164003250</v>
      </c>
      <c r="B492" t="str">
        <f>"1552380003237174"</f>
        <v>1552380003237174</v>
      </c>
      <c r="C492" t="s">
        <v>40</v>
      </c>
      <c r="D492">
        <v>4.7787430000000004</v>
      </c>
      <c r="E492">
        <v>0.51709839999999996</v>
      </c>
      <c r="F492" t="s">
        <v>41</v>
      </c>
      <c r="G492">
        <v>-381.03989999999999</v>
      </c>
      <c r="H492" s="1">
        <v>-4.3236109999999997E-6</v>
      </c>
      <c r="I492">
        <v>366.81180000000001</v>
      </c>
      <c r="J492">
        <v>-399.35610000000003</v>
      </c>
      <c r="K492">
        <v>1.0651250000000001</v>
      </c>
      <c r="L492">
        <v>368.30500000000001</v>
      </c>
      <c r="M492">
        <v>0.99994139999999998</v>
      </c>
      <c r="N492">
        <v>0</v>
      </c>
      <c r="O492">
        <v>-3.4489730000000001E-3</v>
      </c>
      <c r="P492">
        <v>0.99315050000000005</v>
      </c>
      <c r="Q492">
        <v>0.1080361</v>
      </c>
      <c r="R492">
        <v>-4.4502559999999997E-2</v>
      </c>
      <c r="S492">
        <v>3.0281370000000001</v>
      </c>
      <c r="T492">
        <v>-0.174306399999999</v>
      </c>
      <c r="U492">
        <v>-0.24462890000000001</v>
      </c>
      <c r="V492">
        <v>4.107131E-2</v>
      </c>
      <c r="W492">
        <v>0.11822439999999999</v>
      </c>
      <c r="X492">
        <v>0.99213709999999999</v>
      </c>
      <c r="Y492">
        <v>7.6963630000000005E-2</v>
      </c>
      <c r="Z492">
        <v>-2.0116299999999999E-3</v>
      </c>
      <c r="AA492">
        <v>0.99703189999999997</v>
      </c>
      <c r="AB492">
        <v>33</v>
      </c>
      <c r="AC492">
        <v>18.316199999999998</v>
      </c>
      <c r="AD492">
        <v>-1.065129323611</v>
      </c>
      <c r="AE492">
        <v>-1.4932000000000001</v>
      </c>
      <c r="AF492">
        <v>1.42522785254773</v>
      </c>
      <c r="AG492">
        <v>-1.065129323611</v>
      </c>
      <c r="AH492">
        <v>18.2598996683822</v>
      </c>
      <c r="AI492">
        <v>93.328272127450404</v>
      </c>
      <c r="AJ492">
        <v>85.536978957339699</v>
      </c>
      <c r="AK492">
        <v>18.3463814090703</v>
      </c>
      <c r="AL492">
        <v>83.210360894303406</v>
      </c>
      <c r="AM492">
        <v>87.629491052902097</v>
      </c>
      <c r="AN492">
        <v>0.99999994322844099</v>
      </c>
    </row>
    <row r="493" spans="1:40" x14ac:dyDescent="0.25">
      <c r="A493" t="str">
        <f>"20190312164003262"</f>
        <v>20190312164003262</v>
      </c>
      <c r="B493" t="str">
        <f>"1552380003256887"</f>
        <v>1552380003256887</v>
      </c>
      <c r="C493" t="s">
        <v>40</v>
      </c>
      <c r="D493">
        <v>4.6219749999999999</v>
      </c>
      <c r="E493">
        <v>0.51716059999999997</v>
      </c>
      <c r="F493" t="s">
        <v>41</v>
      </c>
      <c r="G493">
        <v>-380.51690000000002</v>
      </c>
      <c r="H493" s="1">
        <v>-4.5529439999999996E-6</v>
      </c>
      <c r="I493">
        <v>366.78379999999999</v>
      </c>
      <c r="J493">
        <v>-399.16359999999997</v>
      </c>
      <c r="K493">
        <v>1.066028</v>
      </c>
      <c r="L493">
        <v>368.30430000000001</v>
      </c>
      <c r="M493">
        <v>0.99995199999999995</v>
      </c>
      <c r="N493">
        <v>0</v>
      </c>
      <c r="O493">
        <v>-3.4246889999999999E-3</v>
      </c>
      <c r="P493">
        <v>0.99306570000000005</v>
      </c>
      <c r="Q493">
        <v>0.10886700000000001</v>
      </c>
      <c r="R493">
        <v>-4.4375169999999999E-2</v>
      </c>
      <c r="S493">
        <v>3.0283509999999998</v>
      </c>
      <c r="T493">
        <v>-0.17121620000000001</v>
      </c>
      <c r="U493">
        <v>-0.2445068</v>
      </c>
      <c r="V493">
        <v>4.0968490000000003E-2</v>
      </c>
      <c r="W493">
        <v>0.1180051</v>
      </c>
      <c r="X493">
        <v>0.99216749999999998</v>
      </c>
      <c r="Y493">
        <v>7.6946539999999994E-2</v>
      </c>
      <c r="Z493">
        <v>-1.9767780000000002E-3</v>
      </c>
      <c r="AA493">
        <v>0.99703319999999995</v>
      </c>
      <c r="AB493">
        <v>33</v>
      </c>
      <c r="AC493">
        <v>18.6466999999999</v>
      </c>
      <c r="AD493">
        <v>-1.066032552944</v>
      </c>
      <c r="AE493">
        <v>-1.5205000000000199</v>
      </c>
      <c r="AF493">
        <v>1.4519151297670501</v>
      </c>
      <c r="AG493">
        <v>-1.066032552944</v>
      </c>
      <c r="AH493">
        <v>18.5914349737509</v>
      </c>
      <c r="AI493">
        <v>93.271805062495105</v>
      </c>
      <c r="AJ493">
        <v>85.534497267351398</v>
      </c>
      <c r="AK493">
        <v>18.678488625453301</v>
      </c>
      <c r="AL493">
        <v>83.223014715399998</v>
      </c>
      <c r="AM493">
        <v>87.635491129227802</v>
      </c>
      <c r="AN493">
        <v>0.99999998442756899</v>
      </c>
    </row>
    <row r="494" spans="1:40" x14ac:dyDescent="0.25">
      <c r="A494" t="str">
        <f>"20190312164003281"</f>
        <v>20190312164003281</v>
      </c>
      <c r="B494" t="str">
        <f>"1552380003276409"</f>
        <v>1552380003276409</v>
      </c>
      <c r="C494" t="s">
        <v>40</v>
      </c>
      <c r="D494">
        <v>4.6339920000000001</v>
      </c>
      <c r="E494">
        <v>0.51717079999999904</v>
      </c>
      <c r="F494" t="s">
        <v>42</v>
      </c>
      <c r="G494">
        <v>-398.19659999999999</v>
      </c>
      <c r="H494">
        <v>1.012192</v>
      </c>
      <c r="I494">
        <v>368.22590000000002</v>
      </c>
      <c r="J494">
        <v>-398.88490000000002</v>
      </c>
      <c r="K494">
        <v>1.067383</v>
      </c>
      <c r="L494">
        <v>368.30340000000001</v>
      </c>
      <c r="M494">
        <v>0.99996459999999998</v>
      </c>
      <c r="N494">
        <v>0</v>
      </c>
      <c r="O494">
        <v>-3.3887819999999999E-3</v>
      </c>
      <c r="P494">
        <v>0.99292820000000004</v>
      </c>
      <c r="Q494">
        <v>0.1102506</v>
      </c>
      <c r="R494">
        <v>-4.4029539999999999E-2</v>
      </c>
      <c r="S494">
        <v>3.0285030000000002</v>
      </c>
      <c r="T494">
        <v>-0.16876079999999999</v>
      </c>
      <c r="U494">
        <v>-0.24468989999999999</v>
      </c>
      <c r="V494">
        <v>4.065974E-2</v>
      </c>
      <c r="W494">
        <v>0.1179109</v>
      </c>
      <c r="X494">
        <v>0.99219139999999995</v>
      </c>
      <c r="Y494">
        <v>7.7041369999999998E-2</v>
      </c>
      <c r="Z494">
        <v>-1.9530039999999999E-3</v>
      </c>
      <c r="AA494">
        <v>0.99702599999999997</v>
      </c>
      <c r="AB494">
        <v>33</v>
      </c>
      <c r="AC494">
        <v>0.688300000000026</v>
      </c>
      <c r="AD494">
        <v>-5.51909999999999E-2</v>
      </c>
      <c r="AE494">
        <v>-7.7499999999986302E-2</v>
      </c>
      <c r="AF494">
        <v>7.4692758104421497E-2</v>
      </c>
      <c r="AG494">
        <v>-5.51909999999999E-2</v>
      </c>
      <c r="AH494">
        <v>0.68421456449415097</v>
      </c>
      <c r="AI494">
        <v>94.584562072265797</v>
      </c>
      <c r="AJ494">
        <v>83.769936476684805</v>
      </c>
      <c r="AK494">
        <v>0.69048868554102005</v>
      </c>
      <c r="AL494">
        <v>83.228449923953207</v>
      </c>
      <c r="AM494">
        <v>87.653347196452202</v>
      </c>
      <c r="AN494">
        <v>0.99999998451481797</v>
      </c>
    </row>
    <row r="495" spans="1:40" x14ac:dyDescent="0.25">
      <c r="A495" t="str">
        <f>"20190312164003306"</f>
        <v>20190312164003306</v>
      </c>
      <c r="B495" t="str">
        <f>"1552380003296904"</f>
        <v>1552380003296904</v>
      </c>
      <c r="C495" t="s">
        <v>40</v>
      </c>
      <c r="D495">
        <v>4.720764</v>
      </c>
      <c r="E495">
        <v>0.51727199999999995</v>
      </c>
      <c r="F495" t="s">
        <v>42</v>
      </c>
      <c r="G495">
        <v>-397.90190000000001</v>
      </c>
      <c r="H495">
        <v>1.0136959999999999</v>
      </c>
      <c r="I495">
        <v>368.22399999999999</v>
      </c>
      <c r="J495">
        <v>-398.5138</v>
      </c>
      <c r="K495">
        <v>1.069302</v>
      </c>
      <c r="L495">
        <v>368.30220000000003</v>
      </c>
      <c r="M495">
        <v>0.99997570000000002</v>
      </c>
      <c r="N495">
        <v>0</v>
      </c>
      <c r="O495">
        <v>-3.3420310000000001E-3</v>
      </c>
      <c r="P495">
        <v>0.99278089999999997</v>
      </c>
      <c r="Q495">
        <v>0.1116581</v>
      </c>
      <c r="R495">
        <v>-4.380709E-2</v>
      </c>
      <c r="S495">
        <v>3.0289609999999998</v>
      </c>
      <c r="T495">
        <v>-0.16571340000000001</v>
      </c>
      <c r="U495">
        <v>-0.24334720000000001</v>
      </c>
      <c r="V495">
        <v>4.0484829999999999E-2</v>
      </c>
      <c r="W495">
        <v>0.1177579</v>
      </c>
      <c r="X495">
        <v>0.99221669999999995</v>
      </c>
      <c r="Y495">
        <v>7.6641399999999998E-2</v>
      </c>
      <c r="Z495">
        <v>-1.9091749999999999E-3</v>
      </c>
      <c r="AA495">
        <v>0.99705690000000002</v>
      </c>
      <c r="AB495">
        <v>33</v>
      </c>
      <c r="AC495">
        <v>0.61189999999999101</v>
      </c>
      <c r="AD495">
        <v>-5.5606000000000003E-2</v>
      </c>
      <c r="AE495">
        <v>-7.8200000000038003E-2</v>
      </c>
      <c r="AF495">
        <v>7.5540734934583895E-2</v>
      </c>
      <c r="AG495">
        <v>-5.5606000000000003E-2</v>
      </c>
      <c r="AH495">
        <v>0.60722397574985598</v>
      </c>
      <c r="AI495">
        <v>95.192413691017805</v>
      </c>
      <c r="AJ495">
        <v>82.908642169877794</v>
      </c>
      <c r="AK495">
        <v>0.61442606275769196</v>
      </c>
      <c r="AL495">
        <v>83.237277526859302</v>
      </c>
      <c r="AM495">
        <v>87.663490323646698</v>
      </c>
      <c r="AN495">
        <v>0.99999996211571296</v>
      </c>
    </row>
    <row r="496" spans="1:40" x14ac:dyDescent="0.25">
      <c r="A496" t="str">
        <f>"20190312164003328"</f>
        <v>20190312164003328</v>
      </c>
      <c r="B496" t="str">
        <f>"1552380003316423"</f>
        <v>1552380003316423</v>
      </c>
      <c r="C496" t="s">
        <v>40</v>
      </c>
      <c r="D496">
        <v>4.6271709999999997</v>
      </c>
      <c r="E496">
        <v>0.51725480000000001</v>
      </c>
      <c r="F496" t="s">
        <v>41</v>
      </c>
      <c r="G496">
        <v>-378.50119999999998</v>
      </c>
      <c r="H496" s="1">
        <v>-1.2732919999999999E-6</v>
      </c>
      <c r="I496">
        <v>366.69540000000001</v>
      </c>
      <c r="J496">
        <v>-398.20490000000001</v>
      </c>
      <c r="K496">
        <v>1.0712489999999999</v>
      </c>
      <c r="L496">
        <v>368.30110000000002</v>
      </c>
      <c r="M496">
        <v>0.99997789999999998</v>
      </c>
      <c r="N496">
        <v>0</v>
      </c>
      <c r="O496">
        <v>-3.3009480000000002E-3</v>
      </c>
      <c r="P496">
        <v>0.99267629999999996</v>
      </c>
      <c r="Q496">
        <v>0.1125818</v>
      </c>
      <c r="R496">
        <v>-4.381256E-2</v>
      </c>
      <c r="S496">
        <v>3.0292970000000001</v>
      </c>
      <c r="T496">
        <v>-0.16185939999999999</v>
      </c>
      <c r="U496">
        <v>-0.24319460000000001</v>
      </c>
      <c r="V496">
        <v>4.0531829999999998E-2</v>
      </c>
      <c r="W496">
        <v>0.1183318</v>
      </c>
      <c r="X496">
        <v>0.99214659999999999</v>
      </c>
      <c r="Y496">
        <v>7.6628639999999998E-2</v>
      </c>
      <c r="Z496">
        <v>-1.866485E-3</v>
      </c>
      <c r="AA496">
        <v>0.997058</v>
      </c>
      <c r="AB496">
        <v>33</v>
      </c>
      <c r="AC496">
        <v>19.703700000000001</v>
      </c>
      <c r="AD496">
        <v>-1.071250273292</v>
      </c>
      <c r="AE496">
        <v>-1.6057000000000099</v>
      </c>
      <c r="AF496">
        <v>1.5361385985323099</v>
      </c>
      <c r="AG496">
        <v>-1.071250273292</v>
      </c>
      <c r="AH496">
        <v>19.651189781045399</v>
      </c>
      <c r="AI496">
        <v>93.110819627657193</v>
      </c>
      <c r="AJ496">
        <v>85.530263518605906</v>
      </c>
      <c r="AK496">
        <v>19.7402269174544</v>
      </c>
      <c r="AL496">
        <v>83.204164624358597</v>
      </c>
      <c r="AM496">
        <v>87.660615720428893</v>
      </c>
      <c r="AN496">
        <v>1.0000000600129699</v>
      </c>
    </row>
    <row r="497" spans="1:40" x14ac:dyDescent="0.25">
      <c r="A497" t="str">
        <f>"20190312164003348"</f>
        <v>20190312164003348</v>
      </c>
      <c r="B497" t="str">
        <f>"1552380003336920"</f>
        <v>1552380003336920</v>
      </c>
      <c r="C497" t="s">
        <v>40</v>
      </c>
      <c r="D497">
        <v>4.6618649999999997</v>
      </c>
      <c r="E497">
        <v>0.51724550000000002</v>
      </c>
      <c r="F497" t="s">
        <v>41</v>
      </c>
      <c r="G497">
        <v>-377.91129999999998</v>
      </c>
      <c r="H497" s="1">
        <v>-1.4795129999999999E-6</v>
      </c>
      <c r="I497">
        <v>366.67489999999998</v>
      </c>
      <c r="J497">
        <v>-397.90620000000001</v>
      </c>
      <c r="K497">
        <v>1.073509</v>
      </c>
      <c r="L497">
        <v>368.30020000000002</v>
      </c>
      <c r="M497">
        <v>0.99997720000000001</v>
      </c>
      <c r="N497">
        <v>0</v>
      </c>
      <c r="O497">
        <v>-3.2599640000000002E-3</v>
      </c>
      <c r="P497">
        <v>0.9925891</v>
      </c>
      <c r="Q497">
        <v>0.113248</v>
      </c>
      <c r="R497">
        <v>-4.4066109999999999E-2</v>
      </c>
      <c r="S497">
        <v>3.029541</v>
      </c>
      <c r="T497">
        <v>-0.15992149999999999</v>
      </c>
      <c r="U497">
        <v>-0.24276729999999999</v>
      </c>
      <c r="V497">
        <v>4.0826179999999997E-2</v>
      </c>
      <c r="W497">
        <v>0.1191287</v>
      </c>
      <c r="X497">
        <v>0.99203909999999995</v>
      </c>
      <c r="Y497">
        <v>7.6525940000000001E-2</v>
      </c>
      <c r="Z497">
        <v>-1.8434860000000001E-3</v>
      </c>
      <c r="AA497">
        <v>0.99706589999999995</v>
      </c>
      <c r="AB497">
        <v>33</v>
      </c>
      <c r="AC497">
        <v>19.994900000000001</v>
      </c>
      <c r="AD497">
        <v>-1.0735104795129999</v>
      </c>
      <c r="AE497">
        <v>-1.6253000000000299</v>
      </c>
      <c r="AF497">
        <v>1.5556527851624</v>
      </c>
      <c r="AG497">
        <v>-1.0735104795129999</v>
      </c>
      <c r="AH497">
        <v>19.942983318322099</v>
      </c>
      <c r="AI497">
        <v>93.071886011343096</v>
      </c>
      <c r="AJ497">
        <v>85.539673725075701</v>
      </c>
      <c r="AK497">
        <v>20.032350435545101</v>
      </c>
      <c r="AL497">
        <v>83.158179939239304</v>
      </c>
      <c r="AM497">
        <v>87.643390686735302</v>
      </c>
      <c r="AN497">
        <v>1.0000000000329401</v>
      </c>
    </row>
    <row r="498" spans="1:40" x14ac:dyDescent="0.25">
      <c r="A498" t="str">
        <f>"20190312164003361"</f>
        <v>20190312164003361</v>
      </c>
      <c r="B498" t="str">
        <f>"1552380003356440"</f>
        <v>1552380003356440</v>
      </c>
      <c r="C498" t="s">
        <v>40</v>
      </c>
      <c r="D498">
        <v>4.6576810000000002</v>
      </c>
      <c r="E498">
        <v>0.51720219999999995</v>
      </c>
      <c r="F498" t="s">
        <v>41</v>
      </c>
      <c r="G498">
        <v>-377.4169</v>
      </c>
      <c r="H498" s="1">
        <v>-1.6533969999999901E-6</v>
      </c>
      <c r="I498">
        <v>366.65359999999998</v>
      </c>
      <c r="J498">
        <v>-397.72359999999998</v>
      </c>
      <c r="K498">
        <v>1.0749820000000001</v>
      </c>
      <c r="L498">
        <v>368.29969999999997</v>
      </c>
      <c r="M498">
        <v>0.99997689999999995</v>
      </c>
      <c r="N498">
        <v>0</v>
      </c>
      <c r="O498">
        <v>-3.2342460000000001E-3</v>
      </c>
      <c r="P498">
        <v>0.99260130000000002</v>
      </c>
      <c r="Q498">
        <v>0.11310480000000001</v>
      </c>
      <c r="R498">
        <v>-4.4162809999999997E-2</v>
      </c>
      <c r="S498">
        <v>3.0296940000000001</v>
      </c>
      <c r="T498">
        <v>-0.15873689999999999</v>
      </c>
      <c r="U498">
        <v>-0.2434692</v>
      </c>
      <c r="V498">
        <v>4.0947839999999999E-2</v>
      </c>
      <c r="W498">
        <v>0.1190406</v>
      </c>
      <c r="X498">
        <v>0.9920447</v>
      </c>
      <c r="Y498">
        <v>7.6778230000000003E-2</v>
      </c>
      <c r="Z498">
        <v>-1.837679E-3</v>
      </c>
      <c r="AA498">
        <v>0.99704649999999995</v>
      </c>
      <c r="AB498">
        <v>32</v>
      </c>
      <c r="AC498">
        <v>20.3066999999999</v>
      </c>
      <c r="AD498">
        <v>-1.0749836533970001</v>
      </c>
      <c r="AE498">
        <v>-1.6460999999999899</v>
      </c>
      <c r="AF498">
        <v>1.5760255834374299</v>
      </c>
      <c r="AG498">
        <v>-1.0749836533970001</v>
      </c>
      <c r="AH498">
        <v>20.255524920009101</v>
      </c>
      <c r="AI498">
        <v>93.028764879192394</v>
      </c>
      <c r="AJ498">
        <v>85.550939788545506</v>
      </c>
      <c r="AK498">
        <v>20.3451649361668</v>
      </c>
      <c r="AL498">
        <v>83.163264137881896</v>
      </c>
      <c r="AM498">
        <v>87.636389387562403</v>
      </c>
      <c r="AN498">
        <v>1.0000000384235499</v>
      </c>
    </row>
    <row r="499" spans="1:40" x14ac:dyDescent="0.25">
      <c r="A499" t="str">
        <f>"20190312164003374"</f>
        <v>20190312164003374</v>
      </c>
      <c r="B499" t="str">
        <f>"1552380003367176"</f>
        <v>1552380003367176</v>
      </c>
      <c r="C499" t="s">
        <v>40</v>
      </c>
      <c r="D499">
        <v>4.7987330000000004</v>
      </c>
      <c r="E499">
        <v>0.51726179999999999</v>
      </c>
      <c r="F499" t="s">
        <v>42</v>
      </c>
      <c r="G499">
        <v>-396.73570000000001</v>
      </c>
      <c r="H499">
        <v>1.022939</v>
      </c>
      <c r="I499">
        <v>368.22</v>
      </c>
      <c r="J499">
        <v>-397.5258</v>
      </c>
      <c r="K499">
        <v>1.0766469999999999</v>
      </c>
      <c r="L499">
        <v>368.29899999999998</v>
      </c>
      <c r="M499">
        <v>0.99997760000000002</v>
      </c>
      <c r="N499">
        <v>0</v>
      </c>
      <c r="O499">
        <v>-3.2037110000000001E-3</v>
      </c>
      <c r="P499">
        <v>0.99256040000000001</v>
      </c>
      <c r="Q499">
        <v>0.1133716</v>
      </c>
      <c r="R499">
        <v>-4.4394280000000001E-2</v>
      </c>
      <c r="S499">
        <v>3.0297550000000002</v>
      </c>
      <c r="T499">
        <v>-0.15981770000000001</v>
      </c>
      <c r="U499">
        <v>-0.24319460000000001</v>
      </c>
      <c r="V499">
        <v>4.1208689999999999E-2</v>
      </c>
      <c r="W499">
        <v>0.1192295</v>
      </c>
      <c r="X499">
        <v>0.99201119999999998</v>
      </c>
      <c r="Y499">
        <v>7.6715950000000005E-2</v>
      </c>
      <c r="Z499">
        <v>-1.850111E-3</v>
      </c>
      <c r="AA499">
        <v>0.99705129999999997</v>
      </c>
      <c r="AB499">
        <v>32</v>
      </c>
      <c r="AC499">
        <v>0.79009999999999503</v>
      </c>
      <c r="AD499">
        <v>-5.3707999999999798E-2</v>
      </c>
      <c r="AE499">
        <v>-7.9000000000007703E-2</v>
      </c>
      <c r="AF499">
        <v>7.6120047609827907E-2</v>
      </c>
      <c r="AG499">
        <v>-5.3707999999999798E-2</v>
      </c>
      <c r="AH499">
        <v>0.78674964274240999</v>
      </c>
      <c r="AI499">
        <v>93.887180809680402</v>
      </c>
      <c r="AJ499">
        <v>84.473687457579302</v>
      </c>
      <c r="AK499">
        <v>0.79224605475031096</v>
      </c>
      <c r="AL499">
        <v>83.152363240771507</v>
      </c>
      <c r="AM499">
        <v>87.621269486073302</v>
      </c>
      <c r="AN499">
        <v>1.0000000253636001</v>
      </c>
    </row>
    <row r="500" spans="1:40" x14ac:dyDescent="0.25">
      <c r="A500" t="str">
        <f>"20190312164003386"</f>
        <v>20190312164003386</v>
      </c>
      <c r="B500" t="str">
        <f>"1552380003376936"</f>
        <v>1552380003376936</v>
      </c>
      <c r="C500" t="s">
        <v>40</v>
      </c>
      <c r="D500">
        <v>4.838749</v>
      </c>
      <c r="E500">
        <v>0.51736150000000003</v>
      </c>
      <c r="F500" t="s">
        <v>41</v>
      </c>
      <c r="G500">
        <v>-377.02960000000002</v>
      </c>
      <c r="H500" s="1">
        <v>-1.787152E-6</v>
      </c>
      <c r="I500">
        <v>366.6463</v>
      </c>
      <c r="J500">
        <v>-397.35430000000002</v>
      </c>
      <c r="K500">
        <v>1.0781369999999999</v>
      </c>
      <c r="L500">
        <v>368.29849999999999</v>
      </c>
      <c r="M500">
        <v>0.99997789999999998</v>
      </c>
      <c r="N500">
        <v>0</v>
      </c>
      <c r="O500">
        <v>-3.1753570000000002E-3</v>
      </c>
      <c r="P500">
        <v>0.99253800000000003</v>
      </c>
      <c r="Q500">
        <v>0.11345479999999999</v>
      </c>
      <c r="R500">
        <v>-4.4683210000000001E-2</v>
      </c>
      <c r="S500">
        <v>3.0297550000000002</v>
      </c>
      <c r="T500">
        <v>-0.15915009999999999</v>
      </c>
      <c r="U500">
        <v>-0.24429319999999999</v>
      </c>
      <c r="V500">
        <v>4.1524970000000001E-2</v>
      </c>
      <c r="W500">
        <v>0.1192447</v>
      </c>
      <c r="X500">
        <v>0.99199619999999999</v>
      </c>
      <c r="Y500">
        <v>7.7103710000000006E-2</v>
      </c>
      <c r="Z500">
        <v>-1.854014E-3</v>
      </c>
      <c r="AA500">
        <v>0.99702139999999995</v>
      </c>
      <c r="AB500">
        <v>32</v>
      </c>
      <c r="AC500">
        <v>20.3247</v>
      </c>
      <c r="AD500">
        <v>-1.0781387871520001</v>
      </c>
      <c r="AE500">
        <v>-1.6521999999999899</v>
      </c>
      <c r="AF500">
        <v>1.58322667296022</v>
      </c>
      <c r="AG500">
        <v>-1.0781387871520001</v>
      </c>
      <c r="AH500">
        <v>20.273172752219299</v>
      </c>
      <c r="AI500">
        <v>93.034931044118295</v>
      </c>
      <c r="AJ500">
        <v>85.534568358348693</v>
      </c>
      <c r="AK500">
        <v>20.363460496282599</v>
      </c>
      <c r="AL500">
        <v>83.151486196228504</v>
      </c>
      <c r="AM500">
        <v>87.602997549690997</v>
      </c>
      <c r="AN500">
        <v>1.0000000412130099</v>
      </c>
    </row>
    <row r="501" spans="1:40" x14ac:dyDescent="0.25">
      <c r="A501" t="str">
        <f>"20190312164003405"</f>
        <v>20190312164003405</v>
      </c>
      <c r="B501" t="str">
        <f>"1552380003396458"</f>
        <v>1552380003396458</v>
      </c>
      <c r="C501" t="s">
        <v>40</v>
      </c>
      <c r="D501">
        <v>4.8716650000000001</v>
      </c>
      <c r="E501">
        <v>0.51744599999999996</v>
      </c>
      <c r="F501" t="s">
        <v>41</v>
      </c>
      <c r="G501">
        <v>-376.79230000000001</v>
      </c>
      <c r="H501" s="1">
        <v>-1.888586E-6</v>
      </c>
      <c r="I501">
        <v>366.6275</v>
      </c>
      <c r="J501">
        <v>-397.07260000000002</v>
      </c>
      <c r="K501">
        <v>1.0806559999999901</v>
      </c>
      <c r="L501">
        <v>368.29759999999999</v>
      </c>
      <c r="M501">
        <v>0.99997849999999999</v>
      </c>
      <c r="N501">
        <v>0</v>
      </c>
      <c r="O501">
        <v>-3.1266470000000002E-3</v>
      </c>
      <c r="P501">
        <v>0.99245329999999998</v>
      </c>
      <c r="Q501">
        <v>0.11392919999999999</v>
      </c>
      <c r="R501">
        <v>-4.534958E-2</v>
      </c>
      <c r="S501">
        <v>3.0296020000000001</v>
      </c>
      <c r="T501">
        <v>-0.15885199999999999</v>
      </c>
      <c r="U501">
        <v>-0.2461853</v>
      </c>
      <c r="V501">
        <v>4.2238489999999997E-2</v>
      </c>
      <c r="W501">
        <v>0.1196646</v>
      </c>
      <c r="X501">
        <v>0.99191549999999995</v>
      </c>
      <c r="Y501">
        <v>7.7774309999999999E-2</v>
      </c>
      <c r="Z501">
        <v>-1.87068E-3</v>
      </c>
      <c r="AA501">
        <v>0.9969692</v>
      </c>
      <c r="AB501">
        <v>33</v>
      </c>
      <c r="AC501">
        <v>20.2803</v>
      </c>
      <c r="AD501">
        <v>-1.0806578885860001</v>
      </c>
      <c r="AE501">
        <v>-1.6700999999999899</v>
      </c>
      <c r="AF501">
        <v>1.6021628939471499</v>
      </c>
      <c r="AG501">
        <v>-1.0806578885860001</v>
      </c>
      <c r="AH501">
        <v>20.2283730672263</v>
      </c>
      <c r="AI501">
        <v>93.048469579693503</v>
      </c>
      <c r="AJ501">
        <v>85.471413549882101</v>
      </c>
      <c r="AK501">
        <v>20.320477955938699</v>
      </c>
      <c r="AL501">
        <v>83.127254131922697</v>
      </c>
      <c r="AM501">
        <v>87.561661224573598</v>
      </c>
      <c r="AN501">
        <v>1.0000000328354399</v>
      </c>
    </row>
    <row r="502" spans="1:40" x14ac:dyDescent="0.25">
      <c r="A502" t="str">
        <f>"20190312164003416"</f>
        <v>20190312164003416</v>
      </c>
      <c r="B502" t="str">
        <f>"1552380003407192"</f>
        <v>1552380003407192</v>
      </c>
      <c r="C502" t="s">
        <v>40</v>
      </c>
      <c r="D502">
        <v>4.7044839999999999</v>
      </c>
      <c r="E502">
        <v>0.51743139999999999</v>
      </c>
      <c r="F502" t="s">
        <v>41</v>
      </c>
      <c r="G502">
        <v>-376.27710000000002</v>
      </c>
      <c r="H502" s="1">
        <v>-2.1161520000000001E-6</v>
      </c>
      <c r="I502">
        <v>366.59050000000002</v>
      </c>
      <c r="J502">
        <v>-396.89609999999999</v>
      </c>
      <c r="K502">
        <v>1.082271</v>
      </c>
      <c r="L502">
        <v>368.2971</v>
      </c>
      <c r="M502">
        <v>0.99997849999999999</v>
      </c>
      <c r="N502">
        <v>0</v>
      </c>
      <c r="O502">
        <v>-3.0954649999999999E-3</v>
      </c>
      <c r="P502">
        <v>0.9924347</v>
      </c>
      <c r="Q502">
        <v>0.11405510000000001</v>
      </c>
      <c r="R502">
        <v>-4.544538E-2</v>
      </c>
      <c r="S502">
        <v>3.029541</v>
      </c>
      <c r="T502">
        <v>-0.1574323</v>
      </c>
      <c r="U502">
        <v>-0.24868770000000001</v>
      </c>
      <c r="V502">
        <v>4.2364220000000001E-2</v>
      </c>
      <c r="W502">
        <v>0.1198166</v>
      </c>
      <c r="X502">
        <v>0.99189170000000004</v>
      </c>
      <c r="Y502">
        <v>7.862566E-2</v>
      </c>
      <c r="Z502">
        <v>-1.8776450000000001E-3</v>
      </c>
      <c r="AA502">
        <v>0.99690250000000002</v>
      </c>
      <c r="AB502">
        <v>33</v>
      </c>
      <c r="AC502">
        <v>20.6189999999999</v>
      </c>
      <c r="AD502">
        <v>-1.0822731161520001</v>
      </c>
      <c r="AE502">
        <v>-1.7065999999999799</v>
      </c>
      <c r="AF502">
        <v>1.63828243076078</v>
      </c>
      <c r="AG502">
        <v>-1.0822731161520001</v>
      </c>
      <c r="AH502">
        <v>20.5679027979178</v>
      </c>
      <c r="AI502">
        <v>93.002605854320606</v>
      </c>
      <c r="AJ502">
        <v>85.445869726913998</v>
      </c>
      <c r="AK502">
        <v>20.6614111310307</v>
      </c>
      <c r="AL502">
        <v>83.118481450740305</v>
      </c>
      <c r="AM502">
        <v>87.554353287193095</v>
      </c>
      <c r="AN502">
        <v>0.99999994465032704</v>
      </c>
    </row>
    <row r="503" spans="1:40" x14ac:dyDescent="0.25">
      <c r="A503" t="str">
        <f>"20190312164003438"</f>
        <v>20190312164003438</v>
      </c>
      <c r="B503" t="str">
        <f>"1552380003426711"</f>
        <v>1552380003426711</v>
      </c>
      <c r="C503" t="s">
        <v>40</v>
      </c>
      <c r="D503">
        <v>4.7203489999999997</v>
      </c>
      <c r="E503">
        <v>0.51744230000000002</v>
      </c>
      <c r="F503" t="s">
        <v>41</v>
      </c>
      <c r="G503">
        <v>-376.11509999999998</v>
      </c>
      <c r="H503" s="1">
        <v>-2.1857589999999998E-6</v>
      </c>
      <c r="I503">
        <v>366.5899</v>
      </c>
      <c r="J503">
        <v>-396.59500000000003</v>
      </c>
      <c r="K503">
        <v>1.085037</v>
      </c>
      <c r="L503">
        <v>368.2962</v>
      </c>
      <c r="M503">
        <v>0.99997720000000001</v>
      </c>
      <c r="N503">
        <v>0</v>
      </c>
      <c r="O503">
        <v>-3.0384180000000002E-3</v>
      </c>
      <c r="P503">
        <v>0.99237419999999998</v>
      </c>
      <c r="Q503">
        <v>0.114382</v>
      </c>
      <c r="R503">
        <v>-4.5939960000000002E-2</v>
      </c>
      <c r="S503">
        <v>3.0296020000000001</v>
      </c>
      <c r="T503">
        <v>-0.157781</v>
      </c>
      <c r="U503">
        <v>-0.2488708</v>
      </c>
      <c r="V503">
        <v>4.2914189999999998E-2</v>
      </c>
      <c r="W503">
        <v>0.1203756</v>
      </c>
      <c r="X503">
        <v>0.99180040000000003</v>
      </c>
      <c r="Y503">
        <v>7.8740069999999995E-2</v>
      </c>
      <c r="Z503">
        <v>-1.8876909999999999E-3</v>
      </c>
      <c r="AA503">
        <v>0.99689340000000004</v>
      </c>
      <c r="AB503">
        <v>33</v>
      </c>
      <c r="AC503">
        <v>20.479900000000001</v>
      </c>
      <c r="AD503">
        <v>-1.085039185759</v>
      </c>
      <c r="AE503">
        <v>-1.7062999999999899</v>
      </c>
      <c r="AF503">
        <v>1.6394942359695399</v>
      </c>
      <c r="AG503">
        <v>-1.085039185759</v>
      </c>
      <c r="AH503">
        <v>20.428044728581099</v>
      </c>
      <c r="AI503">
        <v>93.030691603946195</v>
      </c>
      <c r="AJ503">
        <v>85.411445852831093</v>
      </c>
      <c r="AK503">
        <v>20.522433160259499</v>
      </c>
      <c r="AL503">
        <v>83.086219802978903</v>
      </c>
      <c r="AM503">
        <v>87.522415569109597</v>
      </c>
      <c r="AN503">
        <v>0.999999973109437</v>
      </c>
    </row>
    <row r="504" spans="1:40" x14ac:dyDescent="0.25">
      <c r="A504" t="str">
        <f>"20190312164003450"</f>
        <v>20190312164003450</v>
      </c>
      <c r="B504" t="str">
        <f>"1552380003447208"</f>
        <v>1552380003447208</v>
      </c>
      <c r="C504" t="s">
        <v>40</v>
      </c>
      <c r="D504">
        <v>4.7509259999999998</v>
      </c>
      <c r="E504">
        <v>0.51750750000000001</v>
      </c>
      <c r="F504" t="s">
        <v>41</v>
      </c>
      <c r="G504">
        <v>-375.6909</v>
      </c>
      <c r="H504" s="1">
        <v>-2.3716779999999999E-6</v>
      </c>
      <c r="I504">
        <v>366.5677</v>
      </c>
      <c r="J504">
        <v>-396.41800000000001</v>
      </c>
      <c r="K504">
        <v>1.086627</v>
      </c>
      <c r="L504">
        <v>368.29570000000001</v>
      </c>
      <c r="M504">
        <v>0.99997590000000003</v>
      </c>
      <c r="N504">
        <v>0</v>
      </c>
      <c r="O504">
        <v>-3.0027330000000001E-3</v>
      </c>
      <c r="P504">
        <v>0.99238630000000005</v>
      </c>
      <c r="Q504">
        <v>0.1141451</v>
      </c>
      <c r="R504">
        <v>-4.6267349999999999E-2</v>
      </c>
      <c r="S504">
        <v>3.029541</v>
      </c>
      <c r="T504">
        <v>-0.15724969999999999</v>
      </c>
      <c r="U504">
        <v>-0.2504883</v>
      </c>
      <c r="V504">
        <v>4.3276219999999997E-2</v>
      </c>
      <c r="W504">
        <v>0.12036520000000001</v>
      </c>
      <c r="X504">
        <v>0.9917859</v>
      </c>
      <c r="Y504">
        <v>7.9305790000000001E-2</v>
      </c>
      <c r="Z504">
        <v>-1.8978339999999999E-3</v>
      </c>
      <c r="AA504">
        <v>0.99684850000000003</v>
      </c>
      <c r="AB504">
        <v>33</v>
      </c>
      <c r="AC504">
        <v>20.7271</v>
      </c>
      <c r="AD504">
        <v>-1.086629371678</v>
      </c>
      <c r="AE504">
        <v>-1.728</v>
      </c>
      <c r="AF504">
        <v>1.66121880249098</v>
      </c>
      <c r="AG504">
        <v>-1.086629371678</v>
      </c>
      <c r="AH504">
        <v>20.675761587219402</v>
      </c>
      <c r="AI504">
        <v>92.998806520418896</v>
      </c>
      <c r="AJ504">
        <v>85.406369827611201</v>
      </c>
      <c r="AK504">
        <v>20.7708336017763</v>
      </c>
      <c r="AL504">
        <v>83.086819827400305</v>
      </c>
      <c r="AM504">
        <v>87.501504220557095</v>
      </c>
      <c r="AN504">
        <v>0.99999994201366704</v>
      </c>
    </row>
    <row r="505" spans="1:40" x14ac:dyDescent="0.25">
      <c r="A505" t="str">
        <f>"20190312164003462"</f>
        <v>20190312164003462</v>
      </c>
      <c r="B505" t="str">
        <f>"1552380003456968"</f>
        <v>1552380003456968</v>
      </c>
      <c r="C505" t="s">
        <v>40</v>
      </c>
      <c r="D505">
        <v>4.7546429999999997</v>
      </c>
      <c r="E505">
        <v>0.51761279999999998</v>
      </c>
      <c r="F505" t="s">
        <v>41</v>
      </c>
      <c r="G505">
        <v>-375.68020000000001</v>
      </c>
      <c r="H505" s="1">
        <v>-2.3753290000000001E-6</v>
      </c>
      <c r="I505">
        <v>366.57310000000001</v>
      </c>
      <c r="J505">
        <v>-396.2296</v>
      </c>
      <c r="K505">
        <v>1.088292</v>
      </c>
      <c r="L505">
        <v>368.29520000000002</v>
      </c>
      <c r="M505">
        <v>0.99997440000000004</v>
      </c>
      <c r="N505">
        <v>0</v>
      </c>
      <c r="O505">
        <v>-2.964211E-3</v>
      </c>
      <c r="P505">
        <v>0.99238150000000003</v>
      </c>
      <c r="Q505">
        <v>0.11418250000000001</v>
      </c>
      <c r="R505">
        <v>-4.6284119999999998E-2</v>
      </c>
      <c r="S505">
        <v>3.029541</v>
      </c>
      <c r="T505">
        <v>-0.15874279999999999</v>
      </c>
      <c r="U505">
        <v>-0.25164789999999998</v>
      </c>
      <c r="V505">
        <v>4.3330750000000001E-2</v>
      </c>
      <c r="W505">
        <v>0.1206653</v>
      </c>
      <c r="X505">
        <v>0.99174709999999999</v>
      </c>
      <c r="Y505">
        <v>7.9720609999999997E-2</v>
      </c>
      <c r="Z505">
        <v>-1.9286539999999999E-3</v>
      </c>
      <c r="AA505">
        <v>0.99681540000000002</v>
      </c>
      <c r="AB505">
        <v>33</v>
      </c>
      <c r="AC505">
        <v>20.549399999999899</v>
      </c>
      <c r="AD505">
        <v>-1.088294375329</v>
      </c>
      <c r="AE505">
        <v>-1.72210000000001</v>
      </c>
      <c r="AF505">
        <v>1.65656453464556</v>
      </c>
      <c r="AG505">
        <v>-1.088294375329</v>
      </c>
      <c r="AH505">
        <v>20.4973255087166</v>
      </c>
      <c r="AI505">
        <v>93.029375769456195</v>
      </c>
      <c r="AJ505">
        <v>85.379479436344496</v>
      </c>
      <c r="AK505">
        <v>20.592934315320399</v>
      </c>
      <c r="AL505">
        <v>83.069499450793799</v>
      </c>
      <c r="AM505">
        <v>87.498262252595296</v>
      </c>
      <c r="AN505">
        <v>0.99999998943903101</v>
      </c>
    </row>
    <row r="506" spans="1:40" x14ac:dyDescent="0.25">
      <c r="A506" t="str">
        <f>"20190312164003475"</f>
        <v>20190312164003475</v>
      </c>
      <c r="B506" t="str">
        <f>"1552380003466728"</f>
        <v>1552380003466728</v>
      </c>
      <c r="C506" t="s">
        <v>40</v>
      </c>
      <c r="D506">
        <v>4.9666540000000001</v>
      </c>
      <c r="E506">
        <v>0.51761279999999998</v>
      </c>
      <c r="F506" t="s">
        <v>42</v>
      </c>
      <c r="G506">
        <v>-395.267</v>
      </c>
      <c r="H506">
        <v>1.0378810000000001</v>
      </c>
      <c r="I506">
        <v>368.21449999999999</v>
      </c>
      <c r="J506">
        <v>-396.04129999999998</v>
      </c>
      <c r="K506">
        <v>1.089906</v>
      </c>
      <c r="L506">
        <v>368.2946</v>
      </c>
      <c r="M506">
        <v>0.99997239999999998</v>
      </c>
      <c r="N506">
        <v>0</v>
      </c>
      <c r="O506">
        <v>-2.9241760000000001E-3</v>
      </c>
      <c r="P506">
        <v>0.99241769999999996</v>
      </c>
      <c r="Q506">
        <v>0.11384379999999999</v>
      </c>
      <c r="R506">
        <v>-4.633495E-2</v>
      </c>
      <c r="S506">
        <v>3.029541</v>
      </c>
      <c r="T506">
        <v>-0.158914</v>
      </c>
      <c r="U506">
        <v>-0.25280760000000002</v>
      </c>
      <c r="V506">
        <v>4.3420819999999999E-2</v>
      </c>
      <c r="W506">
        <v>0.1206246</v>
      </c>
      <c r="X506">
        <v>0.99174810000000002</v>
      </c>
      <c r="Y506">
        <v>8.0138580000000001E-2</v>
      </c>
      <c r="Z506">
        <v>-1.9437320000000001E-3</v>
      </c>
      <c r="AA506">
        <v>0.99678180000000005</v>
      </c>
      <c r="AB506">
        <v>33</v>
      </c>
      <c r="AC506">
        <v>0.774299999999982</v>
      </c>
      <c r="AD506">
        <v>-5.2024999999999898E-2</v>
      </c>
      <c r="AE506">
        <v>-8.0100000000015797E-2</v>
      </c>
      <c r="AF506">
        <v>7.7489297023412701E-2</v>
      </c>
      <c r="AG506">
        <v>-5.2024999999999898E-2</v>
      </c>
      <c r="AH506">
        <v>0.771086740372812</v>
      </c>
      <c r="AI506">
        <v>93.840593909724205</v>
      </c>
      <c r="AJ506">
        <v>84.261405976315004</v>
      </c>
      <c r="AK506">
        <v>0.77671484661808299</v>
      </c>
      <c r="AL506">
        <v>83.071848466427795</v>
      </c>
      <c r="AM506">
        <v>87.493071136643294</v>
      </c>
      <c r="AN506">
        <v>0.99999997779412098</v>
      </c>
    </row>
    <row r="507" spans="1:40" x14ac:dyDescent="0.25">
      <c r="A507" t="str">
        <f>"20190312164003495"</f>
        <v>20190312164003495</v>
      </c>
      <c r="B507" t="str">
        <f>"1552380003487223"</f>
        <v>1552380003487223</v>
      </c>
      <c r="C507" t="s">
        <v>40</v>
      </c>
      <c r="D507">
        <v>4.7720180000000001</v>
      </c>
      <c r="E507">
        <v>0.52772089999999905</v>
      </c>
      <c r="F507" t="s">
        <v>41</v>
      </c>
      <c r="G507">
        <v>-375.404</v>
      </c>
      <c r="H507" s="1">
        <v>-2.4937809999999998E-6</v>
      </c>
      <c r="I507">
        <v>366.57319999999999</v>
      </c>
      <c r="J507">
        <v>-395.76119999999997</v>
      </c>
      <c r="K507">
        <v>1.0921730000000001</v>
      </c>
      <c r="L507">
        <v>368.29390000000001</v>
      </c>
      <c r="M507">
        <v>0.99996910000000006</v>
      </c>
      <c r="N507">
        <v>0</v>
      </c>
      <c r="O507">
        <v>-2.863263E-3</v>
      </c>
      <c r="P507">
        <v>0.99239630000000001</v>
      </c>
      <c r="Q507">
        <v>0.1140422</v>
      </c>
      <c r="R507">
        <v>-4.6304970000000001E-2</v>
      </c>
      <c r="S507">
        <v>3.02948</v>
      </c>
      <c r="T507">
        <v>-0.1599942</v>
      </c>
      <c r="U507">
        <v>-0.25268550000000001</v>
      </c>
      <c r="V507">
        <v>4.3450809999999999E-2</v>
      </c>
      <c r="W507">
        <v>0.1213043</v>
      </c>
      <c r="X507">
        <v>0.99166390000000004</v>
      </c>
      <c r="Y507">
        <v>8.0159519999999998E-2</v>
      </c>
      <c r="Z507">
        <v>-1.960729E-3</v>
      </c>
      <c r="AA507">
        <v>0.99678009999999995</v>
      </c>
      <c r="AB507">
        <v>33</v>
      </c>
      <c r="AC507">
        <v>20.357199999999899</v>
      </c>
      <c r="AD507">
        <v>-1.092175493781</v>
      </c>
      <c r="AE507">
        <v>-1.7207000000000201</v>
      </c>
      <c r="AF507">
        <v>1.65766581493677</v>
      </c>
      <c r="AG507">
        <v>-1.092175493781</v>
      </c>
      <c r="AH507">
        <v>20.304015323889999</v>
      </c>
      <c r="AI507">
        <v>93.068845043807698</v>
      </c>
      <c r="AJ507">
        <v>85.332594508241101</v>
      </c>
      <c r="AK507">
        <v>20.4008269816688</v>
      </c>
      <c r="AL507">
        <v>83.032616580103806</v>
      </c>
      <c r="AM507">
        <v>87.491129123610193</v>
      </c>
      <c r="AN507">
        <v>0.99999999832567799</v>
      </c>
    </row>
    <row r="508" spans="1:40" x14ac:dyDescent="0.25">
      <c r="A508" t="str">
        <f>"20190312164003508"</f>
        <v>20190312164003508</v>
      </c>
      <c r="B508" t="str">
        <f>"1552380003496984"</f>
        <v>1552380003496984</v>
      </c>
      <c r="C508" t="s">
        <v>40</v>
      </c>
      <c r="D508">
        <v>4.7442669999999998</v>
      </c>
      <c r="E508">
        <v>0.52772089999999905</v>
      </c>
      <c r="F508" t="s">
        <v>41</v>
      </c>
      <c r="G508">
        <v>-371.21559999999999</v>
      </c>
      <c r="H508" s="1">
        <v>-4.4671760000000004E-6</v>
      </c>
      <c r="I508">
        <v>365.57760000000002</v>
      </c>
      <c r="J508">
        <v>-395.55770000000001</v>
      </c>
      <c r="K508">
        <v>1.093707</v>
      </c>
      <c r="L508">
        <v>368.29340000000002</v>
      </c>
      <c r="M508">
        <v>0.99996660000000004</v>
      </c>
      <c r="N508">
        <v>0</v>
      </c>
      <c r="O508">
        <v>-2.8187099999999999E-3</v>
      </c>
      <c r="P508">
        <v>0.99243179999999998</v>
      </c>
      <c r="Q508">
        <v>0.1137426</v>
      </c>
      <c r="R508">
        <v>-4.628082E-2</v>
      </c>
      <c r="S508">
        <v>3.0228579999999998</v>
      </c>
      <c r="T508">
        <v>-0.1345046</v>
      </c>
      <c r="U508">
        <v>-0.3345032</v>
      </c>
      <c r="V508">
        <v>4.3470410000000001E-2</v>
      </c>
      <c r="W508">
        <v>0.1213687</v>
      </c>
      <c r="X508">
        <v>0.99165519999999996</v>
      </c>
      <c r="Y508">
        <v>0.1070825</v>
      </c>
      <c r="Z508">
        <v>-2.2489739999999999E-3</v>
      </c>
      <c r="AA508">
        <v>0.99424760000000001</v>
      </c>
      <c r="AB508">
        <v>33</v>
      </c>
      <c r="AC508">
        <v>24.342099999999999</v>
      </c>
      <c r="AD508">
        <v>-1.093711467176</v>
      </c>
      <c r="AE508">
        <v>-2.7158000000000002</v>
      </c>
      <c r="AF508">
        <v>2.64190600952496</v>
      </c>
      <c r="AG508">
        <v>-1.093711467176</v>
      </c>
      <c r="AH508">
        <v>24.3012028863889</v>
      </c>
      <c r="AI508">
        <v>92.561867497040396</v>
      </c>
      <c r="AJ508">
        <v>83.795454777038699</v>
      </c>
      <c r="AK508">
        <v>24.468844146424999</v>
      </c>
      <c r="AL508">
        <v>83.028899535710593</v>
      </c>
      <c r="AM508">
        <v>87.489976864533105</v>
      </c>
      <c r="AN508">
        <v>1.0000000367861399</v>
      </c>
    </row>
    <row r="509" spans="1:40" x14ac:dyDescent="0.25">
      <c r="A509" t="str">
        <f>"20190312164003528"</f>
        <v>20190312164003528</v>
      </c>
      <c r="B509" t="str">
        <f>"1552380003516503"</f>
        <v>1552380003516503</v>
      </c>
      <c r="C509" t="s">
        <v>40</v>
      </c>
      <c r="D509">
        <v>4.8356750000000002</v>
      </c>
      <c r="E509">
        <v>0.52218129999999996</v>
      </c>
      <c r="F509" t="s">
        <v>41</v>
      </c>
      <c r="G509">
        <v>-371.16609999999997</v>
      </c>
      <c r="H509" s="1">
        <v>-4.4850640000000003E-6</v>
      </c>
      <c r="I509">
        <v>365.59660000000002</v>
      </c>
      <c r="J509">
        <v>-395.2731</v>
      </c>
      <c r="K509">
        <v>1.09571</v>
      </c>
      <c r="L509">
        <v>368.29259999999999</v>
      </c>
      <c r="M509">
        <v>0.99996269999999998</v>
      </c>
      <c r="N509">
        <v>0</v>
      </c>
      <c r="O509">
        <v>-2.7562229999999999E-3</v>
      </c>
      <c r="P509">
        <v>0.99249779999999999</v>
      </c>
      <c r="Q509">
        <v>0.11312419999999999</v>
      </c>
      <c r="R509">
        <v>-4.6382300000000001E-2</v>
      </c>
      <c r="S509">
        <v>3.0227970000000002</v>
      </c>
      <c r="T509">
        <v>-0.1355411</v>
      </c>
      <c r="U509">
        <v>-0.334198</v>
      </c>
      <c r="V509">
        <v>4.3633379999999999E-2</v>
      </c>
      <c r="W509">
        <v>0.1212627</v>
      </c>
      <c r="X509">
        <v>0.99166100000000001</v>
      </c>
      <c r="Y509">
        <v>0.10704610000000001</v>
      </c>
      <c r="Z509">
        <v>-2.268323E-3</v>
      </c>
      <c r="AA509">
        <v>0.99425149999999995</v>
      </c>
      <c r="AB509">
        <v>33</v>
      </c>
      <c r="AC509">
        <v>24.106999999999999</v>
      </c>
      <c r="AD509">
        <v>-1.0957144850639999</v>
      </c>
      <c r="AE509">
        <v>-2.6959999999999602</v>
      </c>
      <c r="AF509">
        <v>2.6241889300433501</v>
      </c>
      <c r="AG509">
        <v>-1.0957144850639999</v>
      </c>
      <c r="AH509">
        <v>24.065237294117001</v>
      </c>
      <c r="AI509">
        <v>92.591592722612901</v>
      </c>
      <c r="AJ509">
        <v>83.776781869982401</v>
      </c>
      <c r="AK509">
        <v>24.232676364683702</v>
      </c>
      <c r="AL509">
        <v>83.035018008483604</v>
      </c>
      <c r="AM509">
        <v>87.480593639673998</v>
      </c>
      <c r="AN509">
        <v>1.0000000265912501</v>
      </c>
    </row>
    <row r="510" spans="1:40" x14ac:dyDescent="0.25">
      <c r="A510" t="str">
        <f>"20190312164003549"</f>
        <v>20190312164003549</v>
      </c>
      <c r="B510" t="str">
        <f>"1552380003536999"</f>
        <v>1552380003536999</v>
      </c>
      <c r="C510" t="s">
        <v>40</v>
      </c>
      <c r="D510">
        <v>4.8307159999999998</v>
      </c>
      <c r="E510">
        <v>0.52234859999999905</v>
      </c>
      <c r="F510" t="s">
        <v>42</v>
      </c>
      <c r="G510">
        <v>-394.39389999999997</v>
      </c>
      <c r="H510">
        <v>1.037358</v>
      </c>
      <c r="I510">
        <v>368.209</v>
      </c>
      <c r="J510">
        <v>-394.96510000000001</v>
      </c>
      <c r="K510">
        <v>1.097672</v>
      </c>
      <c r="L510">
        <v>368.29180000000002</v>
      </c>
      <c r="M510">
        <v>0.99995829999999997</v>
      </c>
      <c r="N510">
        <v>0</v>
      </c>
      <c r="O510">
        <v>-2.6885289999999998E-3</v>
      </c>
      <c r="P510">
        <v>0.99261029999999995</v>
      </c>
      <c r="Q510">
        <v>0.11213380000000001</v>
      </c>
      <c r="R510">
        <v>-4.6381980000000003E-2</v>
      </c>
      <c r="S510">
        <v>3.0322269999999998</v>
      </c>
      <c r="T510">
        <v>-0.20159089999999999</v>
      </c>
      <c r="U510">
        <v>-0.2868347</v>
      </c>
      <c r="V510">
        <v>4.3699519999999999E-2</v>
      </c>
      <c r="W510">
        <v>0.1208182</v>
      </c>
      <c r="X510">
        <v>0.99171229999999999</v>
      </c>
      <c r="Y510">
        <v>9.1304090000000004E-2</v>
      </c>
      <c r="Z510">
        <v>-2.8468510000000001E-3</v>
      </c>
      <c r="AA510">
        <v>0.99581900000000001</v>
      </c>
      <c r="AB510">
        <v>33</v>
      </c>
      <c r="AC510">
        <v>0.57120000000003202</v>
      </c>
      <c r="AD510">
        <v>-6.0313999999999902E-2</v>
      </c>
      <c r="AE510">
        <v>-8.2800000000020094E-2</v>
      </c>
      <c r="AF510">
        <v>8.0386125785875007E-2</v>
      </c>
      <c r="AG510">
        <v>-6.0313999999999902E-2</v>
      </c>
      <c r="AH510">
        <v>0.56524796066414495</v>
      </c>
      <c r="AI510">
        <v>96.0303985175957</v>
      </c>
      <c r="AJ510">
        <v>81.906018015242793</v>
      </c>
      <c r="AK510">
        <v>0.57411232772849996</v>
      </c>
      <c r="AL510">
        <v>83.060674335402794</v>
      </c>
      <c r="AM510">
        <v>87.476909979574998</v>
      </c>
      <c r="AN510">
        <v>0.99999998573537996</v>
      </c>
    </row>
    <row r="511" spans="1:40" x14ac:dyDescent="0.25">
      <c r="A511" t="str">
        <f>"20190312164003572"</f>
        <v>20190312164003572</v>
      </c>
      <c r="B511" t="str">
        <f>"1552380003567255"</f>
        <v>1552380003567255</v>
      </c>
      <c r="C511" t="s">
        <v>40</v>
      </c>
      <c r="D511">
        <v>4.8624330000000002</v>
      </c>
      <c r="E511">
        <v>0.52242420000000001</v>
      </c>
      <c r="F511" t="s">
        <v>42</v>
      </c>
      <c r="G511">
        <v>-394.10120000000001</v>
      </c>
      <c r="H511">
        <v>1.039506</v>
      </c>
      <c r="I511">
        <v>368.20949999999999</v>
      </c>
      <c r="J511">
        <v>-394.63490000000002</v>
      </c>
      <c r="K511">
        <v>1.0995379999999999</v>
      </c>
      <c r="L511">
        <v>368.291</v>
      </c>
      <c r="M511">
        <v>0.99995339999999999</v>
      </c>
      <c r="N511">
        <v>0</v>
      </c>
      <c r="O511">
        <v>-2.6164019999999999E-3</v>
      </c>
      <c r="P511">
        <v>0.99267399999999995</v>
      </c>
      <c r="Q511">
        <v>0.1114749</v>
      </c>
      <c r="R511">
        <v>-4.6605599999999997E-2</v>
      </c>
      <c r="S511">
        <v>3.031952</v>
      </c>
      <c r="T511">
        <v>-0.20419380000000001</v>
      </c>
      <c r="U511">
        <v>-0.28820800000000002</v>
      </c>
      <c r="V511">
        <v>4.3994289999999998E-2</v>
      </c>
      <c r="W511">
        <v>0.1207193</v>
      </c>
      <c r="X511">
        <v>0.99171129999999996</v>
      </c>
      <c r="Y511">
        <v>9.1824989999999995E-2</v>
      </c>
      <c r="Z511">
        <v>-2.9060480000000001E-3</v>
      </c>
      <c r="AA511">
        <v>0.99577090000000001</v>
      </c>
      <c r="AB511">
        <v>33</v>
      </c>
      <c r="AC511">
        <v>0.53370000000001006</v>
      </c>
      <c r="AD511">
        <v>-6.0031999999999801E-2</v>
      </c>
      <c r="AE511">
        <v>-8.1500000000005401E-2</v>
      </c>
      <c r="AF511">
        <v>7.9124983570403803E-2</v>
      </c>
      <c r="AG511">
        <v>-6.0031999999999801E-2</v>
      </c>
      <c r="AH511">
        <v>0.52739074582481704</v>
      </c>
      <c r="AI511">
        <v>96.422659360694297</v>
      </c>
      <c r="AJ511">
        <v>81.467494913724494</v>
      </c>
      <c r="AK511">
        <v>0.53666153470383304</v>
      </c>
      <c r="AL511">
        <v>83.066382592703107</v>
      </c>
      <c r="AM511">
        <v>87.459910429508099</v>
      </c>
      <c r="AN511">
        <v>0.99999997474639102</v>
      </c>
    </row>
    <row r="512" spans="1:40" x14ac:dyDescent="0.25">
      <c r="A512" t="str">
        <f>"20190312164003583"</f>
        <v>20190312164003583</v>
      </c>
      <c r="B512" t="str">
        <f>"1552380003577016"</f>
        <v>1552380003577016</v>
      </c>
      <c r="C512" t="s">
        <v>40</v>
      </c>
      <c r="D512">
        <v>4.8648470000000001</v>
      </c>
      <c r="E512">
        <v>0.52243269999999997</v>
      </c>
      <c r="F512" t="s">
        <v>42</v>
      </c>
      <c r="G512">
        <v>-393.80680000000001</v>
      </c>
      <c r="H512">
        <v>1.0437179999999999</v>
      </c>
      <c r="I512">
        <v>368.2115</v>
      </c>
      <c r="J512">
        <v>-394.45859999999999</v>
      </c>
      <c r="K512">
        <v>1.1004400000000001</v>
      </c>
      <c r="L512">
        <v>368.29059999999998</v>
      </c>
      <c r="M512">
        <v>0.99995069999999997</v>
      </c>
      <c r="N512">
        <v>0</v>
      </c>
      <c r="O512">
        <v>-2.5781559999999999E-3</v>
      </c>
      <c r="P512">
        <v>0.99271399999999999</v>
      </c>
      <c r="Q512">
        <v>0.1111592</v>
      </c>
      <c r="R512">
        <v>-4.6502149999999999E-2</v>
      </c>
      <c r="S512">
        <v>3.0315859999999999</v>
      </c>
      <c r="T512">
        <v>-0.20471300000000001</v>
      </c>
      <c r="U512">
        <v>-0.28933720000000002</v>
      </c>
      <c r="V512">
        <v>4.3928809999999999E-2</v>
      </c>
      <c r="W512">
        <v>0.120689</v>
      </c>
      <c r="X512">
        <v>0.99171790000000004</v>
      </c>
      <c r="Y512">
        <v>9.2239870000000002E-2</v>
      </c>
      <c r="Z512">
        <v>-2.930251E-3</v>
      </c>
      <c r="AA512">
        <v>0.99573250000000002</v>
      </c>
      <c r="AB512">
        <v>33</v>
      </c>
      <c r="AC512">
        <v>0.65179999999997995</v>
      </c>
      <c r="AD512">
        <v>-5.6721999999999898E-2</v>
      </c>
      <c r="AE512">
        <v>-7.9099999999982601E-2</v>
      </c>
      <c r="AF512">
        <v>7.68457030038385E-2</v>
      </c>
      <c r="AG512">
        <v>-5.6721999999999898E-2</v>
      </c>
      <c r="AH512">
        <v>0.64717180340366998</v>
      </c>
      <c r="AI512">
        <v>94.9741778549906</v>
      </c>
      <c r="AJ512">
        <v>83.2283593604092</v>
      </c>
      <c r="AK512">
        <v>0.65418192460118696</v>
      </c>
      <c r="AL512">
        <v>83.068131506859302</v>
      </c>
      <c r="AM512">
        <v>87.463702952026296</v>
      </c>
      <c r="AN512">
        <v>0.99999998412471303</v>
      </c>
    </row>
    <row r="513" spans="1:40" x14ac:dyDescent="0.25">
      <c r="A513" t="str">
        <f>"20190312164003594"</f>
        <v>20190312164003594</v>
      </c>
      <c r="B513" t="str">
        <f>"1552380003586776"</f>
        <v>1552380003586776</v>
      </c>
      <c r="C513" t="s">
        <v>40</v>
      </c>
      <c r="D513">
        <v>4.9712529999999999</v>
      </c>
      <c r="E513">
        <v>0.52258059999999995</v>
      </c>
      <c r="F513" t="s">
        <v>42</v>
      </c>
      <c r="G513">
        <v>-393.52190000000002</v>
      </c>
      <c r="H513">
        <v>1.0368809999999999</v>
      </c>
      <c r="I513">
        <v>368.2011</v>
      </c>
      <c r="J513">
        <v>-394.2901</v>
      </c>
      <c r="K513">
        <v>1.1012459999999999</v>
      </c>
      <c r="L513">
        <v>368.29020000000003</v>
      </c>
      <c r="M513">
        <v>0.99994810000000001</v>
      </c>
      <c r="N513">
        <v>0</v>
      </c>
      <c r="O513">
        <v>-2.5416359999999999E-3</v>
      </c>
      <c r="P513">
        <v>0.99275899999999995</v>
      </c>
      <c r="Q513">
        <v>0.11074970000000001</v>
      </c>
      <c r="R513">
        <v>-4.6517290000000003E-2</v>
      </c>
      <c r="S513">
        <v>3.0315249999999998</v>
      </c>
      <c r="T513">
        <v>-0.20579230000000001</v>
      </c>
      <c r="U513">
        <v>-0.28900150000000002</v>
      </c>
      <c r="V513">
        <v>4.398005E-2</v>
      </c>
      <c r="W513">
        <v>0.1205432</v>
      </c>
      <c r="X513">
        <v>0.99173339999999999</v>
      </c>
      <c r="Y513">
        <v>9.2166789999999998E-2</v>
      </c>
      <c r="Z513">
        <v>-2.9457379999999998E-3</v>
      </c>
      <c r="AA513">
        <v>0.99573920000000005</v>
      </c>
      <c r="AB513">
        <v>33</v>
      </c>
      <c r="AC513">
        <v>0.76819999999997801</v>
      </c>
      <c r="AD513">
        <v>-6.4364999999999895E-2</v>
      </c>
      <c r="AE513">
        <v>-8.9100000000030294E-2</v>
      </c>
      <c r="AF513">
        <v>8.6547613872072396E-2</v>
      </c>
      <c r="AG513">
        <v>-6.4364999999999895E-2</v>
      </c>
      <c r="AH513">
        <v>0.76313770634217604</v>
      </c>
      <c r="AI513">
        <v>94.790498735760593</v>
      </c>
      <c r="AJ513">
        <v>83.529718618770104</v>
      </c>
      <c r="AK513">
        <v>0.77072206503586405</v>
      </c>
      <c r="AL513">
        <v>83.076546934226599</v>
      </c>
      <c r="AM513">
        <v>87.460788036772399</v>
      </c>
      <c r="AN513">
        <v>1.0000000222698999</v>
      </c>
    </row>
    <row r="514" spans="1:40" x14ac:dyDescent="0.25">
      <c r="A514" t="str">
        <f>"20190312164003607"</f>
        <v>20190312164003607</v>
      </c>
      <c r="B514" t="str">
        <f>"1552380003596536"</f>
        <v>1552380003596536</v>
      </c>
      <c r="C514" t="s">
        <v>40</v>
      </c>
      <c r="D514">
        <v>4.8687750000000003</v>
      </c>
      <c r="E514">
        <v>0.52262649999999999</v>
      </c>
      <c r="F514" t="s">
        <v>42</v>
      </c>
      <c r="G514">
        <v>-393.50970000000001</v>
      </c>
      <c r="H514">
        <v>1.0475859999999999</v>
      </c>
      <c r="I514">
        <v>368.21519999999998</v>
      </c>
      <c r="J514">
        <v>-394.1241</v>
      </c>
      <c r="K514">
        <v>1.1019699999999999</v>
      </c>
      <c r="L514">
        <v>368.28980000000001</v>
      </c>
      <c r="M514">
        <v>0.9999458</v>
      </c>
      <c r="N514">
        <v>0</v>
      </c>
      <c r="O514">
        <v>-2.5057790000000001E-3</v>
      </c>
      <c r="P514">
        <v>0.99277729999999997</v>
      </c>
      <c r="Q514">
        <v>0.1106263</v>
      </c>
      <c r="R514">
        <v>-4.6422539999999998E-2</v>
      </c>
      <c r="S514">
        <v>3.0315249999999998</v>
      </c>
      <c r="T514">
        <v>-0.20857829999999999</v>
      </c>
      <c r="U514">
        <v>-0.29031370000000001</v>
      </c>
      <c r="V514">
        <v>4.392049E-2</v>
      </c>
      <c r="W514">
        <v>0.1206653</v>
      </c>
      <c r="X514">
        <v>0.99172119999999997</v>
      </c>
      <c r="Y514">
        <v>9.2622889999999999E-2</v>
      </c>
      <c r="Z514">
        <v>-3.0035579999999999E-3</v>
      </c>
      <c r="AA514">
        <v>0.99569669999999999</v>
      </c>
      <c r="AB514">
        <v>33</v>
      </c>
      <c r="AC514">
        <v>0.61439999999998895</v>
      </c>
      <c r="AD514">
        <v>-5.4383999999999898E-2</v>
      </c>
      <c r="AE514">
        <v>-7.4600000000032196E-2</v>
      </c>
      <c r="AF514">
        <v>7.25003479252148E-2</v>
      </c>
      <c r="AG514">
        <v>-5.4383999999999898E-2</v>
      </c>
      <c r="AH514">
        <v>0.60987604566187803</v>
      </c>
      <c r="AI514">
        <v>95.060270830437602</v>
      </c>
      <c r="AJ514">
        <v>83.220654269965394</v>
      </c>
      <c r="AK514">
        <v>0.61657336220229797</v>
      </c>
      <c r="AL514">
        <v>83.069499742318399</v>
      </c>
      <c r="AM514">
        <v>87.464191119882898</v>
      </c>
      <c r="AN514">
        <v>1.00000003129768</v>
      </c>
    </row>
    <row r="515" spans="1:40" x14ac:dyDescent="0.25">
      <c r="A515" t="str">
        <f>"20190312164003627"</f>
        <v>20190312164003627</v>
      </c>
      <c r="B515" t="str">
        <f>"1552380003617035"</f>
        <v>1552380003617035</v>
      </c>
      <c r="C515" t="s">
        <v>40</v>
      </c>
      <c r="D515">
        <v>4.8591689999999996</v>
      </c>
      <c r="E515">
        <v>0.52266889999999999</v>
      </c>
      <c r="F515" t="s">
        <v>42</v>
      </c>
      <c r="G515">
        <v>-393.2287</v>
      </c>
      <c r="H515">
        <v>1.0404990000000001</v>
      </c>
      <c r="I515">
        <v>368.20370000000003</v>
      </c>
      <c r="J515">
        <v>-393.82380000000001</v>
      </c>
      <c r="K515">
        <v>1.103173</v>
      </c>
      <c r="L515">
        <v>368.28910000000002</v>
      </c>
      <c r="M515">
        <v>0.99994159999999999</v>
      </c>
      <c r="N515">
        <v>0</v>
      </c>
      <c r="O515">
        <v>-2.4409459999999998E-3</v>
      </c>
      <c r="P515">
        <v>0.99284110000000003</v>
      </c>
      <c r="Q515">
        <v>0.10999920000000001</v>
      </c>
      <c r="R515">
        <v>-4.6551540000000002E-2</v>
      </c>
      <c r="S515">
        <v>3.0314640000000002</v>
      </c>
      <c r="T515">
        <v>-0.20836750000000001</v>
      </c>
      <c r="U515">
        <v>-0.29025269999999997</v>
      </c>
      <c r="V515">
        <v>4.4113729999999997E-2</v>
      </c>
      <c r="W515">
        <v>0.12046080000000001</v>
      </c>
      <c r="X515">
        <v>0.99173739999999999</v>
      </c>
      <c r="Y515">
        <v>9.2669650000000006E-2</v>
      </c>
      <c r="Z515">
        <v>-3.0066329999999999E-3</v>
      </c>
      <c r="AA515">
        <v>0.99569240000000003</v>
      </c>
      <c r="AB515">
        <v>33</v>
      </c>
      <c r="AC515">
        <v>0.59510000000000196</v>
      </c>
      <c r="AD515">
        <v>-6.2673999999999896E-2</v>
      </c>
      <c r="AE515">
        <v>-8.5399999999992801E-2</v>
      </c>
      <c r="AF515">
        <v>8.3044545786085305E-2</v>
      </c>
      <c r="AG515">
        <v>-6.2673999999999896E-2</v>
      </c>
      <c r="AH515">
        <v>0.58890657090427501</v>
      </c>
      <c r="AI515">
        <v>96.015725787464604</v>
      </c>
      <c r="AJ515">
        <v>81.973371191770397</v>
      </c>
      <c r="AK515">
        <v>0.59802623363448604</v>
      </c>
      <c r="AL515">
        <v>83.081302245546098</v>
      </c>
      <c r="AM515">
        <v>87.453090356604307</v>
      </c>
      <c r="AN515">
        <v>0.99999994803495496</v>
      </c>
    </row>
    <row r="516" spans="1:40" x14ac:dyDescent="0.25">
      <c r="A516" t="str">
        <f>"20190312164003639"</f>
        <v>20190312164003639</v>
      </c>
      <c r="B516" t="str">
        <f>"1552380003626792"</f>
        <v>1552380003626792</v>
      </c>
      <c r="C516" t="s">
        <v>40</v>
      </c>
      <c r="D516">
        <v>4.8967140000000002</v>
      </c>
      <c r="E516">
        <v>0.52249599999999996</v>
      </c>
      <c r="F516" t="s">
        <v>42</v>
      </c>
      <c r="G516">
        <v>-392.93720000000002</v>
      </c>
      <c r="H516">
        <v>1.0421640000000001</v>
      </c>
      <c r="I516">
        <v>368.2038</v>
      </c>
      <c r="J516">
        <v>-393.65800000000002</v>
      </c>
      <c r="K516">
        <v>1.103785</v>
      </c>
      <c r="L516">
        <v>368.28879999999998</v>
      </c>
      <c r="M516">
        <v>0.99993920000000003</v>
      </c>
      <c r="N516">
        <v>0</v>
      </c>
      <c r="O516">
        <v>-2.4048070000000001E-3</v>
      </c>
      <c r="P516">
        <v>0.99288419999999999</v>
      </c>
      <c r="Q516">
        <v>0.1095812</v>
      </c>
      <c r="R516">
        <v>-4.6615160000000003E-2</v>
      </c>
      <c r="S516">
        <v>3.0310969999999999</v>
      </c>
      <c r="T516">
        <v>-0.20863770000000001</v>
      </c>
      <c r="U516">
        <v>-0.29122920000000002</v>
      </c>
      <c r="V516">
        <v>4.4213019999999999E-2</v>
      </c>
      <c r="W516">
        <v>0.12026480000000001</v>
      </c>
      <c r="X516">
        <v>0.99175679999999999</v>
      </c>
      <c r="Y516">
        <v>9.3033370000000004E-2</v>
      </c>
      <c r="Z516">
        <v>-3.0257919999999998E-3</v>
      </c>
      <c r="AA516">
        <v>0.99565840000000005</v>
      </c>
      <c r="AB516">
        <v>33</v>
      </c>
      <c r="AC516">
        <v>0.720799999999997</v>
      </c>
      <c r="AD516">
        <v>-6.1621000000000099E-2</v>
      </c>
      <c r="AE516">
        <v>-8.4999999999979495E-2</v>
      </c>
      <c r="AF516">
        <v>8.2670359872773894E-2</v>
      </c>
      <c r="AG516">
        <v>-6.1621000000000099E-2</v>
      </c>
      <c r="AH516">
        <v>0.715842361564616</v>
      </c>
      <c r="AI516">
        <v>94.8876682954172</v>
      </c>
      <c r="AJ516">
        <v>83.412276306518805</v>
      </c>
      <c r="AK516">
        <v>0.723230131184328</v>
      </c>
      <c r="AL516">
        <v>83.092614693430505</v>
      </c>
      <c r="AM516">
        <v>87.447415281403707</v>
      </c>
      <c r="AN516">
        <v>0.99999998180139904</v>
      </c>
    </row>
    <row r="517" spans="1:40" x14ac:dyDescent="0.25">
      <c r="A517" t="str">
        <f>"20190312164003651"</f>
        <v>20190312164003651</v>
      </c>
      <c r="B517" t="str">
        <f>"1552380003647288"</f>
        <v>1552380003647288</v>
      </c>
      <c r="C517" t="s">
        <v>40</v>
      </c>
      <c r="D517">
        <v>4.8920510000000004</v>
      </c>
      <c r="E517">
        <v>0.52238329999999999</v>
      </c>
      <c r="F517" t="s">
        <v>42</v>
      </c>
      <c r="G517">
        <v>-392.6524</v>
      </c>
      <c r="H517">
        <v>1.033927</v>
      </c>
      <c r="I517">
        <v>368.19220000000001</v>
      </c>
      <c r="J517">
        <v>-393.47449999999998</v>
      </c>
      <c r="K517">
        <v>1.1043810000000001</v>
      </c>
      <c r="L517">
        <v>368.28840000000002</v>
      </c>
      <c r="M517">
        <v>0.99993690000000002</v>
      </c>
      <c r="N517">
        <v>0</v>
      </c>
      <c r="O517">
        <v>-2.365027E-3</v>
      </c>
      <c r="P517">
        <v>0.99290610000000001</v>
      </c>
      <c r="Q517">
        <v>0.10943410000000001</v>
      </c>
      <c r="R517">
        <v>-4.6498629999999999E-2</v>
      </c>
      <c r="S517">
        <v>3.0311279999999998</v>
      </c>
      <c r="T517">
        <v>-0.21077409999999999</v>
      </c>
      <c r="U517">
        <v>-0.2901917</v>
      </c>
      <c r="V517">
        <v>4.4135649999999998E-2</v>
      </c>
      <c r="W517">
        <v>0.1203444</v>
      </c>
      <c r="X517">
        <v>0.99175060000000004</v>
      </c>
      <c r="Y517">
        <v>9.2730549999999995E-2</v>
      </c>
      <c r="Z517">
        <v>-3.0489839999999998E-3</v>
      </c>
      <c r="AA517">
        <v>0.99568659999999998</v>
      </c>
      <c r="AB517">
        <v>32</v>
      </c>
      <c r="AC517">
        <v>0.82209999999997696</v>
      </c>
      <c r="AD517">
        <v>-7.0454000000000003E-2</v>
      </c>
      <c r="AE517">
        <v>-9.6200000000010194E-2</v>
      </c>
      <c r="AF517">
        <v>9.3577330450312607E-2</v>
      </c>
      <c r="AG517">
        <v>-7.0454000000000003E-2</v>
      </c>
      <c r="AH517">
        <v>0.81641010515107204</v>
      </c>
      <c r="AI517">
        <v>94.900325199307801</v>
      </c>
      <c r="AJ517">
        <v>83.461264740992505</v>
      </c>
      <c r="AK517">
        <v>0.82477023629795898</v>
      </c>
      <c r="AL517">
        <v>83.088020649100699</v>
      </c>
      <c r="AM517">
        <v>87.451860342382005</v>
      </c>
      <c r="AN517">
        <v>0.99999999140632101</v>
      </c>
    </row>
    <row r="518" spans="1:40" x14ac:dyDescent="0.25">
      <c r="A518" t="str">
        <f>"20190312164003672"</f>
        <v>20190312164003672</v>
      </c>
      <c r="B518" t="str">
        <f>"1552380003666810"</f>
        <v>1552380003666810</v>
      </c>
      <c r="C518" t="s">
        <v>40</v>
      </c>
      <c r="D518">
        <v>4.934577</v>
      </c>
      <c r="E518">
        <v>0.52227239999999997</v>
      </c>
      <c r="F518" t="s">
        <v>42</v>
      </c>
      <c r="G518">
        <v>-392.64400000000001</v>
      </c>
      <c r="H518">
        <v>1.0462089999999999</v>
      </c>
      <c r="I518">
        <v>368.209</v>
      </c>
      <c r="J518">
        <v>-393.16680000000002</v>
      </c>
      <c r="K518">
        <v>1.105291</v>
      </c>
      <c r="L518">
        <v>368.28769999999997</v>
      </c>
      <c r="M518">
        <v>0.99993310000000002</v>
      </c>
      <c r="N518">
        <v>0</v>
      </c>
      <c r="O518">
        <v>-2.2983550000000002E-3</v>
      </c>
      <c r="P518">
        <v>0.99293679999999995</v>
      </c>
      <c r="Q518">
        <v>0.109154399999999</v>
      </c>
      <c r="R518">
        <v>-4.6496740000000002E-2</v>
      </c>
      <c r="S518">
        <v>3.031342</v>
      </c>
      <c r="T518">
        <v>-0.2125523</v>
      </c>
      <c r="U518">
        <v>-0.28878779999999998</v>
      </c>
      <c r="V518">
        <v>4.420023E-2</v>
      </c>
      <c r="W518">
        <v>0.1204234</v>
      </c>
      <c r="X518">
        <v>0.99173809999999996</v>
      </c>
      <c r="Y518">
        <v>9.2330510000000005E-2</v>
      </c>
      <c r="Z518">
        <v>-3.0651789999999999E-3</v>
      </c>
      <c r="AA518">
        <v>0.99572369999999999</v>
      </c>
      <c r="AB518">
        <v>32</v>
      </c>
      <c r="AC518">
        <v>0.52280000000001703</v>
      </c>
      <c r="AD518">
        <v>-5.9082000000000003E-2</v>
      </c>
      <c r="AE518">
        <v>-7.8699999999969295E-2</v>
      </c>
      <c r="AF518">
        <v>7.6542243118370504E-2</v>
      </c>
      <c r="AG518">
        <v>-5.9082000000000003E-2</v>
      </c>
      <c r="AH518">
        <v>0.51652888087218396</v>
      </c>
      <c r="AI518">
        <v>96.455402838853502</v>
      </c>
      <c r="AJ518">
        <v>81.570920280414001</v>
      </c>
      <c r="AK518">
        <v>0.52550117267296603</v>
      </c>
      <c r="AL518">
        <v>83.083460885847103</v>
      </c>
      <c r="AM518">
        <v>87.448104666704396</v>
      </c>
      <c r="AN518">
        <v>0.99999995729560998</v>
      </c>
    </row>
    <row r="519" spans="1:40" x14ac:dyDescent="0.25">
      <c r="A519" t="str">
        <f>"20190312164003684"</f>
        <v>20190312164003684</v>
      </c>
      <c r="B519" t="str">
        <f>"1552380003676567"</f>
        <v>1552380003676567</v>
      </c>
      <c r="C519" t="s">
        <v>40</v>
      </c>
      <c r="D519">
        <v>4.9162140000000001</v>
      </c>
      <c r="E519">
        <v>0.52228779999999997</v>
      </c>
      <c r="F519" t="s">
        <v>42</v>
      </c>
      <c r="G519">
        <v>-392.35270000000003</v>
      </c>
      <c r="H519">
        <v>1.0482340000000001</v>
      </c>
      <c r="I519">
        <v>368.21019999999999</v>
      </c>
      <c r="J519">
        <v>-392.9914</v>
      </c>
      <c r="K519">
        <v>1.1057509999999999</v>
      </c>
      <c r="L519">
        <v>368.28730000000002</v>
      </c>
      <c r="M519">
        <v>0.99993089999999996</v>
      </c>
      <c r="N519">
        <v>0</v>
      </c>
      <c r="O519">
        <v>-2.260092E-3</v>
      </c>
      <c r="P519">
        <v>0.99294320000000003</v>
      </c>
      <c r="Q519">
        <v>0.1090835</v>
      </c>
      <c r="R519">
        <v>-4.652626E-2</v>
      </c>
      <c r="S519">
        <v>3.0312190000000001</v>
      </c>
      <c r="T519">
        <v>-0.21266789999999999</v>
      </c>
      <c r="U519">
        <v>-0.28805540000000002</v>
      </c>
      <c r="V519">
        <v>4.4267670000000002E-2</v>
      </c>
      <c r="W519">
        <v>0.1205418</v>
      </c>
      <c r="X519">
        <v>0.99172070000000001</v>
      </c>
      <c r="Y519">
        <v>9.2134069999999998E-2</v>
      </c>
      <c r="Z519">
        <v>-3.0628069999999999E-3</v>
      </c>
      <c r="AA519">
        <v>0.99574189999999996</v>
      </c>
      <c r="AB519">
        <v>32</v>
      </c>
      <c r="AC519">
        <v>0.63869999999997096</v>
      </c>
      <c r="AD519">
        <v>-5.7516999999999797E-2</v>
      </c>
      <c r="AE519">
        <v>-7.7100000000029895E-2</v>
      </c>
      <c r="AF519">
        <v>7.5056253318744201E-2</v>
      </c>
      <c r="AG519">
        <v>-5.7516999999999797E-2</v>
      </c>
      <c r="AH519">
        <v>0.63380654756300303</v>
      </c>
      <c r="AI519">
        <v>95.1495173280844</v>
      </c>
      <c r="AJ519">
        <v>83.246406815956604</v>
      </c>
      <c r="AK519">
        <v>0.640821649279252</v>
      </c>
      <c r="AL519">
        <v>83.076627231111701</v>
      </c>
      <c r="AM519">
        <v>87.444171402402105</v>
      </c>
      <c r="AN519">
        <v>0.99999994948147797</v>
      </c>
    </row>
    <row r="520" spans="1:40" x14ac:dyDescent="0.25">
      <c r="A520" t="str">
        <f>"20190312164003697"</f>
        <v>20190312164003697</v>
      </c>
      <c r="B520" t="str">
        <f>"1552380003687304"</f>
        <v>1552380003687304</v>
      </c>
      <c r="C520" t="s">
        <v>40</v>
      </c>
      <c r="D520">
        <v>4.9351629999999904</v>
      </c>
      <c r="E520">
        <v>0.52234829999999999</v>
      </c>
      <c r="F520" t="s">
        <v>42</v>
      </c>
      <c r="G520">
        <v>-392.06939999999997</v>
      </c>
      <c r="H520">
        <v>1.0412269999999999</v>
      </c>
      <c r="I520">
        <v>368.19900000000001</v>
      </c>
      <c r="J520">
        <v>-392.81349999999998</v>
      </c>
      <c r="K520">
        <v>1.1061780000000001</v>
      </c>
      <c r="L520">
        <v>368.28699999999998</v>
      </c>
      <c r="M520">
        <v>0.9999287</v>
      </c>
      <c r="N520">
        <v>0</v>
      </c>
      <c r="O520">
        <v>-2.2215799999999999E-3</v>
      </c>
      <c r="P520">
        <v>0.99293710000000002</v>
      </c>
      <c r="Q520">
        <v>0.10912910000000001</v>
      </c>
      <c r="R520">
        <v>-4.6547570000000003E-2</v>
      </c>
      <c r="S520">
        <v>3.031158</v>
      </c>
      <c r="T520">
        <v>-0.21250579999999999</v>
      </c>
      <c r="U520">
        <v>-0.28833009999999998</v>
      </c>
      <c r="V520">
        <v>4.4327239999999997E-2</v>
      </c>
      <c r="W520">
        <v>0.1207709</v>
      </c>
      <c r="X520">
        <v>0.99169019999999997</v>
      </c>
      <c r="Y520">
        <v>9.2263639999999994E-2</v>
      </c>
      <c r="Z520">
        <v>-3.0677429999999999E-3</v>
      </c>
      <c r="AA520">
        <v>0.99572989999999995</v>
      </c>
      <c r="AB520">
        <v>32</v>
      </c>
      <c r="AC520">
        <v>0.74410000000000298</v>
      </c>
      <c r="AD520">
        <v>-6.4950999999999898E-2</v>
      </c>
      <c r="AE520">
        <v>-8.7999999999965398E-2</v>
      </c>
      <c r="AF520">
        <v>8.5702613306659001E-2</v>
      </c>
      <c r="AG520">
        <v>-6.4950999999999898E-2</v>
      </c>
      <c r="AH520">
        <v>0.73874268934177301</v>
      </c>
      <c r="AI520">
        <v>94.991277387459604</v>
      </c>
      <c r="AJ520">
        <v>83.382614567055597</v>
      </c>
      <c r="AK520">
        <v>0.74652818525793496</v>
      </c>
      <c r="AL520">
        <v>83.063404402109597</v>
      </c>
      <c r="AM520">
        <v>87.440658044692199</v>
      </c>
      <c r="AN520">
        <v>0.99999998363443299</v>
      </c>
    </row>
    <row r="521" spans="1:40" x14ac:dyDescent="0.25">
      <c r="A521" t="str">
        <f>"20190312164003710"</f>
        <v>20190312164003710</v>
      </c>
      <c r="B521" t="str">
        <f>"1552380003706823"</f>
        <v>1552380003706823</v>
      </c>
      <c r="C521" t="s">
        <v>40</v>
      </c>
      <c r="D521">
        <v>4.9239769999999998</v>
      </c>
      <c r="E521">
        <v>0.52857390000000004</v>
      </c>
      <c r="F521" t="s">
        <v>41</v>
      </c>
      <c r="G521">
        <v>-377.03590000000003</v>
      </c>
      <c r="H521" s="1">
        <v>-1.7565630000000001E-6</v>
      </c>
      <c r="I521">
        <v>366.78269999999998</v>
      </c>
      <c r="J521">
        <v>-392.62520000000001</v>
      </c>
      <c r="K521">
        <v>1.106582</v>
      </c>
      <c r="L521">
        <v>368.28660000000002</v>
      </c>
      <c r="M521">
        <v>0.9999268</v>
      </c>
      <c r="N521">
        <v>0</v>
      </c>
      <c r="O521">
        <v>-2.1806680000000002E-3</v>
      </c>
      <c r="P521">
        <v>0.99296620000000002</v>
      </c>
      <c r="Q521">
        <v>0.108972</v>
      </c>
      <c r="R521">
        <v>-4.629598E-2</v>
      </c>
      <c r="S521">
        <v>3.031158</v>
      </c>
      <c r="T521">
        <v>-0.21251490000000001</v>
      </c>
      <c r="U521">
        <v>-0.28897089999999998</v>
      </c>
      <c r="V521">
        <v>4.4116240000000001E-2</v>
      </c>
      <c r="W521">
        <v>0.1207917</v>
      </c>
      <c r="X521">
        <v>0.9916971</v>
      </c>
      <c r="Y521">
        <v>9.2512259999999999E-2</v>
      </c>
      <c r="Z521">
        <v>-3.0793859999999999E-3</v>
      </c>
      <c r="AA521">
        <v>0.9957068</v>
      </c>
      <c r="AB521">
        <v>32</v>
      </c>
      <c r="AC521">
        <v>15.5892999999999</v>
      </c>
      <c r="AD521">
        <v>-1.1065837565629999</v>
      </c>
      <c r="AE521">
        <v>-1.50390000000004</v>
      </c>
      <c r="AF521">
        <v>1.4625973444251299</v>
      </c>
      <c r="AG521">
        <v>-1.1065837565629999</v>
      </c>
      <c r="AH521">
        <v>15.515088186901799</v>
      </c>
      <c r="AI521">
        <v>94.061655968106606</v>
      </c>
      <c r="AJ521">
        <v>84.614678832923303</v>
      </c>
      <c r="AK521">
        <v>15.623113647719199</v>
      </c>
      <c r="AL521">
        <v>83.062204029255298</v>
      </c>
      <c r="AM521">
        <v>87.452842263029794</v>
      </c>
      <c r="AN521">
        <v>1.0000000077845099</v>
      </c>
    </row>
    <row r="522" spans="1:40" x14ac:dyDescent="0.25">
      <c r="A522" t="str">
        <f>"20190312164003729"</f>
        <v>20190312164003729</v>
      </c>
      <c r="B522" t="str">
        <f>"1552380003716584"</f>
        <v>1552380003716584</v>
      </c>
      <c r="C522" t="s">
        <v>40</v>
      </c>
      <c r="D522">
        <v>5.19834</v>
      </c>
      <c r="E522">
        <v>0.52868440000000005</v>
      </c>
      <c r="F522" t="s">
        <v>41</v>
      </c>
      <c r="G522">
        <v>-372.99689999999998</v>
      </c>
      <c r="H522" s="1">
        <v>-3.6140960000000002E-6</v>
      </c>
      <c r="I522">
        <v>366.07900000000001</v>
      </c>
      <c r="J522">
        <v>-392.34960000000001</v>
      </c>
      <c r="K522">
        <v>1.107121</v>
      </c>
      <c r="L522">
        <v>368.286</v>
      </c>
      <c r="M522">
        <v>0.99992400000000004</v>
      </c>
      <c r="N522">
        <v>0</v>
      </c>
      <c r="O522">
        <v>-2.1211020000000001E-3</v>
      </c>
      <c r="P522">
        <v>0.99295999999999995</v>
      </c>
      <c r="Q522">
        <v>0.1090836</v>
      </c>
      <c r="R522">
        <v>-4.6168000000000001E-2</v>
      </c>
      <c r="S522">
        <v>3.0241389999999999</v>
      </c>
      <c r="T522">
        <v>-0.17049159999999999</v>
      </c>
      <c r="U522">
        <v>-0.34011839999999999</v>
      </c>
      <c r="V522">
        <v>4.4047309999999999E-2</v>
      </c>
      <c r="W522">
        <v>0.12114809999999999</v>
      </c>
      <c r="X522">
        <v>0.99165669999999995</v>
      </c>
      <c r="Y522">
        <v>0.1094866</v>
      </c>
      <c r="Z522">
        <v>-2.9550259999999999E-3</v>
      </c>
      <c r="AA522">
        <v>0.99398390000000003</v>
      </c>
      <c r="AB522">
        <v>32</v>
      </c>
      <c r="AC522">
        <v>19.352699999999999</v>
      </c>
      <c r="AD522">
        <v>-1.107124614096</v>
      </c>
      <c r="AE522">
        <v>-2.2069999999999901</v>
      </c>
      <c r="AF522">
        <v>2.1589679540793498</v>
      </c>
      <c r="AG522">
        <v>-1.107124614096</v>
      </c>
      <c r="AH522">
        <v>19.2950014968342</v>
      </c>
      <c r="AI522">
        <v>93.2636416608715</v>
      </c>
      <c r="AJ522">
        <v>83.615581886083802</v>
      </c>
      <c r="AK522">
        <v>19.446952211097599</v>
      </c>
      <c r="AL522">
        <v>83.041632821062393</v>
      </c>
      <c r="AM522">
        <v>87.456713400768393</v>
      </c>
      <c r="AN522">
        <v>1.00000001915336</v>
      </c>
    </row>
    <row r="523" spans="1:40" x14ac:dyDescent="0.25">
      <c r="A523" t="str">
        <f>"20190312164003751"</f>
        <v>20190312164003751</v>
      </c>
      <c r="B523" t="str">
        <f>"1552380003747253"</f>
        <v>1552380003747253</v>
      </c>
      <c r="C523" t="s">
        <v>40</v>
      </c>
      <c r="D523">
        <v>4.9322290000000004</v>
      </c>
      <c r="E523">
        <v>0.528111199999999</v>
      </c>
      <c r="F523" t="s">
        <v>41</v>
      </c>
      <c r="G523">
        <v>-371.3098</v>
      </c>
      <c r="H523" s="1">
        <v>-4.3677630000000004E-6</v>
      </c>
      <c r="I523">
        <v>365.91039999999998</v>
      </c>
      <c r="J523">
        <v>-392.04140000000001</v>
      </c>
      <c r="K523">
        <v>1.107639</v>
      </c>
      <c r="L523">
        <v>368.28550000000001</v>
      </c>
      <c r="M523">
        <v>0.9999209</v>
      </c>
      <c r="N523">
        <v>0</v>
      </c>
      <c r="O523">
        <v>-2.0543150000000001E-3</v>
      </c>
      <c r="P523">
        <v>0.99301450000000002</v>
      </c>
      <c r="Q523">
        <v>0.1087504</v>
      </c>
      <c r="R523">
        <v>-4.5776369999999997E-2</v>
      </c>
      <c r="S523">
        <v>3.022888</v>
      </c>
      <c r="T523">
        <v>-0.1590654</v>
      </c>
      <c r="U523">
        <v>-0.34130860000000002</v>
      </c>
      <c r="V523">
        <v>4.3722150000000001E-2</v>
      </c>
      <c r="W523">
        <v>0.1210639</v>
      </c>
      <c r="X523">
        <v>0.99168129999999999</v>
      </c>
      <c r="Y523">
        <v>0.11000600000000001</v>
      </c>
      <c r="Z523">
        <v>-2.7754479999999998E-3</v>
      </c>
      <c r="AA523">
        <v>0.99392709999999995</v>
      </c>
      <c r="AB523">
        <v>32</v>
      </c>
      <c r="AC523">
        <v>20.7316</v>
      </c>
      <c r="AD523">
        <v>-1.107643367763</v>
      </c>
      <c r="AE523">
        <v>-2.37510000000003</v>
      </c>
      <c r="AF523">
        <v>2.3259489997212</v>
      </c>
      <c r="AG523">
        <v>-1.107643367763</v>
      </c>
      <c r="AH523">
        <v>20.678174089228602</v>
      </c>
      <c r="AI523">
        <v>93.046986277638496</v>
      </c>
      <c r="AJ523">
        <v>83.582158863278394</v>
      </c>
      <c r="AK523">
        <v>20.838037245477299</v>
      </c>
      <c r="AL523">
        <v>83.046492397292994</v>
      </c>
      <c r="AM523">
        <v>87.475526264859397</v>
      </c>
      <c r="AN523">
        <v>0.99999994752675903</v>
      </c>
    </row>
    <row r="524" spans="1:40" x14ac:dyDescent="0.25">
      <c r="A524" t="str">
        <f>"20190312164003762"</f>
        <v>20190312164003762</v>
      </c>
      <c r="B524" t="str">
        <f>"1552380003757014"</f>
        <v>1552380003757014</v>
      </c>
      <c r="C524" t="s">
        <v>40</v>
      </c>
      <c r="D524">
        <v>4.9178230000000003</v>
      </c>
      <c r="E524">
        <v>0.528111199999999</v>
      </c>
      <c r="F524" t="s">
        <v>41</v>
      </c>
      <c r="G524">
        <v>-369.67039999999997</v>
      </c>
      <c r="H524" s="1">
        <v>-1.115793E-6</v>
      </c>
      <c r="I524">
        <v>365.7919</v>
      </c>
      <c r="J524">
        <v>-391.86649999999997</v>
      </c>
      <c r="K524">
        <v>1.1078969999999999</v>
      </c>
      <c r="L524">
        <v>368.28519999999997</v>
      </c>
      <c r="M524">
        <v>0.99991949999999996</v>
      </c>
      <c r="N524">
        <v>0</v>
      </c>
      <c r="O524">
        <v>-2.0166189999999999E-3</v>
      </c>
      <c r="P524">
        <v>0.9930158</v>
      </c>
      <c r="Q524">
        <v>0.10872510000000001</v>
      </c>
      <c r="R524">
        <v>-4.5811289999999998E-2</v>
      </c>
      <c r="S524">
        <v>3.0219420000000001</v>
      </c>
      <c r="T524">
        <v>-0.1496229</v>
      </c>
      <c r="U524">
        <v>-0.33682250000000002</v>
      </c>
      <c r="V524">
        <v>4.3794310000000003E-2</v>
      </c>
      <c r="W524">
        <v>0.1211685</v>
      </c>
      <c r="X524">
        <v>0.99166540000000003</v>
      </c>
      <c r="Y524">
        <v>0.1086394</v>
      </c>
      <c r="Z524">
        <v>-2.5800760000000002E-3</v>
      </c>
      <c r="AA524">
        <v>0.99407789999999996</v>
      </c>
      <c r="AB524">
        <v>32</v>
      </c>
      <c r="AC524">
        <v>22.196100000000001</v>
      </c>
      <c r="AD524">
        <v>-1.1078981157929999</v>
      </c>
      <c r="AE524">
        <v>-2.4932999999999699</v>
      </c>
      <c r="AF524">
        <v>2.4425208325278498</v>
      </c>
      <c r="AG524">
        <v>-1.1078981157929999</v>
      </c>
      <c r="AH524">
        <v>22.146594452493702</v>
      </c>
      <c r="AI524">
        <v>92.846640314492603</v>
      </c>
      <c r="AJ524">
        <v>83.706354090119703</v>
      </c>
      <c r="AK524">
        <v>22.308406310078201</v>
      </c>
      <c r="AL524">
        <v>83.040455222598794</v>
      </c>
      <c r="AM524">
        <v>87.471324730688707</v>
      </c>
      <c r="AN524">
        <v>1.0000000062688901</v>
      </c>
    </row>
    <row r="525" spans="1:40" x14ac:dyDescent="0.25">
      <c r="A525" t="str">
        <f>"20190312164003774"</f>
        <v>20190312164003774</v>
      </c>
      <c r="B525" t="str">
        <f>"1552380003766774"</f>
        <v>1552380003766774</v>
      </c>
      <c r="C525" t="s">
        <v>40</v>
      </c>
      <c r="D525">
        <v>5.1211880000000001</v>
      </c>
      <c r="E525">
        <v>0.52836209999999995</v>
      </c>
      <c r="F525" t="s">
        <v>41</v>
      </c>
      <c r="G525">
        <v>-369.49419999999998</v>
      </c>
      <c r="H525" s="1">
        <v>-1.1760710000000001E-6</v>
      </c>
      <c r="I525">
        <v>365.79079999999999</v>
      </c>
      <c r="J525">
        <v>-391.68619999999999</v>
      </c>
      <c r="K525">
        <v>1.1081379999999901</v>
      </c>
      <c r="L525">
        <v>368.28480000000002</v>
      </c>
      <c r="M525">
        <v>0.99991799999999997</v>
      </c>
      <c r="N525">
        <v>0</v>
      </c>
      <c r="O525">
        <v>-1.9773550000000001E-3</v>
      </c>
      <c r="P525">
        <v>0.99302599999999996</v>
      </c>
      <c r="Q525">
        <v>0.10869959999999999</v>
      </c>
      <c r="R525">
        <v>-4.5652440000000002E-2</v>
      </c>
      <c r="S525">
        <v>3.0219420000000001</v>
      </c>
      <c r="T525">
        <v>-0.1496487</v>
      </c>
      <c r="U525">
        <v>-0.33691409999999899</v>
      </c>
      <c r="V525">
        <v>4.3674289999999998E-2</v>
      </c>
      <c r="W525">
        <v>0.1212683</v>
      </c>
      <c r="X525">
        <v>0.9916585</v>
      </c>
      <c r="Y525">
        <v>0.108708</v>
      </c>
      <c r="Z525">
        <v>-2.584144E-3</v>
      </c>
      <c r="AA525">
        <v>0.99407040000000002</v>
      </c>
      <c r="AB525">
        <v>32</v>
      </c>
      <c r="AC525">
        <v>22.192</v>
      </c>
      <c r="AD525">
        <v>-1.10813917607099</v>
      </c>
      <c r="AE525">
        <v>-2.4940000000000202</v>
      </c>
      <c r="AF525">
        <v>2.4440920051911799</v>
      </c>
      <c r="AG525">
        <v>-1.10813917607099</v>
      </c>
      <c r="AH525">
        <v>22.142366872287798</v>
      </c>
      <c r="AI525">
        <v>92.847772884285902</v>
      </c>
      <c r="AJ525">
        <v>83.701145434571202</v>
      </c>
      <c r="AK525">
        <v>22.3043934880635</v>
      </c>
      <c r="AL525">
        <v>83.034694667350195</v>
      </c>
      <c r="AM525">
        <v>87.478228180941997</v>
      </c>
      <c r="AN525">
        <v>1.00000001240707</v>
      </c>
    </row>
    <row r="526" spans="1:40" x14ac:dyDescent="0.25">
      <c r="A526" t="str">
        <f>"20190312164003787"</f>
        <v>20190312164003787</v>
      </c>
      <c r="B526" t="str">
        <f>"1552380003776533"</f>
        <v>1552380003776533</v>
      </c>
      <c r="C526" t="s">
        <v>40</v>
      </c>
      <c r="D526">
        <v>4.9323050000000004</v>
      </c>
      <c r="E526">
        <v>0.52822760000000002</v>
      </c>
      <c r="F526" t="s">
        <v>41</v>
      </c>
      <c r="G526">
        <v>-369.99250000000001</v>
      </c>
      <c r="H526" s="1">
        <v>-4.9423899999999996E-6</v>
      </c>
      <c r="I526">
        <v>365.85660000000001</v>
      </c>
      <c r="J526">
        <v>-391.51369999999997</v>
      </c>
      <c r="K526">
        <v>1.1083430000000001</v>
      </c>
      <c r="L526">
        <v>368.28449999999998</v>
      </c>
      <c r="M526">
        <v>0.99991660000000004</v>
      </c>
      <c r="N526">
        <v>0</v>
      </c>
      <c r="O526">
        <v>-1.939915E-3</v>
      </c>
      <c r="P526">
        <v>0.99305900000000003</v>
      </c>
      <c r="Q526">
        <v>0.1084048</v>
      </c>
      <c r="R526">
        <v>-4.5633380000000001E-2</v>
      </c>
      <c r="S526">
        <v>3.0224299999999999</v>
      </c>
      <c r="T526">
        <v>-0.1543891</v>
      </c>
      <c r="U526">
        <v>-0.33828740000000002</v>
      </c>
      <c r="V526">
        <v>4.3692340000000003E-2</v>
      </c>
      <c r="W526">
        <v>0.1210852</v>
      </c>
      <c r="X526">
        <v>0.99168009999999995</v>
      </c>
      <c r="Y526">
        <v>0.10916480000000001</v>
      </c>
      <c r="Z526">
        <v>-2.6789320000000002E-3</v>
      </c>
      <c r="AA526">
        <v>0.99402000000000001</v>
      </c>
      <c r="AB526">
        <v>32</v>
      </c>
      <c r="AC526">
        <v>21.521199999999901</v>
      </c>
      <c r="AD526">
        <v>-1.10834794239</v>
      </c>
      <c r="AE526">
        <v>-2.4278999999999602</v>
      </c>
      <c r="AF526">
        <v>2.37990986869108</v>
      </c>
      <c r="AG526">
        <v>-1.10834794239</v>
      </c>
      <c r="AH526">
        <v>21.469641929342199</v>
      </c>
      <c r="AI526">
        <v>92.937252483198193</v>
      </c>
      <c r="AJ526">
        <v>83.674586635685301</v>
      </c>
      <c r="AK526">
        <v>21.629561500841</v>
      </c>
      <c r="AL526">
        <v>83.045263553381901</v>
      </c>
      <c r="AM526">
        <v>87.477242191583002</v>
      </c>
      <c r="AN526">
        <v>1.00000003348486</v>
      </c>
    </row>
    <row r="527" spans="1:40" x14ac:dyDescent="0.25">
      <c r="A527" t="str">
        <f>"20190312164003798"</f>
        <v>20190312164003798</v>
      </c>
      <c r="B527" t="str">
        <f>"1552380003787270"</f>
        <v>1552380003787270</v>
      </c>
      <c r="C527" t="s">
        <v>40</v>
      </c>
      <c r="D527">
        <v>4.9278329999999997</v>
      </c>
      <c r="E527">
        <v>0.52841190000000005</v>
      </c>
      <c r="F527" t="s">
        <v>41</v>
      </c>
      <c r="G527">
        <v>-369.6721</v>
      </c>
      <c r="H527" s="1">
        <v>-1.1002249999999999E-6</v>
      </c>
      <c r="I527">
        <v>365.84829999999999</v>
      </c>
      <c r="J527">
        <v>-391.346</v>
      </c>
      <c r="K527">
        <v>1.1085290000000001</v>
      </c>
      <c r="L527">
        <v>368.2842</v>
      </c>
      <c r="M527">
        <v>0.9999152</v>
      </c>
      <c r="N527">
        <v>0</v>
      </c>
      <c r="O527">
        <v>-1.9035129999999999E-3</v>
      </c>
      <c r="P527">
        <v>0.99310240000000005</v>
      </c>
      <c r="Q527">
        <v>0.10815</v>
      </c>
      <c r="R527">
        <v>-4.528923E-2</v>
      </c>
      <c r="S527">
        <v>3.0222470000000001</v>
      </c>
      <c r="T527">
        <v>-0.153362</v>
      </c>
      <c r="U527">
        <v>-0.33709719999999999</v>
      </c>
      <c r="V527">
        <v>4.3384409999999998E-2</v>
      </c>
      <c r="W527">
        <v>0.1209356</v>
      </c>
      <c r="X527">
        <v>0.99171189999999998</v>
      </c>
      <c r="Y527">
        <v>0.10882319999999999</v>
      </c>
      <c r="Z527">
        <v>-2.6545549999999998E-3</v>
      </c>
      <c r="AA527">
        <v>0.99405759999999999</v>
      </c>
      <c r="AB527">
        <v>32</v>
      </c>
      <c r="AC527">
        <v>21.6739</v>
      </c>
      <c r="AD527">
        <v>-1.1085301002249901</v>
      </c>
      <c r="AE527">
        <v>-2.4359000000000002</v>
      </c>
      <c r="AF527">
        <v>2.3884655639042598</v>
      </c>
      <c r="AG527">
        <v>-1.1085301002249901</v>
      </c>
      <c r="AH527">
        <v>21.622640793180199</v>
      </c>
      <c r="AI527">
        <v>92.917107125035699</v>
      </c>
      <c r="AJ527">
        <v>83.6965868182278</v>
      </c>
      <c r="AK527">
        <v>21.7823828265863</v>
      </c>
      <c r="AL527">
        <v>83.053898639082405</v>
      </c>
      <c r="AM527">
        <v>87.495079296602796</v>
      </c>
      <c r="AN527">
        <v>1.00000005949</v>
      </c>
    </row>
    <row r="528" spans="1:40" x14ac:dyDescent="0.25">
      <c r="A528" t="str">
        <f>"20190312164003817"</f>
        <v>20190312164003817</v>
      </c>
      <c r="B528" t="str">
        <f>"1552380003806789"</f>
        <v>1552380003806789</v>
      </c>
      <c r="C528" t="s">
        <v>40</v>
      </c>
      <c r="D528">
        <v>4.9890030000000003</v>
      </c>
      <c r="E528">
        <v>0.52826039999999996</v>
      </c>
      <c r="F528" t="s">
        <v>41</v>
      </c>
      <c r="G528">
        <v>-369.25170000000003</v>
      </c>
      <c r="H528" s="1">
        <v>-1.252123E-6</v>
      </c>
      <c r="I528">
        <v>365.81509999999997</v>
      </c>
      <c r="J528">
        <v>-391.07619999999997</v>
      </c>
      <c r="K528">
        <v>1.108792</v>
      </c>
      <c r="L528">
        <v>368.28379999999999</v>
      </c>
      <c r="M528">
        <v>0.99991350000000001</v>
      </c>
      <c r="N528">
        <v>0</v>
      </c>
      <c r="O528">
        <v>-1.8451380000000001E-3</v>
      </c>
      <c r="P528">
        <v>0.99314139999999995</v>
      </c>
      <c r="Q528">
        <v>0.1078389</v>
      </c>
      <c r="R528">
        <v>-4.5180850000000002E-2</v>
      </c>
      <c r="S528">
        <v>3.0219420000000001</v>
      </c>
      <c r="T528">
        <v>-0.15161810000000001</v>
      </c>
      <c r="U528">
        <v>-0.33770749999999999</v>
      </c>
      <c r="V528">
        <v>4.3333910000000003E-2</v>
      </c>
      <c r="W528">
        <v>0.120778</v>
      </c>
      <c r="X528">
        <v>0.99173330000000004</v>
      </c>
      <c r="Y528">
        <v>0.1090932</v>
      </c>
      <c r="Z528">
        <v>-2.6343080000000001E-3</v>
      </c>
      <c r="AA528">
        <v>0.99402800000000002</v>
      </c>
      <c r="AB528">
        <v>32</v>
      </c>
      <c r="AC528">
        <v>21.824499999999901</v>
      </c>
      <c r="AD528">
        <v>-1.108793252123</v>
      </c>
      <c r="AE528">
        <v>-2.4687000000000099</v>
      </c>
      <c r="AF528">
        <v>2.4222499745728299</v>
      </c>
      <c r="AG528">
        <v>-1.108793252123</v>
      </c>
      <c r="AH528">
        <v>21.773527686036999</v>
      </c>
      <c r="AI528">
        <v>92.8973641203184</v>
      </c>
      <c r="AJ528">
        <v>83.652090581826201</v>
      </c>
      <c r="AK528">
        <v>21.935888979247899</v>
      </c>
      <c r="AL528">
        <v>83.062995034880004</v>
      </c>
      <c r="AM528">
        <v>87.498045269075007</v>
      </c>
      <c r="AN528">
        <v>1.0000000456843801</v>
      </c>
    </row>
    <row r="529" spans="1:40" x14ac:dyDescent="0.25">
      <c r="A529" t="str">
        <f>"20190312164003829"</f>
        <v>20190312164003829</v>
      </c>
      <c r="B529" t="str">
        <f>"1552380003816550"</f>
        <v>1552380003816550</v>
      </c>
      <c r="C529" t="s">
        <v>40</v>
      </c>
      <c r="D529">
        <v>4.9794210000000003</v>
      </c>
      <c r="E529">
        <v>0.52826039999999996</v>
      </c>
      <c r="F529" t="s">
        <v>41</v>
      </c>
      <c r="G529">
        <v>-368.87990000000002</v>
      </c>
      <c r="H529" s="1">
        <v>-1.3799220000000001E-6</v>
      </c>
      <c r="I529">
        <v>365.81020000000001</v>
      </c>
      <c r="J529">
        <v>-390.91520000000003</v>
      </c>
      <c r="K529">
        <v>1.1089249999999999</v>
      </c>
      <c r="L529">
        <v>368.2835</v>
      </c>
      <c r="M529">
        <v>0.99991249999999998</v>
      </c>
      <c r="N529">
        <v>0</v>
      </c>
      <c r="O529">
        <v>-1.8101529999999999E-3</v>
      </c>
      <c r="P529">
        <v>0.99315730000000002</v>
      </c>
      <c r="Q529">
        <v>0.1077456</v>
      </c>
      <c r="R529">
        <v>-4.5053049999999997E-2</v>
      </c>
      <c r="S529">
        <v>3.0217900000000002</v>
      </c>
      <c r="T529">
        <v>-0.1509498</v>
      </c>
      <c r="U529">
        <v>-0.336731</v>
      </c>
      <c r="V529">
        <v>4.3240859999999999E-2</v>
      </c>
      <c r="W529">
        <v>0.1207676</v>
      </c>
      <c r="X529">
        <v>0.99173860000000003</v>
      </c>
      <c r="Y529">
        <v>0.1088177</v>
      </c>
      <c r="Z529">
        <v>-2.6177739999999998E-3</v>
      </c>
      <c r="AA529">
        <v>0.99405829999999995</v>
      </c>
      <c r="AB529">
        <v>32</v>
      </c>
      <c r="AC529">
        <v>22.035299999999999</v>
      </c>
      <c r="AD529">
        <v>-1.1089263799219999</v>
      </c>
      <c r="AE529">
        <v>-2.4732999999999898</v>
      </c>
      <c r="AF529">
        <v>2.42733426323207</v>
      </c>
      <c r="AG529">
        <v>-1.1089263799219999</v>
      </c>
      <c r="AH529">
        <v>21.984755358481699</v>
      </c>
      <c r="AI529">
        <v>92.870179955706803</v>
      </c>
      <c r="AJ529">
        <v>83.699498754774993</v>
      </c>
      <c r="AK529">
        <v>22.146131434493</v>
      </c>
      <c r="AL529">
        <v>83.063595111553894</v>
      </c>
      <c r="AM529">
        <v>87.503424184507693</v>
      </c>
      <c r="AN529">
        <v>1.00000001795662</v>
      </c>
    </row>
    <row r="530" spans="1:40" x14ac:dyDescent="0.25">
      <c r="A530" t="str">
        <f>"20190312164003851"</f>
        <v>20190312164003851</v>
      </c>
      <c r="B530" t="str">
        <f>"1552380003846805"</f>
        <v>1552380003846805</v>
      </c>
      <c r="C530" t="s">
        <v>40</v>
      </c>
      <c r="D530">
        <v>4.9765969999999999</v>
      </c>
      <c r="E530">
        <v>0.51815009999999995</v>
      </c>
      <c r="F530" t="s">
        <v>41</v>
      </c>
      <c r="G530">
        <v>-368.75450000000001</v>
      </c>
      <c r="H530" s="1">
        <v>-1.4209330000000001E-6</v>
      </c>
      <c r="I530">
        <v>365.81650000000002</v>
      </c>
      <c r="J530">
        <v>-390.59879999999998</v>
      </c>
      <c r="K530">
        <v>1.109162</v>
      </c>
      <c r="L530">
        <v>368.28300000000002</v>
      </c>
      <c r="M530">
        <v>0.99991050000000004</v>
      </c>
      <c r="N530">
        <v>0</v>
      </c>
      <c r="O530">
        <v>-1.7412969999999999E-3</v>
      </c>
      <c r="P530">
        <v>0.9931991</v>
      </c>
      <c r="Q530">
        <v>0.1074494</v>
      </c>
      <c r="R530">
        <v>-4.4837450000000001E-2</v>
      </c>
      <c r="S530">
        <v>3.02182</v>
      </c>
      <c r="T530">
        <v>-0.1512126</v>
      </c>
      <c r="U530">
        <v>-0.33639530000000001</v>
      </c>
      <c r="V530">
        <v>4.3093659999999999E-2</v>
      </c>
      <c r="W530">
        <v>0.1206232</v>
      </c>
      <c r="X530">
        <v>0.99176260000000005</v>
      </c>
      <c r="Y530">
        <v>0.10877539999999999</v>
      </c>
      <c r="Z530">
        <v>-2.6246939999999999E-3</v>
      </c>
      <c r="AA530">
        <v>0.99406289999999997</v>
      </c>
      <c r="AB530">
        <v>32</v>
      </c>
      <c r="AC530">
        <v>21.844299999999901</v>
      </c>
      <c r="AD530">
        <v>-1.1091634209329999</v>
      </c>
      <c r="AE530">
        <v>-2.4664999999999901</v>
      </c>
      <c r="AF530">
        <v>2.4222889977315898</v>
      </c>
      <c r="AG530">
        <v>-1.1091634209329999</v>
      </c>
      <c r="AH530">
        <v>21.7930827921844</v>
      </c>
      <c r="AI530">
        <v>92.895764613815203</v>
      </c>
      <c r="AJ530">
        <v>83.657638832588404</v>
      </c>
      <c r="AK530">
        <v>21.955322477018399</v>
      </c>
      <c r="AL530">
        <v>83.071929685052694</v>
      </c>
      <c r="AM530">
        <v>87.511972432742496</v>
      </c>
      <c r="AN530">
        <v>1.0000000373345901</v>
      </c>
    </row>
    <row r="531" spans="1:40" x14ac:dyDescent="0.25">
      <c r="A531" t="str">
        <f>"20190312164003863"</f>
        <v>20190312164003863</v>
      </c>
      <c r="B531" t="str">
        <f>"1552380003856566"</f>
        <v>1552380003856566</v>
      </c>
      <c r="C531" t="s">
        <v>40</v>
      </c>
      <c r="D531">
        <v>5.0553019999999904</v>
      </c>
      <c r="E531">
        <v>0.51752169999999997</v>
      </c>
      <c r="F531" t="s">
        <v>42</v>
      </c>
      <c r="G531">
        <v>-389.75850000000003</v>
      </c>
      <c r="H531">
        <v>1.050937</v>
      </c>
      <c r="I531">
        <v>368.21249999999998</v>
      </c>
      <c r="J531">
        <v>-390.4203</v>
      </c>
      <c r="K531">
        <v>1.109281</v>
      </c>
      <c r="L531">
        <v>368.28280000000001</v>
      </c>
      <c r="M531">
        <v>0.99990950000000001</v>
      </c>
      <c r="N531">
        <v>0</v>
      </c>
      <c r="O531">
        <v>-1.70224E-3</v>
      </c>
      <c r="P531">
        <v>0.99322069999999996</v>
      </c>
      <c r="Q531">
        <v>0.10736900000000001</v>
      </c>
      <c r="R531">
        <v>-4.4549440000000003E-2</v>
      </c>
      <c r="S531">
        <v>3.0319820000000002</v>
      </c>
      <c r="T531">
        <v>-0.21067259999999999</v>
      </c>
      <c r="U531">
        <v>-0.25176999999999999</v>
      </c>
      <c r="V531">
        <v>4.2844309999999997E-2</v>
      </c>
      <c r="W531">
        <v>0.1206213</v>
      </c>
      <c r="X531">
        <v>0.99177360000000003</v>
      </c>
      <c r="Y531">
        <v>8.0867040000000001E-2</v>
      </c>
      <c r="Z531">
        <v>-2.683333E-3</v>
      </c>
      <c r="AA531">
        <v>0.99672130000000003</v>
      </c>
      <c r="AB531">
        <v>32</v>
      </c>
      <c r="AC531">
        <v>0.66179999999997097</v>
      </c>
      <c r="AD531">
        <v>-5.8343999999999903E-2</v>
      </c>
      <c r="AE531">
        <v>-7.0300000000031504E-2</v>
      </c>
      <c r="AF531">
        <v>6.8645686623946295E-2</v>
      </c>
      <c r="AG531">
        <v>-5.8343999999999903E-2</v>
      </c>
      <c r="AH531">
        <v>0.65687041503869203</v>
      </c>
      <c r="AI531">
        <v>95.048409298951697</v>
      </c>
      <c r="AJ531">
        <v>84.034008608883994</v>
      </c>
      <c r="AK531">
        <v>0.66301960361755297</v>
      </c>
      <c r="AL531">
        <v>83.072039110683306</v>
      </c>
      <c r="AM531">
        <v>87.526378209702401</v>
      </c>
      <c r="AN531">
        <v>1.00000000328501</v>
      </c>
    </row>
    <row r="532" spans="1:40" x14ac:dyDescent="0.25">
      <c r="A532" t="str">
        <f>"20190312164003876"</f>
        <v>20190312164003876</v>
      </c>
      <c r="B532" t="str">
        <f>"1552380003866325"</f>
        <v>1552380003866325</v>
      </c>
      <c r="C532" t="s">
        <v>40</v>
      </c>
      <c r="D532">
        <v>5.0004660000000003</v>
      </c>
      <c r="E532">
        <v>0.51746419999999904</v>
      </c>
      <c r="F532" t="s">
        <v>42</v>
      </c>
      <c r="G532">
        <v>-389.4796</v>
      </c>
      <c r="H532">
        <v>1.0413349999999999</v>
      </c>
      <c r="I532">
        <v>368.20650000000001</v>
      </c>
      <c r="J532">
        <v>-390.23599999999999</v>
      </c>
      <c r="K532">
        <v>1.109391</v>
      </c>
      <c r="L532">
        <v>368.28250000000003</v>
      </c>
      <c r="M532">
        <v>0.99990849999999998</v>
      </c>
      <c r="N532">
        <v>0</v>
      </c>
      <c r="O532">
        <v>-1.6622150000000001E-3</v>
      </c>
      <c r="P532">
        <v>0.99323790000000001</v>
      </c>
      <c r="Q532">
        <v>0.1073238</v>
      </c>
      <c r="R532">
        <v>-4.4273849999999997E-2</v>
      </c>
      <c r="S532">
        <v>3.0332029999999999</v>
      </c>
      <c r="T532">
        <v>-0.21927669999999999</v>
      </c>
      <c r="U532">
        <v>-0.24533079999999999</v>
      </c>
      <c r="V532">
        <v>4.2608559999999997E-2</v>
      </c>
      <c r="W532">
        <v>0.1206511</v>
      </c>
      <c r="X532">
        <v>0.99178010000000005</v>
      </c>
      <c r="Y532">
        <v>7.876155E-2</v>
      </c>
      <c r="Z532">
        <v>-2.7187700000000001E-3</v>
      </c>
      <c r="AA532">
        <v>0.99688980000000005</v>
      </c>
      <c r="AB532">
        <v>32</v>
      </c>
      <c r="AC532">
        <v>0.75639999999998497</v>
      </c>
      <c r="AD532">
        <v>-6.8055999999999894E-2</v>
      </c>
      <c r="AE532">
        <v>-7.60000000000218E-2</v>
      </c>
      <c r="AF532">
        <v>7.4148233589133597E-2</v>
      </c>
      <c r="AG532">
        <v>-6.8055999999999894E-2</v>
      </c>
      <c r="AH532">
        <v>0.75051045366614499</v>
      </c>
      <c r="AI532">
        <v>95.156420361751501</v>
      </c>
      <c r="AJ532">
        <v>84.3576553846801</v>
      </c>
      <c r="AK532">
        <v>0.75722884304716698</v>
      </c>
      <c r="AL532">
        <v>83.070318917502206</v>
      </c>
      <c r="AM532">
        <v>87.539988601739694</v>
      </c>
      <c r="AN532">
        <v>0.99999997203624602</v>
      </c>
    </row>
    <row r="533" spans="1:40" x14ac:dyDescent="0.25">
      <c r="A533" t="str">
        <f>"20190312164003888"</f>
        <v>20190312164003888</v>
      </c>
      <c r="B533" t="str">
        <f>"1552380003877062"</f>
        <v>1552380003877062</v>
      </c>
      <c r="C533" t="s">
        <v>40</v>
      </c>
      <c r="D533">
        <v>5.0730760000000004</v>
      </c>
      <c r="E533">
        <v>0.51782079999999997</v>
      </c>
      <c r="F533" t="s">
        <v>41</v>
      </c>
      <c r="G533">
        <v>-374.83519999999999</v>
      </c>
      <c r="H533" s="1">
        <v>-2.654793E-6</v>
      </c>
      <c r="I533">
        <v>367.04109999999997</v>
      </c>
      <c r="J533">
        <v>-390.05790000000002</v>
      </c>
      <c r="K533">
        <v>1.109483</v>
      </c>
      <c r="L533">
        <v>368.28219999999999</v>
      </c>
      <c r="M533">
        <v>0.99990780000000001</v>
      </c>
      <c r="N533">
        <v>0</v>
      </c>
      <c r="O533">
        <v>-1.623324E-3</v>
      </c>
      <c r="P533">
        <v>0.99322690000000002</v>
      </c>
      <c r="Q533">
        <v>0.10746310000000001</v>
      </c>
      <c r="R533">
        <v>-4.4182699999999998E-2</v>
      </c>
      <c r="S533">
        <v>3.0331730000000001</v>
      </c>
      <c r="T533">
        <v>-0.21849350000000001</v>
      </c>
      <c r="U533">
        <v>-0.24447630000000001</v>
      </c>
      <c r="V533">
        <v>4.2556120000000003E-2</v>
      </c>
      <c r="W533">
        <v>0.12085700000000001</v>
      </c>
      <c r="X533">
        <v>0.99175729999999995</v>
      </c>
      <c r="Y533">
        <v>7.8524010000000005E-2</v>
      </c>
      <c r="Z533">
        <v>-2.7034049999999999E-3</v>
      </c>
      <c r="AA533">
        <v>0.99690849999999998</v>
      </c>
      <c r="AB533">
        <v>32</v>
      </c>
      <c r="AC533">
        <v>15.2227</v>
      </c>
      <c r="AD533">
        <v>-1.1094856547930001</v>
      </c>
      <c r="AE533">
        <v>-1.2411000000000101</v>
      </c>
      <c r="AF533">
        <v>1.2099996396008801</v>
      </c>
      <c r="AG533">
        <v>-1.1094856547930001</v>
      </c>
      <c r="AH533">
        <v>15.144776638608599</v>
      </c>
      <c r="AI533">
        <v>94.176663820704107</v>
      </c>
      <c r="AJ533">
        <v>85.432027605191095</v>
      </c>
      <c r="AK533">
        <v>15.233493262524201</v>
      </c>
      <c r="AL533">
        <v>83.058434878222201</v>
      </c>
      <c r="AM533">
        <v>87.5429561044633</v>
      </c>
      <c r="AN533">
        <v>0.99999998995087203</v>
      </c>
    </row>
    <row r="534" spans="1:40" x14ac:dyDescent="0.25">
      <c r="A534" t="str">
        <f>"20190312164003907"</f>
        <v>20190312164003907</v>
      </c>
      <c r="B534" t="str">
        <f>"1552380003896586"</f>
        <v>1552380003896586</v>
      </c>
      <c r="C534" t="s">
        <v>40</v>
      </c>
      <c r="D534">
        <v>4.9806980000000003</v>
      </c>
      <c r="E534">
        <v>0.51825239999999995</v>
      </c>
      <c r="F534" t="s">
        <v>42</v>
      </c>
      <c r="G534">
        <v>-389.1893</v>
      </c>
      <c r="H534">
        <v>1.0472049999999999</v>
      </c>
      <c r="I534">
        <v>368.21120000000002</v>
      </c>
      <c r="J534">
        <v>-389.78969999999998</v>
      </c>
      <c r="K534">
        <v>1.1096079999999999</v>
      </c>
      <c r="L534">
        <v>368.28190000000001</v>
      </c>
      <c r="M534">
        <v>0.99990650000000003</v>
      </c>
      <c r="N534">
        <v>0</v>
      </c>
      <c r="O534">
        <v>-1.5650709999999999E-3</v>
      </c>
      <c r="P534">
        <v>0.99317820000000001</v>
      </c>
      <c r="Q534">
        <v>0.1079855</v>
      </c>
      <c r="R534">
        <v>-4.4004210000000002E-2</v>
      </c>
      <c r="S534">
        <v>3.0330509999999999</v>
      </c>
      <c r="T534">
        <v>-0.21775639999999999</v>
      </c>
      <c r="U534">
        <v>-0.2468262</v>
      </c>
      <c r="V534">
        <v>4.2435489999999999E-2</v>
      </c>
      <c r="W534">
        <v>0.12147139999999999</v>
      </c>
      <c r="X534">
        <v>0.9916874</v>
      </c>
      <c r="Y534">
        <v>7.9351690000000003E-2</v>
      </c>
      <c r="Z534">
        <v>-2.7281269999999999E-3</v>
      </c>
      <c r="AA534">
        <v>0.99684300000000003</v>
      </c>
      <c r="AB534">
        <v>32</v>
      </c>
      <c r="AC534">
        <v>0.60039999999997895</v>
      </c>
      <c r="AD534">
        <v>-6.2402999999999903E-2</v>
      </c>
      <c r="AE534">
        <v>-7.0699999999987995E-2</v>
      </c>
      <c r="AF534">
        <v>6.9024707462538804E-2</v>
      </c>
      <c r="AG534">
        <v>-6.2402999999999903E-2</v>
      </c>
      <c r="AH534">
        <v>0.59417901389429495</v>
      </c>
      <c r="AI534">
        <v>95.955686920214006</v>
      </c>
      <c r="AJ534">
        <v>83.373753001352</v>
      </c>
      <c r="AK534">
        <v>0.60142102158278898</v>
      </c>
      <c r="AL534">
        <v>83.022971039271795</v>
      </c>
      <c r="AM534">
        <v>87.549739879829701</v>
      </c>
      <c r="AN534">
        <v>0.99999998557412995</v>
      </c>
    </row>
    <row r="535" spans="1:40" x14ac:dyDescent="0.25">
      <c r="A535" t="str">
        <f>"20190312164003929"</f>
        <v>20190312164003929</v>
      </c>
      <c r="B535" t="str">
        <f>"1552380003926838"</f>
        <v>1552380003926838</v>
      </c>
      <c r="C535" t="s">
        <v>40</v>
      </c>
      <c r="D535">
        <v>5.0584800000000003</v>
      </c>
      <c r="E535">
        <v>0.51818160000000002</v>
      </c>
      <c r="F535" t="s">
        <v>42</v>
      </c>
      <c r="G535">
        <v>-388.90410000000003</v>
      </c>
      <c r="H535">
        <v>1.046457</v>
      </c>
      <c r="I535">
        <v>368.2088</v>
      </c>
      <c r="J535">
        <v>-389.46899999999999</v>
      </c>
      <c r="K535">
        <v>1.109731</v>
      </c>
      <c r="L535">
        <v>368.28140000000002</v>
      </c>
      <c r="M535">
        <v>0.9999053</v>
      </c>
      <c r="N535">
        <v>0</v>
      </c>
      <c r="O535">
        <v>-1.497101E-3</v>
      </c>
      <c r="P535">
        <v>0.99317739999999999</v>
      </c>
      <c r="Q535">
        <v>0.1079415</v>
      </c>
      <c r="R535">
        <v>-4.4129809999999998E-2</v>
      </c>
      <c r="S535">
        <v>3.0330509999999999</v>
      </c>
      <c r="T535">
        <v>-0.2164247</v>
      </c>
      <c r="U535">
        <v>-0.25</v>
      </c>
      <c r="V535">
        <v>4.2628979999999997E-2</v>
      </c>
      <c r="W535">
        <v>0.1215268</v>
      </c>
      <c r="X535">
        <v>0.99167229999999995</v>
      </c>
      <c r="Y535">
        <v>8.0455020000000002E-2</v>
      </c>
      <c r="Z535">
        <v>-2.7554540000000001E-3</v>
      </c>
      <c r="AA535">
        <v>0.99675440000000004</v>
      </c>
      <c r="AB535">
        <v>32</v>
      </c>
      <c r="AC535">
        <v>0.56489999999996598</v>
      </c>
      <c r="AD535">
        <v>-6.3273999999999997E-2</v>
      </c>
      <c r="AE535">
        <v>-7.2600000000022605E-2</v>
      </c>
      <c r="AF535">
        <v>7.0879319930872001E-2</v>
      </c>
      <c r="AG535">
        <v>-6.3273999999999997E-2</v>
      </c>
      <c r="AH535">
        <v>0.55811963879068904</v>
      </c>
      <c r="AI535">
        <v>96.416899580948694</v>
      </c>
      <c r="AJ535">
        <v>82.762372299600401</v>
      </c>
      <c r="AK535">
        <v>0.56614928090894201</v>
      </c>
      <c r="AL535">
        <v>83.019773065217294</v>
      </c>
      <c r="AM535">
        <v>87.538543884321598</v>
      </c>
      <c r="AN535">
        <v>0.99999997182068401</v>
      </c>
    </row>
    <row r="536" spans="1:40" x14ac:dyDescent="0.25">
      <c r="A536" t="str">
        <f>"20190312164003952"</f>
        <v>20190312164003952</v>
      </c>
      <c r="B536" t="str">
        <f>"1552380003946357"</f>
        <v>1552380003946357</v>
      </c>
      <c r="C536" t="s">
        <v>40</v>
      </c>
      <c r="D536">
        <v>5.0509029999999999</v>
      </c>
      <c r="E536">
        <v>0.51837129999999998</v>
      </c>
      <c r="F536" t="s">
        <v>42</v>
      </c>
      <c r="G536">
        <v>-388.61660000000001</v>
      </c>
      <c r="H536">
        <v>1.0488459999999999</v>
      </c>
      <c r="I536">
        <v>368.21089999999998</v>
      </c>
      <c r="J536">
        <v>-389.15469999999999</v>
      </c>
      <c r="K536">
        <v>1.109834</v>
      </c>
      <c r="L536">
        <v>368.28109999999998</v>
      </c>
      <c r="M536">
        <v>0.99990429999999997</v>
      </c>
      <c r="N536">
        <v>0</v>
      </c>
      <c r="O536">
        <v>-1.431671E-3</v>
      </c>
      <c r="P536">
        <v>0.99319120000000005</v>
      </c>
      <c r="Q536">
        <v>0.1076839</v>
      </c>
      <c r="R536">
        <v>-4.4450150000000001E-2</v>
      </c>
      <c r="S536">
        <v>3.0331419999999998</v>
      </c>
      <c r="T536">
        <v>-0.21694050000000001</v>
      </c>
      <c r="U536">
        <v>-0.2495117</v>
      </c>
      <c r="V536">
        <v>4.3014629999999998E-2</v>
      </c>
      <c r="W536">
        <v>0.121355</v>
      </c>
      <c r="X536">
        <v>0.99167669999999997</v>
      </c>
      <c r="Y536">
        <v>8.035755E-2</v>
      </c>
      <c r="Z536">
        <v>-2.7631309999999998E-3</v>
      </c>
      <c r="AA536">
        <v>0.99676229999999999</v>
      </c>
      <c r="AB536">
        <v>32</v>
      </c>
      <c r="AC536">
        <v>0.53809999999998503</v>
      </c>
      <c r="AD536">
        <v>-6.0988000000000001E-2</v>
      </c>
      <c r="AE536">
        <v>-7.0199999999999804E-2</v>
      </c>
      <c r="AF536">
        <v>6.8563456372308706E-2</v>
      </c>
      <c r="AG536">
        <v>-6.0988000000000001E-2</v>
      </c>
      <c r="AH536">
        <v>0.53148681680832499</v>
      </c>
      <c r="AI536">
        <v>96.492709866628104</v>
      </c>
      <c r="AJ536">
        <v>82.649262924594794</v>
      </c>
      <c r="AK536">
        <v>0.5393502759198</v>
      </c>
      <c r="AL536">
        <v>83.029689976516806</v>
      </c>
      <c r="AM536">
        <v>87.516314688168606</v>
      </c>
      <c r="AN536">
        <v>0.99999998587096295</v>
      </c>
    </row>
    <row r="537" spans="1:40" x14ac:dyDescent="0.25">
      <c r="A537" t="str">
        <f>"20190312164003964"</f>
        <v>20190312164003964</v>
      </c>
      <c r="B537" t="str">
        <f>"1552380003957094"</f>
        <v>1552380003957094</v>
      </c>
      <c r="C537" t="s">
        <v>40</v>
      </c>
      <c r="D537">
        <v>5.2051049999999996</v>
      </c>
      <c r="E537">
        <v>0.5186847</v>
      </c>
      <c r="F537" t="s">
        <v>42</v>
      </c>
      <c r="G537">
        <v>-388.33069999999998</v>
      </c>
      <c r="H537">
        <v>1.049912</v>
      </c>
      <c r="I537">
        <v>368.2124</v>
      </c>
      <c r="J537">
        <v>-388.9615</v>
      </c>
      <c r="K537">
        <v>1.1098920000000001</v>
      </c>
      <c r="L537">
        <v>368.2808</v>
      </c>
      <c r="M537">
        <v>0.99990349999999995</v>
      </c>
      <c r="N537">
        <v>0</v>
      </c>
      <c r="O537">
        <v>-1.3918400000000001E-3</v>
      </c>
      <c r="P537">
        <v>0.99317630000000001</v>
      </c>
      <c r="Q537">
        <v>0.1078321</v>
      </c>
      <c r="R537">
        <v>-4.4419420000000001E-2</v>
      </c>
      <c r="S537">
        <v>3.0332340000000002</v>
      </c>
      <c r="T537">
        <v>-0.2207481</v>
      </c>
      <c r="U537">
        <v>-0.25198359999999997</v>
      </c>
      <c r="V537">
        <v>4.3023720000000001E-2</v>
      </c>
      <c r="W537">
        <v>0.1215504</v>
      </c>
      <c r="X537">
        <v>0.99165239999999999</v>
      </c>
      <c r="Y537">
        <v>8.1192200000000006E-2</v>
      </c>
      <c r="Z537">
        <v>-2.8444920000000001E-3</v>
      </c>
      <c r="AA537">
        <v>0.99669439999999998</v>
      </c>
      <c r="AB537">
        <v>32</v>
      </c>
      <c r="AC537">
        <v>0.63080000000002201</v>
      </c>
      <c r="AD537">
        <v>-5.9979999999999901E-2</v>
      </c>
      <c r="AE537">
        <v>-6.8399999999996894E-2</v>
      </c>
      <c r="AF537">
        <v>6.6923832319896501E-2</v>
      </c>
      <c r="AG537">
        <v>-5.9979999999999901E-2</v>
      </c>
      <c r="AH537">
        <v>0.62530673278004101</v>
      </c>
      <c r="AI537">
        <v>95.448175743893302</v>
      </c>
      <c r="AJ537">
        <v>83.891138239291493</v>
      </c>
      <c r="AK537">
        <v>0.63173167547023501</v>
      </c>
      <c r="AL537">
        <v>83.018411062975105</v>
      </c>
      <c r="AM537">
        <v>87.515729686507797</v>
      </c>
      <c r="AN537">
        <v>1.00000001132427</v>
      </c>
    </row>
    <row r="538" spans="1:40" x14ac:dyDescent="0.25">
      <c r="A538" t="str">
        <f>"20190312164003976"</f>
        <v>20190312164003976</v>
      </c>
      <c r="B538" t="str">
        <f>"1552380003966854"</f>
        <v>1552380003966854</v>
      </c>
      <c r="C538" t="s">
        <v>40</v>
      </c>
      <c r="D538">
        <v>5.0471399999999997</v>
      </c>
      <c r="E538">
        <v>0.51872280000000004</v>
      </c>
      <c r="F538" t="s">
        <v>42</v>
      </c>
      <c r="G538">
        <v>-388.05119999999999</v>
      </c>
      <c r="H538">
        <v>1.0436810000000001</v>
      </c>
      <c r="I538">
        <v>368.20429999999999</v>
      </c>
      <c r="J538">
        <v>-388.78919999999999</v>
      </c>
      <c r="K538">
        <v>1.109937</v>
      </c>
      <c r="L538">
        <v>368.28059999999999</v>
      </c>
      <c r="M538">
        <v>0.99990310000000004</v>
      </c>
      <c r="N538">
        <v>0</v>
      </c>
      <c r="O538">
        <v>-1.356845E-3</v>
      </c>
      <c r="P538">
        <v>0.9931856</v>
      </c>
      <c r="Q538">
        <v>0.10768560000000001</v>
      </c>
      <c r="R538">
        <v>-4.4565519999999997E-2</v>
      </c>
      <c r="S538">
        <v>3.0332029999999999</v>
      </c>
      <c r="T538">
        <v>-0.22066659999999999</v>
      </c>
      <c r="U538">
        <v>-0.2546387</v>
      </c>
      <c r="V538">
        <v>4.3204800000000002E-2</v>
      </c>
      <c r="W538">
        <v>0.12144439999999999</v>
      </c>
      <c r="X538">
        <v>0.99165749999999997</v>
      </c>
      <c r="Y538">
        <v>8.2091979999999995E-2</v>
      </c>
      <c r="Z538">
        <v>-2.8785379999999999E-3</v>
      </c>
      <c r="AA538">
        <v>0.99662059999999997</v>
      </c>
      <c r="AB538">
        <v>32</v>
      </c>
      <c r="AC538">
        <v>0.73799999999999899</v>
      </c>
      <c r="AD538">
        <v>-6.6256000000000301E-2</v>
      </c>
      <c r="AE538">
        <v>-7.6300000000003296E-2</v>
      </c>
      <c r="AF538">
        <v>7.4702742086222407E-2</v>
      </c>
      <c r="AG538">
        <v>-6.6256000000000301E-2</v>
      </c>
      <c r="AH538">
        <v>0.73226320018160396</v>
      </c>
      <c r="AI538">
        <v>95.143556743485803</v>
      </c>
      <c r="AJ538">
        <v>84.175051295418001</v>
      </c>
      <c r="AK538">
        <v>0.73903974964233499</v>
      </c>
      <c r="AL538">
        <v>83.024529645037305</v>
      </c>
      <c r="AM538">
        <v>87.505299783758204</v>
      </c>
      <c r="AN538">
        <v>0.99999999717032495</v>
      </c>
    </row>
    <row r="539" spans="1:40" x14ac:dyDescent="0.25">
      <c r="A539" t="str">
        <f>"20190312164003997"</f>
        <v>20190312164003997</v>
      </c>
      <c r="B539" t="str">
        <f>"1552380003986374"</f>
        <v>1552380003986374</v>
      </c>
      <c r="C539" t="s">
        <v>40</v>
      </c>
      <c r="D539">
        <v>5.0416970000000001</v>
      </c>
      <c r="E539">
        <v>0.51891520000000002</v>
      </c>
      <c r="F539" t="s">
        <v>41</v>
      </c>
      <c r="G539">
        <v>-373.54680000000002</v>
      </c>
      <c r="H539" s="1">
        <v>-3.2154530000000001E-6</v>
      </c>
      <c r="I539">
        <v>366.99619999999999</v>
      </c>
      <c r="J539">
        <v>-388.51249999999999</v>
      </c>
      <c r="K539">
        <v>1.109998</v>
      </c>
      <c r="L539">
        <v>368.28030000000001</v>
      </c>
      <c r="M539">
        <v>0.99990239999999997</v>
      </c>
      <c r="N539">
        <v>0</v>
      </c>
      <c r="O539">
        <v>-1.3023150000000001E-3</v>
      </c>
      <c r="P539">
        <v>0.99315980000000004</v>
      </c>
      <c r="Q539">
        <v>0.1079087</v>
      </c>
      <c r="R539">
        <v>-4.4604570000000003E-2</v>
      </c>
      <c r="S539">
        <v>3.0330509999999999</v>
      </c>
      <c r="T539">
        <v>-0.2208638</v>
      </c>
      <c r="U539">
        <v>-0.25555420000000001</v>
      </c>
      <c r="V539">
        <v>4.3298620000000003E-2</v>
      </c>
      <c r="W539">
        <v>0.1217241</v>
      </c>
      <c r="X539">
        <v>0.99161909999999998</v>
      </c>
      <c r="Y539">
        <v>8.244775E-2</v>
      </c>
      <c r="Z539">
        <v>-2.898084E-3</v>
      </c>
      <c r="AA539">
        <v>0.99659120000000001</v>
      </c>
      <c r="AB539">
        <v>32</v>
      </c>
      <c r="AC539">
        <v>14.965699999999901</v>
      </c>
      <c r="AD539">
        <v>-1.1100012154529999</v>
      </c>
      <c r="AE539">
        <v>-1.28410000000002</v>
      </c>
      <c r="AF539">
        <v>1.2577385376603101</v>
      </c>
      <c r="AG539">
        <v>-1.1100012154529999</v>
      </c>
      <c r="AH539">
        <v>14.8860678825781</v>
      </c>
      <c r="AI539">
        <v>94.249366009700694</v>
      </c>
      <c r="AJ539">
        <v>85.170493534139695</v>
      </c>
      <c r="AK539">
        <v>14.980287912191301</v>
      </c>
      <c r="AL539">
        <v>83.008384136651003</v>
      </c>
      <c r="AM539">
        <v>87.499792670978906</v>
      </c>
      <c r="AN539">
        <v>0.99999998324976203</v>
      </c>
    </row>
    <row r="540" spans="1:40" x14ac:dyDescent="0.25">
      <c r="A540" t="str">
        <f>"20190312164004009"</f>
        <v>20190312164004009</v>
      </c>
      <c r="B540" t="str">
        <f>"1552380003997110"</f>
        <v>1552380003997110</v>
      </c>
      <c r="C540" t="s">
        <v>40</v>
      </c>
      <c r="D540">
        <v>5.0845940000000001</v>
      </c>
      <c r="E540">
        <v>0.5188701</v>
      </c>
      <c r="F540" t="s">
        <v>41</v>
      </c>
      <c r="G540">
        <v>-373.11750000000001</v>
      </c>
      <c r="H540" s="1">
        <v>-3.4035359999999998E-6</v>
      </c>
      <c r="I540">
        <v>366.97430000000003</v>
      </c>
      <c r="J540">
        <v>-388.3372</v>
      </c>
      <c r="K540">
        <v>1.1100300000000001</v>
      </c>
      <c r="L540">
        <v>368.2801</v>
      </c>
      <c r="M540">
        <v>0.99990199999999996</v>
      </c>
      <c r="N540">
        <v>0</v>
      </c>
      <c r="O540">
        <v>-1.2696649999999999E-3</v>
      </c>
      <c r="P540">
        <v>0.99317820000000001</v>
      </c>
      <c r="Q540">
        <v>0.10784870000000001</v>
      </c>
      <c r="R540">
        <v>-4.4340579999999997E-2</v>
      </c>
      <c r="S540">
        <v>3.032867</v>
      </c>
      <c r="T540">
        <v>-0.21867239999999999</v>
      </c>
      <c r="U540">
        <v>-0.25726320000000003</v>
      </c>
      <c r="V540">
        <v>4.3067269999999998E-2</v>
      </c>
      <c r="W540">
        <v>0.1216967</v>
      </c>
      <c r="X540">
        <v>0.99163259999999998</v>
      </c>
      <c r="Y540">
        <v>8.3045469999999996E-2</v>
      </c>
      <c r="Z540">
        <v>-2.8933370000000002E-3</v>
      </c>
      <c r="AA540">
        <v>0.99654160000000003</v>
      </c>
      <c r="AB540">
        <v>32</v>
      </c>
      <c r="AC540">
        <v>15.2196999999999</v>
      </c>
      <c r="AD540">
        <v>-1.11003340353599</v>
      </c>
      <c r="AE540">
        <v>-1.3057999999999701</v>
      </c>
      <c r="AF540">
        <v>1.2797156148991</v>
      </c>
      <c r="AG540">
        <v>-1.11003340353599</v>
      </c>
      <c r="AH540">
        <v>15.141391755908</v>
      </c>
      <c r="AI540">
        <v>94.178077761933594</v>
      </c>
      <c r="AJ540">
        <v>85.168973694909994</v>
      </c>
      <c r="AK540">
        <v>15.2358652697463</v>
      </c>
      <c r="AL540">
        <v>83.009966233171397</v>
      </c>
      <c r="AM540">
        <v>87.513168591642597</v>
      </c>
      <c r="AN540">
        <v>1.0000000449594499</v>
      </c>
    </row>
    <row r="541" spans="1:40" x14ac:dyDescent="0.25">
      <c r="A541" t="str">
        <f>"20190312164004022"</f>
        <v>20190312164004022</v>
      </c>
      <c r="B541" t="str">
        <f>"1552380004016630"</f>
        <v>1552380004016630</v>
      </c>
      <c r="C541" t="s">
        <v>40</v>
      </c>
      <c r="D541">
        <v>5.0724650000000002</v>
      </c>
      <c r="E541">
        <v>0.51879969999999997</v>
      </c>
      <c r="F541" t="s">
        <v>42</v>
      </c>
      <c r="G541">
        <v>-387.47859999999997</v>
      </c>
      <c r="H541">
        <v>1.0482720000000001</v>
      </c>
      <c r="I541">
        <v>368.20710000000003</v>
      </c>
      <c r="J541">
        <v>-388.15199999999999</v>
      </c>
      <c r="K541">
        <v>1.11006</v>
      </c>
      <c r="L541">
        <v>368.2799</v>
      </c>
      <c r="M541">
        <v>0.9999015</v>
      </c>
      <c r="N541">
        <v>0</v>
      </c>
      <c r="O541">
        <v>-1.2367890000000001E-3</v>
      </c>
      <c r="P541">
        <v>0.99319650000000004</v>
      </c>
      <c r="Q541">
        <v>0.1075769</v>
      </c>
      <c r="R541">
        <v>-4.4587340000000003E-2</v>
      </c>
      <c r="S541">
        <v>3.032867</v>
      </c>
      <c r="T541">
        <v>-0.2184873</v>
      </c>
      <c r="U541">
        <v>-0.2565308</v>
      </c>
      <c r="V541">
        <v>4.3347240000000002E-2</v>
      </c>
      <c r="W541">
        <v>0.1214577</v>
      </c>
      <c r="X541">
        <v>0.99164969999999997</v>
      </c>
      <c r="Y541">
        <v>8.2840070000000002E-2</v>
      </c>
      <c r="Z541">
        <v>-2.885908E-3</v>
      </c>
      <c r="AA541">
        <v>0.99655870000000002</v>
      </c>
      <c r="AB541">
        <v>32</v>
      </c>
      <c r="AC541">
        <v>0.67340000000001499</v>
      </c>
      <c r="AD541">
        <v>-6.17880000000001E-2</v>
      </c>
      <c r="AE541">
        <v>-7.2799999999972401E-2</v>
      </c>
      <c r="AF541">
        <v>7.13730589847138E-2</v>
      </c>
      <c r="AG541">
        <v>-6.17880000000001E-2</v>
      </c>
      <c r="AH541">
        <v>0.66793116216991799</v>
      </c>
      <c r="AI541">
        <v>95.255442315828205</v>
      </c>
      <c r="AJ541">
        <v>83.900694639351102</v>
      </c>
      <c r="AK541">
        <v>0.67456942407026799</v>
      </c>
      <c r="AL541">
        <v>83.023762241030596</v>
      </c>
      <c r="AM541">
        <v>87.497065896810895</v>
      </c>
      <c r="AN541">
        <v>1.0000000418074899</v>
      </c>
    </row>
    <row r="542" spans="1:40" x14ac:dyDescent="0.25">
      <c r="A542" t="str">
        <f>"20190312164004034"</f>
        <v>20190312164004034</v>
      </c>
      <c r="B542" t="str">
        <f>"1552380004026390"</f>
        <v>1552380004026390</v>
      </c>
      <c r="C542" t="s">
        <v>40</v>
      </c>
      <c r="D542">
        <v>5.0735519999999896</v>
      </c>
      <c r="E542">
        <v>0.51891359999999997</v>
      </c>
      <c r="F542" t="s">
        <v>42</v>
      </c>
      <c r="G542">
        <v>-387.20010000000002</v>
      </c>
      <c r="H542">
        <v>1.0409919999999999</v>
      </c>
      <c r="I542">
        <v>368.19940000000003</v>
      </c>
      <c r="J542">
        <v>-387.97629999999998</v>
      </c>
      <c r="K542">
        <v>1.110085</v>
      </c>
      <c r="L542">
        <v>368.27969999999999</v>
      </c>
      <c r="M542">
        <v>0.99990120000000005</v>
      </c>
      <c r="N542">
        <v>0</v>
      </c>
      <c r="O542">
        <v>-1.2087879999999999E-3</v>
      </c>
      <c r="P542">
        <v>0.99321159999999997</v>
      </c>
      <c r="Q542">
        <v>0.1075579</v>
      </c>
      <c r="R542">
        <v>-4.4296439999999999E-2</v>
      </c>
      <c r="S542">
        <v>3.032867</v>
      </c>
      <c r="T542">
        <v>-0.2200153</v>
      </c>
      <c r="U542">
        <v>-0.25659179999999998</v>
      </c>
      <c r="V542">
        <v>4.308501E-2</v>
      </c>
      <c r="W542">
        <v>0.12146709999999999</v>
      </c>
      <c r="X542">
        <v>0.99165990000000004</v>
      </c>
      <c r="Y542">
        <v>8.2884760000000002E-2</v>
      </c>
      <c r="Z542">
        <v>-2.9096769999999998E-3</v>
      </c>
      <c r="AA542">
        <v>0.99655490000000002</v>
      </c>
      <c r="AB542">
        <v>32</v>
      </c>
      <c r="AC542">
        <v>0.77619999999996003</v>
      </c>
      <c r="AD542">
        <v>-6.9093000000000002E-2</v>
      </c>
      <c r="AE542">
        <v>-8.0299999999965593E-2</v>
      </c>
      <c r="AF542">
        <v>7.8744259447945997E-2</v>
      </c>
      <c r="AG542">
        <v>-6.9093000000000002E-2</v>
      </c>
      <c r="AH542">
        <v>0.77025794385464097</v>
      </c>
      <c r="AI542">
        <v>95.099340528480397</v>
      </c>
      <c r="AJ542">
        <v>84.162872304794803</v>
      </c>
      <c r="AK542">
        <v>0.77734921439220905</v>
      </c>
      <c r="AL542">
        <v>83.023219110907405</v>
      </c>
      <c r="AM542">
        <v>87.512213922023804</v>
      </c>
      <c r="AN542">
        <v>0.99999996586855899</v>
      </c>
    </row>
    <row r="543" spans="1:40" x14ac:dyDescent="0.25">
      <c r="A543" t="str">
        <f>"20190312164004052"</f>
        <v>20190312164004052</v>
      </c>
      <c r="B543" t="str">
        <f>"1552380004046886"</f>
        <v>1552380004046886</v>
      </c>
      <c r="C543" t="s">
        <v>40</v>
      </c>
      <c r="D543">
        <v>5.0689929999999999</v>
      </c>
      <c r="E543">
        <v>0.51891299999999996</v>
      </c>
      <c r="F543" t="s">
        <v>42</v>
      </c>
      <c r="G543">
        <v>-387.19</v>
      </c>
      <c r="H543">
        <v>1.05325</v>
      </c>
      <c r="I543">
        <v>368.21300000000002</v>
      </c>
      <c r="J543">
        <v>-387.72289999999998</v>
      </c>
      <c r="K543">
        <v>1.110114</v>
      </c>
      <c r="L543">
        <v>368.27940000000001</v>
      </c>
      <c r="M543">
        <v>0.99990060000000003</v>
      </c>
      <c r="N543">
        <v>0</v>
      </c>
      <c r="O543">
        <v>-1.1745779999999999E-3</v>
      </c>
      <c r="P543">
        <v>0.99324259999999998</v>
      </c>
      <c r="Q543">
        <v>0.1074822</v>
      </c>
      <c r="R543">
        <v>-4.37788E-2</v>
      </c>
      <c r="S543">
        <v>3.0327760000000001</v>
      </c>
      <c r="T543">
        <v>-0.2191969</v>
      </c>
      <c r="U543">
        <v>-0.25698850000000001</v>
      </c>
      <c r="V543">
        <v>4.2603240000000001E-2</v>
      </c>
      <c r="W543">
        <v>0.1214283</v>
      </c>
      <c r="X543">
        <v>0.9916855</v>
      </c>
      <c r="Y543">
        <v>8.3051879999999995E-2</v>
      </c>
      <c r="Z543">
        <v>-2.9074410000000002E-3</v>
      </c>
      <c r="AA543">
        <v>0.99654100000000001</v>
      </c>
      <c r="AB543">
        <v>32</v>
      </c>
      <c r="AC543">
        <v>0.53289999999998305</v>
      </c>
      <c r="AD543">
        <v>-5.6863999999999998E-2</v>
      </c>
      <c r="AE543">
        <v>-6.6399999999987303E-2</v>
      </c>
      <c r="AF543">
        <v>6.5044663125195995E-2</v>
      </c>
      <c r="AG543">
        <v>-5.6863999999999998E-2</v>
      </c>
      <c r="AH543">
        <v>0.52706801663443803</v>
      </c>
      <c r="AI543">
        <v>96.111666895442596</v>
      </c>
      <c r="AJ543">
        <v>82.964785628249601</v>
      </c>
      <c r="AK543">
        <v>0.53410206595371901</v>
      </c>
      <c r="AL543">
        <v>83.025459001292504</v>
      </c>
      <c r="AM543">
        <v>87.540061024707398</v>
      </c>
      <c r="AN543">
        <v>0.99999999950481799</v>
      </c>
    </row>
    <row r="544" spans="1:40" x14ac:dyDescent="0.25">
      <c r="A544" t="str">
        <f>"20190312164004064"</f>
        <v>20190312164004064</v>
      </c>
      <c r="B544" t="str">
        <f>"1552380004056645"</f>
        <v>1552380004056645</v>
      </c>
      <c r="C544" t="s">
        <v>40</v>
      </c>
      <c r="D544">
        <v>5.0973420000000003</v>
      </c>
      <c r="E544">
        <v>0.51893259999999997</v>
      </c>
      <c r="F544" t="s">
        <v>42</v>
      </c>
      <c r="G544">
        <v>-386.9085</v>
      </c>
      <c r="H544">
        <v>1.0515650000000001</v>
      </c>
      <c r="I544">
        <v>368.21050000000002</v>
      </c>
      <c r="J544">
        <v>-387.55739999999997</v>
      </c>
      <c r="K544">
        <v>1.1101219999999901</v>
      </c>
      <c r="L544">
        <v>368.2792</v>
      </c>
      <c r="M544">
        <v>0.99990049999999997</v>
      </c>
      <c r="N544">
        <v>0</v>
      </c>
      <c r="O544">
        <v>-1.1565760000000001E-3</v>
      </c>
      <c r="P544">
        <v>0.9932666</v>
      </c>
      <c r="Q544">
        <v>0.10737530000000001</v>
      </c>
      <c r="R544">
        <v>-4.3500839999999999E-2</v>
      </c>
      <c r="S544">
        <v>3.0328059999999999</v>
      </c>
      <c r="T544">
        <v>-0.2183021</v>
      </c>
      <c r="U544">
        <v>-0.2554321</v>
      </c>
      <c r="V544">
        <v>4.2344430000000002E-2</v>
      </c>
      <c r="W544">
        <v>0.1213441</v>
      </c>
      <c r="X544">
        <v>0.99170689999999995</v>
      </c>
      <c r="Y544">
        <v>8.2564090000000007E-2</v>
      </c>
      <c r="Z544">
        <v>-2.8794250000000001E-3</v>
      </c>
      <c r="AA544">
        <v>0.99658159999999896</v>
      </c>
      <c r="AB544">
        <v>32</v>
      </c>
      <c r="AC544">
        <v>0.64889999999996895</v>
      </c>
      <c r="AD544">
        <v>-5.8556999999999901E-2</v>
      </c>
      <c r="AE544">
        <v>-6.8699999999978403E-2</v>
      </c>
      <c r="AF544">
        <v>6.7406548308330205E-2</v>
      </c>
      <c r="AG544">
        <v>-5.8556999999999901E-2</v>
      </c>
      <c r="AH544">
        <v>0.64379451080247296</v>
      </c>
      <c r="AI544">
        <v>95.168995873259504</v>
      </c>
      <c r="AJ544">
        <v>84.022797687912799</v>
      </c>
      <c r="AK544">
        <v>0.64995687329486596</v>
      </c>
      <c r="AL544">
        <v>83.030319308244302</v>
      </c>
      <c r="AM544">
        <v>87.555039389536006</v>
      </c>
      <c r="AN544">
        <v>1.00000000843222</v>
      </c>
    </row>
    <row r="545" spans="1:40" x14ac:dyDescent="0.25">
      <c r="A545" t="str">
        <f>"20190312164004075"</f>
        <v>20190312164004075</v>
      </c>
      <c r="B545" t="str">
        <f>"1552380004066406"</f>
        <v>1552380004066406</v>
      </c>
      <c r="C545" t="s">
        <v>40</v>
      </c>
      <c r="D545">
        <v>5.1211379999999904</v>
      </c>
      <c r="E545">
        <v>0.51892099999999997</v>
      </c>
      <c r="F545" t="s">
        <v>42</v>
      </c>
      <c r="G545">
        <v>-386.63240000000002</v>
      </c>
      <c r="H545">
        <v>1.0433699999999999</v>
      </c>
      <c r="I545">
        <v>368.20139999999998</v>
      </c>
      <c r="J545">
        <v>-387.39150000000001</v>
      </c>
      <c r="K545">
        <v>1.110134</v>
      </c>
      <c r="L545">
        <v>368.27910000000003</v>
      </c>
      <c r="M545">
        <v>0.99990020000000002</v>
      </c>
      <c r="N545">
        <v>0</v>
      </c>
      <c r="O545">
        <v>-1.1409600000000001E-3</v>
      </c>
      <c r="P545">
        <v>0.99328159999999999</v>
      </c>
      <c r="Q545">
        <v>0.10730389999999999</v>
      </c>
      <c r="R545">
        <v>-4.333526E-2</v>
      </c>
      <c r="S545">
        <v>3.032867</v>
      </c>
      <c r="T545">
        <v>-0.2190356</v>
      </c>
      <c r="U545">
        <v>-0.25466919999999998</v>
      </c>
      <c r="V545">
        <v>4.2195879999999998E-2</v>
      </c>
      <c r="W545">
        <v>0.121292899999999</v>
      </c>
      <c r="X545">
        <v>0.99171949999999998</v>
      </c>
      <c r="Y545">
        <v>8.2328199999999893E-2</v>
      </c>
      <c r="Z545">
        <v>-2.8816789999999998E-3</v>
      </c>
      <c r="AA545">
        <v>0.99660110000000002</v>
      </c>
      <c r="AB545">
        <v>32</v>
      </c>
      <c r="AC545">
        <v>0.75909999999998901</v>
      </c>
      <c r="AD545">
        <v>-6.6763999999999796E-2</v>
      </c>
      <c r="AE545">
        <v>-7.7700000000049799E-2</v>
      </c>
      <c r="AF545">
        <v>7.6250046514323294E-2</v>
      </c>
      <c r="AG545">
        <v>-6.6763999999999796E-2</v>
      </c>
      <c r="AH545">
        <v>0.75342053363488004</v>
      </c>
      <c r="AI545">
        <v>95.038406937682396</v>
      </c>
      <c r="AJ545">
        <v>84.221048074401907</v>
      </c>
      <c r="AK545">
        <v>0.76020655205812604</v>
      </c>
      <c r="AL545">
        <v>83.033274715546398</v>
      </c>
      <c r="AM545">
        <v>87.563637206251101</v>
      </c>
      <c r="AN545">
        <v>1.0000000132798099</v>
      </c>
    </row>
    <row r="546" spans="1:40" x14ac:dyDescent="0.25">
      <c r="A546" t="str">
        <f>"20190312164004087"</f>
        <v>20190312164004087</v>
      </c>
      <c r="B546" t="str">
        <f>"1552380004077141"</f>
        <v>1552380004077141</v>
      </c>
      <c r="C546" t="s">
        <v>40</v>
      </c>
      <c r="D546">
        <v>5.0719180000000001</v>
      </c>
      <c r="E546">
        <v>0.51892099999999997</v>
      </c>
      <c r="F546" t="s">
        <v>41</v>
      </c>
      <c r="G546">
        <v>-372.01510000000002</v>
      </c>
      <c r="H546" s="1">
        <v>-3.8736779999999997E-6</v>
      </c>
      <c r="I546">
        <v>366.99</v>
      </c>
      <c r="J546">
        <v>-387.23099999999999</v>
      </c>
      <c r="K546">
        <v>1.110142</v>
      </c>
      <c r="L546">
        <v>368.27890000000002</v>
      </c>
      <c r="M546">
        <v>0.99989980000000001</v>
      </c>
      <c r="N546">
        <v>0</v>
      </c>
      <c r="O546">
        <v>-1.1298580000000001E-3</v>
      </c>
      <c r="P546">
        <v>0.99329670000000003</v>
      </c>
      <c r="Q546">
        <v>0.1072398</v>
      </c>
      <c r="R546">
        <v>-4.3144639999999998E-2</v>
      </c>
      <c r="S546">
        <v>3.0328979999999999</v>
      </c>
      <c r="T546">
        <v>-0.21896669999999999</v>
      </c>
      <c r="U546">
        <v>-0.25424190000000002</v>
      </c>
      <c r="V546">
        <v>4.201775E-2</v>
      </c>
      <c r="W546">
        <v>0.1212466</v>
      </c>
      <c r="X546">
        <v>0.99173270000000002</v>
      </c>
      <c r="Y546">
        <v>8.2199460000000002E-2</v>
      </c>
      <c r="Z546">
        <v>-2.8769289999999999E-3</v>
      </c>
      <c r="AA546">
        <v>0.99661180000000005</v>
      </c>
      <c r="AB546">
        <v>32</v>
      </c>
      <c r="AC546">
        <v>15.2158999999999</v>
      </c>
      <c r="AD546">
        <v>-1.1101458736780001</v>
      </c>
      <c r="AE546">
        <v>-1.2889000000000099</v>
      </c>
      <c r="AF546">
        <v>1.2650198026153601</v>
      </c>
      <c r="AG546">
        <v>-1.1101458736780001</v>
      </c>
      <c r="AH546">
        <v>15.137343133537399</v>
      </c>
      <c r="AI546">
        <v>94.179942797480805</v>
      </c>
      <c r="AJ546">
        <v>85.222922020985393</v>
      </c>
      <c r="AK546">
        <v>15.230622315069899</v>
      </c>
      <c r="AL546">
        <v>83.035947062983297</v>
      </c>
      <c r="AM546">
        <v>87.573942254501702</v>
      </c>
      <c r="AN546">
        <v>0.99999998878795604</v>
      </c>
    </row>
    <row r="547" spans="1:40" x14ac:dyDescent="0.25">
      <c r="A547" t="str">
        <f>"20190312164004100"</f>
        <v>20190312164004100</v>
      </c>
      <c r="B547" t="str">
        <f>"1552380004096661"</f>
        <v>1552380004096661</v>
      </c>
      <c r="C547" t="s">
        <v>40</v>
      </c>
      <c r="D547">
        <v>5.1548559999999997</v>
      </c>
      <c r="E547">
        <v>0.51831970000000005</v>
      </c>
      <c r="F547" t="s">
        <v>42</v>
      </c>
      <c r="G547">
        <v>-386.34719999999999</v>
      </c>
      <c r="H547">
        <v>1.046403</v>
      </c>
      <c r="I547">
        <v>368.20440000000002</v>
      </c>
      <c r="J547">
        <v>-387.05380000000002</v>
      </c>
      <c r="K547">
        <v>1.110152</v>
      </c>
      <c r="L547">
        <v>368.27870000000001</v>
      </c>
      <c r="M547">
        <v>0.99989969999999995</v>
      </c>
      <c r="N547">
        <v>0</v>
      </c>
      <c r="O547">
        <v>-1.1192489999999999E-3</v>
      </c>
      <c r="P547">
        <v>0.99332679999999995</v>
      </c>
      <c r="Q547">
        <v>0.107073</v>
      </c>
      <c r="R547">
        <v>-4.28662E-2</v>
      </c>
      <c r="S547">
        <v>3.0329280000000001</v>
      </c>
      <c r="T547">
        <v>-0.21911449999999999</v>
      </c>
      <c r="U547">
        <v>-0.2539978</v>
      </c>
      <c r="V547">
        <v>4.1751419999999997E-2</v>
      </c>
      <c r="W547">
        <v>0.1210989</v>
      </c>
      <c r="X547">
        <v>0.99176200000000003</v>
      </c>
      <c r="Y547">
        <v>8.2129419999999995E-2</v>
      </c>
      <c r="Z547">
        <v>-2.8770890000000002E-3</v>
      </c>
      <c r="AA547">
        <v>0.99661750000000005</v>
      </c>
      <c r="AB547">
        <v>32</v>
      </c>
      <c r="AC547">
        <v>0.70660000000003698</v>
      </c>
      <c r="AD547">
        <v>-6.3749E-2</v>
      </c>
      <c r="AE547">
        <v>-7.4299999999993802E-2</v>
      </c>
      <c r="AF547">
        <v>7.2921953641138598E-2</v>
      </c>
      <c r="AG547">
        <v>-6.3749E-2</v>
      </c>
      <c r="AH547">
        <v>0.70103899748496801</v>
      </c>
      <c r="AI547">
        <v>95.168170069276599</v>
      </c>
      <c r="AJ547">
        <v>84.061460184095296</v>
      </c>
      <c r="AK547">
        <v>0.70769853915249004</v>
      </c>
      <c r="AL547">
        <v>83.044472510705702</v>
      </c>
      <c r="AM547">
        <v>87.589372786361693</v>
      </c>
      <c r="AN547">
        <v>0.999999994648613</v>
      </c>
    </row>
    <row r="548" spans="1:40" x14ac:dyDescent="0.25">
      <c r="A548" t="str">
        <f>"20190312164004121"</f>
        <v>20190312164004121</v>
      </c>
      <c r="B548" t="str">
        <f>"1552380004117158"</f>
        <v>1552380004117158</v>
      </c>
      <c r="C548" t="s">
        <v>40</v>
      </c>
      <c r="D548">
        <v>5.2153019999999897</v>
      </c>
      <c r="E548">
        <v>0.48873810000000001</v>
      </c>
      <c r="F548" t="s">
        <v>42</v>
      </c>
      <c r="G548">
        <v>-386.06819999999999</v>
      </c>
      <c r="H548">
        <v>1.0412030000000001</v>
      </c>
      <c r="I548">
        <v>368.19760000000002</v>
      </c>
      <c r="J548">
        <v>-386.76749999999998</v>
      </c>
      <c r="K548">
        <v>1.1101639999999999</v>
      </c>
      <c r="L548">
        <v>368.27839999999998</v>
      </c>
      <c r="M548">
        <v>0.99989919999999999</v>
      </c>
      <c r="N548">
        <v>0</v>
      </c>
      <c r="O548">
        <v>-1.1092160000000001E-3</v>
      </c>
      <c r="P548">
        <v>0.99335410000000002</v>
      </c>
      <c r="Q548">
        <v>0.1068293</v>
      </c>
      <c r="R548">
        <v>-4.2839460000000003E-2</v>
      </c>
      <c r="S548">
        <v>3.0323180000000001</v>
      </c>
      <c r="T548">
        <v>-0.2123324</v>
      </c>
      <c r="U548">
        <v>-0.2484741</v>
      </c>
      <c r="V548">
        <v>4.1737280000000002E-2</v>
      </c>
      <c r="W548">
        <v>0.12088309999999999</v>
      </c>
      <c r="X548">
        <v>0.99178889999999997</v>
      </c>
      <c r="Y548">
        <v>8.0369799999999894E-2</v>
      </c>
      <c r="Z548">
        <v>-2.7282930000000001E-3</v>
      </c>
      <c r="AA548">
        <v>0.99676140000000002</v>
      </c>
      <c r="AB548">
        <v>32</v>
      </c>
      <c r="AC548">
        <v>0.69929999999999304</v>
      </c>
      <c r="AD548">
        <v>-6.89609999999998E-2</v>
      </c>
      <c r="AE548">
        <v>-8.0799999999953798E-2</v>
      </c>
      <c r="AF548">
        <v>7.9263532166466394E-2</v>
      </c>
      <c r="AG548">
        <v>-6.89609999999998E-2</v>
      </c>
      <c r="AH548">
        <v>0.69274119740774098</v>
      </c>
      <c r="AI548">
        <v>95.648337594460898</v>
      </c>
      <c r="AJ548">
        <v>83.472596669173498</v>
      </c>
      <c r="AK548">
        <v>0.70066303858446499</v>
      </c>
      <c r="AL548">
        <v>83.056928297192599</v>
      </c>
      <c r="AM548">
        <v>87.5902535171126</v>
      </c>
      <c r="AN548">
        <v>0.99999997328530799</v>
      </c>
    </row>
    <row r="549" spans="1:40" x14ac:dyDescent="0.25">
      <c r="A549" t="str">
        <f>"20190312164004144"</f>
        <v>20190312164004144</v>
      </c>
      <c r="B549" t="str">
        <f>"1552380004136679"</f>
        <v>1552380004136679</v>
      </c>
      <c r="C549" t="s">
        <v>40</v>
      </c>
      <c r="D549">
        <v>5.2834320000000004</v>
      </c>
      <c r="E549">
        <v>0.48731020000000003</v>
      </c>
      <c r="F549" t="s">
        <v>41</v>
      </c>
      <c r="G549">
        <v>-367.85890000000001</v>
      </c>
      <c r="H549" s="1">
        <v>-1.1540239999999999E-6</v>
      </c>
      <c r="I549">
        <v>368.18889999999999</v>
      </c>
      <c r="J549">
        <v>-386.43079999999998</v>
      </c>
      <c r="K549">
        <v>1.110179</v>
      </c>
      <c r="L549">
        <v>368.27800000000002</v>
      </c>
      <c r="M549">
        <v>0.99989890000000003</v>
      </c>
      <c r="N549">
        <v>0</v>
      </c>
      <c r="O549">
        <v>-1.1051170000000001E-3</v>
      </c>
      <c r="P549">
        <v>0.99340589999999995</v>
      </c>
      <c r="Q549">
        <v>0.1064869</v>
      </c>
      <c r="R549">
        <v>-4.2486790000000003E-2</v>
      </c>
      <c r="S549">
        <v>3.0386660000000001</v>
      </c>
      <c r="T549">
        <v>-0.1784068</v>
      </c>
      <c r="U549">
        <v>-1.4373779999999999E-2</v>
      </c>
      <c r="V549">
        <v>4.13906E-2</v>
      </c>
      <c r="W549">
        <v>0.1205688</v>
      </c>
      <c r="X549">
        <v>0.99184170000000005</v>
      </c>
      <c r="Y549">
        <v>3.6206900000000002E-3</v>
      </c>
      <c r="Z549" s="1">
        <v>-4.1363219999999999E-5</v>
      </c>
      <c r="AA549">
        <v>0.99999340000000003</v>
      </c>
      <c r="AB549">
        <v>32</v>
      </c>
      <c r="AC549">
        <v>18.5718999999999</v>
      </c>
      <c r="AD549">
        <v>-1.1101801540239999</v>
      </c>
      <c r="AE549">
        <v>-8.9100000000030294E-2</v>
      </c>
      <c r="AF549">
        <v>6.8329601282427793E-2</v>
      </c>
      <c r="AG549">
        <v>-1.1101801540239999</v>
      </c>
      <c r="AH549">
        <v>18.5058609361222</v>
      </c>
      <c r="AI549">
        <v>93.433077935128907</v>
      </c>
      <c r="AJ549">
        <v>89.788446482355894</v>
      </c>
      <c r="AK549">
        <v>18.539257209928799</v>
      </c>
      <c r="AL549">
        <v>83.075069144447198</v>
      </c>
      <c r="AM549">
        <v>87.610373224248903</v>
      </c>
      <c r="AN549">
        <v>0.99999998758034503</v>
      </c>
    </row>
    <row r="550" spans="1:40" x14ac:dyDescent="0.25">
      <c r="A550" t="str">
        <f>"20190312164004165"</f>
        <v>20190312164004165</v>
      </c>
      <c r="B550" t="str">
        <f>"1552380004157174"</f>
        <v>1552380004157174</v>
      </c>
      <c r="C550" t="s">
        <v>40</v>
      </c>
      <c r="D550">
        <v>5.1570739999999997</v>
      </c>
      <c r="E550">
        <v>0.48664950000000001</v>
      </c>
      <c r="F550" t="s">
        <v>41</v>
      </c>
      <c r="G550">
        <v>-366.98630000000003</v>
      </c>
      <c r="H550" s="1">
        <v>-1.5149159999999999E-6</v>
      </c>
      <c r="I550">
        <v>368.26490000000001</v>
      </c>
      <c r="J550">
        <v>-386.12880000000001</v>
      </c>
      <c r="K550">
        <v>1.1101920000000001</v>
      </c>
      <c r="L550">
        <v>368.27769999999998</v>
      </c>
      <c r="M550">
        <v>0.99989839999999997</v>
      </c>
      <c r="N550">
        <v>0</v>
      </c>
      <c r="O550">
        <v>-1.105455E-3</v>
      </c>
      <c r="P550">
        <v>0.99341120000000005</v>
      </c>
      <c r="Q550">
        <v>0.10648539999999999</v>
      </c>
      <c r="R550">
        <v>-4.2369820000000002E-2</v>
      </c>
      <c r="S550">
        <v>3.0384519999999999</v>
      </c>
      <c r="T550">
        <v>-0.1734792</v>
      </c>
      <c r="U550">
        <v>-2.0446779999999999E-3</v>
      </c>
      <c r="V550">
        <v>4.1274070000000003E-2</v>
      </c>
      <c r="W550">
        <v>0.1205891</v>
      </c>
      <c r="X550">
        <v>0.99184410000000001</v>
      </c>
      <c r="Y550">
        <v>-4.3013239999999998E-4</v>
      </c>
      <c r="Z550" s="1">
        <v>7.5339649999999996E-5</v>
      </c>
      <c r="AA550">
        <v>0.99999990000000005</v>
      </c>
      <c r="AB550">
        <v>32</v>
      </c>
      <c r="AC550">
        <v>19.142499999999899</v>
      </c>
      <c r="AD550">
        <v>-1.110193514916</v>
      </c>
      <c r="AE550">
        <v>-1.2799999999970099E-2</v>
      </c>
      <c r="AF550">
        <v>-8.3352811572826695E-3</v>
      </c>
      <c r="AG550">
        <v>-1.110193514916</v>
      </c>
      <c r="AH550">
        <v>19.078331239135199</v>
      </c>
      <c r="AI550">
        <v>93.330361697302294</v>
      </c>
      <c r="AJ550">
        <v>90.025032399060194</v>
      </c>
      <c r="AK550">
        <v>19.110607577668301</v>
      </c>
      <c r="AL550">
        <v>83.073897572986397</v>
      </c>
      <c r="AM550">
        <v>87.6170989094622</v>
      </c>
      <c r="AN550">
        <v>0.99999999929899197</v>
      </c>
    </row>
    <row r="551" spans="1:40" x14ac:dyDescent="0.25">
      <c r="A551" t="str">
        <f>"20190312164004186"</f>
        <v>20190312164004186</v>
      </c>
      <c r="B551" t="str">
        <f>"1552380004176695"</f>
        <v>1552380004176695</v>
      </c>
      <c r="C551" t="s">
        <v>40</v>
      </c>
      <c r="D551">
        <v>5.1555939999999998</v>
      </c>
      <c r="E551">
        <v>0.48625269999999998</v>
      </c>
      <c r="F551" t="s">
        <v>41</v>
      </c>
      <c r="G551">
        <v>-365.4973</v>
      </c>
      <c r="H551" s="1">
        <v>-2.1473269999999999E-6</v>
      </c>
      <c r="I551">
        <v>368.30059999999997</v>
      </c>
      <c r="J551">
        <v>-385.83510000000001</v>
      </c>
      <c r="K551">
        <v>1.1102000000000001</v>
      </c>
      <c r="L551">
        <v>368.2774</v>
      </c>
      <c r="M551">
        <v>0.99989830000000002</v>
      </c>
      <c r="N551">
        <v>0</v>
      </c>
      <c r="O551">
        <v>-1.108246E-3</v>
      </c>
      <c r="P551">
        <v>0.99339180000000005</v>
      </c>
      <c r="Q551">
        <v>0.106668</v>
      </c>
      <c r="R551">
        <v>-4.2369879999999999E-2</v>
      </c>
      <c r="S551">
        <v>3.0375369999999999</v>
      </c>
      <c r="T551">
        <v>-0.16345129999999999</v>
      </c>
      <c r="U551">
        <v>3.3874510000000001E-3</v>
      </c>
      <c r="V551">
        <v>4.1272040000000003E-2</v>
      </c>
      <c r="W551">
        <v>0.1207893</v>
      </c>
      <c r="X551">
        <v>0.99181980000000003</v>
      </c>
      <c r="Y551">
        <v>-2.218739E-3</v>
      </c>
      <c r="Z551">
        <v>1.1925070000000001E-4</v>
      </c>
      <c r="AA551">
        <v>0.99999760000000004</v>
      </c>
      <c r="AB551">
        <v>32</v>
      </c>
      <c r="AC551">
        <v>20.337800000000001</v>
      </c>
      <c r="AD551">
        <v>-1.1102021473270001</v>
      </c>
      <c r="AE551">
        <v>2.31999999999743E-2</v>
      </c>
      <c r="AF551">
        <v>-4.5605651501139502E-2</v>
      </c>
      <c r="AG551">
        <v>-1.1102021473270001</v>
      </c>
      <c r="AH551">
        <v>20.2773381989775</v>
      </c>
      <c r="AI551">
        <v>93.133857621560907</v>
      </c>
      <c r="AJ551">
        <v>90.1288634100503</v>
      </c>
      <c r="AK551">
        <v>20.307758938866002</v>
      </c>
      <c r="AL551">
        <v>83.062342331635307</v>
      </c>
      <c r="AM551">
        <v>87.617157661689106</v>
      </c>
      <c r="AN551">
        <v>0.99999997597614498</v>
      </c>
    </row>
    <row r="552" spans="1:40" x14ac:dyDescent="0.25">
      <c r="A552" t="str">
        <f>"20190312164004199"</f>
        <v>20190312164004199</v>
      </c>
      <c r="B552" t="str">
        <f>"1552380004186454"</f>
        <v>1552380004186454</v>
      </c>
      <c r="C552" t="s">
        <v>40</v>
      </c>
      <c r="D552">
        <v>5.1528689999999999</v>
      </c>
      <c r="E552">
        <v>0.48612080000000002</v>
      </c>
      <c r="F552" t="s">
        <v>41</v>
      </c>
      <c r="G552">
        <v>-364.54919999999998</v>
      </c>
      <c r="H552" s="1">
        <v>-2.550063E-6</v>
      </c>
      <c r="I552">
        <v>368.32330000000002</v>
      </c>
      <c r="J552">
        <v>-385.6617</v>
      </c>
      <c r="K552">
        <v>1.1102099999999999</v>
      </c>
      <c r="L552">
        <v>368.27719999999999</v>
      </c>
      <c r="M552">
        <v>0.99989799999999995</v>
      </c>
      <c r="N552">
        <v>0</v>
      </c>
      <c r="O552">
        <v>-1.11012E-3</v>
      </c>
      <c r="P552">
        <v>0.99336959999999996</v>
      </c>
      <c r="Q552">
        <v>0.1067519</v>
      </c>
      <c r="R552">
        <v>-4.2669609999999997E-2</v>
      </c>
      <c r="S552">
        <v>3.0372309999999998</v>
      </c>
      <c r="T552">
        <v>-0.15841140000000001</v>
      </c>
      <c r="U552">
        <v>6.5612789999999997E-3</v>
      </c>
      <c r="V552">
        <v>4.157044E-2</v>
      </c>
      <c r="W552">
        <v>0.12088309999999999</v>
      </c>
      <c r="X552">
        <v>0.99179600000000001</v>
      </c>
      <c r="Y552">
        <v>-3.2645600000000001E-3</v>
      </c>
      <c r="Z552">
        <v>1.429426E-4</v>
      </c>
      <c r="AA552">
        <v>0.99999459999999996</v>
      </c>
      <c r="AB552">
        <v>31</v>
      </c>
      <c r="AC552">
        <v>21.112500000000001</v>
      </c>
      <c r="AD552">
        <v>-1.110212550063</v>
      </c>
      <c r="AE552">
        <v>4.6100000000023997E-2</v>
      </c>
      <c r="AF552">
        <v>-6.9347993522098306E-2</v>
      </c>
      <c r="AG552">
        <v>-1.110212550063</v>
      </c>
      <c r="AH552">
        <v>21.054216108867799</v>
      </c>
      <c r="AI552">
        <v>93.018459076134306</v>
      </c>
      <c r="AJ552">
        <v>90.188719112462707</v>
      </c>
      <c r="AK552">
        <v>21.083581218792801</v>
      </c>
      <c r="AL552">
        <v>83.056928940470499</v>
      </c>
      <c r="AM552">
        <v>87.599892077205894</v>
      </c>
      <c r="AN552">
        <v>1.0000000654816901</v>
      </c>
    </row>
    <row r="553" spans="1:40" x14ac:dyDescent="0.25">
      <c r="A553" t="str">
        <f>"20190312164004210"</f>
        <v>20190312164004210</v>
      </c>
      <c r="B553" t="str">
        <f>"1552380004206950"</f>
        <v>1552380004206950</v>
      </c>
      <c r="C553" t="s">
        <v>40</v>
      </c>
      <c r="D553">
        <v>5.2605969999999997</v>
      </c>
      <c r="E553">
        <v>0.4859155</v>
      </c>
      <c r="F553" t="s">
        <v>41</v>
      </c>
      <c r="G553">
        <v>-364.07319999999999</v>
      </c>
      <c r="H553" s="1">
        <v>-2.7541189999999999E-6</v>
      </c>
      <c r="I553">
        <v>368.32389999999998</v>
      </c>
      <c r="J553">
        <v>-385.48270000000002</v>
      </c>
      <c r="K553">
        <v>1.110214</v>
      </c>
      <c r="L553">
        <v>368.27699999999999</v>
      </c>
      <c r="M553">
        <v>0.99989799999999995</v>
      </c>
      <c r="N553">
        <v>0</v>
      </c>
      <c r="O553">
        <v>-1.112465E-3</v>
      </c>
      <c r="P553">
        <v>0.99334230000000001</v>
      </c>
      <c r="Q553">
        <v>0.10697479999999999</v>
      </c>
      <c r="R553">
        <v>-4.274828E-2</v>
      </c>
      <c r="S553">
        <v>3.0370789999999999</v>
      </c>
      <c r="T553">
        <v>-0.15618479999999901</v>
      </c>
      <c r="U553">
        <v>6.5917969999999999E-3</v>
      </c>
      <c r="V553">
        <v>4.1647040000000003E-2</v>
      </c>
      <c r="W553">
        <v>0.121114</v>
      </c>
      <c r="X553">
        <v>0.99176450000000005</v>
      </c>
      <c r="Y553">
        <v>-3.2772080000000002E-3</v>
      </c>
      <c r="Z553">
        <v>1.4138869999999999E-4</v>
      </c>
      <c r="AA553">
        <v>0.99999459999999996</v>
      </c>
      <c r="AB553">
        <v>31</v>
      </c>
      <c r="AC553">
        <v>21.409500000000001</v>
      </c>
      <c r="AD553">
        <v>-1.110216754119</v>
      </c>
      <c r="AE553">
        <v>4.6899999999993697E-2</v>
      </c>
      <c r="AF553">
        <v>-7.0530045769187893E-2</v>
      </c>
      <c r="AG553">
        <v>-1.110216754119</v>
      </c>
      <c r="AH553">
        <v>21.352017722256001</v>
      </c>
      <c r="AI553">
        <v>92.976447309506298</v>
      </c>
      <c r="AJ553">
        <v>90.189258893773598</v>
      </c>
      <c r="AK553">
        <v>21.3809779135571</v>
      </c>
      <c r="AL553">
        <v>83.043600618435804</v>
      </c>
      <c r="AM553">
        <v>87.595398409427602</v>
      </c>
      <c r="AN553">
        <v>0.99999995019850396</v>
      </c>
    </row>
    <row r="554" spans="1:40" x14ac:dyDescent="0.25">
      <c r="A554" t="str">
        <f>"20190312164004230"</f>
        <v>20190312164004230</v>
      </c>
      <c r="B554" t="str">
        <f>"1552380004227014"</f>
        <v>1552380004227014</v>
      </c>
      <c r="C554" t="s">
        <v>40</v>
      </c>
      <c r="D554">
        <v>5.2917059999999996</v>
      </c>
      <c r="E554">
        <v>0.48591859999999998</v>
      </c>
      <c r="F554" t="s">
        <v>41</v>
      </c>
      <c r="G554">
        <v>-363.40859999999998</v>
      </c>
      <c r="H554" s="1">
        <v>-3.0372879999999998E-6</v>
      </c>
      <c r="I554">
        <v>368.33499999999998</v>
      </c>
      <c r="J554">
        <v>-385.2106</v>
      </c>
      <c r="K554">
        <v>1.110217</v>
      </c>
      <c r="L554">
        <v>368.27670000000001</v>
      </c>
      <c r="M554">
        <v>0.9998977</v>
      </c>
      <c r="N554">
        <v>0</v>
      </c>
      <c r="O554">
        <v>-1.115918E-3</v>
      </c>
      <c r="P554">
        <v>0.99335289999999998</v>
      </c>
      <c r="Q554">
        <v>0.10654619999999999</v>
      </c>
      <c r="R554">
        <v>-4.356728E-2</v>
      </c>
      <c r="S554">
        <v>3.036896</v>
      </c>
      <c r="T554">
        <v>-0.15274019999999999</v>
      </c>
      <c r="U554">
        <v>7.9956049999999994E-3</v>
      </c>
      <c r="V554">
        <v>4.2463029999999999E-2</v>
      </c>
      <c r="W554">
        <v>0.1206975</v>
      </c>
      <c r="X554">
        <v>0.99178069999999896</v>
      </c>
      <c r="Y554">
        <v>-3.7426970000000001E-3</v>
      </c>
      <c r="Z554">
        <v>1.5015469999999999E-4</v>
      </c>
      <c r="AA554">
        <v>0.99999300000000002</v>
      </c>
      <c r="AB554">
        <v>31</v>
      </c>
      <c r="AC554">
        <v>21.802</v>
      </c>
      <c r="AD554">
        <v>-1.110220037288</v>
      </c>
      <c r="AE554">
        <v>5.8299999999974199E-2</v>
      </c>
      <c r="AF554">
        <v>-8.2417962377768494E-2</v>
      </c>
      <c r="AG554">
        <v>-1.110220037288</v>
      </c>
      <c r="AH554">
        <v>21.745532617188399</v>
      </c>
      <c r="AI554">
        <v>92.922682295400605</v>
      </c>
      <c r="AJ554">
        <v>90.217156271693398</v>
      </c>
      <c r="AK554">
        <v>21.774011345108701</v>
      </c>
      <c r="AL554">
        <v>83.067640850861693</v>
      </c>
      <c r="AM554">
        <v>87.548382009363195</v>
      </c>
      <c r="AN554">
        <v>0.99999997615775904</v>
      </c>
    </row>
    <row r="555" spans="1:40" x14ac:dyDescent="0.25">
      <c r="A555" t="str">
        <f>"20190312164004243"</f>
        <v>20190312164004243</v>
      </c>
      <c r="B555" t="str">
        <f>"1552380004236775"</f>
        <v>1552380004236775</v>
      </c>
      <c r="C555" t="s">
        <v>40</v>
      </c>
      <c r="D555">
        <v>5.3252249999999997</v>
      </c>
      <c r="E555">
        <v>0.4858441</v>
      </c>
      <c r="F555" t="s">
        <v>41</v>
      </c>
      <c r="G555">
        <v>-363.18349999999998</v>
      </c>
      <c r="H555" s="1">
        <v>-3.1368729999999999E-6</v>
      </c>
      <c r="I555">
        <v>368.31799999999998</v>
      </c>
      <c r="J555">
        <v>-385.03530000000001</v>
      </c>
      <c r="K555">
        <v>1.1102190000000001</v>
      </c>
      <c r="L555">
        <v>368.2765</v>
      </c>
      <c r="M555">
        <v>0.9998977</v>
      </c>
      <c r="N555">
        <v>0</v>
      </c>
      <c r="O555">
        <v>-1.118132E-3</v>
      </c>
      <c r="P555">
        <v>0.99335090000000004</v>
      </c>
      <c r="Q555">
        <v>0.1063895</v>
      </c>
      <c r="R555">
        <v>-4.3995279999999998E-2</v>
      </c>
      <c r="S555">
        <v>3.0367739999999999</v>
      </c>
      <c r="T555">
        <v>-0.15306040000000001</v>
      </c>
      <c r="U555">
        <v>5.7067869999999996E-3</v>
      </c>
      <c r="V555">
        <v>4.2888999999999997E-2</v>
      </c>
      <c r="W555">
        <v>0.120547</v>
      </c>
      <c r="X555">
        <v>0.99178069999999896</v>
      </c>
      <c r="Y555">
        <v>-2.9922479999999999E-3</v>
      </c>
      <c r="Z555">
        <v>1.3168659999999999E-4</v>
      </c>
      <c r="AA555">
        <v>0.99999550000000004</v>
      </c>
      <c r="AB555">
        <v>31</v>
      </c>
      <c r="AC555">
        <v>21.851800000000001</v>
      </c>
      <c r="AD555">
        <v>-1.1102221368729901</v>
      </c>
      <c r="AE555">
        <v>4.1500000000041802E-2</v>
      </c>
      <c r="AF555">
        <v>-6.5765891822185202E-2</v>
      </c>
      <c r="AG555">
        <v>-1.1102221368729901</v>
      </c>
      <c r="AH555">
        <v>21.7954785769636</v>
      </c>
      <c r="AI555">
        <v>92.916009485115296</v>
      </c>
      <c r="AJ555">
        <v>90.172884324983798</v>
      </c>
      <c r="AK555">
        <v>21.8238357019248</v>
      </c>
      <c r="AL555">
        <v>83.076327464414305</v>
      </c>
      <c r="AM555">
        <v>87.523818941348196</v>
      </c>
      <c r="AN555">
        <v>1.00000000121124</v>
      </c>
    </row>
    <row r="556" spans="1:40" x14ac:dyDescent="0.25">
      <c r="A556" t="str">
        <f>"20190312164004255"</f>
        <v>20190312164004255</v>
      </c>
      <c r="B556" t="str">
        <f>"1552380004246534"</f>
        <v>1552380004246534</v>
      </c>
      <c r="C556" t="s">
        <v>40</v>
      </c>
      <c r="D556">
        <v>5.2399069999999996</v>
      </c>
      <c r="E556">
        <v>0.4855894</v>
      </c>
      <c r="F556" t="s">
        <v>41</v>
      </c>
      <c r="G556">
        <v>-363.02659999999997</v>
      </c>
      <c r="H556" s="1">
        <v>-3.204937E-6</v>
      </c>
      <c r="I556">
        <v>368.31380000000001</v>
      </c>
      <c r="J556">
        <v>-384.86689999999999</v>
      </c>
      <c r="K556">
        <v>1.110222</v>
      </c>
      <c r="L556">
        <v>368.27629999999999</v>
      </c>
      <c r="M556">
        <v>0.9998977</v>
      </c>
      <c r="N556">
        <v>0</v>
      </c>
      <c r="O556">
        <v>-1.120458E-3</v>
      </c>
      <c r="P556">
        <v>0.99336869999999999</v>
      </c>
      <c r="Q556">
        <v>0.1061135</v>
      </c>
      <c r="R556">
        <v>-4.4253149999999998E-2</v>
      </c>
      <c r="S556">
        <v>3.0366819999999999</v>
      </c>
      <c r="T556">
        <v>-0.15318370000000001</v>
      </c>
      <c r="U556">
        <v>5.1574709999999899E-3</v>
      </c>
      <c r="V556">
        <v>4.3145080000000002E-2</v>
      </c>
      <c r="W556">
        <v>0.1202776</v>
      </c>
      <c r="X556">
        <v>0.99180230000000003</v>
      </c>
      <c r="Y556">
        <v>-2.813954E-3</v>
      </c>
      <c r="Z556">
        <v>1.274197E-4</v>
      </c>
      <c r="AA556">
        <v>0.999996</v>
      </c>
      <c r="AB556">
        <v>31</v>
      </c>
      <c r="AC556">
        <v>21.840299999999999</v>
      </c>
      <c r="AD556">
        <v>-1.1102252049370001</v>
      </c>
      <c r="AE556">
        <v>3.7500000000022703E-2</v>
      </c>
      <c r="AF556">
        <v>-6.1813872444437E-2</v>
      </c>
      <c r="AG556">
        <v>-1.1102252049370001</v>
      </c>
      <c r="AH556">
        <v>21.783953082916899</v>
      </c>
      <c r="AI556">
        <v>92.917559209792401</v>
      </c>
      <c r="AJ556">
        <v>90.162581350008097</v>
      </c>
      <c r="AK556">
        <v>21.8123137901331</v>
      </c>
      <c r="AL556">
        <v>83.091876075675003</v>
      </c>
      <c r="AM556">
        <v>87.509107002537604</v>
      </c>
      <c r="AN556">
        <v>1.00000000063762</v>
      </c>
    </row>
    <row r="557" spans="1:40" x14ac:dyDescent="0.25">
      <c r="A557" t="str">
        <f>"20190312164004267"</f>
        <v>20190312164004267</v>
      </c>
      <c r="B557" t="str">
        <f>"1552380004256294"</f>
        <v>1552380004256294</v>
      </c>
      <c r="C557" t="s">
        <v>40</v>
      </c>
      <c r="D557">
        <v>5.2427849999999996</v>
      </c>
      <c r="E557">
        <v>0.48574410000000001</v>
      </c>
      <c r="F557" t="s">
        <v>41</v>
      </c>
      <c r="G557">
        <v>-363.11989999999997</v>
      </c>
      <c r="H557" s="1">
        <v>-3.1638320000000001E-6</v>
      </c>
      <c r="I557">
        <v>368.31979999999999</v>
      </c>
      <c r="J557">
        <v>-384.70280000000002</v>
      </c>
      <c r="K557">
        <v>1.1102270000000001</v>
      </c>
      <c r="L557">
        <v>368.27609999999999</v>
      </c>
      <c r="M557">
        <v>0.99989749999999999</v>
      </c>
      <c r="N557">
        <v>0</v>
      </c>
      <c r="O557">
        <v>-1.1226560000000001E-3</v>
      </c>
      <c r="P557">
        <v>0.99332710000000002</v>
      </c>
      <c r="Q557">
        <v>0.10621899999999999</v>
      </c>
      <c r="R557">
        <v>-4.4930579999999998E-2</v>
      </c>
      <c r="S557">
        <v>3.036896</v>
      </c>
      <c r="T557">
        <v>-0.15503900000000001</v>
      </c>
      <c r="U557">
        <v>6.0729979999999996E-3</v>
      </c>
      <c r="V557">
        <v>4.3820419999999999E-2</v>
      </c>
      <c r="W557">
        <v>0.12038740000000001</v>
      </c>
      <c r="X557">
        <v>0.99175939999999996</v>
      </c>
      <c r="Y557">
        <v>-3.1169800000000001E-3</v>
      </c>
      <c r="Z557">
        <v>1.367939E-4</v>
      </c>
      <c r="AA557">
        <v>0.99999510000000003</v>
      </c>
      <c r="AB557">
        <v>31</v>
      </c>
      <c r="AC557">
        <v>21.582899999999999</v>
      </c>
      <c r="AD557">
        <v>-1.110230163832</v>
      </c>
      <c r="AE557">
        <v>4.3700000000001099E-2</v>
      </c>
      <c r="AF557">
        <v>-6.7753331774433795E-2</v>
      </c>
      <c r="AG557">
        <v>-1.110230163832</v>
      </c>
      <c r="AH557">
        <v>21.525877913452302</v>
      </c>
      <c r="AI557">
        <v>92.952486926948296</v>
      </c>
      <c r="AJ557">
        <v>90.180339550135599</v>
      </c>
      <c r="AK557">
        <v>21.554596295813699</v>
      </c>
      <c r="AL557">
        <v>83.085539164949097</v>
      </c>
      <c r="AM557">
        <v>87.470058604393301</v>
      </c>
      <c r="AN557">
        <v>1.0000000313880399</v>
      </c>
    </row>
    <row r="558" spans="1:40" x14ac:dyDescent="0.25">
      <c r="A558" t="str">
        <f>"20190312164004279"</f>
        <v>20190312164004279</v>
      </c>
      <c r="B558" t="str">
        <f>"1552380004276790"</f>
        <v>1552380004276790</v>
      </c>
      <c r="C558" t="s">
        <v>40</v>
      </c>
      <c r="D558">
        <v>5.1512960000000003</v>
      </c>
      <c r="E558">
        <v>0.48619600000000002</v>
      </c>
      <c r="F558" t="s">
        <v>41</v>
      </c>
      <c r="G558">
        <v>-363.13850000000002</v>
      </c>
      <c r="H558" s="1">
        <v>-3.1595279999999999E-6</v>
      </c>
      <c r="I558">
        <v>368.29899999999998</v>
      </c>
      <c r="J558">
        <v>-384.52690000000001</v>
      </c>
      <c r="K558">
        <v>1.110228</v>
      </c>
      <c r="L558">
        <v>368.27589999999998</v>
      </c>
      <c r="M558">
        <v>0.99989740000000005</v>
      </c>
      <c r="N558">
        <v>0</v>
      </c>
      <c r="O558">
        <v>-1.125093E-3</v>
      </c>
      <c r="P558">
        <v>0.99331510000000001</v>
      </c>
      <c r="Q558">
        <v>0.10621559999999999</v>
      </c>
      <c r="R558">
        <v>-4.5205700000000001E-2</v>
      </c>
      <c r="S558">
        <v>3.0370180000000002</v>
      </c>
      <c r="T558">
        <v>-0.15635969999999999</v>
      </c>
      <c r="U558">
        <v>3.2348630000000001E-3</v>
      </c>
      <c r="V558">
        <v>4.4093340000000002E-2</v>
      </c>
      <c r="W558">
        <v>0.12038889999999999</v>
      </c>
      <c r="X558">
        <v>0.99174709999999999</v>
      </c>
      <c r="Y558">
        <v>-2.1859649999999998E-3</v>
      </c>
      <c r="Z558">
        <v>1.14127E-4</v>
      </c>
      <c r="AA558">
        <v>0.99999760000000004</v>
      </c>
      <c r="AB558">
        <v>31</v>
      </c>
      <c r="AC558">
        <v>21.388399999999901</v>
      </c>
      <c r="AD558">
        <v>-1.1102311595279999</v>
      </c>
      <c r="AE558">
        <v>2.3100000000056201E-2</v>
      </c>
      <c r="AF558">
        <v>-4.7039632656699103E-2</v>
      </c>
      <c r="AG558">
        <v>-1.1102311595279999</v>
      </c>
      <c r="AH558">
        <v>21.330885517189301</v>
      </c>
      <c r="AI558">
        <v>92.979438305939297</v>
      </c>
      <c r="AJ558">
        <v>90.126350500075702</v>
      </c>
      <c r="AK558">
        <v>21.359810460349699</v>
      </c>
      <c r="AL558">
        <v>83.085452443827904</v>
      </c>
      <c r="AM558">
        <v>87.454290892113306</v>
      </c>
      <c r="AN558">
        <v>1.0000000101169799</v>
      </c>
    </row>
    <row r="559" spans="1:40" x14ac:dyDescent="0.25">
      <c r="A559" t="str">
        <f>"20190312164004297"</f>
        <v>20190312164004297</v>
      </c>
      <c r="B559" t="str">
        <f>"1552380004286551"</f>
        <v>1552380004286551</v>
      </c>
      <c r="C559" t="s">
        <v>40</v>
      </c>
      <c r="D559">
        <v>5.2553489999999998</v>
      </c>
      <c r="E559">
        <v>0.48614499999999999</v>
      </c>
      <c r="F559" t="s">
        <v>41</v>
      </c>
      <c r="G559">
        <v>-363.17160000000001</v>
      </c>
      <c r="H559" s="1">
        <v>-3.1513070000000002E-6</v>
      </c>
      <c r="I559">
        <v>368.2654</v>
      </c>
      <c r="J559">
        <v>-384.27159999999998</v>
      </c>
      <c r="K559">
        <v>1.1102299999999901</v>
      </c>
      <c r="L559">
        <v>368.2756</v>
      </c>
      <c r="M559">
        <v>0.99989740000000005</v>
      </c>
      <c r="N559">
        <v>0</v>
      </c>
      <c r="O559">
        <v>-1.1301709999999999E-3</v>
      </c>
      <c r="P559">
        <v>0.99330410000000002</v>
      </c>
      <c r="Q559">
        <v>0.10603609999999999</v>
      </c>
      <c r="R559">
        <v>-4.586221E-2</v>
      </c>
      <c r="S559">
        <v>3.037048</v>
      </c>
      <c r="T559">
        <v>-0.1578909</v>
      </c>
      <c r="U559">
        <v>-1.495361E-3</v>
      </c>
      <c r="V559">
        <v>4.4745319999999998E-2</v>
      </c>
      <c r="W559">
        <v>0.12021610000000001</v>
      </c>
      <c r="X559">
        <v>0.99173889999999998</v>
      </c>
      <c r="Y559">
        <v>-6.3552849999999996E-4</v>
      </c>
      <c r="Z559" s="1">
        <v>7.523083E-5</v>
      </c>
      <c r="AA559">
        <v>0.99999979999999999</v>
      </c>
      <c r="AB559">
        <v>31</v>
      </c>
      <c r="AC559">
        <v>21.099999999999898</v>
      </c>
      <c r="AD559">
        <v>-1.1102331513069901</v>
      </c>
      <c r="AE559">
        <v>-1.0199999999997499E-2</v>
      </c>
      <c r="AF559">
        <v>-1.36113616048327E-2</v>
      </c>
      <c r="AG559">
        <v>-1.1102331513069901</v>
      </c>
      <c r="AH559">
        <v>21.041741462089401</v>
      </c>
      <c r="AI559">
        <v>93.020316927449699</v>
      </c>
      <c r="AJ559">
        <v>90.037063161621404</v>
      </c>
      <c r="AK559">
        <v>21.071015321451402</v>
      </c>
      <c r="AL559">
        <v>83.095425863757498</v>
      </c>
      <c r="AM559">
        <v>87.416678411981906</v>
      </c>
      <c r="AN559">
        <v>1.00000005006716</v>
      </c>
    </row>
    <row r="560" spans="1:40" x14ac:dyDescent="0.25">
      <c r="A560" t="str">
        <f>"20190312164004322"</f>
        <v>20190312164004322</v>
      </c>
      <c r="B560" t="str">
        <f>"1552380004316806"</f>
        <v>1552380004316806</v>
      </c>
      <c r="C560" t="s">
        <v>40</v>
      </c>
      <c r="D560">
        <v>5.3112019999999998</v>
      </c>
      <c r="E560">
        <v>0.48587399999999997</v>
      </c>
      <c r="F560" t="s">
        <v>41</v>
      </c>
      <c r="G560">
        <v>-363.01819999999998</v>
      </c>
      <c r="H560" s="1">
        <v>-3.2190969999999999E-6</v>
      </c>
      <c r="I560">
        <v>368.25420000000003</v>
      </c>
      <c r="J560">
        <v>-383.94490000000002</v>
      </c>
      <c r="K560">
        <v>1.1102350000000001</v>
      </c>
      <c r="L560">
        <v>368.27519999999998</v>
      </c>
      <c r="M560">
        <v>0.99989720000000004</v>
      </c>
      <c r="N560">
        <v>0</v>
      </c>
      <c r="O560">
        <v>-1.1400270000000001E-3</v>
      </c>
      <c r="P560">
        <v>0.99330540000000001</v>
      </c>
      <c r="Q560">
        <v>0.1060555</v>
      </c>
      <c r="R560">
        <v>-4.5793069999999998E-2</v>
      </c>
      <c r="S560">
        <v>3.0369869999999999</v>
      </c>
      <c r="T560">
        <v>-0.15864539999999999</v>
      </c>
      <c r="U560">
        <v>-3.0517579999999999E-3</v>
      </c>
      <c r="V560">
        <v>4.4666749999999998E-2</v>
      </c>
      <c r="W560">
        <v>0.1202421</v>
      </c>
      <c r="X560">
        <v>0.99173920000000004</v>
      </c>
      <c r="Y560">
        <v>-1.3354379999999999E-4</v>
      </c>
      <c r="Z560" s="1">
        <v>6.3003549999999896E-5</v>
      </c>
      <c r="AA560">
        <v>1</v>
      </c>
      <c r="AB560">
        <v>31</v>
      </c>
      <c r="AC560">
        <v>20.9267</v>
      </c>
      <c r="AD560">
        <v>-1.1102382190969999</v>
      </c>
      <c r="AE560">
        <v>-2.0999999999958101E-2</v>
      </c>
      <c r="AF560">
        <v>-2.8514280313943802E-3</v>
      </c>
      <c r="AG560">
        <v>-1.1102382190969999</v>
      </c>
      <c r="AH560">
        <v>20.867973486400899</v>
      </c>
      <c r="AI560">
        <v>93.045434493330902</v>
      </c>
      <c r="AJ560">
        <v>90.007828972510097</v>
      </c>
      <c r="AK560">
        <v>20.8974867977687</v>
      </c>
      <c r="AL560">
        <v>83.093924670499106</v>
      </c>
      <c r="AM560">
        <v>87.421209214122499</v>
      </c>
      <c r="AN560">
        <v>0.99999996099230504</v>
      </c>
    </row>
    <row r="561" spans="1:40" x14ac:dyDescent="0.25">
      <c r="A561" t="str">
        <f>"20190312164004343"</f>
        <v>20190312164004343</v>
      </c>
      <c r="B561" t="str">
        <f>"1552380004336845"</f>
        <v>1552380004336845</v>
      </c>
      <c r="C561" t="s">
        <v>40</v>
      </c>
      <c r="D561">
        <v>5.2363549999999996</v>
      </c>
      <c r="E561">
        <v>0.48569180000000001</v>
      </c>
      <c r="F561" t="s">
        <v>41</v>
      </c>
      <c r="G561">
        <v>-362.53800000000001</v>
      </c>
      <c r="H561" s="1">
        <v>-3.423026E-6</v>
      </c>
      <c r="I561">
        <v>368.26589999999999</v>
      </c>
      <c r="J561">
        <v>-383.63630000000001</v>
      </c>
      <c r="K561">
        <v>1.110241</v>
      </c>
      <c r="L561">
        <v>368.27480000000003</v>
      </c>
      <c r="M561">
        <v>0.99989709999999998</v>
      </c>
      <c r="N561">
        <v>0</v>
      </c>
      <c r="O561">
        <v>-1.1538329999999999E-3</v>
      </c>
      <c r="P561">
        <v>0.99329909999999999</v>
      </c>
      <c r="Q561">
        <v>0.1060902</v>
      </c>
      <c r="R561">
        <v>-4.584514E-2</v>
      </c>
      <c r="S561">
        <v>3.0369869999999999</v>
      </c>
      <c r="T561">
        <v>-0.1575086</v>
      </c>
      <c r="U561">
        <v>-1.3122559999999999E-3</v>
      </c>
      <c r="V561">
        <v>4.4706210000000003E-2</v>
      </c>
      <c r="W561">
        <v>0.1202819</v>
      </c>
      <c r="X561">
        <v>0.99173270000000002</v>
      </c>
      <c r="Y561">
        <v>-7.1934210000000002E-4</v>
      </c>
      <c r="Z561" s="1">
        <v>7.8448910000000001E-5</v>
      </c>
      <c r="AA561">
        <v>0.99999979999999999</v>
      </c>
      <c r="AB561">
        <v>31</v>
      </c>
      <c r="AC561">
        <v>21.098299999999899</v>
      </c>
      <c r="AD561">
        <v>-1.110244423026</v>
      </c>
      <c r="AE561">
        <v>-8.9000000000396505E-3</v>
      </c>
      <c r="AF561">
        <v>-1.54037548592911E-2</v>
      </c>
      <c r="AG561">
        <v>-1.110244423026</v>
      </c>
      <c r="AH561">
        <v>21.040033788129399</v>
      </c>
      <c r="AI561">
        <v>93.020592044211995</v>
      </c>
      <c r="AJ561">
        <v>90.041947175241901</v>
      </c>
      <c r="AK561">
        <v>21.069311848281899</v>
      </c>
      <c r="AL561">
        <v>83.091628345182997</v>
      </c>
      <c r="AM561">
        <v>87.418917215528197</v>
      </c>
      <c r="AN561">
        <v>1.00000006446473</v>
      </c>
    </row>
    <row r="562" spans="1:40" x14ac:dyDescent="0.25">
      <c r="A562" t="str">
        <f>"20190312164004365"</f>
        <v>20190312164004365</v>
      </c>
      <c r="B562" t="str">
        <f>"1552380004356369"</f>
        <v>1552380004356369</v>
      </c>
      <c r="C562" t="s">
        <v>40</v>
      </c>
      <c r="D562">
        <v>5.2147420000000002</v>
      </c>
      <c r="E562">
        <v>0.4855333</v>
      </c>
      <c r="F562" t="s">
        <v>41</v>
      </c>
      <c r="G562">
        <v>-362.13869999999997</v>
      </c>
      <c r="H562" s="1">
        <v>-3.5919759999999998E-6</v>
      </c>
      <c r="I562">
        <v>368.27910000000003</v>
      </c>
      <c r="J562">
        <v>-383.3356</v>
      </c>
      <c r="K562">
        <v>1.110236</v>
      </c>
      <c r="L562">
        <v>368.27449999999999</v>
      </c>
      <c r="M562">
        <v>0.99989709999999998</v>
      </c>
      <c r="N562">
        <v>0</v>
      </c>
      <c r="O562">
        <v>-1.1719390000000001E-3</v>
      </c>
      <c r="P562">
        <v>0.99333939999999998</v>
      </c>
      <c r="Q562">
        <v>0.10585029999999999</v>
      </c>
      <c r="R562">
        <v>-4.5528010000000001E-2</v>
      </c>
      <c r="S562">
        <v>3.0370180000000002</v>
      </c>
      <c r="T562">
        <v>-0.1568466</v>
      </c>
      <c r="U562">
        <v>6.1035159999999996E-4</v>
      </c>
      <c r="V562">
        <v>4.4372259999999997E-2</v>
      </c>
      <c r="W562">
        <v>0.12004570000000001</v>
      </c>
      <c r="X562">
        <v>0.9917762</v>
      </c>
      <c r="Y562">
        <v>-1.3696419999999999E-3</v>
      </c>
      <c r="Z562" s="1">
        <v>9.5834610000000006E-5</v>
      </c>
      <c r="AA562">
        <v>0.99999899999999997</v>
      </c>
      <c r="AB562">
        <v>31</v>
      </c>
      <c r="AC562">
        <v>21.196899999999999</v>
      </c>
      <c r="AD562">
        <v>-1.110239591976</v>
      </c>
      <c r="AE562">
        <v>4.6000000000390104E-3</v>
      </c>
      <c r="AF562">
        <v>-2.93634543958976E-2</v>
      </c>
      <c r="AG562">
        <v>-1.110239591976</v>
      </c>
      <c r="AH562">
        <v>21.138887682899298</v>
      </c>
      <c r="AI562">
        <v>93.006477373813993</v>
      </c>
      <c r="AJ562">
        <v>90.079587959024593</v>
      </c>
      <c r="AK562">
        <v>21.168043524007501</v>
      </c>
      <c r="AL562">
        <v>83.105259585664399</v>
      </c>
      <c r="AM562">
        <v>87.438284023732095</v>
      </c>
      <c r="AN562">
        <v>0.99999994921621704</v>
      </c>
    </row>
    <row r="563" spans="1:40" x14ac:dyDescent="0.25">
      <c r="A563" t="str">
        <f>"20190312164004386"</f>
        <v>20190312164004386</v>
      </c>
      <c r="B563" t="str">
        <f>"1552380004376871"</f>
        <v>1552380004376871</v>
      </c>
      <c r="C563" t="s">
        <v>40</v>
      </c>
      <c r="D563">
        <v>5.2475399999999999</v>
      </c>
      <c r="E563">
        <v>0.48558430000000002</v>
      </c>
      <c r="F563" t="s">
        <v>41</v>
      </c>
      <c r="G563">
        <v>-361.95909999999998</v>
      </c>
      <c r="H563" s="1">
        <v>-3.6660180000000002E-6</v>
      </c>
      <c r="I563">
        <v>368.29610000000002</v>
      </c>
      <c r="J563">
        <v>-383.03719999999998</v>
      </c>
      <c r="K563">
        <v>1.1102339999999999</v>
      </c>
      <c r="L563">
        <v>368.27409999999998</v>
      </c>
      <c r="M563">
        <v>0.99989689999999998</v>
      </c>
      <c r="N563">
        <v>0</v>
      </c>
      <c r="O563">
        <v>-1.1963709999999999E-3</v>
      </c>
      <c r="P563">
        <v>0.99339040000000001</v>
      </c>
      <c r="Q563">
        <v>0.10567410000000001</v>
      </c>
      <c r="R563">
        <v>-4.4815220000000003E-2</v>
      </c>
      <c r="S563">
        <v>3.0370789999999999</v>
      </c>
      <c r="T563">
        <v>-0.15773699999999999</v>
      </c>
      <c r="U563">
        <v>3.0822750000000002E-3</v>
      </c>
      <c r="V563">
        <v>4.3636769999999998E-2</v>
      </c>
      <c r="W563">
        <v>0.1198729</v>
      </c>
      <c r="X563">
        <v>0.99182979999999998</v>
      </c>
      <c r="Y563">
        <v>-2.2067860000000001E-3</v>
      </c>
      <c r="Z563">
        <v>1.1936889999999999E-4</v>
      </c>
      <c r="AA563">
        <v>0.99999760000000004</v>
      </c>
      <c r="AB563">
        <v>31</v>
      </c>
      <c r="AC563">
        <v>21.078099999999999</v>
      </c>
      <c r="AD563">
        <v>-1.110237666018</v>
      </c>
      <c r="AE563">
        <v>2.20000000000482E-2</v>
      </c>
      <c r="AF563">
        <v>-4.70891499690132E-2</v>
      </c>
      <c r="AG563">
        <v>-1.110237666018</v>
      </c>
      <c r="AH563">
        <v>21.019741493298099</v>
      </c>
      <c r="AI563">
        <v>93.023477561271505</v>
      </c>
      <c r="AJ563">
        <v>90.128355766958407</v>
      </c>
      <c r="AK563">
        <v>21.049094458151099</v>
      </c>
      <c r="AL563">
        <v>83.115232773914698</v>
      </c>
      <c r="AM563">
        <v>87.480826411948001</v>
      </c>
      <c r="AN563">
        <v>1.0000000160092399</v>
      </c>
    </row>
    <row r="564" spans="1:40" x14ac:dyDescent="0.25">
      <c r="A564" t="str">
        <f>"20190312164004397"</f>
        <v>20190312164004397</v>
      </c>
      <c r="B564" t="str">
        <f>"1552380004386622"</f>
        <v>1552380004386622</v>
      </c>
      <c r="C564" t="s">
        <v>40</v>
      </c>
      <c r="D564">
        <v>5.1828789999999998</v>
      </c>
      <c r="E564">
        <v>0.48564230000000003</v>
      </c>
      <c r="F564" t="s">
        <v>41</v>
      </c>
      <c r="G564">
        <v>-362.02730000000003</v>
      </c>
      <c r="H564" s="1">
        <v>-3.6349539999999999E-6</v>
      </c>
      <c r="I564">
        <v>368.30630000000002</v>
      </c>
      <c r="J564">
        <v>-382.88350000000003</v>
      </c>
      <c r="K564">
        <v>1.110241</v>
      </c>
      <c r="L564">
        <v>368.27390000000003</v>
      </c>
      <c r="M564">
        <v>0.99989709999999998</v>
      </c>
      <c r="N564">
        <v>0</v>
      </c>
      <c r="O564">
        <v>-1.211572E-3</v>
      </c>
      <c r="P564">
        <v>0.99344310000000002</v>
      </c>
      <c r="Q564">
        <v>0.10532130000000001</v>
      </c>
      <c r="R564">
        <v>-4.4479659999999997E-2</v>
      </c>
      <c r="S564">
        <v>3.0372309999999998</v>
      </c>
      <c r="T564">
        <v>-0.1604971</v>
      </c>
      <c r="U564">
        <v>4.6691889999999998E-3</v>
      </c>
      <c r="V564">
        <v>4.3286829999999998E-2</v>
      </c>
      <c r="W564">
        <v>0.11952260000000001</v>
      </c>
      <c r="X564">
        <v>0.99188739999999997</v>
      </c>
      <c r="Y564">
        <v>-2.7434909999999998E-3</v>
      </c>
      <c r="Z564">
        <v>1.3642209999999901E-4</v>
      </c>
      <c r="AA564">
        <v>0.9999962</v>
      </c>
      <c r="AB564">
        <v>31</v>
      </c>
      <c r="AC564">
        <v>20.856200000000001</v>
      </c>
      <c r="AD564">
        <v>-1.1102446349540001</v>
      </c>
      <c r="AE564">
        <v>3.2399999999995502E-2</v>
      </c>
      <c r="AF564">
        <v>-5.75083800052648E-2</v>
      </c>
      <c r="AG564">
        <v>-1.1102446349540001</v>
      </c>
      <c r="AH564">
        <v>20.7972107347918</v>
      </c>
      <c r="AI564">
        <v>93.055783007517604</v>
      </c>
      <c r="AJ564">
        <v>90.158433700789203</v>
      </c>
      <c r="AK564">
        <v>20.8269038676072</v>
      </c>
      <c r="AL564">
        <v>83.135448775256805</v>
      </c>
      <c r="AM564">
        <v>87.501147852563406</v>
      </c>
      <c r="AN564">
        <v>1.00000000792048</v>
      </c>
    </row>
    <row r="565" spans="1:40" x14ac:dyDescent="0.25">
      <c r="A565" t="str">
        <f>"20190312164004409"</f>
        <v>20190312164004409</v>
      </c>
      <c r="B565" t="str">
        <f>"1552380004396382"</f>
        <v>1552380004396382</v>
      </c>
      <c r="C565" t="s">
        <v>40</v>
      </c>
      <c r="D565">
        <v>5.097359</v>
      </c>
      <c r="E565">
        <v>0.48557109999999898</v>
      </c>
      <c r="F565" t="s">
        <v>41</v>
      </c>
      <c r="G565">
        <v>-362.20979999999997</v>
      </c>
      <c r="H565" s="1">
        <v>-3.5554560000000001E-6</v>
      </c>
      <c r="I565">
        <v>368.31310000000002</v>
      </c>
      <c r="J565">
        <v>-382.72699999999998</v>
      </c>
      <c r="K565">
        <v>1.110236</v>
      </c>
      <c r="L565">
        <v>368.27370000000002</v>
      </c>
      <c r="M565">
        <v>0.99989689999999998</v>
      </c>
      <c r="N565">
        <v>0</v>
      </c>
      <c r="O565">
        <v>-1.2309529999999999E-3</v>
      </c>
      <c r="P565">
        <v>0.99347260000000004</v>
      </c>
      <c r="Q565">
        <v>0.10523250000000001</v>
      </c>
      <c r="R565">
        <v>-4.4027799999999999E-2</v>
      </c>
      <c r="S565">
        <v>3.0373540000000001</v>
      </c>
      <c r="T565">
        <v>-0.1631147</v>
      </c>
      <c r="U565">
        <v>5.7678219999999997E-3</v>
      </c>
      <c r="V565">
        <v>4.281687E-2</v>
      </c>
      <c r="W565">
        <v>0.1194345</v>
      </c>
      <c r="X565">
        <v>0.99191839999999998</v>
      </c>
      <c r="Y565">
        <v>-3.1237600000000002E-3</v>
      </c>
      <c r="Z565">
        <v>1.4988180000000001E-4</v>
      </c>
      <c r="AA565">
        <v>0.99999510000000003</v>
      </c>
      <c r="AB565">
        <v>31</v>
      </c>
      <c r="AC565">
        <v>20.517199999999999</v>
      </c>
      <c r="AD565">
        <v>-1.1102395554560001</v>
      </c>
      <c r="AE565">
        <v>3.9400000000000497E-2</v>
      </c>
      <c r="AF565">
        <v>-6.4469486705613796E-2</v>
      </c>
      <c r="AG565">
        <v>-1.1102395554560001</v>
      </c>
      <c r="AH565">
        <v>20.457233783515999</v>
      </c>
      <c r="AI565">
        <v>93.1064504130985</v>
      </c>
      <c r="AJ565">
        <v>90.180562890679695</v>
      </c>
      <c r="AK565">
        <v>20.487440109946402</v>
      </c>
      <c r="AL565">
        <v>83.140532885482699</v>
      </c>
      <c r="AM565">
        <v>87.528320915827706</v>
      </c>
      <c r="AN565">
        <v>0.99999999820270302</v>
      </c>
    </row>
    <row r="566" spans="1:40" x14ac:dyDescent="0.25">
      <c r="A566" t="str">
        <f>"20190312164004419"</f>
        <v>20190312164004419</v>
      </c>
      <c r="B566" t="str">
        <f>"1552380004407118"</f>
        <v>1552380004407118</v>
      </c>
      <c r="C566" t="s">
        <v>40</v>
      </c>
      <c r="D566">
        <v>5.1582559999999997</v>
      </c>
      <c r="E566">
        <v>0.48561379999999998</v>
      </c>
      <c r="F566" t="s">
        <v>41</v>
      </c>
      <c r="G566">
        <v>-362.27539999999999</v>
      </c>
      <c r="H566" s="1">
        <v>-3.5254000000000002E-6</v>
      </c>
      <c r="I566">
        <v>368.32389999999998</v>
      </c>
      <c r="J566">
        <v>-382.57279999999997</v>
      </c>
      <c r="K566">
        <v>1.1102339999999999</v>
      </c>
      <c r="L566">
        <v>368.27350000000001</v>
      </c>
      <c r="M566">
        <v>0.99989689999999998</v>
      </c>
      <c r="N566">
        <v>0</v>
      </c>
      <c r="O566">
        <v>-1.2509299999999999E-3</v>
      </c>
      <c r="P566">
        <v>0.99353409999999998</v>
      </c>
      <c r="Q566">
        <v>0.104772699999999</v>
      </c>
      <c r="R566">
        <v>-4.3737310000000001E-2</v>
      </c>
      <c r="S566">
        <v>3.0375369999999999</v>
      </c>
      <c r="T566">
        <v>-0.16489489999999901</v>
      </c>
      <c r="U566">
        <v>7.4768069999999898E-3</v>
      </c>
      <c r="V566">
        <v>4.2507250000000003E-2</v>
      </c>
      <c r="W566">
        <v>0.1189767</v>
      </c>
      <c r="X566">
        <v>0.99198679999999995</v>
      </c>
      <c r="Y566">
        <v>-3.7052180000000001E-3</v>
      </c>
      <c r="Z566">
        <v>1.6836069999999999E-4</v>
      </c>
      <c r="AA566">
        <v>0.99999309999999997</v>
      </c>
      <c r="AB566">
        <v>31</v>
      </c>
      <c r="AC566">
        <v>20.2973999999999</v>
      </c>
      <c r="AD566">
        <v>-1.1102375254000001</v>
      </c>
      <c r="AE566">
        <v>5.0399999999967797E-2</v>
      </c>
      <c r="AF566">
        <v>-7.5567095477397206E-2</v>
      </c>
      <c r="AG566">
        <v>-1.1102375254000001</v>
      </c>
      <c r="AH566">
        <v>20.236774485134902</v>
      </c>
      <c r="AI566">
        <v>93.140212682169505</v>
      </c>
      <c r="AJ566">
        <v>90.213949882188004</v>
      </c>
      <c r="AK566">
        <v>20.2673476141041</v>
      </c>
      <c r="AL566">
        <v>83.166951735785204</v>
      </c>
      <c r="AM566">
        <v>87.546341338662799</v>
      </c>
      <c r="AN566">
        <v>1.0000000664098401</v>
      </c>
    </row>
    <row r="567" spans="1:40" x14ac:dyDescent="0.25">
      <c r="A567" t="str">
        <f>"20190312164004432"</f>
        <v>20190312164004432</v>
      </c>
      <c r="B567" t="str">
        <f>"1552380004427206"</f>
        <v>1552380004427206</v>
      </c>
      <c r="C567" t="s">
        <v>40</v>
      </c>
      <c r="D567">
        <v>5.0221929999999997</v>
      </c>
      <c r="E567">
        <v>0.48550270000000001</v>
      </c>
      <c r="F567" t="s">
        <v>41</v>
      </c>
      <c r="G567">
        <v>-362.36270000000002</v>
      </c>
      <c r="H567" s="1">
        <v>-3.4873329999999999E-6</v>
      </c>
      <c r="I567">
        <v>368.32740000000001</v>
      </c>
      <c r="J567">
        <v>-382.40629999999999</v>
      </c>
      <c r="K567">
        <v>1.110228</v>
      </c>
      <c r="L567">
        <v>368.27330000000001</v>
      </c>
      <c r="M567">
        <v>0.99989680000000003</v>
      </c>
      <c r="N567">
        <v>0</v>
      </c>
      <c r="O567">
        <v>-1.2767569999999999E-3</v>
      </c>
      <c r="P567">
        <v>0.99353760000000002</v>
      </c>
      <c r="Q567">
        <v>0.1048134</v>
      </c>
      <c r="R567">
        <v>-4.3559059999999997E-2</v>
      </c>
      <c r="S567">
        <v>3.037445</v>
      </c>
      <c r="T567">
        <v>-0.16685990000000001</v>
      </c>
      <c r="U567">
        <v>8.1176759999999903E-3</v>
      </c>
      <c r="V567">
        <v>4.2304420000000002E-2</v>
      </c>
      <c r="W567">
        <v>0.1190174</v>
      </c>
      <c r="X567">
        <v>0.9919905</v>
      </c>
      <c r="Y567">
        <v>-3.9415379999999996E-3</v>
      </c>
      <c r="Z567">
        <v>1.7827300000000001E-4</v>
      </c>
      <c r="AA567">
        <v>0.9999922</v>
      </c>
      <c r="AB567">
        <v>31</v>
      </c>
      <c r="AC567">
        <v>20.043599999999898</v>
      </c>
      <c r="AD567">
        <v>-1.1102314873329999</v>
      </c>
      <c r="AE567">
        <v>5.4100000000005297E-2</v>
      </c>
      <c r="AF567">
        <v>-7.9449621839818699E-2</v>
      </c>
      <c r="AG567">
        <v>-1.1102314873329999</v>
      </c>
      <c r="AH567">
        <v>19.982206755199801</v>
      </c>
      <c r="AI567">
        <v>93.180116298121007</v>
      </c>
      <c r="AJ567">
        <v>90.227807873452093</v>
      </c>
      <c r="AK567">
        <v>20.013183480032001</v>
      </c>
      <c r="AL567">
        <v>83.164602507911297</v>
      </c>
      <c r="AM567">
        <v>87.558044245295704</v>
      </c>
      <c r="AN567">
        <v>0.99999997877227198</v>
      </c>
    </row>
    <row r="568" spans="1:40" x14ac:dyDescent="0.25">
      <c r="A568" t="str">
        <f>"20190312164004442"</f>
        <v>20190312164004442</v>
      </c>
      <c r="B568" t="str">
        <f>"1552380004436966"</f>
        <v>1552380004436966</v>
      </c>
      <c r="C568" t="s">
        <v>40</v>
      </c>
      <c r="D568">
        <v>4.9976609999999999</v>
      </c>
      <c r="E568">
        <v>0.48545559999999899</v>
      </c>
      <c r="F568" t="s">
        <v>41</v>
      </c>
      <c r="G568">
        <v>-362.16370000000001</v>
      </c>
      <c r="H568" s="1">
        <v>-3.5707169999999998E-6</v>
      </c>
      <c r="I568">
        <v>368.33870000000002</v>
      </c>
      <c r="J568">
        <v>-382.25599999999997</v>
      </c>
      <c r="K568">
        <v>1.1102270000000001</v>
      </c>
      <c r="L568">
        <v>368.2731</v>
      </c>
      <c r="M568">
        <v>0.99989680000000003</v>
      </c>
      <c r="N568">
        <v>0</v>
      </c>
      <c r="O568">
        <v>-1.301621E-3</v>
      </c>
      <c r="P568">
        <v>0.99358360000000001</v>
      </c>
      <c r="Q568">
        <v>0.10455689999999999</v>
      </c>
      <c r="R568">
        <v>-4.3123700000000001E-2</v>
      </c>
      <c r="S568">
        <v>3.037506</v>
      </c>
      <c r="T568">
        <v>-0.1665943</v>
      </c>
      <c r="U568">
        <v>9.8266599999999992E-3</v>
      </c>
      <c r="V568">
        <v>4.184537E-2</v>
      </c>
      <c r="W568">
        <v>0.1187617</v>
      </c>
      <c r="X568">
        <v>0.99204060000000005</v>
      </c>
      <c r="Y568">
        <v>-4.5280750000000003E-3</v>
      </c>
      <c r="Z568">
        <v>1.9542109999999999E-4</v>
      </c>
      <c r="AA568">
        <v>0.99998969999999998</v>
      </c>
      <c r="AB568">
        <v>31</v>
      </c>
      <c r="AC568">
        <v>20.092299999999899</v>
      </c>
      <c r="AD568">
        <v>-1.1102305707169999</v>
      </c>
      <c r="AE568">
        <v>6.5600000000017603E-2</v>
      </c>
      <c r="AF568">
        <v>-9.1475882322102603E-2</v>
      </c>
      <c r="AG568">
        <v>-1.1102305707169999</v>
      </c>
      <c r="AH568">
        <v>20.031037806432298</v>
      </c>
      <c r="AI568">
        <v>93.172369160287204</v>
      </c>
      <c r="AJ568">
        <v>90.2616512235047</v>
      </c>
      <c r="AK568">
        <v>20.0619903140222</v>
      </c>
      <c r="AL568">
        <v>83.179357590658995</v>
      </c>
      <c r="AM568">
        <v>87.584632465707699</v>
      </c>
      <c r="AN568">
        <v>0.99999996421284199</v>
      </c>
    </row>
    <row r="569" spans="1:40" x14ac:dyDescent="0.25">
      <c r="A569" t="str">
        <f>"20190312164004454"</f>
        <v>20190312164004454</v>
      </c>
      <c r="B569" t="str">
        <f>"1552380004446726"</f>
        <v>1552380004446726</v>
      </c>
      <c r="C569" t="s">
        <v>40</v>
      </c>
      <c r="D569">
        <v>5.0140190000000002</v>
      </c>
      <c r="E569">
        <v>0.48542469999999999</v>
      </c>
      <c r="F569" t="s">
        <v>41</v>
      </c>
      <c r="G569">
        <v>-362.08530000000002</v>
      </c>
      <c r="H569" s="1">
        <v>-3.6022419999999999E-6</v>
      </c>
      <c r="I569">
        <v>368.35039999999998</v>
      </c>
      <c r="J569">
        <v>-382.08710000000002</v>
      </c>
      <c r="K569">
        <v>1.110223</v>
      </c>
      <c r="L569">
        <v>368.27280000000002</v>
      </c>
      <c r="M569">
        <v>0.99989680000000003</v>
      </c>
      <c r="N569">
        <v>0</v>
      </c>
      <c r="O569">
        <v>-1.331977E-3</v>
      </c>
      <c r="P569">
        <v>0.99357519999999999</v>
      </c>
      <c r="Q569">
        <v>0.1047307</v>
      </c>
      <c r="R569">
        <v>-4.2894830000000002E-2</v>
      </c>
      <c r="S569">
        <v>3.0374759999999998</v>
      </c>
      <c r="T569">
        <v>-0.16718710000000001</v>
      </c>
      <c r="U569">
        <v>1.165771E-2</v>
      </c>
      <c r="V569">
        <v>4.158796E-2</v>
      </c>
      <c r="W569">
        <v>0.118936</v>
      </c>
      <c r="X569">
        <v>0.99203059999999998</v>
      </c>
      <c r="Y569">
        <v>-5.1602059999999996E-3</v>
      </c>
      <c r="Z569">
        <v>2.151705E-4</v>
      </c>
      <c r="AA569">
        <v>0.99998659999999995</v>
      </c>
      <c r="AB569">
        <v>31</v>
      </c>
      <c r="AC569">
        <v>20.001799999999999</v>
      </c>
      <c r="AD569">
        <v>-1.110226602242</v>
      </c>
      <c r="AE569">
        <v>7.75999999999612E-2</v>
      </c>
      <c r="AF569">
        <v>-0.10392441336583</v>
      </c>
      <c r="AG569">
        <v>-1.110226602242</v>
      </c>
      <c r="AH569">
        <v>19.940244845179599</v>
      </c>
      <c r="AI569">
        <v>93.186762654573599</v>
      </c>
      <c r="AJ569">
        <v>90.298610995421001</v>
      </c>
      <c r="AK569">
        <v>19.9713987461502</v>
      </c>
      <c r="AL569">
        <v>83.169300038051105</v>
      </c>
      <c r="AM569">
        <v>87.599448890646897</v>
      </c>
      <c r="AN569">
        <v>1.00000002092466</v>
      </c>
    </row>
    <row r="570" spans="1:40" x14ac:dyDescent="0.25">
      <c r="A570" t="str">
        <f>"20190312164004466"</f>
        <v>20190312164004466</v>
      </c>
      <c r="B570" t="str">
        <f>"1552380004457462"</f>
        <v>1552380004457462</v>
      </c>
      <c r="C570" t="s">
        <v>40</v>
      </c>
      <c r="D570">
        <v>4.9815839999999998</v>
      </c>
      <c r="E570">
        <v>0.4854077</v>
      </c>
      <c r="F570" t="s">
        <v>41</v>
      </c>
      <c r="G570">
        <v>-361.8186</v>
      </c>
      <c r="H570" s="1">
        <v>-3.7156570000000001E-6</v>
      </c>
      <c r="I570">
        <v>368.35599999999999</v>
      </c>
      <c r="J570">
        <v>-381.93099999999998</v>
      </c>
      <c r="K570">
        <v>1.11022</v>
      </c>
      <c r="L570">
        <v>368.27260000000001</v>
      </c>
      <c r="M570">
        <v>0.99989680000000003</v>
      </c>
      <c r="N570">
        <v>0</v>
      </c>
      <c r="O570">
        <v>-1.3625499999999999E-3</v>
      </c>
      <c r="P570">
        <v>0.99358930000000001</v>
      </c>
      <c r="Q570">
        <v>0.104701</v>
      </c>
      <c r="R570">
        <v>-4.2639650000000001E-2</v>
      </c>
      <c r="S570">
        <v>3.0374759999999998</v>
      </c>
      <c r="T570">
        <v>-0.16638</v>
      </c>
      <c r="U570">
        <v>1.248169E-2</v>
      </c>
      <c r="V570">
        <v>4.1303199999999998E-2</v>
      </c>
      <c r="W570">
        <v>0.1189061</v>
      </c>
      <c r="X570">
        <v>0.99204610000000004</v>
      </c>
      <c r="Y570">
        <v>-5.4616419999999897E-3</v>
      </c>
      <c r="Z570">
        <v>2.240563E-4</v>
      </c>
      <c r="AA570">
        <v>0.99998500000000001</v>
      </c>
      <c r="AB570">
        <v>31</v>
      </c>
      <c r="AC570">
        <v>20.112399999999901</v>
      </c>
      <c r="AD570">
        <v>-1.1102237156569901</v>
      </c>
      <c r="AE570">
        <v>8.3399999999983196E-2</v>
      </c>
      <c r="AF570">
        <v>-0.110470262953884</v>
      </c>
      <c r="AG570">
        <v>-1.1102237156569901</v>
      </c>
      <c r="AH570">
        <v>20.0511698948117</v>
      </c>
      <c r="AI570">
        <v>93.169155935922305</v>
      </c>
      <c r="AJ570">
        <v>90.315663166903803</v>
      </c>
      <c r="AK570">
        <v>20.0821864977001</v>
      </c>
      <c r="AL570">
        <v>83.171025554743693</v>
      </c>
      <c r="AM570">
        <v>87.615904057082304</v>
      </c>
      <c r="AN570">
        <v>1.00000003973632</v>
      </c>
    </row>
    <row r="571" spans="1:40" x14ac:dyDescent="0.25">
      <c r="A571" t="str">
        <f>"20190312164004478"</f>
        <v>20190312164004478</v>
      </c>
      <c r="B571" t="str">
        <f>"1552380004467221"</f>
        <v>1552380004467221</v>
      </c>
      <c r="C571" t="s">
        <v>40</v>
      </c>
      <c r="D571">
        <v>5.1438379999999997</v>
      </c>
      <c r="E571">
        <v>0.4854096</v>
      </c>
      <c r="F571" t="s">
        <v>41</v>
      </c>
      <c r="G571">
        <v>-361.6651</v>
      </c>
      <c r="H571" s="1">
        <v>-3.7804389999999999E-6</v>
      </c>
      <c r="I571">
        <v>368.3621</v>
      </c>
      <c r="J571">
        <v>-381.76600000000002</v>
      </c>
      <c r="K571">
        <v>1.110217</v>
      </c>
      <c r="L571">
        <v>368.27229999999997</v>
      </c>
      <c r="M571">
        <v>0.99989669999999997</v>
      </c>
      <c r="N571">
        <v>0</v>
      </c>
      <c r="O571">
        <v>-1.3952669999999999E-3</v>
      </c>
      <c r="P571">
        <v>0.99358519999999995</v>
      </c>
      <c r="Q571">
        <v>0.104783399999999</v>
      </c>
      <c r="R571">
        <v>-4.2533290000000001E-2</v>
      </c>
      <c r="S571">
        <v>3.037506</v>
      </c>
      <c r="T571">
        <v>-0.16640260000000001</v>
      </c>
      <c r="U571">
        <v>1.3427730000000001E-2</v>
      </c>
      <c r="V571">
        <v>4.1165019999999997E-2</v>
      </c>
      <c r="W571">
        <v>0.1189885</v>
      </c>
      <c r="X571">
        <v>0.99204190000000003</v>
      </c>
      <c r="Y571">
        <v>-5.8051980000000001E-3</v>
      </c>
      <c r="Z571">
        <v>2.352787E-4</v>
      </c>
      <c r="AA571">
        <v>0.99998310000000001</v>
      </c>
      <c r="AB571">
        <v>31</v>
      </c>
      <c r="AC571">
        <v>20.1008999999999</v>
      </c>
      <c r="AD571">
        <v>-1.1102207804390001</v>
      </c>
      <c r="AE571">
        <v>8.9800000000025096E-2</v>
      </c>
      <c r="AF571">
        <v>-0.11749049381386099</v>
      </c>
      <c r="AG571">
        <v>-1.1102207804390001</v>
      </c>
      <c r="AH571">
        <v>20.039623125722301</v>
      </c>
      <c r="AI571">
        <v>93.170963541576995</v>
      </c>
      <c r="AJ571">
        <v>90.335916112620097</v>
      </c>
      <c r="AK571">
        <v>20.070697277833698</v>
      </c>
      <c r="AL571">
        <v>83.166270192440905</v>
      </c>
      <c r="AM571">
        <v>87.623860852849205</v>
      </c>
      <c r="AN571">
        <v>0.99999997667972995</v>
      </c>
    </row>
    <row r="572" spans="1:40" x14ac:dyDescent="0.25">
      <c r="A572" t="str">
        <f>"20190312164004489"</f>
        <v>20190312164004489</v>
      </c>
      <c r="B572" t="str">
        <f>"1552380004486987"</f>
        <v>1552380004486987</v>
      </c>
      <c r="C572" t="s">
        <v>40</v>
      </c>
      <c r="D572">
        <v>5.0197839999999996</v>
      </c>
      <c r="E572">
        <v>0.48543320000000001</v>
      </c>
      <c r="F572" t="s">
        <v>41</v>
      </c>
      <c r="G572">
        <v>-361.45960000000002</v>
      </c>
      <c r="H572" s="1">
        <v>-3.8683129999999996E-6</v>
      </c>
      <c r="I572">
        <v>368.36380000000003</v>
      </c>
      <c r="J572">
        <v>-381.59980000000002</v>
      </c>
      <c r="K572">
        <v>1.1102160000000001</v>
      </c>
      <c r="L572">
        <v>368.27210000000002</v>
      </c>
      <c r="M572">
        <v>0.99989660000000002</v>
      </c>
      <c r="N572">
        <v>0</v>
      </c>
      <c r="O572">
        <v>-1.4307129999999999E-3</v>
      </c>
      <c r="P572">
        <v>0.9935851</v>
      </c>
      <c r="Q572">
        <v>0.10481070000000001</v>
      </c>
      <c r="R572">
        <v>-4.247153E-2</v>
      </c>
      <c r="S572">
        <v>3.037506</v>
      </c>
      <c r="T572">
        <v>-0.16606969999999999</v>
      </c>
      <c r="U572">
        <v>1.370239E-2</v>
      </c>
      <c r="V572">
        <v>4.106862E-2</v>
      </c>
      <c r="W572">
        <v>0.1190155</v>
      </c>
      <c r="X572">
        <v>0.99204270000000006</v>
      </c>
      <c r="Y572">
        <v>-5.9308679999999997E-3</v>
      </c>
      <c r="Z572">
        <v>2.4017830000000001E-4</v>
      </c>
      <c r="AA572">
        <v>0.99998240000000005</v>
      </c>
      <c r="AB572">
        <v>31</v>
      </c>
      <c r="AC572">
        <v>20.1402</v>
      </c>
      <c r="AD572">
        <v>-1.110219868313</v>
      </c>
      <c r="AE572">
        <v>9.1700000000003001E-2</v>
      </c>
      <c r="AF572">
        <v>-0.120152600025909</v>
      </c>
      <c r="AG572">
        <v>-1.110219868313</v>
      </c>
      <c r="AH572">
        <v>20.079034908340201</v>
      </c>
      <c r="AI572">
        <v>93.164747275668802</v>
      </c>
      <c r="AJ572">
        <v>90.342852868269404</v>
      </c>
      <c r="AK572">
        <v>20.1100638401184</v>
      </c>
      <c r="AL572">
        <v>83.164712430323505</v>
      </c>
      <c r="AM572">
        <v>87.629420835370297</v>
      </c>
      <c r="AN572">
        <v>1.0000000197061201</v>
      </c>
    </row>
    <row r="573" spans="1:40" x14ac:dyDescent="0.25">
      <c r="A573" t="str">
        <f>"20190312164004510"</f>
        <v>20190312164004510</v>
      </c>
      <c r="B573" t="str">
        <f>"1552380004507237"</f>
        <v>1552380004507237</v>
      </c>
      <c r="C573" t="s">
        <v>40</v>
      </c>
      <c r="D573">
        <v>5.1046800000000001</v>
      </c>
      <c r="E573">
        <v>0.48543940000000002</v>
      </c>
      <c r="F573" t="s">
        <v>41</v>
      </c>
      <c r="G573">
        <v>-361.28550000000001</v>
      </c>
      <c r="H573" s="1">
        <v>-3.9431609999999998E-6</v>
      </c>
      <c r="I573">
        <v>368.36279999999999</v>
      </c>
      <c r="J573">
        <v>-381.33100000000002</v>
      </c>
      <c r="K573">
        <v>1.1102190000000001</v>
      </c>
      <c r="L573">
        <v>368.27159999999998</v>
      </c>
      <c r="M573">
        <v>0.99989660000000002</v>
      </c>
      <c r="N573">
        <v>0</v>
      </c>
      <c r="O573">
        <v>-1.489415E-3</v>
      </c>
      <c r="P573">
        <v>0.99354160000000002</v>
      </c>
      <c r="Q573">
        <v>0.1052627</v>
      </c>
      <c r="R573">
        <v>-4.2369030000000002E-2</v>
      </c>
      <c r="S573">
        <v>3.0374759999999998</v>
      </c>
      <c r="T573">
        <v>-0.1660037</v>
      </c>
      <c r="U573">
        <v>1.358032E-2</v>
      </c>
      <c r="V573">
        <v>4.0909189999999998E-2</v>
      </c>
      <c r="W573">
        <v>0.11946619999999999</v>
      </c>
      <c r="X573">
        <v>0.99199510000000002</v>
      </c>
      <c r="Y573">
        <v>-5.9493269999999999E-3</v>
      </c>
      <c r="Z573">
        <v>2.437955E-4</v>
      </c>
      <c r="AA573">
        <v>0.99998229999999999</v>
      </c>
      <c r="AB573">
        <v>31</v>
      </c>
      <c r="AC573">
        <v>20.045499999999901</v>
      </c>
      <c r="AD573">
        <v>-1.110222943161</v>
      </c>
      <c r="AE573">
        <v>9.1200000000014797E-2</v>
      </c>
      <c r="AF573">
        <v>-0.120688814503048</v>
      </c>
      <c r="AG573">
        <v>-1.110222943161</v>
      </c>
      <c r="AH573">
        <v>19.984041845752799</v>
      </c>
      <c r="AI573">
        <v>93.179767667961201</v>
      </c>
      <c r="AJ573">
        <v>90.346019873841996</v>
      </c>
      <c r="AK573">
        <v>20.015221439351201</v>
      </c>
      <c r="AL573">
        <v>83.138703569139096</v>
      </c>
      <c r="AM573">
        <v>87.638499898475203</v>
      </c>
      <c r="AN573">
        <v>1.0000000065964501</v>
      </c>
    </row>
    <row r="574" spans="1:40" x14ac:dyDescent="0.25">
      <c r="A574" t="str">
        <f>"20190312164004522"</f>
        <v>20190312164004522</v>
      </c>
      <c r="B574" t="str">
        <f>"1552380004516998"</f>
        <v>1552380004516998</v>
      </c>
      <c r="C574" t="s">
        <v>40</v>
      </c>
      <c r="D574">
        <v>4.922472</v>
      </c>
      <c r="E574">
        <v>0.4854387</v>
      </c>
      <c r="F574" t="s">
        <v>41</v>
      </c>
      <c r="G574">
        <v>-360.86689999999999</v>
      </c>
      <c r="H574" s="1">
        <v>-4.1220959999999998E-6</v>
      </c>
      <c r="I574">
        <v>368.36649999999997</v>
      </c>
      <c r="J574">
        <v>-381.15370000000001</v>
      </c>
      <c r="K574">
        <v>1.11022</v>
      </c>
      <c r="L574">
        <v>368.2713</v>
      </c>
      <c r="M574">
        <v>0.99989640000000002</v>
      </c>
      <c r="N574">
        <v>0</v>
      </c>
      <c r="O574">
        <v>-1.528897E-3</v>
      </c>
      <c r="P574">
        <v>0.99355039999999994</v>
      </c>
      <c r="Q574">
        <v>0.1050977</v>
      </c>
      <c r="R574">
        <v>-4.257068E-2</v>
      </c>
      <c r="S574">
        <v>3.037598</v>
      </c>
      <c r="T574">
        <v>-0.16479530000000001</v>
      </c>
      <c r="U574">
        <v>1.409912E-2</v>
      </c>
      <c r="V574">
        <v>4.1071740000000002E-2</v>
      </c>
      <c r="W574">
        <v>0.1193015</v>
      </c>
      <c r="X574">
        <v>0.99200820000000001</v>
      </c>
      <c r="Y574">
        <v>-6.1592130000000002E-3</v>
      </c>
      <c r="Z574">
        <v>2.4984330000000002E-4</v>
      </c>
      <c r="AA574">
        <v>0.99998100000000001</v>
      </c>
      <c r="AB574">
        <v>31</v>
      </c>
      <c r="AC574">
        <v>20.286799999999999</v>
      </c>
      <c r="AD574">
        <v>-1.1102241220960001</v>
      </c>
      <c r="AE574">
        <v>9.5199999999976997E-2</v>
      </c>
      <c r="AF574">
        <v>-0.125842605698545</v>
      </c>
      <c r="AG574">
        <v>-1.1102241220960001</v>
      </c>
      <c r="AH574">
        <v>20.226055380051399</v>
      </c>
      <c r="AI574">
        <v>93.141796870353005</v>
      </c>
      <c r="AJ574">
        <v>90.356478661694695</v>
      </c>
      <c r="AK574">
        <v>20.2568938931812</v>
      </c>
      <c r="AL574">
        <v>83.1482081295553</v>
      </c>
      <c r="AM574">
        <v>87.629158590943803</v>
      </c>
      <c r="AN574">
        <v>1.00000000229805</v>
      </c>
    </row>
    <row r="575" spans="1:40" x14ac:dyDescent="0.25">
      <c r="A575" t="str">
        <f>"20190312164004545"</f>
        <v>20190312164004545</v>
      </c>
      <c r="B575" t="str">
        <f>"1552380004537261"</f>
        <v>1552380004537261</v>
      </c>
      <c r="C575" t="s">
        <v>40</v>
      </c>
      <c r="D575">
        <v>5.1687139999999996</v>
      </c>
      <c r="E575">
        <v>0.4854755</v>
      </c>
      <c r="F575" t="s">
        <v>41</v>
      </c>
      <c r="G575">
        <v>-360.74810000000002</v>
      </c>
      <c r="H575" s="1">
        <v>-4.1735150000000001E-6</v>
      </c>
      <c r="I575">
        <v>368.3639</v>
      </c>
      <c r="J575">
        <v>-380.84679999999997</v>
      </c>
      <c r="K575">
        <v>1.1102240000000001</v>
      </c>
      <c r="L575">
        <v>368.27080000000001</v>
      </c>
      <c r="M575">
        <v>0.99989629999999996</v>
      </c>
      <c r="N575">
        <v>0</v>
      </c>
      <c r="O575">
        <v>-1.59817799999999E-3</v>
      </c>
      <c r="P575">
        <v>0.99357510000000004</v>
      </c>
      <c r="Q575">
        <v>0.1049292</v>
      </c>
      <c r="R575">
        <v>-4.2406550000000001E-2</v>
      </c>
      <c r="S575">
        <v>3.0375670000000001</v>
      </c>
      <c r="T575">
        <v>-0.1652662</v>
      </c>
      <c r="U575">
        <v>1.3793949999999999E-2</v>
      </c>
      <c r="V575">
        <v>4.083941E-2</v>
      </c>
      <c r="W575">
        <v>0.1191325</v>
      </c>
      <c r="X575">
        <v>0.99203810000000003</v>
      </c>
      <c r="Y575">
        <v>-6.1279610000000003E-3</v>
      </c>
      <c r="Z575">
        <v>2.5347610000000002E-4</v>
      </c>
      <c r="AA575">
        <v>0.99998120000000001</v>
      </c>
      <c r="AB575">
        <v>31</v>
      </c>
      <c r="AC575">
        <v>20.098699999999901</v>
      </c>
      <c r="AD575">
        <v>-1.1102281735149999</v>
      </c>
      <c r="AE575">
        <v>9.3099999999992605E-2</v>
      </c>
      <c r="AF575">
        <v>-0.12484354141731401</v>
      </c>
      <c r="AG575">
        <v>-1.1102281735149999</v>
      </c>
      <c r="AH575">
        <v>20.037386243643599</v>
      </c>
      <c r="AI575">
        <v>93.171330851027705</v>
      </c>
      <c r="AJ575">
        <v>90.356978469103197</v>
      </c>
      <c r="AK575">
        <v>20.0685086636765</v>
      </c>
      <c r="AL575">
        <v>83.157960659674501</v>
      </c>
      <c r="AM575">
        <v>87.642625499335793</v>
      </c>
      <c r="AN575">
        <v>1.0000000009084999</v>
      </c>
    </row>
    <row r="576" spans="1:40" x14ac:dyDescent="0.25">
      <c r="A576" t="str">
        <f>"20190312164004566"</f>
        <v>20190312164004566</v>
      </c>
      <c r="B576" t="str">
        <f>"1552380004556782"</f>
        <v>1552380004556782</v>
      </c>
      <c r="C576" t="s">
        <v>40</v>
      </c>
      <c r="D576">
        <v>4.901599</v>
      </c>
      <c r="E576">
        <v>0.48557070000000002</v>
      </c>
      <c r="F576" t="s">
        <v>41</v>
      </c>
      <c r="G576">
        <v>-360.51459999999997</v>
      </c>
      <c r="H576" s="1">
        <v>-4.2737019999999999E-6</v>
      </c>
      <c r="I576">
        <v>368.36380000000003</v>
      </c>
      <c r="J576">
        <v>-380.55500000000001</v>
      </c>
      <c r="K576">
        <v>1.110225</v>
      </c>
      <c r="L576">
        <v>368.27030000000002</v>
      </c>
      <c r="M576">
        <v>0.99989620000000001</v>
      </c>
      <c r="N576">
        <v>0</v>
      </c>
      <c r="O576">
        <v>-1.664224E-3</v>
      </c>
      <c r="P576">
        <v>0.99359819999999999</v>
      </c>
      <c r="Q576">
        <v>0.1047434</v>
      </c>
      <c r="R576">
        <v>-4.2327509999999999E-2</v>
      </c>
      <c r="S576">
        <v>3.0374759999999998</v>
      </c>
      <c r="T576">
        <v>-0.16585849999999999</v>
      </c>
      <c r="U576">
        <v>1.3916019999999999E-2</v>
      </c>
      <c r="V576">
        <v>4.0694769999999998E-2</v>
      </c>
      <c r="W576">
        <v>0.11894589999999899</v>
      </c>
      <c r="X576">
        <v>0.99206640000000001</v>
      </c>
      <c r="Y576">
        <v>-6.2339989999999996E-3</v>
      </c>
      <c r="Z576">
        <v>2.6088789999999999E-4</v>
      </c>
      <c r="AA576">
        <v>0.99998050000000005</v>
      </c>
      <c r="AB576">
        <v>31</v>
      </c>
      <c r="AC576">
        <v>20.040400000000002</v>
      </c>
      <c r="AD576">
        <v>-1.1102292737019901</v>
      </c>
      <c r="AE576">
        <v>9.3500000000005898E-2</v>
      </c>
      <c r="AF576">
        <v>-0.12646686881618899</v>
      </c>
      <c r="AG576">
        <v>-1.1102292737019901</v>
      </c>
      <c r="AH576">
        <v>19.978900495088901</v>
      </c>
      <c r="AI576">
        <v>93.180596657486504</v>
      </c>
      <c r="AJ576">
        <v>90.362678669672803</v>
      </c>
      <c r="AK576">
        <v>20.0101241350912</v>
      </c>
      <c r="AL576">
        <v>83.168728382444797</v>
      </c>
      <c r="AM576">
        <v>87.651032123462599</v>
      </c>
      <c r="AN576">
        <v>0.99999996672056002</v>
      </c>
    </row>
    <row r="577" spans="1:40" x14ac:dyDescent="0.25">
      <c r="A577" t="str">
        <f>"20190312164004577"</f>
        <v>20190312164004577</v>
      </c>
      <c r="B577" t="str">
        <f>"1552380004566542"</f>
        <v>1552380004566542</v>
      </c>
      <c r="C577" t="s">
        <v>40</v>
      </c>
      <c r="D577">
        <v>5.0845900000000004</v>
      </c>
      <c r="E577">
        <v>0.48563289999999998</v>
      </c>
      <c r="F577" t="s">
        <v>41</v>
      </c>
      <c r="G577">
        <v>-360.6019</v>
      </c>
      <c r="H577" s="1">
        <v>-4.2369409999999997E-6</v>
      </c>
      <c r="I577">
        <v>368.36</v>
      </c>
      <c r="J577">
        <v>-380.39620000000002</v>
      </c>
      <c r="K577">
        <v>1.110223</v>
      </c>
      <c r="L577">
        <v>368.27</v>
      </c>
      <c r="M577">
        <v>0.99989620000000001</v>
      </c>
      <c r="N577">
        <v>0</v>
      </c>
      <c r="O577">
        <v>-1.700104E-3</v>
      </c>
      <c r="P577">
        <v>0.99359240000000004</v>
      </c>
      <c r="Q577">
        <v>0.1048589</v>
      </c>
      <c r="R577">
        <v>-4.2175959999999998E-2</v>
      </c>
      <c r="S577">
        <v>3.0376889999999999</v>
      </c>
      <c r="T577">
        <v>-0.16902159999999999</v>
      </c>
      <c r="U577">
        <v>1.3671880000000001E-2</v>
      </c>
      <c r="V577">
        <v>4.0507719999999997E-2</v>
      </c>
      <c r="W577">
        <v>0.1190605</v>
      </c>
      <c r="X577">
        <v>0.99206039999999995</v>
      </c>
      <c r="Y577">
        <v>-6.1887549999999998E-3</v>
      </c>
      <c r="Z577">
        <v>2.6657439999999997E-4</v>
      </c>
      <c r="AA577">
        <v>0.9999808</v>
      </c>
      <c r="AB577">
        <v>31</v>
      </c>
      <c r="AC577">
        <v>19.7943</v>
      </c>
      <c r="AD577">
        <v>-1.110227236941</v>
      </c>
      <c r="AE577">
        <v>9.0000000000031805E-2</v>
      </c>
      <c r="AF577">
        <v>-0.12326790416000601</v>
      </c>
      <c r="AG577">
        <v>-1.110227236941</v>
      </c>
      <c r="AH577">
        <v>19.732044814195302</v>
      </c>
      <c r="AI577">
        <v>93.220299729415203</v>
      </c>
      <c r="AJ577">
        <v>90.357927363806297</v>
      </c>
      <c r="AK577">
        <v>19.7636381277146</v>
      </c>
      <c r="AL577">
        <v>83.162115917106604</v>
      </c>
      <c r="AM577">
        <v>87.661802815210507</v>
      </c>
      <c r="AN577">
        <v>1.000000057644</v>
      </c>
    </row>
    <row r="578" spans="1:40" x14ac:dyDescent="0.25">
      <c r="A578" t="str">
        <f>"20190312164004588"</f>
        <v>20190312164004588</v>
      </c>
      <c r="B578" t="str">
        <f>"1552380004577278"</f>
        <v>1552380004577278</v>
      </c>
      <c r="C578" t="s">
        <v>40</v>
      </c>
      <c r="D578">
        <v>5.0362650000000002</v>
      </c>
      <c r="E578">
        <v>0.48565950000000002</v>
      </c>
      <c r="F578" t="s">
        <v>41</v>
      </c>
      <c r="G578">
        <v>-360.54050000000001</v>
      </c>
      <c r="H578" s="1">
        <v>-4.2634499999999998E-6</v>
      </c>
      <c r="I578">
        <v>368.35899999999998</v>
      </c>
      <c r="J578">
        <v>-380.23910000000001</v>
      </c>
      <c r="K578">
        <v>1.110223</v>
      </c>
      <c r="L578">
        <v>368.2697</v>
      </c>
      <c r="M578">
        <v>0.99989609999999995</v>
      </c>
      <c r="N578">
        <v>0</v>
      </c>
      <c r="O578">
        <v>-1.734424E-3</v>
      </c>
      <c r="P578">
        <v>0.99360269999999995</v>
      </c>
      <c r="Q578">
        <v>0.10475379999999999</v>
      </c>
      <c r="R578">
        <v>-4.2194549999999997E-2</v>
      </c>
      <c r="S578">
        <v>3.0378419999999999</v>
      </c>
      <c r="T578">
        <v>-0.1698588</v>
      </c>
      <c r="U578">
        <v>1.364136E-2</v>
      </c>
      <c r="V578">
        <v>4.0492279999999999E-2</v>
      </c>
      <c r="W578">
        <v>0.1189549</v>
      </c>
      <c r="X578">
        <v>0.99207369999999995</v>
      </c>
      <c r="Y578">
        <v>-6.2125949999999996E-3</v>
      </c>
      <c r="Z578">
        <v>2.704629E-4</v>
      </c>
      <c r="AA578">
        <v>0.99998069999999895</v>
      </c>
      <c r="AB578">
        <v>31</v>
      </c>
      <c r="AC578">
        <v>19.698599999999999</v>
      </c>
      <c r="AD578">
        <v>-1.1102272634499999</v>
      </c>
      <c r="AE578">
        <v>8.9300000000037003E-2</v>
      </c>
      <c r="AF578">
        <v>-0.123078135606044</v>
      </c>
      <c r="AG578">
        <v>-1.1102272634499999</v>
      </c>
      <c r="AH578">
        <v>19.636042256423298</v>
      </c>
      <c r="AI578">
        <v>93.236010370069096</v>
      </c>
      <c r="AJ578">
        <v>90.359123558648193</v>
      </c>
      <c r="AK578">
        <v>19.667788597094798</v>
      </c>
      <c r="AL578">
        <v>83.1682096707097</v>
      </c>
      <c r="AM578">
        <v>87.662724358111305</v>
      </c>
      <c r="AN578">
        <v>1.0000000596026399</v>
      </c>
    </row>
    <row r="579" spans="1:40" x14ac:dyDescent="0.25">
      <c r="A579" t="str">
        <f>"20190312164004601"</f>
        <v>20190312164004601</v>
      </c>
      <c r="B579" t="str">
        <f>"1552380004596797"</f>
        <v>1552380004596797</v>
      </c>
      <c r="C579" t="s">
        <v>40</v>
      </c>
      <c r="D579">
        <v>4.9847630000000001</v>
      </c>
      <c r="E579">
        <v>0.48576140000000001</v>
      </c>
      <c r="F579" t="s">
        <v>41</v>
      </c>
      <c r="G579">
        <v>-360.48899999999998</v>
      </c>
      <c r="H579" s="1">
        <v>-4.2860939999999998E-6</v>
      </c>
      <c r="I579">
        <v>368.35570000000001</v>
      </c>
      <c r="J579">
        <v>-380.0675</v>
      </c>
      <c r="K579">
        <v>1.1102259999999999</v>
      </c>
      <c r="L579">
        <v>368.26929999999999</v>
      </c>
      <c r="M579">
        <v>0.99989600000000001</v>
      </c>
      <c r="N579">
        <v>0</v>
      </c>
      <c r="O579">
        <v>-1.77136E-3</v>
      </c>
      <c r="P579">
        <v>0.99361259999999996</v>
      </c>
      <c r="Q579">
        <v>0.104781399999999</v>
      </c>
      <c r="R579">
        <v>-4.1893850000000003E-2</v>
      </c>
      <c r="S579">
        <v>3.0378720000000001</v>
      </c>
      <c r="T579">
        <v>-0.17076929999999901</v>
      </c>
      <c r="U579">
        <v>1.324463E-2</v>
      </c>
      <c r="V579">
        <v>4.0154450000000001E-2</v>
      </c>
      <c r="W579">
        <v>0.1189814</v>
      </c>
      <c r="X579">
        <v>0.99208419999999997</v>
      </c>
      <c r="Y579">
        <v>-6.1188569999999897E-3</v>
      </c>
      <c r="Z579">
        <v>2.7135009999999999E-4</v>
      </c>
      <c r="AA579">
        <v>0.99998120000000001</v>
      </c>
      <c r="AB579">
        <v>31</v>
      </c>
      <c r="AC579">
        <v>19.578499999999899</v>
      </c>
      <c r="AD579">
        <v>-1.1102302860940001</v>
      </c>
      <c r="AE579">
        <v>8.6400000000025998E-2</v>
      </c>
      <c r="AF579">
        <v>-0.12069588206422099</v>
      </c>
      <c r="AG579">
        <v>-1.1102302860940001</v>
      </c>
      <c r="AH579">
        <v>19.515562431793398</v>
      </c>
      <c r="AI579">
        <v>93.2559556449078</v>
      </c>
      <c r="AJ579">
        <v>90.354346768326195</v>
      </c>
      <c r="AK579">
        <v>19.5474897573406</v>
      </c>
      <c r="AL579">
        <v>83.166680108785599</v>
      </c>
      <c r="AM579">
        <v>87.682227564547603</v>
      </c>
      <c r="AN579">
        <v>1.0000000066451999</v>
      </c>
    </row>
    <row r="580" spans="1:40" x14ac:dyDescent="0.25">
      <c r="A580" t="str">
        <f>"20190312164004613"</f>
        <v>20190312164004613</v>
      </c>
      <c r="B580" t="str">
        <f>"1552380004606558"</f>
        <v>1552380004606558</v>
      </c>
      <c r="C580" t="s">
        <v>40</v>
      </c>
      <c r="D580">
        <v>5.0190260000000002</v>
      </c>
      <c r="E580">
        <v>0.50139449999999997</v>
      </c>
      <c r="F580" t="s">
        <v>41</v>
      </c>
      <c r="G580">
        <v>-360.39449999999999</v>
      </c>
      <c r="H580" s="1">
        <v>-4.3266100000000001E-6</v>
      </c>
      <c r="I580">
        <v>368.35599999999999</v>
      </c>
      <c r="J580">
        <v>-379.89389999999997</v>
      </c>
      <c r="K580">
        <v>1.1102299999999901</v>
      </c>
      <c r="L580">
        <v>368.26900000000001</v>
      </c>
      <c r="M580">
        <v>0.99989600000000001</v>
      </c>
      <c r="N580">
        <v>0</v>
      </c>
      <c r="O580">
        <v>-1.806495E-3</v>
      </c>
      <c r="P580">
        <v>0.99360490000000001</v>
      </c>
      <c r="Q580">
        <v>0.10480630000000001</v>
      </c>
      <c r="R580">
        <v>-4.2013719999999997E-2</v>
      </c>
      <c r="S580">
        <v>3.0379330000000002</v>
      </c>
      <c r="T580">
        <v>-0.1714425</v>
      </c>
      <c r="U580">
        <v>1.339722E-2</v>
      </c>
      <c r="V580">
        <v>4.0238950000000002E-2</v>
      </c>
      <c r="W580">
        <v>0.1190051</v>
      </c>
      <c r="X580">
        <v>0.99207789999999996</v>
      </c>
      <c r="Y580">
        <v>-6.2038450000000004E-3</v>
      </c>
      <c r="Z580">
        <v>2.7679020000000003E-4</v>
      </c>
      <c r="AA580">
        <v>0.99998069999999895</v>
      </c>
      <c r="AB580">
        <v>31</v>
      </c>
      <c r="AC580">
        <v>19.499399999999898</v>
      </c>
      <c r="AD580">
        <v>-1.1102343266100001</v>
      </c>
      <c r="AE580">
        <v>8.6999999999989003E-2</v>
      </c>
      <c r="AF580">
        <v>-0.12183407857138299</v>
      </c>
      <c r="AG580">
        <v>-1.1102343266100001</v>
      </c>
      <c r="AH580">
        <v>19.436203878209199</v>
      </c>
      <c r="AI580">
        <v>93.269231193596397</v>
      </c>
      <c r="AJ580">
        <v>90.359148685603401</v>
      </c>
      <c r="AK580">
        <v>19.468268669760999</v>
      </c>
      <c r="AL580">
        <v>83.165312252897394</v>
      </c>
      <c r="AM580">
        <v>87.677340706128604</v>
      </c>
      <c r="AN580">
        <v>0.99999997329575996</v>
      </c>
    </row>
    <row r="581" spans="1:40" x14ac:dyDescent="0.25">
      <c r="A581" t="str">
        <f>"20190312164004626"</f>
        <v>20190312164004626</v>
      </c>
      <c r="B581" t="str">
        <f>"1552380004617293"</f>
        <v>1552380004617293</v>
      </c>
      <c r="C581" t="s">
        <v>40</v>
      </c>
      <c r="D581">
        <v>5.1457739999999896</v>
      </c>
      <c r="E581">
        <v>0.5029941</v>
      </c>
      <c r="F581" t="s">
        <v>42</v>
      </c>
      <c r="G581">
        <v>-379.11160000000001</v>
      </c>
      <c r="H581">
        <v>1.0417689999999999</v>
      </c>
      <c r="I581">
        <v>368.2414</v>
      </c>
      <c r="J581">
        <v>-379.73169999999999</v>
      </c>
      <c r="K581">
        <v>1.1102320000000001</v>
      </c>
      <c r="L581">
        <v>368.26859999999999</v>
      </c>
      <c r="M581">
        <v>0.99989600000000001</v>
      </c>
      <c r="N581">
        <v>0</v>
      </c>
      <c r="O581">
        <v>-1.837928E-3</v>
      </c>
      <c r="P581">
        <v>0.99360530000000002</v>
      </c>
      <c r="Q581">
        <v>0.1049387</v>
      </c>
      <c r="R581">
        <v>-4.1675249999999997E-2</v>
      </c>
      <c r="S581">
        <v>3.0429080000000002</v>
      </c>
      <c r="T581">
        <v>-0.26640649999999999</v>
      </c>
      <c r="U581">
        <v>-0.10672</v>
      </c>
      <c r="V581">
        <v>3.9868800000000003E-2</v>
      </c>
      <c r="W581">
        <v>0.1191367</v>
      </c>
      <c r="X581">
        <v>0.99207710000000005</v>
      </c>
      <c r="Y581">
        <v>3.3093699999999997E-2</v>
      </c>
      <c r="Z581">
        <v>-1.2849000000000001E-3</v>
      </c>
      <c r="AA581">
        <v>0.99945139999999999</v>
      </c>
      <c r="AB581">
        <v>31</v>
      </c>
      <c r="AC581">
        <v>0.620099999999979</v>
      </c>
      <c r="AD581">
        <v>-6.8462999999999899E-2</v>
      </c>
      <c r="AE581">
        <v>-2.71999999999934E-2</v>
      </c>
      <c r="AF581">
        <v>2.5746897360309901E-2</v>
      </c>
      <c r="AG581">
        <v>-6.8462999999999899E-2</v>
      </c>
      <c r="AH581">
        <v>0.61269480501286</v>
      </c>
      <c r="AI581">
        <v>96.370251309719606</v>
      </c>
      <c r="AJ581">
        <v>87.593710399782793</v>
      </c>
      <c r="AK581">
        <v>0.61704538664706798</v>
      </c>
      <c r="AL581">
        <v>83.1577184460631</v>
      </c>
      <c r="AM581">
        <v>87.698681449474506</v>
      </c>
      <c r="AN581">
        <v>1.0000000234223601</v>
      </c>
    </row>
    <row r="582" spans="1:40" x14ac:dyDescent="0.25">
      <c r="A582" t="str">
        <f>"20190312164004644"</f>
        <v>20190312164004644</v>
      </c>
      <c r="B582" t="str">
        <f>"1552380004636826"</f>
        <v>1552380004636826</v>
      </c>
      <c r="C582" t="s">
        <v>40</v>
      </c>
      <c r="D582">
        <v>5.4149269999999996</v>
      </c>
      <c r="E582">
        <v>0.50437619999999905</v>
      </c>
      <c r="F582" t="s">
        <v>42</v>
      </c>
      <c r="G582">
        <v>-378.84300000000002</v>
      </c>
      <c r="H582">
        <v>1.0334719999999999</v>
      </c>
      <c r="I582">
        <v>368.23390000000001</v>
      </c>
      <c r="J582">
        <v>-379.4785</v>
      </c>
      <c r="K582">
        <v>1.1102320000000001</v>
      </c>
      <c r="L582">
        <v>368.2681</v>
      </c>
      <c r="M582">
        <v>0.99989600000000001</v>
      </c>
      <c r="N582">
        <v>0</v>
      </c>
      <c r="O582">
        <v>-1.8838679999999999E-3</v>
      </c>
      <c r="P582">
        <v>0.99363389999999996</v>
      </c>
      <c r="Q582">
        <v>0.10463799999999999</v>
      </c>
      <c r="R582">
        <v>-4.1748109999999998E-2</v>
      </c>
      <c r="S582">
        <v>3.0420229999999999</v>
      </c>
      <c r="T582">
        <v>-0.26282139999999998</v>
      </c>
      <c r="U582">
        <v>-0.1186523</v>
      </c>
      <c r="V582">
        <v>3.9895149999999997E-2</v>
      </c>
      <c r="W582">
        <v>0.1188356</v>
      </c>
      <c r="X582">
        <v>0.9921122</v>
      </c>
      <c r="Y582">
        <v>3.6961620000000001E-2</v>
      </c>
      <c r="Z582">
        <v>-1.430703E-3</v>
      </c>
      <c r="AA582">
        <v>0.99931570000000003</v>
      </c>
      <c r="AB582">
        <v>31</v>
      </c>
      <c r="AC582">
        <v>0.63549999999997897</v>
      </c>
      <c r="AD582">
        <v>-7.6759999999999898E-2</v>
      </c>
      <c r="AE582">
        <v>-3.4199999999998398E-2</v>
      </c>
      <c r="AF582">
        <v>3.2529403296803303E-2</v>
      </c>
      <c r="AG582">
        <v>-7.6759999999999898E-2</v>
      </c>
      <c r="AH582">
        <v>0.62645013913522496</v>
      </c>
      <c r="AI582">
        <v>96.976420474114406</v>
      </c>
      <c r="AJ582">
        <v>87.027496769187195</v>
      </c>
      <c r="AK582">
        <v>0.63197312957228602</v>
      </c>
      <c r="AL582">
        <v>83.175093959922606</v>
      </c>
      <c r="AM582">
        <v>87.697243488529494</v>
      </c>
      <c r="AN582">
        <v>1.0000000701048499</v>
      </c>
    </row>
    <row r="583" spans="1:40" x14ac:dyDescent="0.25">
      <c r="A583" t="str">
        <f>"20190312164004655"</f>
        <v>20190312164004655</v>
      </c>
      <c r="B583" t="str">
        <f>"1552380004646574"</f>
        <v>1552380004646574</v>
      </c>
      <c r="C583" t="s">
        <v>40</v>
      </c>
      <c r="D583">
        <v>5.1429090000000004</v>
      </c>
      <c r="E583">
        <v>0.50480789999999998</v>
      </c>
      <c r="F583" t="s">
        <v>42</v>
      </c>
      <c r="G583">
        <v>-378.57119999999998</v>
      </c>
      <c r="H583">
        <v>1.029876</v>
      </c>
      <c r="I583">
        <v>368.22930000000002</v>
      </c>
      <c r="J583">
        <v>-379.3261</v>
      </c>
      <c r="K583">
        <v>1.1102350000000001</v>
      </c>
      <c r="L583">
        <v>368.26780000000002</v>
      </c>
      <c r="M583">
        <v>0.99989600000000001</v>
      </c>
      <c r="N583">
        <v>0</v>
      </c>
      <c r="O583">
        <v>-1.9094450000000001E-3</v>
      </c>
      <c r="P583">
        <v>0.9936469</v>
      </c>
      <c r="Q583">
        <v>0.1046387</v>
      </c>
      <c r="R583">
        <v>-4.1435850000000003E-2</v>
      </c>
      <c r="S583">
        <v>3.0421450000000001</v>
      </c>
      <c r="T583">
        <v>-0.26959509999999998</v>
      </c>
      <c r="U583">
        <v>-0.129303</v>
      </c>
      <c r="V583">
        <v>3.9556689999999999E-2</v>
      </c>
      <c r="W583">
        <v>0.1188356</v>
      </c>
      <c r="X583">
        <v>0.9921257</v>
      </c>
      <c r="Y583">
        <v>4.0406949999999997E-2</v>
      </c>
      <c r="Z583">
        <v>-1.6173069999999999E-3</v>
      </c>
      <c r="AA583">
        <v>0.99918200000000001</v>
      </c>
      <c r="AB583">
        <v>31</v>
      </c>
      <c r="AC583">
        <v>0.75490000000002</v>
      </c>
      <c r="AD583">
        <v>-8.0359E-2</v>
      </c>
      <c r="AE583">
        <v>-3.8499999999999E-2</v>
      </c>
      <c r="AF583">
        <v>3.6644183470424099E-2</v>
      </c>
      <c r="AG583">
        <v>-8.0359E-2</v>
      </c>
      <c r="AH583">
        <v>0.746534678527635</v>
      </c>
      <c r="AI583">
        <v>96.136483554798303</v>
      </c>
      <c r="AJ583">
        <v>87.189851561608407</v>
      </c>
      <c r="AK583">
        <v>0.75174090703351604</v>
      </c>
      <c r="AL583">
        <v>83.175093603140198</v>
      </c>
      <c r="AM583">
        <v>87.716789742761193</v>
      </c>
      <c r="AN583">
        <v>1.0000000180758</v>
      </c>
    </row>
    <row r="584" spans="1:40" x14ac:dyDescent="0.25">
      <c r="A584" t="str">
        <f>"20190312164004667"</f>
        <v>20190312164004667</v>
      </c>
      <c r="B584" t="str">
        <f>"1552380004657309"</f>
        <v>1552380004657309</v>
      </c>
      <c r="C584" t="s">
        <v>40</v>
      </c>
      <c r="D584">
        <v>5.1167959999999999</v>
      </c>
      <c r="E584">
        <v>0.50522670000000003</v>
      </c>
      <c r="F584" t="s">
        <v>42</v>
      </c>
      <c r="G584">
        <v>-378.56380000000001</v>
      </c>
      <c r="H584">
        <v>1.0428010000000001</v>
      </c>
      <c r="I584">
        <v>368.23450000000003</v>
      </c>
      <c r="J584">
        <v>-379.17680000000001</v>
      </c>
      <c r="K584">
        <v>1.110239</v>
      </c>
      <c r="L584">
        <v>368.26749999999998</v>
      </c>
      <c r="M584">
        <v>0.99989589999999995</v>
      </c>
      <c r="N584">
        <v>0</v>
      </c>
      <c r="O584">
        <v>-1.932516E-3</v>
      </c>
      <c r="P584">
        <v>0.99364839999999999</v>
      </c>
      <c r="Q584">
        <v>0.10461910000000001</v>
      </c>
      <c r="R584">
        <v>-4.1446650000000002E-2</v>
      </c>
      <c r="S584">
        <v>3.0420530000000001</v>
      </c>
      <c r="T584">
        <v>-0.26928770000000002</v>
      </c>
      <c r="U584">
        <v>-0.13183590000000001</v>
      </c>
      <c r="V584">
        <v>3.9543759999999997E-2</v>
      </c>
      <c r="W584">
        <v>0.1188148</v>
      </c>
      <c r="X584">
        <v>0.99212869999999997</v>
      </c>
      <c r="Y584">
        <v>4.1212890000000002E-2</v>
      </c>
      <c r="Z584">
        <v>-1.6490369999999999E-3</v>
      </c>
      <c r="AA584">
        <v>0.99914899999999995</v>
      </c>
      <c r="AB584">
        <v>31</v>
      </c>
      <c r="AC584">
        <v>0.61299999999999899</v>
      </c>
      <c r="AD584">
        <v>-6.7437999999999804E-2</v>
      </c>
      <c r="AE584">
        <v>-3.2999999999958597E-2</v>
      </c>
      <c r="AF584">
        <v>3.1435820665506098E-2</v>
      </c>
      <c r="AG584">
        <v>-6.7437999999999804E-2</v>
      </c>
      <c r="AH584">
        <v>0.60575247566045098</v>
      </c>
      <c r="AI584">
        <v>96.344073126787407</v>
      </c>
      <c r="AJ584">
        <v>87.029272481097294</v>
      </c>
      <c r="AK584">
        <v>0.61030497002210304</v>
      </c>
      <c r="AL584">
        <v>83.176293813893807</v>
      </c>
      <c r="AM584">
        <v>87.717542166705599</v>
      </c>
      <c r="AN584">
        <v>1.0000000115088299</v>
      </c>
    </row>
    <row r="585" spans="1:40" x14ac:dyDescent="0.25">
      <c r="A585" t="str">
        <f>"20190312164004678"</f>
        <v>20190312164004678</v>
      </c>
      <c r="B585" t="str">
        <f>"1552380004667071"</f>
        <v>1552380004667071</v>
      </c>
      <c r="C585" t="s">
        <v>40</v>
      </c>
      <c r="D585">
        <v>5.0497550000000002</v>
      </c>
      <c r="E585">
        <v>0.50522670000000003</v>
      </c>
      <c r="F585" t="s">
        <v>42</v>
      </c>
      <c r="G585">
        <v>-378.29689999999999</v>
      </c>
      <c r="H585">
        <v>1.031971</v>
      </c>
      <c r="I585">
        <v>368.22809999999998</v>
      </c>
      <c r="J585">
        <v>-379.0138</v>
      </c>
      <c r="K585">
        <v>1.110244</v>
      </c>
      <c r="L585">
        <v>368.2672</v>
      </c>
      <c r="M585">
        <v>0.99989589999999995</v>
      </c>
      <c r="N585">
        <v>0</v>
      </c>
      <c r="O585">
        <v>-1.956892E-3</v>
      </c>
      <c r="P585">
        <v>0.99367240000000001</v>
      </c>
      <c r="Q585">
        <v>0.1043356</v>
      </c>
      <c r="R585">
        <v>-4.1585619999999997E-2</v>
      </c>
      <c r="S585">
        <v>3.0420229999999999</v>
      </c>
      <c r="T585">
        <v>-0.27075510000000003</v>
      </c>
      <c r="U585">
        <v>-0.135376</v>
      </c>
      <c r="V585">
        <v>3.965755E-2</v>
      </c>
      <c r="W585">
        <v>0.1185307</v>
      </c>
      <c r="X585">
        <v>0.99215810000000004</v>
      </c>
      <c r="Y585">
        <v>4.2343390000000002E-2</v>
      </c>
      <c r="Z585">
        <v>-1.705984E-3</v>
      </c>
      <c r="AA585">
        <v>0.99910160000000003</v>
      </c>
      <c r="AB585">
        <v>31</v>
      </c>
      <c r="AC585">
        <v>0.71690000000000897</v>
      </c>
      <c r="AD585">
        <v>-7.8272999999999995E-2</v>
      </c>
      <c r="AE585">
        <v>-3.9100000000019002E-2</v>
      </c>
      <c r="AF585">
        <v>3.7254102863320697E-2</v>
      </c>
      <c r="AG585">
        <v>-7.8272999999999995E-2</v>
      </c>
      <c r="AH585">
        <v>0.70855364693115697</v>
      </c>
      <c r="AI585">
        <v>96.295205280887401</v>
      </c>
      <c r="AJ585">
        <v>86.990292482259903</v>
      </c>
      <c r="AK585">
        <v>0.71383667690067198</v>
      </c>
      <c r="AL585">
        <v>83.192687119334806</v>
      </c>
      <c r="AM585">
        <v>87.711048964200501</v>
      </c>
      <c r="AN585">
        <v>0.99999997175504995</v>
      </c>
    </row>
    <row r="586" spans="1:40" x14ac:dyDescent="0.25">
      <c r="A586" t="str">
        <f>"20190312164004690"</f>
        <v>20190312164004690</v>
      </c>
      <c r="B586" t="str">
        <f>"1552380004686590"</f>
        <v>1552380004686590</v>
      </c>
      <c r="C586" t="s">
        <v>40</v>
      </c>
      <c r="D586">
        <v>5.2003219999999999</v>
      </c>
      <c r="E586">
        <v>0.50968029999999998</v>
      </c>
      <c r="F586" t="s">
        <v>42</v>
      </c>
      <c r="G586">
        <v>-378.02870000000001</v>
      </c>
      <c r="H586">
        <v>1.0223370000000001</v>
      </c>
      <c r="I586">
        <v>368.22269999999997</v>
      </c>
      <c r="J586">
        <v>-378.84440000000001</v>
      </c>
      <c r="K586">
        <v>1.1102479999999999</v>
      </c>
      <c r="L586">
        <v>368.26679999999999</v>
      </c>
      <c r="M586">
        <v>0.9998958</v>
      </c>
      <c r="N586">
        <v>0</v>
      </c>
      <c r="O586">
        <v>-1.9789970000000001E-3</v>
      </c>
      <c r="P586">
        <v>0.99366960000000004</v>
      </c>
      <c r="Q586">
        <v>0.10437200000000001</v>
      </c>
      <c r="R586">
        <v>-4.1565049999999999E-2</v>
      </c>
      <c r="S586">
        <v>3.0419309999999999</v>
      </c>
      <c r="T586">
        <v>-0.27161929999999901</v>
      </c>
      <c r="U586">
        <v>-0.13601679999999999</v>
      </c>
      <c r="V586">
        <v>3.9614070000000001E-2</v>
      </c>
      <c r="W586">
        <v>0.1185657</v>
      </c>
      <c r="X586">
        <v>0.99215569999999997</v>
      </c>
      <c r="Y586">
        <v>4.2531020000000003E-2</v>
      </c>
      <c r="Z586">
        <v>-1.717838E-3</v>
      </c>
      <c r="AA586">
        <v>0.99909369999999997</v>
      </c>
      <c r="AB586">
        <v>31</v>
      </c>
      <c r="AC586">
        <v>0.81569999999999199</v>
      </c>
      <c r="AD586">
        <v>-8.7910999999999795E-2</v>
      </c>
      <c r="AE586">
        <v>-4.4100000000014399E-2</v>
      </c>
      <c r="AF586">
        <v>4.1999076082390098E-2</v>
      </c>
      <c r="AG586">
        <v>-8.7910999999999795E-2</v>
      </c>
      <c r="AH586">
        <v>0.80644597826659903</v>
      </c>
      <c r="AI586">
        <v>96.212916746482094</v>
      </c>
      <c r="AJ586">
        <v>87.018773921003998</v>
      </c>
      <c r="AK586">
        <v>0.81230990525485203</v>
      </c>
      <c r="AL586">
        <v>83.190667830866602</v>
      </c>
      <c r="AM586">
        <v>87.713550349171598</v>
      </c>
      <c r="AN586">
        <v>1.0000000164004701</v>
      </c>
    </row>
    <row r="587" spans="1:40" x14ac:dyDescent="0.25">
      <c r="A587" t="str">
        <f>"20190312164004703"</f>
        <v>20190312164004703</v>
      </c>
      <c r="B587" t="str">
        <f>"1552380004697326"</f>
        <v>1552380004697326</v>
      </c>
      <c r="C587" t="s">
        <v>40</v>
      </c>
      <c r="D587">
        <v>5.3178489999999998</v>
      </c>
      <c r="E587">
        <v>0.51160699999999903</v>
      </c>
      <c r="F587" t="s">
        <v>42</v>
      </c>
      <c r="G587">
        <v>-378.03129999999999</v>
      </c>
      <c r="H587">
        <v>1.0170189999999999</v>
      </c>
      <c r="I587">
        <v>368.22190000000001</v>
      </c>
      <c r="J587">
        <v>-378.68259999999998</v>
      </c>
      <c r="K587">
        <v>1.110252</v>
      </c>
      <c r="L587">
        <v>368.26639999999998</v>
      </c>
      <c r="M587">
        <v>0.99989589999999995</v>
      </c>
      <c r="N587">
        <v>0</v>
      </c>
      <c r="O587">
        <v>-1.9988419999999998E-3</v>
      </c>
      <c r="P587">
        <v>0.99367139999999998</v>
      </c>
      <c r="Q587">
        <v>0.10435659999999999</v>
      </c>
      <c r="R587">
        <v>-4.1559569999999997E-2</v>
      </c>
      <c r="S587">
        <v>3.0488590000000002</v>
      </c>
      <c r="T587">
        <v>-0.34980929999999999</v>
      </c>
      <c r="U587">
        <v>-0.16705320000000001</v>
      </c>
      <c r="V587">
        <v>3.9587959999999998E-2</v>
      </c>
      <c r="W587">
        <v>0.1185496</v>
      </c>
      <c r="X587">
        <v>0.99215869999999995</v>
      </c>
      <c r="Y587">
        <v>5.2384279999999998E-2</v>
      </c>
      <c r="Z587">
        <v>-2.7646569999999998E-3</v>
      </c>
      <c r="AA587">
        <v>0.99862320000000004</v>
      </c>
      <c r="AB587">
        <v>31</v>
      </c>
      <c r="AC587">
        <v>0.651299999999992</v>
      </c>
      <c r="AD587">
        <v>-9.3232999999999899E-2</v>
      </c>
      <c r="AE587">
        <v>-4.4499999999970799E-2</v>
      </c>
      <c r="AF587">
        <v>4.2334459896904E-2</v>
      </c>
      <c r="AG587">
        <v>-9.3232999999999899E-2</v>
      </c>
      <c r="AH587">
        <v>0.63836723437507303</v>
      </c>
      <c r="AI587">
        <v>98.291294992636594</v>
      </c>
      <c r="AJ587">
        <v>86.205883913318402</v>
      </c>
      <c r="AK587">
        <v>0.646527126041469</v>
      </c>
      <c r="AL587">
        <v>83.1915970756842</v>
      </c>
      <c r="AM587">
        <v>87.715062673114005</v>
      </c>
      <c r="AN587">
        <v>1.0000000501113999</v>
      </c>
    </row>
    <row r="588" spans="1:40" x14ac:dyDescent="0.25">
      <c r="A588" t="str">
        <f>"20190312164004714"</f>
        <v>20190312164004714</v>
      </c>
      <c r="B588" t="str">
        <f>"1552380004707086"</f>
        <v>1552380004707086</v>
      </c>
      <c r="C588" t="s">
        <v>40</v>
      </c>
      <c r="D588">
        <v>5.0167630000000001</v>
      </c>
      <c r="E588">
        <v>0.51078670000000004</v>
      </c>
      <c r="F588" t="s">
        <v>42</v>
      </c>
      <c r="G588">
        <v>-377.7645</v>
      </c>
      <c r="H588">
        <v>1.005369</v>
      </c>
      <c r="I588">
        <v>368.21129999999999</v>
      </c>
      <c r="J588">
        <v>-378.51639999999998</v>
      </c>
      <c r="K588">
        <v>1.110255</v>
      </c>
      <c r="L588">
        <v>368.26609999999999</v>
      </c>
      <c r="M588">
        <v>0.99989589999999995</v>
      </c>
      <c r="N588">
        <v>0</v>
      </c>
      <c r="O588">
        <v>-2.01738E-3</v>
      </c>
      <c r="P588">
        <v>0.99366889999999997</v>
      </c>
      <c r="Q588">
        <v>0.10433679999999999</v>
      </c>
      <c r="R588">
        <v>-4.1668240000000002E-2</v>
      </c>
      <c r="S588">
        <v>3.047974</v>
      </c>
      <c r="T588">
        <v>-0.34825089999999997</v>
      </c>
      <c r="U588">
        <v>-0.18273929999999999</v>
      </c>
      <c r="V588">
        <v>3.9677650000000002E-2</v>
      </c>
      <c r="W588">
        <v>0.1185288</v>
      </c>
      <c r="X588">
        <v>0.99215759999999997</v>
      </c>
      <c r="Y588">
        <v>5.7473299999999998E-2</v>
      </c>
      <c r="Z588">
        <v>-3.0402290000000002E-3</v>
      </c>
      <c r="AA588">
        <v>0.99834239999999996</v>
      </c>
      <c r="AB588">
        <v>31</v>
      </c>
      <c r="AC588">
        <v>0.75189999999997703</v>
      </c>
      <c r="AD588">
        <v>-0.10488599999999999</v>
      </c>
      <c r="AE588">
        <v>-5.4800000000000099E-2</v>
      </c>
      <c r="AF588">
        <v>5.2271109535447897E-2</v>
      </c>
      <c r="AG588">
        <v>-0.10488599999999999</v>
      </c>
      <c r="AH588">
        <v>0.73772958915870901</v>
      </c>
      <c r="AI588">
        <v>98.071774559665798</v>
      </c>
      <c r="AJ588">
        <v>85.947136631460097</v>
      </c>
      <c r="AK588">
        <v>0.74697944323009602</v>
      </c>
      <c r="AL588">
        <v>83.192797274213007</v>
      </c>
      <c r="AM588">
        <v>87.709888916171394</v>
      </c>
      <c r="AN588">
        <v>1.0000000477883599</v>
      </c>
    </row>
    <row r="589" spans="1:40" x14ac:dyDescent="0.25">
      <c r="A589" t="str">
        <f>"20190312164004728"</f>
        <v>20190312164004728</v>
      </c>
      <c r="B589" t="str">
        <f>"1552380004716846"</f>
        <v>1552380004716846</v>
      </c>
      <c r="C589" t="s">
        <v>40</v>
      </c>
      <c r="D589">
        <v>5.0868769999999897</v>
      </c>
      <c r="E589">
        <v>0.51050649999999997</v>
      </c>
      <c r="F589" t="s">
        <v>42</v>
      </c>
      <c r="G589">
        <v>-377.75549999999998</v>
      </c>
      <c r="H589">
        <v>1.0234179999999999</v>
      </c>
      <c r="I589">
        <v>368.22190000000001</v>
      </c>
      <c r="J589">
        <v>-378.35160000000002</v>
      </c>
      <c r="K589">
        <v>1.1102590000000001</v>
      </c>
      <c r="L589">
        <v>368.26580000000001</v>
      </c>
      <c r="M589">
        <v>0.99989589999999995</v>
      </c>
      <c r="N589">
        <v>0</v>
      </c>
      <c r="O589">
        <v>-2.0335420000000002E-3</v>
      </c>
      <c r="P589">
        <v>0.9936815</v>
      </c>
      <c r="Q589">
        <v>0.10419389999999901</v>
      </c>
      <c r="R589">
        <v>-4.1726300000000001E-2</v>
      </c>
      <c r="S589">
        <v>3.048279</v>
      </c>
      <c r="T589">
        <v>-0.3479332</v>
      </c>
      <c r="U589">
        <v>-0.17678829999999901</v>
      </c>
      <c r="V589">
        <v>3.971889E-2</v>
      </c>
      <c r="W589">
        <v>0.1183849</v>
      </c>
      <c r="X589">
        <v>0.99217310000000003</v>
      </c>
      <c r="Y589">
        <v>5.5522250000000002E-2</v>
      </c>
      <c r="Z589">
        <v>-2.924612E-3</v>
      </c>
      <c r="AA589">
        <v>0.99845309999999998</v>
      </c>
      <c r="AB589">
        <v>31</v>
      </c>
      <c r="AC589">
        <v>0.59610000000003505</v>
      </c>
      <c r="AD589">
        <v>-8.6841000000000099E-2</v>
      </c>
      <c r="AE589">
        <v>-4.3900000000007801E-2</v>
      </c>
      <c r="AF589">
        <v>4.1805137384176301E-2</v>
      </c>
      <c r="AG589">
        <v>-8.6841000000000099E-2</v>
      </c>
      <c r="AH589">
        <v>0.58386342794647805</v>
      </c>
      <c r="AI589">
        <v>98.438584133436606</v>
      </c>
      <c r="AJ589">
        <v>85.904560691705598</v>
      </c>
      <c r="AK589">
        <v>0.59176476009147505</v>
      </c>
      <c r="AL589">
        <v>83.201100392090794</v>
      </c>
      <c r="AM589">
        <v>87.7075469434875</v>
      </c>
      <c r="AN589">
        <v>1.0000000175672199</v>
      </c>
    </row>
    <row r="590" spans="1:40" x14ac:dyDescent="0.25">
      <c r="A590" t="str">
        <f>"20190312164004745"</f>
        <v>20190312164004745</v>
      </c>
      <c r="B590" t="str">
        <f>"1552380004736873"</f>
        <v>1552380004736873</v>
      </c>
      <c r="C590" t="s">
        <v>40</v>
      </c>
      <c r="D590">
        <v>5.1147309999999999</v>
      </c>
      <c r="E590">
        <v>0.5110266</v>
      </c>
      <c r="F590" t="s">
        <v>42</v>
      </c>
      <c r="G590">
        <v>-377.48779999999999</v>
      </c>
      <c r="H590">
        <v>1.0140579999999999</v>
      </c>
      <c r="I590">
        <v>368.2158</v>
      </c>
      <c r="J590">
        <v>-378.09879999999998</v>
      </c>
      <c r="K590">
        <v>1.1102639999999999</v>
      </c>
      <c r="L590">
        <v>368.26519999999999</v>
      </c>
      <c r="M590">
        <v>0.9998958</v>
      </c>
      <c r="N590">
        <v>0</v>
      </c>
      <c r="O590">
        <v>-2.056483E-3</v>
      </c>
      <c r="P590">
        <v>0.99369370000000001</v>
      </c>
      <c r="Q590">
        <v>0.1040827</v>
      </c>
      <c r="R590">
        <v>-4.171155E-2</v>
      </c>
      <c r="S590">
        <v>3.0473330000000001</v>
      </c>
      <c r="T590">
        <v>-0.33959349999999999</v>
      </c>
      <c r="U590">
        <v>-0.17526249999999999</v>
      </c>
      <c r="V590">
        <v>3.9680399999999998E-2</v>
      </c>
      <c r="W590">
        <v>0.11827169999999999</v>
      </c>
      <c r="X590">
        <v>0.99218810000000002</v>
      </c>
      <c r="Y590">
        <v>5.5038209999999997E-2</v>
      </c>
      <c r="Z590">
        <v>-2.8264549999999999E-3</v>
      </c>
      <c r="AA590">
        <v>0.99848029999999999</v>
      </c>
      <c r="AB590">
        <v>30</v>
      </c>
      <c r="AC590">
        <v>0.61099999999999</v>
      </c>
      <c r="AD590">
        <v>-9.6206E-2</v>
      </c>
      <c r="AE590">
        <v>-4.9399999999991402E-2</v>
      </c>
      <c r="AF590">
        <v>4.69859188972611E-2</v>
      </c>
      <c r="AG590">
        <v>-9.6206E-2</v>
      </c>
      <c r="AH590">
        <v>0.59640979526712801</v>
      </c>
      <c r="AI590">
        <v>99.135538518515006</v>
      </c>
      <c r="AJ590">
        <v>85.495469667638503</v>
      </c>
      <c r="AK590">
        <v>0.60594382157193205</v>
      </c>
      <c r="AL590">
        <v>83.207631889377296</v>
      </c>
      <c r="AM590">
        <v>87.709800689170393</v>
      </c>
      <c r="AN590">
        <v>0.99999997747332903</v>
      </c>
    </row>
    <row r="591" spans="1:40" x14ac:dyDescent="0.25">
      <c r="A591" t="str">
        <f>"20190312164004768"</f>
        <v>20190312164004768</v>
      </c>
      <c r="B591" t="str">
        <f>"1552380004757368"</f>
        <v>1552380004757368</v>
      </c>
      <c r="C591" t="s">
        <v>40</v>
      </c>
      <c r="D591">
        <v>5.0097269999999998</v>
      </c>
      <c r="E591">
        <v>0.51161749999999995</v>
      </c>
      <c r="F591" t="s">
        <v>42</v>
      </c>
      <c r="G591">
        <v>-377.21870000000001</v>
      </c>
      <c r="H591">
        <v>1.00822099999999</v>
      </c>
      <c r="I591">
        <v>368.21350000000001</v>
      </c>
      <c r="J591">
        <v>-377.79910000000001</v>
      </c>
      <c r="K591">
        <v>1.1102669999999999</v>
      </c>
      <c r="L591">
        <v>368.26459999999997</v>
      </c>
      <c r="M591">
        <v>0.9998958</v>
      </c>
      <c r="N591">
        <v>0</v>
      </c>
      <c r="O591">
        <v>-2.0814560000000002E-3</v>
      </c>
      <c r="P591">
        <v>0.99372490000000002</v>
      </c>
      <c r="Q591">
        <v>0.1037394</v>
      </c>
      <c r="R591">
        <v>-4.1824590000000002E-2</v>
      </c>
      <c r="S591">
        <v>3.048584</v>
      </c>
      <c r="T591">
        <v>-0.3534949</v>
      </c>
      <c r="U591">
        <v>-0.178558299999999</v>
      </c>
      <c r="V591">
        <v>3.9767959999999998E-2</v>
      </c>
      <c r="W591">
        <v>0.1179265</v>
      </c>
      <c r="X591">
        <v>0.99222569999999999</v>
      </c>
      <c r="Y591">
        <v>5.6032239999999997E-2</v>
      </c>
      <c r="Z591">
        <v>-2.9946209999999998E-3</v>
      </c>
      <c r="AA591">
        <v>0.99842450000000005</v>
      </c>
      <c r="AB591">
        <v>30</v>
      </c>
      <c r="AC591">
        <v>0.58039999999999703</v>
      </c>
      <c r="AD591">
        <v>-0.102046</v>
      </c>
      <c r="AE591">
        <v>-5.1099999999962599E-2</v>
      </c>
      <c r="AF591">
        <v>4.8406812931201602E-2</v>
      </c>
      <c r="AG591">
        <v>-0.102046</v>
      </c>
      <c r="AH591">
        <v>0.56322812751320495</v>
      </c>
      <c r="AI591">
        <v>100.232558698364</v>
      </c>
      <c r="AJ591">
        <v>85.087767940173904</v>
      </c>
      <c r="AK591">
        <v>0.57444105813929003</v>
      </c>
      <c r="AL591">
        <v>83.227549900663504</v>
      </c>
      <c r="AM591">
        <v>87.704839347837094</v>
      </c>
      <c r="AN591">
        <v>0.99999999489265001</v>
      </c>
    </row>
    <row r="592" spans="1:40" x14ac:dyDescent="0.25">
      <c r="A592" t="str">
        <f>"20190312164004788"</f>
        <v>20190312164004788</v>
      </c>
      <c r="B592" t="str">
        <f>"1552380004776888"</f>
        <v>1552380004776888</v>
      </c>
      <c r="C592" t="s">
        <v>40</v>
      </c>
      <c r="D592">
        <v>4.9751909999999997</v>
      </c>
      <c r="E592">
        <v>0.51609389999999999</v>
      </c>
      <c r="F592" t="s">
        <v>42</v>
      </c>
      <c r="G592">
        <v>-376.94729999999998</v>
      </c>
      <c r="H592">
        <v>1.00774599999999</v>
      </c>
      <c r="I592">
        <v>368.21319999999997</v>
      </c>
      <c r="J592">
        <v>-377.5138</v>
      </c>
      <c r="K592">
        <v>1.110266</v>
      </c>
      <c r="L592">
        <v>368.26389999999998</v>
      </c>
      <c r="M592">
        <v>0.99989589999999995</v>
      </c>
      <c r="N592">
        <v>0</v>
      </c>
      <c r="O592">
        <v>-2.1038229999999999E-3</v>
      </c>
      <c r="P592">
        <v>0.99376169999999997</v>
      </c>
      <c r="Q592">
        <v>0.103439</v>
      </c>
      <c r="R592">
        <v>-4.169283E-2</v>
      </c>
      <c r="S592">
        <v>3.0495909999999999</v>
      </c>
      <c r="T592">
        <v>-0.36724210000000002</v>
      </c>
      <c r="U592">
        <v>-0.18298339999999999</v>
      </c>
      <c r="V592">
        <v>3.9613330000000002E-2</v>
      </c>
      <c r="W592">
        <v>0.1176244</v>
      </c>
      <c r="X592">
        <v>0.99226769999999997</v>
      </c>
      <c r="Y592">
        <v>5.7396450000000002E-2</v>
      </c>
      <c r="Z592">
        <v>-3.1882030000000001E-3</v>
      </c>
      <c r="AA592">
        <v>0.99834639999999997</v>
      </c>
      <c r="AB592">
        <v>30</v>
      </c>
      <c r="AC592">
        <v>0.56650000000001899</v>
      </c>
      <c r="AD592">
        <v>-0.10252</v>
      </c>
      <c r="AE592">
        <v>-5.0700000000006101E-2</v>
      </c>
      <c r="AF592">
        <v>4.7950043137323803E-2</v>
      </c>
      <c r="AG592">
        <v>-0.10252</v>
      </c>
      <c r="AH592">
        <v>0.54877558120442704</v>
      </c>
      <c r="AI592">
        <v>100.542523188206</v>
      </c>
      <c r="AJ592">
        <v>85.006382553532006</v>
      </c>
      <c r="AK592">
        <v>0.56032508025531702</v>
      </c>
      <c r="AL592">
        <v>83.244979975166103</v>
      </c>
      <c r="AM592">
        <v>87.713850814489007</v>
      </c>
      <c r="AN592">
        <v>0.99999995192616797</v>
      </c>
    </row>
    <row r="593" spans="1:40" x14ac:dyDescent="0.25">
      <c r="A593" t="str">
        <f>"20190312164004800"</f>
        <v>20190312164004800</v>
      </c>
      <c r="B593" t="str">
        <f>"1552380004797384"</f>
        <v>1552380004797384</v>
      </c>
      <c r="C593" t="s">
        <v>40</v>
      </c>
      <c r="D593">
        <v>4.9061209999999997</v>
      </c>
      <c r="E593">
        <v>0.51541409999999999</v>
      </c>
      <c r="F593" t="s">
        <v>42</v>
      </c>
      <c r="G593">
        <v>-376.69799999999998</v>
      </c>
      <c r="H593">
        <v>0.96321270000000003</v>
      </c>
      <c r="I593">
        <v>368.20839999999998</v>
      </c>
      <c r="J593">
        <v>-377.36</v>
      </c>
      <c r="K593">
        <v>1.1102590000000001</v>
      </c>
      <c r="L593">
        <v>368.2636</v>
      </c>
      <c r="M593">
        <v>0.9998958</v>
      </c>
      <c r="N593">
        <v>0</v>
      </c>
      <c r="O593">
        <v>-2.1156030000000002E-3</v>
      </c>
      <c r="P593">
        <v>0.99377760000000004</v>
      </c>
      <c r="Q593">
        <v>0.1032926</v>
      </c>
      <c r="R593">
        <v>-4.1674280000000001E-2</v>
      </c>
      <c r="S593">
        <v>3.0676269999999999</v>
      </c>
      <c r="T593">
        <v>-0.55298340000000001</v>
      </c>
      <c r="U593">
        <v>-0.2086182</v>
      </c>
      <c r="V593">
        <v>3.9582859999999997E-2</v>
      </c>
      <c r="W593">
        <v>0.1174767</v>
      </c>
      <c r="X593">
        <v>0.99228640000000001</v>
      </c>
      <c r="Y593">
        <v>6.4733949999999998E-2</v>
      </c>
      <c r="Z593">
        <v>-5.4035209999999997E-3</v>
      </c>
      <c r="AA593">
        <v>0.99788790000000005</v>
      </c>
      <c r="AB593">
        <v>30</v>
      </c>
      <c r="AC593">
        <v>0.66199999999997705</v>
      </c>
      <c r="AD593">
        <v>-0.14704629999999999</v>
      </c>
      <c r="AE593">
        <v>-5.5200000000013398E-2</v>
      </c>
      <c r="AF593">
        <v>5.1286253184928202E-2</v>
      </c>
      <c r="AG593">
        <v>-0.14704629999999999</v>
      </c>
      <c r="AH593">
        <v>0.631188023143465</v>
      </c>
      <c r="AI593">
        <v>103.07254692978</v>
      </c>
      <c r="AJ593">
        <v>85.354720807848906</v>
      </c>
      <c r="AK593">
        <v>0.65011630857039204</v>
      </c>
      <c r="AL593">
        <v>83.253501554404806</v>
      </c>
      <c r="AM593">
        <v>87.715650428283396</v>
      </c>
      <c r="AN593">
        <v>0.99999993873681203</v>
      </c>
    </row>
    <row r="594" spans="1:40" x14ac:dyDescent="0.25">
      <c r="A594" t="str">
        <f>"20190312164004813"</f>
        <v>20190312164004813</v>
      </c>
      <c r="B594" t="str">
        <f>"1552380004807144"</f>
        <v>1552380004807144</v>
      </c>
      <c r="C594" t="s">
        <v>40</v>
      </c>
      <c r="D594">
        <v>5.0565810000000004</v>
      </c>
      <c r="E594">
        <v>0.5159473</v>
      </c>
      <c r="F594" t="s">
        <v>42</v>
      </c>
      <c r="G594">
        <v>-376.43869999999998</v>
      </c>
      <c r="H594">
        <v>0.93952060000000004</v>
      </c>
      <c r="I594">
        <v>368.2029</v>
      </c>
      <c r="J594">
        <v>-377.18779999999998</v>
      </c>
      <c r="K594">
        <v>1.110257</v>
      </c>
      <c r="L594">
        <v>368.26319999999998</v>
      </c>
      <c r="M594">
        <v>0.99989570000000005</v>
      </c>
      <c r="N594">
        <v>0</v>
      </c>
      <c r="O594">
        <v>-2.1294059999999999E-3</v>
      </c>
      <c r="P594">
        <v>0.99379329999999999</v>
      </c>
      <c r="Q594">
        <v>0.10315729999999999</v>
      </c>
      <c r="R594">
        <v>-4.1634589999999999E-2</v>
      </c>
      <c r="S594">
        <v>3.0694270000000001</v>
      </c>
      <c r="T594">
        <v>-0.56882699999999997</v>
      </c>
      <c r="U594">
        <v>-0.2019958</v>
      </c>
      <c r="V594">
        <v>3.9529229999999999E-2</v>
      </c>
      <c r="W594">
        <v>0.11734029999999999</v>
      </c>
      <c r="X594">
        <v>0.99230469999999904</v>
      </c>
      <c r="Y594">
        <v>6.2517959999999997E-2</v>
      </c>
      <c r="Z594">
        <v>-5.347058E-3</v>
      </c>
      <c r="AA594">
        <v>0.99802950000000001</v>
      </c>
      <c r="AB594">
        <v>30</v>
      </c>
      <c r="AC594">
        <v>0.74909999999999799</v>
      </c>
      <c r="AD594">
        <v>-0.17073640000000001</v>
      </c>
      <c r="AE594">
        <v>-6.0299999999983797E-2</v>
      </c>
      <c r="AF594">
        <v>5.5823298034227899E-2</v>
      </c>
      <c r="AG594">
        <v>-0.17073640000000001</v>
      </c>
      <c r="AH594">
        <v>0.71245410242672502</v>
      </c>
      <c r="AI594">
        <v>103.436842027079</v>
      </c>
      <c r="AJ594">
        <v>85.519826467306103</v>
      </c>
      <c r="AK594">
        <v>0.73475030245182504</v>
      </c>
      <c r="AL594">
        <v>83.261371283889105</v>
      </c>
      <c r="AM594">
        <v>87.718784200547304</v>
      </c>
      <c r="AN594">
        <v>0.99999996183528495</v>
      </c>
    </row>
    <row r="595" spans="1:40" x14ac:dyDescent="0.25">
      <c r="A595" t="str">
        <f>"20190312164004824"</f>
        <v>20190312164004824</v>
      </c>
      <c r="B595" t="str">
        <f>"1552380004816904"</f>
        <v>1552380004816904</v>
      </c>
      <c r="C595" t="s">
        <v>40</v>
      </c>
      <c r="D595">
        <v>5.218159</v>
      </c>
      <c r="E595">
        <v>0.51633030000000002</v>
      </c>
      <c r="F595" t="s">
        <v>42</v>
      </c>
      <c r="G595">
        <v>-376.42430000000002</v>
      </c>
      <c r="H595">
        <v>0.9683387</v>
      </c>
      <c r="I595">
        <v>368.21170000000001</v>
      </c>
      <c r="J595">
        <v>-377.02789999999999</v>
      </c>
      <c r="K595">
        <v>1.110257</v>
      </c>
      <c r="L595">
        <v>368.2629</v>
      </c>
      <c r="M595">
        <v>0.99989570000000005</v>
      </c>
      <c r="N595">
        <v>0</v>
      </c>
      <c r="O595">
        <v>-2.1423800000000002E-3</v>
      </c>
      <c r="P595">
        <v>0.99381050000000004</v>
      </c>
      <c r="Q595">
        <v>0.1030562</v>
      </c>
      <c r="R595">
        <v>-4.1474669999999998E-2</v>
      </c>
      <c r="S595">
        <v>3.0693049999999999</v>
      </c>
      <c r="T595">
        <v>-0.57056189999999996</v>
      </c>
      <c r="U595">
        <v>-0.2064819</v>
      </c>
      <c r="V595">
        <v>3.9356389999999998E-2</v>
      </c>
      <c r="W595">
        <v>0.11723799999999999</v>
      </c>
      <c r="X595">
        <v>0.99232370000000003</v>
      </c>
      <c r="Y595">
        <v>6.3929819999999998E-2</v>
      </c>
      <c r="Z595">
        <v>-5.4906290000000003E-3</v>
      </c>
      <c r="AA595">
        <v>0.99793929999999997</v>
      </c>
      <c r="AB595">
        <v>30</v>
      </c>
      <c r="AC595">
        <v>0.60359999999997105</v>
      </c>
      <c r="AD595">
        <v>-0.1419183</v>
      </c>
      <c r="AE595">
        <v>-5.1199999999994299E-2</v>
      </c>
      <c r="AF595">
        <v>4.7309938075363697E-2</v>
      </c>
      <c r="AG595">
        <v>-0.1419183</v>
      </c>
      <c r="AH595">
        <v>0.57229699695236003</v>
      </c>
      <c r="AI595">
        <v>103.881759560059</v>
      </c>
      <c r="AJ595">
        <v>85.274288884708398</v>
      </c>
      <c r="AK595">
        <v>0.59152589701235803</v>
      </c>
      <c r="AL595">
        <v>83.267273636754993</v>
      </c>
      <c r="AM595">
        <v>87.728791699880006</v>
      </c>
      <c r="AN595">
        <v>0.99999999982976095</v>
      </c>
    </row>
    <row r="596" spans="1:40" x14ac:dyDescent="0.25">
      <c r="A596" t="str">
        <f>"20190312164004836"</f>
        <v>20190312164004836</v>
      </c>
      <c r="B596" t="str">
        <f>"1552380004826664"</f>
        <v>1552380004826664</v>
      </c>
      <c r="C596" t="s">
        <v>40</v>
      </c>
      <c r="D596">
        <v>5.0671330000000001</v>
      </c>
      <c r="E596">
        <v>0.51660529999999905</v>
      </c>
      <c r="F596" t="s">
        <v>42</v>
      </c>
      <c r="G596">
        <v>-376.1619</v>
      </c>
      <c r="H596">
        <v>0.95176910000000003</v>
      </c>
      <c r="I596">
        <v>368.20359999999999</v>
      </c>
      <c r="J596">
        <v>-376.86340000000001</v>
      </c>
      <c r="K596">
        <v>1.1102529999999999</v>
      </c>
      <c r="L596">
        <v>368.26249999999999</v>
      </c>
      <c r="M596">
        <v>0.99989570000000005</v>
      </c>
      <c r="N596">
        <v>0</v>
      </c>
      <c r="O596">
        <v>-2.1555950000000002E-3</v>
      </c>
      <c r="P596">
        <v>0.99382029999999999</v>
      </c>
      <c r="Q596">
        <v>0.1029747</v>
      </c>
      <c r="R596">
        <v>-4.1446360000000002E-2</v>
      </c>
      <c r="S596">
        <v>3.068146</v>
      </c>
      <c r="T596">
        <v>-0.56147910000000001</v>
      </c>
      <c r="U596">
        <v>-0.2096558</v>
      </c>
      <c r="V596">
        <v>3.931465E-2</v>
      </c>
      <c r="W596">
        <v>0.1171551</v>
      </c>
      <c r="X596">
        <v>0.99233510000000003</v>
      </c>
      <c r="Y596">
        <v>6.4984550000000002E-2</v>
      </c>
      <c r="Z596">
        <v>-5.499688E-3</v>
      </c>
      <c r="AA596">
        <v>0.99787110000000001</v>
      </c>
      <c r="AB596">
        <v>30</v>
      </c>
      <c r="AC596">
        <v>0.70150000000001</v>
      </c>
      <c r="AD596">
        <v>-0.15848390000000001</v>
      </c>
      <c r="AE596">
        <v>-5.8899999999994103E-2</v>
      </c>
      <c r="AF596">
        <v>5.4619279258446098E-2</v>
      </c>
      <c r="AG596">
        <v>-0.15848390000000001</v>
      </c>
      <c r="AH596">
        <v>0.66778011538625603</v>
      </c>
      <c r="AI596">
        <v>103.308116567708</v>
      </c>
      <c r="AJ596">
        <v>85.324054543646497</v>
      </c>
      <c r="AK596">
        <v>0.68849887053734804</v>
      </c>
      <c r="AL596">
        <v>83.272056112753802</v>
      </c>
      <c r="AM596">
        <v>87.731223981716894</v>
      </c>
      <c r="AN596">
        <v>0.99999995492631999</v>
      </c>
    </row>
    <row r="597" spans="1:40" x14ac:dyDescent="0.25">
      <c r="A597" t="str">
        <f>"20190312164004848"</f>
        <v>20190312164004848</v>
      </c>
      <c r="B597" t="str">
        <f>"1552380004837401"</f>
        <v>1552380004837401</v>
      </c>
      <c r="C597" t="s">
        <v>40</v>
      </c>
      <c r="D597">
        <v>5.0559760000000002</v>
      </c>
      <c r="E597">
        <v>0.51688389999999995</v>
      </c>
      <c r="F597" t="s">
        <v>42</v>
      </c>
      <c r="G597">
        <v>-376.14749999999998</v>
      </c>
      <c r="H597">
        <v>0.98056520000000003</v>
      </c>
      <c r="I597">
        <v>368.21289999999999</v>
      </c>
      <c r="J597">
        <v>-376.70839999999998</v>
      </c>
      <c r="K597">
        <v>1.110252</v>
      </c>
      <c r="L597">
        <v>368.26209999999998</v>
      </c>
      <c r="M597">
        <v>0.9998958</v>
      </c>
      <c r="N597">
        <v>0</v>
      </c>
      <c r="O597">
        <v>-2.168335E-3</v>
      </c>
      <c r="P597">
        <v>0.99381299999999995</v>
      </c>
      <c r="Q597">
        <v>0.1031246</v>
      </c>
      <c r="R597">
        <v>-4.1248439999999997E-2</v>
      </c>
      <c r="S597">
        <v>3.067383</v>
      </c>
      <c r="T597">
        <v>-0.55565889999999996</v>
      </c>
      <c r="U597">
        <v>-0.2121277</v>
      </c>
      <c r="V597">
        <v>3.9104109999999997E-2</v>
      </c>
      <c r="W597">
        <v>0.1173038</v>
      </c>
      <c r="X597">
        <v>0.99232589999999998</v>
      </c>
      <c r="Y597">
        <v>6.5796939999999998E-2</v>
      </c>
      <c r="Z597">
        <v>-5.5153930000000004E-3</v>
      </c>
      <c r="AA597">
        <v>0.99781779999999998</v>
      </c>
      <c r="AB597">
        <v>30</v>
      </c>
      <c r="AC597">
        <v>0.56090000000000295</v>
      </c>
      <c r="AD597">
        <v>-0.12968679999999999</v>
      </c>
      <c r="AE597">
        <v>-4.9199999999984798E-2</v>
      </c>
      <c r="AF597">
        <v>4.5566217041972397E-2</v>
      </c>
      <c r="AG597">
        <v>-0.12968679999999999</v>
      </c>
      <c r="AH597">
        <v>0.53274293495067204</v>
      </c>
      <c r="AI597">
        <v>103.63361919432199</v>
      </c>
      <c r="AJ597">
        <v>85.111313282710896</v>
      </c>
      <c r="AK597">
        <v>0.550190858675071</v>
      </c>
      <c r="AL597">
        <v>83.263477397287701</v>
      </c>
      <c r="AM597">
        <v>87.743340362446403</v>
      </c>
      <c r="AN597">
        <v>1.0000000023620701</v>
      </c>
    </row>
    <row r="598" spans="1:40" x14ac:dyDescent="0.25">
      <c r="A598" t="str">
        <f>"20190312164004866"</f>
        <v>20190312164004866</v>
      </c>
      <c r="B598" t="str">
        <f>"1552380004856923"</f>
        <v>1552380004856923</v>
      </c>
      <c r="C598" t="s">
        <v>40</v>
      </c>
      <c r="D598">
        <v>5.0574680000000001</v>
      </c>
      <c r="E598">
        <v>0.51690670000000005</v>
      </c>
      <c r="F598" t="s">
        <v>42</v>
      </c>
      <c r="G598">
        <v>-375.8861</v>
      </c>
      <c r="H598">
        <v>0.96264740000000004</v>
      </c>
      <c r="I598">
        <v>368.20460000000003</v>
      </c>
      <c r="J598">
        <v>-376.4606</v>
      </c>
      <c r="K598">
        <v>1.1102609999999999</v>
      </c>
      <c r="L598">
        <v>368.26159999999999</v>
      </c>
      <c r="M598">
        <v>0.9998958</v>
      </c>
      <c r="N598">
        <v>0</v>
      </c>
      <c r="O598">
        <v>-2.188817E-3</v>
      </c>
      <c r="P598">
        <v>0.99381660000000005</v>
      </c>
      <c r="Q598">
        <v>0.103109199999999</v>
      </c>
      <c r="R598">
        <v>-4.1199350000000003E-2</v>
      </c>
      <c r="S598">
        <v>3.0668639999999998</v>
      </c>
      <c r="T598">
        <v>-0.55048330000000001</v>
      </c>
      <c r="U598">
        <v>-0.21426390000000001</v>
      </c>
      <c r="V598">
        <v>3.9034619999999999E-2</v>
      </c>
      <c r="W598">
        <v>0.1172858</v>
      </c>
      <c r="X598">
        <v>0.99233070000000001</v>
      </c>
      <c r="Y598">
        <v>6.6487820000000003E-2</v>
      </c>
      <c r="Z598">
        <v>-5.5234059999999998E-3</v>
      </c>
      <c r="AA598">
        <v>0.99777199999999999</v>
      </c>
      <c r="AB598">
        <v>30</v>
      </c>
      <c r="AC598">
        <v>0.57450000000000001</v>
      </c>
      <c r="AD598">
        <v>-0.14761360000000001</v>
      </c>
      <c r="AE598">
        <v>-5.69999999999595E-2</v>
      </c>
      <c r="AF598">
        <v>5.2321677550842403E-2</v>
      </c>
      <c r="AG598">
        <v>-0.14761360000000001</v>
      </c>
      <c r="AH598">
        <v>0.53936205970628304</v>
      </c>
      <c r="AI598">
        <v>105.237831802136</v>
      </c>
      <c r="AJ598">
        <v>84.459267997047903</v>
      </c>
      <c r="AK598">
        <v>0.56163935429891199</v>
      </c>
      <c r="AL598">
        <v>83.264515463173197</v>
      </c>
      <c r="AM598">
        <v>87.747357311974</v>
      </c>
      <c r="AN598">
        <v>0.99999993930133502</v>
      </c>
    </row>
    <row r="599" spans="1:40" x14ac:dyDescent="0.25">
      <c r="A599" t="str">
        <f>"20190312164004877"</f>
        <v>20190312164004877</v>
      </c>
      <c r="B599" t="str">
        <f>"1552380004866679"</f>
        <v>1552380004866679</v>
      </c>
      <c r="C599" t="s">
        <v>40</v>
      </c>
      <c r="D599">
        <v>5.0573489999999897</v>
      </c>
      <c r="E599">
        <v>0.51690820000000004</v>
      </c>
      <c r="F599" t="s">
        <v>42</v>
      </c>
      <c r="G599">
        <v>-375.61649999999997</v>
      </c>
      <c r="H599">
        <v>0.96163010000000004</v>
      </c>
      <c r="I599">
        <v>368.2022</v>
      </c>
      <c r="J599">
        <v>-376.30759999999998</v>
      </c>
      <c r="K599">
        <v>1.110263</v>
      </c>
      <c r="L599">
        <v>368.26130000000001</v>
      </c>
      <c r="M599">
        <v>0.99989570000000005</v>
      </c>
      <c r="N599">
        <v>0</v>
      </c>
      <c r="O599">
        <v>-2.2014399999999998E-3</v>
      </c>
      <c r="P599">
        <v>0.99383580000000005</v>
      </c>
      <c r="Q599">
        <v>0.103044899999999</v>
      </c>
      <c r="R599">
        <v>-4.08911E-2</v>
      </c>
      <c r="S599">
        <v>3.0657350000000001</v>
      </c>
      <c r="T599">
        <v>-0.53993840000000004</v>
      </c>
      <c r="U599">
        <v>-0.21502689999999999</v>
      </c>
      <c r="V599">
        <v>3.8713780000000003E-2</v>
      </c>
      <c r="W599">
        <v>0.11722050000000001</v>
      </c>
      <c r="X599">
        <v>0.99235110000000004</v>
      </c>
      <c r="Y599">
        <v>6.6781380000000001E-2</v>
      </c>
      <c r="Z599">
        <v>-5.4445450000000003E-3</v>
      </c>
      <c r="AA599">
        <v>0.9977528</v>
      </c>
      <c r="AB599">
        <v>30</v>
      </c>
      <c r="AC599">
        <v>0.69110000000000504</v>
      </c>
      <c r="AD599">
        <v>-0.14863290000000001</v>
      </c>
      <c r="AE599">
        <v>-5.9100000000000798E-2</v>
      </c>
      <c r="AF599">
        <v>5.5050474611990197E-2</v>
      </c>
      <c r="AG599">
        <v>-0.14863290000000001</v>
      </c>
      <c r="AH599">
        <v>0.660882011999122</v>
      </c>
      <c r="AI599">
        <v>102.632634365233</v>
      </c>
      <c r="AJ599">
        <v>85.238340841521307</v>
      </c>
      <c r="AK599">
        <v>0.67962293038229804</v>
      </c>
      <c r="AL599">
        <v>83.268283640996003</v>
      </c>
      <c r="AM599">
        <v>87.765899658043296</v>
      </c>
      <c r="AN599">
        <v>1.00000005402667</v>
      </c>
    </row>
    <row r="600" spans="1:40" x14ac:dyDescent="0.25">
      <c r="A600" t="str">
        <f>"20190312164004890"</f>
        <v>20190312164004890</v>
      </c>
      <c r="B600" t="str">
        <f>"1552380004877418"</f>
        <v>1552380004877418</v>
      </c>
      <c r="C600" t="s">
        <v>40</v>
      </c>
      <c r="D600">
        <v>5.0454410000000003</v>
      </c>
      <c r="E600">
        <v>0.51689189999999996</v>
      </c>
      <c r="F600" t="s">
        <v>42</v>
      </c>
      <c r="G600">
        <v>-375.60379999999998</v>
      </c>
      <c r="H600">
        <v>0.98715830000000004</v>
      </c>
      <c r="I600">
        <v>368.21190000000001</v>
      </c>
      <c r="J600">
        <v>-376.14859999999999</v>
      </c>
      <c r="K600">
        <v>1.1102639999999999</v>
      </c>
      <c r="L600">
        <v>368.26089999999999</v>
      </c>
      <c r="M600">
        <v>0.99989570000000005</v>
      </c>
      <c r="N600">
        <v>0</v>
      </c>
      <c r="O600">
        <v>-2.2145440000000001E-3</v>
      </c>
      <c r="P600">
        <v>0.99382389999999998</v>
      </c>
      <c r="Q600">
        <v>0.10322629999999999</v>
      </c>
      <c r="R600">
        <v>-4.0725940000000002E-2</v>
      </c>
      <c r="S600">
        <v>3.065369</v>
      </c>
      <c r="T600">
        <v>-0.53625269999999903</v>
      </c>
      <c r="U600">
        <v>-0.2145386</v>
      </c>
      <c r="V600">
        <v>3.8535479999999997E-2</v>
      </c>
      <c r="W600">
        <v>0.1174004</v>
      </c>
      <c r="X600">
        <v>0.99233669999999996</v>
      </c>
      <c r="Y600">
        <v>6.6634009999999994E-2</v>
      </c>
      <c r="Z600">
        <v>-5.3935500000000004E-3</v>
      </c>
      <c r="AA600">
        <v>0.99776290000000001</v>
      </c>
      <c r="AB600">
        <v>30</v>
      </c>
      <c r="AC600">
        <v>0.54480000000000905</v>
      </c>
      <c r="AD600">
        <v>-0.123105699999999</v>
      </c>
      <c r="AE600">
        <v>-4.8999999999978103E-2</v>
      </c>
      <c r="AF600">
        <v>4.5489224939595202E-2</v>
      </c>
      <c r="AG600">
        <v>-0.123105699999999</v>
      </c>
      <c r="AH600">
        <v>0.51863795638052401</v>
      </c>
      <c r="AI600">
        <v>103.303565507415</v>
      </c>
      <c r="AJ600">
        <v>84.987470862494703</v>
      </c>
      <c r="AK600">
        <v>0.53498561920547105</v>
      </c>
      <c r="AL600">
        <v>83.257903975417605</v>
      </c>
      <c r="AM600">
        <v>87.776146427619295</v>
      </c>
      <c r="AN600">
        <v>0.99999998165293902</v>
      </c>
    </row>
    <row r="601" spans="1:40" x14ac:dyDescent="0.25">
      <c r="A601" t="str">
        <f>"20190312164004901"</f>
        <v>20190312164004901</v>
      </c>
      <c r="B601" t="str">
        <f>"1552380004896936"</f>
        <v>1552380004896936</v>
      </c>
      <c r="C601" t="s">
        <v>40</v>
      </c>
      <c r="D601">
        <v>5.0550560000000004</v>
      </c>
      <c r="E601">
        <v>0.5169241</v>
      </c>
      <c r="F601" t="s">
        <v>42</v>
      </c>
      <c r="G601">
        <v>-375.3426</v>
      </c>
      <c r="H601">
        <v>0.97003139999999999</v>
      </c>
      <c r="I601">
        <v>368.20429999999999</v>
      </c>
      <c r="J601">
        <v>-375.99189999999999</v>
      </c>
      <c r="K601">
        <v>1.1102609999999999</v>
      </c>
      <c r="L601">
        <v>368.26060000000001</v>
      </c>
      <c r="M601">
        <v>0.9998958</v>
      </c>
      <c r="N601">
        <v>0</v>
      </c>
      <c r="O601">
        <v>-2.227527E-3</v>
      </c>
      <c r="P601">
        <v>0.99382110000000001</v>
      </c>
      <c r="Q601">
        <v>0.1033723</v>
      </c>
      <c r="R601">
        <v>-4.0426200000000002E-2</v>
      </c>
      <c r="S601">
        <v>3.065277</v>
      </c>
      <c r="T601">
        <v>-0.53341939999999999</v>
      </c>
      <c r="U601">
        <v>-0.21374509999999999</v>
      </c>
      <c r="V601">
        <v>3.8222810000000003E-2</v>
      </c>
      <c r="W601">
        <v>0.11754489999999899</v>
      </c>
      <c r="X601">
        <v>0.99233170000000004</v>
      </c>
      <c r="Y601">
        <v>6.63802E-2</v>
      </c>
      <c r="Z601">
        <v>-5.3415470000000003E-3</v>
      </c>
      <c r="AA601">
        <v>0.99778009999999995</v>
      </c>
      <c r="AB601">
        <v>30</v>
      </c>
      <c r="AC601">
        <v>0.649299999999982</v>
      </c>
      <c r="AD601">
        <v>-0.14022960000000001</v>
      </c>
      <c r="AE601">
        <v>-5.63000000000215E-2</v>
      </c>
      <c r="AF601">
        <v>5.2426296086385701E-2</v>
      </c>
      <c r="AG601">
        <v>-0.14022960000000001</v>
      </c>
      <c r="AH601">
        <v>0.62068891822204497</v>
      </c>
      <c r="AI601">
        <v>102.687151779991</v>
      </c>
      <c r="AJ601">
        <v>85.171989538682894</v>
      </c>
      <c r="AK601">
        <v>0.63848852021093505</v>
      </c>
      <c r="AL601">
        <v>83.249567099935106</v>
      </c>
      <c r="AM601">
        <v>87.794161377844105</v>
      </c>
      <c r="AN601">
        <v>0.99999999477259804</v>
      </c>
    </row>
    <row r="602" spans="1:40" x14ac:dyDescent="0.25">
      <c r="A602" t="str">
        <f>"20190312164004913"</f>
        <v>20190312164004913</v>
      </c>
      <c r="B602" t="str">
        <f>"1552380004906696"</f>
        <v>1552380004906696</v>
      </c>
      <c r="C602" t="s">
        <v>40</v>
      </c>
      <c r="D602">
        <v>5.7437500000000004</v>
      </c>
      <c r="E602">
        <v>0.5169241</v>
      </c>
      <c r="F602" t="s">
        <v>42</v>
      </c>
      <c r="G602">
        <v>-375.08260000000001</v>
      </c>
      <c r="H602">
        <v>0.95093439999999996</v>
      </c>
      <c r="I602">
        <v>368.19709999999998</v>
      </c>
      <c r="J602">
        <v>-375.82440000000003</v>
      </c>
      <c r="K602">
        <v>1.1102620000000001</v>
      </c>
      <c r="L602">
        <v>368.2602</v>
      </c>
      <c r="M602">
        <v>0.99989570000000005</v>
      </c>
      <c r="N602">
        <v>0</v>
      </c>
      <c r="O602">
        <v>-2.241697E-3</v>
      </c>
      <c r="P602">
        <v>0.993834</v>
      </c>
      <c r="Q602">
        <v>0.10331899999999999</v>
      </c>
      <c r="R602">
        <v>-4.0239009999999999E-2</v>
      </c>
      <c r="S602">
        <v>3.0658259999999999</v>
      </c>
      <c r="T602">
        <v>-0.537269</v>
      </c>
      <c r="U602">
        <v>-0.21328739999999999</v>
      </c>
      <c r="V602">
        <v>3.8021590000000001E-2</v>
      </c>
      <c r="W602">
        <v>0.11748989999999999</v>
      </c>
      <c r="X602">
        <v>0.9923459</v>
      </c>
      <c r="Y602">
        <v>6.6194950000000002E-2</v>
      </c>
      <c r="Z602">
        <v>-5.3600499999999999E-3</v>
      </c>
      <c r="AA602">
        <v>0.99779229999999997</v>
      </c>
      <c r="AB602">
        <v>30</v>
      </c>
      <c r="AC602">
        <v>0.74180000000001201</v>
      </c>
      <c r="AD602">
        <v>-0.15932760000000001</v>
      </c>
      <c r="AE602">
        <v>-6.3100000000019904E-2</v>
      </c>
      <c r="AF602">
        <v>5.8746135508614697E-2</v>
      </c>
      <c r="AG602">
        <v>-0.15932760000000001</v>
      </c>
      <c r="AH602">
        <v>0.70944609117108903</v>
      </c>
      <c r="AI602">
        <v>102.615703177076</v>
      </c>
      <c r="AJ602">
        <v>85.266385873996398</v>
      </c>
      <c r="AK602">
        <v>0.72948622251341699</v>
      </c>
      <c r="AL602">
        <v>83.252740063072096</v>
      </c>
      <c r="AM602">
        <v>87.805793772440893</v>
      </c>
      <c r="AN602">
        <v>0.99999995157747201</v>
      </c>
    </row>
    <row r="603" spans="1:40" x14ac:dyDescent="0.25">
      <c r="A603" t="str">
        <f>"20190312164004926"</f>
        <v>20190312164004926</v>
      </c>
      <c r="B603" t="str">
        <f>"1552380004916456"</f>
        <v>1552380004916456</v>
      </c>
      <c r="C603" t="s">
        <v>40</v>
      </c>
      <c r="D603">
        <v>5.6096760000000003</v>
      </c>
      <c r="E603">
        <v>0.53801849999999996</v>
      </c>
      <c r="F603" t="s">
        <v>42</v>
      </c>
      <c r="G603">
        <v>-375.06920000000002</v>
      </c>
      <c r="H603">
        <v>0.97789590000000004</v>
      </c>
      <c r="I603">
        <v>368.20760000000001</v>
      </c>
      <c r="J603">
        <v>-375.6558</v>
      </c>
      <c r="K603">
        <v>1.1102620000000001</v>
      </c>
      <c r="L603">
        <v>368.25970000000001</v>
      </c>
      <c r="M603">
        <v>0.9998956</v>
      </c>
      <c r="N603">
        <v>0</v>
      </c>
      <c r="O603">
        <v>-2.2558690000000002E-3</v>
      </c>
      <c r="P603">
        <v>0.99383350000000004</v>
      </c>
      <c r="Q603">
        <v>0.10331600000000001</v>
      </c>
      <c r="R603">
        <v>-4.025832E-2</v>
      </c>
      <c r="S603">
        <v>3.0658569999999998</v>
      </c>
      <c r="T603">
        <v>-0.53739669999999995</v>
      </c>
      <c r="U603">
        <v>-0.212616</v>
      </c>
      <c r="V603">
        <v>3.8026699999999997E-2</v>
      </c>
      <c r="W603">
        <v>0.117485199999999</v>
      </c>
      <c r="X603">
        <v>0.99234630000000001</v>
      </c>
      <c r="Y603">
        <v>6.5965889999999999E-2</v>
      </c>
      <c r="Z603">
        <v>-5.3389279999999997E-3</v>
      </c>
      <c r="AA603">
        <v>0.99780760000000002</v>
      </c>
      <c r="AB603">
        <v>30</v>
      </c>
      <c r="AC603">
        <v>0.58659999999997503</v>
      </c>
      <c r="AD603">
        <v>-0.13236609999999999</v>
      </c>
      <c r="AE603">
        <v>-5.2099999999995802E-2</v>
      </c>
      <c r="AF603">
        <v>4.8334611160673502E-2</v>
      </c>
      <c r="AG603">
        <v>-0.13236609999999999</v>
      </c>
      <c r="AH603">
        <v>0.55850099404119402</v>
      </c>
      <c r="AI603">
        <v>103.285340782335</v>
      </c>
      <c r="AJ603">
        <v>85.053748913815795</v>
      </c>
      <c r="AK603">
        <v>0.57600380155886599</v>
      </c>
      <c r="AL603">
        <v>83.253011495960394</v>
      </c>
      <c r="AM603">
        <v>87.805500048999704</v>
      </c>
      <c r="AN603">
        <v>0.99999999062780998</v>
      </c>
    </row>
    <row r="604" spans="1:40" x14ac:dyDescent="0.25">
      <c r="A604" t="str">
        <f>"20190312164004947"</f>
        <v>20190312164004947</v>
      </c>
      <c r="B604" t="str">
        <f>"1552380004936952"</f>
        <v>1552380004936952</v>
      </c>
      <c r="C604" t="s">
        <v>40</v>
      </c>
      <c r="D604">
        <v>5.602277</v>
      </c>
      <c r="E604">
        <v>0.54149060000000004</v>
      </c>
      <c r="F604" t="s">
        <v>42</v>
      </c>
      <c r="G604">
        <v>-374.80070000000001</v>
      </c>
      <c r="H604">
        <v>0.97611899999999996</v>
      </c>
      <c r="I604">
        <v>368.15190000000001</v>
      </c>
      <c r="J604">
        <v>-375.37529999999998</v>
      </c>
      <c r="K604">
        <v>1.1102609999999999</v>
      </c>
      <c r="L604">
        <v>368.25909999999999</v>
      </c>
      <c r="M604">
        <v>0.99989570000000005</v>
      </c>
      <c r="N604">
        <v>0</v>
      </c>
      <c r="O604">
        <v>-2.2800379999999999E-3</v>
      </c>
      <c r="P604">
        <v>0.99385789999999996</v>
      </c>
      <c r="Q604">
        <v>0.10322820000000001</v>
      </c>
      <c r="R604">
        <v>-3.9879980000000002E-2</v>
      </c>
      <c r="S604">
        <v>3.0528559999999998</v>
      </c>
      <c r="T604">
        <v>-0.47903420000000002</v>
      </c>
      <c r="U604">
        <v>-0.38430789999999998</v>
      </c>
      <c r="V604">
        <v>3.7624329999999997E-2</v>
      </c>
      <c r="W604">
        <v>0.11739429999999999</v>
      </c>
      <c r="X604">
        <v>0.99237240000000004</v>
      </c>
      <c r="Y604">
        <v>0.1212037</v>
      </c>
      <c r="Z604">
        <v>-9.0606950000000006E-3</v>
      </c>
      <c r="AA604">
        <v>0.99258630000000003</v>
      </c>
      <c r="AB604">
        <v>30</v>
      </c>
      <c r="AC604">
        <v>0.57459999999997502</v>
      </c>
      <c r="AD604">
        <v>-0.13414200000000001</v>
      </c>
      <c r="AE604">
        <v>-0.10719999999997699</v>
      </c>
      <c r="AF604">
        <v>0.10059161185738</v>
      </c>
      <c r="AG604">
        <v>-0.13414200000000001</v>
      </c>
      <c r="AH604">
        <v>0.54608238693785305</v>
      </c>
      <c r="AI604">
        <v>103.581289839856</v>
      </c>
      <c r="AJ604">
        <v>79.562779567096598</v>
      </c>
      <c r="AK604">
        <v>0.57124313725751596</v>
      </c>
      <c r="AL604">
        <v>83.258256011044097</v>
      </c>
      <c r="AM604">
        <v>87.8287553082275</v>
      </c>
      <c r="AN604">
        <v>0.99999999608109902</v>
      </c>
    </row>
    <row r="605" spans="1:40" x14ac:dyDescent="0.25">
      <c r="A605" t="str">
        <f>"20190312164004970"</f>
        <v>20190312164004970</v>
      </c>
      <c r="B605" t="str">
        <f>"1552380004956472"</f>
        <v>1552380004956472</v>
      </c>
      <c r="C605" t="s">
        <v>40</v>
      </c>
      <c r="D605">
        <v>5.2509829999999997</v>
      </c>
      <c r="E605">
        <v>0.54232630000000004</v>
      </c>
      <c r="F605" t="s">
        <v>42</v>
      </c>
      <c r="G605">
        <v>-374.53140000000002</v>
      </c>
      <c r="H605">
        <v>0.97685060000000001</v>
      </c>
      <c r="I605">
        <v>368.1454</v>
      </c>
      <c r="J605">
        <v>-375.08620000000002</v>
      </c>
      <c r="K605">
        <v>1.110268</v>
      </c>
      <c r="L605">
        <v>368.25839999999999</v>
      </c>
      <c r="M605">
        <v>0.9998958</v>
      </c>
      <c r="N605">
        <v>0</v>
      </c>
      <c r="O605">
        <v>-2.304909E-3</v>
      </c>
      <c r="P605">
        <v>0.99385159999999995</v>
      </c>
      <c r="Q605">
        <v>0.1034006</v>
      </c>
      <c r="R605">
        <v>-3.9591639999999997E-2</v>
      </c>
      <c r="S605">
        <v>3.052155</v>
      </c>
      <c r="T605">
        <v>-0.48262620000000001</v>
      </c>
      <c r="U605">
        <v>-0.41098020000000002</v>
      </c>
      <c r="V605">
        <v>3.731114E-2</v>
      </c>
      <c r="W605">
        <v>0.1175614</v>
      </c>
      <c r="X605">
        <v>0.99236449999999998</v>
      </c>
      <c r="Y605">
        <v>0.12960969999999999</v>
      </c>
      <c r="Z605">
        <v>-9.7785270000000004E-3</v>
      </c>
      <c r="AA605">
        <v>0.99151690000000003</v>
      </c>
      <c r="AB605">
        <v>30</v>
      </c>
      <c r="AC605">
        <v>0.55479999999999996</v>
      </c>
      <c r="AD605">
        <v>-0.13341739999999999</v>
      </c>
      <c r="AE605">
        <v>-0.112999999999999</v>
      </c>
      <c r="AF605">
        <v>0.105843690193065</v>
      </c>
      <c r="AG605">
        <v>-0.13341739999999999</v>
      </c>
      <c r="AH605">
        <v>0.52585991351699901</v>
      </c>
      <c r="AI605">
        <v>103.967446358603</v>
      </c>
      <c r="AJ605">
        <v>78.619712920653697</v>
      </c>
      <c r="AK605">
        <v>0.55274925420171495</v>
      </c>
      <c r="AL605">
        <v>83.248615509966697</v>
      </c>
      <c r="AM605">
        <v>87.846794833918494</v>
      </c>
      <c r="AN605">
        <v>1.0000000523991499</v>
      </c>
    </row>
    <row r="606" spans="1:40" x14ac:dyDescent="0.25">
      <c r="A606" t="str">
        <f>"20190312164004984"</f>
        <v>20190312164004984</v>
      </c>
      <c r="B606" t="str">
        <f>"1552380004976968"</f>
        <v>1552380004976968</v>
      </c>
      <c r="C606" t="s">
        <v>40</v>
      </c>
      <c r="D606">
        <v>5.2720419999999999</v>
      </c>
      <c r="E606">
        <v>0.54317839999999995</v>
      </c>
      <c r="F606" t="s">
        <v>42</v>
      </c>
      <c r="G606">
        <v>-374.26150000000001</v>
      </c>
      <c r="H606">
        <v>0.97970970000000002</v>
      </c>
      <c r="I606">
        <v>368.1456</v>
      </c>
      <c r="J606">
        <v>-374.87599999999998</v>
      </c>
      <c r="K606">
        <v>1.1102669999999999</v>
      </c>
      <c r="L606">
        <v>368.25790000000001</v>
      </c>
      <c r="M606">
        <v>0.9998958</v>
      </c>
      <c r="N606">
        <v>0</v>
      </c>
      <c r="O606">
        <v>-2.3229850000000001E-3</v>
      </c>
      <c r="P606">
        <v>0.9938439</v>
      </c>
      <c r="Q606">
        <v>0.1034804</v>
      </c>
      <c r="R606">
        <v>-3.9576970000000003E-2</v>
      </c>
      <c r="S606">
        <v>3.0522459999999998</v>
      </c>
      <c r="T606">
        <v>-0.48339260000000001</v>
      </c>
      <c r="U606">
        <v>-0.41711429999999999</v>
      </c>
      <c r="V606">
        <v>3.7278690000000003E-2</v>
      </c>
      <c r="W606">
        <v>0.1176348</v>
      </c>
      <c r="X606">
        <v>0.99235700000000004</v>
      </c>
      <c r="Y606">
        <v>0.13151679999999999</v>
      </c>
      <c r="Z606">
        <v>-9.9388540000000004E-3</v>
      </c>
      <c r="AA606">
        <v>0.99126409999999998</v>
      </c>
      <c r="AB606">
        <v>30</v>
      </c>
      <c r="AC606">
        <v>0.61449999999996396</v>
      </c>
      <c r="AD606">
        <v>-0.13055729999999999</v>
      </c>
      <c r="AE606">
        <v>-0.11230000000000399</v>
      </c>
      <c r="AF606">
        <v>0.106231783157112</v>
      </c>
      <c r="AG606">
        <v>-0.13055729999999999</v>
      </c>
      <c r="AH606">
        <v>0.58902991208041799</v>
      </c>
      <c r="AI606">
        <v>102.30512284644</v>
      </c>
      <c r="AJ606">
        <v>79.776580815156393</v>
      </c>
      <c r="AK606">
        <v>0.61260642966058998</v>
      </c>
      <c r="AL606">
        <v>83.244380471126604</v>
      </c>
      <c r="AM606">
        <v>87.848649501013796</v>
      </c>
      <c r="AN606">
        <v>1.00000003117407</v>
      </c>
    </row>
    <row r="607" spans="1:40" x14ac:dyDescent="0.25">
      <c r="A607" t="str">
        <f>"20190312164005001"</f>
        <v>20190312164005001</v>
      </c>
      <c r="B607" t="str">
        <f>"1552380004996489"</f>
        <v>1552380004996489</v>
      </c>
      <c r="C607" t="s">
        <v>40</v>
      </c>
      <c r="D607">
        <v>5.1787519999999896</v>
      </c>
      <c r="E607">
        <v>0.5435179</v>
      </c>
      <c r="F607" t="s">
        <v>42</v>
      </c>
      <c r="G607">
        <v>-373.99770000000001</v>
      </c>
      <c r="H607">
        <v>0.97030989999999995</v>
      </c>
      <c r="I607">
        <v>368.13589999999999</v>
      </c>
      <c r="J607">
        <v>-374.64780000000002</v>
      </c>
      <c r="K607">
        <v>1.1102650000000001</v>
      </c>
      <c r="L607">
        <v>368.25740000000002</v>
      </c>
      <c r="M607">
        <v>0.99989589999999995</v>
      </c>
      <c r="N607">
        <v>0</v>
      </c>
      <c r="O607">
        <v>-2.3417540000000001E-3</v>
      </c>
      <c r="P607">
        <v>0.99381609999999998</v>
      </c>
      <c r="Q607">
        <v>0.103795899999999</v>
      </c>
      <c r="R607">
        <v>-3.9449930000000001E-2</v>
      </c>
      <c r="S607">
        <v>3.052368</v>
      </c>
      <c r="T607">
        <v>-0.48637659999999999</v>
      </c>
      <c r="U607">
        <v>-0.42391970000000001</v>
      </c>
      <c r="V607">
        <v>3.7132970000000001E-2</v>
      </c>
      <c r="W607">
        <v>0.1179398</v>
      </c>
      <c r="X607">
        <v>0.99232629999999999</v>
      </c>
      <c r="Y607">
        <v>0.13361700000000001</v>
      </c>
      <c r="Z607">
        <v>-1.016012E-2</v>
      </c>
      <c r="AA607">
        <v>0.990981</v>
      </c>
      <c r="AB607">
        <v>30</v>
      </c>
      <c r="AC607">
        <v>0.650100000000009</v>
      </c>
      <c r="AD607">
        <v>-0.1399551</v>
      </c>
      <c r="AE607">
        <v>-0.121500000000025</v>
      </c>
      <c r="AF607">
        <v>0.114834581864146</v>
      </c>
      <c r="AG607">
        <v>-0.1399551</v>
      </c>
      <c r="AH607">
        <v>0.62250554115679602</v>
      </c>
      <c r="AI607">
        <v>102.46724909528</v>
      </c>
      <c r="AJ607">
        <v>79.548058842382005</v>
      </c>
      <c r="AK607">
        <v>0.64829588921945103</v>
      </c>
      <c r="AL607">
        <v>83.226783021188695</v>
      </c>
      <c r="AM607">
        <v>87.856984900486097</v>
      </c>
      <c r="AN607">
        <v>1.00000006977837</v>
      </c>
    </row>
    <row r="608" spans="1:40" x14ac:dyDescent="0.25">
      <c r="A608" t="str">
        <f>"20190312164005013"</f>
        <v>20190312164005013</v>
      </c>
      <c r="B608" t="str">
        <f>"1552380005007224"</f>
        <v>1552380005007224</v>
      </c>
      <c r="C608" t="s">
        <v>40</v>
      </c>
      <c r="D608">
        <v>5.2416159999999996</v>
      </c>
      <c r="E608">
        <v>0.54369719999999999</v>
      </c>
      <c r="F608" t="s">
        <v>42</v>
      </c>
      <c r="G608">
        <v>-373.73250000000002</v>
      </c>
      <c r="H608">
        <v>0.96432589999999996</v>
      </c>
      <c r="I608">
        <v>368.12939999999998</v>
      </c>
      <c r="J608">
        <v>-374.47980000000001</v>
      </c>
      <c r="K608">
        <v>1.110263</v>
      </c>
      <c r="L608">
        <v>368.25700000000001</v>
      </c>
      <c r="M608">
        <v>0.99989589999999995</v>
      </c>
      <c r="N608">
        <v>0</v>
      </c>
      <c r="O608">
        <v>-2.3558759999999998E-3</v>
      </c>
      <c r="P608">
        <v>0.99381169999999996</v>
      </c>
      <c r="Q608">
        <v>0.1038935</v>
      </c>
      <c r="R608">
        <v>-3.9300370000000001E-2</v>
      </c>
      <c r="S608">
        <v>3.0526430000000002</v>
      </c>
      <c r="T608">
        <v>-0.48689959999999999</v>
      </c>
      <c r="U608">
        <v>-0.42608639999999998</v>
      </c>
      <c r="V608">
        <v>3.6969389999999998E-2</v>
      </c>
      <c r="W608">
        <v>0.1180288</v>
      </c>
      <c r="X608">
        <v>0.99232169999999997</v>
      </c>
      <c r="Y608">
        <v>0.1342699</v>
      </c>
      <c r="Z608">
        <v>-1.0218799999999899E-2</v>
      </c>
      <c r="AA608">
        <v>0.99089210000000005</v>
      </c>
      <c r="AB608">
        <v>30</v>
      </c>
      <c r="AC608">
        <v>0.74729999999999497</v>
      </c>
      <c r="AD608">
        <v>-0.14593709999999999</v>
      </c>
      <c r="AE608">
        <v>-0.12759999999997201</v>
      </c>
      <c r="AF608">
        <v>0.121342433499183</v>
      </c>
      <c r="AG608">
        <v>-0.14593709999999999</v>
      </c>
      <c r="AH608">
        <v>0.72088530599604805</v>
      </c>
      <c r="AI608">
        <v>101.289720155618</v>
      </c>
      <c r="AJ608">
        <v>80.445300475298097</v>
      </c>
      <c r="AK608">
        <v>0.74545103643695498</v>
      </c>
      <c r="AL608">
        <v>83.221646979504897</v>
      </c>
      <c r="AM608">
        <v>87.866406791415798</v>
      </c>
      <c r="AN608">
        <v>0.99999994485864896</v>
      </c>
    </row>
    <row r="609" spans="1:40" x14ac:dyDescent="0.25">
      <c r="A609" t="str">
        <f>"20190312164005025"</f>
        <v>20190312164005025</v>
      </c>
      <c r="B609" t="str">
        <f>"1552380005016984"</f>
        <v>1552380005016984</v>
      </c>
      <c r="C609" t="s">
        <v>40</v>
      </c>
      <c r="D609">
        <v>5.1211270000000004</v>
      </c>
      <c r="E609">
        <v>0.54387719999999995</v>
      </c>
      <c r="F609" t="s">
        <v>42</v>
      </c>
      <c r="G609">
        <v>-373.72089999999997</v>
      </c>
      <c r="H609">
        <v>0.98889700000000003</v>
      </c>
      <c r="I609">
        <v>368.15050000000002</v>
      </c>
      <c r="J609">
        <v>-374.32029999999997</v>
      </c>
      <c r="K609">
        <v>1.1102609999999999</v>
      </c>
      <c r="L609">
        <v>368.25659999999999</v>
      </c>
      <c r="M609">
        <v>0.99989600000000001</v>
      </c>
      <c r="N609">
        <v>0</v>
      </c>
      <c r="O609">
        <v>-2.369641E-3</v>
      </c>
      <c r="P609">
        <v>0.99380029999999997</v>
      </c>
      <c r="Q609">
        <v>0.1039762</v>
      </c>
      <c r="R609">
        <v>-3.9369899999999999E-2</v>
      </c>
      <c r="S609">
        <v>3.0528559999999998</v>
      </c>
      <c r="T609">
        <v>-0.4884561</v>
      </c>
      <c r="U609">
        <v>-0.42733759999999998</v>
      </c>
      <c r="V609">
        <v>3.7025229999999999E-2</v>
      </c>
      <c r="W609">
        <v>0.1181027</v>
      </c>
      <c r="X609">
        <v>0.9923109</v>
      </c>
      <c r="Y609">
        <v>0.13463069999999999</v>
      </c>
      <c r="Z609">
        <v>-1.027644E-2</v>
      </c>
      <c r="AA609">
        <v>0.99084260000000002</v>
      </c>
      <c r="AB609">
        <v>30</v>
      </c>
      <c r="AC609">
        <v>0.59940000000000204</v>
      </c>
      <c r="AD609">
        <v>-0.121364</v>
      </c>
      <c r="AE609">
        <v>-0.106099999999969</v>
      </c>
      <c r="AF609">
        <v>0.100677181850494</v>
      </c>
      <c r="AG609">
        <v>-0.121364</v>
      </c>
      <c r="AH609">
        <v>0.576724417530177</v>
      </c>
      <c r="AI609">
        <v>101.711633547067</v>
      </c>
      <c r="AJ609">
        <v>80.097815556292502</v>
      </c>
      <c r="AK609">
        <v>0.59789310852097999</v>
      </c>
      <c r="AL609">
        <v>83.217383502020198</v>
      </c>
      <c r="AM609">
        <v>87.863163879800794</v>
      </c>
      <c r="AN609">
        <v>1.0000000188313201</v>
      </c>
    </row>
    <row r="610" spans="1:40" x14ac:dyDescent="0.25">
      <c r="A610" t="str">
        <f>"20190312164005038"</f>
        <v>20190312164005038</v>
      </c>
      <c r="B610" t="str">
        <f>"1552380005026745"</f>
        <v>1552380005026745</v>
      </c>
      <c r="C610" t="s">
        <v>40</v>
      </c>
      <c r="D610">
        <v>5.1854269999999998</v>
      </c>
      <c r="E610">
        <v>0.54415150000000001</v>
      </c>
      <c r="F610" t="s">
        <v>42</v>
      </c>
      <c r="G610">
        <v>-373.46080000000001</v>
      </c>
      <c r="H610">
        <v>0.97294510000000001</v>
      </c>
      <c r="I610">
        <v>368.13569999999999</v>
      </c>
      <c r="J610">
        <v>-374.15269999999998</v>
      </c>
      <c r="K610">
        <v>1.110266</v>
      </c>
      <c r="L610">
        <v>368.25619999999998</v>
      </c>
      <c r="M610">
        <v>0.99989620000000001</v>
      </c>
      <c r="N610">
        <v>0</v>
      </c>
      <c r="O610">
        <v>-2.3841140000000001E-3</v>
      </c>
      <c r="P610">
        <v>0.99382720000000002</v>
      </c>
      <c r="Q610">
        <v>0.10383879999999999</v>
      </c>
      <c r="R610">
        <v>-3.9053690000000002E-2</v>
      </c>
      <c r="S610">
        <v>3.0527039999999999</v>
      </c>
      <c r="T610">
        <v>-0.487763</v>
      </c>
      <c r="U610">
        <v>-0.42907709999999999</v>
      </c>
      <c r="V610">
        <v>3.6694690000000002E-2</v>
      </c>
      <c r="W610">
        <v>0.1179563</v>
      </c>
      <c r="X610">
        <v>0.99234060000000002</v>
      </c>
      <c r="Y610">
        <v>0.13517489999999999</v>
      </c>
      <c r="Z610">
        <v>-1.030286E-2</v>
      </c>
      <c r="AA610">
        <v>0.99076819999999999</v>
      </c>
      <c r="AB610">
        <v>30</v>
      </c>
      <c r="AC610">
        <v>0.69189999999997498</v>
      </c>
      <c r="AD610">
        <v>-0.1373209</v>
      </c>
      <c r="AE610">
        <v>-0.120499999999992</v>
      </c>
      <c r="AF610">
        <v>0.114473543105667</v>
      </c>
      <c r="AG610">
        <v>-0.1373209</v>
      </c>
      <c r="AH610">
        <v>0.66669718953953505</v>
      </c>
      <c r="AI610">
        <v>101.47518133558</v>
      </c>
      <c r="AJ610">
        <v>80.257177859616206</v>
      </c>
      <c r="AK610">
        <v>0.69025094290981603</v>
      </c>
      <c r="AL610">
        <v>83.225830709124594</v>
      </c>
      <c r="AM610">
        <v>87.882286203593694</v>
      </c>
      <c r="AN610">
        <v>1.0000000276961201</v>
      </c>
    </row>
    <row r="611" spans="1:40" x14ac:dyDescent="0.25">
      <c r="A611" t="str">
        <f>"20190312164005057"</f>
        <v>20190312164005057</v>
      </c>
      <c r="B611" t="str">
        <f>"1552380005047244"</f>
        <v>1552380005047244</v>
      </c>
      <c r="C611" t="s">
        <v>40</v>
      </c>
      <c r="D611">
        <v>4.9399459999999999</v>
      </c>
      <c r="E611">
        <v>0.54430979999999995</v>
      </c>
      <c r="F611" t="s">
        <v>42</v>
      </c>
      <c r="G611">
        <v>-373.20060000000001</v>
      </c>
      <c r="H611">
        <v>0.95750710000000006</v>
      </c>
      <c r="I611">
        <v>368.12169999999998</v>
      </c>
      <c r="J611">
        <v>-373.90030000000002</v>
      </c>
      <c r="K611">
        <v>1.11026</v>
      </c>
      <c r="L611">
        <v>368.25560000000002</v>
      </c>
      <c r="M611">
        <v>0.99989640000000002</v>
      </c>
      <c r="N611">
        <v>0</v>
      </c>
      <c r="O611">
        <v>-2.4053799999999999E-3</v>
      </c>
      <c r="P611">
        <v>0.99380869999999999</v>
      </c>
      <c r="Q611">
        <v>0.104077</v>
      </c>
      <c r="R611">
        <v>-3.888987E-2</v>
      </c>
      <c r="S611">
        <v>3.0528870000000001</v>
      </c>
      <c r="T611">
        <v>-0.48990699999999998</v>
      </c>
      <c r="U611">
        <v>-0.4303284</v>
      </c>
      <c r="V611">
        <v>3.6509600000000003E-2</v>
      </c>
      <c r="W611">
        <v>0.118168</v>
      </c>
      <c r="X611">
        <v>0.99232220000000004</v>
      </c>
      <c r="Y611">
        <v>0.13552549999999999</v>
      </c>
      <c r="Z611">
        <v>-1.0371129999999999E-2</v>
      </c>
      <c r="AA611">
        <v>0.99071960000000003</v>
      </c>
      <c r="AB611">
        <v>30</v>
      </c>
      <c r="AC611">
        <v>0.69970000000000698</v>
      </c>
      <c r="AD611">
        <v>-0.1527529</v>
      </c>
      <c r="AE611">
        <v>-0.13390000000003899</v>
      </c>
      <c r="AF611">
        <v>0.12640476323375499</v>
      </c>
      <c r="AG611">
        <v>-0.1527529</v>
      </c>
      <c r="AH611">
        <v>0.66925036839074903</v>
      </c>
      <c r="AI611">
        <v>102.641078422568</v>
      </c>
      <c r="AJ611">
        <v>79.304249368186404</v>
      </c>
      <c r="AK611">
        <v>0.69800262765819499</v>
      </c>
      <c r="AL611">
        <v>83.213615492547603</v>
      </c>
      <c r="AM611">
        <v>87.892919379705404</v>
      </c>
      <c r="AN611">
        <v>0.99999998786449995</v>
      </c>
    </row>
    <row r="612" spans="1:40" x14ac:dyDescent="0.25">
      <c r="A612" t="str">
        <f>"20190312164005069"</f>
        <v>20190312164005069</v>
      </c>
      <c r="B612" t="str">
        <f>"1552380005057001"</f>
        <v>1552380005057001</v>
      </c>
      <c r="C612" t="s">
        <v>40</v>
      </c>
      <c r="D612">
        <v>5.2199519999999904</v>
      </c>
      <c r="E612">
        <v>0.54444040000000005</v>
      </c>
      <c r="F612" t="s">
        <v>42</v>
      </c>
      <c r="G612">
        <v>-373.18290000000002</v>
      </c>
      <c r="H612">
        <v>0.99531939999999997</v>
      </c>
      <c r="I612">
        <v>368.154</v>
      </c>
      <c r="J612">
        <v>-373.73790000000002</v>
      </c>
      <c r="K612">
        <v>1.110252</v>
      </c>
      <c r="L612">
        <v>368.25510000000003</v>
      </c>
      <c r="M612">
        <v>0.99989689999999998</v>
      </c>
      <c r="N612">
        <v>0</v>
      </c>
      <c r="O612">
        <v>-2.4194820000000001E-3</v>
      </c>
      <c r="P612">
        <v>0.99378789999999995</v>
      </c>
      <c r="Q612">
        <v>0.1042559</v>
      </c>
      <c r="R612">
        <v>-3.8944390000000002E-2</v>
      </c>
      <c r="S612">
        <v>3.0530400000000002</v>
      </c>
      <c r="T612">
        <v>-0.48920989999999998</v>
      </c>
      <c r="U612">
        <v>-0.43099979999999899</v>
      </c>
      <c r="V612">
        <v>3.6550350000000002E-2</v>
      </c>
      <c r="W612">
        <v>0.1183181</v>
      </c>
      <c r="X612">
        <v>0.99230280000000004</v>
      </c>
      <c r="Y612">
        <v>0.13572100000000001</v>
      </c>
      <c r="Z612">
        <v>-1.0369150000000001E-2</v>
      </c>
      <c r="AA612">
        <v>0.99069289999999999</v>
      </c>
      <c r="AB612">
        <v>30</v>
      </c>
      <c r="AC612">
        <v>0.55500000000000604</v>
      </c>
      <c r="AD612">
        <v>-0.1149326</v>
      </c>
      <c r="AE612">
        <v>-0.10110000000003</v>
      </c>
      <c r="AF612">
        <v>9.57811515456682E-2</v>
      </c>
      <c r="AG612">
        <v>-0.1149326</v>
      </c>
      <c r="AH612">
        <v>0.53311491299966896</v>
      </c>
      <c r="AI612">
        <v>101.97987625778801</v>
      </c>
      <c r="AJ612">
        <v>79.814716871261595</v>
      </c>
      <c r="AK612">
        <v>0.55371025094070603</v>
      </c>
      <c r="AL612">
        <v>83.204954541813706</v>
      </c>
      <c r="AM612">
        <v>87.8905284929331</v>
      </c>
      <c r="AN612">
        <v>0.99999997388028505</v>
      </c>
    </row>
    <row r="613" spans="1:40" x14ac:dyDescent="0.25">
      <c r="A613" t="str">
        <f>"20190312164005082"</f>
        <v>20190312164005082</v>
      </c>
      <c r="B613" t="str">
        <f>"1552380005077498"</f>
        <v>1552380005077498</v>
      </c>
      <c r="C613" t="s">
        <v>40</v>
      </c>
      <c r="D613">
        <v>4.8946110000000003</v>
      </c>
      <c r="E613">
        <v>0.54472549999999997</v>
      </c>
      <c r="F613" t="s">
        <v>42</v>
      </c>
      <c r="G613">
        <v>-372.92320000000001</v>
      </c>
      <c r="H613">
        <v>0.97952450000000002</v>
      </c>
      <c r="I613">
        <v>368.1397</v>
      </c>
      <c r="J613">
        <v>-373.57060000000001</v>
      </c>
      <c r="K613">
        <v>1.1102449999999999</v>
      </c>
      <c r="L613">
        <v>368.25470000000001</v>
      </c>
      <c r="M613">
        <v>0.99989720000000004</v>
      </c>
      <c r="N613">
        <v>0</v>
      </c>
      <c r="O613">
        <v>-2.4336430000000001E-3</v>
      </c>
      <c r="P613">
        <v>0.99377890000000002</v>
      </c>
      <c r="Q613">
        <v>0.10435170000000001</v>
      </c>
      <c r="R613">
        <v>-3.8916020000000003E-2</v>
      </c>
      <c r="S613">
        <v>3.053223</v>
      </c>
      <c r="T613">
        <v>-0.49006759999999999</v>
      </c>
      <c r="U613">
        <v>-0.432251</v>
      </c>
      <c r="V613">
        <v>3.6507930000000001E-2</v>
      </c>
      <c r="W613">
        <v>0.1183768</v>
      </c>
      <c r="X613">
        <v>0.9922974</v>
      </c>
      <c r="Y613">
        <v>0.13608689999999901</v>
      </c>
      <c r="Z613">
        <v>-1.041299E-2</v>
      </c>
      <c r="AA613">
        <v>0.99064220000000003</v>
      </c>
      <c r="AB613">
        <v>30</v>
      </c>
      <c r="AC613">
        <v>0.64740000000000397</v>
      </c>
      <c r="AD613">
        <v>-0.13072049999999999</v>
      </c>
      <c r="AE613">
        <v>-0.115000000000009</v>
      </c>
      <c r="AF613">
        <v>0.10911154340528099</v>
      </c>
      <c r="AG613">
        <v>-0.13072049999999999</v>
      </c>
      <c r="AH613">
        <v>0.62305303894845498</v>
      </c>
      <c r="AI613">
        <v>101.676444002086</v>
      </c>
      <c r="AJ613">
        <v>80.066860808397294</v>
      </c>
      <c r="AK613">
        <v>0.64590112816702705</v>
      </c>
      <c r="AL613">
        <v>83.201567742450294</v>
      </c>
      <c r="AM613">
        <v>87.892963062282405</v>
      </c>
      <c r="AN613">
        <v>1.0000000128889399</v>
      </c>
    </row>
    <row r="614" spans="1:40" x14ac:dyDescent="0.25">
      <c r="A614" t="str">
        <f>"20190312164005094"</f>
        <v>20190312164005094</v>
      </c>
      <c r="B614" t="str">
        <f>"1552380005087257"</f>
        <v>1552380005087257</v>
      </c>
      <c r="C614" t="s">
        <v>40</v>
      </c>
      <c r="D614">
        <v>5.2852319999999997</v>
      </c>
      <c r="E614">
        <v>0.54480450000000002</v>
      </c>
      <c r="F614" t="s">
        <v>42</v>
      </c>
      <c r="G614">
        <v>-372.66309999999999</v>
      </c>
      <c r="H614">
        <v>0.96460310000000005</v>
      </c>
      <c r="I614">
        <v>368.12529999999998</v>
      </c>
      <c r="J614">
        <v>-373.40159999999997</v>
      </c>
      <c r="K614">
        <v>1.110233</v>
      </c>
      <c r="L614">
        <v>368.2543</v>
      </c>
      <c r="M614">
        <v>0.99989799999999995</v>
      </c>
      <c r="N614">
        <v>0</v>
      </c>
      <c r="O614">
        <v>-2.4476910000000001E-3</v>
      </c>
      <c r="P614">
        <v>0.99374280000000004</v>
      </c>
      <c r="Q614">
        <v>0.1046869</v>
      </c>
      <c r="R614">
        <v>-3.8937270000000003E-2</v>
      </c>
      <c r="S614">
        <v>3.0532840000000001</v>
      </c>
      <c r="T614">
        <v>-0.49014829999999998</v>
      </c>
      <c r="U614">
        <v>-0.43426510000000001</v>
      </c>
      <c r="V614">
        <v>3.6515480000000003E-2</v>
      </c>
      <c r="W614">
        <v>0.1186581</v>
      </c>
      <c r="X614">
        <v>0.99226349999999996</v>
      </c>
      <c r="Y614">
        <v>0.13670289999999999</v>
      </c>
      <c r="Z614">
        <v>-1.046067E-2</v>
      </c>
      <c r="AA614">
        <v>0.99055680000000002</v>
      </c>
      <c r="AB614">
        <v>30</v>
      </c>
      <c r="AC614">
        <v>0.73849999999998694</v>
      </c>
      <c r="AD614">
        <v>-0.14562990000000001</v>
      </c>
      <c r="AE614">
        <v>-0.12900000000001899</v>
      </c>
      <c r="AF614">
        <v>0.122566732781883</v>
      </c>
      <c r="AG614">
        <v>-0.14562990000000001</v>
      </c>
      <c r="AH614">
        <v>0.71194805817631102</v>
      </c>
      <c r="AI614">
        <v>101.397271533045</v>
      </c>
      <c r="AJ614">
        <v>80.231890523457594</v>
      </c>
      <c r="AK614">
        <v>0.73695366835361897</v>
      </c>
      <c r="AL614">
        <v>83.185335876112106</v>
      </c>
      <c r="AM614">
        <v>87.892455775268104</v>
      </c>
      <c r="AN614">
        <v>0.999999989203745</v>
      </c>
    </row>
    <row r="615" spans="1:40" x14ac:dyDescent="0.25">
      <c r="A615" t="str">
        <f>"20190312164005106"</f>
        <v>20190312164005106</v>
      </c>
      <c r="B615" t="str">
        <f>"1552380005097016"</f>
        <v>1552380005097016</v>
      </c>
      <c r="C615" t="s">
        <v>40</v>
      </c>
      <c r="D615">
        <v>5.2942819999999999</v>
      </c>
      <c r="E615">
        <v>0.54491979999999995</v>
      </c>
      <c r="F615" t="s">
        <v>42</v>
      </c>
      <c r="G615">
        <v>-372.65129999999999</v>
      </c>
      <c r="H615">
        <v>0.98961460000000001</v>
      </c>
      <c r="I615">
        <v>368.14699999999999</v>
      </c>
      <c r="J615">
        <v>-373.2475</v>
      </c>
      <c r="K615">
        <v>1.1102190000000001</v>
      </c>
      <c r="L615">
        <v>368.25389999999999</v>
      </c>
      <c r="M615">
        <v>0.99989890000000003</v>
      </c>
      <c r="N615">
        <v>0</v>
      </c>
      <c r="O615">
        <v>-2.4602679999999998E-3</v>
      </c>
      <c r="P615">
        <v>0.99372640000000001</v>
      </c>
      <c r="Q615">
        <v>0.1048999</v>
      </c>
      <c r="R615">
        <v>-3.8782669999999998E-2</v>
      </c>
      <c r="S615">
        <v>3.0535580000000002</v>
      </c>
      <c r="T615">
        <v>-0.49107050000000002</v>
      </c>
      <c r="U615">
        <v>-0.4352722</v>
      </c>
      <c r="V615">
        <v>3.6348520000000002E-2</v>
      </c>
      <c r="W615">
        <v>0.118811</v>
      </c>
      <c r="X615">
        <v>0.99225129999999995</v>
      </c>
      <c r="Y615">
        <v>0.1369889</v>
      </c>
      <c r="Z615">
        <v>-1.0499680000000001E-2</v>
      </c>
      <c r="AA615">
        <v>0.99051690000000003</v>
      </c>
      <c r="AB615">
        <v>30</v>
      </c>
      <c r="AC615">
        <v>0.59620000000001006</v>
      </c>
      <c r="AD615">
        <v>-0.1206044</v>
      </c>
      <c r="AE615">
        <v>-0.106899999999996</v>
      </c>
      <c r="AF615">
        <v>0.10141213110995299</v>
      </c>
      <c r="AG615">
        <v>-0.1206044</v>
      </c>
      <c r="AH615">
        <v>0.57371566803004204</v>
      </c>
      <c r="AI615">
        <v>101.69544780186</v>
      </c>
      <c r="AJ615">
        <v>79.975731549074993</v>
      </c>
      <c r="AK615">
        <v>0.59496177135911898</v>
      </c>
      <c r="AL615">
        <v>83.176512707002999</v>
      </c>
      <c r="AM615">
        <v>87.902057713561007</v>
      </c>
      <c r="AN615">
        <v>0.99999995548943899</v>
      </c>
    </row>
    <row r="616" spans="1:40" x14ac:dyDescent="0.25">
      <c r="A616" t="str">
        <f>"20190312164005125"</f>
        <v>20190312164005125</v>
      </c>
      <c r="B616" t="str">
        <f>"1552380005116536"</f>
        <v>1552380005116536</v>
      </c>
      <c r="C616" t="s">
        <v>40</v>
      </c>
      <c r="D616">
        <v>5.2963019999999998</v>
      </c>
      <c r="E616">
        <v>0.54518350000000004</v>
      </c>
      <c r="F616" t="s">
        <v>42</v>
      </c>
      <c r="G616">
        <v>-372.39240000000001</v>
      </c>
      <c r="H616">
        <v>0.97250369999999997</v>
      </c>
      <c r="I616">
        <v>368.13189999999997</v>
      </c>
      <c r="J616">
        <v>-372.98919999999998</v>
      </c>
      <c r="K616">
        <v>1.110196</v>
      </c>
      <c r="L616">
        <v>368.25319999999999</v>
      </c>
      <c r="M616">
        <v>0.99990060000000003</v>
      </c>
      <c r="N616">
        <v>0</v>
      </c>
      <c r="O616">
        <v>-2.481362E-3</v>
      </c>
      <c r="P616">
        <v>0.99372539999999998</v>
      </c>
      <c r="Q616">
        <v>0.1049206</v>
      </c>
      <c r="R616">
        <v>-3.8756359999999997E-2</v>
      </c>
      <c r="S616">
        <v>3.0538639999999999</v>
      </c>
      <c r="T616">
        <v>-0.49182940000000003</v>
      </c>
      <c r="U616">
        <v>-0.43573000000000001</v>
      </c>
      <c r="V616">
        <v>3.6301430000000003E-2</v>
      </c>
      <c r="W616">
        <v>0.1187106</v>
      </c>
      <c r="X616">
        <v>0.99226510000000001</v>
      </c>
      <c r="Y616">
        <v>0.13709379999999999</v>
      </c>
      <c r="Z616">
        <v>-1.0519570000000001E-2</v>
      </c>
      <c r="AA616">
        <v>0.9905022</v>
      </c>
      <c r="AB616">
        <v>30</v>
      </c>
      <c r="AC616">
        <v>0.59679999999997302</v>
      </c>
      <c r="AD616">
        <v>-0.13769229999999999</v>
      </c>
      <c r="AE616">
        <v>-0.121300000000019</v>
      </c>
      <c r="AF616">
        <v>0.113991490194272</v>
      </c>
      <c r="AG616">
        <v>-0.13769229999999999</v>
      </c>
      <c r="AH616">
        <v>0.56806056328519905</v>
      </c>
      <c r="AI616">
        <v>103.36849202060201</v>
      </c>
      <c r="AJ616">
        <v>78.653279165575498</v>
      </c>
      <c r="AK616">
        <v>0.59552164769712501</v>
      </c>
      <c r="AL616">
        <v>83.182306609127195</v>
      </c>
      <c r="AM616">
        <v>87.904802315796502</v>
      </c>
      <c r="AN616">
        <v>1.0000000145251999</v>
      </c>
    </row>
    <row r="617" spans="1:40" x14ac:dyDescent="0.25">
      <c r="A617" t="str">
        <f>"20190312164005148"</f>
        <v>20190312164005148</v>
      </c>
      <c r="B617" t="str">
        <f>"1552380005137032"</f>
        <v>1552380005137032</v>
      </c>
      <c r="C617" t="s">
        <v>40</v>
      </c>
      <c r="D617">
        <v>4.9461120000000003</v>
      </c>
      <c r="E617">
        <v>0.54530459999999903</v>
      </c>
      <c r="F617" t="s">
        <v>42</v>
      </c>
      <c r="G617">
        <v>-372.12619999999998</v>
      </c>
      <c r="H617">
        <v>0.97073259999999995</v>
      </c>
      <c r="I617">
        <v>368.12909999999999</v>
      </c>
      <c r="J617">
        <v>-372.68700000000001</v>
      </c>
      <c r="K617">
        <v>1.110166</v>
      </c>
      <c r="L617">
        <v>368.2525</v>
      </c>
      <c r="M617">
        <v>0.99990279999999998</v>
      </c>
      <c r="N617">
        <v>0</v>
      </c>
      <c r="O617">
        <v>-2.5068579999999998E-3</v>
      </c>
      <c r="P617">
        <v>0.99371279999999995</v>
      </c>
      <c r="Q617">
        <v>0.1051406</v>
      </c>
      <c r="R617">
        <v>-3.8475820000000001E-2</v>
      </c>
      <c r="S617">
        <v>3.053925</v>
      </c>
      <c r="T617">
        <v>-0.49358429999999998</v>
      </c>
      <c r="U617">
        <v>-0.43832399999999999</v>
      </c>
      <c r="V617">
        <v>3.5995550000000001E-2</v>
      </c>
      <c r="W617">
        <v>0.1187594</v>
      </c>
      <c r="X617">
        <v>0.9922704</v>
      </c>
      <c r="Y617">
        <v>0.13786889999999999</v>
      </c>
      <c r="Z617">
        <v>-1.0613650000000001E-2</v>
      </c>
      <c r="AA617">
        <v>0.99039359999999999</v>
      </c>
      <c r="AB617">
        <v>30</v>
      </c>
      <c r="AC617">
        <v>0.56079999999997199</v>
      </c>
      <c r="AD617">
        <v>-0.13943340000000001</v>
      </c>
      <c r="AE617">
        <v>-0.12340000000000299</v>
      </c>
      <c r="AF617">
        <v>0.11520098747721701</v>
      </c>
      <c r="AG617">
        <v>-0.13943340000000001</v>
      </c>
      <c r="AH617">
        <v>0.52986495264698097</v>
      </c>
      <c r="AI617">
        <v>104.42070654008999</v>
      </c>
      <c r="AJ617">
        <v>77.733888707219293</v>
      </c>
      <c r="AK617">
        <v>0.55988374560695497</v>
      </c>
      <c r="AL617">
        <v>83.179490628878796</v>
      </c>
      <c r="AM617">
        <v>87.922452241886901</v>
      </c>
      <c r="AN617">
        <v>1.00000001071216</v>
      </c>
    </row>
    <row r="618" spans="1:40" x14ac:dyDescent="0.25">
      <c r="A618" t="str">
        <f>"20190312164005171"</f>
        <v>20190312164005171</v>
      </c>
      <c r="B618" t="str">
        <f>"1552380005167288"</f>
        <v>1552380005167288</v>
      </c>
      <c r="C618" t="s">
        <v>40</v>
      </c>
      <c r="D618">
        <v>5.2913730000000001</v>
      </c>
      <c r="E618">
        <v>0.54538229999999999</v>
      </c>
      <c r="F618" t="s">
        <v>42</v>
      </c>
      <c r="G618">
        <v>-371.85669999999999</v>
      </c>
      <c r="H618">
        <v>0.97593249999999998</v>
      </c>
      <c r="I618">
        <v>368.13310000000001</v>
      </c>
      <c r="J618">
        <v>-372.39010000000002</v>
      </c>
      <c r="K618">
        <v>1.110134</v>
      </c>
      <c r="L618">
        <v>368.25170000000003</v>
      </c>
      <c r="M618">
        <v>0.99990540000000006</v>
      </c>
      <c r="N618">
        <v>0</v>
      </c>
      <c r="O618">
        <v>-2.5331020000000002E-3</v>
      </c>
      <c r="P618">
        <v>0.99369980000000002</v>
      </c>
      <c r="Q618">
        <v>0.1054612</v>
      </c>
      <c r="R618">
        <v>-3.7931489999999998E-2</v>
      </c>
      <c r="S618">
        <v>3.0541990000000001</v>
      </c>
      <c r="T618">
        <v>-0.49379030000000002</v>
      </c>
      <c r="U618">
        <v>-0.43865969999999999</v>
      </c>
      <c r="V618">
        <v>3.5424839999999999E-2</v>
      </c>
      <c r="W618">
        <v>0.11889520000000001</v>
      </c>
      <c r="X618">
        <v>0.99227460000000001</v>
      </c>
      <c r="Y618">
        <v>0.13793549999999999</v>
      </c>
      <c r="Z618">
        <v>-1.061813E-2</v>
      </c>
      <c r="AA618">
        <v>0.9903843</v>
      </c>
      <c r="AB618">
        <v>30</v>
      </c>
      <c r="AC618">
        <v>0.53340000000002796</v>
      </c>
      <c r="AD618">
        <v>-0.134201499999999</v>
      </c>
      <c r="AE618">
        <v>-0.118600000000014</v>
      </c>
      <c r="AF618">
        <v>0.110578396609083</v>
      </c>
      <c r="AG618">
        <v>-0.134201499999999</v>
      </c>
      <c r="AH618">
        <v>0.50333805556452804</v>
      </c>
      <c r="AI618">
        <v>104.59636780791899</v>
      </c>
      <c r="AJ618">
        <v>77.609517860390696</v>
      </c>
      <c r="AK618">
        <v>0.53252870587261902</v>
      </c>
      <c r="AL618">
        <v>83.171653820954305</v>
      </c>
      <c r="AM618">
        <v>87.955372257917901</v>
      </c>
      <c r="AN618">
        <v>0.99999993483861005</v>
      </c>
    </row>
    <row r="619" spans="1:40" x14ac:dyDescent="0.25">
      <c r="A619" t="str">
        <f>"20190312164005191"</f>
        <v>20190312164005191</v>
      </c>
      <c r="B619" t="str">
        <f>"1552380005186809"</f>
        <v>1552380005186809</v>
      </c>
      <c r="C619" t="s">
        <v>40</v>
      </c>
      <c r="D619">
        <v>5.2475500000000004</v>
      </c>
      <c r="E619">
        <v>0.54542040000000003</v>
      </c>
      <c r="F619" t="s">
        <v>42</v>
      </c>
      <c r="G619">
        <v>-371.58760000000001</v>
      </c>
      <c r="H619">
        <v>0.98024199999999995</v>
      </c>
      <c r="I619">
        <v>368.13639999999998</v>
      </c>
      <c r="J619">
        <v>-372.10559999999998</v>
      </c>
      <c r="K619">
        <v>1.110109</v>
      </c>
      <c r="L619">
        <v>368.2509</v>
      </c>
      <c r="M619">
        <v>0.99990769999999995</v>
      </c>
      <c r="N619">
        <v>0</v>
      </c>
      <c r="O619">
        <v>-2.5586580000000001E-3</v>
      </c>
      <c r="P619">
        <v>0.99371529999999997</v>
      </c>
      <c r="Q619">
        <v>0.10562820000000001</v>
      </c>
      <c r="R619">
        <v>-3.7045469999999997E-2</v>
      </c>
      <c r="S619">
        <v>3.0548099999999998</v>
      </c>
      <c r="T619">
        <v>-0.49456679999999997</v>
      </c>
      <c r="U619">
        <v>-0.43753049999999999</v>
      </c>
      <c r="V619">
        <v>3.4513199999999897E-2</v>
      </c>
      <c r="W619">
        <v>0.1188787</v>
      </c>
      <c r="X619">
        <v>0.99230879999999999</v>
      </c>
      <c r="Y619">
        <v>0.13752429999999999</v>
      </c>
      <c r="Z619">
        <v>-1.0595820000000001E-2</v>
      </c>
      <c r="AA619">
        <v>0.99044169999999998</v>
      </c>
      <c r="AB619">
        <v>30</v>
      </c>
      <c r="AC619">
        <v>0.51799999999997204</v>
      </c>
      <c r="AD619">
        <v>-0.12986699999999901</v>
      </c>
      <c r="AE619">
        <v>-0.11450000000002</v>
      </c>
      <c r="AF619">
        <v>0.106775419280754</v>
      </c>
      <c r="AG619">
        <v>-0.12986699999999901</v>
      </c>
      <c r="AH619">
        <v>0.48898784791511701</v>
      </c>
      <c r="AI619">
        <v>104.545737510908</v>
      </c>
      <c r="AJ619">
        <v>77.6822357106943</v>
      </c>
      <c r="AK619">
        <v>0.517083690769916</v>
      </c>
      <c r="AL619">
        <v>83.172606609797</v>
      </c>
      <c r="AM619">
        <v>88.008015348302905</v>
      </c>
      <c r="AN619">
        <v>1.0000000304226799</v>
      </c>
    </row>
    <row r="620" spans="1:40" x14ac:dyDescent="0.25">
      <c r="A620" t="str">
        <f>"20190312164005203"</f>
        <v>20190312164005203</v>
      </c>
      <c r="B620" t="str">
        <f>"1552380005196569"</f>
        <v>1552380005196569</v>
      </c>
      <c r="C620" t="s">
        <v>40</v>
      </c>
      <c r="D620">
        <v>5.3020420000000001</v>
      </c>
      <c r="E620">
        <v>0.54542019999999902</v>
      </c>
      <c r="F620" t="s">
        <v>42</v>
      </c>
      <c r="G620">
        <v>-371.3193</v>
      </c>
      <c r="H620">
        <v>0.98260340000000002</v>
      </c>
      <c r="I620">
        <v>368.13900000000001</v>
      </c>
      <c r="J620">
        <v>-371.9468</v>
      </c>
      <c r="K620">
        <v>1.110096</v>
      </c>
      <c r="L620">
        <v>368.25049999999999</v>
      </c>
      <c r="M620">
        <v>0.99990919999999905</v>
      </c>
      <c r="N620">
        <v>0</v>
      </c>
      <c r="O620">
        <v>-2.5726239999999999E-3</v>
      </c>
      <c r="P620">
        <v>0.99368080000000003</v>
      </c>
      <c r="Q620">
        <v>0.10598779999999999</v>
      </c>
      <c r="R620">
        <v>-3.695114E-2</v>
      </c>
      <c r="S620">
        <v>3.0554199999999998</v>
      </c>
      <c r="T620">
        <v>-0.49544759999999999</v>
      </c>
      <c r="U620">
        <v>-0.43530269999999999</v>
      </c>
      <c r="V620">
        <v>3.4404850000000001E-2</v>
      </c>
      <c r="W620">
        <v>0.1191353</v>
      </c>
      <c r="X620">
        <v>0.99228170000000004</v>
      </c>
      <c r="Y620">
        <v>0.13677909999999999</v>
      </c>
      <c r="Z620">
        <v>-1.055094E-2</v>
      </c>
      <c r="AA620">
        <v>0.99054540000000002</v>
      </c>
      <c r="AB620">
        <v>30</v>
      </c>
      <c r="AC620">
        <v>0.62749999999999695</v>
      </c>
      <c r="AD620">
        <v>-0.12749259999999901</v>
      </c>
      <c r="AE620">
        <v>-0.11149999999997801</v>
      </c>
      <c r="AF620">
        <v>0.10565710898745399</v>
      </c>
      <c r="AG620">
        <v>-0.12749259999999901</v>
      </c>
      <c r="AH620">
        <v>0.60362947708341597</v>
      </c>
      <c r="AI620">
        <v>101.752566413452</v>
      </c>
      <c r="AJ620">
        <v>80.071732902732407</v>
      </c>
      <c r="AK620">
        <v>0.62592837716335004</v>
      </c>
      <c r="AL620">
        <v>83.157798681145806</v>
      </c>
      <c r="AM620">
        <v>88.014209739249395</v>
      </c>
      <c r="AN620">
        <v>0.99999994278224902</v>
      </c>
    </row>
    <row r="621" spans="1:40" x14ac:dyDescent="0.25">
      <c r="A621" t="str">
        <f>"20190312164005216"</f>
        <v>20190312164005216</v>
      </c>
      <c r="B621" t="str">
        <f>"1552380005207305"</f>
        <v>1552380005207305</v>
      </c>
      <c r="C621" t="s">
        <v>40</v>
      </c>
      <c r="D621">
        <v>5.1729390000000004</v>
      </c>
      <c r="E621">
        <v>0.54548140000000001</v>
      </c>
      <c r="F621" t="s">
        <v>42</v>
      </c>
      <c r="G621">
        <v>-371.05950000000001</v>
      </c>
      <c r="H621">
        <v>0.9665068</v>
      </c>
      <c r="I621">
        <v>368.12389999999999</v>
      </c>
      <c r="J621">
        <v>-371.77780000000001</v>
      </c>
      <c r="K621">
        <v>1.110085</v>
      </c>
      <c r="L621">
        <v>368.25009999999997</v>
      </c>
      <c r="M621">
        <v>0.99991039999999998</v>
      </c>
      <c r="N621">
        <v>0</v>
      </c>
      <c r="O621">
        <v>-2.5871510000000002E-3</v>
      </c>
      <c r="P621">
        <v>0.99370559999999997</v>
      </c>
      <c r="Q621">
        <v>0.10586719999999999</v>
      </c>
      <c r="R621">
        <v>-3.6626180000000001E-2</v>
      </c>
      <c r="S621">
        <v>3.055634</v>
      </c>
      <c r="T621">
        <v>-0.49459409999999998</v>
      </c>
      <c r="U621">
        <v>-0.43524170000000001</v>
      </c>
      <c r="V621">
        <v>3.406547E-2</v>
      </c>
      <c r="W621">
        <v>0.1189052</v>
      </c>
      <c r="X621">
        <v>0.99232109999999996</v>
      </c>
      <c r="Y621">
        <v>0.13674239999999999</v>
      </c>
      <c r="Z621">
        <v>-1.052703E-2</v>
      </c>
      <c r="AA621">
        <v>0.99055070000000001</v>
      </c>
      <c r="AB621">
        <v>30</v>
      </c>
      <c r="AC621">
        <v>0.71829999999999905</v>
      </c>
      <c r="AD621">
        <v>-0.14357819999999899</v>
      </c>
      <c r="AE621">
        <v>-0.12619999999998299</v>
      </c>
      <c r="AF621">
        <v>0.119701660107189</v>
      </c>
      <c r="AG621">
        <v>-0.14357819999999899</v>
      </c>
      <c r="AH621">
        <v>0.69181086109554202</v>
      </c>
      <c r="AI621">
        <v>101.557688865917</v>
      </c>
      <c r="AJ621">
        <v>80.183500517017904</v>
      </c>
      <c r="AK621">
        <v>0.71662085824891497</v>
      </c>
      <c r="AL621">
        <v>83.171077451192602</v>
      </c>
      <c r="AM621">
        <v>88.033860739218895</v>
      </c>
      <c r="AN621">
        <v>1.0000000341692801</v>
      </c>
    </row>
    <row r="622" spans="1:40" x14ac:dyDescent="0.25">
      <c r="A622" t="str">
        <f>"20190312164005227"</f>
        <v>20190312164005227</v>
      </c>
      <c r="B622" t="str">
        <f>"1552380005217064"</f>
        <v>1552380005217064</v>
      </c>
      <c r="C622" t="s">
        <v>40</v>
      </c>
      <c r="D622">
        <v>5.2995989999999997</v>
      </c>
      <c r="E622">
        <v>0.54550419999999999</v>
      </c>
      <c r="F622" t="s">
        <v>42</v>
      </c>
      <c r="G622">
        <v>-371.04770000000002</v>
      </c>
      <c r="H622">
        <v>0.99161820000000001</v>
      </c>
      <c r="I622">
        <v>368.14600000000002</v>
      </c>
      <c r="J622">
        <v>-371.62400000000002</v>
      </c>
      <c r="K622">
        <v>1.1100749999999999</v>
      </c>
      <c r="L622">
        <v>368.24970000000002</v>
      </c>
      <c r="M622">
        <v>0.99991189999999996</v>
      </c>
      <c r="N622">
        <v>0</v>
      </c>
      <c r="O622">
        <v>-2.6004299999999999E-3</v>
      </c>
      <c r="P622">
        <v>0.99370400000000003</v>
      </c>
      <c r="Q622">
        <v>0.1059543</v>
      </c>
      <c r="R622">
        <v>-3.6426920000000002E-2</v>
      </c>
      <c r="S622">
        <v>3.0558169999999998</v>
      </c>
      <c r="T622">
        <v>-0.49602380000000001</v>
      </c>
      <c r="U622">
        <v>-0.43460080000000001</v>
      </c>
      <c r="V622">
        <v>3.3852779999999999E-2</v>
      </c>
      <c r="W622">
        <v>0.1188915</v>
      </c>
      <c r="X622">
        <v>0.99233000000000005</v>
      </c>
      <c r="Y622">
        <v>0.13651079999999999</v>
      </c>
      <c r="Z622">
        <v>-1.0535889999999999E-2</v>
      </c>
      <c r="AA622">
        <v>0.99058259999999998</v>
      </c>
      <c r="AB622">
        <v>30</v>
      </c>
      <c r="AC622">
        <v>0.57630000000000303</v>
      </c>
      <c r="AD622">
        <v>-0.1184568</v>
      </c>
      <c r="AE622">
        <v>-0.10370000000005999</v>
      </c>
      <c r="AF622">
        <v>9.8182809300447801E-2</v>
      </c>
      <c r="AG622">
        <v>-0.1184568</v>
      </c>
      <c r="AH622">
        <v>0.55389965597755497</v>
      </c>
      <c r="AI622">
        <v>101.89144285119001</v>
      </c>
      <c r="AJ622">
        <v>79.948306965388198</v>
      </c>
      <c r="AK622">
        <v>0.57487103458116695</v>
      </c>
      <c r="AL622">
        <v>83.171867874186006</v>
      </c>
      <c r="AM622">
        <v>88.046144424455804</v>
      </c>
      <c r="AN622">
        <v>1.0000000141929799</v>
      </c>
    </row>
    <row r="623" spans="1:40" x14ac:dyDescent="0.25">
      <c r="A623" t="str">
        <f>"20190312164005240"</f>
        <v>20190312164005240</v>
      </c>
      <c r="B623" t="str">
        <f>"1552380005236585"</f>
        <v>1552380005236585</v>
      </c>
      <c r="C623" t="s">
        <v>40</v>
      </c>
      <c r="D623">
        <v>5.553261</v>
      </c>
      <c r="E623">
        <v>0.54540940000000004</v>
      </c>
      <c r="F623" t="s">
        <v>42</v>
      </c>
      <c r="G623">
        <v>-370.78840000000002</v>
      </c>
      <c r="H623">
        <v>0.97449859999999999</v>
      </c>
      <c r="I623">
        <v>368.1309</v>
      </c>
      <c r="J623">
        <v>-371.4513</v>
      </c>
      <c r="K623">
        <v>1.110061</v>
      </c>
      <c r="L623">
        <v>368.24919999999997</v>
      </c>
      <c r="M623">
        <v>0.9999133</v>
      </c>
      <c r="N623">
        <v>0</v>
      </c>
      <c r="O623">
        <v>-2.6152990000000002E-3</v>
      </c>
      <c r="P623">
        <v>0.99371299999999996</v>
      </c>
      <c r="Q623">
        <v>0.10591159999999999</v>
      </c>
      <c r="R623">
        <v>-3.6298259999999999E-2</v>
      </c>
      <c r="S623">
        <v>3.0559690000000002</v>
      </c>
      <c r="T623">
        <v>-0.49595450000000002</v>
      </c>
      <c r="U623">
        <v>-0.43396000000000001</v>
      </c>
      <c r="V623">
        <v>3.3709330000000003E-2</v>
      </c>
      <c r="W623">
        <v>0.1187352</v>
      </c>
      <c r="X623">
        <v>0.99235359999999995</v>
      </c>
      <c r="Y623">
        <v>0.1362891</v>
      </c>
      <c r="Z623">
        <v>-1.051392E-2</v>
      </c>
      <c r="AA623">
        <v>0.99061330000000003</v>
      </c>
      <c r="AB623">
        <v>30</v>
      </c>
      <c r="AC623">
        <v>0.66289999999997895</v>
      </c>
      <c r="AD623">
        <v>-0.1355624</v>
      </c>
      <c r="AE623">
        <v>-0.11829999999997599</v>
      </c>
      <c r="AF623">
        <v>0.112025477053547</v>
      </c>
      <c r="AG623">
        <v>-0.1355624</v>
      </c>
      <c r="AH623">
        <v>0.63737491406049496</v>
      </c>
      <c r="AI623">
        <v>101.831112817677</v>
      </c>
      <c r="AJ623">
        <v>80.031468792809505</v>
      </c>
      <c r="AK623">
        <v>0.661191086507115</v>
      </c>
      <c r="AL623">
        <v>83.180887110574901</v>
      </c>
      <c r="AM623">
        <v>88.054463678252503</v>
      </c>
      <c r="AN623">
        <v>1.0000000170405201</v>
      </c>
    </row>
    <row r="624" spans="1:40" x14ac:dyDescent="0.25">
      <c r="A624" t="str">
        <f>"20190312164005258"</f>
        <v>20190312164005258</v>
      </c>
      <c r="B624" t="str">
        <f>"1552380005247320"</f>
        <v>1552380005247320</v>
      </c>
      <c r="C624" t="s">
        <v>40</v>
      </c>
      <c r="D624">
        <v>5.0559519999999996</v>
      </c>
      <c r="E624">
        <v>0.54362140000000003</v>
      </c>
      <c r="F624" t="s">
        <v>42</v>
      </c>
      <c r="G624">
        <v>-370.5274</v>
      </c>
      <c r="H624">
        <v>0.96003280000000002</v>
      </c>
      <c r="I624">
        <v>368.11799999999999</v>
      </c>
      <c r="J624">
        <v>-371.21809999999999</v>
      </c>
      <c r="K624">
        <v>1.1100399999999999</v>
      </c>
      <c r="L624">
        <v>368.24860000000001</v>
      </c>
      <c r="M624">
        <v>0.99991529999999995</v>
      </c>
      <c r="N624">
        <v>0</v>
      </c>
      <c r="O624">
        <v>-2.634787E-3</v>
      </c>
      <c r="P624">
        <v>0.99374410000000002</v>
      </c>
      <c r="Q624">
        <v>0.1056636</v>
      </c>
      <c r="R624">
        <v>-3.616751E-2</v>
      </c>
      <c r="S624">
        <v>3.0560909999999999</v>
      </c>
      <c r="T624">
        <v>-0.49644569999999999</v>
      </c>
      <c r="U624">
        <v>-0.43258669999999999</v>
      </c>
      <c r="V624">
        <v>3.355938E-2</v>
      </c>
      <c r="W624">
        <v>0.1183309</v>
      </c>
      <c r="X624">
        <v>0.99240700000000004</v>
      </c>
      <c r="Y624">
        <v>0.1358307</v>
      </c>
      <c r="Z624">
        <v>-1.0484169999999999E-2</v>
      </c>
      <c r="AA624">
        <v>0.99067660000000002</v>
      </c>
      <c r="AB624">
        <v>30</v>
      </c>
      <c r="AC624">
        <v>0.69069999999999199</v>
      </c>
      <c r="AD624">
        <v>-0.15000719999999901</v>
      </c>
      <c r="AE624">
        <v>-0.130599999999958</v>
      </c>
      <c r="AF624">
        <v>0.123170419000697</v>
      </c>
      <c r="AG624">
        <v>-0.15000719999999901</v>
      </c>
      <c r="AH624">
        <v>0.66094266455721895</v>
      </c>
      <c r="AI624">
        <v>102.57772193206701</v>
      </c>
      <c r="AJ624">
        <v>79.443695867673</v>
      </c>
      <c r="AK624">
        <v>0.68885290011775602</v>
      </c>
      <c r="AL624">
        <v>83.204216444476899</v>
      </c>
      <c r="AM624">
        <v>88.063215588151394</v>
      </c>
      <c r="AN624">
        <v>1.0000000437648899</v>
      </c>
    </row>
    <row r="625" spans="1:40" x14ac:dyDescent="0.25">
      <c r="A625" t="str">
        <f>"20190312164005269"</f>
        <v>20190312164005269</v>
      </c>
      <c r="B625" t="str">
        <f>"1552380005266840"</f>
        <v>1552380005266840</v>
      </c>
      <c r="C625" t="s">
        <v>40</v>
      </c>
      <c r="D625">
        <v>4.9063280000000002</v>
      </c>
      <c r="E625">
        <v>0.48167969999999999</v>
      </c>
      <c r="F625" t="s">
        <v>42</v>
      </c>
      <c r="G625">
        <v>-370.5111</v>
      </c>
      <c r="H625">
        <v>0.99491180000000001</v>
      </c>
      <c r="I625">
        <v>368.15129999999999</v>
      </c>
      <c r="J625">
        <v>-371.06180000000001</v>
      </c>
      <c r="K625">
        <v>1.110026</v>
      </c>
      <c r="L625">
        <v>368.24810000000002</v>
      </c>
      <c r="M625">
        <v>0.99991649999999999</v>
      </c>
      <c r="N625">
        <v>0</v>
      </c>
      <c r="O625">
        <v>-2.6477060000000001E-3</v>
      </c>
      <c r="P625">
        <v>0.99371960000000004</v>
      </c>
      <c r="Q625">
        <v>0.10584109999999999</v>
      </c>
      <c r="R625">
        <v>-3.6317559999999999E-2</v>
      </c>
      <c r="S625">
        <v>3.0566409999999999</v>
      </c>
      <c r="T625">
        <v>-0.4980214</v>
      </c>
      <c r="U625">
        <v>-0.41860960000000003</v>
      </c>
      <c r="V625">
        <v>3.3696829999999997E-2</v>
      </c>
      <c r="W625">
        <v>0.1184033</v>
      </c>
      <c r="X625">
        <v>0.99239370000000005</v>
      </c>
      <c r="Y625">
        <v>0.13139400000000001</v>
      </c>
      <c r="Z625">
        <v>-1.015888E-2</v>
      </c>
      <c r="AA625">
        <v>0.9912782</v>
      </c>
      <c r="AB625">
        <v>30</v>
      </c>
      <c r="AC625">
        <v>0.55070000000000596</v>
      </c>
      <c r="AD625">
        <v>-0.115114199999999</v>
      </c>
      <c r="AE625">
        <v>-9.6800000000030195E-2</v>
      </c>
      <c r="AF625">
        <v>9.1464719661089197E-2</v>
      </c>
      <c r="AG625">
        <v>-0.115114199999999</v>
      </c>
      <c r="AH625">
        <v>0.52855172029388997</v>
      </c>
      <c r="AI625">
        <v>102.112096055389</v>
      </c>
      <c r="AJ625">
        <v>80.182318701502993</v>
      </c>
      <c r="AK625">
        <v>0.54862008257987804</v>
      </c>
      <c r="AL625">
        <v>83.2000388138364</v>
      </c>
      <c r="AM625">
        <v>88.055263087000597</v>
      </c>
      <c r="AN625">
        <v>1.00000003680131</v>
      </c>
    </row>
    <row r="626" spans="1:40" x14ac:dyDescent="0.25">
      <c r="A626" t="str">
        <f>"20190312164005292"</f>
        <v>20190312164005292</v>
      </c>
      <c r="B626" t="str">
        <f>"1552380005287337"</f>
        <v>1552380005287337</v>
      </c>
      <c r="C626" t="s">
        <v>40</v>
      </c>
      <c r="D626">
        <v>5.2622530000000003</v>
      </c>
      <c r="E626">
        <v>0.47853040000000002</v>
      </c>
      <c r="F626" t="s">
        <v>42</v>
      </c>
      <c r="G626">
        <v>-370.22559999999999</v>
      </c>
      <c r="H626">
        <v>1.025172</v>
      </c>
      <c r="I626">
        <v>368.26650000000001</v>
      </c>
      <c r="J626">
        <v>-370.7604</v>
      </c>
      <c r="K626">
        <v>1.1100000000000001</v>
      </c>
      <c r="L626">
        <v>368.2473</v>
      </c>
      <c r="M626">
        <v>0.999919</v>
      </c>
      <c r="N626">
        <v>0</v>
      </c>
      <c r="O626">
        <v>-2.6730080000000002E-3</v>
      </c>
      <c r="P626">
        <v>0.99371469999999995</v>
      </c>
      <c r="Q626">
        <v>0.1058229</v>
      </c>
      <c r="R626">
        <v>-3.6508840000000001E-2</v>
      </c>
      <c r="S626">
        <v>3.0543520000000002</v>
      </c>
      <c r="T626">
        <v>-0.3097723</v>
      </c>
      <c r="U626">
        <v>6.6528320000000002E-2</v>
      </c>
      <c r="V626">
        <v>3.3862730000000001E-2</v>
      </c>
      <c r="W626">
        <v>0.1181827</v>
      </c>
      <c r="X626">
        <v>0.99241429999999997</v>
      </c>
      <c r="Y626">
        <v>-2.4310470000000001E-2</v>
      </c>
      <c r="Z626">
        <v>1.4998779999999901E-3</v>
      </c>
      <c r="AA626">
        <v>0.99970329999999996</v>
      </c>
      <c r="AB626">
        <v>30</v>
      </c>
      <c r="AC626">
        <v>0.53480000000001804</v>
      </c>
      <c r="AD626">
        <v>-8.4828000000000098E-2</v>
      </c>
      <c r="AE626">
        <v>1.9200000000011999E-2</v>
      </c>
      <c r="AF626">
        <v>-2.0123918180613001E-2</v>
      </c>
      <c r="AG626">
        <v>-8.4828000000000098E-2</v>
      </c>
      <c r="AH626">
        <v>0.52163965607453899</v>
      </c>
      <c r="AI626">
        <v>99.2297259890628</v>
      </c>
      <c r="AJ626">
        <v>92.209272384663194</v>
      </c>
      <c r="AK626">
        <v>0.52887493082628101</v>
      </c>
      <c r="AL626">
        <v>83.212767308507793</v>
      </c>
      <c r="AM626">
        <v>88.045736482080898</v>
      </c>
      <c r="AN626">
        <v>0.99999998895341602</v>
      </c>
    </row>
    <row r="627" spans="1:40" x14ac:dyDescent="0.25">
      <c r="A627" t="str">
        <f>"20190312164005305"</f>
        <v>20190312164005305</v>
      </c>
      <c r="B627" t="str">
        <f>"1552380005297097"</f>
        <v>1552380005297097</v>
      </c>
      <c r="C627" t="s">
        <v>40</v>
      </c>
      <c r="D627">
        <v>5.5438330000000002</v>
      </c>
      <c r="E627">
        <v>0.47842960000000001</v>
      </c>
      <c r="F627" t="s">
        <v>41</v>
      </c>
      <c r="G627">
        <v>-356.09609999999998</v>
      </c>
      <c r="H627" s="1">
        <v>-1.8251459999999999E-6</v>
      </c>
      <c r="I627">
        <v>368.66899999999998</v>
      </c>
      <c r="J627">
        <v>-370.57600000000002</v>
      </c>
      <c r="K627">
        <v>1.10998</v>
      </c>
      <c r="L627">
        <v>368.24680000000001</v>
      </c>
      <c r="M627">
        <v>0.99992049999999999</v>
      </c>
      <c r="N627">
        <v>0</v>
      </c>
      <c r="O627">
        <v>-2.6884639999999998E-3</v>
      </c>
      <c r="P627">
        <v>0.99371569999999998</v>
      </c>
      <c r="Q627">
        <v>0.10576389999999999</v>
      </c>
      <c r="R627">
        <v>-3.6649050000000002E-2</v>
      </c>
      <c r="S627">
        <v>3.046783</v>
      </c>
      <c r="T627">
        <v>-0.23062160000000001</v>
      </c>
      <c r="U627">
        <v>8.7615970000000001E-2</v>
      </c>
      <c r="V627">
        <v>3.3987620000000003E-2</v>
      </c>
      <c r="W627">
        <v>0.1180027</v>
      </c>
      <c r="X627">
        <v>0.99243150000000002</v>
      </c>
      <c r="Y627">
        <v>-3.1335189999999999E-2</v>
      </c>
      <c r="Z627">
        <v>1.3871809999999999E-3</v>
      </c>
      <c r="AA627">
        <v>0.99950799999999995</v>
      </c>
      <c r="AB627">
        <v>30</v>
      </c>
      <c r="AC627">
        <v>14.479899999999899</v>
      </c>
      <c r="AD627">
        <v>-1.1099818251460001</v>
      </c>
      <c r="AE627">
        <v>0.42220000000003199</v>
      </c>
      <c r="AF627">
        <v>-0.45843850511564499</v>
      </c>
      <c r="AG627">
        <v>-1.1099818251460001</v>
      </c>
      <c r="AH627">
        <v>14.394200369421499</v>
      </c>
      <c r="AI627">
        <v>94.407304413621006</v>
      </c>
      <c r="AJ627">
        <v>91.8241871781442</v>
      </c>
      <c r="AK627">
        <v>14.444210943841099</v>
      </c>
      <c r="AL627">
        <v>83.223153563381899</v>
      </c>
      <c r="AM627">
        <v>88.038568500505406</v>
      </c>
      <c r="AN627">
        <v>1.0000000388564001</v>
      </c>
    </row>
    <row r="628" spans="1:40" x14ac:dyDescent="0.25">
      <c r="A628" t="str">
        <f>"20190312164005316"</f>
        <v>20190312164005316</v>
      </c>
      <c r="B628" t="str">
        <f>"1552380005306857"</f>
        <v>1552380005306857</v>
      </c>
      <c r="C628" t="s">
        <v>40</v>
      </c>
      <c r="D628">
        <v>5.1073659999999999</v>
      </c>
      <c r="E628">
        <v>0.47857670000000002</v>
      </c>
      <c r="F628" t="s">
        <v>41</v>
      </c>
      <c r="G628">
        <v>-355.0204</v>
      </c>
      <c r="H628" s="1">
        <v>-2.2825370000000001E-6</v>
      </c>
      <c r="I628">
        <v>368.6918</v>
      </c>
      <c r="J628">
        <v>-370.42290000000003</v>
      </c>
      <c r="K628">
        <v>1.1099699999999999</v>
      </c>
      <c r="L628">
        <v>368.24639999999999</v>
      </c>
      <c r="M628">
        <v>0.99992170000000002</v>
      </c>
      <c r="N628">
        <v>0</v>
      </c>
      <c r="O628">
        <v>-2.7012020000000002E-3</v>
      </c>
      <c r="P628">
        <v>0.99371620000000005</v>
      </c>
      <c r="Q628">
        <v>0.1057642</v>
      </c>
      <c r="R628">
        <v>-3.6638650000000002E-2</v>
      </c>
      <c r="S628">
        <v>3.0452880000000002</v>
      </c>
      <c r="T628">
        <v>-0.21729699999999999</v>
      </c>
      <c r="U628">
        <v>8.7127689999999994E-2</v>
      </c>
      <c r="V628">
        <v>3.3964710000000002E-2</v>
      </c>
      <c r="W628">
        <v>0.1179033</v>
      </c>
      <c r="X628">
        <v>0.99244399999999999</v>
      </c>
      <c r="Y628">
        <v>-3.1212989999999999E-2</v>
      </c>
      <c r="Z628">
        <v>1.30444E-3</v>
      </c>
      <c r="AA628">
        <v>0.99951190000000001</v>
      </c>
      <c r="AB628">
        <v>30</v>
      </c>
      <c r="AC628">
        <v>15.4025</v>
      </c>
      <c r="AD628">
        <v>-1.109972282537</v>
      </c>
      <c r="AE628">
        <v>0.44540000000000601</v>
      </c>
      <c r="AF628">
        <v>-0.484492740000949</v>
      </c>
      <c r="AG628">
        <v>-1.109972282537</v>
      </c>
      <c r="AH628">
        <v>15.3217369887281</v>
      </c>
      <c r="AI628">
        <v>94.1414504733184</v>
      </c>
      <c r="AJ628">
        <v>91.811161654034507</v>
      </c>
      <c r="AK628">
        <v>15.3695281656553</v>
      </c>
      <c r="AL628">
        <v>83.228888137370404</v>
      </c>
      <c r="AM628">
        <v>88.039914277596196</v>
      </c>
      <c r="AN628">
        <v>0.99999994140613502</v>
      </c>
    </row>
    <row r="629" spans="1:40" x14ac:dyDescent="0.25">
      <c r="A629" t="str">
        <f>"20190312164005328"</f>
        <v>20190312164005328</v>
      </c>
      <c r="B629" t="str">
        <f>"1552380005316616"</f>
        <v>1552380005316616</v>
      </c>
      <c r="C629" t="s">
        <v>40</v>
      </c>
      <c r="D629">
        <v>5.1431209999999998</v>
      </c>
      <c r="E629">
        <v>0.47909249999999998</v>
      </c>
      <c r="F629" t="s">
        <v>41</v>
      </c>
      <c r="G629">
        <v>-354.25650000000002</v>
      </c>
      <c r="H629" s="1">
        <v>-2.608257E-6</v>
      </c>
      <c r="I629">
        <v>368.70299999999997</v>
      </c>
      <c r="J629">
        <v>-370.2722</v>
      </c>
      <c r="K629">
        <v>1.1099600000000001</v>
      </c>
      <c r="L629">
        <v>368.24599999999998</v>
      </c>
      <c r="M629">
        <v>0.9999228</v>
      </c>
      <c r="N629">
        <v>0</v>
      </c>
      <c r="O629">
        <v>-2.714335E-3</v>
      </c>
      <c r="P629">
        <v>0.99370099999999995</v>
      </c>
      <c r="Q629">
        <v>0.105770699999999</v>
      </c>
      <c r="R629">
        <v>-3.7026320000000001E-2</v>
      </c>
      <c r="S629">
        <v>3.044403</v>
      </c>
      <c r="T629">
        <v>-0.20902609999999999</v>
      </c>
      <c r="U629">
        <v>8.5998539999999998E-2</v>
      </c>
      <c r="V629">
        <v>3.4339630000000003E-2</v>
      </c>
      <c r="W629">
        <v>0.11781659999999999</v>
      </c>
      <c r="X629">
        <v>0.99244149999999998</v>
      </c>
      <c r="Y629">
        <v>-3.0871160000000002E-2</v>
      </c>
      <c r="Z629">
        <v>1.24446E-3</v>
      </c>
      <c r="AA629">
        <v>0.99952260000000004</v>
      </c>
      <c r="AB629">
        <v>30</v>
      </c>
      <c r="AC629">
        <v>16.015699999999899</v>
      </c>
      <c r="AD629">
        <v>-1.109962608257</v>
      </c>
      <c r="AE629">
        <v>0.45700000000004998</v>
      </c>
      <c r="AF629">
        <v>-0.49808307320510198</v>
      </c>
      <c r="AG629">
        <v>-1.109962608257</v>
      </c>
      <c r="AH629">
        <v>15.937910782811</v>
      </c>
      <c r="AI629">
        <v>93.981875160734106</v>
      </c>
      <c r="AJ629">
        <v>91.789994508494203</v>
      </c>
      <c r="AK629">
        <v>15.984276770013199</v>
      </c>
      <c r="AL629">
        <v>83.233891259591203</v>
      </c>
      <c r="AM629">
        <v>88.018290008975896</v>
      </c>
      <c r="AN629">
        <v>1.00000004617317</v>
      </c>
    </row>
    <row r="630" spans="1:40" x14ac:dyDescent="0.25">
      <c r="A630" t="str">
        <f>"20190312164005348"</f>
        <v>20190312164005348</v>
      </c>
      <c r="B630" t="str">
        <f>"1552380005337112"</f>
        <v>1552380005337112</v>
      </c>
      <c r="C630" t="s">
        <v>40</v>
      </c>
      <c r="D630">
        <v>5.1810029999999996</v>
      </c>
      <c r="E630">
        <v>0.48008020000000001</v>
      </c>
      <c r="F630" t="s">
        <v>41</v>
      </c>
      <c r="G630">
        <v>-353.32850000000002</v>
      </c>
      <c r="H630" s="1">
        <v>-3.0083449999999998E-6</v>
      </c>
      <c r="I630">
        <v>368.69200000000001</v>
      </c>
      <c r="J630">
        <v>-370.00479999999999</v>
      </c>
      <c r="K630">
        <v>1.109945</v>
      </c>
      <c r="L630">
        <v>368.24520000000001</v>
      </c>
      <c r="M630">
        <v>0.99992460000000005</v>
      </c>
      <c r="N630">
        <v>0</v>
      </c>
      <c r="O630">
        <v>-2.7373219999999999E-3</v>
      </c>
      <c r="P630">
        <v>0.99371209999999999</v>
      </c>
      <c r="Q630">
        <v>0.1056337</v>
      </c>
      <c r="R630">
        <v>-3.7120800000000002E-2</v>
      </c>
      <c r="S630">
        <v>3.0431520000000001</v>
      </c>
      <c r="T630">
        <v>-0.19935269999999999</v>
      </c>
      <c r="U630">
        <v>8.0108639999999995E-2</v>
      </c>
      <c r="V630">
        <v>3.441081E-2</v>
      </c>
      <c r="W630">
        <v>0.11752120000000001</v>
      </c>
      <c r="X630">
        <v>0.99247399999999997</v>
      </c>
      <c r="Y630">
        <v>-2.898365E-2</v>
      </c>
      <c r="Z630">
        <v>1.127269E-3</v>
      </c>
      <c r="AA630">
        <v>0.99957929999999995</v>
      </c>
      <c r="AB630">
        <v>30</v>
      </c>
      <c r="AC630">
        <v>16.676299999999902</v>
      </c>
      <c r="AD630">
        <v>-1.109948008345</v>
      </c>
      <c r="AE630">
        <v>0.44679999999993902</v>
      </c>
      <c r="AF630">
        <v>-0.490279608381187</v>
      </c>
      <c r="AG630">
        <v>-1.109948008345</v>
      </c>
      <c r="AH630">
        <v>16.601522039962202</v>
      </c>
      <c r="AI630">
        <v>93.823338672766795</v>
      </c>
      <c r="AJ630">
        <v>91.6915792434135</v>
      </c>
      <c r="AK630">
        <v>16.645807061208298</v>
      </c>
      <c r="AL630">
        <v>83.250934444685996</v>
      </c>
      <c r="AM630">
        <v>88.014250535202393</v>
      </c>
      <c r="AN630">
        <v>0.99999998848514804</v>
      </c>
    </row>
    <row r="631" spans="1:40" x14ac:dyDescent="0.25">
      <c r="A631" t="str">
        <f>"20190312164005371"</f>
        <v>20190312164005371</v>
      </c>
      <c r="B631" t="str">
        <f>"1552380005356632"</f>
        <v>1552380005356632</v>
      </c>
      <c r="C631" t="s">
        <v>40</v>
      </c>
      <c r="D631">
        <v>5.1247759999999998</v>
      </c>
      <c r="E631">
        <v>0.48084510000000003</v>
      </c>
      <c r="F631" t="s">
        <v>41</v>
      </c>
      <c r="G631">
        <v>-351.9391</v>
      </c>
      <c r="H631" s="1">
        <v>-3.6089619999999999E-6</v>
      </c>
      <c r="I631">
        <v>368.6662</v>
      </c>
      <c r="J631">
        <v>-369.70530000000002</v>
      </c>
      <c r="K631">
        <v>1.1099300000000001</v>
      </c>
      <c r="L631">
        <v>368.24439999999998</v>
      </c>
      <c r="M631">
        <v>0.9999266</v>
      </c>
      <c r="N631">
        <v>0</v>
      </c>
      <c r="O631">
        <v>-2.763157E-3</v>
      </c>
      <c r="P631">
        <v>0.99369529999999995</v>
      </c>
      <c r="Q631">
        <v>0.105672</v>
      </c>
      <c r="R631">
        <v>-3.7463709999999997E-2</v>
      </c>
      <c r="S631">
        <v>3.0415040000000002</v>
      </c>
      <c r="T631">
        <v>-0.18686700000000001</v>
      </c>
      <c r="U631">
        <v>7.0892330000000003E-2</v>
      </c>
      <c r="V631">
        <v>3.4728139999999998E-2</v>
      </c>
      <c r="W631">
        <v>0.11739520000000001</v>
      </c>
      <c r="X631">
        <v>0.99247790000000002</v>
      </c>
      <c r="Y631">
        <v>-2.6010269999999999E-2</v>
      </c>
      <c r="Z631">
        <v>9.6775780000000003E-4</v>
      </c>
      <c r="AA631">
        <v>0.99966120000000003</v>
      </c>
      <c r="AB631">
        <v>30</v>
      </c>
      <c r="AC631">
        <v>17.766200000000001</v>
      </c>
      <c r="AD631">
        <v>-1.10993360896199</v>
      </c>
      <c r="AE631">
        <v>0.42180000000001799</v>
      </c>
      <c r="AF631">
        <v>-0.46906285775138901</v>
      </c>
      <c r="AG631">
        <v>-1.10993360896199</v>
      </c>
      <c r="AH631">
        <v>17.695937242197399</v>
      </c>
      <c r="AI631">
        <v>93.587776612054995</v>
      </c>
      <c r="AJ631">
        <v>91.518372836703605</v>
      </c>
      <c r="AK631">
        <v>17.736915387423299</v>
      </c>
      <c r="AL631">
        <v>83.258204311059401</v>
      </c>
      <c r="AM631">
        <v>87.995961060463102</v>
      </c>
      <c r="AN631">
        <v>1.00000002933965</v>
      </c>
    </row>
    <row r="632" spans="1:40" x14ac:dyDescent="0.25">
      <c r="A632" t="str">
        <f>"20190312164005392"</f>
        <v>20190312164005392</v>
      </c>
      <c r="B632" t="str">
        <f>"1552380005386888"</f>
        <v>1552380005386888</v>
      </c>
      <c r="C632" t="s">
        <v>40</v>
      </c>
      <c r="D632">
        <v>5.0542800000000003</v>
      </c>
      <c r="E632">
        <v>0.48155890000000001</v>
      </c>
      <c r="F632" t="s">
        <v>41</v>
      </c>
      <c r="G632">
        <v>-350.97269999999997</v>
      </c>
      <c r="H632" s="1">
        <v>-4.028859E-6</v>
      </c>
      <c r="I632">
        <v>368.63639999999998</v>
      </c>
      <c r="J632">
        <v>-369.41030000000001</v>
      </c>
      <c r="K632">
        <v>1.1099209999999999</v>
      </c>
      <c r="L632">
        <v>368.24360000000001</v>
      </c>
      <c r="M632">
        <v>0.99992809999999999</v>
      </c>
      <c r="N632">
        <v>0</v>
      </c>
      <c r="O632">
        <v>-2.7881410000000001E-3</v>
      </c>
      <c r="P632">
        <v>0.99368509999999999</v>
      </c>
      <c r="Q632">
        <v>0.10565529999999999</v>
      </c>
      <c r="R632">
        <v>-3.7773019999999997E-2</v>
      </c>
      <c r="S632">
        <v>3.0405880000000001</v>
      </c>
      <c r="T632">
        <v>-0.18015809999999999</v>
      </c>
      <c r="U632">
        <v>6.3629149999999995E-2</v>
      </c>
      <c r="V632">
        <v>3.5012759999999997E-2</v>
      </c>
      <c r="W632">
        <v>0.1172295</v>
      </c>
      <c r="X632">
        <v>0.99248740000000002</v>
      </c>
      <c r="Y632">
        <v>-2.3663279999999998E-2</v>
      </c>
      <c r="Z632">
        <v>8.6539669999999996E-4</v>
      </c>
      <c r="AA632">
        <v>0.99971960000000004</v>
      </c>
      <c r="AB632">
        <v>30</v>
      </c>
      <c r="AC632">
        <v>18.4376</v>
      </c>
      <c r="AD632">
        <v>-1.1099250288589999</v>
      </c>
      <c r="AE632">
        <v>0.39279999999996501</v>
      </c>
      <c r="AF632">
        <v>-0.44260535966277398</v>
      </c>
      <c r="AG632">
        <v>-1.1099250288589999</v>
      </c>
      <c r="AH632">
        <v>18.369892264212101</v>
      </c>
      <c r="AI632">
        <v>93.456657061149798</v>
      </c>
      <c r="AJ632">
        <v>91.3802211353579</v>
      </c>
      <c r="AK632">
        <v>18.4087146447776</v>
      </c>
      <c r="AL632">
        <v>83.267763655528995</v>
      </c>
      <c r="AM632">
        <v>87.9795695211929</v>
      </c>
      <c r="AN632">
        <v>0.99999994409591197</v>
      </c>
    </row>
    <row r="633" spans="1:40" x14ac:dyDescent="0.25">
      <c r="A633" t="str">
        <f>"20190312164005406"</f>
        <v>20190312164005406</v>
      </c>
      <c r="B633" t="str">
        <f>"1552380005396649"</f>
        <v>1552380005396649</v>
      </c>
      <c r="C633" t="s">
        <v>40</v>
      </c>
      <c r="D633">
        <v>5.1799150000000003</v>
      </c>
      <c r="E633">
        <v>0.48178979999999999</v>
      </c>
      <c r="F633" t="s">
        <v>41</v>
      </c>
      <c r="G633">
        <v>-351.56799999999998</v>
      </c>
      <c r="H633" s="1">
        <v>-3.7831849999999998E-6</v>
      </c>
      <c r="I633">
        <v>368.58150000000001</v>
      </c>
      <c r="J633">
        <v>-369.23219999999998</v>
      </c>
      <c r="K633">
        <v>1.1099159999999999</v>
      </c>
      <c r="L633">
        <v>368.24299999999999</v>
      </c>
      <c r="M633">
        <v>0.99992919999999996</v>
      </c>
      <c r="N633">
        <v>0</v>
      </c>
      <c r="O633">
        <v>-2.8033820000000001E-3</v>
      </c>
      <c r="P633">
        <v>0.99366639999999995</v>
      </c>
      <c r="Q633">
        <v>0.10581409999999999</v>
      </c>
      <c r="R633">
        <v>-3.7824280000000002E-2</v>
      </c>
      <c r="S633">
        <v>3.041382</v>
      </c>
      <c r="T633">
        <v>-0.18919540000000001</v>
      </c>
      <c r="U633">
        <v>5.7617189999999999E-2</v>
      </c>
      <c r="V633">
        <v>3.5048910000000003E-2</v>
      </c>
      <c r="W633">
        <v>0.1173038</v>
      </c>
      <c r="X633">
        <v>0.99247739999999995</v>
      </c>
      <c r="Y633">
        <v>-2.169666E-2</v>
      </c>
      <c r="Z633">
        <v>8.4834949999999896E-4</v>
      </c>
      <c r="AA633">
        <v>0.99976430000000005</v>
      </c>
      <c r="AB633">
        <v>30</v>
      </c>
      <c r="AC633">
        <v>17.664199999999902</v>
      </c>
      <c r="AD633">
        <v>-1.1099197831849901</v>
      </c>
      <c r="AE633">
        <v>0.33849999999995301</v>
      </c>
      <c r="AF633">
        <v>-0.38649609163295601</v>
      </c>
      <c r="AG633">
        <v>-1.1099197831849901</v>
      </c>
      <c r="AH633">
        <v>17.593744074705398</v>
      </c>
      <c r="AI633">
        <v>93.608912177690499</v>
      </c>
      <c r="AJ633">
        <v>91.258460596602205</v>
      </c>
      <c r="AK633">
        <v>17.632955841837301</v>
      </c>
      <c r="AL633">
        <v>83.263477371479794</v>
      </c>
      <c r="AM633">
        <v>87.977464835708005</v>
      </c>
      <c r="AN633">
        <v>0.99999999854869404</v>
      </c>
    </row>
    <row r="634" spans="1:40" x14ac:dyDescent="0.25">
      <c r="A634" t="str">
        <f>"20190312164005426"</f>
        <v>20190312164005426</v>
      </c>
      <c r="B634" t="str">
        <f>"1552380005417148"</f>
        <v>1552380005417148</v>
      </c>
      <c r="C634" t="s">
        <v>40</v>
      </c>
      <c r="D634">
        <v>5.0767179999999996</v>
      </c>
      <c r="E634">
        <v>0.48225580000000001</v>
      </c>
      <c r="F634" t="s">
        <v>41</v>
      </c>
      <c r="G634">
        <v>-351.42779999999999</v>
      </c>
      <c r="H634" s="1">
        <v>-3.8459249999999999E-6</v>
      </c>
      <c r="I634">
        <v>368.56689999999998</v>
      </c>
      <c r="J634">
        <v>-368.95150000000001</v>
      </c>
      <c r="K634">
        <v>1.109904</v>
      </c>
      <c r="L634">
        <v>368.24220000000003</v>
      </c>
      <c r="M634">
        <v>0.99993069999999895</v>
      </c>
      <c r="N634">
        <v>0</v>
      </c>
      <c r="O634">
        <v>-2.8268519999999999E-3</v>
      </c>
      <c r="P634">
        <v>0.99364889999999995</v>
      </c>
      <c r="Q634">
        <v>0.10597520000000001</v>
      </c>
      <c r="R634">
        <v>-3.7832079999999997E-2</v>
      </c>
      <c r="S634">
        <v>3.0414119999999998</v>
      </c>
      <c r="T634">
        <v>-0.1895992</v>
      </c>
      <c r="U634">
        <v>5.5328370000000002E-2</v>
      </c>
      <c r="V634">
        <v>3.5033549999999997E-2</v>
      </c>
      <c r="W634">
        <v>0.1173389</v>
      </c>
      <c r="X634">
        <v>0.99247379999999996</v>
      </c>
      <c r="Y634">
        <v>-2.0968980000000002E-2</v>
      </c>
      <c r="Z634">
        <v>8.2895769999999998E-4</v>
      </c>
      <c r="AA634">
        <v>0.9997798</v>
      </c>
      <c r="AB634">
        <v>30</v>
      </c>
      <c r="AC634">
        <v>17.523700000000002</v>
      </c>
      <c r="AD634">
        <v>-1.109907845925</v>
      </c>
      <c r="AE634">
        <v>0.32469999999994997</v>
      </c>
      <c r="AF634">
        <v>-0.37274404141878897</v>
      </c>
      <c r="AG634">
        <v>-1.109907845925</v>
      </c>
      <c r="AH634">
        <v>17.452721983670099</v>
      </c>
      <c r="AI634">
        <v>93.638003969446004</v>
      </c>
      <c r="AJ634">
        <v>91.223500502347704</v>
      </c>
      <c r="AK634">
        <v>17.491950668411501</v>
      </c>
      <c r="AL634">
        <v>83.261452350775699</v>
      </c>
      <c r="AM634">
        <v>87.978343138379103</v>
      </c>
      <c r="AN634">
        <v>1.0000000053826199</v>
      </c>
    </row>
    <row r="635" spans="1:40" x14ac:dyDescent="0.25">
      <c r="A635" t="str">
        <f>"20190312164005440"</f>
        <v>20190312164005440</v>
      </c>
      <c r="B635" t="str">
        <f>"1552380005436665"</f>
        <v>1552380005436665</v>
      </c>
      <c r="C635" t="s">
        <v>40</v>
      </c>
      <c r="D635">
        <v>5.1224850000000002</v>
      </c>
      <c r="E635">
        <v>0.48232639999999999</v>
      </c>
      <c r="F635" t="s">
        <v>41</v>
      </c>
      <c r="G635">
        <v>-350.9511</v>
      </c>
      <c r="H635" s="1">
        <v>-4.0535000000000002E-6</v>
      </c>
      <c r="I635">
        <v>368.5496</v>
      </c>
      <c r="J635">
        <v>-368.77379999999999</v>
      </c>
      <c r="K635">
        <v>1.1098980000000001</v>
      </c>
      <c r="L635">
        <v>368.24169999999998</v>
      </c>
      <c r="M635">
        <v>0.99993140000000003</v>
      </c>
      <c r="N635">
        <v>0</v>
      </c>
      <c r="O635">
        <v>-2.8416729999999999E-3</v>
      </c>
      <c r="P635">
        <v>0.99365130000000002</v>
      </c>
      <c r="Q635">
        <v>0.1058991</v>
      </c>
      <c r="R635">
        <v>-3.7977610000000002E-2</v>
      </c>
      <c r="S635">
        <v>3.0411380000000001</v>
      </c>
      <c r="T635">
        <v>-0.1875155</v>
      </c>
      <c r="U635">
        <v>5.1940920000000002E-2</v>
      </c>
      <c r="V635">
        <v>3.516437E-2</v>
      </c>
      <c r="W635">
        <v>0.11718729999999999</v>
      </c>
      <c r="X635">
        <v>0.99248709999999996</v>
      </c>
      <c r="Y635">
        <v>-1.9875190000000001E-2</v>
      </c>
      <c r="Z635">
        <v>7.871725E-4</v>
      </c>
      <c r="AA635">
        <v>0.99980219999999997</v>
      </c>
      <c r="AB635">
        <v>30</v>
      </c>
      <c r="AC635">
        <v>17.822699999999902</v>
      </c>
      <c r="AD635">
        <v>-1.1099020534999999</v>
      </c>
      <c r="AE635">
        <v>0.30790000000001699</v>
      </c>
      <c r="AF635">
        <v>-0.35716359864911801</v>
      </c>
      <c r="AG635">
        <v>-1.1099020534999999</v>
      </c>
      <c r="AH635">
        <v>17.7529254193092</v>
      </c>
      <c r="AI635">
        <v>93.576719070997896</v>
      </c>
      <c r="AJ635">
        <v>91.152554072437297</v>
      </c>
      <c r="AK635">
        <v>17.7911722308599</v>
      </c>
      <c r="AL635">
        <v>83.2701988315915</v>
      </c>
      <c r="AM635">
        <v>87.970827468280405</v>
      </c>
      <c r="AN635">
        <v>1.00000001993259</v>
      </c>
    </row>
    <row r="636" spans="1:40" x14ac:dyDescent="0.25">
      <c r="A636" t="str">
        <f>"20190312164005452"</f>
        <v>20190312164005452</v>
      </c>
      <c r="B636" t="str">
        <f>"1552380005446425"</f>
        <v>1552380005446425</v>
      </c>
      <c r="C636" t="s">
        <v>40</v>
      </c>
      <c r="D636">
        <v>5.131183</v>
      </c>
      <c r="E636">
        <v>0.48239860000000001</v>
      </c>
      <c r="F636" t="s">
        <v>41</v>
      </c>
      <c r="G636">
        <v>-350.41969999999998</v>
      </c>
      <c r="H636" s="1">
        <v>-4.2817199999999997E-6</v>
      </c>
      <c r="I636">
        <v>368.54820000000001</v>
      </c>
      <c r="J636">
        <v>-368.60160000000002</v>
      </c>
      <c r="K636">
        <v>1.109891</v>
      </c>
      <c r="L636">
        <v>368.24119999999999</v>
      </c>
      <c r="M636">
        <v>0.99993209999999999</v>
      </c>
      <c r="N636">
        <v>0</v>
      </c>
      <c r="O636">
        <v>-2.8562969999999998E-3</v>
      </c>
      <c r="P636">
        <v>0.99363279999999998</v>
      </c>
      <c r="Q636">
        <v>0.106077</v>
      </c>
      <c r="R636">
        <v>-3.7968590000000003E-2</v>
      </c>
      <c r="S636">
        <v>3.04068</v>
      </c>
      <c r="T636">
        <v>-0.18387339999999999</v>
      </c>
      <c r="U636">
        <v>5.078125E-2</v>
      </c>
      <c r="V636">
        <v>3.514084E-2</v>
      </c>
      <c r="W636">
        <v>0.11729580000000001</v>
      </c>
      <c r="X636">
        <v>0.99247510000000005</v>
      </c>
      <c r="Y636">
        <v>-1.951346E-2</v>
      </c>
      <c r="Z636">
        <v>7.6198699999999999E-4</v>
      </c>
      <c r="AA636">
        <v>0.99980930000000001</v>
      </c>
      <c r="AB636">
        <v>30</v>
      </c>
      <c r="AC636">
        <v>18.181899999999999</v>
      </c>
      <c r="AD636">
        <v>-1.1098952817200001</v>
      </c>
      <c r="AE636">
        <v>0.30700000000001598</v>
      </c>
      <c r="AF636">
        <v>-0.35760278955324198</v>
      </c>
      <c r="AG636">
        <v>-1.1098952817200001</v>
      </c>
      <c r="AH636">
        <v>18.113470704375001</v>
      </c>
      <c r="AI636">
        <v>93.505709363559802</v>
      </c>
      <c r="AJ636">
        <v>91.131007391410705</v>
      </c>
      <c r="AK636">
        <v>18.150966041776702</v>
      </c>
      <c r="AL636">
        <v>83.263938959063097</v>
      </c>
      <c r="AM636">
        <v>87.972159643564297</v>
      </c>
      <c r="AN636">
        <v>1.00000000372677</v>
      </c>
    </row>
    <row r="637" spans="1:40" x14ac:dyDescent="0.25">
      <c r="A637" t="str">
        <f>"20190312164005470"</f>
        <v>20190312164005470</v>
      </c>
      <c r="B637" t="str">
        <f>"1552380005466921"</f>
        <v>1552380005466921</v>
      </c>
      <c r="C637" t="s">
        <v>40</v>
      </c>
      <c r="D637">
        <v>5.1193330000000001</v>
      </c>
      <c r="E637">
        <v>0.48247020000000002</v>
      </c>
      <c r="F637" t="s">
        <v>41</v>
      </c>
      <c r="G637">
        <v>-349.9819</v>
      </c>
      <c r="H637" s="1">
        <v>-4.4695290000000003E-6</v>
      </c>
      <c r="I637">
        <v>368.54820000000001</v>
      </c>
      <c r="J637">
        <v>-368.36430000000001</v>
      </c>
      <c r="K637">
        <v>1.10988</v>
      </c>
      <c r="L637">
        <v>368.2405</v>
      </c>
      <c r="M637">
        <v>0.99993319999999997</v>
      </c>
      <c r="N637">
        <v>0</v>
      </c>
      <c r="O637">
        <v>-2.8760420000000001E-3</v>
      </c>
      <c r="P637">
        <v>0.9936199</v>
      </c>
      <c r="Q637">
        <v>0.1062683</v>
      </c>
      <c r="R637">
        <v>-3.7773300000000003E-2</v>
      </c>
      <c r="S637">
        <v>3.0404969999999998</v>
      </c>
      <c r="T637">
        <v>-0.18123909999999999</v>
      </c>
      <c r="U637">
        <v>5.0140379999999998E-2</v>
      </c>
      <c r="V637">
        <v>3.4925999999999999E-2</v>
      </c>
      <c r="W637">
        <v>0.11739520000000001</v>
      </c>
      <c r="X637">
        <v>0.99247090000000004</v>
      </c>
      <c r="Y637">
        <v>-1.9324979999999999E-2</v>
      </c>
      <c r="Z637">
        <v>7.4670009999999905E-4</v>
      </c>
      <c r="AA637">
        <v>0.99981299999999995</v>
      </c>
      <c r="AB637">
        <v>30</v>
      </c>
      <c r="AC637">
        <v>18.382400000000001</v>
      </c>
      <c r="AD637">
        <v>-1.109884469529</v>
      </c>
      <c r="AE637">
        <v>0.30770000000001102</v>
      </c>
      <c r="AF637">
        <v>-0.35926129270538798</v>
      </c>
      <c r="AG637">
        <v>-1.109884469529</v>
      </c>
      <c r="AH637">
        <v>18.314692360290501</v>
      </c>
      <c r="AI637">
        <v>93.467261881881996</v>
      </c>
      <c r="AJ637">
        <v>91.123770786847999</v>
      </c>
      <c r="AK637">
        <v>18.3518083159186</v>
      </c>
      <c r="AL637">
        <v>83.258203928808697</v>
      </c>
      <c r="AM637">
        <v>87.984538441313404</v>
      </c>
      <c r="AN637">
        <v>0.99999997290292397</v>
      </c>
    </row>
    <row r="638" spans="1:40" x14ac:dyDescent="0.25">
      <c r="A638" t="str">
        <f>"20190312164005482"</f>
        <v>20190312164005482</v>
      </c>
      <c r="B638" t="str">
        <f>"1552380005476682"</f>
        <v>1552380005476682</v>
      </c>
      <c r="C638" t="s">
        <v>40</v>
      </c>
      <c r="D638">
        <v>5.2892489999999999</v>
      </c>
      <c r="E638">
        <v>0.48252250000000002</v>
      </c>
      <c r="F638" t="s">
        <v>41</v>
      </c>
      <c r="G638">
        <v>-349.34660000000002</v>
      </c>
      <c r="H638" s="1">
        <v>-5.1801009999999996E-7</v>
      </c>
      <c r="I638">
        <v>368.5532</v>
      </c>
      <c r="J638">
        <v>-368.2029</v>
      </c>
      <c r="K638">
        <v>1.1098760000000001</v>
      </c>
      <c r="L638">
        <v>368.24009999999998</v>
      </c>
      <c r="M638">
        <v>0.99993379999999998</v>
      </c>
      <c r="N638">
        <v>0</v>
      </c>
      <c r="O638">
        <v>-2.8895269999999998E-3</v>
      </c>
      <c r="P638">
        <v>0.99363060000000003</v>
      </c>
      <c r="Q638">
        <v>0.10616100000000001</v>
      </c>
      <c r="R638">
        <v>-3.7788799999999997E-2</v>
      </c>
      <c r="S638">
        <v>3.0400999999999998</v>
      </c>
      <c r="T638">
        <v>-0.17742149999999901</v>
      </c>
      <c r="U638">
        <v>4.9987789999999997E-2</v>
      </c>
      <c r="V638">
        <v>3.492808E-2</v>
      </c>
      <c r="W638">
        <v>0.1172276</v>
      </c>
      <c r="X638">
        <v>0.9924906</v>
      </c>
      <c r="Y638">
        <v>-1.92921E-2</v>
      </c>
      <c r="Z638">
        <v>7.3092160000000003E-4</v>
      </c>
      <c r="AA638">
        <v>0.99981359999999997</v>
      </c>
      <c r="AB638">
        <v>30</v>
      </c>
      <c r="AC638">
        <v>18.856299999999901</v>
      </c>
      <c r="AD638">
        <v>-1.1098765180101</v>
      </c>
      <c r="AE638">
        <v>0.31310000000001897</v>
      </c>
      <c r="AF638">
        <v>-0.36631910992385602</v>
      </c>
      <c r="AG638">
        <v>-1.1098765180101</v>
      </c>
      <c r="AH638">
        <v>18.790236302831701</v>
      </c>
      <c r="AI638">
        <v>93.379702145415806</v>
      </c>
      <c r="AJ638">
        <v>91.116850274697299</v>
      </c>
      <c r="AK638">
        <v>18.826550291855899</v>
      </c>
      <c r="AL638">
        <v>83.267873218791905</v>
      </c>
      <c r="AM638">
        <v>87.984458484923607</v>
      </c>
      <c r="AN638">
        <v>0.999999936031301</v>
      </c>
    </row>
    <row r="639" spans="1:40" x14ac:dyDescent="0.25">
      <c r="A639" t="str">
        <f>"20190312164005494"</f>
        <v>20190312164005494</v>
      </c>
      <c r="B639" t="str">
        <f>"1552380005486441"</f>
        <v>1552380005486441</v>
      </c>
      <c r="C639" t="s">
        <v>40</v>
      </c>
      <c r="D639">
        <v>5.0661430000000003</v>
      </c>
      <c r="E639">
        <v>0.48262359999999999</v>
      </c>
      <c r="F639" t="s">
        <v>41</v>
      </c>
      <c r="G639">
        <v>-349.02679999999998</v>
      </c>
      <c r="H639" s="1">
        <v>-6.4159349999999995E-7</v>
      </c>
      <c r="I639">
        <v>368.55040000000002</v>
      </c>
      <c r="J639">
        <v>-368.0367</v>
      </c>
      <c r="K639">
        <v>1.109866</v>
      </c>
      <c r="L639">
        <v>368.23950000000002</v>
      </c>
      <c r="M639">
        <v>0.9999344</v>
      </c>
      <c r="N639">
        <v>0</v>
      </c>
      <c r="O639">
        <v>-2.9034849999999999E-3</v>
      </c>
      <c r="P639">
        <v>0.99361569999999999</v>
      </c>
      <c r="Q639">
        <v>0.1063048</v>
      </c>
      <c r="R639">
        <v>-3.7781780000000001E-2</v>
      </c>
      <c r="S639">
        <v>3.039917</v>
      </c>
      <c r="T639">
        <v>-0.1759444</v>
      </c>
      <c r="U639">
        <v>4.9194340000000003E-2</v>
      </c>
      <c r="V639">
        <v>3.4907170000000001E-2</v>
      </c>
      <c r="W639">
        <v>0.1173095</v>
      </c>
      <c r="X639">
        <v>0.99248170000000002</v>
      </c>
      <c r="Y639">
        <v>-1.904716E-2</v>
      </c>
      <c r="Z639">
        <v>7.1861709999999999E-4</v>
      </c>
      <c r="AA639">
        <v>0.99981830000000005</v>
      </c>
      <c r="AB639">
        <v>30</v>
      </c>
      <c r="AC639">
        <v>19.009899999999998</v>
      </c>
      <c r="AD639">
        <v>-1.1098666415934999</v>
      </c>
      <c r="AE639">
        <v>0.31090000000000301</v>
      </c>
      <c r="AF639">
        <v>-0.36485371250811699</v>
      </c>
      <c r="AG639">
        <v>-1.1098666415934999</v>
      </c>
      <c r="AH639">
        <v>18.944359758842701</v>
      </c>
      <c r="AI639">
        <v>93.352254776375204</v>
      </c>
      <c r="AJ639">
        <v>91.103335983947602</v>
      </c>
      <c r="AK639">
        <v>18.980350072275101</v>
      </c>
      <c r="AL639">
        <v>83.263148369665103</v>
      </c>
      <c r="AM639">
        <v>87.985646063623904</v>
      </c>
      <c r="AN639">
        <v>0.99999997707127397</v>
      </c>
    </row>
    <row r="640" spans="1:40" x14ac:dyDescent="0.25">
      <c r="A640" t="str">
        <f>"20190312164005505"</f>
        <v>20190312164005505</v>
      </c>
      <c r="B640" t="str">
        <f>"1552380005497177"</f>
        <v>1552380005497177</v>
      </c>
      <c r="C640" t="s">
        <v>40</v>
      </c>
      <c r="D640">
        <v>5.0385999999999997</v>
      </c>
      <c r="E640">
        <v>0.48266170000000003</v>
      </c>
      <c r="F640" t="s">
        <v>41</v>
      </c>
      <c r="G640">
        <v>-348.6377</v>
      </c>
      <c r="H640" s="1">
        <v>-8.1391439999999999E-7</v>
      </c>
      <c r="I640">
        <v>368.54820000000001</v>
      </c>
      <c r="J640">
        <v>-367.87529999999998</v>
      </c>
      <c r="K640">
        <v>1.1098589999999999</v>
      </c>
      <c r="L640">
        <v>368.23899999999998</v>
      </c>
      <c r="M640">
        <v>0.99993500000000002</v>
      </c>
      <c r="N640">
        <v>0</v>
      </c>
      <c r="O640">
        <v>-2.9173459999999999E-3</v>
      </c>
      <c r="P640">
        <v>0.99363769999999996</v>
      </c>
      <c r="Q640">
        <v>0.1061154</v>
      </c>
      <c r="R640">
        <v>-3.7735339999999999E-2</v>
      </c>
      <c r="S640">
        <v>3.0397639999999999</v>
      </c>
      <c r="T640">
        <v>-0.1739126</v>
      </c>
      <c r="U640">
        <v>4.8370360000000001E-2</v>
      </c>
      <c r="V640">
        <v>3.4846879999999997E-2</v>
      </c>
      <c r="W640">
        <v>0.11706229999999999</v>
      </c>
      <c r="X640">
        <v>0.99251299999999998</v>
      </c>
      <c r="Y640">
        <v>-1.8792119999999999E-2</v>
      </c>
      <c r="Z640">
        <v>7.0387219999999999E-4</v>
      </c>
      <c r="AA640">
        <v>0.99982320000000002</v>
      </c>
      <c r="AB640">
        <v>30</v>
      </c>
      <c r="AC640">
        <v>19.237599999999901</v>
      </c>
      <c r="AD640">
        <v>-1.10985981391439</v>
      </c>
      <c r="AE640">
        <v>0.30919999999997499</v>
      </c>
      <c r="AF640">
        <v>-0.364113230225656</v>
      </c>
      <c r="AG640">
        <v>-1.10985981391439</v>
      </c>
      <c r="AH640">
        <v>19.172817854041998</v>
      </c>
      <c r="AI640">
        <v>93.312396305198007</v>
      </c>
      <c r="AJ640">
        <v>91.087980076416798</v>
      </c>
      <c r="AK640">
        <v>19.208365670073</v>
      </c>
      <c r="AL640">
        <v>83.277410110446397</v>
      </c>
      <c r="AM640">
        <v>87.989185664216606</v>
      </c>
      <c r="AN640">
        <v>0.99999997114801098</v>
      </c>
    </row>
    <row r="641" spans="1:40" x14ac:dyDescent="0.25">
      <c r="A641" t="str">
        <f>"20190312164005517"</f>
        <v>20190312164005517</v>
      </c>
      <c r="B641" t="str">
        <f>"1552380005506937"</f>
        <v>1552380005506937</v>
      </c>
      <c r="C641" t="s">
        <v>40</v>
      </c>
      <c r="D641">
        <v>5.0785359999999997</v>
      </c>
      <c r="E641">
        <v>0.48251319999999998</v>
      </c>
      <c r="F641" t="s">
        <v>41</v>
      </c>
      <c r="G641">
        <v>-348.45319999999998</v>
      </c>
      <c r="H641" s="1">
        <v>-9.0103800000000002E-7</v>
      </c>
      <c r="I641">
        <v>368.5487</v>
      </c>
      <c r="J641">
        <v>-367.71839999999997</v>
      </c>
      <c r="K641">
        <v>1.109853</v>
      </c>
      <c r="L641">
        <v>368.23860000000002</v>
      </c>
      <c r="M641">
        <v>0.99993560000000004</v>
      </c>
      <c r="N641">
        <v>0</v>
      </c>
      <c r="O641">
        <v>-2.9311039999999999E-3</v>
      </c>
      <c r="P641">
        <v>0.99366390000000004</v>
      </c>
      <c r="Q641">
        <v>0.1058755</v>
      </c>
      <c r="R641">
        <v>-3.7721980000000002E-2</v>
      </c>
      <c r="S641">
        <v>3.039612</v>
      </c>
      <c r="T641">
        <v>-0.1736962</v>
      </c>
      <c r="U641">
        <v>4.8461909999999997E-2</v>
      </c>
      <c r="V641">
        <v>3.4819650000000001E-2</v>
      </c>
      <c r="W641">
        <v>0.1167682</v>
      </c>
      <c r="X641">
        <v>0.9925486</v>
      </c>
      <c r="Y641">
        <v>-1.8836760000000001E-2</v>
      </c>
      <c r="Z641">
        <v>7.0509229999999895E-4</v>
      </c>
      <c r="AA641">
        <v>0.99982230000000005</v>
      </c>
      <c r="AB641">
        <v>30</v>
      </c>
      <c r="AC641">
        <v>19.2652</v>
      </c>
      <c r="AD641">
        <v>-1.109853901038</v>
      </c>
      <c r="AE641">
        <v>0.31009999999997701</v>
      </c>
      <c r="AF641">
        <v>-0.36535812048500399</v>
      </c>
      <c r="AG641">
        <v>-1.109853901038</v>
      </c>
      <c r="AH641">
        <v>19.200501610272301</v>
      </c>
      <c r="AI641">
        <v>93.307611090536895</v>
      </c>
      <c r="AJ641">
        <v>91.090125284814604</v>
      </c>
      <c r="AK641">
        <v>19.2360215305536</v>
      </c>
      <c r="AL641">
        <v>83.294377167037894</v>
      </c>
      <c r="AM641">
        <v>87.990827670565494</v>
      </c>
      <c r="AN641">
        <v>0.99999997195965995</v>
      </c>
    </row>
    <row r="642" spans="1:40" x14ac:dyDescent="0.25">
      <c r="A642" t="str">
        <f>"20190312164005530"</f>
        <v>20190312164005530</v>
      </c>
      <c r="B642" t="str">
        <f>"1552380005526457"</f>
        <v>1552380005526457</v>
      </c>
      <c r="C642" t="s">
        <v>40</v>
      </c>
      <c r="D642">
        <v>5.13795</v>
      </c>
      <c r="E642">
        <v>0.4824252</v>
      </c>
      <c r="F642" t="s">
        <v>41</v>
      </c>
      <c r="G642">
        <v>-348.4119</v>
      </c>
      <c r="H642" s="1">
        <v>-9.196954E-7</v>
      </c>
      <c r="I642">
        <v>368.55349999999999</v>
      </c>
      <c r="J642">
        <v>-367.55290000000002</v>
      </c>
      <c r="K642">
        <v>1.1098460000000001</v>
      </c>
      <c r="L642">
        <v>368.238</v>
      </c>
      <c r="M642">
        <v>0.99993609999999999</v>
      </c>
      <c r="N642">
        <v>0</v>
      </c>
      <c r="O642">
        <v>-2.9451009999999999E-3</v>
      </c>
      <c r="P642">
        <v>0.9936796</v>
      </c>
      <c r="Q642">
        <v>0.1057205</v>
      </c>
      <c r="R642">
        <v>-3.7738630000000002E-2</v>
      </c>
      <c r="S642">
        <v>3.0396420000000002</v>
      </c>
      <c r="T642">
        <v>-0.17473749999999999</v>
      </c>
      <c r="U642">
        <v>4.9591059999999999E-2</v>
      </c>
      <c r="V642">
        <v>3.4822499999999999E-2</v>
      </c>
      <c r="W642">
        <v>0.11655799999999999</v>
      </c>
      <c r="X642">
        <v>0.99257329999999999</v>
      </c>
      <c r="Y642">
        <v>-1.9220830000000001E-2</v>
      </c>
      <c r="Z642">
        <v>7.2113649999999902E-4</v>
      </c>
      <c r="AA642">
        <v>0.99981500000000001</v>
      </c>
      <c r="AB642">
        <v>30</v>
      </c>
      <c r="AC642">
        <v>19.140999999999998</v>
      </c>
      <c r="AD642">
        <v>-1.1098469196953999</v>
      </c>
      <c r="AE642">
        <v>0.315499999999929</v>
      </c>
      <c r="AF642">
        <v>-0.37062845555666701</v>
      </c>
      <c r="AG642">
        <v>-1.1098469196953999</v>
      </c>
      <c r="AH642">
        <v>19.075872198579798</v>
      </c>
      <c r="AI642">
        <v>93.329125960829003</v>
      </c>
      <c r="AJ642">
        <v>91.113069671394499</v>
      </c>
      <c r="AK642">
        <v>19.111724824666499</v>
      </c>
      <c r="AL642">
        <v>83.306504169411298</v>
      </c>
      <c r="AM642">
        <v>87.9907133149148</v>
      </c>
      <c r="AN642">
        <v>1.0000000648715599</v>
      </c>
    </row>
    <row r="643" spans="1:40" x14ac:dyDescent="0.25">
      <c r="A643" t="str">
        <f>"20190312164005544"</f>
        <v>20190312164005544</v>
      </c>
      <c r="B643" t="str">
        <f>"1552380005537378"</f>
        <v>1552380005537378</v>
      </c>
      <c r="C643" t="s">
        <v>40</v>
      </c>
      <c r="D643">
        <v>5.0445669999999998</v>
      </c>
      <c r="E643">
        <v>0.48241050000000002</v>
      </c>
      <c r="F643" t="s">
        <v>41</v>
      </c>
      <c r="G643">
        <v>-348.56189999999998</v>
      </c>
      <c r="H643" s="1">
        <v>-8.4890019999999896E-7</v>
      </c>
      <c r="I643">
        <v>368.553</v>
      </c>
      <c r="J643">
        <v>-367.36509999999998</v>
      </c>
      <c r="K643">
        <v>1.109839</v>
      </c>
      <c r="L643">
        <v>368.23750000000001</v>
      </c>
      <c r="M643">
        <v>0.99993670000000001</v>
      </c>
      <c r="N643">
        <v>0</v>
      </c>
      <c r="O643">
        <v>-2.9606139999999999E-3</v>
      </c>
      <c r="P643">
        <v>0.99370230000000004</v>
      </c>
      <c r="Q643">
        <v>0.1055073</v>
      </c>
      <c r="R643">
        <v>-3.773804E-2</v>
      </c>
      <c r="S643">
        <v>3.0398860000000001</v>
      </c>
      <c r="T643">
        <v>-0.17765300000000001</v>
      </c>
      <c r="U643">
        <v>5.0415040000000001E-2</v>
      </c>
      <c r="V643">
        <v>3.480627E-2</v>
      </c>
      <c r="W643">
        <v>0.11628380000000001</v>
      </c>
      <c r="X643">
        <v>0.99260599999999999</v>
      </c>
      <c r="Y643">
        <v>-1.9504219999999999E-2</v>
      </c>
      <c r="Z643">
        <v>7.4226689999999998E-4</v>
      </c>
      <c r="AA643">
        <v>0.99980950000000002</v>
      </c>
      <c r="AB643">
        <v>30</v>
      </c>
      <c r="AC643">
        <v>18.8032</v>
      </c>
      <c r="AD643">
        <v>-1.1098398489001999</v>
      </c>
      <c r="AE643">
        <v>0.31550000000004202</v>
      </c>
      <c r="AF643">
        <v>-0.36988266826304</v>
      </c>
      <c r="AG643">
        <v>-1.1098398489001999</v>
      </c>
      <c r="AH643">
        <v>18.736925541855499</v>
      </c>
      <c r="AI643">
        <v>93.389167765159499</v>
      </c>
      <c r="AJ643">
        <v>91.130919982748793</v>
      </c>
      <c r="AK643">
        <v>18.773410357191999</v>
      </c>
      <c r="AL643">
        <v>83.3223220335218</v>
      </c>
      <c r="AM643">
        <v>87.991715140195495</v>
      </c>
      <c r="AN643">
        <v>1.0000000349048701</v>
      </c>
    </row>
    <row r="644" spans="1:40" x14ac:dyDescent="0.25">
      <c r="A644" t="str">
        <f>"20190312164005560"</f>
        <v>20190312164005560</v>
      </c>
      <c r="B644" t="str">
        <f>"1552380005556897"</f>
        <v>1552380005556897</v>
      </c>
      <c r="C644" t="s">
        <v>40</v>
      </c>
      <c r="D644">
        <v>5.0412179999999998</v>
      </c>
      <c r="E644">
        <v>0.48261359999999998</v>
      </c>
      <c r="F644" t="s">
        <v>41</v>
      </c>
      <c r="G644">
        <v>-348.53820000000002</v>
      </c>
      <c r="H644" s="1">
        <v>-8.6032460000000003E-7</v>
      </c>
      <c r="I644">
        <v>368.55180000000001</v>
      </c>
      <c r="J644">
        <v>-367.14139999999998</v>
      </c>
      <c r="K644">
        <v>1.109831</v>
      </c>
      <c r="L644">
        <v>368.23680000000002</v>
      </c>
      <c r="M644">
        <v>0.99993739999999998</v>
      </c>
      <c r="N644">
        <v>0</v>
      </c>
      <c r="O644">
        <v>-2.9778629999999999E-3</v>
      </c>
      <c r="P644">
        <v>0.99375860000000005</v>
      </c>
      <c r="Q644">
        <v>0.1049631</v>
      </c>
      <c r="R644">
        <v>-3.7775330000000003E-2</v>
      </c>
      <c r="S644">
        <v>3.0399780000000001</v>
      </c>
      <c r="T644">
        <v>-0.17920520000000001</v>
      </c>
      <c r="U644">
        <v>5.0750730000000001E-2</v>
      </c>
      <c r="V644">
        <v>3.4825830000000002E-2</v>
      </c>
      <c r="W644">
        <v>0.11567040000000001</v>
      </c>
      <c r="X644">
        <v>0.99267700000000003</v>
      </c>
      <c r="Y644">
        <v>-1.9630430000000001E-2</v>
      </c>
      <c r="Z644">
        <v>7.5345009999999897E-4</v>
      </c>
      <c r="AA644">
        <v>0.999807</v>
      </c>
      <c r="AB644">
        <v>30</v>
      </c>
      <c r="AC644">
        <v>18.603199999999902</v>
      </c>
      <c r="AD644">
        <v>-1.1098318603246</v>
      </c>
      <c r="AE644">
        <v>0.314999999999997</v>
      </c>
      <c r="AF644">
        <v>-0.36908637120549798</v>
      </c>
      <c r="AG644">
        <v>-1.1098318603246</v>
      </c>
      <c r="AH644">
        <v>18.536226222964199</v>
      </c>
      <c r="AI644">
        <v>93.425740577351206</v>
      </c>
      <c r="AJ644">
        <v>91.140701295262502</v>
      </c>
      <c r="AK644">
        <v>18.573088975625598</v>
      </c>
      <c r="AL644">
        <v>83.357706160662801</v>
      </c>
      <c r="AM644">
        <v>87.990731076825099</v>
      </c>
      <c r="AN644">
        <v>1.00000005310017</v>
      </c>
    </row>
    <row r="645" spans="1:40" x14ac:dyDescent="0.25">
      <c r="A645" t="str">
        <f>"20190312164005584"</f>
        <v>20190312164005584</v>
      </c>
      <c r="B645" t="str">
        <f>"1552380005577394"</f>
        <v>1552380005577394</v>
      </c>
      <c r="C645" t="s">
        <v>40</v>
      </c>
      <c r="D645">
        <v>5.1352219999999997</v>
      </c>
      <c r="E645">
        <v>0.48276010000000003</v>
      </c>
      <c r="F645" t="s">
        <v>41</v>
      </c>
      <c r="G645">
        <v>-348.71039999999999</v>
      </c>
      <c r="H645" s="1">
        <v>-7.8183880000000001E-7</v>
      </c>
      <c r="I645">
        <v>368.53539999999998</v>
      </c>
      <c r="J645">
        <v>-366.8279</v>
      </c>
      <c r="K645">
        <v>1.109823</v>
      </c>
      <c r="L645">
        <v>368.23579999999998</v>
      </c>
      <c r="M645">
        <v>0.99993840000000001</v>
      </c>
      <c r="N645">
        <v>0</v>
      </c>
      <c r="O645">
        <v>-2.9982160000000002E-3</v>
      </c>
      <c r="P645">
        <v>0.99380659999999998</v>
      </c>
      <c r="Q645">
        <v>0.1045696</v>
      </c>
      <c r="R645">
        <v>-3.759904E-2</v>
      </c>
      <c r="S645">
        <v>3.0400390000000002</v>
      </c>
      <c r="T645">
        <v>-0.183057</v>
      </c>
      <c r="U645">
        <v>4.925537E-2</v>
      </c>
      <c r="V645">
        <v>3.4628590000000001E-2</v>
      </c>
      <c r="W645">
        <v>0.11518970000000001</v>
      </c>
      <c r="X645">
        <v>0.9927397</v>
      </c>
      <c r="Y645">
        <v>-1.915789E-2</v>
      </c>
      <c r="Z645">
        <v>7.5661439999999999E-4</v>
      </c>
      <c r="AA645">
        <v>0.99981620000000004</v>
      </c>
      <c r="AB645">
        <v>30</v>
      </c>
      <c r="AC645">
        <v>18.1175</v>
      </c>
      <c r="AD645">
        <v>-1.1098237818387999</v>
      </c>
      <c r="AE645">
        <v>0.29959999999999798</v>
      </c>
      <c r="AF645">
        <v>-0.35259919498255499</v>
      </c>
      <c r="AG645">
        <v>-1.1098237818387999</v>
      </c>
      <c r="AH645">
        <v>18.048812022704201</v>
      </c>
      <c r="AI645">
        <v>93.518024996079603</v>
      </c>
      <c r="AJ645">
        <v>91.119180376339202</v>
      </c>
      <c r="AK645">
        <v>18.086338779585802</v>
      </c>
      <c r="AL645">
        <v>83.385432956943404</v>
      </c>
      <c r="AM645">
        <v>88.002227630712696</v>
      </c>
      <c r="AN645">
        <v>0.99999995909378303</v>
      </c>
    </row>
    <row r="646" spans="1:40" x14ac:dyDescent="0.25">
      <c r="A646" t="str">
        <f>"20190312164005605"</f>
        <v>20190312164005605</v>
      </c>
      <c r="B646" t="str">
        <f>"1552380005596916"</f>
        <v>1552380005596916</v>
      </c>
      <c r="C646" t="s">
        <v>40</v>
      </c>
      <c r="D646">
        <v>4.9638470000000003</v>
      </c>
      <c r="E646">
        <v>0.482655</v>
      </c>
      <c r="F646" t="s">
        <v>41</v>
      </c>
      <c r="G646">
        <v>-348.69940000000003</v>
      </c>
      <c r="H646" s="1">
        <v>-7.879934E-7</v>
      </c>
      <c r="I646">
        <v>368.5299</v>
      </c>
      <c r="J646">
        <v>-366.53320000000002</v>
      </c>
      <c r="K646">
        <v>1.109809</v>
      </c>
      <c r="L646">
        <v>368.23500000000001</v>
      </c>
      <c r="M646">
        <v>0.99993909999999997</v>
      </c>
      <c r="N646">
        <v>0</v>
      </c>
      <c r="O646">
        <v>-3.0125590000000002E-3</v>
      </c>
      <c r="P646">
        <v>0.99377800000000005</v>
      </c>
      <c r="Q646">
        <v>0.1046738</v>
      </c>
      <c r="R646">
        <v>-3.8061560000000001E-2</v>
      </c>
      <c r="S646">
        <v>3.0401310000000001</v>
      </c>
      <c r="T646">
        <v>-0.186116</v>
      </c>
      <c r="U646">
        <v>4.9316409999999998E-2</v>
      </c>
      <c r="V646">
        <v>3.5076250000000003E-2</v>
      </c>
      <c r="W646">
        <v>0.11522</v>
      </c>
      <c r="X646">
        <v>0.99272050000000001</v>
      </c>
      <c r="Y646">
        <v>-1.9190370000000002E-2</v>
      </c>
      <c r="Z646">
        <v>7.7108169999999998E-4</v>
      </c>
      <c r="AA646">
        <v>0.99981549999999997</v>
      </c>
      <c r="AB646">
        <v>30</v>
      </c>
      <c r="AC646">
        <v>17.833799999999901</v>
      </c>
      <c r="AD646">
        <v>-1.1098097879933999</v>
      </c>
      <c r="AE646">
        <v>0.29489999999998401</v>
      </c>
      <c r="AF646">
        <v>-0.34728252526250197</v>
      </c>
      <c r="AG646">
        <v>-1.1098097879933999</v>
      </c>
      <c r="AH646">
        <v>17.7640552793723</v>
      </c>
      <c r="AI646">
        <v>93.574227763023302</v>
      </c>
      <c r="AJ646">
        <v>91.119974484126999</v>
      </c>
      <c r="AK646">
        <v>17.8020769262037</v>
      </c>
      <c r="AL646">
        <v>83.383685472962895</v>
      </c>
      <c r="AM646">
        <v>87.976383720925099</v>
      </c>
      <c r="AN646">
        <v>0.99999999141715601</v>
      </c>
    </row>
    <row r="647" spans="1:40" x14ac:dyDescent="0.25">
      <c r="A647" t="str">
        <f>"20190312164005616"</f>
        <v>20190312164005616</v>
      </c>
      <c r="B647" t="str">
        <f>"1552380005606674"</f>
        <v>1552380005606674</v>
      </c>
      <c r="C647" t="s">
        <v>40</v>
      </c>
      <c r="D647">
        <v>4.9525860000000002</v>
      </c>
      <c r="E647">
        <v>0.48262310000000003</v>
      </c>
      <c r="F647" t="s">
        <v>41</v>
      </c>
      <c r="G647">
        <v>-348.43529999999998</v>
      </c>
      <c r="H647" s="1">
        <v>-9.134333E-7</v>
      </c>
      <c r="I647">
        <v>368.52659999999997</v>
      </c>
      <c r="J647">
        <v>-366.37439999999998</v>
      </c>
      <c r="K647">
        <v>1.1098049999999999</v>
      </c>
      <c r="L647">
        <v>368.23450000000003</v>
      </c>
      <c r="M647">
        <v>0.99993960000000004</v>
      </c>
      <c r="N647">
        <v>0</v>
      </c>
      <c r="O647">
        <v>-3.0188900000000002E-3</v>
      </c>
      <c r="P647">
        <v>0.99378390000000005</v>
      </c>
      <c r="Q647">
        <v>0.1045991</v>
      </c>
      <c r="R647">
        <v>-3.8119449999999999E-2</v>
      </c>
      <c r="S647">
        <v>3.0402830000000001</v>
      </c>
      <c r="T647">
        <v>-0.18643779999999999</v>
      </c>
      <c r="U647">
        <v>4.8980709999999997E-2</v>
      </c>
      <c r="V647">
        <v>3.5127029999999997E-2</v>
      </c>
      <c r="W647">
        <v>0.11510869999999999</v>
      </c>
      <c r="X647">
        <v>0.99273160000000005</v>
      </c>
      <c r="Y647">
        <v>-1.908557E-2</v>
      </c>
      <c r="Z647">
        <v>7.6955220000000002E-4</v>
      </c>
      <c r="AA647">
        <v>0.99981759999999997</v>
      </c>
      <c r="AB647">
        <v>30</v>
      </c>
      <c r="AC647">
        <v>17.9390999999999</v>
      </c>
      <c r="AD647">
        <v>-1.1098059134333</v>
      </c>
      <c r="AE647">
        <v>0.29209999999994801</v>
      </c>
      <c r="AF647">
        <v>-0.34493803060579697</v>
      </c>
      <c r="AG647">
        <v>-1.1098059134333</v>
      </c>
      <c r="AH647">
        <v>17.869761526691001</v>
      </c>
      <c r="AI647">
        <v>93.553143824708599</v>
      </c>
      <c r="AJ647">
        <v>91.105836763985195</v>
      </c>
      <c r="AK647">
        <v>17.907513183891801</v>
      </c>
      <c r="AL647">
        <v>83.390105100589906</v>
      </c>
      <c r="AM647">
        <v>87.973479206522299</v>
      </c>
      <c r="AN647">
        <v>0.99999997534543505</v>
      </c>
    </row>
    <row r="648" spans="1:40" x14ac:dyDescent="0.25">
      <c r="A648" t="str">
        <f>"20190312164005628"</f>
        <v>20190312164005628</v>
      </c>
      <c r="B648" t="str">
        <f>"1552380005617410"</f>
        <v>1552380005617410</v>
      </c>
      <c r="C648" t="s">
        <v>40</v>
      </c>
      <c r="D648">
        <v>4.954453</v>
      </c>
      <c r="E648">
        <v>0.4826163</v>
      </c>
      <c r="F648" t="s">
        <v>41</v>
      </c>
      <c r="G648">
        <v>-348.36739999999998</v>
      </c>
      <c r="H648" s="1">
        <v>-9.4578830000000003E-7</v>
      </c>
      <c r="I648">
        <v>368.52510000000001</v>
      </c>
      <c r="J648">
        <v>-366.21809999999999</v>
      </c>
      <c r="K648">
        <v>1.109807</v>
      </c>
      <c r="L648">
        <v>368.23399999999998</v>
      </c>
      <c r="M648">
        <v>0.99993989999999999</v>
      </c>
      <c r="N648">
        <v>0</v>
      </c>
      <c r="O648">
        <v>-3.0230980000000001E-3</v>
      </c>
      <c r="P648">
        <v>0.99377230000000005</v>
      </c>
      <c r="Q648">
        <v>0.1045949</v>
      </c>
      <c r="R648">
        <v>-3.8430369999999998E-2</v>
      </c>
      <c r="S648">
        <v>3.040375</v>
      </c>
      <c r="T648">
        <v>-0.1873841</v>
      </c>
      <c r="U648">
        <v>4.9072270000000001E-2</v>
      </c>
      <c r="V648">
        <v>3.5433180000000002E-2</v>
      </c>
      <c r="W648">
        <v>0.1150717</v>
      </c>
      <c r="X648">
        <v>0.99272499999999997</v>
      </c>
      <c r="Y648">
        <v>-1.9118900000000001E-2</v>
      </c>
      <c r="Z648">
        <v>7.7471240000000002E-4</v>
      </c>
      <c r="AA648">
        <v>0.99981690000000001</v>
      </c>
      <c r="AB648">
        <v>30</v>
      </c>
      <c r="AC648">
        <v>17.8507</v>
      </c>
      <c r="AD648">
        <v>-1.1098079457883001</v>
      </c>
      <c r="AE648">
        <v>0.29109999999997099</v>
      </c>
      <c r="AF648">
        <v>-0.34373777957281598</v>
      </c>
      <c r="AG648">
        <v>-1.1098079457883001</v>
      </c>
      <c r="AH648">
        <v>17.7810273072811</v>
      </c>
      <c r="AI648">
        <v>93.570834164198601</v>
      </c>
      <c r="AJ648">
        <v>91.107487820138701</v>
      </c>
      <c r="AK648">
        <v>17.8189438923837</v>
      </c>
      <c r="AL648">
        <v>83.392239163657706</v>
      </c>
      <c r="AM648">
        <v>87.955818383781207</v>
      </c>
      <c r="AN648">
        <v>0.99999996600539998</v>
      </c>
    </row>
    <row r="649" spans="1:40" x14ac:dyDescent="0.25">
      <c r="A649" t="str">
        <f>"20190312164005641"</f>
        <v>20190312164005641</v>
      </c>
      <c r="B649" t="str">
        <f>"1552380005636929"</f>
        <v>1552380005636929</v>
      </c>
      <c r="C649" t="s">
        <v>40</v>
      </c>
      <c r="D649">
        <v>5.063936</v>
      </c>
      <c r="E649">
        <v>0.4828865</v>
      </c>
      <c r="F649" t="s">
        <v>41</v>
      </c>
      <c r="G649">
        <v>-348.27480000000003</v>
      </c>
      <c r="H649" s="1">
        <v>-9.9045960000000007E-7</v>
      </c>
      <c r="I649">
        <v>368.52</v>
      </c>
      <c r="J649">
        <v>-366.04480000000001</v>
      </c>
      <c r="K649">
        <v>1.1098059999999901</v>
      </c>
      <c r="L649">
        <v>368.23349999999999</v>
      </c>
      <c r="M649">
        <v>0.9999403</v>
      </c>
      <c r="N649">
        <v>0</v>
      </c>
      <c r="O649">
        <v>-3.0270549999999999E-3</v>
      </c>
      <c r="P649">
        <v>0.99377669999999996</v>
      </c>
      <c r="Q649">
        <v>0.1044086</v>
      </c>
      <c r="R649">
        <v>-3.8823049999999998E-2</v>
      </c>
      <c r="S649">
        <v>3.0404659999999999</v>
      </c>
      <c r="T649">
        <v>-0.1880559</v>
      </c>
      <c r="U649">
        <v>4.8461909999999997E-2</v>
      </c>
      <c r="V649">
        <v>3.5821199999999997E-2</v>
      </c>
      <c r="W649">
        <v>0.11485099999999999</v>
      </c>
      <c r="X649">
        <v>0.99273670000000003</v>
      </c>
      <c r="Y649">
        <v>-1.8921779999999999E-2</v>
      </c>
      <c r="Z649">
        <v>7.7161690000000002E-4</v>
      </c>
      <c r="AA649">
        <v>0.99982059999999995</v>
      </c>
      <c r="AB649">
        <v>30</v>
      </c>
      <c r="AC649">
        <v>17.7699999999999</v>
      </c>
      <c r="AD649">
        <v>-1.10980699045959</v>
      </c>
      <c r="AE649">
        <v>0.28649999999998899</v>
      </c>
      <c r="AF649">
        <v>-0.33897060902703302</v>
      </c>
      <c r="AG649">
        <v>-1.10980699045959</v>
      </c>
      <c r="AH649">
        <v>17.7000302871004</v>
      </c>
      <c r="AI649">
        <v>93.587141438003897</v>
      </c>
      <c r="AJ649">
        <v>91.097128714599606</v>
      </c>
      <c r="AK649">
        <v>17.738028210433299</v>
      </c>
      <c r="AL649">
        <v>83.4049691843083</v>
      </c>
      <c r="AM649">
        <v>87.933476694428606</v>
      </c>
      <c r="AN649">
        <v>1.00000003304866</v>
      </c>
    </row>
    <row r="650" spans="1:40" x14ac:dyDescent="0.25">
      <c r="A650" t="str">
        <f>"20190312164005652"</f>
        <v>20190312164005652</v>
      </c>
      <c r="B650" t="str">
        <f>"1552380005646690"</f>
        <v>1552380005646690</v>
      </c>
      <c r="C650" t="s">
        <v>40</v>
      </c>
      <c r="D650">
        <v>5.0146990000000002</v>
      </c>
      <c r="E650">
        <v>0.48299439999999999</v>
      </c>
      <c r="F650" t="s">
        <v>41</v>
      </c>
      <c r="G650">
        <v>-348.0711</v>
      </c>
      <c r="H650" s="1">
        <v>-1.090455E-6</v>
      </c>
      <c r="I650">
        <v>368.4991</v>
      </c>
      <c r="J650">
        <v>-365.88170000000002</v>
      </c>
      <c r="K650">
        <v>1.109804</v>
      </c>
      <c r="L650">
        <v>368.233</v>
      </c>
      <c r="M650">
        <v>0.99994059999999996</v>
      </c>
      <c r="N650">
        <v>0</v>
      </c>
      <c r="O650">
        <v>-3.0293749999999999E-3</v>
      </c>
      <c r="P650">
        <v>0.99376469999999995</v>
      </c>
      <c r="Q650">
        <v>0.10452110000000001</v>
      </c>
      <c r="R650">
        <v>-3.882857E-2</v>
      </c>
      <c r="S650">
        <v>3.0402830000000001</v>
      </c>
      <c r="T650">
        <v>-0.187726</v>
      </c>
      <c r="U650">
        <v>4.4921879999999997E-2</v>
      </c>
      <c r="V650">
        <v>3.582399E-2</v>
      </c>
      <c r="W650">
        <v>0.11493339999999901</v>
      </c>
      <c r="X650">
        <v>0.99272700000000003</v>
      </c>
      <c r="Y650">
        <v>-1.7763499999999901E-2</v>
      </c>
      <c r="Z650">
        <v>7.347384E-4</v>
      </c>
      <c r="AA650">
        <v>0.99984189999999995</v>
      </c>
      <c r="AB650">
        <v>30</v>
      </c>
      <c r="AC650">
        <v>17.810600000000001</v>
      </c>
      <c r="AD650">
        <v>-1.1098050904549901</v>
      </c>
      <c r="AE650">
        <v>0.26609999999999401</v>
      </c>
      <c r="AF650">
        <v>-0.31881911291685699</v>
      </c>
      <c r="AG650">
        <v>-1.1098050904549901</v>
      </c>
      <c r="AH650">
        <v>17.740844705086399</v>
      </c>
      <c r="AI650">
        <v>93.578982408158097</v>
      </c>
      <c r="AJ650">
        <v>91.029546440407302</v>
      </c>
      <c r="AK650">
        <v>17.778382485916801</v>
      </c>
      <c r="AL650">
        <v>83.400216126158597</v>
      </c>
      <c r="AM650">
        <v>87.933295702837398</v>
      </c>
      <c r="AN650">
        <v>0.99999997061203905</v>
      </c>
    </row>
    <row r="651" spans="1:40" x14ac:dyDescent="0.25">
      <c r="A651" t="str">
        <f>"20190312164005672"</f>
        <v>20190312164005672</v>
      </c>
      <c r="B651" t="str">
        <f>"1552380005667185"</f>
        <v>1552380005667185</v>
      </c>
      <c r="C651" t="s">
        <v>40</v>
      </c>
      <c r="D651">
        <v>5.0650360000000001</v>
      </c>
      <c r="E651">
        <v>0.48315380000000002</v>
      </c>
      <c r="F651" t="s">
        <v>41</v>
      </c>
      <c r="G651">
        <v>-347.9436</v>
      </c>
      <c r="H651" s="1">
        <v>-1.151364E-6</v>
      </c>
      <c r="I651">
        <v>368.49549999999999</v>
      </c>
      <c r="J651">
        <v>-365.63380000000001</v>
      </c>
      <c r="K651">
        <v>1.109804</v>
      </c>
      <c r="L651">
        <v>368.23219999999998</v>
      </c>
      <c r="M651">
        <v>0.99994090000000002</v>
      </c>
      <c r="N651">
        <v>0</v>
      </c>
      <c r="O651">
        <v>-3.0311560000000001E-3</v>
      </c>
      <c r="P651">
        <v>0.9937513</v>
      </c>
      <c r="Q651">
        <v>0.1044571</v>
      </c>
      <c r="R651">
        <v>-3.933416E-2</v>
      </c>
      <c r="S651">
        <v>3.040314</v>
      </c>
      <c r="T651">
        <v>-0.18810070000000001</v>
      </c>
      <c r="U651">
        <v>4.449463E-2</v>
      </c>
      <c r="V651">
        <v>3.6327249999999998E-2</v>
      </c>
      <c r="W651">
        <v>0.11482820000000001</v>
      </c>
      <c r="X651">
        <v>0.99272090000000002</v>
      </c>
      <c r="Y651">
        <v>-1.762476E-2</v>
      </c>
      <c r="Z651">
        <v>7.3201789999999896E-4</v>
      </c>
      <c r="AA651">
        <v>0.99984439999999997</v>
      </c>
      <c r="AB651">
        <v>30</v>
      </c>
      <c r="AC651">
        <v>17.690200000000001</v>
      </c>
      <c r="AD651">
        <v>-1.1098051513639999</v>
      </c>
      <c r="AE651">
        <v>0.26330000000001502</v>
      </c>
      <c r="AF651">
        <v>-0.31568130012605899</v>
      </c>
      <c r="AG651">
        <v>-1.1098051513639999</v>
      </c>
      <c r="AH651">
        <v>17.6199879906906</v>
      </c>
      <c r="AI651">
        <v>93.603470164014198</v>
      </c>
      <c r="AJ651">
        <v>91.026406561806098</v>
      </c>
      <c r="AK651">
        <v>17.657726324454298</v>
      </c>
      <c r="AL651">
        <v>83.406283909764596</v>
      </c>
      <c r="AM651">
        <v>87.904275219511504</v>
      </c>
      <c r="AN651">
        <v>0.99999998495230602</v>
      </c>
    </row>
    <row r="652" spans="1:40" x14ac:dyDescent="0.25">
      <c r="A652" t="str">
        <f>"20190312164005694"</f>
        <v>20190312164005694</v>
      </c>
      <c r="B652" t="str">
        <f>"1552380005686705"</f>
        <v>1552380005686705</v>
      </c>
      <c r="C652" t="s">
        <v>40</v>
      </c>
      <c r="D652">
        <v>5.0137530000000003</v>
      </c>
      <c r="E652">
        <v>0.4833442</v>
      </c>
      <c r="F652" t="s">
        <v>41</v>
      </c>
      <c r="G652">
        <v>-347.60559999999998</v>
      </c>
      <c r="H652" s="1">
        <v>-1.3134819999999999E-6</v>
      </c>
      <c r="I652">
        <v>368.48230000000001</v>
      </c>
      <c r="J652">
        <v>-365.3098</v>
      </c>
      <c r="K652">
        <v>1.109804</v>
      </c>
      <c r="L652">
        <v>368.2312</v>
      </c>
      <c r="M652">
        <v>0.99994130000000003</v>
      </c>
      <c r="N652">
        <v>0</v>
      </c>
      <c r="O652">
        <v>-3.0246460000000002E-3</v>
      </c>
      <c r="P652">
        <v>0.99372349999999998</v>
      </c>
      <c r="Q652">
        <v>0.104631</v>
      </c>
      <c r="R652">
        <v>-3.9570050000000002E-2</v>
      </c>
      <c r="S652">
        <v>3.0401609999999999</v>
      </c>
      <c r="T652">
        <v>-0.18715080000000001</v>
      </c>
      <c r="U652">
        <v>4.2175289999999997E-2</v>
      </c>
      <c r="V652">
        <v>3.6568330000000003E-2</v>
      </c>
      <c r="W652">
        <v>0.11495470000000001</v>
      </c>
      <c r="X652">
        <v>0.99269739999999995</v>
      </c>
      <c r="Y652">
        <v>-1.6858209999999998E-2</v>
      </c>
      <c r="Z652">
        <v>7.0439750000000001E-4</v>
      </c>
      <c r="AA652">
        <v>0.99985769999999996</v>
      </c>
      <c r="AB652">
        <v>31</v>
      </c>
      <c r="AC652">
        <v>17.7042</v>
      </c>
      <c r="AD652">
        <v>-1.1098053134819901</v>
      </c>
      <c r="AE652">
        <v>0.25110000000000798</v>
      </c>
      <c r="AF652">
        <v>-0.30345847711480101</v>
      </c>
      <c r="AG652">
        <v>-1.1098053134819901</v>
      </c>
      <c r="AH652">
        <v>17.634079708987802</v>
      </c>
      <c r="AI652">
        <v>93.600643272152396</v>
      </c>
      <c r="AJ652">
        <v>90.985884961753996</v>
      </c>
      <c r="AK652">
        <v>17.671573842306699</v>
      </c>
      <c r="AL652">
        <v>83.398987624813699</v>
      </c>
      <c r="AM652">
        <v>87.8903299058709</v>
      </c>
      <c r="AN652">
        <v>0.99999997688891895</v>
      </c>
    </row>
    <row r="653" spans="1:40" x14ac:dyDescent="0.25">
      <c r="A653" t="str">
        <f>"20190312164005706"</f>
        <v>20190312164005706</v>
      </c>
      <c r="B653" t="str">
        <f>"1552380005696465"</f>
        <v>1552380005696465</v>
      </c>
      <c r="C653" t="s">
        <v>40</v>
      </c>
      <c r="D653">
        <v>5.1357160000000004</v>
      </c>
      <c r="E653">
        <v>0.48349639999999999</v>
      </c>
      <c r="F653" t="s">
        <v>41</v>
      </c>
      <c r="G653">
        <v>-347.26420000000002</v>
      </c>
      <c r="H653" s="1">
        <v>-1.477652E-6</v>
      </c>
      <c r="I653">
        <v>368.4667</v>
      </c>
      <c r="J653">
        <v>-365.15480000000002</v>
      </c>
      <c r="K653">
        <v>1.1098059999999901</v>
      </c>
      <c r="L653">
        <v>368.23079999999999</v>
      </c>
      <c r="M653">
        <v>0.99994179999999999</v>
      </c>
      <c r="N653">
        <v>0</v>
      </c>
      <c r="O653">
        <v>-3.0141109999999999E-3</v>
      </c>
      <c r="P653">
        <v>0.99375559999999996</v>
      </c>
      <c r="Q653">
        <v>0.1044114</v>
      </c>
      <c r="R653">
        <v>-3.9347500000000001E-2</v>
      </c>
      <c r="S653">
        <v>3.040222</v>
      </c>
      <c r="T653">
        <v>-0.18697369999999999</v>
      </c>
      <c r="U653">
        <v>3.9672850000000003E-2</v>
      </c>
      <c r="V653">
        <v>3.6354850000000001E-2</v>
      </c>
      <c r="W653">
        <v>0.114716</v>
      </c>
      <c r="X653">
        <v>0.99273290000000003</v>
      </c>
      <c r="Y653">
        <v>-1.6026209999999999E-2</v>
      </c>
      <c r="Z653">
        <v>6.7751559999999897E-4</v>
      </c>
      <c r="AA653">
        <v>0.99987130000000002</v>
      </c>
      <c r="AB653">
        <v>31</v>
      </c>
      <c r="AC653">
        <v>17.890599999999999</v>
      </c>
      <c r="AD653">
        <v>-1.1098074776519999</v>
      </c>
      <c r="AE653">
        <v>0.23590000000001499</v>
      </c>
      <c r="AF653">
        <v>-0.28871526629706601</v>
      </c>
      <c r="AG653">
        <v>-1.1098074776519999</v>
      </c>
      <c r="AH653">
        <v>17.821241794818899</v>
      </c>
      <c r="AI653">
        <v>93.562993306470105</v>
      </c>
      <c r="AJ653">
        <v>90.928146278336897</v>
      </c>
      <c r="AK653">
        <v>17.858098674042701</v>
      </c>
      <c r="AL653">
        <v>83.412755513438697</v>
      </c>
      <c r="AM653">
        <v>87.902709721957194</v>
      </c>
      <c r="AN653">
        <v>1.00000002325846</v>
      </c>
    </row>
    <row r="654" spans="1:40" x14ac:dyDescent="0.25">
      <c r="A654" t="str">
        <f>"20190312164005718"</f>
        <v>20190312164005718</v>
      </c>
      <c r="B654" t="str">
        <f>"1552380005707201"</f>
        <v>1552380005707201</v>
      </c>
      <c r="C654" t="s">
        <v>40</v>
      </c>
      <c r="D654">
        <v>5.167103</v>
      </c>
      <c r="E654">
        <v>0.48367389999999999</v>
      </c>
      <c r="F654" t="s">
        <v>41</v>
      </c>
      <c r="G654">
        <v>-347.19600000000003</v>
      </c>
      <c r="H654" s="1">
        <v>-1.510355E-6</v>
      </c>
      <c r="I654">
        <v>368.46390000000002</v>
      </c>
      <c r="J654">
        <v>-364.98520000000002</v>
      </c>
      <c r="K654">
        <v>1.109809</v>
      </c>
      <c r="L654">
        <v>368.2303</v>
      </c>
      <c r="M654">
        <v>0.999942</v>
      </c>
      <c r="N654">
        <v>0</v>
      </c>
      <c r="O654">
        <v>-2.999144E-3</v>
      </c>
      <c r="P654">
        <v>0.99375550000000001</v>
      </c>
      <c r="Q654">
        <v>0.1043654</v>
      </c>
      <c r="R654">
        <v>-3.9473719999999997E-2</v>
      </c>
      <c r="S654">
        <v>3.0401310000000001</v>
      </c>
      <c r="T654">
        <v>-0.18787229999999999</v>
      </c>
      <c r="U654">
        <v>3.9459229999999998E-2</v>
      </c>
      <c r="V654">
        <v>3.6494310000000002E-2</v>
      </c>
      <c r="W654">
        <v>0.1146501</v>
      </c>
      <c r="X654">
        <v>0.99273540000000005</v>
      </c>
      <c r="Y654">
        <v>-1.5941230000000001E-2</v>
      </c>
      <c r="Z654">
        <v>6.7723920000000001E-4</v>
      </c>
      <c r="AA654">
        <v>0.99987269999999995</v>
      </c>
      <c r="AB654">
        <v>31</v>
      </c>
      <c r="AC654">
        <v>17.789200000000001</v>
      </c>
      <c r="AD654">
        <v>-1.109810510355</v>
      </c>
      <c r="AE654">
        <v>0.23360000000002301</v>
      </c>
      <c r="AF654">
        <v>-0.28584184098288301</v>
      </c>
      <c r="AG654">
        <v>-1.109810510355</v>
      </c>
      <c r="AH654">
        <v>17.719465174347299</v>
      </c>
      <c r="AI654">
        <v>93.583418923868294</v>
      </c>
      <c r="AJ654">
        <v>90.924187639886398</v>
      </c>
      <c r="AK654">
        <v>17.756487011564499</v>
      </c>
      <c r="AL654">
        <v>83.416556409263407</v>
      </c>
      <c r="AM654">
        <v>87.894676878324304</v>
      </c>
      <c r="AN654">
        <v>1.00000002725277</v>
      </c>
    </row>
    <row r="655" spans="1:40" x14ac:dyDescent="0.25">
      <c r="A655" t="str">
        <f>"20190312164005730"</f>
        <v>20190312164005730</v>
      </c>
      <c r="B655" t="str">
        <f>"1552380005726722"</f>
        <v>1552380005726722</v>
      </c>
      <c r="C655" t="s">
        <v>40</v>
      </c>
      <c r="D655">
        <v>4.9747159999999999</v>
      </c>
      <c r="E655">
        <v>0.48382009999999998</v>
      </c>
      <c r="F655" t="s">
        <v>41</v>
      </c>
      <c r="G655">
        <v>-347.07690000000002</v>
      </c>
      <c r="H655" s="1">
        <v>-1.569301E-6</v>
      </c>
      <c r="I655">
        <v>368.44900000000001</v>
      </c>
      <c r="J655">
        <v>-364.82499999999999</v>
      </c>
      <c r="K655">
        <v>1.1098170000000001</v>
      </c>
      <c r="L655">
        <v>368.22980000000001</v>
      </c>
      <c r="M655">
        <v>0.9999422</v>
      </c>
      <c r="N655">
        <v>0</v>
      </c>
      <c r="O655">
        <v>-2.9743970000000002E-3</v>
      </c>
      <c r="P655">
        <v>0.99374779999999996</v>
      </c>
      <c r="Q655">
        <v>0.1044136</v>
      </c>
      <c r="R655">
        <v>-3.954104E-2</v>
      </c>
      <c r="S655">
        <v>3.0401609999999999</v>
      </c>
      <c r="T655">
        <v>-0.18840470000000001</v>
      </c>
      <c r="U655">
        <v>3.7139890000000002E-2</v>
      </c>
      <c r="V655">
        <v>3.6583459999999998E-2</v>
      </c>
      <c r="W655">
        <v>0.1146842</v>
      </c>
      <c r="X655">
        <v>0.99272819999999995</v>
      </c>
      <c r="Y655">
        <v>-1.515502E-2</v>
      </c>
      <c r="Z655">
        <v>6.5328160000000001E-4</v>
      </c>
      <c r="AA655">
        <v>0.99988500000000002</v>
      </c>
      <c r="AB655">
        <v>31</v>
      </c>
      <c r="AC655">
        <v>17.748099999999901</v>
      </c>
      <c r="AD655">
        <v>-1.1098185693009901</v>
      </c>
      <c r="AE655">
        <v>0.21920000000000001</v>
      </c>
      <c r="AF655">
        <v>-0.27093250174224998</v>
      </c>
      <c r="AG655">
        <v>-1.1098185693009901</v>
      </c>
      <c r="AH655">
        <v>17.678254290576501</v>
      </c>
      <c r="AI655">
        <v>93.591822017342494</v>
      </c>
      <c r="AJ655">
        <v>90.878032040723298</v>
      </c>
      <c r="AK655">
        <v>17.715128462406199</v>
      </c>
      <c r="AL655">
        <v>83.414589782211095</v>
      </c>
      <c r="AM655">
        <v>87.889523249181096</v>
      </c>
      <c r="AN655">
        <v>1.00000004717522</v>
      </c>
    </row>
    <row r="656" spans="1:40" x14ac:dyDescent="0.25">
      <c r="A656" t="str">
        <f>"20190312164005751"</f>
        <v>20190312164005751</v>
      </c>
      <c r="B656" t="str">
        <f>"1552380005747217"</f>
        <v>1552380005747217</v>
      </c>
      <c r="C656" t="s">
        <v>40</v>
      </c>
      <c r="D656">
        <v>5.2316159999999998</v>
      </c>
      <c r="E656">
        <v>0.48396030000000001</v>
      </c>
      <c r="F656" t="s">
        <v>41</v>
      </c>
      <c r="G656">
        <v>-346.83800000000002</v>
      </c>
      <c r="H656" s="1">
        <v>-1.68339E-6</v>
      </c>
      <c r="I656">
        <v>368.4427</v>
      </c>
      <c r="J656">
        <v>-364.5455</v>
      </c>
      <c r="K656">
        <v>1.1098319999999999</v>
      </c>
      <c r="L656">
        <v>368.22899999999998</v>
      </c>
      <c r="M656">
        <v>0.99994260000000001</v>
      </c>
      <c r="N656">
        <v>0</v>
      </c>
      <c r="O656">
        <v>-2.9188700000000001E-3</v>
      </c>
      <c r="P656">
        <v>0.9937703</v>
      </c>
      <c r="Q656">
        <v>0.1041255</v>
      </c>
      <c r="R656">
        <v>-3.9734819999999997E-2</v>
      </c>
      <c r="S656">
        <v>3.0400390000000002</v>
      </c>
      <c r="T656">
        <v>-0.18757299999999999</v>
      </c>
      <c r="U656">
        <v>3.598022E-2</v>
      </c>
      <c r="V656">
        <v>3.6827430000000001E-2</v>
      </c>
      <c r="W656">
        <v>0.1143768</v>
      </c>
      <c r="X656">
        <v>0.99275460000000004</v>
      </c>
      <c r="Y656">
        <v>-1.471985E-2</v>
      </c>
      <c r="Z656">
        <v>6.3359590000000002E-4</v>
      </c>
      <c r="AA656">
        <v>0.99989150000000004</v>
      </c>
      <c r="AB656">
        <v>31</v>
      </c>
      <c r="AC656">
        <v>17.7074999999999</v>
      </c>
      <c r="AD656">
        <v>-1.10983368339</v>
      </c>
      <c r="AE656">
        <v>0.21369999999996001</v>
      </c>
      <c r="AF656">
        <v>-0.26434944211774702</v>
      </c>
      <c r="AG656">
        <v>-1.10983368339</v>
      </c>
      <c r="AH656">
        <v>17.637525894136001</v>
      </c>
      <c r="AI656">
        <v>93.600161709894806</v>
      </c>
      <c r="AJ656">
        <v>90.858679015860105</v>
      </c>
      <c r="AK656">
        <v>17.674386300481601</v>
      </c>
      <c r="AL656">
        <v>83.432318882700002</v>
      </c>
      <c r="AM656">
        <v>87.875518073867298</v>
      </c>
      <c r="AN656">
        <v>1.0000000038999</v>
      </c>
    </row>
    <row r="657" spans="1:40" x14ac:dyDescent="0.25">
      <c r="A657" t="str">
        <f>"20190312164005773"</f>
        <v>20190312164005773</v>
      </c>
      <c r="B657" t="str">
        <f>"1552380005766738"</f>
        <v>1552380005766738</v>
      </c>
      <c r="C657" t="s">
        <v>40</v>
      </c>
      <c r="D657">
        <v>5.1113200000000001</v>
      </c>
      <c r="E657">
        <v>0.4841086</v>
      </c>
      <c r="F657" t="s">
        <v>41</v>
      </c>
      <c r="G657">
        <v>-346.58789999999999</v>
      </c>
      <c r="H657" s="1">
        <v>-1.8033120000000001E-6</v>
      </c>
      <c r="I657">
        <v>368.43310000000002</v>
      </c>
      <c r="J657">
        <v>-364.23939999999999</v>
      </c>
      <c r="K657">
        <v>1.1098410000000001</v>
      </c>
      <c r="L657">
        <v>368.22820000000002</v>
      </c>
      <c r="M657">
        <v>0.99994300000000003</v>
      </c>
      <c r="N657">
        <v>0</v>
      </c>
      <c r="O657">
        <v>-2.83351E-3</v>
      </c>
      <c r="P657">
        <v>0.99378509999999998</v>
      </c>
      <c r="Q657">
        <v>0.1038845</v>
      </c>
      <c r="R657">
        <v>-3.999233E-2</v>
      </c>
      <c r="S657">
        <v>3.0398860000000001</v>
      </c>
      <c r="T657">
        <v>-0.18787400000000001</v>
      </c>
      <c r="U657">
        <v>3.4545899999999997E-2</v>
      </c>
      <c r="V657">
        <v>3.7163660000000001E-2</v>
      </c>
      <c r="W657">
        <v>0.1141215</v>
      </c>
      <c r="X657">
        <v>0.99277139999999997</v>
      </c>
      <c r="Y657">
        <v>-1.416448E-2</v>
      </c>
      <c r="Z657">
        <v>6.1222860000000002E-4</v>
      </c>
      <c r="AA657">
        <v>0.99989950000000005</v>
      </c>
      <c r="AB657">
        <v>31</v>
      </c>
      <c r="AC657">
        <v>17.651499999999999</v>
      </c>
      <c r="AD657">
        <v>-1.109842803312</v>
      </c>
      <c r="AE657">
        <v>0.20490000000000899</v>
      </c>
      <c r="AF657">
        <v>-0.25391386707258801</v>
      </c>
      <c r="AG657">
        <v>-1.109842803312</v>
      </c>
      <c r="AH657">
        <v>17.581353525342699</v>
      </c>
      <c r="AI657">
        <v>93.611692335217001</v>
      </c>
      <c r="AJ657">
        <v>90.827421027150905</v>
      </c>
      <c r="AK657">
        <v>17.618178540446099</v>
      </c>
      <c r="AL657">
        <v>83.447042574638303</v>
      </c>
      <c r="AM657">
        <v>87.856176072200796</v>
      </c>
      <c r="AN657">
        <v>0.99999995352240101</v>
      </c>
    </row>
    <row r="658" spans="1:40" x14ac:dyDescent="0.25">
      <c r="A658" t="str">
        <f>"20190312164005795"</f>
        <v>20190312164005795</v>
      </c>
      <c r="B658" t="str">
        <f>"1552380005787237"</f>
        <v>1552380005787237</v>
      </c>
      <c r="C658" t="s">
        <v>40</v>
      </c>
      <c r="D658">
        <v>5.1738589999999904</v>
      </c>
      <c r="E658">
        <v>0.48418470000000002</v>
      </c>
      <c r="F658" t="s">
        <v>41</v>
      </c>
      <c r="G658">
        <v>-346.30689999999998</v>
      </c>
      <c r="H658" s="1">
        <v>-1.9379940000000002E-6</v>
      </c>
      <c r="I658">
        <v>368.42259999999999</v>
      </c>
      <c r="J658">
        <v>-363.93599999999998</v>
      </c>
      <c r="K658">
        <v>1.109853</v>
      </c>
      <c r="L658">
        <v>368.22739999999999</v>
      </c>
      <c r="M658">
        <v>0.99994349999999999</v>
      </c>
      <c r="N658">
        <v>0</v>
      </c>
      <c r="O658">
        <v>-2.7226720000000002E-3</v>
      </c>
      <c r="P658">
        <v>0.99380710000000005</v>
      </c>
      <c r="Q658">
        <v>0.1035797</v>
      </c>
      <c r="R658">
        <v>-4.0237479999999999E-2</v>
      </c>
      <c r="S658">
        <v>3.0397639999999999</v>
      </c>
      <c r="T658">
        <v>-0.1881304</v>
      </c>
      <c r="U658">
        <v>3.2958979999999999E-2</v>
      </c>
      <c r="V658">
        <v>3.7512749999999997E-2</v>
      </c>
      <c r="W658">
        <v>0.113806</v>
      </c>
      <c r="X658">
        <v>0.99279450000000002</v>
      </c>
      <c r="Y658">
        <v>-1.353349E-2</v>
      </c>
      <c r="Z658">
        <v>5.8672889999999999E-4</v>
      </c>
      <c r="AA658">
        <v>0.99990829999999997</v>
      </c>
      <c r="AB658">
        <v>31</v>
      </c>
      <c r="AC658">
        <v>17.629099999999902</v>
      </c>
      <c r="AD658">
        <v>-1.1098549379939999</v>
      </c>
      <c r="AE658">
        <v>0.19519999999999901</v>
      </c>
      <c r="AF658">
        <v>-0.24224008145863901</v>
      </c>
      <c r="AG658">
        <v>-1.1098549379939999</v>
      </c>
      <c r="AH658">
        <v>17.558917992343201</v>
      </c>
      <c r="AI658">
        <v>93.616367204095596</v>
      </c>
      <c r="AJ658">
        <v>90.790393455543295</v>
      </c>
      <c r="AK658">
        <v>17.59562614124</v>
      </c>
      <c r="AL658">
        <v>83.465238017989407</v>
      </c>
      <c r="AM658">
        <v>87.836107814059702</v>
      </c>
      <c r="AN658">
        <v>0.99999996563940496</v>
      </c>
    </row>
    <row r="659" spans="1:40" x14ac:dyDescent="0.25">
      <c r="A659" t="str">
        <f>"20190312164005806"</f>
        <v>20190312164005806</v>
      </c>
      <c r="B659" t="str">
        <f>"1552380005796993"</f>
        <v>1552380005796993</v>
      </c>
      <c r="C659" t="s">
        <v>40</v>
      </c>
      <c r="D659">
        <v>5.0164600000000004</v>
      </c>
      <c r="E659">
        <v>0.48423749999999999</v>
      </c>
      <c r="F659" t="s">
        <v>41</v>
      </c>
      <c r="G659">
        <v>-346.06529999999998</v>
      </c>
      <c r="H659" s="1">
        <v>-2.0541730000000001E-6</v>
      </c>
      <c r="I659">
        <v>368.41149999999999</v>
      </c>
      <c r="J659">
        <v>-363.77170000000001</v>
      </c>
      <c r="K659">
        <v>1.1098600000000001</v>
      </c>
      <c r="L659">
        <v>368.22710000000001</v>
      </c>
      <c r="M659">
        <v>0.99994369999999999</v>
      </c>
      <c r="N659">
        <v>0</v>
      </c>
      <c r="O659">
        <v>-2.6518319999999998E-3</v>
      </c>
      <c r="P659">
        <v>0.99385959999999995</v>
      </c>
      <c r="Q659">
        <v>0.1030838</v>
      </c>
      <c r="R659">
        <v>-4.0212089999999999E-2</v>
      </c>
      <c r="S659">
        <v>3.039612</v>
      </c>
      <c r="T659">
        <v>-0.1887741</v>
      </c>
      <c r="U659">
        <v>3.1311039999999998E-2</v>
      </c>
      <c r="V659">
        <v>3.7555089999999999E-2</v>
      </c>
      <c r="W659">
        <v>0.1133062</v>
      </c>
      <c r="X659">
        <v>0.99285009999999996</v>
      </c>
      <c r="Y659">
        <v>-1.292225E-2</v>
      </c>
      <c r="Z659">
        <v>5.6540659999999995E-4</v>
      </c>
      <c r="AA659">
        <v>0.99991629999999998</v>
      </c>
      <c r="AB659">
        <v>31</v>
      </c>
      <c r="AC659">
        <v>17.706399999999999</v>
      </c>
      <c r="AD659">
        <v>-1.109862054173</v>
      </c>
      <c r="AE659">
        <v>0.18439999999998199</v>
      </c>
      <c r="AF659">
        <v>-0.230450894385409</v>
      </c>
      <c r="AG659">
        <v>-1.109862054173</v>
      </c>
      <c r="AH659">
        <v>17.636562899318101</v>
      </c>
      <c r="AI659">
        <v>93.600546322045005</v>
      </c>
      <c r="AJ659">
        <v>90.7486216175339</v>
      </c>
      <c r="AK659">
        <v>17.6729525630445</v>
      </c>
      <c r="AL659">
        <v>83.494061115331803</v>
      </c>
      <c r="AM659">
        <v>87.833788991502004</v>
      </c>
      <c r="AN659">
        <v>1.00000000040667</v>
      </c>
    </row>
    <row r="660" spans="1:40" x14ac:dyDescent="0.25">
      <c r="A660" t="str">
        <f>"20190312164005819"</f>
        <v>20190312164005819</v>
      </c>
      <c r="B660" t="str">
        <f>"1552380005816514"</f>
        <v>1552380005816514</v>
      </c>
      <c r="C660" t="s">
        <v>40</v>
      </c>
      <c r="D660">
        <v>5.11111</v>
      </c>
      <c r="E660">
        <v>0.4843327</v>
      </c>
      <c r="F660" t="s">
        <v>41</v>
      </c>
      <c r="G660">
        <v>-346.0224</v>
      </c>
      <c r="H660" s="1">
        <v>-2.074839E-6</v>
      </c>
      <c r="I660">
        <v>368.4092</v>
      </c>
      <c r="J660">
        <v>-363.60820000000001</v>
      </c>
      <c r="K660">
        <v>1.109866</v>
      </c>
      <c r="L660">
        <v>368.22669999999999</v>
      </c>
      <c r="M660">
        <v>0.9999439</v>
      </c>
      <c r="N660">
        <v>0</v>
      </c>
      <c r="O660">
        <v>-2.5782629999999999E-3</v>
      </c>
      <c r="P660">
        <v>0.99386359999999996</v>
      </c>
      <c r="Q660">
        <v>0.10294780000000001</v>
      </c>
      <c r="R660">
        <v>-4.0461379999999998E-2</v>
      </c>
      <c r="S660">
        <v>3.03952</v>
      </c>
      <c r="T660">
        <v>-0.1900616</v>
      </c>
      <c r="U660">
        <v>3.1188960000000002E-2</v>
      </c>
      <c r="V660">
        <v>3.7875039999999999E-2</v>
      </c>
      <c r="W660">
        <v>0.1131659</v>
      </c>
      <c r="X660">
        <v>0.99285389999999996</v>
      </c>
      <c r="Y660">
        <v>-1.280879E-2</v>
      </c>
      <c r="Z660">
        <v>5.6113279999999897E-4</v>
      </c>
      <c r="AA660">
        <v>0.99991779999999997</v>
      </c>
      <c r="AB660">
        <v>31</v>
      </c>
      <c r="AC660">
        <v>17.585799999999999</v>
      </c>
      <c r="AD660">
        <v>-1.109868074839</v>
      </c>
      <c r="AE660">
        <v>0.18250000000000399</v>
      </c>
      <c r="AF660">
        <v>-0.22693878704030401</v>
      </c>
      <c r="AG660">
        <v>-1.109868074839</v>
      </c>
      <c r="AH660">
        <v>17.515512900820699</v>
      </c>
      <c r="AI660">
        <v>93.625388418479105</v>
      </c>
      <c r="AJ660">
        <v>90.742308105408597</v>
      </c>
      <c r="AK660">
        <v>17.552108150744299</v>
      </c>
      <c r="AL660">
        <v>83.502151442934903</v>
      </c>
      <c r="AM660">
        <v>87.815360150629701</v>
      </c>
      <c r="AN660">
        <v>0.99999995316150903</v>
      </c>
    </row>
    <row r="661" spans="1:40" x14ac:dyDescent="0.25">
      <c r="A661" t="str">
        <f>"20190312164005838"</f>
        <v>20190312164005838</v>
      </c>
      <c r="B661" t="str">
        <f>"1552380005837010"</f>
        <v>1552380005837010</v>
      </c>
      <c r="C661" t="s">
        <v>40</v>
      </c>
      <c r="D661">
        <v>5.1742359999999996</v>
      </c>
      <c r="E661">
        <v>0.48441679999999998</v>
      </c>
      <c r="F661" t="s">
        <v>41</v>
      </c>
      <c r="G661">
        <v>-345.87869999999998</v>
      </c>
      <c r="H661" s="1">
        <v>-2.1448300000000002E-6</v>
      </c>
      <c r="I661">
        <v>368.39760000000001</v>
      </c>
      <c r="J661">
        <v>-363.33100000000002</v>
      </c>
      <c r="K661">
        <v>1.109874</v>
      </c>
      <c r="L661">
        <v>368.22609999999997</v>
      </c>
      <c r="M661">
        <v>0.99994430000000001</v>
      </c>
      <c r="N661">
        <v>0</v>
      </c>
      <c r="O661">
        <v>-2.4412399999999999E-3</v>
      </c>
      <c r="P661">
        <v>0.99389179999999999</v>
      </c>
      <c r="Q661">
        <v>0.1026127</v>
      </c>
      <c r="R661">
        <v>-4.0617479999999997E-2</v>
      </c>
      <c r="S661">
        <v>3.0394589999999999</v>
      </c>
      <c r="T661">
        <v>-0.19027040000000001</v>
      </c>
      <c r="U661">
        <v>2.9296880000000001E-2</v>
      </c>
      <c r="V661">
        <v>3.8164160000000003E-2</v>
      </c>
      <c r="W661">
        <v>0.1128253</v>
      </c>
      <c r="X661">
        <v>0.99288169999999998</v>
      </c>
      <c r="Y661">
        <v>-1.2051259999999999E-2</v>
      </c>
      <c r="Z661">
        <v>5.295047E-4</v>
      </c>
      <c r="AA661">
        <v>0.99992720000000002</v>
      </c>
      <c r="AB661">
        <v>31</v>
      </c>
      <c r="AC661">
        <v>17.452299999999902</v>
      </c>
      <c r="AD661">
        <v>-1.1098761448299901</v>
      </c>
      <c r="AE661">
        <v>0.17150000000003701</v>
      </c>
      <c r="AF661">
        <v>-0.21324464532144599</v>
      </c>
      <c r="AG661">
        <v>-1.1098761448299901</v>
      </c>
      <c r="AH661">
        <v>17.381539867172702</v>
      </c>
      <c r="AI661">
        <v>93.6533148178885</v>
      </c>
      <c r="AJ661">
        <v>90.702895447185895</v>
      </c>
      <c r="AK661">
        <v>17.418244070219501</v>
      </c>
      <c r="AL661">
        <v>83.521792876132807</v>
      </c>
      <c r="AM661">
        <v>87.798761569499803</v>
      </c>
      <c r="AN661">
        <v>1.0000000608117401</v>
      </c>
    </row>
    <row r="662" spans="1:40" x14ac:dyDescent="0.25">
      <c r="A662" t="str">
        <f>"20190312164005849"</f>
        <v>20190312164005849</v>
      </c>
      <c r="B662" t="str">
        <f>"1552380005837010"</f>
        <v>1552380005837010</v>
      </c>
      <c r="C662" t="s">
        <v>40</v>
      </c>
      <c r="D662">
        <v>5.1742359999999996</v>
      </c>
      <c r="E662">
        <v>0.48441679999999998</v>
      </c>
      <c r="F662" t="s">
        <v>41</v>
      </c>
      <c r="G662">
        <v>-345.68560000000002</v>
      </c>
      <c r="H662" s="1">
        <v>-2.2373569999999998E-6</v>
      </c>
      <c r="I662">
        <v>368.39049999999997</v>
      </c>
      <c r="J662">
        <v>-363.17950000000002</v>
      </c>
      <c r="K662">
        <v>1.1098790000000001</v>
      </c>
      <c r="L662">
        <v>368.22579999999999</v>
      </c>
      <c r="M662">
        <v>0.99994470000000002</v>
      </c>
      <c r="N662">
        <v>0</v>
      </c>
      <c r="O662">
        <v>-2.3620239999999999E-3</v>
      </c>
      <c r="P662">
        <v>0.99387780000000003</v>
      </c>
      <c r="Q662">
        <v>0.1028018</v>
      </c>
      <c r="R662">
        <v>-4.0483150000000002E-2</v>
      </c>
      <c r="S662">
        <v>3.0393370000000002</v>
      </c>
      <c r="T662">
        <v>-0.19117139999999999</v>
      </c>
      <c r="U662">
        <v>2.8320310000000001E-2</v>
      </c>
      <c r="V662">
        <v>3.8107479999999999E-2</v>
      </c>
      <c r="W662">
        <v>0.1130124</v>
      </c>
      <c r="X662">
        <v>0.99286249999999998</v>
      </c>
      <c r="Y662">
        <v>-1.165185E-2</v>
      </c>
      <c r="Z662">
        <v>5.1450269999999895E-4</v>
      </c>
      <c r="AA662">
        <v>0.99993200000000004</v>
      </c>
      <c r="AB662">
        <v>31</v>
      </c>
      <c r="AC662">
        <v>17.493899999999901</v>
      </c>
      <c r="AD662">
        <v>-1.109881237357</v>
      </c>
      <c r="AE662">
        <v>0.164699999999982</v>
      </c>
      <c r="AF662">
        <v>-0.205196851577685</v>
      </c>
      <c r="AG662">
        <v>-1.109881237357</v>
      </c>
      <c r="AH662">
        <v>17.4233371944899</v>
      </c>
      <c r="AI662">
        <v>93.644612575097398</v>
      </c>
      <c r="AJ662">
        <v>90.6747484660753</v>
      </c>
      <c r="AK662">
        <v>17.459857419286902</v>
      </c>
      <c r="AL662">
        <v>83.511003196183594</v>
      </c>
      <c r="AM662">
        <v>87.801985095901003</v>
      </c>
      <c r="AN662">
        <v>0.99999996324597895</v>
      </c>
    </row>
    <row r="663" spans="1:40" x14ac:dyDescent="0.25">
      <c r="A663" t="str">
        <f>"20190312164005861"</f>
        <v>20190312164005861</v>
      </c>
      <c r="B663" t="str">
        <f>"1552380005856529"</f>
        <v>1552380005856529</v>
      </c>
      <c r="C663" t="s">
        <v>40</v>
      </c>
      <c r="D663">
        <v>5.033633</v>
      </c>
      <c r="E663">
        <v>0.48449959999999997</v>
      </c>
      <c r="F663" t="s">
        <v>41</v>
      </c>
      <c r="G663">
        <v>-345.47919999999999</v>
      </c>
      <c r="H663" s="1">
        <v>-2.3345959999999999E-6</v>
      </c>
      <c r="I663">
        <v>368.39249999999998</v>
      </c>
      <c r="J663">
        <v>-363.02910000000003</v>
      </c>
      <c r="K663">
        <v>1.1098859999999999</v>
      </c>
      <c r="L663">
        <v>368.22550000000001</v>
      </c>
      <c r="M663">
        <v>0.99994470000000002</v>
      </c>
      <c r="N663">
        <v>0</v>
      </c>
      <c r="O663">
        <v>-2.282456E-3</v>
      </c>
      <c r="P663">
        <v>0.99385730000000005</v>
      </c>
      <c r="Q663">
        <v>0.1029233</v>
      </c>
      <c r="R663">
        <v>-4.0678310000000002E-2</v>
      </c>
      <c r="S663">
        <v>3.0393680000000001</v>
      </c>
      <c r="T663">
        <v>-0.19058050000000001</v>
      </c>
      <c r="U663">
        <v>2.862549E-2</v>
      </c>
      <c r="V663">
        <v>3.8380690000000002E-2</v>
      </c>
      <c r="W663">
        <v>0.1131313</v>
      </c>
      <c r="X663">
        <v>0.99283840000000001</v>
      </c>
      <c r="Y663">
        <v>-1.167287E-2</v>
      </c>
      <c r="Z663">
        <v>5.0858390000000004E-4</v>
      </c>
      <c r="AA663">
        <v>0.99993180000000004</v>
      </c>
      <c r="AB663">
        <v>31</v>
      </c>
      <c r="AC663">
        <v>17.549900000000001</v>
      </c>
      <c r="AD663">
        <v>-1.109888334596</v>
      </c>
      <c r="AE663">
        <v>0.166999999999973</v>
      </c>
      <c r="AF663">
        <v>-0.20623378627026601</v>
      </c>
      <c r="AG663">
        <v>-1.109888334596</v>
      </c>
      <c r="AH663">
        <v>17.479569306830101</v>
      </c>
      <c r="AI663">
        <v>93.632941489976403</v>
      </c>
      <c r="AJ663">
        <v>90.675976454754306</v>
      </c>
      <c r="AK663">
        <v>17.5159849178443</v>
      </c>
      <c r="AL663">
        <v>83.504146529174804</v>
      </c>
      <c r="AM663">
        <v>87.786188459138799</v>
      </c>
      <c r="AN663">
        <v>0.99999992845955998</v>
      </c>
    </row>
    <row r="664" spans="1:40" x14ac:dyDescent="0.25">
      <c r="A664" t="str">
        <f>"20190312164005874"</f>
        <v>20190312164005874</v>
      </c>
      <c r="B664" t="str">
        <f>"1552380005867266"</f>
        <v>1552380005867266</v>
      </c>
      <c r="C664" t="s">
        <v>40</v>
      </c>
      <c r="D664">
        <v>4.9949770000000004</v>
      </c>
      <c r="E664">
        <v>0.48454190000000003</v>
      </c>
      <c r="F664" t="s">
        <v>41</v>
      </c>
      <c r="G664">
        <v>-345.28710000000001</v>
      </c>
      <c r="H664" s="1">
        <v>-2.4267150000000002E-6</v>
      </c>
      <c r="I664">
        <v>368.38510000000002</v>
      </c>
      <c r="J664">
        <v>-362.83960000000002</v>
      </c>
      <c r="K664">
        <v>1.1098889999999999</v>
      </c>
      <c r="L664">
        <v>368.22519999999997</v>
      </c>
      <c r="M664">
        <v>0.99994510000000003</v>
      </c>
      <c r="N664">
        <v>0</v>
      </c>
      <c r="O664">
        <v>-2.1798859999999998E-3</v>
      </c>
      <c r="P664">
        <v>0.9938787</v>
      </c>
      <c r="Q664">
        <v>0.102741</v>
      </c>
      <c r="R664">
        <v>-4.0617479999999997E-2</v>
      </c>
      <c r="S664">
        <v>3.0393680000000001</v>
      </c>
      <c r="T664">
        <v>-0.1901342</v>
      </c>
      <c r="U664">
        <v>2.734375E-2</v>
      </c>
      <c r="V664">
        <v>3.8420860000000001E-2</v>
      </c>
      <c r="W664">
        <v>0.11294659999999999</v>
      </c>
      <c r="X664">
        <v>0.99285789999999996</v>
      </c>
      <c r="Y664">
        <v>-1.115E-2</v>
      </c>
      <c r="Z664">
        <v>4.846475E-4</v>
      </c>
      <c r="AA664">
        <v>0.99993770000000004</v>
      </c>
      <c r="AB664">
        <v>31</v>
      </c>
      <c r="AC664">
        <v>17.552499999999998</v>
      </c>
      <c r="AD664">
        <v>-1.109891426715</v>
      </c>
      <c r="AE664">
        <v>0.15990000000005</v>
      </c>
      <c r="AF664">
        <v>-0.19737496611316799</v>
      </c>
      <c r="AG664">
        <v>-1.109891426715</v>
      </c>
      <c r="AH664">
        <v>17.482215137507801</v>
      </c>
      <c r="AI664">
        <v>93.632424494566294</v>
      </c>
      <c r="AJ664">
        <v>90.646844349945198</v>
      </c>
      <c r="AK664">
        <v>17.518523395835899</v>
      </c>
      <c r="AL664">
        <v>83.514797487654405</v>
      </c>
      <c r="AM664">
        <v>87.783917230511406</v>
      </c>
      <c r="AN664">
        <v>0.99999995326355295</v>
      </c>
    </row>
    <row r="665" spans="1:40" x14ac:dyDescent="0.25">
      <c r="A665" t="str">
        <f>"20190312164005887"</f>
        <v>20190312164005887</v>
      </c>
      <c r="B665" t="str">
        <f>"1552380005877026"</f>
        <v>1552380005877026</v>
      </c>
      <c r="C665" t="s">
        <v>40</v>
      </c>
      <c r="D665">
        <v>5.0431589999999904</v>
      </c>
      <c r="E665">
        <v>0.48456670000000002</v>
      </c>
      <c r="F665" t="s">
        <v>41</v>
      </c>
      <c r="G665">
        <v>-345.13220000000001</v>
      </c>
      <c r="H665" s="1">
        <v>-2.4999220000000002E-6</v>
      </c>
      <c r="I665">
        <v>368.38529999999997</v>
      </c>
      <c r="J665">
        <v>-362.66570000000002</v>
      </c>
      <c r="K665">
        <v>1.109891</v>
      </c>
      <c r="L665">
        <v>368.22489999999999</v>
      </c>
      <c r="M665">
        <v>0.99994530000000004</v>
      </c>
      <c r="N665">
        <v>0</v>
      </c>
      <c r="O665">
        <v>-2.0854390000000001E-3</v>
      </c>
      <c r="P665">
        <v>0.99385950000000001</v>
      </c>
      <c r="Q665">
        <v>0.10295120000000001</v>
      </c>
      <c r="R665">
        <v>-4.0553020000000002E-2</v>
      </c>
      <c r="S665">
        <v>3.039307</v>
      </c>
      <c r="T665">
        <v>-0.1905019</v>
      </c>
      <c r="U665">
        <v>2.7465819999999998E-2</v>
      </c>
      <c r="V665">
        <v>3.8449740000000003E-2</v>
      </c>
      <c r="W665">
        <v>0.11315500000000001</v>
      </c>
      <c r="X665">
        <v>0.99283310000000002</v>
      </c>
      <c r="Y665">
        <v>-1.1096079999999999E-2</v>
      </c>
      <c r="Z665">
        <v>4.7799030000000002E-4</v>
      </c>
      <c r="AA665">
        <v>0.99993829999999995</v>
      </c>
      <c r="AB665">
        <v>31</v>
      </c>
      <c r="AC665">
        <v>17.5335</v>
      </c>
      <c r="AD665">
        <v>-1.109893499922</v>
      </c>
      <c r="AE665">
        <v>0.160399999999981</v>
      </c>
      <c r="AF665">
        <v>-0.19618057585464599</v>
      </c>
      <c r="AG665">
        <v>-1.109893499922</v>
      </c>
      <c r="AH665">
        <v>17.463157358220901</v>
      </c>
      <c r="AI665">
        <v>93.636387041973094</v>
      </c>
      <c r="AJ665">
        <v>90.643631960340898</v>
      </c>
      <c r="AK665">
        <v>17.499491858836901</v>
      </c>
      <c r="AL665">
        <v>83.502780313233202</v>
      </c>
      <c r="AM665">
        <v>87.782197777348102</v>
      </c>
      <c r="AN665">
        <v>1.00000000049333</v>
      </c>
    </row>
    <row r="666" spans="1:40" x14ac:dyDescent="0.25">
      <c r="A666" t="str">
        <f>"20190312164005899"</f>
        <v>20190312164005899</v>
      </c>
      <c r="B666" t="str">
        <f>"1552380005886786"</f>
        <v>1552380005886786</v>
      </c>
      <c r="C666" t="s">
        <v>40</v>
      </c>
      <c r="D666">
        <v>5.1861540000000002</v>
      </c>
      <c r="E666">
        <v>0.48460589999999998</v>
      </c>
      <c r="F666" t="s">
        <v>41</v>
      </c>
      <c r="G666">
        <v>-344.9803</v>
      </c>
      <c r="H666" s="1">
        <v>-2.5717479999999999E-6</v>
      </c>
      <c r="I666">
        <v>368.38490000000002</v>
      </c>
      <c r="J666">
        <v>-362.50060000000002</v>
      </c>
      <c r="K666">
        <v>1.109896</v>
      </c>
      <c r="L666">
        <v>368.22469999999998</v>
      </c>
      <c r="M666">
        <v>0.99994550000000004</v>
      </c>
      <c r="N666">
        <v>0</v>
      </c>
      <c r="O666">
        <v>-1.9954090000000001E-3</v>
      </c>
      <c r="P666">
        <v>0.9938437</v>
      </c>
      <c r="Q666">
        <v>0.103075</v>
      </c>
      <c r="R666">
        <v>-4.0626130000000003E-2</v>
      </c>
      <c r="S666">
        <v>3.0394290000000002</v>
      </c>
      <c r="T666">
        <v>-0.1907471</v>
      </c>
      <c r="U666">
        <v>2.7496340000000001E-2</v>
      </c>
      <c r="V666">
        <v>3.8611760000000002E-2</v>
      </c>
      <c r="W666">
        <v>0.1132773</v>
      </c>
      <c r="X666">
        <v>0.9928129</v>
      </c>
      <c r="Y666">
        <v>-1.1016E-2</v>
      </c>
      <c r="Z666">
        <v>4.704299E-4</v>
      </c>
      <c r="AA666">
        <v>0.99993920000000003</v>
      </c>
      <c r="AB666">
        <v>31</v>
      </c>
      <c r="AC666">
        <v>17.520299999999999</v>
      </c>
      <c r="AD666">
        <v>-1.1098985717480001</v>
      </c>
      <c r="AE666">
        <v>0.16020000000003101</v>
      </c>
      <c r="AF666">
        <v>-0.19438166697241499</v>
      </c>
      <c r="AG666">
        <v>-1.1098985717480001</v>
      </c>
      <c r="AH666">
        <v>17.449922437092798</v>
      </c>
      <c r="AI666">
        <v>93.639158080713301</v>
      </c>
      <c r="AJ666">
        <v>90.6382142125223</v>
      </c>
      <c r="AK666">
        <v>17.4862646706659</v>
      </c>
      <c r="AL666">
        <v>83.495727916255802</v>
      </c>
      <c r="AM666">
        <v>87.772816497143396</v>
      </c>
      <c r="AN666">
        <v>1.0000000345559901</v>
      </c>
    </row>
    <row r="667" spans="1:40" x14ac:dyDescent="0.25">
      <c r="A667" t="str">
        <f>"20190312164005916"</f>
        <v>20190312164005916</v>
      </c>
      <c r="B667" t="str">
        <f>"1552380005907285"</f>
        <v>1552380005907285</v>
      </c>
      <c r="C667" t="s">
        <v>40</v>
      </c>
      <c r="D667">
        <v>4.9874710000000002</v>
      </c>
      <c r="E667">
        <v>0.48463200000000001</v>
      </c>
      <c r="F667" t="s">
        <v>41</v>
      </c>
      <c r="G667">
        <v>-344.78399999999999</v>
      </c>
      <c r="H667" s="1">
        <v>-2.6650599999999999E-6</v>
      </c>
      <c r="I667">
        <v>368.38209999999998</v>
      </c>
      <c r="J667">
        <v>-362.26029999999997</v>
      </c>
      <c r="K667">
        <v>1.109896</v>
      </c>
      <c r="L667">
        <v>368.22430000000003</v>
      </c>
      <c r="M667">
        <v>0.9999458</v>
      </c>
      <c r="N667">
        <v>0</v>
      </c>
      <c r="O667">
        <v>-1.8649649999999999E-3</v>
      </c>
      <c r="P667">
        <v>0.99385449999999997</v>
      </c>
      <c r="Q667">
        <v>0.10294499999999999</v>
      </c>
      <c r="R667">
        <v>-4.0694170000000002E-2</v>
      </c>
      <c r="S667">
        <v>3.0394589999999999</v>
      </c>
      <c r="T667">
        <v>-0.19041440000000001</v>
      </c>
      <c r="U667">
        <v>2.700806E-2</v>
      </c>
      <c r="V667">
        <v>3.8808919999999997E-2</v>
      </c>
      <c r="W667">
        <v>0.113146</v>
      </c>
      <c r="X667">
        <v>0.99282009999999998</v>
      </c>
      <c r="Y667">
        <v>-1.0725749999999999E-2</v>
      </c>
      <c r="Z667">
        <v>4.5235989999999998E-4</v>
      </c>
      <c r="AA667">
        <v>0.99994240000000001</v>
      </c>
      <c r="AB667">
        <v>31</v>
      </c>
      <c r="AC667">
        <v>17.476299999999899</v>
      </c>
      <c r="AD667">
        <v>-1.10989866506</v>
      </c>
      <c r="AE667">
        <v>0.15779999999995101</v>
      </c>
      <c r="AF667">
        <v>-0.189629341049461</v>
      </c>
      <c r="AG667">
        <v>-1.10989866506</v>
      </c>
      <c r="AH667">
        <v>17.405777144358499</v>
      </c>
      <c r="AI667">
        <v>93.648373092029303</v>
      </c>
      <c r="AJ667">
        <v>90.624191094164402</v>
      </c>
      <c r="AK667">
        <v>17.4421590502082</v>
      </c>
      <c r="AL667">
        <v>83.503298980653696</v>
      </c>
      <c r="AM667">
        <v>87.761471774140702</v>
      </c>
      <c r="AN667">
        <v>0.99999995027578603</v>
      </c>
    </row>
    <row r="668" spans="1:40" x14ac:dyDescent="0.25">
      <c r="A668" t="str">
        <f>"20190312164005928"</f>
        <v>20190312164005928</v>
      </c>
      <c r="B668" t="str">
        <f>"1552380005917042"</f>
        <v>1552380005917042</v>
      </c>
      <c r="C668" t="s">
        <v>40</v>
      </c>
      <c r="D668">
        <v>5.5132640000000004</v>
      </c>
      <c r="E668">
        <v>0.48469139999999999</v>
      </c>
      <c r="F668" t="s">
        <v>41</v>
      </c>
      <c r="G668">
        <v>-344.77659999999997</v>
      </c>
      <c r="H668" s="1">
        <v>-2.6698089999999999E-6</v>
      </c>
      <c r="I668">
        <v>368.37509999999997</v>
      </c>
      <c r="J668">
        <v>-362.10079999999999</v>
      </c>
      <c r="K668">
        <v>1.1098980000000001</v>
      </c>
      <c r="L668">
        <v>368.22410000000002</v>
      </c>
      <c r="M668">
        <v>0.9999458</v>
      </c>
      <c r="N668">
        <v>0</v>
      </c>
      <c r="O668">
        <v>-1.7792400000000001E-3</v>
      </c>
      <c r="P668">
        <v>0.99384490000000003</v>
      </c>
      <c r="Q668">
        <v>0.1029911</v>
      </c>
      <c r="R668">
        <v>-4.0808369999999997E-2</v>
      </c>
      <c r="S668">
        <v>3.0395810000000001</v>
      </c>
      <c r="T668">
        <v>-0.19295780000000001</v>
      </c>
      <c r="U668">
        <v>2.62145999999999E-2</v>
      </c>
      <c r="V668">
        <v>3.9008149999999998E-2</v>
      </c>
      <c r="W668">
        <v>0.1131915</v>
      </c>
      <c r="X668">
        <v>0.99280710000000005</v>
      </c>
      <c r="Y668">
        <v>-1.037887E-2</v>
      </c>
      <c r="Z668">
        <v>4.4193649999999999E-4</v>
      </c>
      <c r="AA668">
        <v>0.99994609999999995</v>
      </c>
      <c r="AB668">
        <v>31</v>
      </c>
      <c r="AC668">
        <v>17.324200000000001</v>
      </c>
      <c r="AD668">
        <v>-1.1099006698089999</v>
      </c>
      <c r="AE668">
        <v>0.15099999999995301</v>
      </c>
      <c r="AF668">
        <v>-0.181082094805045</v>
      </c>
      <c r="AG668">
        <v>-1.1099006698089999</v>
      </c>
      <c r="AH668">
        <v>17.253093693447699</v>
      </c>
      <c r="AI668">
        <v>93.680593764628</v>
      </c>
      <c r="AJ668">
        <v>90.601333245762007</v>
      </c>
      <c r="AK668">
        <v>17.2897053825907</v>
      </c>
      <c r="AL668">
        <v>83.500675129712405</v>
      </c>
      <c r="AM668">
        <v>87.749962384226507</v>
      </c>
      <c r="AN668">
        <v>0.99999994462453901</v>
      </c>
    </row>
    <row r="669" spans="1:40" x14ac:dyDescent="0.25">
      <c r="A669" t="str">
        <f>"20190312164005941"</f>
        <v>20190312164005941</v>
      </c>
      <c r="B669" t="str">
        <f>"1552380005936562"</f>
        <v>1552380005936562</v>
      </c>
      <c r="C669" t="s">
        <v>40</v>
      </c>
      <c r="D669">
        <v>5.1768989999999997</v>
      </c>
      <c r="E669">
        <v>0.51030220000000004</v>
      </c>
      <c r="F669" t="s">
        <v>41</v>
      </c>
      <c r="G669">
        <v>-344.62849999999997</v>
      </c>
      <c r="H669" s="1">
        <v>-2.7405439999999998E-6</v>
      </c>
      <c r="I669">
        <v>368.37090000000001</v>
      </c>
      <c r="J669">
        <v>-361.92219999999998</v>
      </c>
      <c r="K669">
        <v>1.1098969999999999</v>
      </c>
      <c r="L669">
        <v>368.22379999999998</v>
      </c>
      <c r="M669">
        <v>0.999946</v>
      </c>
      <c r="N669">
        <v>0</v>
      </c>
      <c r="O669">
        <v>-1.6838599999999999E-3</v>
      </c>
      <c r="P669">
        <v>0.99386030000000003</v>
      </c>
      <c r="Q669">
        <v>0.102860199999999</v>
      </c>
      <c r="R669">
        <v>-4.0761970000000002E-2</v>
      </c>
      <c r="S669">
        <v>3.0396420000000002</v>
      </c>
      <c r="T669">
        <v>-0.1930888</v>
      </c>
      <c r="U669">
        <v>2.554321E-2</v>
      </c>
      <c r="V669">
        <v>3.9056199999999902E-2</v>
      </c>
      <c r="W669">
        <v>0.1130603</v>
      </c>
      <c r="X669">
        <v>0.99282020000000004</v>
      </c>
      <c r="Y669">
        <v>-1.0063269999999999E-2</v>
      </c>
      <c r="Z669">
        <v>4.2616060000000001E-4</v>
      </c>
      <c r="AA669">
        <v>0.99994930000000004</v>
      </c>
      <c r="AB669">
        <v>31</v>
      </c>
      <c r="AC669">
        <v>17.293700000000001</v>
      </c>
      <c r="AD669">
        <v>-1.1098997405440001</v>
      </c>
      <c r="AE669">
        <v>0.14710000000002299</v>
      </c>
      <c r="AF669">
        <v>-0.17549866591723001</v>
      </c>
      <c r="AG669">
        <v>-1.1098997405440001</v>
      </c>
      <c r="AH669">
        <v>17.222493474902901</v>
      </c>
      <c r="AI669">
        <v>93.687123808999502</v>
      </c>
      <c r="AJ669">
        <v>90.583828634469896</v>
      </c>
      <c r="AK669">
        <v>17.259112338381399</v>
      </c>
      <c r="AL669">
        <v>83.508241159487696</v>
      </c>
      <c r="AM669">
        <v>87.747223350139393</v>
      </c>
      <c r="AN669">
        <v>0.99999998386128397</v>
      </c>
    </row>
    <row r="670" spans="1:40" x14ac:dyDescent="0.25">
      <c r="A670" t="str">
        <f>"20190312164005962"</f>
        <v>20190312164005962</v>
      </c>
      <c r="B670" t="str">
        <f>"1552380005957057"</f>
        <v>1552380005957057</v>
      </c>
      <c r="C670" t="s">
        <v>40</v>
      </c>
      <c r="D670">
        <v>5.3423790000000002</v>
      </c>
      <c r="E670">
        <v>0.54449239999999999</v>
      </c>
      <c r="F670" t="s">
        <v>42</v>
      </c>
      <c r="G670">
        <v>-360.95890000000003</v>
      </c>
      <c r="H670">
        <v>1.043361</v>
      </c>
      <c r="I670">
        <v>368.16719999999998</v>
      </c>
      <c r="J670">
        <v>-361.6277</v>
      </c>
      <c r="K670">
        <v>1.109893</v>
      </c>
      <c r="L670">
        <v>368.2235</v>
      </c>
      <c r="M670">
        <v>0.99994640000000001</v>
      </c>
      <c r="N670">
        <v>0</v>
      </c>
      <c r="O670">
        <v>-1.5287549999999999E-3</v>
      </c>
      <c r="P670">
        <v>0.99384899999999998</v>
      </c>
      <c r="Q670">
        <v>0.10275140000000001</v>
      </c>
      <c r="R670">
        <v>-4.1309440000000003E-2</v>
      </c>
      <c r="S670">
        <v>3.0328979999999999</v>
      </c>
      <c r="T670">
        <v>-0.20950640000000001</v>
      </c>
      <c r="U670">
        <v>-0.17819209999999999</v>
      </c>
      <c r="V670">
        <v>3.975766E-2</v>
      </c>
      <c r="W670">
        <v>0.1129508</v>
      </c>
      <c r="X670">
        <v>0.99280480000000004</v>
      </c>
      <c r="Y670">
        <v>5.6993969999999998E-2</v>
      </c>
      <c r="Z670">
        <v>-1.859091E-3</v>
      </c>
      <c r="AA670">
        <v>0.99837279999999995</v>
      </c>
      <c r="AB670">
        <v>31</v>
      </c>
      <c r="AC670">
        <v>0.66879999999997597</v>
      </c>
      <c r="AD670">
        <v>-6.6531999999999994E-2</v>
      </c>
      <c r="AE670">
        <v>-5.63000000000215E-2</v>
      </c>
      <c r="AF670">
        <v>5.4739547311548398E-2</v>
      </c>
      <c r="AG670">
        <v>-6.6531999999999994E-2</v>
      </c>
      <c r="AH670">
        <v>0.66237640437909695</v>
      </c>
      <c r="AI670">
        <v>95.716444659681699</v>
      </c>
      <c r="AJ670">
        <v>85.275746272580704</v>
      </c>
      <c r="AK670">
        <v>0.66795615585310297</v>
      </c>
      <c r="AL670">
        <v>83.514555357822402</v>
      </c>
      <c r="AM670">
        <v>87.706770149113893</v>
      </c>
      <c r="AN670">
        <v>0.99999996282617698</v>
      </c>
    </row>
    <row r="671" spans="1:40" x14ac:dyDescent="0.25">
      <c r="A671" t="str">
        <f>"20190312164005986"</f>
        <v>20190312164005986</v>
      </c>
      <c r="B671" t="str">
        <f>"1552380005976577"</f>
        <v>1552380005976577</v>
      </c>
      <c r="C671" t="s">
        <v>40</v>
      </c>
      <c r="D671">
        <v>5.2392699999999897</v>
      </c>
      <c r="E671">
        <v>0.54535040000000001</v>
      </c>
      <c r="F671" t="s">
        <v>41</v>
      </c>
      <c r="G671">
        <v>-324.19150000000002</v>
      </c>
      <c r="H671" s="1">
        <v>-3.8536090000000003E-6</v>
      </c>
      <c r="I671">
        <v>362.50979999999998</v>
      </c>
      <c r="J671">
        <v>-361.3014</v>
      </c>
      <c r="K671">
        <v>1.109888</v>
      </c>
      <c r="L671">
        <v>368.22320000000002</v>
      </c>
      <c r="M671">
        <v>0.99994660000000002</v>
      </c>
      <c r="N671">
        <v>0</v>
      </c>
      <c r="O671">
        <v>-1.3597240000000001E-3</v>
      </c>
      <c r="P671">
        <v>0.99386140000000001</v>
      </c>
      <c r="Q671">
        <v>0.1026623</v>
      </c>
      <c r="R671">
        <v>-4.123636E-2</v>
      </c>
      <c r="S671">
        <v>3.0087280000000001</v>
      </c>
      <c r="T671">
        <v>-8.920169E-2</v>
      </c>
      <c r="U671">
        <v>-0.459198</v>
      </c>
      <c r="V671">
        <v>3.9852440000000003E-2</v>
      </c>
      <c r="W671">
        <v>0.1128618</v>
      </c>
      <c r="X671">
        <v>0.99281109999999995</v>
      </c>
      <c r="Y671">
        <v>0.14946690000000001</v>
      </c>
      <c r="Z671">
        <v>-2.162368E-3</v>
      </c>
      <c r="AA671">
        <v>0.98876430000000004</v>
      </c>
      <c r="AB671">
        <v>31</v>
      </c>
      <c r="AC671">
        <v>37.109899999999897</v>
      </c>
      <c r="AD671">
        <v>-1.1098918536089999</v>
      </c>
      <c r="AE671">
        <v>-5.7134000000000302</v>
      </c>
      <c r="AF671">
        <v>5.6579889475531804</v>
      </c>
      <c r="AG671">
        <v>-1.1098918536089999</v>
      </c>
      <c r="AH671">
        <v>37.0852300005374</v>
      </c>
      <c r="AI671">
        <v>91.694646425616398</v>
      </c>
      <c r="AJ671">
        <v>81.325436955500095</v>
      </c>
      <c r="AK671">
        <v>37.530773813633203</v>
      </c>
      <c r="AL671">
        <v>83.519687360869497</v>
      </c>
      <c r="AM671">
        <v>87.701323648059102</v>
      </c>
      <c r="AN671">
        <v>0.99999994157820005</v>
      </c>
    </row>
    <row r="672" spans="1:40" x14ac:dyDescent="0.25">
      <c r="A672" t="str">
        <f>"20190312164006007"</f>
        <v>20190312164006007</v>
      </c>
      <c r="B672" t="str">
        <f>"1552380005997073"</f>
        <v>1552380005997073</v>
      </c>
      <c r="C672" t="s">
        <v>40</v>
      </c>
      <c r="D672">
        <v>5.0633720000000002</v>
      </c>
      <c r="E672">
        <v>0.54438920000000002</v>
      </c>
      <c r="F672" t="s">
        <v>41</v>
      </c>
      <c r="G672">
        <v>-330.54239999999999</v>
      </c>
      <c r="H672" s="1">
        <v>-5.1291949999999996E-6</v>
      </c>
      <c r="I672">
        <v>363.47390000000001</v>
      </c>
      <c r="J672">
        <v>-361.00409999999999</v>
      </c>
      <c r="K672">
        <v>1.109877</v>
      </c>
      <c r="L672">
        <v>368.22289999999998</v>
      </c>
      <c r="M672">
        <v>0.99994669999999997</v>
      </c>
      <c r="N672">
        <v>0</v>
      </c>
      <c r="O672">
        <v>-1.214449E-3</v>
      </c>
      <c r="P672">
        <v>0.99395339999999999</v>
      </c>
      <c r="Q672">
        <v>0.10201109999999999</v>
      </c>
      <c r="R672">
        <v>-4.0622440000000003E-2</v>
      </c>
      <c r="S672">
        <v>3.0104679999999999</v>
      </c>
      <c r="T672">
        <v>-0.1086278</v>
      </c>
      <c r="U672">
        <v>-0.46481319999999998</v>
      </c>
      <c r="V672">
        <v>3.9384080000000002E-2</v>
      </c>
      <c r="W672">
        <v>0.1122122</v>
      </c>
      <c r="X672">
        <v>0.99290350000000005</v>
      </c>
      <c r="Y672">
        <v>0.15129519999999999</v>
      </c>
      <c r="Z672">
        <v>-2.6691250000000001E-3</v>
      </c>
      <c r="AA672">
        <v>0.98848499999999995</v>
      </c>
      <c r="AB672">
        <v>31</v>
      </c>
      <c r="AC672">
        <v>30.4617</v>
      </c>
      <c r="AD672">
        <v>-1.1098821291949901</v>
      </c>
      <c r="AE672">
        <v>-4.7489999999999597</v>
      </c>
      <c r="AF672">
        <v>4.7059013671961996</v>
      </c>
      <c r="AG672">
        <v>-1.1098821291949901</v>
      </c>
      <c r="AH672">
        <v>30.428009543478499</v>
      </c>
      <c r="AI672">
        <v>92.064453939270393</v>
      </c>
      <c r="AJ672">
        <v>81.208465466698897</v>
      </c>
      <c r="AK672">
        <v>30.8097567467922</v>
      </c>
      <c r="AL672">
        <v>83.557145168255005</v>
      </c>
      <c r="AM672">
        <v>87.728521219515002</v>
      </c>
      <c r="AN672">
        <v>1.00000002194926</v>
      </c>
    </row>
    <row r="673" spans="1:40" x14ac:dyDescent="0.25">
      <c r="A673" t="str">
        <f>"20190312164006020"</f>
        <v>20190312164006020</v>
      </c>
      <c r="B673" t="str">
        <f>"1552380006016593"</f>
        <v>1552380006016593</v>
      </c>
      <c r="C673" t="s">
        <v>40</v>
      </c>
      <c r="D673">
        <v>5.4020419999999998</v>
      </c>
      <c r="E673">
        <v>0.54414759999999995</v>
      </c>
      <c r="F673" t="s">
        <v>41</v>
      </c>
      <c r="G673">
        <v>-332.28140000000002</v>
      </c>
      <c r="H673" s="1">
        <v>-4.3108439999999998E-6</v>
      </c>
      <c r="I673">
        <v>363.88139999999999</v>
      </c>
      <c r="J673">
        <v>-360.82560000000001</v>
      </c>
      <c r="K673">
        <v>1.109869</v>
      </c>
      <c r="L673">
        <v>368.22280000000001</v>
      </c>
      <c r="M673">
        <v>0.99994680000000002</v>
      </c>
      <c r="N673">
        <v>0</v>
      </c>
      <c r="O673">
        <v>-1.132241E-3</v>
      </c>
      <c r="P673">
        <v>0.99396830000000003</v>
      </c>
      <c r="Q673">
        <v>0.10187400000000001</v>
      </c>
      <c r="R673">
        <v>-4.0605170000000003E-2</v>
      </c>
      <c r="S673">
        <v>3.0115970000000001</v>
      </c>
      <c r="T673">
        <v>-0.1163718</v>
      </c>
      <c r="U673">
        <v>-0.4552002</v>
      </c>
      <c r="V673">
        <v>3.9449419999999999E-2</v>
      </c>
      <c r="W673">
        <v>0.1120752</v>
      </c>
      <c r="X673">
        <v>0.99291629999999997</v>
      </c>
      <c r="Y673">
        <v>0.14822460000000001</v>
      </c>
      <c r="Z673">
        <v>-2.8030820000000001E-3</v>
      </c>
      <c r="AA673">
        <v>0.98894979999999999</v>
      </c>
      <c r="AB673">
        <v>31</v>
      </c>
      <c r="AC673">
        <v>28.544199999999901</v>
      </c>
      <c r="AD673">
        <v>-1.109873310844</v>
      </c>
      <c r="AE673">
        <v>-4.3414000000000197</v>
      </c>
      <c r="AF673">
        <v>4.3027185816025799</v>
      </c>
      <c r="AG673">
        <v>-1.109873310844</v>
      </c>
      <c r="AH673">
        <v>28.506973406915002</v>
      </c>
      <c r="AI673">
        <v>92.204647054132906</v>
      </c>
      <c r="AJ673">
        <v>81.4168124185652</v>
      </c>
      <c r="AK673">
        <v>28.851217284217899</v>
      </c>
      <c r="AL673">
        <v>83.565044008800996</v>
      </c>
      <c r="AM673">
        <v>87.724785989032497</v>
      </c>
      <c r="AN673">
        <v>0.99999994299953099</v>
      </c>
    </row>
    <row r="674" spans="1:40" x14ac:dyDescent="0.25">
      <c r="A674" t="str">
        <f>"20190312164006040"</f>
        <v>20190312164006040</v>
      </c>
      <c r="B674" t="str">
        <f>"1552380006036716"</f>
        <v>1552380006036716</v>
      </c>
      <c r="C674" t="s">
        <v>40</v>
      </c>
      <c r="D674">
        <v>6.3917699999999904</v>
      </c>
      <c r="E674">
        <v>0.54375620000000002</v>
      </c>
      <c r="F674" t="s">
        <v>41</v>
      </c>
      <c r="G674">
        <v>-332.21370000000002</v>
      </c>
      <c r="H674" s="1">
        <v>-4.3338129999999996E-6</v>
      </c>
      <c r="I674">
        <v>363.91570000000002</v>
      </c>
      <c r="J674">
        <v>-360.55250000000001</v>
      </c>
      <c r="K674">
        <v>1.109861</v>
      </c>
      <c r="L674">
        <v>368.2226</v>
      </c>
      <c r="M674">
        <v>0.99994700000000003</v>
      </c>
      <c r="N674">
        <v>0</v>
      </c>
      <c r="O674">
        <v>-1.0204369999999999E-3</v>
      </c>
      <c r="P674">
        <v>0.99404159999999997</v>
      </c>
      <c r="Q674">
        <v>0.10146579999999999</v>
      </c>
      <c r="R674">
        <v>-3.9828080000000002E-2</v>
      </c>
      <c r="S674">
        <v>3.0116269999999998</v>
      </c>
      <c r="T674">
        <v>-0.1168226</v>
      </c>
      <c r="U674">
        <v>-0.45333859999999898</v>
      </c>
      <c r="V674">
        <v>3.8786269999999998E-2</v>
      </c>
      <c r="W674">
        <v>0.11166769999999999</v>
      </c>
      <c r="X674">
        <v>0.99298839999999999</v>
      </c>
      <c r="Y674">
        <v>0.14773539999999999</v>
      </c>
      <c r="Z674">
        <v>-2.808914E-3</v>
      </c>
      <c r="AA674">
        <v>0.98902290000000004</v>
      </c>
      <c r="AB674">
        <v>31</v>
      </c>
      <c r="AC674">
        <v>28.3387999999999</v>
      </c>
      <c r="AD674">
        <v>-1.109865333813</v>
      </c>
      <c r="AE674">
        <v>-4.3068999999999802</v>
      </c>
      <c r="AF674">
        <v>4.2715743203186003</v>
      </c>
      <c r="AG674">
        <v>-1.109865333813</v>
      </c>
      <c r="AH674">
        <v>28.300751807423701</v>
      </c>
      <c r="AI674">
        <v>92.220680089950804</v>
      </c>
      <c r="AJ674">
        <v>81.416848186941607</v>
      </c>
      <c r="AK674">
        <v>28.642812381094899</v>
      </c>
      <c r="AL674">
        <v>83.588539936429299</v>
      </c>
      <c r="AM674">
        <v>87.763155713680405</v>
      </c>
      <c r="AN674">
        <v>1.0000000062491801</v>
      </c>
    </row>
    <row r="675" spans="1:40" x14ac:dyDescent="0.25">
      <c r="A675" t="str">
        <f>"20190312164006051"</f>
        <v>20190312164006051</v>
      </c>
      <c r="B675" t="str">
        <f>"1552380006047452"</f>
        <v>1552380006047452</v>
      </c>
      <c r="C675" t="s">
        <v>40</v>
      </c>
      <c r="D675">
        <v>5.6410019999999896</v>
      </c>
      <c r="E675">
        <v>0.543574</v>
      </c>
      <c r="F675" t="s">
        <v>41</v>
      </c>
      <c r="G675">
        <v>-332.7414</v>
      </c>
      <c r="H675" s="1">
        <v>-4.0773669999999999E-6</v>
      </c>
      <c r="I675">
        <v>364.08519999999999</v>
      </c>
      <c r="J675">
        <v>-360.38549999999998</v>
      </c>
      <c r="K675">
        <v>1.1098490000000001</v>
      </c>
      <c r="L675">
        <v>368.22250000000003</v>
      </c>
      <c r="M675">
        <v>0.99994700000000003</v>
      </c>
      <c r="N675">
        <v>0</v>
      </c>
      <c r="O675">
        <v>-9.6357789999999995E-4</v>
      </c>
      <c r="P675">
        <v>0.99403019999999997</v>
      </c>
      <c r="Q675">
        <v>0.1016203</v>
      </c>
      <c r="R675">
        <v>-3.9717160000000001E-2</v>
      </c>
      <c r="S675">
        <v>3.0122990000000001</v>
      </c>
      <c r="T675">
        <v>-0.12021220000000001</v>
      </c>
      <c r="U675">
        <v>-0.44812010000000002</v>
      </c>
      <c r="V675">
        <v>3.8734400000000002E-2</v>
      </c>
      <c r="W675">
        <v>0.111821699999999</v>
      </c>
      <c r="X675">
        <v>0.99297310000000005</v>
      </c>
      <c r="Y675">
        <v>0.14607800000000001</v>
      </c>
      <c r="Z675">
        <v>-2.859463E-3</v>
      </c>
      <c r="AA675">
        <v>0.98926899999999995</v>
      </c>
      <c r="AB675">
        <v>31</v>
      </c>
      <c r="AC675">
        <v>27.644099999999899</v>
      </c>
      <c r="AD675">
        <v>-1.1098530773669999</v>
      </c>
      <c r="AE675">
        <v>-4.13730000000003</v>
      </c>
      <c r="AF675">
        <v>4.1041890079685901</v>
      </c>
      <c r="AG675">
        <v>-1.1098530773669999</v>
      </c>
      <c r="AH675">
        <v>27.604554236375801</v>
      </c>
      <c r="AI675">
        <v>92.277355381021195</v>
      </c>
      <c r="AJ675">
        <v>81.543328819099997</v>
      </c>
      <c r="AK675">
        <v>27.930047544812499</v>
      </c>
      <c r="AL675">
        <v>83.579660811761698</v>
      </c>
      <c r="AM675">
        <v>87.7661096926754</v>
      </c>
      <c r="AN675">
        <v>1.0000000118289301</v>
      </c>
    </row>
    <row r="676" spans="1:40" x14ac:dyDescent="0.25">
      <c r="A676" t="str">
        <f>"20190312164006064"</f>
        <v>20190312164006064</v>
      </c>
      <c r="B676" t="str">
        <f>"1552380006057213"</f>
        <v>1552380006057213</v>
      </c>
      <c r="C676" t="s">
        <v>40</v>
      </c>
      <c r="D676">
        <v>5.40144</v>
      </c>
      <c r="E676">
        <v>0.54348379999999996</v>
      </c>
      <c r="F676" t="s">
        <v>41</v>
      </c>
      <c r="G676">
        <v>-333.07249999999999</v>
      </c>
      <c r="H676" s="1">
        <v>-3.9188639999999997E-6</v>
      </c>
      <c r="I676">
        <v>364.17790000000002</v>
      </c>
      <c r="J676">
        <v>-360.21949999999998</v>
      </c>
      <c r="K676">
        <v>1.109837</v>
      </c>
      <c r="L676">
        <v>368.22239999999999</v>
      </c>
      <c r="M676">
        <v>0.99994700000000003</v>
      </c>
      <c r="N676">
        <v>0</v>
      </c>
      <c r="O676">
        <v>-9.1352589999999997E-4</v>
      </c>
      <c r="P676">
        <v>0.99405089999999996</v>
      </c>
      <c r="Q676">
        <v>0.1015331</v>
      </c>
      <c r="R676">
        <v>-3.9420139999999999E-2</v>
      </c>
      <c r="S676">
        <v>3.0126650000000001</v>
      </c>
      <c r="T676">
        <v>-0.12241829999999999</v>
      </c>
      <c r="U676">
        <v>-0.446106</v>
      </c>
      <c r="V676">
        <v>3.848998E-2</v>
      </c>
      <c r="W676">
        <v>0.111735</v>
      </c>
      <c r="X676">
        <v>0.99299230000000005</v>
      </c>
      <c r="Y676">
        <v>0.14545920000000001</v>
      </c>
      <c r="Z676">
        <v>-2.90121E-3</v>
      </c>
      <c r="AA676">
        <v>0.98936000000000002</v>
      </c>
      <c r="AB676">
        <v>31</v>
      </c>
      <c r="AC676">
        <v>27.146999999999899</v>
      </c>
      <c r="AD676">
        <v>-1.1098409188639999</v>
      </c>
      <c r="AE676">
        <v>-4.04449999999997</v>
      </c>
      <c r="AF676">
        <v>4.0131356568987204</v>
      </c>
      <c r="AG676">
        <v>-1.1098409188639999</v>
      </c>
      <c r="AH676">
        <v>27.1063621064845</v>
      </c>
      <c r="AI676">
        <v>92.319351301416305</v>
      </c>
      <c r="AJ676">
        <v>81.578453614406797</v>
      </c>
      <c r="AK676">
        <v>27.424293451495</v>
      </c>
      <c r="AL676">
        <v>83.5846592737675</v>
      </c>
      <c r="AM676">
        <v>87.780234614799497</v>
      </c>
      <c r="AN676">
        <v>0.99999994832234296</v>
      </c>
    </row>
    <row r="677" spans="1:40" x14ac:dyDescent="0.25">
      <c r="A677" t="str">
        <f>"20190312164006075"</f>
        <v>20190312164006075</v>
      </c>
      <c r="B677" t="str">
        <f>"1552380006066974"</f>
        <v>1552380006066974</v>
      </c>
      <c r="C677" t="s">
        <v>40</v>
      </c>
      <c r="D677">
        <v>5.3142199999999997</v>
      </c>
      <c r="E677">
        <v>0.54347860000000003</v>
      </c>
      <c r="F677" t="s">
        <v>41</v>
      </c>
      <c r="G677">
        <v>-333.20929999999998</v>
      </c>
      <c r="H677" s="1">
        <v>-3.848997E-6</v>
      </c>
      <c r="I677">
        <v>364.24119999999999</v>
      </c>
      <c r="J677">
        <v>-360.04079999999999</v>
      </c>
      <c r="K677">
        <v>1.109823</v>
      </c>
      <c r="L677">
        <v>368.22230000000002</v>
      </c>
      <c r="M677">
        <v>0.99994700000000003</v>
      </c>
      <c r="N677">
        <v>0</v>
      </c>
      <c r="O677">
        <v>-8.6731359999999997E-4</v>
      </c>
      <c r="P677">
        <v>0.99408030000000003</v>
      </c>
      <c r="Q677">
        <v>0.1012272</v>
      </c>
      <c r="R677">
        <v>-3.9466609999999999E-2</v>
      </c>
      <c r="S677">
        <v>3.0130309999999998</v>
      </c>
      <c r="T677">
        <v>-0.123804</v>
      </c>
      <c r="U677">
        <v>-0.44409179999999998</v>
      </c>
      <c r="V677">
        <v>3.8585729999999999E-2</v>
      </c>
      <c r="W677">
        <v>0.111429399999999</v>
      </c>
      <c r="X677">
        <v>0.99302299999999999</v>
      </c>
      <c r="Y677">
        <v>0.14483799999999999</v>
      </c>
      <c r="Z677">
        <v>-2.9230139999999998E-3</v>
      </c>
      <c r="AA677">
        <v>0.98945110000000003</v>
      </c>
      <c r="AB677">
        <v>31</v>
      </c>
      <c r="AC677">
        <v>26.831499999999998</v>
      </c>
      <c r="AD677">
        <v>-1.109826848997</v>
      </c>
      <c r="AE677">
        <v>-3.9811000000000201</v>
      </c>
      <c r="AF677">
        <v>3.95121150489177</v>
      </c>
      <c r="AG677">
        <v>-1.109826848997</v>
      </c>
      <c r="AH677">
        <v>26.790095517637301</v>
      </c>
      <c r="AI677">
        <v>92.346862992094003</v>
      </c>
      <c r="AJ677">
        <v>81.610058671452606</v>
      </c>
      <c r="AK677">
        <v>27.102638355615401</v>
      </c>
      <c r="AL677">
        <v>83.602279382920301</v>
      </c>
      <c r="AM677">
        <v>87.774786863783206</v>
      </c>
      <c r="AN677">
        <v>1.0000000241364899</v>
      </c>
    </row>
    <row r="678" spans="1:40" x14ac:dyDescent="0.25">
      <c r="A678" t="str">
        <f>"20190312164006087"</f>
        <v>20190312164006087</v>
      </c>
      <c r="B678" t="str">
        <f>"1552380006076733"</f>
        <v>1552380006076733</v>
      </c>
      <c r="C678" t="s">
        <v>40</v>
      </c>
      <c r="D678">
        <v>5.2819019999999997</v>
      </c>
      <c r="E678">
        <v>0.54364539999999995</v>
      </c>
      <c r="F678" t="s">
        <v>41</v>
      </c>
      <c r="G678">
        <v>-333.58690000000001</v>
      </c>
      <c r="H678" s="1">
        <v>-3.672003E-6</v>
      </c>
      <c r="I678">
        <v>364.32569999999998</v>
      </c>
      <c r="J678">
        <v>-359.8897</v>
      </c>
      <c r="K678">
        <v>1.1098110000000001</v>
      </c>
      <c r="L678">
        <v>368.22210000000001</v>
      </c>
      <c r="M678">
        <v>0.99994700000000003</v>
      </c>
      <c r="N678">
        <v>0</v>
      </c>
      <c r="O678">
        <v>-8.3896660000000001E-4</v>
      </c>
      <c r="P678">
        <v>0.99412719999999999</v>
      </c>
      <c r="Q678">
        <v>0.1007106</v>
      </c>
      <c r="R678">
        <v>-3.9603890000000003E-2</v>
      </c>
      <c r="S678">
        <v>3.0131230000000002</v>
      </c>
      <c r="T678">
        <v>-0.12640999999999999</v>
      </c>
      <c r="U678">
        <v>-0.44381710000000002</v>
      </c>
      <c r="V678">
        <v>3.8754499999999997E-2</v>
      </c>
      <c r="W678">
        <v>0.11091239999999999</v>
      </c>
      <c r="X678">
        <v>0.99307429999999997</v>
      </c>
      <c r="Y678">
        <v>0.14476839999999999</v>
      </c>
      <c r="Z678">
        <v>-2.9841500000000001E-3</v>
      </c>
      <c r="AA678">
        <v>0.98946109999999998</v>
      </c>
      <c r="AB678">
        <v>31</v>
      </c>
      <c r="AC678">
        <v>26.302799999999898</v>
      </c>
      <c r="AD678">
        <v>-1.109814672003</v>
      </c>
      <c r="AE678">
        <v>-3.8964000000000198</v>
      </c>
      <c r="AF678">
        <v>3.8675926153456701</v>
      </c>
      <c r="AG678">
        <v>-1.109814672003</v>
      </c>
      <c r="AH678">
        <v>26.260312129788101</v>
      </c>
      <c r="AI678">
        <v>92.394200535597193</v>
      </c>
      <c r="AJ678">
        <v>81.621765904876597</v>
      </c>
      <c r="AK678">
        <v>26.566782913976699</v>
      </c>
      <c r="AL678">
        <v>83.632086027278106</v>
      </c>
      <c r="AM678">
        <v>87.7651791941597</v>
      </c>
      <c r="AN678">
        <v>1.00000001853224</v>
      </c>
    </row>
    <row r="679" spans="1:40" x14ac:dyDescent="0.25">
      <c r="A679" t="str">
        <f>"20190312164006099"</f>
        <v>20190312164006099</v>
      </c>
      <c r="B679" t="str">
        <f>"1552380006086493"</f>
        <v>1552380006086493</v>
      </c>
      <c r="C679" t="s">
        <v>40</v>
      </c>
      <c r="D679">
        <v>5.2793199999999896</v>
      </c>
      <c r="E679">
        <v>0.54366029999999999</v>
      </c>
      <c r="F679" t="s">
        <v>41</v>
      </c>
      <c r="G679">
        <v>-333.55880000000002</v>
      </c>
      <c r="H679" s="1">
        <v>-3.6843349999999999E-6</v>
      </c>
      <c r="I679">
        <v>364.32400000000001</v>
      </c>
      <c r="J679">
        <v>-359.72030000000001</v>
      </c>
      <c r="K679">
        <v>1.109793</v>
      </c>
      <c r="L679">
        <v>368.22199999999998</v>
      </c>
      <c r="M679">
        <v>0.99994700000000003</v>
      </c>
      <c r="N679">
        <v>0</v>
      </c>
      <c r="O679">
        <v>-8.1027889999999998E-4</v>
      </c>
      <c r="P679">
        <v>0.99414029999999998</v>
      </c>
      <c r="Q679">
        <v>0.10049</v>
      </c>
      <c r="R679">
        <v>-3.9835379999999997E-2</v>
      </c>
      <c r="S679">
        <v>3.0127869999999999</v>
      </c>
      <c r="T679">
        <v>-0.12698499999999999</v>
      </c>
      <c r="U679">
        <v>-0.44601439999999998</v>
      </c>
      <c r="V679">
        <v>3.9017749999999997E-2</v>
      </c>
      <c r="W679">
        <v>0.1106925</v>
      </c>
      <c r="X679">
        <v>0.99308850000000004</v>
      </c>
      <c r="Y679">
        <v>0.14551710000000001</v>
      </c>
      <c r="Z679">
        <v>-3.0147699999999999E-3</v>
      </c>
      <c r="AA679">
        <v>0.98935119999999999</v>
      </c>
      <c r="AB679">
        <v>31</v>
      </c>
      <c r="AC679">
        <v>26.161499999999901</v>
      </c>
      <c r="AD679">
        <v>-1.109796684335</v>
      </c>
      <c r="AE679">
        <v>-3.8979999999999602</v>
      </c>
      <c r="AF679">
        <v>3.8699865449820599</v>
      </c>
      <c r="AG679">
        <v>-1.109796684335</v>
      </c>
      <c r="AH679">
        <v>26.118669234693801</v>
      </c>
      <c r="AI679">
        <v>92.406820750397898</v>
      </c>
      <c r="AJ679">
        <v>81.571841647281502</v>
      </c>
      <c r="AK679">
        <v>26.4271324045997</v>
      </c>
      <c r="AL679">
        <v>83.644763258863406</v>
      </c>
      <c r="AM679">
        <v>87.750046282253507</v>
      </c>
      <c r="AN679">
        <v>0.99999999160178099</v>
      </c>
    </row>
    <row r="680" spans="1:40" x14ac:dyDescent="0.25">
      <c r="A680" t="str">
        <f>"20190312164006112"</f>
        <v>20190312164006112</v>
      </c>
      <c r="B680" t="str">
        <f>"1552380006106989"</f>
        <v>1552380006106989</v>
      </c>
      <c r="C680" t="s">
        <v>40</v>
      </c>
      <c r="D680">
        <v>5.4119739999999998</v>
      </c>
      <c r="E680">
        <v>0.54365529999999995</v>
      </c>
      <c r="F680" t="s">
        <v>41</v>
      </c>
      <c r="G680">
        <v>-333.4203</v>
      </c>
      <c r="H680" s="1">
        <v>-3.7441779999999999E-6</v>
      </c>
      <c r="I680">
        <v>364.32159999999999</v>
      </c>
      <c r="J680">
        <v>-359.53699999999998</v>
      </c>
      <c r="K680">
        <v>1.1097779999999999</v>
      </c>
      <c r="L680">
        <v>368.22190000000001</v>
      </c>
      <c r="M680">
        <v>0.99994720000000004</v>
      </c>
      <c r="N680">
        <v>0</v>
      </c>
      <c r="O680">
        <v>-7.905271E-4</v>
      </c>
      <c r="P680">
        <v>0.99415339999999996</v>
      </c>
      <c r="Q680">
        <v>0.10044359999999999</v>
      </c>
      <c r="R680">
        <v>-3.9630699999999998E-2</v>
      </c>
      <c r="S680">
        <v>3.0126339999999998</v>
      </c>
      <c r="T680">
        <v>-0.12712570000000001</v>
      </c>
      <c r="U680">
        <v>-0.44677729999999999</v>
      </c>
      <c r="V680">
        <v>3.8836049999999997E-2</v>
      </c>
      <c r="W680">
        <v>0.1106456</v>
      </c>
      <c r="X680">
        <v>0.99310089999999995</v>
      </c>
      <c r="Y680">
        <v>0.14578849999999999</v>
      </c>
      <c r="Z680">
        <v>-3.0247260000000002E-3</v>
      </c>
      <c r="AA680">
        <v>0.98931119999999995</v>
      </c>
      <c r="AB680">
        <v>31</v>
      </c>
      <c r="AC680">
        <v>26.116699999999899</v>
      </c>
      <c r="AD680">
        <v>-1.109781744178</v>
      </c>
      <c r="AE680">
        <v>-3.9003000000000099</v>
      </c>
      <c r="AF680">
        <v>3.8728112778981298</v>
      </c>
      <c r="AG680">
        <v>-1.109781744178</v>
      </c>
      <c r="AH680">
        <v>26.073721858151799</v>
      </c>
      <c r="AI680">
        <v>92.410805307341604</v>
      </c>
      <c r="AJ680">
        <v>81.551448591048</v>
      </c>
      <c r="AK680">
        <v>26.3831244216865</v>
      </c>
      <c r="AL680">
        <v>83.647467364593197</v>
      </c>
      <c r="AM680">
        <v>87.760541231127107</v>
      </c>
      <c r="AN680">
        <v>1.0000000425798801</v>
      </c>
    </row>
    <row r="681" spans="1:40" x14ac:dyDescent="0.25">
      <c r="A681" t="str">
        <f>"20190312164006130"</f>
        <v>20190312164006130</v>
      </c>
      <c r="B681" t="str">
        <f>"1552380006126509"</f>
        <v>1552380006126509</v>
      </c>
      <c r="C681" t="s">
        <v>40</v>
      </c>
      <c r="D681">
        <v>5.3246409999999997</v>
      </c>
      <c r="E681">
        <v>0.543763</v>
      </c>
      <c r="F681" t="s">
        <v>41</v>
      </c>
      <c r="G681">
        <v>-333.40589999999997</v>
      </c>
      <c r="H681" s="1">
        <v>-3.745208E-6</v>
      </c>
      <c r="I681">
        <v>364.35070000000002</v>
      </c>
      <c r="J681">
        <v>-359.30009999999999</v>
      </c>
      <c r="K681">
        <v>1.109769</v>
      </c>
      <c r="L681">
        <v>368.2217</v>
      </c>
      <c r="M681">
        <v>0.99994700000000003</v>
      </c>
      <c r="N681">
        <v>0</v>
      </c>
      <c r="O681">
        <v>-7.7376699999999997E-4</v>
      </c>
      <c r="P681">
        <v>0.9941586</v>
      </c>
      <c r="Q681">
        <v>0.10028629999999999</v>
      </c>
      <c r="R681">
        <v>-3.989115E-2</v>
      </c>
      <c r="S681">
        <v>3.012756</v>
      </c>
      <c r="T681">
        <v>-0.12795049999999999</v>
      </c>
      <c r="U681">
        <v>-0.44631959999999998</v>
      </c>
      <c r="V681">
        <v>3.911676E-2</v>
      </c>
      <c r="W681">
        <v>0.1104892</v>
      </c>
      <c r="X681">
        <v>0.99310730000000003</v>
      </c>
      <c r="Y681">
        <v>0.14565069999999999</v>
      </c>
      <c r="Z681">
        <v>-3.0420429999999999E-3</v>
      </c>
      <c r="AA681">
        <v>0.98933139999999997</v>
      </c>
      <c r="AB681">
        <v>31</v>
      </c>
      <c r="AC681">
        <v>25.894200000000001</v>
      </c>
      <c r="AD681">
        <v>-1.109772745208</v>
      </c>
      <c r="AE681">
        <v>-3.87099999999998</v>
      </c>
      <c r="AF681">
        <v>3.8440552726752402</v>
      </c>
      <c r="AG681">
        <v>-1.109772745208</v>
      </c>
      <c r="AH681">
        <v>25.8507428325189</v>
      </c>
      <c r="AI681">
        <v>92.431495872069206</v>
      </c>
      <c r="AJ681">
        <v>81.541985717101795</v>
      </c>
      <c r="AK681">
        <v>26.1585408897059</v>
      </c>
      <c r="AL681">
        <v>83.656483733376405</v>
      </c>
      <c r="AM681">
        <v>87.744385429463193</v>
      </c>
      <c r="AN681">
        <v>1.0000000467714101</v>
      </c>
    </row>
    <row r="682" spans="1:40" x14ac:dyDescent="0.25">
      <c r="A682" t="str">
        <f>"20190312164006143"</f>
        <v>20190312164006143</v>
      </c>
      <c r="B682" t="str">
        <f>"1552380006136834"</f>
        <v>1552380006136834</v>
      </c>
      <c r="C682" t="s">
        <v>40</v>
      </c>
      <c r="D682">
        <v>5.4932270000000001</v>
      </c>
      <c r="E682">
        <v>0.54377959999999903</v>
      </c>
      <c r="F682" t="s">
        <v>41</v>
      </c>
      <c r="G682">
        <v>-334.19630000000001</v>
      </c>
      <c r="H682" s="1">
        <v>-3.3809230000000001E-6</v>
      </c>
      <c r="I682">
        <v>364.49290000000002</v>
      </c>
      <c r="J682">
        <v>-359.11160000000001</v>
      </c>
      <c r="K682">
        <v>1.1097589999999999</v>
      </c>
      <c r="L682">
        <v>368.22160000000002</v>
      </c>
      <c r="M682">
        <v>0.99994720000000004</v>
      </c>
      <c r="N682">
        <v>0</v>
      </c>
      <c r="O682">
        <v>-7.669606E-4</v>
      </c>
      <c r="P682">
        <v>0.99413289999999999</v>
      </c>
      <c r="Q682">
        <v>0.1004472</v>
      </c>
      <c r="R682">
        <v>-4.0127679999999999E-2</v>
      </c>
      <c r="S682">
        <v>3.0130919999999999</v>
      </c>
      <c r="T682">
        <v>-0.13319990000000001</v>
      </c>
      <c r="U682">
        <v>-0.4475403</v>
      </c>
      <c r="V682">
        <v>3.9362300000000003E-2</v>
      </c>
      <c r="W682">
        <v>0.11064980000000001</v>
      </c>
      <c r="X682">
        <v>0.99307970000000001</v>
      </c>
      <c r="Y682">
        <v>0.1460226</v>
      </c>
      <c r="Z682">
        <v>-3.1747590000000001E-3</v>
      </c>
      <c r="AA682">
        <v>0.98927619999999905</v>
      </c>
      <c r="AB682">
        <v>31</v>
      </c>
      <c r="AC682">
        <v>24.915299999999998</v>
      </c>
      <c r="AD682">
        <v>-1.1097623809229999</v>
      </c>
      <c r="AE682">
        <v>-3.7286999999999999</v>
      </c>
      <c r="AF682">
        <v>3.7024044182889</v>
      </c>
      <c r="AG682">
        <v>-1.1097623809229999</v>
      </c>
      <c r="AH682">
        <v>24.869893148674201</v>
      </c>
      <c r="AI682">
        <v>92.527184571474507</v>
      </c>
      <c r="AJ682">
        <v>81.532511606214499</v>
      </c>
      <c r="AK682">
        <v>25.1684516060315</v>
      </c>
      <c r="AL682">
        <v>83.647225153593197</v>
      </c>
      <c r="AM682">
        <v>87.730178447005201</v>
      </c>
      <c r="AN682">
        <v>1.0000000297267</v>
      </c>
    </row>
    <row r="683" spans="1:40" x14ac:dyDescent="0.25">
      <c r="A683" t="str">
        <f>"20190312164006165"</f>
        <v>20190312164006165</v>
      </c>
      <c r="B683" t="str">
        <f>"1552380006157329"</f>
        <v>1552380006157329</v>
      </c>
      <c r="C683" t="s">
        <v>40</v>
      </c>
      <c r="D683">
        <v>5.9445180000000004</v>
      </c>
      <c r="E683">
        <v>0.54381359999999901</v>
      </c>
      <c r="F683" t="s">
        <v>41</v>
      </c>
      <c r="G683">
        <v>-334.03019999999998</v>
      </c>
      <c r="H683" s="1">
        <v>-3.4523960000000001E-6</v>
      </c>
      <c r="I683">
        <v>364.49169999999998</v>
      </c>
      <c r="J683">
        <v>-358.81279999999998</v>
      </c>
      <c r="K683">
        <v>1.109748</v>
      </c>
      <c r="L683">
        <v>368.22140000000002</v>
      </c>
      <c r="M683">
        <v>0.99994709999999998</v>
      </c>
      <c r="N683">
        <v>0</v>
      </c>
      <c r="O683">
        <v>-7.6553709999999998E-4</v>
      </c>
      <c r="P683">
        <v>0.99412639999999997</v>
      </c>
      <c r="Q683">
        <v>0.1004777</v>
      </c>
      <c r="R683">
        <v>-4.0215210000000001E-2</v>
      </c>
      <c r="S683">
        <v>3.0130620000000001</v>
      </c>
      <c r="T683">
        <v>-0.1333164</v>
      </c>
      <c r="U683">
        <v>-0.44805909999999899</v>
      </c>
      <c r="V683">
        <v>3.9453580000000002E-2</v>
      </c>
      <c r="W683">
        <v>0.11068210000000001</v>
      </c>
      <c r="X683">
        <v>0.99307250000000002</v>
      </c>
      <c r="Y683">
        <v>0.14619170000000001</v>
      </c>
      <c r="Z683">
        <v>-3.181307E-3</v>
      </c>
      <c r="AA683">
        <v>0.98925110000000005</v>
      </c>
      <c r="AB683">
        <v>31</v>
      </c>
      <c r="AC683">
        <v>24.782599999999999</v>
      </c>
      <c r="AD683">
        <v>-1.1097514523959999</v>
      </c>
      <c r="AE683">
        <v>-3.72970000000003</v>
      </c>
      <c r="AF683">
        <v>3.70346419498191</v>
      </c>
      <c r="AG683">
        <v>-1.1097514523959999</v>
      </c>
      <c r="AH683">
        <v>24.736944167827101</v>
      </c>
      <c r="AI683">
        <v>92.540411873930907</v>
      </c>
      <c r="AJ683">
        <v>81.485267105269998</v>
      </c>
      <c r="AK683">
        <v>25.037244299079799</v>
      </c>
      <c r="AL683">
        <v>83.645363199681498</v>
      </c>
      <c r="AM683">
        <v>87.724903845646594</v>
      </c>
      <c r="AN683">
        <v>1.0000000512457301</v>
      </c>
    </row>
    <row r="684" spans="1:40" x14ac:dyDescent="0.25">
      <c r="A684" t="str">
        <f>"20190312164006186"</f>
        <v>20190312164006186</v>
      </c>
      <c r="B684" t="str">
        <f>"1552380006176849"</f>
        <v>1552380006176849</v>
      </c>
      <c r="C684" t="s">
        <v>40</v>
      </c>
      <c r="D684">
        <v>5.5109810000000001</v>
      </c>
      <c r="E684">
        <v>0.54394589999999998</v>
      </c>
      <c r="F684" t="s">
        <v>41</v>
      </c>
      <c r="G684">
        <v>-333.88780000000003</v>
      </c>
      <c r="H684" s="1">
        <v>-3.509868E-6</v>
      </c>
      <c r="I684">
        <v>364.51209999999998</v>
      </c>
      <c r="J684">
        <v>-358.5068</v>
      </c>
      <c r="K684">
        <v>1.109742</v>
      </c>
      <c r="L684">
        <v>368.22109999999998</v>
      </c>
      <c r="M684">
        <v>0.99994700000000003</v>
      </c>
      <c r="N684">
        <v>0</v>
      </c>
      <c r="O684">
        <v>-7.7314769999999998E-4</v>
      </c>
      <c r="P684">
        <v>0.9941622</v>
      </c>
      <c r="Q684">
        <v>0.10001400000000001</v>
      </c>
      <c r="R684">
        <v>-4.0481929999999999E-2</v>
      </c>
      <c r="S684">
        <v>3.0131230000000002</v>
      </c>
      <c r="T684">
        <v>-0.13415439999999901</v>
      </c>
      <c r="U684">
        <v>-0.44839479999999998</v>
      </c>
      <c r="V684">
        <v>3.9714510000000001E-2</v>
      </c>
      <c r="W684">
        <v>0.1102205</v>
      </c>
      <c r="X684">
        <v>0.99311340000000004</v>
      </c>
      <c r="Y684">
        <v>0.14628720000000001</v>
      </c>
      <c r="Z684">
        <v>-3.2029720000000001E-3</v>
      </c>
      <c r="AA684">
        <v>0.98923700000000003</v>
      </c>
      <c r="AB684">
        <v>31</v>
      </c>
      <c r="AC684">
        <v>24.6189999999999</v>
      </c>
      <c r="AD684">
        <v>-1.109745509868</v>
      </c>
      <c r="AE684">
        <v>-3.7090000000000001</v>
      </c>
      <c r="AF684">
        <v>3.6826470019297202</v>
      </c>
      <c r="AG684">
        <v>-1.109745509868</v>
      </c>
      <c r="AH684">
        <v>24.573038151402098</v>
      </c>
      <c r="AI684">
        <v>92.557264052933803</v>
      </c>
      <c r="AJ684">
        <v>81.476779562252801</v>
      </c>
      <c r="AK684">
        <v>24.872226036841901</v>
      </c>
      <c r="AL684">
        <v>83.671973503589101</v>
      </c>
      <c r="AM684">
        <v>87.709967464490902</v>
      </c>
      <c r="AN684">
        <v>1.00000001309217</v>
      </c>
    </row>
    <row r="685" spans="1:40" x14ac:dyDescent="0.25">
      <c r="A685" t="str">
        <f>"20190312164006208"</f>
        <v>20190312164006208</v>
      </c>
      <c r="B685" t="str">
        <f>"1552380006197345"</f>
        <v>1552380006197345</v>
      </c>
      <c r="C685" t="s">
        <v>40</v>
      </c>
      <c r="D685">
        <v>5.3326229999999999</v>
      </c>
      <c r="E685">
        <v>0.54403299999999999</v>
      </c>
      <c r="F685" t="s">
        <v>41</v>
      </c>
      <c r="G685">
        <v>-333.75199999999899</v>
      </c>
      <c r="H685" s="1">
        <v>-3.5660830000000002E-6</v>
      </c>
      <c r="I685">
        <v>364.52359999999999</v>
      </c>
      <c r="J685">
        <v>-358.20589999999999</v>
      </c>
      <c r="K685">
        <v>1.109728</v>
      </c>
      <c r="L685">
        <v>368.22089999999997</v>
      </c>
      <c r="M685">
        <v>0.99994700000000003</v>
      </c>
      <c r="N685">
        <v>0</v>
      </c>
      <c r="O685">
        <v>-7.8695060000000001E-4</v>
      </c>
      <c r="P685">
        <v>0.99415430000000005</v>
      </c>
      <c r="Q685">
        <v>0.1000118</v>
      </c>
      <c r="R685">
        <v>-4.067817E-2</v>
      </c>
      <c r="S685">
        <v>3.0128780000000002</v>
      </c>
      <c r="T685">
        <v>-0.1350652</v>
      </c>
      <c r="U685">
        <v>-0.45001219999999997</v>
      </c>
      <c r="V685">
        <v>3.9898980000000001E-2</v>
      </c>
      <c r="W685">
        <v>0.1102205</v>
      </c>
      <c r="X685">
        <v>0.99310600000000004</v>
      </c>
      <c r="Y685">
        <v>0.1468023</v>
      </c>
      <c r="Z685">
        <v>-3.2356889999999999E-3</v>
      </c>
      <c r="AA685">
        <v>0.9891605</v>
      </c>
      <c r="AB685">
        <v>31</v>
      </c>
      <c r="AC685">
        <v>24.453900000000001</v>
      </c>
      <c r="AD685">
        <v>-1.1097315660830001</v>
      </c>
      <c r="AE685">
        <v>-3.6972999999999798</v>
      </c>
      <c r="AF685">
        <v>3.6706634278602799</v>
      </c>
      <c r="AG685">
        <v>-1.1097315660830001</v>
      </c>
      <c r="AH685">
        <v>24.407660533167601</v>
      </c>
      <c r="AI685">
        <v>92.574337656711606</v>
      </c>
      <c r="AJ685">
        <v>81.447392645026497</v>
      </c>
      <c r="AK685">
        <v>24.707067143870798</v>
      </c>
      <c r="AL685">
        <v>83.671973466345705</v>
      </c>
      <c r="AM685">
        <v>87.699324767164001</v>
      </c>
      <c r="AN685">
        <v>1.0000000072306401</v>
      </c>
    </row>
    <row r="686" spans="1:40" x14ac:dyDescent="0.25">
      <c r="A686" t="str">
        <f>"20190312164006219"</f>
        <v>20190312164006219</v>
      </c>
      <c r="B686" t="str">
        <f>"1552380006216866"</f>
        <v>1552380006216866</v>
      </c>
      <c r="C686" t="s">
        <v>40</v>
      </c>
      <c r="D686">
        <v>5.5164</v>
      </c>
      <c r="E686">
        <v>0.54417469999999901</v>
      </c>
      <c r="F686" t="s">
        <v>41</v>
      </c>
      <c r="G686">
        <v>-333.25029999999998</v>
      </c>
      <c r="H686" s="1">
        <v>-3.7891549999999999E-6</v>
      </c>
      <c r="I686">
        <v>364.47919999999999</v>
      </c>
      <c r="J686">
        <v>-358.03609999999998</v>
      </c>
      <c r="K686">
        <v>1.1097239999999999</v>
      </c>
      <c r="L686">
        <v>368.22070000000002</v>
      </c>
      <c r="M686">
        <v>0.99994700000000003</v>
      </c>
      <c r="N686">
        <v>0</v>
      </c>
      <c r="O686">
        <v>-7.96782E-4</v>
      </c>
      <c r="P686">
        <v>0.9941875</v>
      </c>
      <c r="Q686">
        <v>9.9558839999999996E-2</v>
      </c>
      <c r="R686">
        <v>-4.0981049999999998E-2</v>
      </c>
      <c r="S686">
        <v>3.0126650000000001</v>
      </c>
      <c r="T686">
        <v>-0.13396749999999999</v>
      </c>
      <c r="U686">
        <v>-0.4516907</v>
      </c>
      <c r="V686">
        <v>4.0192970000000001E-2</v>
      </c>
      <c r="W686">
        <v>0.1097692</v>
      </c>
      <c r="X686">
        <v>0.99314409999999997</v>
      </c>
      <c r="Y686">
        <v>0.14734359999999999</v>
      </c>
      <c r="Z686">
        <v>-3.2210390000000002E-3</v>
      </c>
      <c r="AA686">
        <v>0.98908010000000002</v>
      </c>
      <c r="AB686">
        <v>31</v>
      </c>
      <c r="AC686">
        <v>24.785799999999899</v>
      </c>
      <c r="AD686">
        <v>-1.1097277891549999</v>
      </c>
      <c r="AE686">
        <v>-3.74150000000003</v>
      </c>
      <c r="AF686">
        <v>3.7144687716068301</v>
      </c>
      <c r="AG686">
        <v>-1.1097277891549999</v>
      </c>
      <c r="AH686">
        <v>24.740284076480599</v>
      </c>
      <c r="AI686">
        <v>92.539857354964994</v>
      </c>
      <c r="AJ686">
        <v>81.461474537561799</v>
      </c>
      <c r="AK686">
        <v>25.0421730328306</v>
      </c>
      <c r="AL686">
        <v>83.697988722668697</v>
      </c>
      <c r="AM686">
        <v>87.682479797973997</v>
      </c>
      <c r="AN686">
        <v>0.99999997773543503</v>
      </c>
    </row>
    <row r="687" spans="1:40" x14ac:dyDescent="0.25">
      <c r="A687" t="str">
        <f>"20190312164006231"</f>
        <v>20190312164006231</v>
      </c>
      <c r="B687" t="str">
        <f>"1552380006226625"</f>
        <v>1552380006226625</v>
      </c>
      <c r="C687" t="s">
        <v>40</v>
      </c>
      <c r="D687">
        <v>5.3323269999999896</v>
      </c>
      <c r="E687">
        <v>0.54423459999999901</v>
      </c>
      <c r="F687" t="s">
        <v>41</v>
      </c>
      <c r="G687">
        <v>-333.25709999999998</v>
      </c>
      <c r="H687" s="1">
        <v>-3.7841599999999999E-6</v>
      </c>
      <c r="I687">
        <v>364.49090000000001</v>
      </c>
      <c r="J687">
        <v>-357.87639999999999</v>
      </c>
      <c r="K687">
        <v>1.10972</v>
      </c>
      <c r="L687">
        <v>368.22059999999999</v>
      </c>
      <c r="M687">
        <v>0.99994680000000002</v>
      </c>
      <c r="N687">
        <v>0</v>
      </c>
      <c r="O687">
        <v>-8.0792759999999896E-4</v>
      </c>
      <c r="P687">
        <v>0.99418430000000002</v>
      </c>
      <c r="Q687">
        <v>9.9506449999999996E-2</v>
      </c>
      <c r="R687">
        <v>-4.1183829999999998E-2</v>
      </c>
      <c r="S687">
        <v>3.0123899999999999</v>
      </c>
      <c r="T687">
        <v>-0.13490959999999999</v>
      </c>
      <c r="U687">
        <v>-0.45343020000000001</v>
      </c>
      <c r="V687">
        <v>4.038576E-2</v>
      </c>
      <c r="W687">
        <v>0.1097176</v>
      </c>
      <c r="X687">
        <v>0.99314199999999997</v>
      </c>
      <c r="Y687">
        <v>0.147901799999999</v>
      </c>
      <c r="Z687">
        <v>-3.25575E-3</v>
      </c>
      <c r="AA687">
        <v>0.98899669999999895</v>
      </c>
      <c r="AB687">
        <v>31</v>
      </c>
      <c r="AC687">
        <v>24.619299999999999</v>
      </c>
      <c r="AD687">
        <v>-1.1097237841600001</v>
      </c>
      <c r="AE687">
        <v>-3.7296999999999798</v>
      </c>
      <c r="AF687">
        <v>3.7024532943789099</v>
      </c>
      <c r="AG687">
        <v>-1.1097237841600001</v>
      </c>
      <c r="AH687">
        <v>24.573497492082598</v>
      </c>
      <c r="AI687">
        <v>92.556864915555806</v>
      </c>
      <c r="AJ687">
        <v>81.431775741038095</v>
      </c>
      <c r="AK687">
        <v>24.875619113251801</v>
      </c>
      <c r="AL687">
        <v>83.7009632709822</v>
      </c>
      <c r="AM687">
        <v>87.6713708469387</v>
      </c>
      <c r="AN687">
        <v>0.99999999676226803</v>
      </c>
    </row>
    <row r="688" spans="1:40" x14ac:dyDescent="0.25">
      <c r="A688" t="str">
        <f>"20190312164006242"</f>
        <v>20190312164006242</v>
      </c>
      <c r="B688" t="str">
        <f>"1552380006237012"</f>
        <v>1552380006237012</v>
      </c>
      <c r="C688" t="s">
        <v>40</v>
      </c>
      <c r="D688">
        <v>4.8556970000000002</v>
      </c>
      <c r="E688">
        <v>0.5443249</v>
      </c>
      <c r="F688" t="s">
        <v>41</v>
      </c>
      <c r="G688">
        <v>-333.1782</v>
      </c>
      <c r="H688" s="1">
        <v>-3.8182659999999998E-6</v>
      </c>
      <c r="I688">
        <v>364.48950000000002</v>
      </c>
      <c r="J688">
        <v>-357.71260000000001</v>
      </c>
      <c r="K688">
        <v>1.109715</v>
      </c>
      <c r="L688">
        <v>368.22050000000002</v>
      </c>
      <c r="M688">
        <v>0.99994700000000003</v>
      </c>
      <c r="N688">
        <v>0</v>
      </c>
      <c r="O688">
        <v>-8.2074369999999999E-4</v>
      </c>
      <c r="P688">
        <v>0.99417979999999995</v>
      </c>
      <c r="Q688">
        <v>9.9428550000000004E-2</v>
      </c>
      <c r="R688">
        <v>-4.148222E-2</v>
      </c>
      <c r="S688">
        <v>3.0122680000000002</v>
      </c>
      <c r="T688">
        <v>-0.13534470000000001</v>
      </c>
      <c r="U688">
        <v>-0.4550476</v>
      </c>
      <c r="V688">
        <v>4.067258E-2</v>
      </c>
      <c r="W688">
        <v>0.1096408</v>
      </c>
      <c r="X688">
        <v>0.99313879999999999</v>
      </c>
      <c r="Y688">
        <v>0.14841289999999999</v>
      </c>
      <c r="Z688">
        <v>-3.277079E-3</v>
      </c>
      <c r="AA688">
        <v>0.98892000000000002</v>
      </c>
      <c r="AB688">
        <v>31</v>
      </c>
      <c r="AC688">
        <v>24.534400000000002</v>
      </c>
      <c r="AD688">
        <v>-1.1097188182660001</v>
      </c>
      <c r="AE688">
        <v>-3.7309999999999901</v>
      </c>
      <c r="AF688">
        <v>3.7034557508056198</v>
      </c>
      <c r="AG688">
        <v>-1.1097188182660001</v>
      </c>
      <c r="AH688">
        <v>24.488486599390601</v>
      </c>
      <c r="AI688">
        <v>92.565504406938899</v>
      </c>
      <c r="AJ688">
        <v>81.400182176606094</v>
      </c>
      <c r="AK688">
        <v>24.791793728617598</v>
      </c>
      <c r="AL688">
        <v>83.705390441332796</v>
      </c>
      <c r="AM688">
        <v>87.654843755262206</v>
      </c>
      <c r="AN688">
        <v>1.0000000199269601</v>
      </c>
    </row>
    <row r="689" spans="1:40" x14ac:dyDescent="0.25">
      <c r="A689" t="str">
        <f>"20190312164006254"</f>
        <v>20190312164006254</v>
      </c>
      <c r="B689" t="str">
        <f>"1552380006246771"</f>
        <v>1552380006246771</v>
      </c>
      <c r="C689" t="s">
        <v>40</v>
      </c>
      <c r="D689">
        <v>5.0537549999999998</v>
      </c>
      <c r="E689">
        <v>0.544431</v>
      </c>
      <c r="F689" t="s">
        <v>41</v>
      </c>
      <c r="G689">
        <v>-333.07749999999999</v>
      </c>
      <c r="H689" s="1">
        <v>-3.8618519999999998E-6</v>
      </c>
      <c r="I689">
        <v>364.48739999999998</v>
      </c>
      <c r="J689">
        <v>-357.53960000000001</v>
      </c>
      <c r="K689">
        <v>1.1097109999999999</v>
      </c>
      <c r="L689">
        <v>368.22030000000001</v>
      </c>
      <c r="M689">
        <v>0.99994680000000002</v>
      </c>
      <c r="N689">
        <v>0</v>
      </c>
      <c r="O689">
        <v>-8.3511339999999999E-4</v>
      </c>
      <c r="P689">
        <v>0.99418499999999999</v>
      </c>
      <c r="Q689">
        <v>9.9340109999999995E-2</v>
      </c>
      <c r="R689">
        <v>-4.1568550000000003E-2</v>
      </c>
      <c r="S689">
        <v>3.0120849999999999</v>
      </c>
      <c r="T689">
        <v>-0.13568250000000001</v>
      </c>
      <c r="U689">
        <v>-0.45642090000000002</v>
      </c>
      <c r="V689">
        <v>4.0745530000000002E-2</v>
      </c>
      <c r="W689">
        <v>0.1095536</v>
      </c>
      <c r="X689">
        <v>0.99314539999999996</v>
      </c>
      <c r="Y689">
        <v>0.14884710000000001</v>
      </c>
      <c r="Z689">
        <v>-3.2944110000000001E-3</v>
      </c>
      <c r="AA689">
        <v>0.98885469999999998</v>
      </c>
      <c r="AB689">
        <v>31</v>
      </c>
      <c r="AC689">
        <v>24.4621</v>
      </c>
      <c r="AD689">
        <v>-1.1097148618520001</v>
      </c>
      <c r="AE689">
        <v>-3.7329000000000199</v>
      </c>
      <c r="AF689">
        <v>3.70501775429867</v>
      </c>
      <c r="AG689">
        <v>-1.1097148618520001</v>
      </c>
      <c r="AH689">
        <v>24.416105302103102</v>
      </c>
      <c r="AI689">
        <v>92.572895508271898</v>
      </c>
      <c r="AJ689">
        <v>81.371487955481697</v>
      </c>
      <c r="AK689">
        <v>24.720534414888199</v>
      </c>
      <c r="AL689">
        <v>83.710416707567006</v>
      </c>
      <c r="AM689">
        <v>87.650657806819794</v>
      </c>
      <c r="AN689">
        <v>0.99999998751454999</v>
      </c>
    </row>
    <row r="690" spans="1:40" x14ac:dyDescent="0.25">
      <c r="A690" t="str">
        <f>"20190312164006275"</f>
        <v>20190312164006275</v>
      </c>
      <c r="B690" t="str">
        <f>"1552380006267269"</f>
        <v>1552380006267269</v>
      </c>
      <c r="C690" t="s">
        <v>40</v>
      </c>
      <c r="D690">
        <v>5.6091280000000001</v>
      </c>
      <c r="E690">
        <v>0.54464869999999899</v>
      </c>
      <c r="F690" t="s">
        <v>41</v>
      </c>
      <c r="G690">
        <v>-332.95030000000003</v>
      </c>
      <c r="H690" s="1">
        <v>-3.91698699999999E-6</v>
      </c>
      <c r="I690">
        <v>364.48410000000001</v>
      </c>
      <c r="J690">
        <v>-357.25400000000002</v>
      </c>
      <c r="K690">
        <v>1.109702</v>
      </c>
      <c r="L690">
        <v>368.22</v>
      </c>
      <c r="M690">
        <v>0.99994700000000003</v>
      </c>
      <c r="N690">
        <v>0</v>
      </c>
      <c r="O690">
        <v>-8.6298530000000003E-4</v>
      </c>
      <c r="P690">
        <v>0.99417290000000003</v>
      </c>
      <c r="Q690">
        <v>9.9328369999999999E-2</v>
      </c>
      <c r="R690">
        <v>-4.1886199999999998E-2</v>
      </c>
      <c r="S690">
        <v>3.0119630000000002</v>
      </c>
      <c r="T690">
        <v>-0.13592960000000001</v>
      </c>
      <c r="U690">
        <v>-0.45764159999999998</v>
      </c>
      <c r="V690">
        <v>4.1037369999999997E-2</v>
      </c>
      <c r="W690">
        <v>0.10954369999999999</v>
      </c>
      <c r="X690">
        <v>0.99313450000000003</v>
      </c>
      <c r="Y690">
        <v>0.1492164</v>
      </c>
      <c r="Z690">
        <v>-3.3074670000000001E-3</v>
      </c>
      <c r="AA690">
        <v>0.98879899999999998</v>
      </c>
      <c r="AB690">
        <v>31</v>
      </c>
      <c r="AC690">
        <v>24.3036999999999</v>
      </c>
      <c r="AD690">
        <v>-1.1097059169870001</v>
      </c>
      <c r="AE690">
        <v>-3.7359000000000102</v>
      </c>
      <c r="AF690">
        <v>3.70737293892032</v>
      </c>
      <c r="AG690">
        <v>-1.1097059169870001</v>
      </c>
      <c r="AH690">
        <v>24.257509720815499</v>
      </c>
      <c r="AI690">
        <v>92.589254208911598</v>
      </c>
      <c r="AJ690">
        <v>81.310496011014493</v>
      </c>
      <c r="AK690">
        <v>24.564259386065199</v>
      </c>
      <c r="AL690">
        <v>83.710987521931102</v>
      </c>
      <c r="AM690">
        <v>87.633823752938696</v>
      </c>
      <c r="AN690">
        <v>1.0000000115182199</v>
      </c>
    </row>
    <row r="691" spans="1:40" x14ac:dyDescent="0.25">
      <c r="A691" t="str">
        <f>"20190312164006296"</f>
        <v>20190312164006296</v>
      </c>
      <c r="B691" t="str">
        <f>"1552380006286786"</f>
        <v>1552380006286786</v>
      </c>
      <c r="C691" t="s">
        <v>40</v>
      </c>
      <c r="D691">
        <v>5.699052</v>
      </c>
      <c r="E691">
        <v>0.54489809999999905</v>
      </c>
      <c r="F691" t="s">
        <v>41</v>
      </c>
      <c r="G691">
        <v>-332.74059999999997</v>
      </c>
      <c r="H691" s="1">
        <v>-4.0085239999999996E-6</v>
      </c>
      <c r="I691">
        <v>364.4753</v>
      </c>
      <c r="J691">
        <v>-356.95920000000001</v>
      </c>
      <c r="K691">
        <v>1.1096870000000001</v>
      </c>
      <c r="L691">
        <v>368.21969999999999</v>
      </c>
      <c r="M691">
        <v>0.99994680000000002</v>
      </c>
      <c r="N691">
        <v>0</v>
      </c>
      <c r="O691">
        <v>-8.9586359999999999E-4</v>
      </c>
      <c r="P691">
        <v>0.99418569999999995</v>
      </c>
      <c r="Q691">
        <v>9.9118810000000002E-2</v>
      </c>
      <c r="R691">
        <v>-4.2076919999999997E-2</v>
      </c>
      <c r="S691">
        <v>3.0118100000000001</v>
      </c>
      <c r="T691">
        <v>-0.136342299999999</v>
      </c>
      <c r="U691">
        <v>-0.46008300000000002</v>
      </c>
      <c r="V691">
        <v>4.1197070000000002E-2</v>
      </c>
      <c r="W691">
        <v>0.1093365</v>
      </c>
      <c r="X691">
        <v>0.99315070000000005</v>
      </c>
      <c r="Y691">
        <v>0.149973</v>
      </c>
      <c r="Z691">
        <v>-3.3330040000000001E-3</v>
      </c>
      <c r="AA691">
        <v>0.98868449999999997</v>
      </c>
      <c r="AB691">
        <v>31</v>
      </c>
      <c r="AC691">
        <v>24.218599999999999</v>
      </c>
      <c r="AD691">
        <v>-1.1096910085239999</v>
      </c>
      <c r="AE691">
        <v>-3.7443999999999802</v>
      </c>
      <c r="AF691">
        <v>3.7150832366940101</v>
      </c>
      <c r="AG691">
        <v>-1.1096910085239999</v>
      </c>
      <c r="AH691">
        <v>24.172380928645701</v>
      </c>
      <c r="AI691">
        <v>92.597992496582606</v>
      </c>
      <c r="AJ691">
        <v>81.262508537448099</v>
      </c>
      <c r="AK691">
        <v>24.481365512354898</v>
      </c>
      <c r="AL691">
        <v>83.722930816597795</v>
      </c>
      <c r="AM691">
        <v>87.624664829973696</v>
      </c>
      <c r="AN691">
        <v>0.99999999085966196</v>
      </c>
    </row>
    <row r="692" spans="1:40" x14ac:dyDescent="0.25">
      <c r="A692" t="str">
        <f>"20190312164006307"</f>
        <v>20190312164006307</v>
      </c>
      <c r="B692" t="str">
        <f>"1552380006296547"</f>
        <v>1552380006296547</v>
      </c>
      <c r="C692" t="s">
        <v>40</v>
      </c>
      <c r="D692">
        <v>5.2700490000000002</v>
      </c>
      <c r="E692">
        <v>0.54500630000000005</v>
      </c>
      <c r="F692" t="s">
        <v>41</v>
      </c>
      <c r="G692">
        <v>-332.56330000000003</v>
      </c>
      <c r="H692" s="1">
        <v>-4.0857690000000001E-6</v>
      </c>
      <c r="I692">
        <v>364.46870000000001</v>
      </c>
      <c r="J692">
        <v>-356.80470000000003</v>
      </c>
      <c r="K692">
        <v>1.109683</v>
      </c>
      <c r="L692">
        <v>368.21960000000001</v>
      </c>
      <c r="M692">
        <v>0.99994669999999997</v>
      </c>
      <c r="N692">
        <v>0</v>
      </c>
      <c r="O692">
        <v>-9.1629169999999998E-4</v>
      </c>
      <c r="P692">
        <v>0.99418569999999995</v>
      </c>
      <c r="Q692">
        <v>9.9245899999999998E-2</v>
      </c>
      <c r="R692">
        <v>-4.1777130000000003E-2</v>
      </c>
      <c r="S692">
        <v>3.0115660000000002</v>
      </c>
      <c r="T692">
        <v>-0.13698589999999999</v>
      </c>
      <c r="U692">
        <v>-0.46304319999999999</v>
      </c>
      <c r="V692">
        <v>4.0877570000000002E-2</v>
      </c>
      <c r="W692">
        <v>0.10946500000000001</v>
      </c>
      <c r="X692">
        <v>0.99314979999999997</v>
      </c>
      <c r="Y692">
        <v>0.15091189999999999</v>
      </c>
      <c r="Z692">
        <v>-3.3690370000000001E-3</v>
      </c>
      <c r="AA692">
        <v>0.98854149999999996</v>
      </c>
      <c r="AB692">
        <v>31</v>
      </c>
      <c r="AC692">
        <v>24.241399999999999</v>
      </c>
      <c r="AD692">
        <v>-1.109687085769</v>
      </c>
      <c r="AE692">
        <v>-3.7509000000000001</v>
      </c>
      <c r="AF692">
        <v>3.7210699106147498</v>
      </c>
      <c r="AG692">
        <v>-1.109687085769</v>
      </c>
      <c r="AH692">
        <v>24.1953113691001</v>
      </c>
      <c r="AI692">
        <v>92.595484906821099</v>
      </c>
      <c r="AJ692">
        <v>81.256811935867205</v>
      </c>
      <c r="AK692">
        <v>24.5049149958882</v>
      </c>
      <c r="AL692">
        <v>83.715524182964998</v>
      </c>
      <c r="AM692">
        <v>87.643063528882706</v>
      </c>
      <c r="AN692">
        <v>1.00000004359707</v>
      </c>
    </row>
    <row r="693" spans="1:40" x14ac:dyDescent="0.25">
      <c r="A693" t="str">
        <f>"20190312164006318"</f>
        <v>20190312164006318</v>
      </c>
      <c r="B693" t="str">
        <f>"1552380006307283"</f>
        <v>1552380006307283</v>
      </c>
      <c r="C693" t="s">
        <v>40</v>
      </c>
      <c r="D693">
        <v>5.454593</v>
      </c>
      <c r="E693">
        <v>0.54510419999999904</v>
      </c>
      <c r="F693" t="s">
        <v>41</v>
      </c>
      <c r="G693">
        <v>-332.36180000000002</v>
      </c>
      <c r="H693" s="1">
        <v>-4.1732699999999999E-6</v>
      </c>
      <c r="I693">
        <v>364.46269999999998</v>
      </c>
      <c r="J693">
        <v>-356.64679999999998</v>
      </c>
      <c r="K693">
        <v>1.1096779999999999</v>
      </c>
      <c r="L693">
        <v>368.21940000000001</v>
      </c>
      <c r="M693">
        <v>0.99994669999999997</v>
      </c>
      <c r="N693">
        <v>0</v>
      </c>
      <c r="O693">
        <v>-9.3791169999999995E-4</v>
      </c>
      <c r="P693">
        <v>0.99418470000000003</v>
      </c>
      <c r="Q693">
        <v>9.9290459999999997E-2</v>
      </c>
      <c r="R693">
        <v>-4.1697619999999998E-2</v>
      </c>
      <c r="S693">
        <v>3.0117189999999998</v>
      </c>
      <c r="T693">
        <v>-0.13672899999999999</v>
      </c>
      <c r="U693">
        <v>-0.46289059999999999</v>
      </c>
      <c r="V693">
        <v>4.07772E-2</v>
      </c>
      <c r="W693">
        <v>0.10951139999999999</v>
      </c>
      <c r="X693">
        <v>0.9931487</v>
      </c>
      <c r="Y693">
        <v>0.15083469999999999</v>
      </c>
      <c r="Z693">
        <v>-3.3598539999999998E-3</v>
      </c>
      <c r="AA693">
        <v>0.98855329999999997</v>
      </c>
      <c r="AB693">
        <v>31</v>
      </c>
      <c r="AC693">
        <v>24.284999999999901</v>
      </c>
      <c r="AD693">
        <v>-1.10968217327</v>
      </c>
      <c r="AE693">
        <v>-3.7567000000000199</v>
      </c>
      <c r="AF693">
        <v>3.7263213997649798</v>
      </c>
      <c r="AG693">
        <v>-1.10968217327</v>
      </c>
      <c r="AH693">
        <v>24.239085631659599</v>
      </c>
      <c r="AI693">
        <v>92.590816303866703</v>
      </c>
      <c r="AJ693">
        <v>81.260231109074795</v>
      </c>
      <c r="AK693">
        <v>24.548933540155002</v>
      </c>
      <c r="AL693">
        <v>83.712848884720401</v>
      </c>
      <c r="AM693">
        <v>87.648841601725707</v>
      </c>
      <c r="AN693">
        <v>0.99999993354074201</v>
      </c>
    </row>
    <row r="694" spans="1:40" x14ac:dyDescent="0.25">
      <c r="A694" t="str">
        <f>"20190312164006330"</f>
        <v>20190312164006330</v>
      </c>
      <c r="B694" t="str">
        <f>"1552380006326803"</f>
        <v>1552380006326803</v>
      </c>
      <c r="C694" t="s">
        <v>40</v>
      </c>
      <c r="D694">
        <v>5.1957469999999999</v>
      </c>
      <c r="E694">
        <v>0.54483909999999902</v>
      </c>
      <c r="F694" t="s">
        <v>41</v>
      </c>
      <c r="G694">
        <v>-332.26209999999998</v>
      </c>
      <c r="H694" s="1">
        <v>-4.2155300000000001E-6</v>
      </c>
      <c r="I694">
        <v>364.46559999999999</v>
      </c>
      <c r="J694">
        <v>-356.47430000000003</v>
      </c>
      <c r="K694">
        <v>1.109672</v>
      </c>
      <c r="L694">
        <v>368.2192</v>
      </c>
      <c r="M694">
        <v>0.99994669999999997</v>
      </c>
      <c r="N694">
        <v>0</v>
      </c>
      <c r="O694">
        <v>-9.646635E-4</v>
      </c>
      <c r="P694">
        <v>0.99418969999999995</v>
      </c>
      <c r="Q694">
        <v>9.9225709999999995E-2</v>
      </c>
      <c r="R694">
        <v>-4.1731299999999999E-2</v>
      </c>
      <c r="S694">
        <v>3.0117799999999999</v>
      </c>
      <c r="T694">
        <v>-0.13705729999999999</v>
      </c>
      <c r="U694">
        <v>-0.46362300000000001</v>
      </c>
      <c r="V694">
        <v>4.0785490000000001E-2</v>
      </c>
      <c r="W694">
        <v>0.1094479</v>
      </c>
      <c r="X694">
        <v>0.99315540000000002</v>
      </c>
      <c r="Y694">
        <v>0.15103920000000001</v>
      </c>
      <c r="Z694">
        <v>-3.3711980000000002E-3</v>
      </c>
      <c r="AA694">
        <v>0.98852200000000001</v>
      </c>
      <c r="AB694">
        <v>32</v>
      </c>
      <c r="AC694">
        <v>24.212199999999999</v>
      </c>
      <c r="AD694">
        <v>-1.10967621553</v>
      </c>
      <c r="AE694">
        <v>-3.7536</v>
      </c>
      <c r="AF694">
        <v>3.7226045584392402</v>
      </c>
      <c r="AG694">
        <v>-1.10967621553</v>
      </c>
      <c r="AH694">
        <v>24.166239907780898</v>
      </c>
      <c r="AI694">
        <v>92.598480559168607</v>
      </c>
      <c r="AJ694">
        <v>81.242902681910806</v>
      </c>
      <c r="AK694">
        <v>24.4764441306789</v>
      </c>
      <c r="AL694">
        <v>83.716509422651598</v>
      </c>
      <c r="AM694">
        <v>87.648379994811094</v>
      </c>
      <c r="AN694">
        <v>0.99999997377905403</v>
      </c>
    </row>
    <row r="695" spans="1:40" x14ac:dyDescent="0.25">
      <c r="A695" t="str">
        <f>"20190312164006343"</f>
        <v>20190312164006343</v>
      </c>
      <c r="B695" t="str">
        <f>"1552380006337220"</f>
        <v>1552380006337220</v>
      </c>
      <c r="C695" t="s">
        <v>40</v>
      </c>
      <c r="D695">
        <v>5.2154179999999997</v>
      </c>
      <c r="E695">
        <v>0.54466159999999997</v>
      </c>
      <c r="F695" t="s">
        <v>41</v>
      </c>
      <c r="G695">
        <v>-332.06689999999998</v>
      </c>
      <c r="H695" s="1">
        <v>-4.296488E-6</v>
      </c>
      <c r="I695">
        <v>364.48129999999998</v>
      </c>
      <c r="J695">
        <v>-356.31110000000001</v>
      </c>
      <c r="K695">
        <v>1.1096680000000001</v>
      </c>
      <c r="L695">
        <v>368.21910000000003</v>
      </c>
      <c r="M695">
        <v>0.99994660000000002</v>
      </c>
      <c r="N695">
        <v>0</v>
      </c>
      <c r="O695">
        <v>-9.9129360000000007E-4</v>
      </c>
      <c r="P695">
        <v>0.99420989999999998</v>
      </c>
      <c r="Q695">
        <v>9.9072720000000003E-2</v>
      </c>
      <c r="R695">
        <v>-4.1611919999999997E-2</v>
      </c>
      <c r="S695">
        <v>3.0117799999999999</v>
      </c>
      <c r="T695">
        <v>-0.13692939999999901</v>
      </c>
      <c r="U695">
        <v>-0.46124270000000001</v>
      </c>
      <c r="V695">
        <v>4.0640210000000003E-2</v>
      </c>
      <c r="W695">
        <v>0.1092962</v>
      </c>
      <c r="X695">
        <v>0.99317809999999995</v>
      </c>
      <c r="Y695">
        <v>0.15025060000000001</v>
      </c>
      <c r="Z695">
        <v>-3.349238E-3</v>
      </c>
      <c r="AA695">
        <v>0.98864229999999997</v>
      </c>
      <c r="AB695">
        <v>32</v>
      </c>
      <c r="AC695">
        <v>24.244199999999999</v>
      </c>
      <c r="AD695">
        <v>-1.1096722964879999</v>
      </c>
      <c r="AE695">
        <v>-3.73780000000004</v>
      </c>
      <c r="AF695">
        <v>3.7061797744118699</v>
      </c>
      <c r="AG695">
        <v>-1.1096722964879999</v>
      </c>
      <c r="AH695">
        <v>24.198376133341799</v>
      </c>
      <c r="AI695">
        <v>92.595368788669404</v>
      </c>
      <c r="AJ695">
        <v>81.292347093536094</v>
      </c>
      <c r="AK695">
        <v>24.5056840062982</v>
      </c>
      <c r="AL695">
        <v>83.725253892098294</v>
      </c>
      <c r="AM695">
        <v>87.656800728954494</v>
      </c>
      <c r="AN695">
        <v>1.0000000121614401</v>
      </c>
    </row>
    <row r="696" spans="1:40" x14ac:dyDescent="0.25">
      <c r="A696" t="str">
        <f>"20190312164006365"</f>
        <v>20190312164006365</v>
      </c>
      <c r="B696" t="str">
        <f>"1552380006356739"</f>
        <v>1552380006356739</v>
      </c>
      <c r="C696" t="s">
        <v>40</v>
      </c>
      <c r="D696">
        <v>5.2398160000000003</v>
      </c>
      <c r="E696">
        <v>0.54444049999999999</v>
      </c>
      <c r="F696" t="s">
        <v>41</v>
      </c>
      <c r="G696">
        <v>-331.90100000000001</v>
      </c>
      <c r="H696" s="1">
        <v>-4.3647599999999999E-6</v>
      </c>
      <c r="I696">
        <v>364.49759999999998</v>
      </c>
      <c r="J696">
        <v>-355.9941</v>
      </c>
      <c r="K696">
        <v>1.1096629999999901</v>
      </c>
      <c r="L696">
        <v>368.21870000000001</v>
      </c>
      <c r="M696">
        <v>0.99994649999999996</v>
      </c>
      <c r="N696">
        <v>0</v>
      </c>
      <c r="O696">
        <v>-1.0492019999999999E-3</v>
      </c>
      <c r="P696">
        <v>0.99421440000000005</v>
      </c>
      <c r="Q696">
        <v>9.9154590000000001E-2</v>
      </c>
      <c r="R696">
        <v>-4.1306870000000002E-2</v>
      </c>
      <c r="S696">
        <v>3.0119020000000001</v>
      </c>
      <c r="T696">
        <v>-0.13691909999999999</v>
      </c>
      <c r="U696">
        <v>-0.45916750000000001</v>
      </c>
      <c r="V696">
        <v>4.0279290000000002E-2</v>
      </c>
      <c r="W696">
        <v>0.10938109999999999</v>
      </c>
      <c r="X696">
        <v>0.99318340000000005</v>
      </c>
      <c r="Y696">
        <v>0.14952260000000001</v>
      </c>
      <c r="Z696">
        <v>-3.3299660000000002E-3</v>
      </c>
      <c r="AA696">
        <v>0.98875270000000004</v>
      </c>
      <c r="AB696">
        <v>32</v>
      </c>
      <c r="AC696">
        <v>24.0931</v>
      </c>
      <c r="AD696">
        <v>-1.1096673647599999</v>
      </c>
      <c r="AE696">
        <v>-3.7211000000000301</v>
      </c>
      <c r="AF696">
        <v>3.68817666498733</v>
      </c>
      <c r="AG696">
        <v>-1.1096673647599999</v>
      </c>
      <c r="AH696">
        <v>24.0471685434919</v>
      </c>
      <c r="AI696">
        <v>92.611570512873399</v>
      </c>
      <c r="AJ696">
        <v>81.280345140813907</v>
      </c>
      <c r="AK696">
        <v>24.353651137594898</v>
      </c>
      <c r="AL696">
        <v>83.720359787042895</v>
      </c>
      <c r="AM696">
        <v>87.677599844766306</v>
      </c>
      <c r="AN696">
        <v>0.99999995613783599</v>
      </c>
    </row>
    <row r="697" spans="1:40" x14ac:dyDescent="0.25">
      <c r="A697" t="str">
        <f>"20190312164006379"</f>
        <v>20190312164006379</v>
      </c>
      <c r="B697" t="str">
        <f>"1552380006366499"</f>
        <v>1552380006366499</v>
      </c>
      <c r="C697" t="s">
        <v>40</v>
      </c>
      <c r="D697">
        <v>6.1574390000000001</v>
      </c>
      <c r="E697">
        <v>0.54434259999999901</v>
      </c>
      <c r="F697" t="s">
        <v>41</v>
      </c>
      <c r="G697">
        <v>-330.94529999999997</v>
      </c>
      <c r="H697" s="1">
        <v>-4.7887340000000001E-6</v>
      </c>
      <c r="I697">
        <v>364.41879999999998</v>
      </c>
      <c r="J697">
        <v>-355.79820000000001</v>
      </c>
      <c r="K697">
        <v>1.1096619999999999</v>
      </c>
      <c r="L697">
        <v>368.21839999999997</v>
      </c>
      <c r="M697">
        <v>0.99994640000000001</v>
      </c>
      <c r="N697">
        <v>0</v>
      </c>
      <c r="O697">
        <v>-1.087766E-3</v>
      </c>
      <c r="P697">
        <v>0.99421550000000003</v>
      </c>
      <c r="Q697">
        <v>9.9060549999999997E-2</v>
      </c>
      <c r="R697">
        <v>-4.1504119999999999E-2</v>
      </c>
      <c r="S697">
        <v>3.0118100000000001</v>
      </c>
      <c r="T697">
        <v>-0.13342329999999999</v>
      </c>
      <c r="U697">
        <v>-0.45687870000000003</v>
      </c>
      <c r="V697">
        <v>4.0439320000000001E-2</v>
      </c>
      <c r="W697">
        <v>0.1092891</v>
      </c>
      <c r="X697">
        <v>0.99318709999999999</v>
      </c>
      <c r="Y697">
        <v>0.1487627</v>
      </c>
      <c r="Z697">
        <v>-3.2268850000000001E-3</v>
      </c>
      <c r="AA697">
        <v>0.98886759999999996</v>
      </c>
      <c r="AB697">
        <v>32</v>
      </c>
      <c r="AC697">
        <v>24.852900000000002</v>
      </c>
      <c r="AD697">
        <v>-1.1096667887339999</v>
      </c>
      <c r="AE697">
        <v>-3.7995999999999901</v>
      </c>
      <c r="AF697">
        <v>3.7652273817254498</v>
      </c>
      <c r="AG697">
        <v>-1.1096667887339999</v>
      </c>
      <c r="AH697">
        <v>24.808690375067801</v>
      </c>
      <c r="AI697">
        <v>92.532114966438002</v>
      </c>
      <c r="AJ697">
        <v>81.370050208274805</v>
      </c>
      <c r="AK697">
        <v>25.117313067764499</v>
      </c>
      <c r="AL697">
        <v>83.725663261076306</v>
      </c>
      <c r="AM697">
        <v>87.668391766802301</v>
      </c>
      <c r="AN697">
        <v>1.0000000307936401</v>
      </c>
    </row>
    <row r="698" spans="1:40" x14ac:dyDescent="0.25">
      <c r="A698" t="str">
        <f>"20190312164006397"</f>
        <v>20190312164006397</v>
      </c>
      <c r="B698" t="str">
        <f>"1552380006386996"</f>
        <v>1552380006386996</v>
      </c>
      <c r="C698" t="s">
        <v>40</v>
      </c>
      <c r="D698">
        <v>5.3547390000000004</v>
      </c>
      <c r="E698">
        <v>0.54424319999999904</v>
      </c>
      <c r="F698" t="s">
        <v>41</v>
      </c>
      <c r="G698">
        <v>-330.5</v>
      </c>
      <c r="H698" s="1">
        <v>-4.9867190000000004E-6</v>
      </c>
      <c r="I698">
        <v>364.37959999999998</v>
      </c>
      <c r="J698">
        <v>-355.5274</v>
      </c>
      <c r="K698">
        <v>1.109659</v>
      </c>
      <c r="L698">
        <v>368.21809999999999</v>
      </c>
      <c r="M698">
        <v>0.99994629999999995</v>
      </c>
      <c r="N698">
        <v>0</v>
      </c>
      <c r="O698">
        <v>-1.146261E-3</v>
      </c>
      <c r="P698">
        <v>0.99420949999999997</v>
      </c>
      <c r="Q698">
        <v>9.9039139999999998E-2</v>
      </c>
      <c r="R698">
        <v>-4.1700139999999997E-2</v>
      </c>
      <c r="S698">
        <v>3.011536</v>
      </c>
      <c r="T698">
        <v>-0.13209560000000001</v>
      </c>
      <c r="U698">
        <v>-0.45697019999999999</v>
      </c>
      <c r="V698">
        <v>4.0578459999999997E-2</v>
      </c>
      <c r="W698">
        <v>0.109269699999999</v>
      </c>
      <c r="X698">
        <v>0.99318360000000006</v>
      </c>
      <c r="Y698">
        <v>0.14875050000000001</v>
      </c>
      <c r="Z698">
        <v>-3.192266E-3</v>
      </c>
      <c r="AA698">
        <v>0.98886960000000002</v>
      </c>
      <c r="AB698">
        <v>32</v>
      </c>
      <c r="AC698">
        <v>25.0274</v>
      </c>
      <c r="AD698">
        <v>-1.1096639867189999</v>
      </c>
      <c r="AE698">
        <v>-3.83850000000001</v>
      </c>
      <c r="AF698">
        <v>3.8025046472418</v>
      </c>
      <c r="AG698">
        <v>-1.1096639867189999</v>
      </c>
      <c r="AH698">
        <v>24.9837979510487</v>
      </c>
      <c r="AI698">
        <v>92.514224504065595</v>
      </c>
      <c r="AJ698">
        <v>81.346063269744803</v>
      </c>
      <c r="AK698">
        <v>25.295860448194698</v>
      </c>
      <c r="AL698">
        <v>83.726781749627406</v>
      </c>
      <c r="AM698">
        <v>87.660370041336293</v>
      </c>
      <c r="AN698">
        <v>1.0000000710315</v>
      </c>
    </row>
    <row r="699" spans="1:40" x14ac:dyDescent="0.25">
      <c r="A699" t="str">
        <f>"20190312164006420"</f>
        <v>20190312164006420</v>
      </c>
      <c r="B699" t="str">
        <f>"1552380006406516"</f>
        <v>1552380006406516</v>
      </c>
      <c r="C699" t="s">
        <v>40</v>
      </c>
      <c r="D699">
        <v>5.244415</v>
      </c>
      <c r="E699">
        <v>0.5441568</v>
      </c>
      <c r="F699" t="s">
        <v>41</v>
      </c>
      <c r="G699">
        <v>-330.00259999999997</v>
      </c>
      <c r="H699" s="1">
        <v>-5.2053150000000002E-6</v>
      </c>
      <c r="I699">
        <v>364.3501</v>
      </c>
      <c r="J699">
        <v>-355.22129999999999</v>
      </c>
      <c r="K699">
        <v>1.109653</v>
      </c>
      <c r="L699">
        <v>368.21769999999998</v>
      </c>
      <c r="M699">
        <v>0.99994620000000001</v>
      </c>
      <c r="N699">
        <v>0</v>
      </c>
      <c r="O699">
        <v>-1.220151E-3</v>
      </c>
      <c r="P699">
        <v>0.9941856</v>
      </c>
      <c r="Q699">
        <v>9.9214570000000002E-2</v>
      </c>
      <c r="R699">
        <v>-4.1854490000000001E-2</v>
      </c>
      <c r="S699">
        <v>3.0113829999999999</v>
      </c>
      <c r="T699">
        <v>-0.13091649999999999</v>
      </c>
      <c r="U699">
        <v>-0.45632929999999999</v>
      </c>
      <c r="V699">
        <v>4.0661099999999999E-2</v>
      </c>
      <c r="W699">
        <v>0.1094479</v>
      </c>
      <c r="X699">
        <v>0.9931605</v>
      </c>
      <c r="Y699">
        <v>0.1484819</v>
      </c>
      <c r="Z699">
        <v>-3.155012E-3</v>
      </c>
      <c r="AA699">
        <v>0.98891010000000001</v>
      </c>
      <c r="AB699">
        <v>32</v>
      </c>
      <c r="AC699">
        <v>25.218699999999998</v>
      </c>
      <c r="AD699">
        <v>-1.1096582053149999</v>
      </c>
      <c r="AE699">
        <v>-3.8675999999999799</v>
      </c>
      <c r="AF699">
        <v>3.82958070742903</v>
      </c>
      <c r="AG699">
        <v>-1.1096582053149999</v>
      </c>
      <c r="AH699">
        <v>25.1757772182407</v>
      </c>
      <c r="AI699">
        <v>92.495095030647406</v>
      </c>
      <c r="AJ699">
        <v>81.350829922551597</v>
      </c>
      <c r="AK699">
        <v>25.489542723827402</v>
      </c>
      <c r="AL699">
        <v>83.716509419717298</v>
      </c>
      <c r="AM699">
        <v>87.655556115090704</v>
      </c>
      <c r="AN699">
        <v>0.99999997331393398</v>
      </c>
    </row>
    <row r="700" spans="1:40" x14ac:dyDescent="0.25">
      <c r="A700" t="str">
        <f>"20190312164006431"</f>
        <v>20190312164006431</v>
      </c>
      <c r="B700" t="str">
        <f>"1552380006427012"</f>
        <v>1552380006427012</v>
      </c>
      <c r="C700" t="s">
        <v>40</v>
      </c>
      <c r="D700">
        <v>5.1956040000000003</v>
      </c>
      <c r="E700">
        <v>0.50848389999999999</v>
      </c>
      <c r="F700" t="s">
        <v>41</v>
      </c>
      <c r="G700">
        <v>-329.32209999999998</v>
      </c>
      <c r="H700" s="1">
        <v>-1.633525E-6</v>
      </c>
      <c r="I700">
        <v>364.29169999999999</v>
      </c>
      <c r="J700">
        <v>-355.04219999999998</v>
      </c>
      <c r="K700">
        <v>1.109653</v>
      </c>
      <c r="L700">
        <v>368.2174</v>
      </c>
      <c r="M700">
        <v>0.99994620000000001</v>
      </c>
      <c r="N700">
        <v>0</v>
      </c>
      <c r="O700">
        <v>-1.2684949999999999E-3</v>
      </c>
      <c r="P700">
        <v>0.99417630000000001</v>
      </c>
      <c r="Q700">
        <v>9.9323649999999999E-2</v>
      </c>
      <c r="R700">
        <v>-4.181315E-2</v>
      </c>
      <c r="S700">
        <v>3.0111690000000002</v>
      </c>
      <c r="T700">
        <v>-0.12901369999999901</v>
      </c>
      <c r="U700">
        <v>-0.45645140000000001</v>
      </c>
      <c r="V700">
        <v>4.0573060000000001E-2</v>
      </c>
      <c r="W700">
        <v>0.1095579</v>
      </c>
      <c r="X700">
        <v>0.99315200000000003</v>
      </c>
      <c r="Y700">
        <v>0.1484876</v>
      </c>
      <c r="Z700">
        <v>-3.1074679999999999E-3</v>
      </c>
      <c r="AA700">
        <v>0.98890940000000005</v>
      </c>
      <c r="AB700">
        <v>32</v>
      </c>
      <c r="AC700">
        <v>25.720099999999999</v>
      </c>
      <c r="AD700">
        <v>-1.1096546335249999</v>
      </c>
      <c r="AE700">
        <v>-3.9257</v>
      </c>
      <c r="AF700">
        <v>3.8860007203175502</v>
      </c>
      <c r="AG700">
        <v>-1.1096546335249999</v>
      </c>
      <c r="AH700">
        <v>25.678350787356401</v>
      </c>
      <c r="AI700">
        <v>92.446596040703497</v>
      </c>
      <c r="AJ700">
        <v>81.394513250203303</v>
      </c>
      <c r="AK700">
        <v>25.9944231357908</v>
      </c>
      <c r="AL700">
        <v>83.710168928120794</v>
      </c>
      <c r="AM700">
        <v>87.660606693416298</v>
      </c>
      <c r="AN700">
        <v>1.00000000087708</v>
      </c>
    </row>
    <row r="701" spans="1:40" x14ac:dyDescent="0.25">
      <c r="A701" t="str">
        <f>"20190312164006444"</f>
        <v>20190312164006444</v>
      </c>
      <c r="B701" t="str">
        <f>"1552380006437326"</f>
        <v>1552380006437326</v>
      </c>
      <c r="C701" t="s">
        <v>40</v>
      </c>
      <c r="D701">
        <v>5.251347</v>
      </c>
      <c r="E701">
        <v>0.50185559999999996</v>
      </c>
      <c r="F701" t="s">
        <v>41</v>
      </c>
      <c r="G701">
        <v>-331.8467</v>
      </c>
      <c r="H701" s="1">
        <v>-3.9609569999999997E-6</v>
      </c>
      <c r="I701">
        <v>366.90539999999999</v>
      </c>
      <c r="J701">
        <v>-354.87650000000002</v>
      </c>
      <c r="K701">
        <v>1.1096459999999999</v>
      </c>
      <c r="L701">
        <v>368.21719999999999</v>
      </c>
      <c r="M701">
        <v>0.999946</v>
      </c>
      <c r="N701">
        <v>0</v>
      </c>
      <c r="O701">
        <v>-1.3151669999999999E-3</v>
      </c>
      <c r="P701">
        <v>0.99414919999999996</v>
      </c>
      <c r="Q701">
        <v>9.9530389999999996E-2</v>
      </c>
      <c r="R701">
        <v>-4.1966139999999999E-2</v>
      </c>
      <c r="S701">
        <v>3.0248409999999999</v>
      </c>
      <c r="T701">
        <v>-0.14470549999999999</v>
      </c>
      <c r="U701">
        <v>-0.1710815</v>
      </c>
      <c r="V701">
        <v>4.0680809999999998E-2</v>
      </c>
      <c r="W701">
        <v>0.1097659</v>
      </c>
      <c r="X701">
        <v>0.99312460000000002</v>
      </c>
      <c r="Y701">
        <v>5.5094110000000002E-2</v>
      </c>
      <c r="Z701">
        <v>-1.253189E-3</v>
      </c>
      <c r="AA701">
        <v>0.99848040000000005</v>
      </c>
      <c r="AB701">
        <v>32</v>
      </c>
      <c r="AC701">
        <v>23.029800000000002</v>
      </c>
      <c r="AD701">
        <v>-1.1096499609570001</v>
      </c>
      <c r="AE701">
        <v>-1.3118000000000001</v>
      </c>
      <c r="AF701">
        <v>1.2785505105774899</v>
      </c>
      <c r="AG701">
        <v>-1.1096499609570001</v>
      </c>
      <c r="AH701">
        <v>22.978330917813299</v>
      </c>
      <c r="AI701">
        <v>92.760467846864202</v>
      </c>
      <c r="AJ701">
        <v>86.815256548429204</v>
      </c>
      <c r="AK701">
        <v>23.040609935774</v>
      </c>
      <c r="AL701">
        <v>83.698178937971704</v>
      </c>
      <c r="AM701">
        <v>87.654336247369699</v>
      </c>
      <c r="AN701">
        <v>0.99999997611511204</v>
      </c>
    </row>
    <row r="702" spans="1:40" x14ac:dyDescent="0.25">
      <c r="A702" t="str">
        <f>"20190312164006466"</f>
        <v>20190312164006466</v>
      </c>
      <c r="B702" t="str">
        <f>"1552380006456847"</f>
        <v>1552380006456847</v>
      </c>
      <c r="C702" t="s">
        <v>40</v>
      </c>
      <c r="D702">
        <v>5.4145000000000003</v>
      </c>
      <c r="E702">
        <v>0.49832369999999998</v>
      </c>
      <c r="F702" t="s">
        <v>41</v>
      </c>
      <c r="G702">
        <v>-332.42090000000002</v>
      </c>
      <c r="H702" s="1">
        <v>-3.6375220000000001E-6</v>
      </c>
      <c r="I702">
        <v>367.34</v>
      </c>
      <c r="J702">
        <v>-354.55840000000001</v>
      </c>
      <c r="K702">
        <v>1.10964</v>
      </c>
      <c r="L702">
        <v>368.21660000000003</v>
      </c>
      <c r="M702">
        <v>0.9999458</v>
      </c>
      <c r="N702">
        <v>0</v>
      </c>
      <c r="O702">
        <v>-1.4124420000000001E-3</v>
      </c>
      <c r="P702">
        <v>0.9941643</v>
      </c>
      <c r="Q702">
        <v>9.932001E-2</v>
      </c>
      <c r="R702">
        <v>-4.2108760000000002E-2</v>
      </c>
      <c r="S702">
        <v>3.0276179999999999</v>
      </c>
      <c r="T702">
        <v>-0.14960989999999999</v>
      </c>
      <c r="U702">
        <v>-0.1182556</v>
      </c>
      <c r="V702">
        <v>4.0728680000000003E-2</v>
      </c>
      <c r="W702">
        <v>0.1095584</v>
      </c>
      <c r="X702">
        <v>0.99314559999999996</v>
      </c>
      <c r="Y702">
        <v>3.7573660000000002E-2</v>
      </c>
      <c r="Z702">
        <v>-8.5770319999999998E-4</v>
      </c>
      <c r="AA702">
        <v>0.99929349999999995</v>
      </c>
      <c r="AB702">
        <v>32</v>
      </c>
      <c r="AC702">
        <v>22.1374999999999</v>
      </c>
      <c r="AD702">
        <v>-1.109643637522</v>
      </c>
      <c r="AE702">
        <v>-0.876600000000053</v>
      </c>
      <c r="AF702">
        <v>0.843214249346948</v>
      </c>
      <c r="AG702">
        <v>-1.109643637522</v>
      </c>
      <c r="AH702">
        <v>22.0833181651006</v>
      </c>
      <c r="AI702">
        <v>92.874490555013907</v>
      </c>
      <c r="AJ702">
        <v>87.813319606460496</v>
      </c>
      <c r="AK702">
        <v>22.127251534107302</v>
      </c>
      <c r="AL702">
        <v>83.710140262819905</v>
      </c>
      <c r="AM702">
        <v>87.651628743623803</v>
      </c>
      <c r="AN702">
        <v>1.0000000255922299</v>
      </c>
    </row>
    <row r="703" spans="1:40" x14ac:dyDescent="0.25">
      <c r="A703" t="str">
        <f>"20190312164006477"</f>
        <v>20190312164006477</v>
      </c>
      <c r="B703" t="str">
        <f>"1552380006466606"</f>
        <v>1552380006466606</v>
      </c>
      <c r="C703" t="s">
        <v>40</v>
      </c>
      <c r="D703">
        <v>5.3561649999999998</v>
      </c>
      <c r="E703">
        <v>0.49714649999999999</v>
      </c>
      <c r="F703" t="s">
        <v>41</v>
      </c>
      <c r="G703">
        <v>-331.70909999999998</v>
      </c>
      <c r="H703" s="1">
        <v>-3.9089760000000004E-6</v>
      </c>
      <c r="I703">
        <v>367.53109999999998</v>
      </c>
      <c r="J703">
        <v>-354.39240000000001</v>
      </c>
      <c r="K703">
        <v>1.109634</v>
      </c>
      <c r="L703">
        <v>368.21640000000002</v>
      </c>
      <c r="M703">
        <v>0.9999458</v>
      </c>
      <c r="N703">
        <v>0</v>
      </c>
      <c r="O703">
        <v>-1.4665100000000001E-3</v>
      </c>
      <c r="P703">
        <v>0.99415359999999997</v>
      </c>
      <c r="Q703">
        <v>9.9300059999999996E-2</v>
      </c>
      <c r="R703">
        <v>-4.240505E-2</v>
      </c>
      <c r="S703">
        <v>3.028473</v>
      </c>
      <c r="T703">
        <v>-0.14707290000000001</v>
      </c>
      <c r="U703">
        <v>-9.0850829999999994E-2</v>
      </c>
      <c r="V703">
        <v>4.097257E-2</v>
      </c>
      <c r="W703">
        <v>0.1095394</v>
      </c>
      <c r="X703">
        <v>0.99313770000000001</v>
      </c>
      <c r="Y703">
        <v>2.848763E-2</v>
      </c>
      <c r="Z703">
        <v>-6.2000119999999998E-4</v>
      </c>
      <c r="AA703">
        <v>0.99959399999999998</v>
      </c>
      <c r="AB703">
        <v>32</v>
      </c>
      <c r="AC703">
        <v>22.683299999999999</v>
      </c>
      <c r="AD703">
        <v>-1.109637908976</v>
      </c>
      <c r="AE703">
        <v>-0.68530000000003999</v>
      </c>
      <c r="AF703">
        <v>0.650477010910541</v>
      </c>
      <c r="AG703">
        <v>-1.109637908976</v>
      </c>
      <c r="AH703">
        <v>22.630175111042099</v>
      </c>
      <c r="AI703">
        <v>92.806010302825598</v>
      </c>
      <c r="AJ703">
        <v>88.353555454819102</v>
      </c>
      <c r="AK703">
        <v>22.6666989697924</v>
      </c>
      <c r="AL703">
        <v>83.711235700347999</v>
      </c>
      <c r="AM703">
        <v>87.637563426901707</v>
      </c>
      <c r="AN703">
        <v>1.00000006140302</v>
      </c>
    </row>
    <row r="704" spans="1:40" x14ac:dyDescent="0.25">
      <c r="A704" t="str">
        <f>"20190312164006489"</f>
        <v>20190312164006489</v>
      </c>
      <c r="B704" t="str">
        <f>"1552380006477342"</f>
        <v>1552380006477342</v>
      </c>
      <c r="C704" t="s">
        <v>40</v>
      </c>
      <c r="D704">
        <v>5.3455550000000001</v>
      </c>
      <c r="E704">
        <v>0.49672759999999999</v>
      </c>
      <c r="F704" t="s">
        <v>41</v>
      </c>
      <c r="G704">
        <v>-334.81670000000003</v>
      </c>
      <c r="H704" s="1">
        <v>-2.546956E-6</v>
      </c>
      <c r="I704">
        <v>367.69380000000001</v>
      </c>
      <c r="J704">
        <v>-354.23050000000001</v>
      </c>
      <c r="K704">
        <v>1.109629</v>
      </c>
      <c r="L704">
        <v>368.21600000000001</v>
      </c>
      <c r="M704">
        <v>0.99994559999999999</v>
      </c>
      <c r="N704">
        <v>0</v>
      </c>
      <c r="O704">
        <v>-1.52523E-3</v>
      </c>
      <c r="P704">
        <v>0.99415189999999998</v>
      </c>
      <c r="Q704">
        <v>9.9304820000000002E-2</v>
      </c>
      <c r="R704">
        <v>-4.2435460000000001E-2</v>
      </c>
      <c r="S704">
        <v>3.031342</v>
      </c>
      <c r="T704">
        <v>-0.17182900000000001</v>
      </c>
      <c r="U704">
        <v>-8.0902100000000005E-2</v>
      </c>
      <c r="V704">
        <v>4.0945740000000001E-2</v>
      </c>
      <c r="W704">
        <v>0.10954560000000001</v>
      </c>
      <c r="X704">
        <v>0.99313810000000002</v>
      </c>
      <c r="Y704">
        <v>2.5116409999999999E-2</v>
      </c>
      <c r="Z704">
        <v>-6.2477789999999995E-4</v>
      </c>
      <c r="AA704">
        <v>0.99968429999999997</v>
      </c>
      <c r="AB704">
        <v>32</v>
      </c>
      <c r="AC704">
        <v>19.413799999999899</v>
      </c>
      <c r="AD704">
        <v>-1.1096315469560001</v>
      </c>
      <c r="AE704">
        <v>-0.522199999999998</v>
      </c>
      <c r="AF704">
        <v>0.49098446605489898</v>
      </c>
      <c r="AG704">
        <v>-1.1096315469560001</v>
      </c>
      <c r="AH704">
        <v>19.3514004568027</v>
      </c>
      <c r="AI704">
        <v>93.280758632847395</v>
      </c>
      <c r="AJ704">
        <v>88.5466011269136</v>
      </c>
      <c r="AK704">
        <v>19.389405549305799</v>
      </c>
      <c r="AL704">
        <v>83.710878173663502</v>
      </c>
      <c r="AM704">
        <v>87.639109616080404</v>
      </c>
      <c r="AN704">
        <v>1.0000000388875501</v>
      </c>
    </row>
    <row r="705" spans="1:40" x14ac:dyDescent="0.25">
      <c r="A705" t="str">
        <f>"20190312164006501"</f>
        <v>20190312164006501</v>
      </c>
      <c r="B705" t="str">
        <f>"1552380006496862"</f>
        <v>1552380006496862</v>
      </c>
      <c r="C705" t="s">
        <v>40</v>
      </c>
      <c r="D705">
        <v>5.3318099999999999</v>
      </c>
      <c r="E705">
        <v>0.49616450000000001</v>
      </c>
      <c r="F705" t="s">
        <v>41</v>
      </c>
      <c r="G705">
        <v>-335.78489999999999</v>
      </c>
      <c r="H705" s="1">
        <v>-2.122215E-6</v>
      </c>
      <c r="I705">
        <v>367.74669999999998</v>
      </c>
      <c r="J705">
        <v>-354.06290000000001</v>
      </c>
      <c r="K705">
        <v>1.1096239999999999</v>
      </c>
      <c r="L705">
        <v>368.21570000000003</v>
      </c>
      <c r="M705">
        <v>0.99994550000000004</v>
      </c>
      <c r="N705">
        <v>0</v>
      </c>
      <c r="O705">
        <v>-1.587892E-3</v>
      </c>
      <c r="P705">
        <v>0.99414420000000003</v>
      </c>
      <c r="Q705">
        <v>9.9386740000000001E-2</v>
      </c>
      <c r="R705">
        <v>-4.2419760000000001E-2</v>
      </c>
      <c r="S705">
        <v>3.0325929999999999</v>
      </c>
      <c r="T705">
        <v>-0.1824316</v>
      </c>
      <c r="U705">
        <v>-7.7148439999999999E-2</v>
      </c>
      <c r="V705">
        <v>4.0869349999999999E-2</v>
      </c>
      <c r="W705">
        <v>0.109629</v>
      </c>
      <c r="X705">
        <v>0.99313200000000001</v>
      </c>
      <c r="Y705">
        <v>2.3803899999999999E-2</v>
      </c>
      <c r="Z705">
        <v>-6.1979760000000004E-4</v>
      </c>
      <c r="AA705">
        <v>0.99971650000000001</v>
      </c>
      <c r="AB705">
        <v>32</v>
      </c>
      <c r="AC705">
        <v>18.277999999999999</v>
      </c>
      <c r="AD705">
        <v>-1.1096261222149999</v>
      </c>
      <c r="AE705">
        <v>-0.46900000000004999</v>
      </c>
      <c r="AF705">
        <v>0.43835986269024102</v>
      </c>
      <c r="AG705">
        <v>-1.1096261222149999</v>
      </c>
      <c r="AH705">
        <v>18.211646917121801</v>
      </c>
      <c r="AI705">
        <v>93.485684347665099</v>
      </c>
      <c r="AJ705">
        <v>88.621139469599001</v>
      </c>
      <c r="AK705">
        <v>18.250685273003601</v>
      </c>
      <c r="AL705">
        <v>83.706070476869797</v>
      </c>
      <c r="AM705">
        <v>87.643494759331503</v>
      </c>
      <c r="AN705">
        <v>0.99999999541721096</v>
      </c>
    </row>
    <row r="706" spans="1:40" x14ac:dyDescent="0.25">
      <c r="A706" t="str">
        <f>"20190312164006512"</f>
        <v>20190312164006512</v>
      </c>
      <c r="B706" t="str">
        <f>"1552380006506623"</f>
        <v>1552380006506623</v>
      </c>
      <c r="C706" t="s">
        <v>40</v>
      </c>
      <c r="D706">
        <v>5.348401</v>
      </c>
      <c r="E706">
        <v>0.49576569999999998</v>
      </c>
      <c r="F706" t="s">
        <v>42</v>
      </c>
      <c r="G706">
        <v>-353.08949999999999</v>
      </c>
      <c r="H706">
        <v>1.044181</v>
      </c>
      <c r="I706">
        <v>368.19260000000003</v>
      </c>
      <c r="J706">
        <v>-353.89319999999998</v>
      </c>
      <c r="K706">
        <v>1.1096189999999999</v>
      </c>
      <c r="L706">
        <v>368.21539999999999</v>
      </c>
      <c r="M706">
        <v>0.99994559999999999</v>
      </c>
      <c r="N706">
        <v>0</v>
      </c>
      <c r="O706">
        <v>-1.6570039999999999E-3</v>
      </c>
      <c r="P706">
        <v>0.99413890000000005</v>
      </c>
      <c r="Q706">
        <v>9.9395510000000006E-2</v>
      </c>
      <c r="R706">
        <v>-4.2530760000000001E-2</v>
      </c>
      <c r="S706">
        <v>3.035034</v>
      </c>
      <c r="T706">
        <v>-0.20411370000000001</v>
      </c>
      <c r="U706">
        <v>-7.1807860000000001E-2</v>
      </c>
      <c r="V706">
        <v>4.0913249999999998E-2</v>
      </c>
      <c r="W706">
        <v>0.109638899999999</v>
      </c>
      <c r="X706">
        <v>0.99312909999999999</v>
      </c>
      <c r="Y706">
        <v>2.1950560000000001E-2</v>
      </c>
      <c r="Z706">
        <v>-6.2587799999999996E-4</v>
      </c>
      <c r="AA706">
        <v>0.99975879999999995</v>
      </c>
      <c r="AB706">
        <v>32</v>
      </c>
      <c r="AC706">
        <v>0.80369999999999198</v>
      </c>
      <c r="AD706">
        <v>-6.5438000000000093E-2</v>
      </c>
      <c r="AE706">
        <v>-2.2799999999961001E-2</v>
      </c>
      <c r="AF706">
        <v>2.1326893834175999E-2</v>
      </c>
      <c r="AG706">
        <v>-6.5438000000000093E-2</v>
      </c>
      <c r="AH706">
        <v>0.79844773123625501</v>
      </c>
      <c r="AI706">
        <v>94.683628410130893</v>
      </c>
      <c r="AJ706">
        <v>88.469968056390599</v>
      </c>
      <c r="AK706">
        <v>0.801408602250399</v>
      </c>
      <c r="AL706">
        <v>83.705499811369094</v>
      </c>
      <c r="AM706">
        <v>87.640959485822606</v>
      </c>
      <c r="AN706">
        <v>0.99999999584279098</v>
      </c>
    </row>
    <row r="707" spans="1:40" x14ac:dyDescent="0.25">
      <c r="A707" t="str">
        <f>"20190312164006531"</f>
        <v>20190312164006531</v>
      </c>
      <c r="B707" t="str">
        <f>"1552380006527119"</f>
        <v>1552380006527119</v>
      </c>
      <c r="C707" t="s">
        <v>40</v>
      </c>
      <c r="D707">
        <v>5.270899</v>
      </c>
      <c r="E707">
        <v>0.4944634</v>
      </c>
      <c r="F707" t="s">
        <v>41</v>
      </c>
      <c r="G707">
        <v>-337.22590000000002</v>
      </c>
      <c r="H707" s="1">
        <v>-1.488077E-6</v>
      </c>
      <c r="I707">
        <v>367.83670000000001</v>
      </c>
      <c r="J707">
        <v>-353.6311</v>
      </c>
      <c r="K707">
        <v>1.1096090000000001</v>
      </c>
      <c r="L707">
        <v>368.2149</v>
      </c>
      <c r="M707">
        <v>0.99994519999999998</v>
      </c>
      <c r="N707">
        <v>0</v>
      </c>
      <c r="O707">
        <v>-1.7719470000000001E-3</v>
      </c>
      <c r="P707">
        <v>0.99411799999999995</v>
      </c>
      <c r="Q707">
        <v>9.9532190000000006E-2</v>
      </c>
      <c r="R707">
        <v>-4.2690449999999998E-2</v>
      </c>
      <c r="S707">
        <v>3.0349729999999999</v>
      </c>
      <c r="T707">
        <v>-0.20205210000000001</v>
      </c>
      <c r="U707">
        <v>-6.8939210000000001E-2</v>
      </c>
      <c r="V707">
        <v>4.0961650000000002E-2</v>
      </c>
      <c r="W707">
        <v>0.10977679999999999</v>
      </c>
      <c r="X707">
        <v>0.99311179999999999</v>
      </c>
      <c r="Y707">
        <v>2.0895150000000001E-2</v>
      </c>
      <c r="Z707">
        <v>-5.7685799999999997E-4</v>
      </c>
      <c r="AA707">
        <v>0.99978149999999999</v>
      </c>
      <c r="AB707">
        <v>32</v>
      </c>
      <c r="AC707">
        <v>16.405199999999901</v>
      </c>
      <c r="AD707">
        <v>-1.1096104880769999</v>
      </c>
      <c r="AE707">
        <v>-0.37819999999999199</v>
      </c>
      <c r="AF707">
        <v>0.34753961245836501</v>
      </c>
      <c r="AG707">
        <v>-1.1096104880769999</v>
      </c>
      <c r="AH707">
        <v>16.331171252194999</v>
      </c>
      <c r="AI707">
        <v>93.886072267194706</v>
      </c>
      <c r="AJ707">
        <v>88.780886711608403</v>
      </c>
      <c r="AK707">
        <v>16.372512748078702</v>
      </c>
      <c r="AL707">
        <v>83.697550293121694</v>
      </c>
      <c r="AM707">
        <v>87.638130824510995</v>
      </c>
      <c r="AN707">
        <v>0.99999992494409795</v>
      </c>
    </row>
    <row r="708" spans="1:40" x14ac:dyDescent="0.25">
      <c r="A708" t="str">
        <f>"20190312164006545"</f>
        <v>20190312164006545</v>
      </c>
      <c r="B708" t="str">
        <f>"1552380006536523"</f>
        <v>1552380006536523</v>
      </c>
      <c r="C708" t="s">
        <v>40</v>
      </c>
      <c r="D708">
        <v>5.3504699999999996</v>
      </c>
      <c r="E708">
        <v>0.49389050000000001</v>
      </c>
      <c r="F708" t="s">
        <v>41</v>
      </c>
      <c r="G708">
        <v>-336.81720000000001</v>
      </c>
      <c r="H708" s="1">
        <v>-1.654453E-6</v>
      </c>
      <c r="I708">
        <v>367.88740000000001</v>
      </c>
      <c r="J708">
        <v>-353.43610000000001</v>
      </c>
      <c r="K708">
        <v>1.109602</v>
      </c>
      <c r="L708">
        <v>368.21440000000001</v>
      </c>
      <c r="M708">
        <v>0.99994499999999997</v>
      </c>
      <c r="N708">
        <v>0</v>
      </c>
      <c r="O708">
        <v>-1.865046E-3</v>
      </c>
      <c r="P708">
        <v>0.99413200000000002</v>
      </c>
      <c r="Q708">
        <v>9.9373980000000001E-2</v>
      </c>
      <c r="R708">
        <v>-4.2735870000000002E-2</v>
      </c>
      <c r="S708">
        <v>3.0353089999999998</v>
      </c>
      <c r="T708">
        <v>-0.20030980000000001</v>
      </c>
      <c r="U708">
        <v>-5.911255E-2</v>
      </c>
      <c r="V708">
        <v>4.0916649999999999E-2</v>
      </c>
      <c r="W708">
        <v>0.10962040000000001</v>
      </c>
      <c r="X708">
        <v>0.99313099999999999</v>
      </c>
      <c r="Y708">
        <v>1.7572299999999999E-2</v>
      </c>
      <c r="Z708">
        <v>-4.5620060000000002E-4</v>
      </c>
      <c r="AA708">
        <v>0.99984550000000005</v>
      </c>
      <c r="AB708">
        <v>32</v>
      </c>
      <c r="AC708">
        <v>16.618899999999901</v>
      </c>
      <c r="AD708">
        <v>-1.1096036544529999</v>
      </c>
      <c r="AE708">
        <v>-0.32699999999999801</v>
      </c>
      <c r="AF708">
        <v>0.29468957642159799</v>
      </c>
      <c r="AG708">
        <v>-1.1096036544529999</v>
      </c>
      <c r="AH708">
        <v>16.5457500918161</v>
      </c>
      <c r="AI708">
        <v>93.836061685568097</v>
      </c>
      <c r="AJ708">
        <v>88.979636227193495</v>
      </c>
      <c r="AK708">
        <v>16.585533103197498</v>
      </c>
      <c r="AL708">
        <v>83.706566197803298</v>
      </c>
      <c r="AM708">
        <v>87.640768173236907</v>
      </c>
      <c r="AN708">
        <v>0.99999999375219095</v>
      </c>
    </row>
    <row r="709" spans="1:40" x14ac:dyDescent="0.25">
      <c r="A709" t="str">
        <f>"20190312164006557"</f>
        <v>20190312164006557</v>
      </c>
      <c r="B709" t="str">
        <f>"1552380006547258"</f>
        <v>1552380006547258</v>
      </c>
      <c r="C709" t="s">
        <v>40</v>
      </c>
      <c r="D709">
        <v>5.2130340000000004</v>
      </c>
      <c r="E709">
        <v>0.49335869999999998</v>
      </c>
      <c r="F709" t="s">
        <v>41</v>
      </c>
      <c r="G709">
        <v>-336.15260000000001</v>
      </c>
      <c r="H709" s="1">
        <v>-1.937289E-6</v>
      </c>
      <c r="I709">
        <v>367.9</v>
      </c>
      <c r="J709">
        <v>-353.26350000000002</v>
      </c>
      <c r="K709">
        <v>1.1095930000000001</v>
      </c>
      <c r="L709">
        <v>368.21409999999997</v>
      </c>
      <c r="M709">
        <v>0.99994490000000003</v>
      </c>
      <c r="N709">
        <v>0</v>
      </c>
      <c r="O709">
        <v>-1.9514630000000001E-3</v>
      </c>
      <c r="P709">
        <v>0.99410969999999999</v>
      </c>
      <c r="Q709">
        <v>9.9556469999999994E-2</v>
      </c>
      <c r="R709">
        <v>-4.2835239999999997E-2</v>
      </c>
      <c r="S709">
        <v>3.034821</v>
      </c>
      <c r="T709">
        <v>-0.19483600000000001</v>
      </c>
      <c r="U709">
        <v>-5.52063E-2</v>
      </c>
      <c r="V709">
        <v>4.0932059999999999E-2</v>
      </c>
      <c r="W709">
        <v>0.109803399999999</v>
      </c>
      <c r="X709">
        <v>0.99311020000000005</v>
      </c>
      <c r="Y709">
        <v>1.6207340000000001E-2</v>
      </c>
      <c r="Z709">
        <v>-3.9452790000000002E-4</v>
      </c>
      <c r="AA709">
        <v>0.9998686</v>
      </c>
      <c r="AB709">
        <v>32</v>
      </c>
      <c r="AC709">
        <v>17.110900000000001</v>
      </c>
      <c r="AD709">
        <v>-1.1095949372889999</v>
      </c>
      <c r="AE709">
        <v>-0.31409999999999599</v>
      </c>
      <c r="AF709">
        <v>0.27953125764168402</v>
      </c>
      <c r="AG709">
        <v>-1.1095949372889999</v>
      </c>
      <c r="AH709">
        <v>17.0398491324361</v>
      </c>
      <c r="AI709">
        <v>93.725206629165896</v>
      </c>
      <c r="AJ709">
        <v>89.060172145358393</v>
      </c>
      <c r="AK709">
        <v>17.078225818422698</v>
      </c>
      <c r="AL709">
        <v>83.696017714348997</v>
      </c>
      <c r="AM709">
        <v>87.639831270407299</v>
      </c>
      <c r="AN709">
        <v>1.00000004476572</v>
      </c>
    </row>
    <row r="710" spans="1:40" x14ac:dyDescent="0.25">
      <c r="A710" t="str">
        <f>"20190312164006570"</f>
        <v>20190312164006570</v>
      </c>
      <c r="B710" t="str">
        <f>"1552380006566778"</f>
        <v>1552380006566778</v>
      </c>
      <c r="C710" t="s">
        <v>40</v>
      </c>
      <c r="D710">
        <v>5.4032049999999998</v>
      </c>
      <c r="E710">
        <v>0.49262349999999999</v>
      </c>
      <c r="F710" t="s">
        <v>41</v>
      </c>
      <c r="G710">
        <v>-335.53829999999999</v>
      </c>
      <c r="H710" s="1">
        <v>-2.198593E-6</v>
      </c>
      <c r="I710">
        <v>367.91269999999997</v>
      </c>
      <c r="J710">
        <v>-353.07709999999997</v>
      </c>
      <c r="K710">
        <v>1.109578</v>
      </c>
      <c r="L710">
        <v>368.21359999999999</v>
      </c>
      <c r="M710">
        <v>0.99994470000000002</v>
      </c>
      <c r="N710">
        <v>0</v>
      </c>
      <c r="O710">
        <v>-2.0538679999999999E-3</v>
      </c>
      <c r="P710">
        <v>0.99410379999999998</v>
      </c>
      <c r="Q710">
        <v>9.9539219999999998E-2</v>
      </c>
      <c r="R710">
        <v>-4.301137E-2</v>
      </c>
      <c r="S710">
        <v>3.0345759999999999</v>
      </c>
      <c r="T710">
        <v>-0.1899632</v>
      </c>
      <c r="U710">
        <v>-5.1574710000000003E-2</v>
      </c>
      <c r="V710">
        <v>4.1008709999999997E-2</v>
      </c>
      <c r="W710">
        <v>0.1097878</v>
      </c>
      <c r="X710">
        <v>0.99310869999999996</v>
      </c>
      <c r="Y710">
        <v>1.491435E-2</v>
      </c>
      <c r="Z710">
        <v>-3.3788349999999998E-4</v>
      </c>
      <c r="AA710">
        <v>0.99988869999999996</v>
      </c>
      <c r="AB710">
        <v>32</v>
      </c>
      <c r="AC710">
        <v>17.538799999999899</v>
      </c>
      <c r="AD710">
        <v>-1.1095801985930001</v>
      </c>
      <c r="AE710">
        <v>-0.30090000000001199</v>
      </c>
      <c r="AF710">
        <v>0.263819475591549</v>
      </c>
      <c r="AG710">
        <v>-1.1095801985930001</v>
      </c>
      <c r="AH710">
        <v>17.4694822214894</v>
      </c>
      <c r="AI710">
        <v>93.633866101050899</v>
      </c>
      <c r="AJ710">
        <v>89.134800141204494</v>
      </c>
      <c r="AK710">
        <v>17.506672385686201</v>
      </c>
      <c r="AL710">
        <v>83.696916572191199</v>
      </c>
      <c r="AM710">
        <v>87.635413027005399</v>
      </c>
      <c r="AN710">
        <v>0.99999998267019596</v>
      </c>
    </row>
    <row r="711" spans="1:40" x14ac:dyDescent="0.25">
      <c r="A711" t="str">
        <f>"20190312164006589"</f>
        <v>20190312164006589</v>
      </c>
      <c r="B711" t="str">
        <f>"1552380006576538"</f>
        <v>1552380006576538</v>
      </c>
      <c r="C711" t="s">
        <v>40</v>
      </c>
      <c r="D711">
        <v>5.4414420000000003</v>
      </c>
      <c r="E711">
        <v>0.4922668</v>
      </c>
      <c r="F711" t="s">
        <v>41</v>
      </c>
      <c r="G711">
        <v>-334.76420000000002</v>
      </c>
      <c r="H711" s="1">
        <v>-2.527318E-6</v>
      </c>
      <c r="I711">
        <v>367.93169999999998</v>
      </c>
      <c r="J711">
        <v>-352.81540000000001</v>
      </c>
      <c r="K711">
        <v>1.1095649999999999</v>
      </c>
      <c r="L711">
        <v>368.21289999999999</v>
      </c>
      <c r="M711">
        <v>0.99994419999999995</v>
      </c>
      <c r="N711">
        <v>0</v>
      </c>
      <c r="O711">
        <v>-2.2071180000000001E-3</v>
      </c>
      <c r="P711">
        <v>0.99407000000000001</v>
      </c>
      <c r="Q711">
        <v>9.9857689999999999E-2</v>
      </c>
      <c r="R711">
        <v>-4.3049749999999998E-2</v>
      </c>
      <c r="S711">
        <v>3.0341800000000001</v>
      </c>
      <c r="T711">
        <v>-0.1838398</v>
      </c>
      <c r="U711">
        <v>-4.669189E-2</v>
      </c>
      <c r="V711">
        <v>4.08986E-2</v>
      </c>
      <c r="W711">
        <v>0.1101072</v>
      </c>
      <c r="X711">
        <v>0.99307789999999996</v>
      </c>
      <c r="Y711">
        <v>1.315972E-2</v>
      </c>
      <c r="Z711">
        <v>-2.6467800000000002E-4</v>
      </c>
      <c r="AA711">
        <v>0.99991339999999995</v>
      </c>
      <c r="AB711">
        <v>32</v>
      </c>
      <c r="AC711">
        <v>18.051199999999898</v>
      </c>
      <c r="AD711">
        <v>-1.1095675273179999</v>
      </c>
      <c r="AE711">
        <v>-0.281200000000012</v>
      </c>
      <c r="AF711">
        <v>0.24044779919523299</v>
      </c>
      <c r="AG711">
        <v>-1.1095675273179999</v>
      </c>
      <c r="AH711">
        <v>17.983845001355999</v>
      </c>
      <c r="AI711">
        <v>93.530245777057303</v>
      </c>
      <c r="AJ711">
        <v>89.233988990777902</v>
      </c>
      <c r="AK711">
        <v>18.019645842097301</v>
      </c>
      <c r="AL711">
        <v>83.6785048062181</v>
      </c>
      <c r="AM711">
        <v>87.641681800749197</v>
      </c>
      <c r="AN711">
        <v>1.0000000032211001</v>
      </c>
    </row>
    <row r="712" spans="1:40" x14ac:dyDescent="0.25">
      <c r="A712" t="str">
        <f>"20190312164006610"</f>
        <v>20190312164006610</v>
      </c>
      <c r="B712" t="str">
        <f>"1552380006606794"</f>
        <v>1552380006606794</v>
      </c>
      <c r="C712" t="s">
        <v>40</v>
      </c>
      <c r="D712">
        <v>5.2565540000000004</v>
      </c>
      <c r="E712">
        <v>0.4914017</v>
      </c>
      <c r="F712" t="s">
        <v>41</v>
      </c>
      <c r="G712">
        <v>-334.10039999999998</v>
      </c>
      <c r="H712" s="1">
        <v>-2.8108510000000002E-6</v>
      </c>
      <c r="I712">
        <v>367.93849999999998</v>
      </c>
      <c r="J712">
        <v>-352.50650000000002</v>
      </c>
      <c r="K712">
        <v>1.10955</v>
      </c>
      <c r="L712">
        <v>368.21199999999999</v>
      </c>
      <c r="M712">
        <v>0.99994369999999999</v>
      </c>
      <c r="N712">
        <v>0</v>
      </c>
      <c r="O712">
        <v>-2.405711E-3</v>
      </c>
      <c r="P712">
        <v>0.99409250000000005</v>
      </c>
      <c r="Q712">
        <v>9.983388E-2</v>
      </c>
      <c r="R712">
        <v>-4.2582780000000001E-2</v>
      </c>
      <c r="S712">
        <v>3.0339969999999998</v>
      </c>
      <c r="T712">
        <v>-0.17987800000000001</v>
      </c>
      <c r="U712">
        <v>-4.4464110000000001E-2</v>
      </c>
      <c r="V712">
        <v>4.0238549999999998E-2</v>
      </c>
      <c r="W712">
        <v>0.1100859</v>
      </c>
      <c r="X712">
        <v>0.99310719999999997</v>
      </c>
      <c r="Y712">
        <v>1.223085E-2</v>
      </c>
      <c r="Z712">
        <v>-2.1972800000000001E-4</v>
      </c>
      <c r="AA712">
        <v>0.99992519999999996</v>
      </c>
      <c r="AB712">
        <v>32</v>
      </c>
      <c r="AC712">
        <v>18.406099999999999</v>
      </c>
      <c r="AD712">
        <v>-1.109552810851</v>
      </c>
      <c r="AE712">
        <v>-0.27350000000001201</v>
      </c>
      <c r="AF712">
        <v>0.22838733387131699</v>
      </c>
      <c r="AG712">
        <v>-1.109552810851</v>
      </c>
      <c r="AH712">
        <v>18.3400735353984</v>
      </c>
      <c r="AI712">
        <v>93.461839522587994</v>
      </c>
      <c r="AJ712">
        <v>89.2865375406178</v>
      </c>
      <c r="AK712">
        <v>18.3750255917689</v>
      </c>
      <c r="AL712">
        <v>83.679732513677294</v>
      </c>
      <c r="AM712">
        <v>87.6797684195963</v>
      </c>
      <c r="AN712">
        <v>0.99999997848837596</v>
      </c>
    </row>
    <row r="713" spans="1:40" x14ac:dyDescent="0.25">
      <c r="A713" t="str">
        <f>"20190312164006622"</f>
        <v>20190312164006622</v>
      </c>
      <c r="B713" t="str">
        <f>"1552380006616555"</f>
        <v>1552380006616555</v>
      </c>
      <c r="C713" t="s">
        <v>40</v>
      </c>
      <c r="D713">
        <v>5.3810549999999999</v>
      </c>
      <c r="E713">
        <v>0.49116379999999998</v>
      </c>
      <c r="F713" t="s">
        <v>41</v>
      </c>
      <c r="G713">
        <v>-333.22340000000003</v>
      </c>
      <c r="H713" s="1">
        <v>-3.1793849999999998E-6</v>
      </c>
      <c r="I713">
        <v>367.9819</v>
      </c>
      <c r="J713">
        <v>-352.33870000000002</v>
      </c>
      <c r="K713">
        <v>1.10954</v>
      </c>
      <c r="L713">
        <v>368.2115</v>
      </c>
      <c r="M713">
        <v>0.99994360000000004</v>
      </c>
      <c r="N713">
        <v>0</v>
      </c>
      <c r="O713">
        <v>-2.5207570000000002E-3</v>
      </c>
      <c r="P713">
        <v>0.99409999999999998</v>
      </c>
      <c r="Q713">
        <v>9.9834069999999997E-2</v>
      </c>
      <c r="R713">
        <v>-4.2410410000000003E-2</v>
      </c>
      <c r="S713">
        <v>3.0337830000000001</v>
      </c>
      <c r="T713">
        <v>-0.17456379999999999</v>
      </c>
      <c r="U713">
        <v>-3.619385E-2</v>
      </c>
      <c r="V713">
        <v>3.9954290000000003E-2</v>
      </c>
      <c r="W713">
        <v>0.1100882</v>
      </c>
      <c r="X713">
        <v>0.99311850000000002</v>
      </c>
      <c r="Y713">
        <v>9.3973000000000008E-3</v>
      </c>
      <c r="Z713">
        <v>-1.2520080000000001E-4</v>
      </c>
      <c r="AA713">
        <v>0.99995579999999995</v>
      </c>
      <c r="AB713">
        <v>32</v>
      </c>
      <c r="AC713">
        <v>19.115299999999898</v>
      </c>
      <c r="AD713">
        <v>-1.1095431793849999</v>
      </c>
      <c r="AE713">
        <v>-0.229600000000004</v>
      </c>
      <c r="AF713">
        <v>0.18080260808443799</v>
      </c>
      <c r="AG713">
        <v>-1.1095431793849999</v>
      </c>
      <c r="AH713">
        <v>19.051638627635199</v>
      </c>
      <c r="AI713">
        <v>93.332918604155097</v>
      </c>
      <c r="AJ713">
        <v>89.456271683798604</v>
      </c>
      <c r="AK713">
        <v>19.084776919000401</v>
      </c>
      <c r="AL713">
        <v>83.679600419769301</v>
      </c>
      <c r="AM713">
        <v>87.696167854697194</v>
      </c>
      <c r="AN713">
        <v>1.0000000560554401</v>
      </c>
    </row>
    <row r="714" spans="1:40" x14ac:dyDescent="0.25">
      <c r="A714" t="str">
        <f>"20190312164006643"</f>
        <v>20190312164006643</v>
      </c>
      <c r="B714" t="str">
        <f>"1552380006637050"</f>
        <v>1552380006637050</v>
      </c>
      <c r="C714" t="s">
        <v>40</v>
      </c>
      <c r="D714">
        <v>5.2648519999999897</v>
      </c>
      <c r="E714">
        <v>0.49068519999999999</v>
      </c>
      <c r="F714" t="s">
        <v>41</v>
      </c>
      <c r="G714">
        <v>-332.96870000000001</v>
      </c>
      <c r="H714" s="1">
        <v>-3.2863749999999999E-6</v>
      </c>
      <c r="I714">
        <v>367.9948</v>
      </c>
      <c r="J714">
        <v>-352.02789999999999</v>
      </c>
      <c r="K714">
        <v>1.1095219999999999</v>
      </c>
      <c r="L714">
        <v>368.21050000000002</v>
      </c>
      <c r="M714">
        <v>0.99994280000000002</v>
      </c>
      <c r="N714">
        <v>0</v>
      </c>
      <c r="O714">
        <v>-2.7490589999999999E-3</v>
      </c>
      <c r="P714">
        <v>0.99412780000000001</v>
      </c>
      <c r="Q714">
        <v>9.9696170000000001E-2</v>
      </c>
      <c r="R714">
        <v>-4.2083160000000001E-2</v>
      </c>
      <c r="S714">
        <v>3.0338440000000002</v>
      </c>
      <c r="T714">
        <v>-0.1737822</v>
      </c>
      <c r="U714">
        <v>-3.3935550000000002E-2</v>
      </c>
      <c r="V714">
        <v>3.9404120000000001E-2</v>
      </c>
      <c r="W714">
        <v>0.1099588</v>
      </c>
      <c r="X714">
        <v>0.9931548</v>
      </c>
      <c r="Y714">
        <v>8.4265780000000005E-3</v>
      </c>
      <c r="Z714" s="1">
        <v>-8.37938699999999E-5</v>
      </c>
      <c r="AA714">
        <v>0.99996450000000003</v>
      </c>
      <c r="AB714">
        <v>32</v>
      </c>
      <c r="AC714">
        <v>19.059199999999901</v>
      </c>
      <c r="AD714">
        <v>-1.10952528637499</v>
      </c>
      <c r="AE714">
        <v>-0.21570000000002601</v>
      </c>
      <c r="AF714">
        <v>0.162750039418916</v>
      </c>
      <c r="AG714">
        <v>-1.10952528637499</v>
      </c>
      <c r="AH714">
        <v>18.995354926655299</v>
      </c>
      <c r="AI714">
        <v>93.342745746561803</v>
      </c>
      <c r="AJ714">
        <v>89.509108292822106</v>
      </c>
      <c r="AK714">
        <v>19.028427226811001</v>
      </c>
      <c r="AL714">
        <v>83.687059674581505</v>
      </c>
      <c r="AM714">
        <v>87.727941069478703</v>
      </c>
      <c r="AN714">
        <v>1.0000000395667199</v>
      </c>
    </row>
    <row r="715" spans="1:40" x14ac:dyDescent="0.25">
      <c r="A715" t="str">
        <f>"20190312164006654"</f>
        <v>20190312164006654</v>
      </c>
      <c r="B715" t="str">
        <f>"1552380006646811"</f>
        <v>1552380006646811</v>
      </c>
      <c r="C715" t="s">
        <v>40</v>
      </c>
      <c r="D715">
        <v>5.2620620000000002</v>
      </c>
      <c r="E715">
        <v>0.49051840000000002</v>
      </c>
      <c r="F715" t="s">
        <v>41</v>
      </c>
      <c r="G715">
        <v>-332.39120000000003</v>
      </c>
      <c r="H715" s="1">
        <v>-3.5294500000000001E-6</v>
      </c>
      <c r="I715">
        <v>368.02120000000002</v>
      </c>
      <c r="J715">
        <v>-351.86709999999999</v>
      </c>
      <c r="K715">
        <v>1.1095139999999999</v>
      </c>
      <c r="L715">
        <v>368.21</v>
      </c>
      <c r="M715">
        <v>0.9999422</v>
      </c>
      <c r="N715">
        <v>0</v>
      </c>
      <c r="O715">
        <v>-2.8731709999999999E-3</v>
      </c>
      <c r="P715">
        <v>0.99413929999999995</v>
      </c>
      <c r="Q715">
        <v>9.9685739999999995E-2</v>
      </c>
      <c r="R715">
        <v>-4.1829190000000002E-2</v>
      </c>
      <c r="S715">
        <v>3.0336609999999999</v>
      </c>
      <c r="T715">
        <v>-0.1714088</v>
      </c>
      <c r="U715">
        <v>-2.9235839999999999E-2</v>
      </c>
      <c r="V715">
        <v>3.9028889999999997E-2</v>
      </c>
      <c r="W715">
        <v>0.1099536</v>
      </c>
      <c r="X715">
        <v>0.99317009999999994</v>
      </c>
      <c r="Y715">
        <v>6.7572769999999999E-3</v>
      </c>
      <c r="Z715" s="1">
        <v>-2.8528670000000001E-5</v>
      </c>
      <c r="AA715">
        <v>0.99997720000000001</v>
      </c>
      <c r="AB715">
        <v>32</v>
      </c>
      <c r="AC715">
        <v>19.4758999999999</v>
      </c>
      <c r="AD715">
        <v>-1.1095175294499999</v>
      </c>
      <c r="AE715">
        <v>-0.188799999999957</v>
      </c>
      <c r="AF715">
        <v>0.13240894144548701</v>
      </c>
      <c r="AG715">
        <v>-1.1095175294499999</v>
      </c>
      <c r="AH715">
        <v>19.413363148583201</v>
      </c>
      <c r="AI715">
        <v>93.270948855225299</v>
      </c>
      <c r="AJ715">
        <v>89.609219905859504</v>
      </c>
      <c r="AK715">
        <v>19.445493822855202</v>
      </c>
      <c r="AL715">
        <v>83.687358849648007</v>
      </c>
      <c r="AM715">
        <v>87.749589277405505</v>
      </c>
      <c r="AN715">
        <v>0.99999994797079905</v>
      </c>
    </row>
    <row r="716" spans="1:40" x14ac:dyDescent="0.25">
      <c r="A716" t="str">
        <f>"20190312164006666"</f>
        <v>20190312164006666</v>
      </c>
      <c r="B716" t="str">
        <f>"1552380006656570"</f>
        <v>1552380006656570</v>
      </c>
      <c r="C716" t="s">
        <v>40</v>
      </c>
      <c r="D716">
        <v>5.3278829999999999</v>
      </c>
      <c r="E716">
        <v>0.49028339999999998</v>
      </c>
      <c r="F716" t="s">
        <v>41</v>
      </c>
      <c r="G716">
        <v>-332.12810000000002</v>
      </c>
      <c r="H716" s="1">
        <v>-3.6401519999999998E-6</v>
      </c>
      <c r="I716">
        <v>368.03339999999997</v>
      </c>
      <c r="J716">
        <v>-351.70760000000001</v>
      </c>
      <c r="K716">
        <v>1.1095079999999999</v>
      </c>
      <c r="L716">
        <v>368.20940000000002</v>
      </c>
      <c r="M716">
        <v>0.99994190000000005</v>
      </c>
      <c r="N716">
        <v>0</v>
      </c>
      <c r="O716">
        <v>-3.0014429999999999E-3</v>
      </c>
      <c r="P716">
        <v>0.99411769999999999</v>
      </c>
      <c r="Q716">
        <v>9.9977839999999998E-2</v>
      </c>
      <c r="R716">
        <v>-4.1650069999999997E-2</v>
      </c>
      <c r="S716">
        <v>3.03363</v>
      </c>
      <c r="T716">
        <v>-0.17051769999999999</v>
      </c>
      <c r="U716">
        <v>-2.7130129999999999E-2</v>
      </c>
      <c r="V716">
        <v>3.8724179999999997E-2</v>
      </c>
      <c r="W716">
        <v>0.11025119999999999</v>
      </c>
      <c r="X716">
        <v>0.99314910000000001</v>
      </c>
      <c r="Y716">
        <v>5.9366080000000003E-3</v>
      </c>
      <c r="Z716" s="1">
        <v>1.869499E-6</v>
      </c>
      <c r="AA716">
        <v>0.99998240000000005</v>
      </c>
      <c r="AB716">
        <v>32</v>
      </c>
      <c r="AC716">
        <v>19.579499999999999</v>
      </c>
      <c r="AD716">
        <v>-1.109511640152</v>
      </c>
      <c r="AE716">
        <v>-0.17600000000004401</v>
      </c>
      <c r="AF716">
        <v>0.116854098467175</v>
      </c>
      <c r="AG716">
        <v>-1.109511640152</v>
      </c>
      <c r="AH716">
        <v>19.517272263797899</v>
      </c>
      <c r="AI716">
        <v>93.253572067699096</v>
      </c>
      <c r="AJ716">
        <v>89.656961968287206</v>
      </c>
      <c r="AK716">
        <v>19.5491326554192</v>
      </c>
      <c r="AL716">
        <v>83.670203730478306</v>
      </c>
      <c r="AM716">
        <v>87.767093875434895</v>
      </c>
      <c r="AN716">
        <v>1.0000000120244601</v>
      </c>
    </row>
    <row r="717" spans="1:40" x14ac:dyDescent="0.25">
      <c r="A717" t="str">
        <f>"20190312164006687"</f>
        <v>20190312164006687</v>
      </c>
      <c r="B717" t="str">
        <f>"1552380006677069"</f>
        <v>1552380006677069</v>
      </c>
      <c r="C717" t="s">
        <v>40</v>
      </c>
      <c r="D717">
        <v>5.1501970000000004</v>
      </c>
      <c r="E717">
        <v>0.490004</v>
      </c>
      <c r="F717" t="s">
        <v>41</v>
      </c>
      <c r="G717">
        <v>-331.625</v>
      </c>
      <c r="H717" s="1">
        <v>-3.8538000000000003E-6</v>
      </c>
      <c r="I717">
        <v>368.0455</v>
      </c>
      <c r="J717">
        <v>-351.40379999999999</v>
      </c>
      <c r="K717">
        <v>1.1094999999999999</v>
      </c>
      <c r="L717">
        <v>368.20830000000001</v>
      </c>
      <c r="M717">
        <v>0.99994090000000002</v>
      </c>
      <c r="N717">
        <v>0</v>
      </c>
      <c r="O717">
        <v>-3.252474E-3</v>
      </c>
      <c r="P717">
        <v>0.99410589999999999</v>
      </c>
      <c r="Q717">
        <v>0.1001131</v>
      </c>
      <c r="R717">
        <v>-4.160577E-2</v>
      </c>
      <c r="S717">
        <v>3.033569</v>
      </c>
      <c r="T717">
        <v>-0.1675963</v>
      </c>
      <c r="U717">
        <v>-2.4749759999999999E-2</v>
      </c>
      <c r="V717">
        <v>3.8433479999999999E-2</v>
      </c>
      <c r="W717">
        <v>0.1103982</v>
      </c>
      <c r="X717">
        <v>0.99314400000000003</v>
      </c>
      <c r="Y717">
        <v>4.9032540000000001E-3</v>
      </c>
      <c r="Z717" s="1">
        <v>4.4219009999999999E-5</v>
      </c>
      <c r="AA717">
        <v>0.99998799999999999</v>
      </c>
      <c r="AB717">
        <v>32</v>
      </c>
      <c r="AC717">
        <v>19.778799999999901</v>
      </c>
      <c r="AD717">
        <v>-1.1095038537999999</v>
      </c>
      <c r="AE717">
        <v>-0.162800000000004</v>
      </c>
      <c r="AF717">
        <v>9.8156793472415405E-2</v>
      </c>
      <c r="AG717">
        <v>-1.1095038537999999</v>
      </c>
      <c r="AH717">
        <v>19.7171846973859</v>
      </c>
      <c r="AI717">
        <v>93.220649139428701</v>
      </c>
      <c r="AJ717">
        <v>89.714770459159695</v>
      </c>
      <c r="AK717">
        <v>19.748620355572399</v>
      </c>
      <c r="AL717">
        <v>83.661729125262298</v>
      </c>
      <c r="AM717">
        <v>87.783828016439003</v>
      </c>
      <c r="AN717">
        <v>0.99999994984207397</v>
      </c>
    </row>
    <row r="718" spans="1:40" x14ac:dyDescent="0.25">
      <c r="A718" t="str">
        <f>"20190312164006698"</f>
        <v>20190312164006698</v>
      </c>
      <c r="B718" t="str">
        <f>"1552380006686827"</f>
        <v>1552380006686827</v>
      </c>
      <c r="C718" t="s">
        <v>40</v>
      </c>
      <c r="D718">
        <v>5.3862199999999998</v>
      </c>
      <c r="E718">
        <v>0.4898439</v>
      </c>
      <c r="F718" t="s">
        <v>41</v>
      </c>
      <c r="G718">
        <v>-331.05459999999999</v>
      </c>
      <c r="H718" s="1">
        <v>-4.09640999999999E-6</v>
      </c>
      <c r="I718">
        <v>368.0573</v>
      </c>
      <c r="J718">
        <v>-351.2448</v>
      </c>
      <c r="K718">
        <v>1.1094949999999999</v>
      </c>
      <c r="L718">
        <v>368.20760000000001</v>
      </c>
      <c r="M718">
        <v>0.99994059999999996</v>
      </c>
      <c r="N718">
        <v>0</v>
      </c>
      <c r="O718">
        <v>-3.386568E-3</v>
      </c>
      <c r="P718">
        <v>0.99408879999999999</v>
      </c>
      <c r="Q718">
        <v>0.1003438</v>
      </c>
      <c r="R718">
        <v>-4.1460879999999999E-2</v>
      </c>
      <c r="S718">
        <v>3.0335079999999999</v>
      </c>
      <c r="T718">
        <v>-0.1653963</v>
      </c>
      <c r="U718">
        <v>-2.2491460000000001E-2</v>
      </c>
      <c r="V718">
        <v>3.8156919999999997E-2</v>
      </c>
      <c r="W718">
        <v>0.1106347</v>
      </c>
      <c r="X718">
        <v>0.99312840000000002</v>
      </c>
      <c r="Y718">
        <v>4.0264849999999998E-3</v>
      </c>
      <c r="Z718" s="1">
        <v>7.4830469999999897E-5</v>
      </c>
      <c r="AA718">
        <v>0.99999190000000004</v>
      </c>
      <c r="AB718">
        <v>32</v>
      </c>
      <c r="AC718">
        <v>20.190200000000001</v>
      </c>
      <c r="AD718">
        <v>-1.10949909641</v>
      </c>
      <c r="AE718">
        <v>-0.150300000000015</v>
      </c>
      <c r="AF718">
        <v>8.1673362782108794E-2</v>
      </c>
      <c r="AG718">
        <v>-1.10949909641</v>
      </c>
      <c r="AH718">
        <v>20.129809378871698</v>
      </c>
      <c r="AI718">
        <v>93.154765996984295</v>
      </c>
      <c r="AJ718">
        <v>89.767533153438904</v>
      </c>
      <c r="AK718">
        <v>20.1605278803119</v>
      </c>
      <c r="AL718">
        <v>83.648095494926295</v>
      </c>
      <c r="AM718">
        <v>87.799724910596098</v>
      </c>
      <c r="AN718">
        <v>1.00000000313726</v>
      </c>
    </row>
    <row r="719" spans="1:40" x14ac:dyDescent="0.25">
      <c r="A719" t="str">
        <f>"20190312164006709"</f>
        <v>20190312164006709</v>
      </c>
      <c r="B719" t="str">
        <f>"1552380006696586"</f>
        <v>1552380006696586</v>
      </c>
      <c r="C719" t="s">
        <v>40</v>
      </c>
      <c r="D719">
        <v>5.2656939999999999</v>
      </c>
      <c r="E719">
        <v>0.4897705</v>
      </c>
      <c r="F719" t="s">
        <v>41</v>
      </c>
      <c r="G719">
        <v>-330.75779999999997</v>
      </c>
      <c r="H719" s="1">
        <v>-4.2219759999999997E-6</v>
      </c>
      <c r="I719">
        <v>368.06720000000001</v>
      </c>
      <c r="J719">
        <v>-351.08240000000001</v>
      </c>
      <c r="K719">
        <v>1.109491</v>
      </c>
      <c r="L719">
        <v>368.20699999999999</v>
      </c>
      <c r="M719">
        <v>0.99993989999999999</v>
      </c>
      <c r="N719">
        <v>0</v>
      </c>
      <c r="O719">
        <v>-3.5264850000000002E-3</v>
      </c>
      <c r="P719">
        <v>0.99406280000000002</v>
      </c>
      <c r="Q719">
        <v>0.10053289999999999</v>
      </c>
      <c r="R719">
        <v>-4.1621419999999999E-2</v>
      </c>
      <c r="S719">
        <v>3.033569</v>
      </c>
      <c r="T719">
        <v>-0.1642866</v>
      </c>
      <c r="U719">
        <v>-2.0782470000000001E-2</v>
      </c>
      <c r="V719">
        <v>3.8179730000000002E-2</v>
      </c>
      <c r="W719">
        <v>0.110829</v>
      </c>
      <c r="X719">
        <v>0.99310589999999999</v>
      </c>
      <c r="Y719">
        <v>3.3243320000000002E-3</v>
      </c>
      <c r="Z719">
        <v>1.008988E-4</v>
      </c>
      <c r="AA719">
        <v>0.99999450000000001</v>
      </c>
      <c r="AB719">
        <v>32</v>
      </c>
      <c r="AC719">
        <v>20.3246</v>
      </c>
      <c r="AD719">
        <v>-1.1094952219759999</v>
      </c>
      <c r="AE719">
        <v>-0.139799999999979</v>
      </c>
      <c r="AF719">
        <v>6.7918488313729403E-2</v>
      </c>
      <c r="AG719">
        <v>-1.1094952219759999</v>
      </c>
      <c r="AH719">
        <v>20.264582345184898</v>
      </c>
      <c r="AI719">
        <v>93.133823917118505</v>
      </c>
      <c r="AJ719">
        <v>89.807968992695095</v>
      </c>
      <c r="AK719">
        <v>20.2950459519909</v>
      </c>
      <c r="AL719">
        <v>83.636894299545403</v>
      </c>
      <c r="AM719">
        <v>87.798361061444893</v>
      </c>
      <c r="AN719">
        <v>1.0000000438193399</v>
      </c>
    </row>
    <row r="720" spans="1:40" x14ac:dyDescent="0.25">
      <c r="A720" t="str">
        <f>"20190312164006720"</f>
        <v>20190312164006720</v>
      </c>
      <c r="B720" t="str">
        <f>"1552380006717083"</f>
        <v>1552380006717083</v>
      </c>
      <c r="C720" t="s">
        <v>40</v>
      </c>
      <c r="D720">
        <v>5.2547769999999998</v>
      </c>
      <c r="E720">
        <v>0.48954969999999998</v>
      </c>
      <c r="F720" t="s">
        <v>41</v>
      </c>
      <c r="G720">
        <v>-330.38699999999898</v>
      </c>
      <c r="H720" s="1">
        <v>-4.381244E-6</v>
      </c>
      <c r="I720">
        <v>368.06619999999998</v>
      </c>
      <c r="J720">
        <v>-350.92140000000001</v>
      </c>
      <c r="K720">
        <v>1.109488</v>
      </c>
      <c r="L720">
        <v>368.2063</v>
      </c>
      <c r="M720">
        <v>0.99993940000000003</v>
      </c>
      <c r="N720">
        <v>0</v>
      </c>
      <c r="O720">
        <v>-3.6658010000000002E-3</v>
      </c>
      <c r="P720">
        <v>0.99405209999999999</v>
      </c>
      <c r="Q720">
        <v>0.100731</v>
      </c>
      <c r="R720">
        <v>-4.140104E-2</v>
      </c>
      <c r="S720">
        <v>3.0335079999999999</v>
      </c>
      <c r="T720">
        <v>-0.1626281</v>
      </c>
      <c r="U720">
        <v>-2.062988E-2</v>
      </c>
      <c r="V720">
        <v>3.782195E-2</v>
      </c>
      <c r="W720">
        <v>0.111033199999999</v>
      </c>
      <c r="X720">
        <v>0.99309669999999906</v>
      </c>
      <c r="Y720">
        <v>3.1353140000000002E-3</v>
      </c>
      <c r="Z720">
        <v>1.124103E-4</v>
      </c>
      <c r="AA720">
        <v>0.99999510000000003</v>
      </c>
      <c r="AB720">
        <v>32</v>
      </c>
      <c r="AC720">
        <v>20.534400000000002</v>
      </c>
      <c r="AD720">
        <v>-1.1094923812440001</v>
      </c>
      <c r="AE720">
        <v>-0.14010000000001799</v>
      </c>
      <c r="AF720">
        <v>6.4631306475092701E-2</v>
      </c>
      <c r="AG720">
        <v>-1.1094923812440001</v>
      </c>
      <c r="AH720">
        <v>20.475004909749899</v>
      </c>
      <c r="AI720">
        <v>93.101674713507805</v>
      </c>
      <c r="AJ720">
        <v>89.819141006193306</v>
      </c>
      <c r="AK720">
        <v>20.505145125165502</v>
      </c>
      <c r="AL720">
        <v>83.625121329143397</v>
      </c>
      <c r="AM720">
        <v>87.818952286106494</v>
      </c>
      <c r="AN720">
        <v>0.999999963477465</v>
      </c>
    </row>
    <row r="721" spans="1:40" x14ac:dyDescent="0.25">
      <c r="A721" t="str">
        <f>"20190312164006732"</f>
        <v>20190312164006732</v>
      </c>
      <c r="B721" t="str">
        <f>"1552380006726843"</f>
        <v>1552380006726843</v>
      </c>
      <c r="C721" t="s">
        <v>40</v>
      </c>
      <c r="D721">
        <v>5.2848930000000003</v>
      </c>
      <c r="E721">
        <v>0.48959449999999999</v>
      </c>
      <c r="F721" t="s">
        <v>41</v>
      </c>
      <c r="G721">
        <v>-330.53989999999999</v>
      </c>
      <c r="H721" s="1">
        <v>-4.3124140000000004E-6</v>
      </c>
      <c r="I721">
        <v>368.08440000000002</v>
      </c>
      <c r="J721">
        <v>-350.74119999999999</v>
      </c>
      <c r="K721">
        <v>1.1094839999999999</v>
      </c>
      <c r="L721">
        <v>368.2054</v>
      </c>
      <c r="M721">
        <v>0.99993869999999896</v>
      </c>
      <c r="N721">
        <v>0</v>
      </c>
      <c r="O721">
        <v>-3.8232309999999999E-3</v>
      </c>
      <c r="P721">
        <v>0.99404190000000003</v>
      </c>
      <c r="Q721">
        <v>0.1007894</v>
      </c>
      <c r="R721">
        <v>-4.149829E-2</v>
      </c>
      <c r="S721">
        <v>3.0339049999999999</v>
      </c>
      <c r="T721">
        <v>-0.1651541</v>
      </c>
      <c r="U721">
        <v>-1.8127440000000002E-2</v>
      </c>
      <c r="V721">
        <v>3.7763699999999997E-2</v>
      </c>
      <c r="W721">
        <v>0.11109769999999899</v>
      </c>
      <c r="X721">
        <v>0.99309179999999997</v>
      </c>
      <c r="Y721">
        <v>2.1539060000000001E-3</v>
      </c>
      <c r="Z721">
        <v>1.4939510000000001E-4</v>
      </c>
      <c r="AA721">
        <v>0.99999769999999999</v>
      </c>
      <c r="AB721">
        <v>32</v>
      </c>
      <c r="AC721">
        <v>20.2013</v>
      </c>
      <c r="AD721">
        <v>-1.10948831241399</v>
      </c>
      <c r="AE721">
        <v>-0.12099999999998</v>
      </c>
      <c r="AF721">
        <v>4.3629111492785998E-2</v>
      </c>
      <c r="AG721">
        <v>-1.10948831241399</v>
      </c>
      <c r="AH721">
        <v>20.140864547479499</v>
      </c>
      <c r="AI721">
        <v>93.153025797016198</v>
      </c>
      <c r="AJ721">
        <v>89.875886159872493</v>
      </c>
      <c r="AK721">
        <v>20.171447457598799</v>
      </c>
      <c r="AL721">
        <v>83.621403360400294</v>
      </c>
      <c r="AM721">
        <v>87.822297370487505</v>
      </c>
      <c r="AN721">
        <v>1.0000000596051</v>
      </c>
    </row>
    <row r="722" spans="1:40" x14ac:dyDescent="0.25">
      <c r="A722" t="str">
        <f>"20190312164006744"</f>
        <v>20190312164006744</v>
      </c>
      <c r="B722" t="str">
        <f>"1552380006736603"</f>
        <v>1552380006736603</v>
      </c>
      <c r="C722" t="s">
        <v>40</v>
      </c>
      <c r="D722">
        <v>5.3274089999999896</v>
      </c>
      <c r="E722">
        <v>0.4895794</v>
      </c>
      <c r="F722" t="s">
        <v>41</v>
      </c>
      <c r="G722">
        <v>-330.4246</v>
      </c>
      <c r="H722" s="1">
        <v>-4.3632110000000001E-6</v>
      </c>
      <c r="I722">
        <v>368.07709999999997</v>
      </c>
      <c r="J722">
        <v>-350.5797</v>
      </c>
      <c r="K722">
        <v>1.109483</v>
      </c>
      <c r="L722">
        <v>368.2047</v>
      </c>
      <c r="M722">
        <v>0.99993810000000005</v>
      </c>
      <c r="N722">
        <v>0</v>
      </c>
      <c r="O722">
        <v>-3.964909E-3</v>
      </c>
      <c r="P722">
        <v>0.99401329999999999</v>
      </c>
      <c r="Q722">
        <v>0.1010238</v>
      </c>
      <c r="R722">
        <v>-4.1618380000000003E-2</v>
      </c>
      <c r="S722">
        <v>3.0339659999999999</v>
      </c>
      <c r="T722">
        <v>-0.16568369999999999</v>
      </c>
      <c r="U722">
        <v>-1.9165040000000001E-2</v>
      </c>
      <c r="V722">
        <v>3.7743539999999999E-2</v>
      </c>
      <c r="W722">
        <v>0.1113374</v>
      </c>
      <c r="X722">
        <v>0.99306570000000005</v>
      </c>
      <c r="Y722">
        <v>2.3540079999999999E-3</v>
      </c>
      <c r="Z722">
        <v>1.5214219999999901E-4</v>
      </c>
      <c r="AA722">
        <v>0.99999720000000003</v>
      </c>
      <c r="AB722">
        <v>32</v>
      </c>
      <c r="AC722">
        <v>20.155100000000001</v>
      </c>
      <c r="AD722">
        <v>-1.1094873632110001</v>
      </c>
      <c r="AE722">
        <v>-0.127600000000029</v>
      </c>
      <c r="AF722">
        <v>4.75374973349467E-2</v>
      </c>
      <c r="AG722">
        <v>-1.1094873632110001</v>
      </c>
      <c r="AH722">
        <v>20.094558923432999</v>
      </c>
      <c r="AI722">
        <v>93.160272751485707</v>
      </c>
      <c r="AJ722">
        <v>89.864456199548599</v>
      </c>
      <c r="AK722">
        <v>20.125221001273498</v>
      </c>
      <c r="AL722">
        <v>83.607583688834097</v>
      </c>
      <c r="AM722">
        <v>87.823401660523501</v>
      </c>
      <c r="AN722">
        <v>1.0000000379834899</v>
      </c>
    </row>
    <row r="723" spans="1:40" x14ac:dyDescent="0.25">
      <c r="A723" t="str">
        <f>"20190312164006755"</f>
        <v>20190312164006755</v>
      </c>
      <c r="B723" t="str">
        <f>"1552380006747338"</f>
        <v>1552380006747338</v>
      </c>
      <c r="C723" t="s">
        <v>40</v>
      </c>
      <c r="D723">
        <v>5.3299070000000004</v>
      </c>
      <c r="E723">
        <v>0.4896527</v>
      </c>
      <c r="F723" t="s">
        <v>41</v>
      </c>
      <c r="G723">
        <v>-330.2604</v>
      </c>
      <c r="H723" s="1">
        <v>-4.4337499999999997E-6</v>
      </c>
      <c r="I723">
        <v>368.07639999999998</v>
      </c>
      <c r="J723">
        <v>-350.42200000000003</v>
      </c>
      <c r="K723">
        <v>1.1094820000000001</v>
      </c>
      <c r="L723">
        <v>368.20389999999998</v>
      </c>
      <c r="M723">
        <v>0.99993759999999998</v>
      </c>
      <c r="N723">
        <v>0</v>
      </c>
      <c r="O723">
        <v>-4.1034820000000003E-3</v>
      </c>
      <c r="P723">
        <v>0.9940059</v>
      </c>
      <c r="Q723">
        <v>0.1010226</v>
      </c>
      <c r="R723">
        <v>-4.1799299999999998E-2</v>
      </c>
      <c r="S723">
        <v>3.0341490000000002</v>
      </c>
      <c r="T723">
        <v>-0.16567179999999901</v>
      </c>
      <c r="U723">
        <v>-1.9134519999999999E-2</v>
      </c>
      <c r="V723">
        <v>3.778724E-2</v>
      </c>
      <c r="W723">
        <v>0.1113417</v>
      </c>
      <c r="X723">
        <v>0.99306349999999999</v>
      </c>
      <c r="Y723">
        <v>2.2054150000000001E-3</v>
      </c>
      <c r="Z723">
        <v>1.6373679999999999E-4</v>
      </c>
      <c r="AA723">
        <v>0.99999760000000004</v>
      </c>
      <c r="AB723">
        <v>32</v>
      </c>
      <c r="AC723">
        <v>20.1615999999999</v>
      </c>
      <c r="AD723">
        <v>-1.1094864337499999</v>
      </c>
      <c r="AE723">
        <v>-0.127499999999997</v>
      </c>
      <c r="AF723">
        <v>4.4626561864862399E-2</v>
      </c>
      <c r="AG723">
        <v>-1.1094864337499999</v>
      </c>
      <c r="AH723">
        <v>20.101084462874098</v>
      </c>
      <c r="AI723">
        <v>93.159247302298397</v>
      </c>
      <c r="AJ723">
        <v>89.872797437726902</v>
      </c>
      <c r="AK723">
        <v>20.131729887426498</v>
      </c>
      <c r="AL723">
        <v>83.607335418435994</v>
      </c>
      <c r="AM723">
        <v>87.820879169640094</v>
      </c>
      <c r="AN723">
        <v>0.99999998234897802</v>
      </c>
    </row>
    <row r="724" spans="1:40" x14ac:dyDescent="0.25">
      <c r="A724" t="str">
        <f>"20190312164006777"</f>
        <v>20190312164006777</v>
      </c>
      <c r="B724" t="str">
        <f>"1552380006766858"</f>
        <v>1552380006766858</v>
      </c>
      <c r="C724" t="s">
        <v>40</v>
      </c>
      <c r="D724">
        <v>5.1852919999999996</v>
      </c>
      <c r="E724">
        <v>0.48947040000000003</v>
      </c>
      <c r="F724" t="s">
        <v>41</v>
      </c>
      <c r="G724">
        <v>-330.39240000000001</v>
      </c>
      <c r="H724" s="1">
        <v>-4.3782900000000002E-6</v>
      </c>
      <c r="I724">
        <v>368.06990000000002</v>
      </c>
      <c r="J724">
        <v>-350.10379999999998</v>
      </c>
      <c r="K724">
        <v>1.1094809999999999</v>
      </c>
      <c r="L724">
        <v>368.20240000000001</v>
      </c>
      <c r="M724">
        <v>0.99993620000000005</v>
      </c>
      <c r="N724">
        <v>0</v>
      </c>
      <c r="O724">
        <v>-4.3833539999999999E-3</v>
      </c>
      <c r="P724">
        <v>0.99400690000000003</v>
      </c>
      <c r="Q724">
        <v>0.10105</v>
      </c>
      <c r="R724">
        <v>-4.170538E-2</v>
      </c>
      <c r="S724">
        <v>3.0343019999999998</v>
      </c>
      <c r="T724">
        <v>-0.168075799999999</v>
      </c>
      <c r="U724">
        <v>-2.029419E-2</v>
      </c>
      <c r="V724">
        <v>3.7415940000000002E-2</v>
      </c>
      <c r="W724">
        <v>0.1113796</v>
      </c>
      <c r="X724">
        <v>0.99307330000000005</v>
      </c>
      <c r="Y724">
        <v>2.3077309999999999E-3</v>
      </c>
      <c r="Z724">
        <v>1.7876019999999999E-4</v>
      </c>
      <c r="AA724">
        <v>0.99999729999999998</v>
      </c>
      <c r="AB724">
        <v>32</v>
      </c>
      <c r="AC724">
        <v>19.711399999999902</v>
      </c>
      <c r="AD724">
        <v>-1.10948537829</v>
      </c>
      <c r="AE724">
        <v>-0.13249999999999301</v>
      </c>
      <c r="AF724">
        <v>4.5946440833378899E-2</v>
      </c>
      <c r="AG724">
        <v>-1.10948537829</v>
      </c>
      <c r="AH724">
        <v>19.649541201211498</v>
      </c>
      <c r="AI724">
        <v>93.2316901991029</v>
      </c>
      <c r="AJ724">
        <v>89.866025760166707</v>
      </c>
      <c r="AK724">
        <v>19.6808927210676</v>
      </c>
      <c r="AL724">
        <v>83.605150260441107</v>
      </c>
      <c r="AM724">
        <v>87.842292293243702</v>
      </c>
      <c r="AN724">
        <v>0.99999997351756598</v>
      </c>
    </row>
    <row r="725" spans="1:40" x14ac:dyDescent="0.25">
      <c r="A725" t="str">
        <f>"20190312164006801"</f>
        <v>20190312164006801</v>
      </c>
      <c r="B725" t="str">
        <f>"1552380006797114"</f>
        <v>1552380006797114</v>
      </c>
      <c r="C725" t="s">
        <v>40</v>
      </c>
      <c r="D725">
        <v>5.3450689999999996</v>
      </c>
      <c r="E725">
        <v>0.4892666</v>
      </c>
      <c r="F725" t="s">
        <v>41</v>
      </c>
      <c r="G725">
        <v>-330.26130000000001</v>
      </c>
      <c r="H725" s="1">
        <v>-4.4323760000000003E-6</v>
      </c>
      <c r="I725">
        <v>368.08190000000002</v>
      </c>
      <c r="J725">
        <v>-349.7783</v>
      </c>
      <c r="K725">
        <v>1.109477</v>
      </c>
      <c r="L725">
        <v>368.20069999999998</v>
      </c>
      <c r="M725">
        <v>0.99993480000000001</v>
      </c>
      <c r="N725">
        <v>0</v>
      </c>
      <c r="O725">
        <v>-4.6692909999999999E-3</v>
      </c>
      <c r="P725">
        <v>0.99400960000000005</v>
      </c>
      <c r="Q725">
        <v>0.10118439999999999</v>
      </c>
      <c r="R725">
        <v>-4.1316449999999998E-2</v>
      </c>
      <c r="S725">
        <v>3.0345759999999999</v>
      </c>
      <c r="T725">
        <v>-0.1696763</v>
      </c>
      <c r="U725">
        <v>-1.8402100000000001E-2</v>
      </c>
      <c r="V725">
        <v>3.6743240000000003E-2</v>
      </c>
      <c r="W725">
        <v>0.1115246</v>
      </c>
      <c r="X725">
        <v>0.99308220000000003</v>
      </c>
      <c r="Y725">
        <v>1.3996119999999999E-3</v>
      </c>
      <c r="Z725">
        <v>2.2178850000000001E-4</v>
      </c>
      <c r="AA725">
        <v>0.99999899999999997</v>
      </c>
      <c r="AB725">
        <v>32</v>
      </c>
      <c r="AC725">
        <v>19.516999999999999</v>
      </c>
      <c r="AD725">
        <v>-1.1094814323760001</v>
      </c>
      <c r="AE725">
        <v>-0.118799999999964</v>
      </c>
      <c r="AF725">
        <v>2.75740994453057E-2</v>
      </c>
      <c r="AG725">
        <v>-1.1094814323760001</v>
      </c>
      <c r="AH725">
        <v>19.454475733494601</v>
      </c>
      <c r="AI725">
        <v>93.264017933247402</v>
      </c>
      <c r="AJ725">
        <v>89.918791002863202</v>
      </c>
      <c r="AK725">
        <v>19.4861062155803</v>
      </c>
      <c r="AL725">
        <v>83.596790644845001</v>
      </c>
      <c r="AM725">
        <v>87.881068938692593</v>
      </c>
      <c r="AN725">
        <v>1.00000002902384</v>
      </c>
    </row>
    <row r="726" spans="1:40" x14ac:dyDescent="0.25">
      <c r="A726" t="str">
        <f>"20190312164006822"</f>
        <v>20190312164006822</v>
      </c>
      <c r="B726" t="str">
        <f>"1552380006816635"</f>
        <v>1552380006816635</v>
      </c>
      <c r="C726" t="s">
        <v>40</v>
      </c>
      <c r="D726">
        <v>5.2967909999999998</v>
      </c>
      <c r="E726">
        <v>0.48920459999999899</v>
      </c>
      <c r="F726" t="s">
        <v>41</v>
      </c>
      <c r="G726">
        <v>-329.89139999999998</v>
      </c>
      <c r="H726" s="1">
        <v>-4.2726570000000001E-7</v>
      </c>
      <c r="I726">
        <v>368.09719999999999</v>
      </c>
      <c r="J726">
        <v>-349.46620000000001</v>
      </c>
      <c r="K726">
        <v>1.1094759999999999</v>
      </c>
      <c r="L726">
        <v>368.19889999999998</v>
      </c>
      <c r="M726">
        <v>0.99993339999999997</v>
      </c>
      <c r="N726">
        <v>0</v>
      </c>
      <c r="O726">
        <v>-4.9427000000000004E-3</v>
      </c>
      <c r="P726">
        <v>0.9939789</v>
      </c>
      <c r="Q726">
        <v>0.1016213</v>
      </c>
      <c r="R726">
        <v>-4.0978979999999998E-2</v>
      </c>
      <c r="S726">
        <v>3.0346980000000001</v>
      </c>
      <c r="T726">
        <v>-0.169302799999999</v>
      </c>
      <c r="U726">
        <v>-1.5777590000000001E-2</v>
      </c>
      <c r="V726">
        <v>3.6134819999999998E-2</v>
      </c>
      <c r="W726">
        <v>0.11197</v>
      </c>
      <c r="X726">
        <v>0.9930544</v>
      </c>
      <c r="Y726">
        <v>2.63303E-4</v>
      </c>
      <c r="Z726">
        <v>2.6820659999999999E-4</v>
      </c>
      <c r="AA726">
        <v>0.99999990000000005</v>
      </c>
      <c r="AB726">
        <v>32</v>
      </c>
      <c r="AC726">
        <v>19.5748</v>
      </c>
      <c r="AD726">
        <v>-1.1094764272657001</v>
      </c>
      <c r="AE726">
        <v>-0.101699999999993</v>
      </c>
      <c r="AF726">
        <v>4.9253094694098401E-3</v>
      </c>
      <c r="AG726">
        <v>-1.1094764272657001</v>
      </c>
      <c r="AH726">
        <v>19.512381965761801</v>
      </c>
      <c r="AI726">
        <v>93.254340777936804</v>
      </c>
      <c r="AJ726">
        <v>89.985537417220797</v>
      </c>
      <c r="AK726">
        <v>19.5438996154585</v>
      </c>
      <c r="AL726">
        <v>83.571110225961405</v>
      </c>
      <c r="AM726">
        <v>87.916066186374394</v>
      </c>
      <c r="AN726">
        <v>1.0000000237378901</v>
      </c>
    </row>
    <row r="727" spans="1:40" x14ac:dyDescent="0.25">
      <c r="A727" t="str">
        <f>"20190312164006833"</f>
        <v>20190312164006833</v>
      </c>
      <c r="B727" t="str">
        <f>"1552380006827370"</f>
        <v>1552380006827370</v>
      </c>
      <c r="C727" t="s">
        <v>40</v>
      </c>
      <c r="D727">
        <v>5.2868060000000003</v>
      </c>
      <c r="E727">
        <v>0.48915789999999998</v>
      </c>
      <c r="F727" t="s">
        <v>41</v>
      </c>
      <c r="G727">
        <v>-329.32209999999998</v>
      </c>
      <c r="H727" s="1">
        <v>-6.2007509999999999E-7</v>
      </c>
      <c r="I727">
        <v>368.10059999999999</v>
      </c>
      <c r="J727">
        <v>-349.30160000000001</v>
      </c>
      <c r="K727">
        <v>1.109477</v>
      </c>
      <c r="L727">
        <v>368.19799999999998</v>
      </c>
      <c r="M727">
        <v>0.99993259999999995</v>
      </c>
      <c r="N727">
        <v>0</v>
      </c>
      <c r="O727">
        <v>-5.0863749999999998E-3</v>
      </c>
      <c r="P727">
        <v>0.99395129999999998</v>
      </c>
      <c r="Q727">
        <v>0.1019447</v>
      </c>
      <c r="R727">
        <v>-4.0842530000000002E-2</v>
      </c>
      <c r="S727">
        <v>3.0346679999999999</v>
      </c>
      <c r="T727">
        <v>-0.16714019999999999</v>
      </c>
      <c r="U727">
        <v>-1.480103E-2</v>
      </c>
      <c r="V727">
        <v>3.5856190000000003E-2</v>
      </c>
      <c r="W727">
        <v>0.11229790000000001</v>
      </c>
      <c r="X727">
        <v>0.9930274</v>
      </c>
      <c r="Y727">
        <v>-2.0138600000000001E-4</v>
      </c>
      <c r="Z727">
        <v>2.854833E-4</v>
      </c>
      <c r="AA727">
        <v>0.99999990000000005</v>
      </c>
      <c r="AB727">
        <v>32</v>
      </c>
      <c r="AC727">
        <v>19.979500000000002</v>
      </c>
      <c r="AD727">
        <v>-1.1094776200751</v>
      </c>
      <c r="AE727">
        <v>-9.7400000000050099E-2</v>
      </c>
      <c r="AF727">
        <v>-4.21702086417241E-3</v>
      </c>
      <c r="AG727">
        <v>-1.1094776200751</v>
      </c>
      <c r="AH727">
        <v>19.9183169113731</v>
      </c>
      <c r="AI727">
        <v>93.188159056643698</v>
      </c>
      <c r="AJ727">
        <v>90.012130417198406</v>
      </c>
      <c r="AK727">
        <v>19.949193140440599</v>
      </c>
      <c r="AL727">
        <v>83.5522032271939</v>
      </c>
      <c r="AM727">
        <v>87.932064896755406</v>
      </c>
      <c r="AN727">
        <v>0.99999995092824101</v>
      </c>
    </row>
    <row r="728" spans="1:40" x14ac:dyDescent="0.25">
      <c r="A728" t="str">
        <f>"20190312164006844"</f>
        <v>20190312164006844</v>
      </c>
      <c r="B728" t="str">
        <f>"1552380006837131"</f>
        <v>1552380006837131</v>
      </c>
      <c r="C728" t="s">
        <v>40</v>
      </c>
      <c r="D728">
        <v>5.3710509999999996</v>
      </c>
      <c r="E728">
        <v>0.48912870000000003</v>
      </c>
      <c r="F728" t="s">
        <v>41</v>
      </c>
      <c r="G728">
        <v>-328.95600000000002</v>
      </c>
      <c r="H728" s="1">
        <v>-7.4277619999999996E-7</v>
      </c>
      <c r="I728">
        <v>368.10770000000002</v>
      </c>
      <c r="J728">
        <v>-349.12950000000001</v>
      </c>
      <c r="K728">
        <v>1.109477</v>
      </c>
      <c r="L728">
        <v>368.197</v>
      </c>
      <c r="M728">
        <v>0.99993169999999998</v>
      </c>
      <c r="N728">
        <v>0</v>
      </c>
      <c r="O728">
        <v>-5.2358919999999998E-3</v>
      </c>
      <c r="P728">
        <v>0.99394669999999896</v>
      </c>
      <c r="Q728">
        <v>0.10199800000000001</v>
      </c>
      <c r="R728">
        <v>-4.0818309999999997E-2</v>
      </c>
      <c r="S728">
        <v>3.0346980000000001</v>
      </c>
      <c r="T728">
        <v>-0.1654861</v>
      </c>
      <c r="U728">
        <v>-1.345825E-2</v>
      </c>
      <c r="V728">
        <v>3.5683380000000001E-2</v>
      </c>
      <c r="W728">
        <v>0.11235530000000001</v>
      </c>
      <c r="X728">
        <v>0.9930272</v>
      </c>
      <c r="Y728">
        <v>-7.9248389999999995E-4</v>
      </c>
      <c r="Z728">
        <v>3.0691200000000001E-4</v>
      </c>
      <c r="AA728">
        <v>0.99999959999999999</v>
      </c>
      <c r="AB728">
        <v>32</v>
      </c>
      <c r="AC728">
        <v>20.173500000000001</v>
      </c>
      <c r="AD728">
        <v>-1.1094777427761999</v>
      </c>
      <c r="AE728">
        <v>-8.9299999999923302E-2</v>
      </c>
      <c r="AF728">
        <v>-1.62840057128141E-2</v>
      </c>
      <c r="AG728">
        <v>-1.1094777427761999</v>
      </c>
      <c r="AH728">
        <v>20.112857933166399</v>
      </c>
      <c r="AI728">
        <v>93.157383765228204</v>
      </c>
      <c r="AJ728">
        <v>90.046388464540797</v>
      </c>
      <c r="AK728">
        <v>20.143442115743099</v>
      </c>
      <c r="AL728">
        <v>83.5488939408921</v>
      </c>
      <c r="AM728">
        <v>87.942022368260794</v>
      </c>
      <c r="AN728">
        <v>1.00000001849307</v>
      </c>
    </row>
    <row r="729" spans="1:40" x14ac:dyDescent="0.25">
      <c r="A729" t="str">
        <f>"20190312164006857"</f>
        <v>20190312164006857</v>
      </c>
      <c r="B729" t="str">
        <f>"1552380006846891"</f>
        <v>1552380006846891</v>
      </c>
      <c r="C729" t="s">
        <v>40</v>
      </c>
      <c r="D729">
        <v>5.3347689999999997</v>
      </c>
      <c r="E729">
        <v>0.48910949999999997</v>
      </c>
      <c r="F729" t="s">
        <v>41</v>
      </c>
      <c r="G729">
        <v>-328.71030000000002</v>
      </c>
      <c r="H729" s="1">
        <v>-8.2654969999999896E-7</v>
      </c>
      <c r="I729">
        <v>368.1071</v>
      </c>
      <c r="J729">
        <v>-348.95100000000002</v>
      </c>
      <c r="K729">
        <v>1.1094740000000001</v>
      </c>
      <c r="L729">
        <v>368.19589999999999</v>
      </c>
      <c r="M729">
        <v>0.99993089999999996</v>
      </c>
      <c r="N729">
        <v>0</v>
      </c>
      <c r="O729">
        <v>-5.3907740000000001E-3</v>
      </c>
      <c r="P729">
        <v>0.99390880000000004</v>
      </c>
      <c r="Q729">
        <v>0.10236969999999999</v>
      </c>
      <c r="R729">
        <v>-4.0817399999999997E-2</v>
      </c>
      <c r="S729">
        <v>3.034637</v>
      </c>
      <c r="T729">
        <v>-0.16488610000000001</v>
      </c>
      <c r="U729">
        <v>-1.333618E-2</v>
      </c>
      <c r="V729">
        <v>3.5529079999999998E-2</v>
      </c>
      <c r="W729">
        <v>0.112731</v>
      </c>
      <c r="X729">
        <v>0.99299009999999999</v>
      </c>
      <c r="Y729">
        <v>-9.8706079999999995E-4</v>
      </c>
      <c r="Z729">
        <v>3.1949890000000002E-4</v>
      </c>
      <c r="AA729">
        <v>0.99999950000000004</v>
      </c>
      <c r="AB729">
        <v>32</v>
      </c>
      <c r="AC729">
        <v>20.240699999999901</v>
      </c>
      <c r="AD729">
        <v>-1.1094748265496901</v>
      </c>
      <c r="AE729">
        <v>-8.8799999999991996E-2</v>
      </c>
      <c r="AF729">
        <v>-2.02594143664592E-2</v>
      </c>
      <c r="AG729">
        <v>-1.1094748265496901</v>
      </c>
      <c r="AH729">
        <v>20.180252563696801</v>
      </c>
      <c r="AI729">
        <v>93.146851683104501</v>
      </c>
      <c r="AJ729">
        <v>90.057520516404495</v>
      </c>
      <c r="AK729">
        <v>20.210738194564001</v>
      </c>
      <c r="AL729">
        <v>83.527229944757494</v>
      </c>
      <c r="AM729">
        <v>87.950837260691699</v>
      </c>
      <c r="AN729">
        <v>0.99999996629232701</v>
      </c>
    </row>
    <row r="730" spans="1:40" x14ac:dyDescent="0.25">
      <c r="A730" t="str">
        <f>"20190312164006877"</f>
        <v>20190312164006877</v>
      </c>
      <c r="B730" t="str">
        <f>"1552380006867390"</f>
        <v>1552380006867390</v>
      </c>
      <c r="C730" t="s">
        <v>40</v>
      </c>
      <c r="D730">
        <v>5.1516390000000003</v>
      </c>
      <c r="E730">
        <v>0.48909180000000002</v>
      </c>
      <c r="F730" t="s">
        <v>41</v>
      </c>
      <c r="G730">
        <v>-328.32979999999998</v>
      </c>
      <c r="H730" s="1">
        <v>-9.6646290000000008E-7</v>
      </c>
      <c r="I730">
        <v>368.10770000000002</v>
      </c>
      <c r="J730">
        <v>-348.66899999999998</v>
      </c>
      <c r="K730">
        <v>1.109483</v>
      </c>
      <c r="L730">
        <v>368.19409999999999</v>
      </c>
      <c r="M730">
        <v>0.99992970000000003</v>
      </c>
      <c r="N730">
        <v>0</v>
      </c>
      <c r="O730">
        <v>-5.6252369999999999E-3</v>
      </c>
      <c r="P730">
        <v>0.9939173</v>
      </c>
      <c r="Q730">
        <v>0.10250960000000001</v>
      </c>
      <c r="R730">
        <v>-4.0258090000000003E-2</v>
      </c>
      <c r="S730">
        <v>3.034637</v>
      </c>
      <c r="T730">
        <v>-0.1632711</v>
      </c>
      <c r="U730">
        <v>-1.2969970000000001E-2</v>
      </c>
      <c r="V730">
        <v>3.4735630000000003E-2</v>
      </c>
      <c r="W730">
        <v>0.1128783</v>
      </c>
      <c r="X730">
        <v>0.99300149999999998</v>
      </c>
      <c r="Y730">
        <v>-1.3415460000000001E-3</v>
      </c>
      <c r="Z730">
        <v>3.385091E-4</v>
      </c>
      <c r="AA730">
        <v>0.99999899999999997</v>
      </c>
      <c r="AB730">
        <v>32</v>
      </c>
      <c r="AC730">
        <v>20.339200000000002</v>
      </c>
      <c r="AD730">
        <v>-1.1094839664628999</v>
      </c>
      <c r="AE730">
        <v>-8.6399999999969099E-2</v>
      </c>
      <c r="AF730">
        <v>-2.7937292125448598E-2</v>
      </c>
      <c r="AG730">
        <v>-1.1094839664628999</v>
      </c>
      <c r="AH730">
        <v>20.279023068506302</v>
      </c>
      <c r="AI730">
        <v>93.131579641473294</v>
      </c>
      <c r="AJ730">
        <v>90.078933186857796</v>
      </c>
      <c r="AK730">
        <v>20.309370048751902</v>
      </c>
      <c r="AL730">
        <v>83.518736455117207</v>
      </c>
      <c r="AM730">
        <v>87.996585267806395</v>
      </c>
      <c r="AN730">
        <v>1.0000000268023099</v>
      </c>
    </row>
    <row r="731" spans="1:40" x14ac:dyDescent="0.25">
      <c r="A731" t="str">
        <f>"20190312164006888"</f>
        <v>20190312164006888</v>
      </c>
      <c r="B731" t="str">
        <f>"1552380006877148"</f>
        <v>1552380006877148</v>
      </c>
      <c r="C731" t="s">
        <v>40</v>
      </c>
      <c r="D731">
        <v>5.2912039999999996</v>
      </c>
      <c r="E731">
        <v>0.48906139999999998</v>
      </c>
      <c r="F731" t="s">
        <v>41</v>
      </c>
      <c r="G731">
        <v>-327.97390000000001</v>
      </c>
      <c r="H731" s="1">
        <v>-1.1166799999999999E-6</v>
      </c>
      <c r="I731">
        <v>368.12139999999999</v>
      </c>
      <c r="J731">
        <v>-348.50619999999998</v>
      </c>
      <c r="K731">
        <v>1.1094900000000001</v>
      </c>
      <c r="L731">
        <v>368.19310000000002</v>
      </c>
      <c r="M731">
        <v>0.9999287</v>
      </c>
      <c r="N731">
        <v>0</v>
      </c>
      <c r="O731">
        <v>-5.750715E-3</v>
      </c>
      <c r="P731">
        <v>0.99390140000000005</v>
      </c>
      <c r="Q731">
        <v>0.1026667</v>
      </c>
      <c r="R731">
        <v>-4.0240129999999999E-2</v>
      </c>
      <c r="S731">
        <v>3.0346980000000001</v>
      </c>
      <c r="T731">
        <v>-0.1626927</v>
      </c>
      <c r="U731">
        <v>-1.0650629999999999E-2</v>
      </c>
      <c r="V731">
        <v>3.4591829999999997E-2</v>
      </c>
      <c r="W731">
        <v>0.1130418</v>
      </c>
      <c r="X731">
        <v>0.99298790000000003</v>
      </c>
      <c r="Y731">
        <v>-2.2299949999999998E-3</v>
      </c>
      <c r="Z731">
        <v>3.6782610000000001E-4</v>
      </c>
      <c r="AA731">
        <v>0.99999740000000004</v>
      </c>
      <c r="AB731">
        <v>32</v>
      </c>
      <c r="AC731">
        <v>20.5322999999999</v>
      </c>
      <c r="AD731">
        <v>-1.1094911166799999</v>
      </c>
      <c r="AE731">
        <v>-7.1700000000021094E-2</v>
      </c>
      <c r="AF731">
        <v>-4.6248018572364102E-2</v>
      </c>
      <c r="AG731">
        <v>-1.1094911166799999</v>
      </c>
      <c r="AH731">
        <v>20.4725949823133</v>
      </c>
      <c r="AI731">
        <v>93.102043109402899</v>
      </c>
      <c r="AJ731">
        <v>90.129432139396499</v>
      </c>
      <c r="AK731">
        <v>20.502688963330002</v>
      </c>
      <c r="AL731">
        <v>83.509308117468095</v>
      </c>
      <c r="AM731">
        <v>88.004845067166002</v>
      </c>
      <c r="AN731">
        <v>1.00000000639819</v>
      </c>
    </row>
    <row r="732" spans="1:40" x14ac:dyDescent="0.25">
      <c r="A732" t="str">
        <f>"20190312164006900"</f>
        <v>20190312164006900</v>
      </c>
      <c r="B732" t="str">
        <f>"1552380006896667"</f>
        <v>1552380006896667</v>
      </c>
      <c r="C732" t="s">
        <v>40</v>
      </c>
      <c r="D732">
        <v>5.2916610000000004</v>
      </c>
      <c r="E732">
        <v>0.4890912</v>
      </c>
      <c r="F732" t="s">
        <v>41</v>
      </c>
      <c r="G732">
        <v>-327.72199999999998</v>
      </c>
      <c r="H732" s="1">
        <v>-1.224474E-6</v>
      </c>
      <c r="I732">
        <v>368.1232</v>
      </c>
      <c r="J732">
        <v>-348.3252</v>
      </c>
      <c r="K732">
        <v>1.1095010000000001</v>
      </c>
      <c r="L732">
        <v>368.19189999999998</v>
      </c>
      <c r="M732">
        <v>0.99992789999999998</v>
      </c>
      <c r="N732">
        <v>0</v>
      </c>
      <c r="O732">
        <v>-5.8865439999999996E-3</v>
      </c>
      <c r="P732">
        <v>0.99391099999999999</v>
      </c>
      <c r="Q732">
        <v>0.10261199999999999</v>
      </c>
      <c r="R732">
        <v>-4.0147790000000003E-2</v>
      </c>
      <c r="S732">
        <v>3.0346980000000001</v>
      </c>
      <c r="T732">
        <v>-0.161995899999999</v>
      </c>
      <c r="U732">
        <v>-1.019287E-2</v>
      </c>
      <c r="V732">
        <v>3.4361919999999997E-2</v>
      </c>
      <c r="W732">
        <v>0.1129954</v>
      </c>
      <c r="X732">
        <v>0.99300120000000003</v>
      </c>
      <c r="Y732">
        <v>-2.5161720000000001E-3</v>
      </c>
      <c r="Z732">
        <v>3.811318E-4</v>
      </c>
      <c r="AA732">
        <v>0.99999680000000002</v>
      </c>
      <c r="AB732">
        <v>32</v>
      </c>
      <c r="AC732">
        <v>20.603200000000001</v>
      </c>
      <c r="AD732">
        <v>-1.109502224474</v>
      </c>
      <c r="AE732">
        <v>-6.8699999999978403E-2</v>
      </c>
      <c r="AF732">
        <v>-5.2437414146095998E-2</v>
      </c>
      <c r="AG732">
        <v>-1.109502224474</v>
      </c>
      <c r="AH732">
        <v>20.543672940472</v>
      </c>
      <c r="AI732">
        <v>93.091360079299804</v>
      </c>
      <c r="AJ732">
        <v>90.146246292133597</v>
      </c>
      <c r="AK732">
        <v>20.573678396280901</v>
      </c>
      <c r="AL732">
        <v>83.511984020748599</v>
      </c>
      <c r="AM732">
        <v>88.018121512700205</v>
      </c>
      <c r="AN732">
        <v>1.0000000425843401</v>
      </c>
    </row>
    <row r="733" spans="1:40" x14ac:dyDescent="0.25">
      <c r="A733" t="str">
        <f>"20190312164006913"</f>
        <v>20190312164006913</v>
      </c>
      <c r="B733" t="str">
        <f>"1552380006907403"</f>
        <v>1552380006907403</v>
      </c>
      <c r="C733" t="s">
        <v>40</v>
      </c>
      <c r="D733">
        <v>5.2582089999999999</v>
      </c>
      <c r="E733">
        <v>0.48929489999999998</v>
      </c>
      <c r="F733" t="s">
        <v>41</v>
      </c>
      <c r="G733">
        <v>-327.53440000000001</v>
      </c>
      <c r="H733" s="1">
        <v>-1.3047880000000001E-6</v>
      </c>
      <c r="I733">
        <v>368.1241</v>
      </c>
      <c r="J733">
        <v>-348.13889999999998</v>
      </c>
      <c r="K733">
        <v>1.109515</v>
      </c>
      <c r="L733">
        <v>368.19069999999999</v>
      </c>
      <c r="M733">
        <v>0.99992709999999996</v>
      </c>
      <c r="N733">
        <v>0</v>
      </c>
      <c r="O733">
        <v>-6.015299E-3</v>
      </c>
      <c r="P733">
        <v>0.99394340000000003</v>
      </c>
      <c r="Q733">
        <v>0.1022595</v>
      </c>
      <c r="R733">
        <v>-4.0246860000000002E-2</v>
      </c>
      <c r="S733">
        <v>3.0346679999999999</v>
      </c>
      <c r="T733">
        <v>-0.161943899999999</v>
      </c>
      <c r="U733">
        <v>-9.8876950000000002E-3</v>
      </c>
      <c r="V733">
        <v>3.4329619999999998E-2</v>
      </c>
      <c r="W733">
        <v>0.1126528</v>
      </c>
      <c r="X733">
        <v>0.99304119999999996</v>
      </c>
      <c r="Y733">
        <v>-2.7449620000000001E-3</v>
      </c>
      <c r="Z733">
        <v>3.9398020000000001E-4</v>
      </c>
      <c r="AA733">
        <v>0.99999610000000005</v>
      </c>
      <c r="AB733">
        <v>32</v>
      </c>
      <c r="AC733">
        <v>20.604499999999899</v>
      </c>
      <c r="AD733">
        <v>-1.1095163047879999</v>
      </c>
      <c r="AE733">
        <v>-6.6599999999993997E-2</v>
      </c>
      <c r="AF733">
        <v>-5.7184414422747201E-2</v>
      </c>
      <c r="AG733">
        <v>-1.1095163047879999</v>
      </c>
      <c r="AH733">
        <v>20.5449555878788</v>
      </c>
      <c r="AI733">
        <v>93.091204708462001</v>
      </c>
      <c r="AJ733">
        <v>90.1594755036257</v>
      </c>
      <c r="AK733">
        <v>20.574972578250399</v>
      </c>
      <c r="AL733">
        <v>83.531739421298496</v>
      </c>
      <c r="AM733">
        <v>88.020062675315998</v>
      </c>
      <c r="AN733">
        <v>1.00000000052731</v>
      </c>
    </row>
    <row r="734" spans="1:40" x14ac:dyDescent="0.25">
      <c r="A734" t="str">
        <f>"20190312164006924"</f>
        <v>20190312164006924</v>
      </c>
      <c r="B734" t="str">
        <f>"1552380006917162"</f>
        <v>1552380006917162</v>
      </c>
      <c r="C734" t="s">
        <v>40</v>
      </c>
      <c r="D734">
        <v>5.2664359999999997</v>
      </c>
      <c r="E734">
        <v>0.48929489999999998</v>
      </c>
      <c r="F734" t="s">
        <v>41</v>
      </c>
      <c r="G734">
        <v>-327.50409999999999</v>
      </c>
      <c r="H734" s="1">
        <v>-1.3199639999999999E-6</v>
      </c>
      <c r="I734">
        <v>368.11169999999998</v>
      </c>
      <c r="J734">
        <v>-347.97019999999998</v>
      </c>
      <c r="K734">
        <v>1.109526</v>
      </c>
      <c r="L734">
        <v>368.18950000000001</v>
      </c>
      <c r="M734">
        <v>0.99992630000000005</v>
      </c>
      <c r="N734">
        <v>0</v>
      </c>
      <c r="O734">
        <v>-6.124025E-3</v>
      </c>
      <c r="P734">
        <v>0.99392029999999998</v>
      </c>
      <c r="Q734">
        <v>0.10227609999999999</v>
      </c>
      <c r="R734">
        <v>-4.0768020000000002E-2</v>
      </c>
      <c r="S734">
        <v>3.0346069999999998</v>
      </c>
      <c r="T734">
        <v>-0.1631676</v>
      </c>
      <c r="U734">
        <v>-1.159668E-2</v>
      </c>
      <c r="V734">
        <v>3.4739720000000002E-2</v>
      </c>
      <c r="W734">
        <v>0.112678399999999</v>
      </c>
      <c r="X734">
        <v>0.99302409999999997</v>
      </c>
      <c r="Y734">
        <v>-2.290785E-3</v>
      </c>
      <c r="Z734">
        <v>3.9060100000000002E-4</v>
      </c>
      <c r="AA734">
        <v>0.99999729999999998</v>
      </c>
      <c r="AB734">
        <v>32</v>
      </c>
      <c r="AC734">
        <v>20.466099999999901</v>
      </c>
      <c r="AD734">
        <v>-1.1095273199639999</v>
      </c>
      <c r="AE734">
        <v>-7.7800000000024697E-2</v>
      </c>
      <c r="AF734">
        <v>-4.7403934121403299E-2</v>
      </c>
      <c r="AG734">
        <v>-1.1095273199639999</v>
      </c>
      <c r="AH734">
        <v>20.40621878168</v>
      </c>
      <c r="AI734">
        <v>93.112214353453993</v>
      </c>
      <c r="AJ734">
        <v>90.133098664722198</v>
      </c>
      <c r="AK734">
        <v>20.4364151203803</v>
      </c>
      <c r="AL734">
        <v>83.530263679654198</v>
      </c>
      <c r="AM734">
        <v>87.996395128368405</v>
      </c>
      <c r="AN734">
        <v>1.0000000665765201</v>
      </c>
    </row>
    <row r="735" spans="1:40" x14ac:dyDescent="0.25">
      <c r="A735" t="str">
        <f>"20190312164006936"</f>
        <v>20190312164006936</v>
      </c>
      <c r="B735" t="str">
        <f>"1552380006926923"</f>
        <v>1552380006926923</v>
      </c>
      <c r="C735" t="s">
        <v>40</v>
      </c>
      <c r="D735">
        <v>5.4599900000000003</v>
      </c>
      <c r="E735">
        <v>0.50737180000000004</v>
      </c>
      <c r="F735" t="s">
        <v>41</v>
      </c>
      <c r="G735">
        <v>-327.32690000000002</v>
      </c>
      <c r="H735" s="1">
        <v>-1.398268E-6</v>
      </c>
      <c r="I735">
        <v>368.09879999999998</v>
      </c>
      <c r="J735">
        <v>-347.79489999999998</v>
      </c>
      <c r="K735">
        <v>1.1095410000000001</v>
      </c>
      <c r="L735">
        <v>368.1884</v>
      </c>
      <c r="M735">
        <v>0.99992559999999997</v>
      </c>
      <c r="N735">
        <v>0</v>
      </c>
      <c r="O735">
        <v>-6.2321429999999999E-3</v>
      </c>
      <c r="P735">
        <v>0.99392829999999999</v>
      </c>
      <c r="Q735">
        <v>0.10211389999999999</v>
      </c>
      <c r="R735">
        <v>-4.0985710000000002E-2</v>
      </c>
      <c r="S735">
        <v>3.0345759999999999</v>
      </c>
      <c r="T735">
        <v>-0.16310060000000001</v>
      </c>
      <c r="U735">
        <v>-1.333618E-2</v>
      </c>
      <c r="V735">
        <v>3.4845979999999999E-2</v>
      </c>
      <c r="W735">
        <v>0.112525399999999</v>
      </c>
      <c r="X735">
        <v>0.99303759999999996</v>
      </c>
      <c r="Y735">
        <v>-1.8261799999999999E-3</v>
      </c>
      <c r="Z735">
        <v>3.8377449999999998E-4</v>
      </c>
      <c r="AA735">
        <v>0.99999830000000001</v>
      </c>
      <c r="AB735">
        <v>32</v>
      </c>
      <c r="AC735">
        <v>20.4679999999999</v>
      </c>
      <c r="AD735">
        <v>-1.1095423982679999</v>
      </c>
      <c r="AE735">
        <v>-8.9600000000018498E-2</v>
      </c>
      <c r="AF735">
        <v>-3.7857013024807297E-2</v>
      </c>
      <c r="AG735">
        <v>-1.1095423982679999</v>
      </c>
      <c r="AH735">
        <v>20.408191019100801</v>
      </c>
      <c r="AI735">
        <v>93.111959425652202</v>
      </c>
      <c r="AJ735">
        <v>90.106283040048794</v>
      </c>
      <c r="AK735">
        <v>20.438365349486599</v>
      </c>
      <c r="AL735">
        <v>83.539085230339595</v>
      </c>
      <c r="AM735">
        <v>87.990298925893001</v>
      </c>
      <c r="AN735">
        <v>0.99999994149053795</v>
      </c>
    </row>
    <row r="736" spans="1:40" x14ac:dyDescent="0.25">
      <c r="A736" t="str">
        <f>"20190312164006949"</f>
        <v>20190312164006949</v>
      </c>
      <c r="B736" t="str">
        <f>"1552380006936683"</f>
        <v>1552380006936683</v>
      </c>
      <c r="C736" t="s">
        <v>40</v>
      </c>
      <c r="D736">
        <v>5.172669</v>
      </c>
      <c r="E736">
        <v>0.5086927</v>
      </c>
      <c r="F736" t="s">
        <v>41</v>
      </c>
      <c r="G736">
        <v>-325.70569999999998</v>
      </c>
      <c r="H736" s="1">
        <v>-2.2838839999999998E-6</v>
      </c>
      <c r="I736">
        <v>367.02699999999999</v>
      </c>
      <c r="J736">
        <v>-347.62979999999999</v>
      </c>
      <c r="K736">
        <v>1.1095539999999999</v>
      </c>
      <c r="L736">
        <v>368.18720000000002</v>
      </c>
      <c r="M736">
        <v>0.99992479999999995</v>
      </c>
      <c r="N736">
        <v>0</v>
      </c>
      <c r="O736">
        <v>-6.3211839999999997E-3</v>
      </c>
      <c r="P736">
        <v>0.99389260000000001</v>
      </c>
      <c r="Q736">
        <v>0.1022917</v>
      </c>
      <c r="R736">
        <v>-4.1402750000000002E-2</v>
      </c>
      <c r="S736">
        <v>3.0273439999999998</v>
      </c>
      <c r="T736">
        <v>-0.1520629</v>
      </c>
      <c r="U736">
        <v>-0.15914919999999999</v>
      </c>
      <c r="V736">
        <v>3.5171569999999999E-2</v>
      </c>
      <c r="W736">
        <v>0.1127116</v>
      </c>
      <c r="X736">
        <v>0.99300509999999997</v>
      </c>
      <c r="Y736">
        <v>4.6134149999999999E-2</v>
      </c>
      <c r="Z736">
        <v>-8.4003119999999896E-4</v>
      </c>
      <c r="AA736">
        <v>0.99893489999999996</v>
      </c>
      <c r="AB736">
        <v>32</v>
      </c>
      <c r="AC736">
        <v>21.924099999999999</v>
      </c>
      <c r="AD736">
        <v>-1.1095562838840001</v>
      </c>
      <c r="AE736">
        <v>-1.1602000000000301</v>
      </c>
      <c r="AF736">
        <v>1.0189803007329501</v>
      </c>
      <c r="AG736">
        <v>-1.1095562838840001</v>
      </c>
      <c r="AH736">
        <v>21.875124569079901</v>
      </c>
      <c r="AI736">
        <v>92.9005445686348</v>
      </c>
      <c r="AJ736">
        <v>87.332993573470105</v>
      </c>
      <c r="AK736">
        <v>21.926935739249</v>
      </c>
      <c r="AL736">
        <v>83.528349068032398</v>
      </c>
      <c r="AM736">
        <v>87.971470184536898</v>
      </c>
      <c r="AN736">
        <v>1.0000000363684101</v>
      </c>
    </row>
    <row r="737" spans="1:40" x14ac:dyDescent="0.25">
      <c r="A737" t="str">
        <f>"20190312164006966"</f>
        <v>20190312164006966</v>
      </c>
      <c r="B737" t="str">
        <f>"1552380006957182"</f>
        <v>1552380006957182</v>
      </c>
      <c r="C737" t="s">
        <v>40</v>
      </c>
      <c r="D737">
        <v>5.300611</v>
      </c>
      <c r="E737">
        <v>0.51030829999999905</v>
      </c>
      <c r="F737" t="s">
        <v>41</v>
      </c>
      <c r="G737">
        <v>-322.36329999999998</v>
      </c>
      <c r="H737" s="1">
        <v>-3.7668620000000001E-6</v>
      </c>
      <c r="I737">
        <v>366.75020000000001</v>
      </c>
      <c r="J737">
        <v>-347.36540000000002</v>
      </c>
      <c r="K737">
        <v>1.109575</v>
      </c>
      <c r="L737">
        <v>368.18549999999999</v>
      </c>
      <c r="M737">
        <v>0.99992389999999998</v>
      </c>
      <c r="N737">
        <v>0</v>
      </c>
      <c r="O737">
        <v>-6.4516399999999998E-3</v>
      </c>
      <c r="P737">
        <v>0.99384629999999996</v>
      </c>
      <c r="Q737">
        <v>0.10226739999999999</v>
      </c>
      <c r="R737">
        <v>-4.255519E-2</v>
      </c>
      <c r="S737">
        <v>3.0249630000000001</v>
      </c>
      <c r="T737">
        <v>-0.13283800000000001</v>
      </c>
      <c r="U737">
        <v>-0.1720276</v>
      </c>
      <c r="V737">
        <v>3.6189239999999998E-2</v>
      </c>
      <c r="W737">
        <v>0.1127002</v>
      </c>
      <c r="X737">
        <v>0.99296980000000001</v>
      </c>
      <c r="Y737">
        <v>5.0292700000000003E-2</v>
      </c>
      <c r="Z737">
        <v>-8.1990019999999999E-4</v>
      </c>
      <c r="AA737">
        <v>0.99873420000000002</v>
      </c>
      <c r="AB737">
        <v>32</v>
      </c>
      <c r="AC737">
        <v>25.002099999999999</v>
      </c>
      <c r="AD737">
        <v>-1.1095787668619901</v>
      </c>
      <c r="AE737">
        <v>-1.43529999999998</v>
      </c>
      <c r="AF737">
        <v>1.2714606998373399</v>
      </c>
      <c r="AG737">
        <v>-1.1095787668619901</v>
      </c>
      <c r="AH737">
        <v>24.9618384688311</v>
      </c>
      <c r="AI737">
        <v>92.541888448697705</v>
      </c>
      <c r="AJ737">
        <v>87.084091882617798</v>
      </c>
      <c r="AK737">
        <v>25.018816061019301</v>
      </c>
      <c r="AL737">
        <v>83.529006256600994</v>
      </c>
      <c r="AM737">
        <v>87.912752841132104</v>
      </c>
      <c r="AN737">
        <v>1.00000000994192</v>
      </c>
    </row>
    <row r="738" spans="1:40" x14ac:dyDescent="0.25">
      <c r="A738" t="str">
        <f>"20190312164006981"</f>
        <v>20190312164006981</v>
      </c>
      <c r="B738" t="str">
        <f>"1552380006976699"</f>
        <v>1552380006976699</v>
      </c>
      <c r="C738" t="s">
        <v>40</v>
      </c>
      <c r="D738">
        <v>5.1626599999999998</v>
      </c>
      <c r="E738">
        <v>0.51068239999999998</v>
      </c>
      <c r="F738" t="s">
        <v>41</v>
      </c>
      <c r="G738">
        <v>-322.2602</v>
      </c>
      <c r="H738" s="1">
        <v>-3.8343279999999998E-6</v>
      </c>
      <c r="I738">
        <v>366.61919999999998</v>
      </c>
      <c r="J738">
        <v>-347.16300000000001</v>
      </c>
      <c r="K738">
        <v>1.109591</v>
      </c>
      <c r="L738">
        <v>368.1841</v>
      </c>
      <c r="M738">
        <v>0.99992329999999996</v>
      </c>
      <c r="N738">
        <v>0</v>
      </c>
      <c r="O738">
        <v>-6.5403129999999999E-3</v>
      </c>
      <c r="P738">
        <v>0.99383840000000001</v>
      </c>
      <c r="Q738">
        <v>0.1021473</v>
      </c>
      <c r="R738">
        <v>-4.3027870000000003E-2</v>
      </c>
      <c r="S738">
        <v>3.0242309999999999</v>
      </c>
      <c r="T738">
        <v>-0.13366169999999999</v>
      </c>
      <c r="U738">
        <v>-0.18865970000000001</v>
      </c>
      <c r="V738">
        <v>3.657005E-2</v>
      </c>
      <c r="W738">
        <v>0.1125898</v>
      </c>
      <c r="X738">
        <v>0.99296839999999997</v>
      </c>
      <c r="Y738">
        <v>5.5684560000000001E-2</v>
      </c>
      <c r="Z738">
        <v>-9.401101E-4</v>
      </c>
      <c r="AA738">
        <v>0.998448</v>
      </c>
      <c r="AB738">
        <v>32</v>
      </c>
      <c r="AC738">
        <v>24.902799999999999</v>
      </c>
      <c r="AD738">
        <v>-1.109594834328</v>
      </c>
      <c r="AE738">
        <v>-1.5649000000000199</v>
      </c>
      <c r="AF738">
        <v>1.3992184280473099</v>
      </c>
      <c r="AG738">
        <v>-1.109594834328</v>
      </c>
      <c r="AH738">
        <v>24.863335078151501</v>
      </c>
      <c r="AI738">
        <v>92.551255116788099</v>
      </c>
      <c r="AJ738">
        <v>86.778998559025894</v>
      </c>
      <c r="AK738">
        <v>24.927383418926901</v>
      </c>
      <c r="AL738">
        <v>83.535372407091302</v>
      </c>
      <c r="AM738">
        <v>87.890806042818298</v>
      </c>
      <c r="AN738">
        <v>1.0000000375097999</v>
      </c>
    </row>
    <row r="739" spans="1:40" x14ac:dyDescent="0.25">
      <c r="A739" t="str">
        <f>"20190312164007002"</f>
        <v>20190312164007002</v>
      </c>
      <c r="B739" t="str">
        <f>"1552380006997194"</f>
        <v>1552380006997194</v>
      </c>
      <c r="C739" t="s">
        <v>40</v>
      </c>
      <c r="D739">
        <v>5.2340400000000002</v>
      </c>
      <c r="E739">
        <v>0.51114999999999999</v>
      </c>
      <c r="F739" t="s">
        <v>41</v>
      </c>
      <c r="G739">
        <v>-322.7593</v>
      </c>
      <c r="H739" s="1">
        <v>-3.6184430000000001E-6</v>
      </c>
      <c r="I739">
        <v>366.62920000000003</v>
      </c>
      <c r="J739">
        <v>-346.86790000000002</v>
      </c>
      <c r="K739">
        <v>1.1096079999999999</v>
      </c>
      <c r="L739">
        <v>368.18200000000002</v>
      </c>
      <c r="M739">
        <v>0.99992239999999999</v>
      </c>
      <c r="N739">
        <v>0</v>
      </c>
      <c r="O739">
        <v>-6.6520919999999897E-3</v>
      </c>
      <c r="P739">
        <v>0.9938321</v>
      </c>
      <c r="Q739">
        <v>0.10193960000000001</v>
      </c>
      <c r="R739">
        <v>-4.3662489999999998E-2</v>
      </c>
      <c r="S739">
        <v>3.0243530000000001</v>
      </c>
      <c r="T739">
        <v>-0.13751169999999999</v>
      </c>
      <c r="U739">
        <v>-0.192688</v>
      </c>
      <c r="V739">
        <v>3.7088780000000002E-2</v>
      </c>
      <c r="W739">
        <v>0.1123955</v>
      </c>
      <c r="X739">
        <v>0.9929711</v>
      </c>
      <c r="Y739">
        <v>5.6891120000000003E-2</v>
      </c>
      <c r="Z739">
        <v>-9.8939660000000001E-4</v>
      </c>
      <c r="AA739">
        <v>0.99837989999999999</v>
      </c>
      <c r="AB739">
        <v>32</v>
      </c>
      <c r="AC739">
        <v>24.108599999999999</v>
      </c>
      <c r="AD739">
        <v>-1.1096116184429901</v>
      </c>
      <c r="AE739">
        <v>-1.55279999999993</v>
      </c>
      <c r="AF739">
        <v>1.3894529281039301</v>
      </c>
      <c r="AG739">
        <v>-1.1096116184429901</v>
      </c>
      <c r="AH739">
        <v>24.067623415507001</v>
      </c>
      <c r="AI739">
        <v>92.635308670216105</v>
      </c>
      <c r="AJ739">
        <v>86.695913008525807</v>
      </c>
      <c r="AK739">
        <v>24.1332201385116</v>
      </c>
      <c r="AL739">
        <v>83.546575626192606</v>
      </c>
      <c r="AM739">
        <v>87.860921468151503</v>
      </c>
      <c r="AN739">
        <v>0.999999965728673</v>
      </c>
    </row>
    <row r="740" spans="1:40" x14ac:dyDescent="0.25">
      <c r="A740" t="str">
        <f>"20190312164007024"</f>
        <v>20190312164007024</v>
      </c>
      <c r="B740" t="str">
        <f>"1552380007016714"</f>
        <v>1552380007016714</v>
      </c>
      <c r="C740" t="s">
        <v>40</v>
      </c>
      <c r="D740">
        <v>5.310575</v>
      </c>
      <c r="E740">
        <v>0.51177910000000004</v>
      </c>
      <c r="F740" t="s">
        <v>41</v>
      </c>
      <c r="G740">
        <v>-322.79309999999998</v>
      </c>
      <c r="H740" s="1">
        <v>-3.6086430000000002E-6</v>
      </c>
      <c r="I740">
        <v>366.6026</v>
      </c>
      <c r="J740">
        <v>-346.54340000000002</v>
      </c>
      <c r="K740">
        <v>1.109618</v>
      </c>
      <c r="L740">
        <v>368.17970000000003</v>
      </c>
      <c r="M740">
        <v>0.99992150000000002</v>
      </c>
      <c r="N740">
        <v>0</v>
      </c>
      <c r="O740">
        <v>-6.7587970000000004E-3</v>
      </c>
      <c r="P740">
        <v>0.99384159999999999</v>
      </c>
      <c r="Q740">
        <v>0.1018</v>
      </c>
      <c r="R740">
        <v>-4.3768460000000002E-2</v>
      </c>
      <c r="S740">
        <v>3.0242309999999999</v>
      </c>
      <c r="T740">
        <v>-0.13938699999999901</v>
      </c>
      <c r="U740">
        <v>-0.19839480000000001</v>
      </c>
      <c r="V740">
        <v>3.7085020000000003E-2</v>
      </c>
      <c r="W740">
        <v>0.11226949999999999</v>
      </c>
      <c r="X740">
        <v>0.99298549999999997</v>
      </c>
      <c r="Y740">
        <v>5.8659999999999997E-2</v>
      </c>
      <c r="Z740">
        <v>-1.038644E-3</v>
      </c>
      <c r="AA740">
        <v>0.99827750000000004</v>
      </c>
      <c r="AB740">
        <v>32</v>
      </c>
      <c r="AC740">
        <v>23.750299999999999</v>
      </c>
      <c r="AD740">
        <v>-1.109621608643</v>
      </c>
      <c r="AE740">
        <v>-1.5771000000000299</v>
      </c>
      <c r="AF740">
        <v>1.41345984327315</v>
      </c>
      <c r="AG740">
        <v>-1.109621608643</v>
      </c>
      <c r="AH740">
        <v>23.7088930507146</v>
      </c>
      <c r="AI740">
        <v>92.674854511931301</v>
      </c>
      <c r="AJ740">
        <v>86.588219410976507</v>
      </c>
      <c r="AK740">
        <v>23.776895056611899</v>
      </c>
      <c r="AL740">
        <v>83.553840914715806</v>
      </c>
      <c r="AM740">
        <v>87.861169111397004</v>
      </c>
      <c r="AN740">
        <v>0.99999997127444895</v>
      </c>
    </row>
    <row r="741" spans="1:40" x14ac:dyDescent="0.25">
      <c r="A741" t="str">
        <f>"20190312164007036"</f>
        <v>20190312164007036</v>
      </c>
      <c r="B741" t="str">
        <f>"1552380007027451"</f>
        <v>1552380007027451</v>
      </c>
      <c r="C741" t="s">
        <v>40</v>
      </c>
      <c r="D741">
        <v>5.3071359999999999</v>
      </c>
      <c r="E741">
        <v>0.51173000000000002</v>
      </c>
      <c r="F741" t="s">
        <v>41</v>
      </c>
      <c r="G741">
        <v>-323.43509999999998</v>
      </c>
      <c r="H741" s="1">
        <v>-3.3292140000000002E-6</v>
      </c>
      <c r="I741">
        <v>366.62540000000001</v>
      </c>
      <c r="J741">
        <v>-346.35520000000002</v>
      </c>
      <c r="K741">
        <v>1.109629</v>
      </c>
      <c r="L741">
        <v>368.17840000000001</v>
      </c>
      <c r="M741">
        <v>0.99992110000000001</v>
      </c>
      <c r="N741">
        <v>0</v>
      </c>
      <c r="O741">
        <v>-6.8164569999999997E-3</v>
      </c>
      <c r="P741">
        <v>0.99386379999999996</v>
      </c>
      <c r="Q741">
        <v>0.1016357</v>
      </c>
      <c r="R741">
        <v>-4.3651860000000001E-2</v>
      </c>
      <c r="S741">
        <v>3.0245359999999999</v>
      </c>
      <c r="T741">
        <v>-0.14523229999999901</v>
      </c>
      <c r="U741">
        <v>-0.20343020000000001</v>
      </c>
      <c r="V741">
        <v>3.6909369999999997E-2</v>
      </c>
      <c r="W741">
        <v>0.11211309999999999</v>
      </c>
      <c r="X741">
        <v>0.9930097</v>
      </c>
      <c r="Y741">
        <v>6.0244029999999997E-2</v>
      </c>
      <c r="Z741">
        <v>-1.117186E-3</v>
      </c>
      <c r="AA741">
        <v>0.99818309999999999</v>
      </c>
      <c r="AB741">
        <v>32</v>
      </c>
      <c r="AC741">
        <v>22.920100000000001</v>
      </c>
      <c r="AD741">
        <v>-1.109632329214</v>
      </c>
      <c r="AE741">
        <v>-1.5529999999999899</v>
      </c>
      <c r="AF741">
        <v>1.3934702182885399</v>
      </c>
      <c r="AG741">
        <v>-1.109632329214</v>
      </c>
      <c r="AH741">
        <v>22.876779873768701</v>
      </c>
      <c r="AI741">
        <v>92.771811357584099</v>
      </c>
      <c r="AJ741">
        <v>86.514306670905498</v>
      </c>
      <c r="AK741">
        <v>22.946025811633799</v>
      </c>
      <c r="AL741">
        <v>83.562858813614397</v>
      </c>
      <c r="AM741">
        <v>87.871341987339804</v>
      </c>
      <c r="AN741">
        <v>0.99999995653974705</v>
      </c>
    </row>
    <row r="742" spans="1:40" x14ac:dyDescent="0.25">
      <c r="A742" t="str">
        <f>"20190312164007047"</f>
        <v>20190312164007047</v>
      </c>
      <c r="B742" t="str">
        <f>"1552380007037211"</f>
        <v>1552380007037211</v>
      </c>
      <c r="C742" t="s">
        <v>40</v>
      </c>
      <c r="D742">
        <v>5.2872000000000003</v>
      </c>
      <c r="E742">
        <v>0.5117218</v>
      </c>
      <c r="F742" t="s">
        <v>41</v>
      </c>
      <c r="G742">
        <v>-323.63929999999999</v>
      </c>
      <c r="H742" s="1">
        <v>-3.2359670000000002E-6</v>
      </c>
      <c r="I742">
        <v>366.65719999999999</v>
      </c>
      <c r="J742">
        <v>-346.19349999999997</v>
      </c>
      <c r="K742">
        <v>1.109632</v>
      </c>
      <c r="L742">
        <v>368.17720000000003</v>
      </c>
      <c r="M742">
        <v>0.99992080000000005</v>
      </c>
      <c r="N742">
        <v>0</v>
      </c>
      <c r="O742">
        <v>-6.8632939999999998E-3</v>
      </c>
      <c r="P742">
        <v>0.99385409999999996</v>
      </c>
      <c r="Q742">
        <v>0.1018008</v>
      </c>
      <c r="R742">
        <v>-4.3482100000000003E-2</v>
      </c>
      <c r="S742">
        <v>3.0247190000000002</v>
      </c>
      <c r="T742">
        <v>-0.1477513</v>
      </c>
      <c r="U742">
        <v>-0.20254520000000001</v>
      </c>
      <c r="V742">
        <v>3.6692610000000001E-2</v>
      </c>
      <c r="W742">
        <v>0.1122842</v>
      </c>
      <c r="X742">
        <v>0.99299839999999995</v>
      </c>
      <c r="Y742">
        <v>5.9900809999999999E-2</v>
      </c>
      <c r="Z742">
        <v>-1.12583E-3</v>
      </c>
      <c r="AA742">
        <v>0.99820370000000003</v>
      </c>
      <c r="AB742">
        <v>32</v>
      </c>
      <c r="AC742">
        <v>22.554199999999899</v>
      </c>
      <c r="AD742">
        <v>-1.1096352359670001</v>
      </c>
      <c r="AE742">
        <v>-1.52000000000003</v>
      </c>
      <c r="AF742">
        <v>1.36187795066922</v>
      </c>
      <c r="AG742">
        <v>-1.1096352359670001</v>
      </c>
      <c r="AH742">
        <v>22.509862670949801</v>
      </c>
      <c r="AI742">
        <v>92.816997699696003</v>
      </c>
      <c r="AJ742">
        <v>86.537746090335702</v>
      </c>
      <c r="AK742">
        <v>22.578306388532301</v>
      </c>
      <c r="AL742">
        <v>83.552993207095795</v>
      </c>
      <c r="AM742">
        <v>87.883807633791406</v>
      </c>
      <c r="AN742">
        <v>0.99999995580040502</v>
      </c>
    </row>
    <row r="743" spans="1:40" x14ac:dyDescent="0.25">
      <c r="A743" t="str">
        <f>"20190312164007059"</f>
        <v>20190312164007059</v>
      </c>
      <c r="B743" t="str">
        <f>"1552380007046971"</f>
        <v>1552380007046971</v>
      </c>
      <c r="C743" t="s">
        <v>40</v>
      </c>
      <c r="D743">
        <v>5.274851</v>
      </c>
      <c r="E743">
        <v>0.51165909999999903</v>
      </c>
      <c r="F743" t="s">
        <v>41</v>
      </c>
      <c r="G743">
        <v>-323.67290000000003</v>
      </c>
      <c r="H743" s="1">
        <v>-3.2189019999999998E-6</v>
      </c>
      <c r="I743">
        <v>366.67189999999999</v>
      </c>
      <c r="J743">
        <v>-346.029</v>
      </c>
      <c r="K743">
        <v>1.109637</v>
      </c>
      <c r="L743">
        <v>368.17610000000002</v>
      </c>
      <c r="M743">
        <v>0.99992040000000004</v>
      </c>
      <c r="N743">
        <v>0</v>
      </c>
      <c r="O743">
        <v>-6.9106100000000002E-3</v>
      </c>
      <c r="P743">
        <v>0.99384090000000003</v>
      </c>
      <c r="Q743">
        <v>0.10194209999999999</v>
      </c>
      <c r="R743">
        <v>-4.3457089999999997E-2</v>
      </c>
      <c r="S743">
        <v>3.0249329999999999</v>
      </c>
      <c r="T743">
        <v>-0.1490445</v>
      </c>
      <c r="U743">
        <v>-0.202179</v>
      </c>
      <c r="V743">
        <v>3.6619720000000001E-2</v>
      </c>
      <c r="W743">
        <v>0.11243060000000001</v>
      </c>
      <c r="X743">
        <v>0.9929846</v>
      </c>
      <c r="Y743">
        <v>5.972773E-2</v>
      </c>
      <c r="Z743">
        <v>-1.1290129999999999E-3</v>
      </c>
      <c r="AA743">
        <v>0.99821409999999999</v>
      </c>
      <c r="AB743">
        <v>33</v>
      </c>
      <c r="AC743">
        <v>22.356099999999898</v>
      </c>
      <c r="AD743">
        <v>-1.109640218902</v>
      </c>
      <c r="AE743">
        <v>-1.50420000000002</v>
      </c>
      <c r="AF743">
        <v>1.34635922241203</v>
      </c>
      <c r="AG743">
        <v>-1.109640218902</v>
      </c>
      <c r="AH743">
        <v>22.3112430999225</v>
      </c>
      <c r="AI743">
        <v>92.842073850045793</v>
      </c>
      <c r="AJ743">
        <v>86.546706510909502</v>
      </c>
      <c r="AK743">
        <v>22.3793555142908</v>
      </c>
      <c r="AL743">
        <v>83.544552131032503</v>
      </c>
      <c r="AM743">
        <v>87.8879783219015</v>
      </c>
      <c r="AN743">
        <v>1.0000000297731899</v>
      </c>
    </row>
    <row r="744" spans="1:40" x14ac:dyDescent="0.25">
      <c r="A744" t="str">
        <f>"20190312164007070"</f>
        <v>20190312164007070</v>
      </c>
      <c r="B744" t="str">
        <f>"1552380007067466"</f>
        <v>1552380007067466</v>
      </c>
      <c r="C744" t="s">
        <v>40</v>
      </c>
      <c r="D744">
        <v>5.1937870000000004</v>
      </c>
      <c r="E744">
        <v>0.51131419999999905</v>
      </c>
      <c r="F744" t="s">
        <v>41</v>
      </c>
      <c r="G744">
        <v>-323.69619999999998</v>
      </c>
      <c r="H744" s="1">
        <v>-3.2056439999999998E-6</v>
      </c>
      <c r="I744">
        <v>366.69049999999999</v>
      </c>
      <c r="J744">
        <v>-345.85899999999998</v>
      </c>
      <c r="K744">
        <v>1.1096360000000001</v>
      </c>
      <c r="L744">
        <v>368.1748</v>
      </c>
      <c r="M744">
        <v>0.99991989999999997</v>
      </c>
      <c r="N744">
        <v>0</v>
      </c>
      <c r="O744">
        <v>-6.9585319999999999E-3</v>
      </c>
      <c r="P744">
        <v>0.99382820000000005</v>
      </c>
      <c r="Q744">
        <v>0.1022353</v>
      </c>
      <c r="R744">
        <v>-4.3052529999999999E-2</v>
      </c>
      <c r="S744">
        <v>3.0252379999999999</v>
      </c>
      <c r="T744">
        <v>-0.150313</v>
      </c>
      <c r="U744">
        <v>-0.20123289999999999</v>
      </c>
      <c r="V744">
        <v>3.6167089999999999E-2</v>
      </c>
      <c r="W744">
        <v>0.1127296</v>
      </c>
      <c r="X744">
        <v>0.99296719999999905</v>
      </c>
      <c r="Y744">
        <v>5.9361829999999997E-2</v>
      </c>
      <c r="Z744">
        <v>-1.127056E-3</v>
      </c>
      <c r="AA744">
        <v>0.99823589999999995</v>
      </c>
      <c r="AB744">
        <v>33</v>
      </c>
      <c r="AC744">
        <v>22.162800000000001</v>
      </c>
      <c r="AD744">
        <v>-1.1096392056440001</v>
      </c>
      <c r="AE744">
        <v>-1.4843000000000099</v>
      </c>
      <c r="AF744">
        <v>1.32672394731127</v>
      </c>
      <c r="AG744">
        <v>-1.1096392056440001</v>
      </c>
      <c r="AH744">
        <v>22.117396849234702</v>
      </c>
      <c r="AI744">
        <v>92.867000580198905</v>
      </c>
      <c r="AJ744">
        <v>86.567195282299394</v>
      </c>
      <c r="AK744">
        <v>22.1849214329375</v>
      </c>
      <c r="AL744">
        <v>83.527310507058104</v>
      </c>
      <c r="AM744">
        <v>87.9140237763839</v>
      </c>
      <c r="AN744">
        <v>0.999999940695532</v>
      </c>
    </row>
    <row r="745" spans="1:40" x14ac:dyDescent="0.25">
      <c r="A745" t="str">
        <f>"20190312164007082"</f>
        <v>20190312164007082</v>
      </c>
      <c r="B745" t="str">
        <f>"1552380007077227"</f>
        <v>1552380007077227</v>
      </c>
      <c r="C745" t="s">
        <v>40</v>
      </c>
      <c r="D745">
        <v>5.2818930000000002</v>
      </c>
      <c r="E745">
        <v>0.51133300000000004</v>
      </c>
      <c r="F745" t="s">
        <v>41</v>
      </c>
      <c r="G745">
        <v>-323.84030000000001</v>
      </c>
      <c r="H745" s="1">
        <v>-3.1350609999999998E-6</v>
      </c>
      <c r="I745">
        <v>366.73989999999998</v>
      </c>
      <c r="J745">
        <v>-345.68959999999998</v>
      </c>
      <c r="K745">
        <v>1.1096410000000001</v>
      </c>
      <c r="L745">
        <v>368.17360000000002</v>
      </c>
      <c r="M745">
        <v>0.99991949999999996</v>
      </c>
      <c r="N745">
        <v>0</v>
      </c>
      <c r="O745">
        <v>-7.0065739999999998E-3</v>
      </c>
      <c r="P745">
        <v>0.99383069999999896</v>
      </c>
      <c r="Q745">
        <v>0.1022947</v>
      </c>
      <c r="R745">
        <v>-4.2853450000000001E-2</v>
      </c>
      <c r="S745">
        <v>3.0257869999999998</v>
      </c>
      <c r="T745">
        <v>-0.1524847</v>
      </c>
      <c r="U745">
        <v>-0.19717409999999999</v>
      </c>
      <c r="V745">
        <v>3.5919670000000001E-2</v>
      </c>
      <c r="W745">
        <v>0.11279400000000001</v>
      </c>
      <c r="X745">
        <v>0.99296890000000004</v>
      </c>
      <c r="Y745">
        <v>5.7968520000000003E-2</v>
      </c>
      <c r="Z745">
        <v>-1.105696E-3</v>
      </c>
      <c r="AA745">
        <v>0.99831780000000003</v>
      </c>
      <c r="AB745">
        <v>33</v>
      </c>
      <c r="AC745">
        <v>21.8492999999999</v>
      </c>
      <c r="AD745">
        <v>-1.10964413506099</v>
      </c>
      <c r="AE745">
        <v>-1.4337000000000399</v>
      </c>
      <c r="AF745">
        <v>1.2772871894785001</v>
      </c>
      <c r="AG745">
        <v>-1.10964413506099</v>
      </c>
      <c r="AH745">
        <v>21.8028158209403</v>
      </c>
      <c r="AI745">
        <v>92.908549834329605</v>
      </c>
      <c r="AJ745">
        <v>86.647239726942999</v>
      </c>
      <c r="AK745">
        <v>21.868368718144598</v>
      </c>
      <c r="AL745">
        <v>83.523597182376704</v>
      </c>
      <c r="AM745">
        <v>87.928285059901498</v>
      </c>
      <c r="AN745">
        <v>0.99999997274805896</v>
      </c>
    </row>
    <row r="746" spans="1:40" x14ac:dyDescent="0.25">
      <c r="A746" t="str">
        <f>"20190312164007093"</f>
        <v>20190312164007093</v>
      </c>
      <c r="B746" t="str">
        <f>"1552380007086987"</f>
        <v>1552380007086987</v>
      </c>
      <c r="C746" t="s">
        <v>40</v>
      </c>
      <c r="D746">
        <v>5.4205009999999998</v>
      </c>
      <c r="E746">
        <v>0.5112738</v>
      </c>
      <c r="F746" t="s">
        <v>41</v>
      </c>
      <c r="G746">
        <v>-323.83150000000001</v>
      </c>
      <c r="H746" s="1">
        <v>-3.1362059999999999E-6</v>
      </c>
      <c r="I746">
        <v>366.75479999999999</v>
      </c>
      <c r="J746">
        <v>-345.50959999999998</v>
      </c>
      <c r="K746">
        <v>1.1096429999999999</v>
      </c>
      <c r="L746">
        <v>368.17230000000001</v>
      </c>
      <c r="M746">
        <v>0.99991909999999895</v>
      </c>
      <c r="N746">
        <v>0</v>
      </c>
      <c r="O746">
        <v>-7.0578389999999998E-3</v>
      </c>
      <c r="P746">
        <v>0.99378029999999995</v>
      </c>
      <c r="Q746">
        <v>0.1028705</v>
      </c>
      <c r="R746">
        <v>-4.2643010000000002E-2</v>
      </c>
      <c r="S746">
        <v>3.02597</v>
      </c>
      <c r="T746">
        <v>-0.1536151</v>
      </c>
      <c r="U746">
        <v>-0.19641110000000001</v>
      </c>
      <c r="V746">
        <v>3.5658509999999997E-2</v>
      </c>
      <c r="W746">
        <v>0.1133749</v>
      </c>
      <c r="X746">
        <v>0.99291220000000002</v>
      </c>
      <c r="Y746">
        <v>5.7662270000000002E-2</v>
      </c>
      <c r="Z746">
        <v>-1.1034669999999999E-3</v>
      </c>
      <c r="AA746">
        <v>0.99833550000000004</v>
      </c>
      <c r="AB746">
        <v>33</v>
      </c>
      <c r="AC746">
        <v>21.678099999999901</v>
      </c>
      <c r="AD746">
        <v>-1.1096461362059999</v>
      </c>
      <c r="AE746">
        <v>-1.41750000000001</v>
      </c>
      <c r="AF746">
        <v>1.26116520700242</v>
      </c>
      <c r="AG746">
        <v>-1.1096461362059999</v>
      </c>
      <c r="AH746">
        <v>21.6311294933504</v>
      </c>
      <c r="AI746">
        <v>92.931647951756801</v>
      </c>
      <c r="AJ746">
        <v>86.663247113169007</v>
      </c>
      <c r="AK746">
        <v>21.696258096387201</v>
      </c>
      <c r="AL746">
        <v>83.490099475680907</v>
      </c>
      <c r="AM746">
        <v>87.943217484420302</v>
      </c>
      <c r="AN746">
        <v>1.0000000170971299</v>
      </c>
    </row>
    <row r="747" spans="1:40" x14ac:dyDescent="0.25">
      <c r="A747" t="str">
        <f>"20190312164007113"</f>
        <v>20190312164007113</v>
      </c>
      <c r="B747" t="str">
        <f>"1552380007107483"</f>
        <v>1552380007107483</v>
      </c>
      <c r="C747" t="s">
        <v>40</v>
      </c>
      <c r="D747">
        <v>5.2917649999999998</v>
      </c>
      <c r="E747">
        <v>0.51119879999999995</v>
      </c>
      <c r="F747" t="s">
        <v>41</v>
      </c>
      <c r="G747">
        <v>-323.2253</v>
      </c>
      <c r="H747" s="1">
        <v>-3.3999499999999999E-6</v>
      </c>
      <c r="I747">
        <v>366.73390000000001</v>
      </c>
      <c r="J747">
        <v>-345.24599999999998</v>
      </c>
      <c r="K747">
        <v>1.1096459999999999</v>
      </c>
      <c r="L747">
        <v>368.17039999999997</v>
      </c>
      <c r="M747">
        <v>0.99991850000000004</v>
      </c>
      <c r="N747">
        <v>0</v>
      </c>
      <c r="O747">
        <v>-7.1333289999999999E-3</v>
      </c>
      <c r="P747">
        <v>0.99371960000000004</v>
      </c>
      <c r="Q747">
        <v>0.1036686</v>
      </c>
      <c r="R747">
        <v>-4.2121779999999998E-2</v>
      </c>
      <c r="S747">
        <v>3.0260009999999999</v>
      </c>
      <c r="T747">
        <v>-0.1506789</v>
      </c>
      <c r="U747">
        <v>-0.1953125</v>
      </c>
      <c r="V747">
        <v>3.5062469999999998E-2</v>
      </c>
      <c r="W747">
        <v>0.1141826</v>
      </c>
      <c r="X747">
        <v>0.99284079999999997</v>
      </c>
      <c r="Y747">
        <v>5.7228380000000002E-2</v>
      </c>
      <c r="Z747">
        <v>-1.0678650000000001E-3</v>
      </c>
      <c r="AA747">
        <v>0.99836049999999998</v>
      </c>
      <c r="AB747">
        <v>33</v>
      </c>
      <c r="AC747">
        <v>22.020699999999898</v>
      </c>
      <c r="AD747">
        <v>-1.1096493999499999</v>
      </c>
      <c r="AE747">
        <v>-1.4364999999999599</v>
      </c>
      <c r="AF747">
        <v>1.27614699031723</v>
      </c>
      <c r="AG747">
        <v>-1.1096493999499999</v>
      </c>
      <c r="AH747">
        <v>21.974823659480698</v>
      </c>
      <c r="AI747">
        <v>92.885920964626806</v>
      </c>
      <c r="AJ747">
        <v>86.676387157355805</v>
      </c>
      <c r="AK747">
        <v>22.039799177782399</v>
      </c>
      <c r="AL747">
        <v>83.443518735467904</v>
      </c>
      <c r="AM747">
        <v>87.977422951659804</v>
      </c>
      <c r="AN747">
        <v>0.999999948544949</v>
      </c>
    </row>
    <row r="748" spans="1:40" x14ac:dyDescent="0.25">
      <c r="A748" t="str">
        <f>"20190312164007126"</f>
        <v>20190312164007126</v>
      </c>
      <c r="B748" t="str">
        <f>"1552380007117243"</f>
        <v>1552380007117243</v>
      </c>
      <c r="C748" t="s">
        <v>40</v>
      </c>
      <c r="D748">
        <v>5.2399019999999998</v>
      </c>
      <c r="E748">
        <v>0.51105059999999902</v>
      </c>
      <c r="F748" t="s">
        <v>41</v>
      </c>
      <c r="G748">
        <v>-322.7534</v>
      </c>
      <c r="H748" s="1">
        <v>-3.602375E-6</v>
      </c>
      <c r="I748">
        <v>366.73410000000001</v>
      </c>
      <c r="J748">
        <v>-345.04899999999998</v>
      </c>
      <c r="K748">
        <v>1.10965</v>
      </c>
      <c r="L748">
        <v>368.16890000000001</v>
      </c>
      <c r="M748">
        <v>0.99991799999999997</v>
      </c>
      <c r="N748">
        <v>0</v>
      </c>
      <c r="O748">
        <v>-7.1904650000000001E-3</v>
      </c>
      <c r="P748">
        <v>0.99370219999999998</v>
      </c>
      <c r="Q748">
        <v>0.1038746</v>
      </c>
      <c r="R748">
        <v>-4.2027420000000003E-2</v>
      </c>
      <c r="S748">
        <v>3.026367</v>
      </c>
      <c r="T748">
        <v>-0.14930209999999999</v>
      </c>
      <c r="U748">
        <v>-0.1932373</v>
      </c>
      <c r="V748">
        <v>3.4911049999999999E-2</v>
      </c>
      <c r="W748">
        <v>0.1143981</v>
      </c>
      <c r="X748">
        <v>0.99282139999999997</v>
      </c>
      <c r="Y748">
        <v>5.6483890000000002E-2</v>
      </c>
      <c r="Z748">
        <v>-1.0368669999999999E-3</v>
      </c>
      <c r="AA748">
        <v>0.99840300000000004</v>
      </c>
      <c r="AB748">
        <v>33</v>
      </c>
      <c r="AC748">
        <v>22.2956</v>
      </c>
      <c r="AD748">
        <v>-1.1096536023749899</v>
      </c>
      <c r="AE748">
        <v>-1.4347999999999901</v>
      </c>
      <c r="AF748">
        <v>1.2713020668764199</v>
      </c>
      <c r="AG748">
        <v>-1.1096536023749899</v>
      </c>
      <c r="AH748">
        <v>22.250452621128701</v>
      </c>
      <c r="AI748">
        <v>92.850394628090996</v>
      </c>
      <c r="AJ748">
        <v>86.729903155083704</v>
      </c>
      <c r="AK748">
        <v>22.314349237824501</v>
      </c>
      <c r="AL748">
        <v>83.431090522135904</v>
      </c>
      <c r="AM748">
        <v>87.986111081288996</v>
      </c>
      <c r="AN748">
        <v>1.0000000194968299</v>
      </c>
    </row>
    <row r="749" spans="1:40" x14ac:dyDescent="0.25">
      <c r="A749" t="str">
        <f>"20190312164007138"</f>
        <v>20190312164007138</v>
      </c>
      <c r="B749" t="str">
        <f>"1552380007127003"</f>
        <v>1552380007127003</v>
      </c>
      <c r="C749" t="s">
        <v>40</v>
      </c>
      <c r="D749">
        <v>5.4537019999999998</v>
      </c>
      <c r="E749">
        <v>0.5110825</v>
      </c>
      <c r="F749" t="s">
        <v>41</v>
      </c>
      <c r="G749">
        <v>-322.71350000000001</v>
      </c>
      <c r="H749" s="1">
        <v>-3.6158070000000002E-6</v>
      </c>
      <c r="I749">
        <v>366.75470000000001</v>
      </c>
      <c r="J749">
        <v>-344.8734</v>
      </c>
      <c r="K749">
        <v>1.109656</v>
      </c>
      <c r="L749">
        <v>368.16759999999999</v>
      </c>
      <c r="M749">
        <v>0.99991750000000001</v>
      </c>
      <c r="N749">
        <v>0</v>
      </c>
      <c r="O749">
        <v>-7.2417590000000004E-3</v>
      </c>
      <c r="P749">
        <v>0.99367090000000002</v>
      </c>
      <c r="Q749">
        <v>0.10414909999999999</v>
      </c>
      <c r="R749">
        <v>-4.2082799999999997E-2</v>
      </c>
      <c r="S749">
        <v>3.0266419999999998</v>
      </c>
      <c r="T749">
        <v>-0.15036640000000001</v>
      </c>
      <c r="U749">
        <v>-0.19161990000000001</v>
      </c>
      <c r="V749">
        <v>3.4915429999999997E-2</v>
      </c>
      <c r="W749">
        <v>0.1146819</v>
      </c>
      <c r="X749">
        <v>0.99278849999999996</v>
      </c>
      <c r="Y749">
        <v>5.5895439999999998E-2</v>
      </c>
      <c r="Z749">
        <v>-1.027034E-3</v>
      </c>
      <c r="AA749">
        <v>0.99843610000000005</v>
      </c>
      <c r="AB749">
        <v>33</v>
      </c>
      <c r="AC749">
        <v>22.1599</v>
      </c>
      <c r="AD749">
        <v>-1.109659615807</v>
      </c>
      <c r="AE749">
        <v>-1.4128999999999701</v>
      </c>
      <c r="AF749">
        <v>1.2492574082629699</v>
      </c>
      <c r="AG749">
        <v>-1.109659615807</v>
      </c>
      <c r="AH749">
        <v>22.114323777786801</v>
      </c>
      <c r="AI749">
        <v>92.868031681787997</v>
      </c>
      <c r="AJ749">
        <v>86.7667479357589</v>
      </c>
      <c r="AK749">
        <v>22.1773601829398</v>
      </c>
      <c r="AL749">
        <v>83.414722228796293</v>
      </c>
      <c r="AM749">
        <v>87.985791931818696</v>
      </c>
      <c r="AN749">
        <v>1.0000000155859701</v>
      </c>
    </row>
    <row r="750" spans="1:40" x14ac:dyDescent="0.25">
      <c r="A750" t="str">
        <f>"20190312164007156"</f>
        <v>20190312164007156</v>
      </c>
      <c r="B750" t="str">
        <f>"1552380007147499"</f>
        <v>1552380007147499</v>
      </c>
      <c r="C750" t="s">
        <v>40</v>
      </c>
      <c r="D750">
        <v>5.1774959999999997</v>
      </c>
      <c r="E750">
        <v>0.51121519999999998</v>
      </c>
      <c r="F750" t="s">
        <v>41</v>
      </c>
      <c r="G750">
        <v>-322.14089999999999</v>
      </c>
      <c r="H750" s="1">
        <v>-3.8671550000000002E-6</v>
      </c>
      <c r="I750">
        <v>366.72269999999997</v>
      </c>
      <c r="J750">
        <v>-344.6</v>
      </c>
      <c r="K750">
        <v>1.109659</v>
      </c>
      <c r="L750">
        <v>368.16559999999998</v>
      </c>
      <c r="M750">
        <v>0.9999169</v>
      </c>
      <c r="N750">
        <v>0</v>
      </c>
      <c r="O750">
        <v>-7.3225269999999997E-3</v>
      </c>
      <c r="P750">
        <v>0.99360599999999999</v>
      </c>
      <c r="Q750">
        <v>0.104733199999999</v>
      </c>
      <c r="R750">
        <v>-4.2173830000000002E-2</v>
      </c>
      <c r="S750">
        <v>3.0264890000000002</v>
      </c>
      <c r="T750">
        <v>-0.1477339</v>
      </c>
      <c r="U750">
        <v>-0.1923523</v>
      </c>
      <c r="V750">
        <v>3.4926409999999998E-2</v>
      </c>
      <c r="W750">
        <v>0.1152792</v>
      </c>
      <c r="X750">
        <v>0.99271889999999996</v>
      </c>
      <c r="Y750">
        <v>5.6060579999999999E-2</v>
      </c>
      <c r="Z750">
        <v>-1.0092059999999999E-3</v>
      </c>
      <c r="AA750">
        <v>0.99842690000000001</v>
      </c>
      <c r="AB750">
        <v>33</v>
      </c>
      <c r="AC750">
        <v>22.459099999999999</v>
      </c>
      <c r="AD750">
        <v>-1.109662867155</v>
      </c>
      <c r="AE750">
        <v>-1.4429000000000001</v>
      </c>
      <c r="AF750">
        <v>1.2752942789267501</v>
      </c>
      <c r="AG750">
        <v>-1.109662867155</v>
      </c>
      <c r="AH750">
        <v>22.414571289169</v>
      </c>
      <c r="AI750">
        <v>92.829620341710594</v>
      </c>
      <c r="AJ750">
        <v>86.743623284067596</v>
      </c>
      <c r="AK750">
        <v>22.478227982958199</v>
      </c>
      <c r="AL750">
        <v>83.380270741740404</v>
      </c>
      <c r="AM750">
        <v>87.985017892415598</v>
      </c>
      <c r="AN750">
        <v>0.99999998124266798</v>
      </c>
    </row>
    <row r="751" spans="1:40" x14ac:dyDescent="0.25">
      <c r="A751" t="str">
        <f>"20190312164007170"</f>
        <v>20190312164007170</v>
      </c>
      <c r="B751" t="str">
        <f>"1552380007167019"</f>
        <v>1552380007167019</v>
      </c>
      <c r="C751" t="s">
        <v>40</v>
      </c>
      <c r="D751">
        <v>5.1557550000000001</v>
      </c>
      <c r="E751">
        <v>0.51115690000000003</v>
      </c>
      <c r="F751" t="s">
        <v>41</v>
      </c>
      <c r="G751">
        <v>-321.67239999999998</v>
      </c>
      <c r="H751" s="1">
        <v>-4.0721929999999998E-6</v>
      </c>
      <c r="I751">
        <v>366.69979999999998</v>
      </c>
      <c r="J751">
        <v>-344.411</v>
      </c>
      <c r="K751">
        <v>1.1096619999999999</v>
      </c>
      <c r="L751">
        <v>368.16410000000002</v>
      </c>
      <c r="M751">
        <v>0.99991620000000003</v>
      </c>
      <c r="N751">
        <v>0</v>
      </c>
      <c r="O751">
        <v>-7.3788369999999897E-3</v>
      </c>
      <c r="P751">
        <v>0.993587</v>
      </c>
      <c r="Q751">
        <v>0.1049003</v>
      </c>
      <c r="R751">
        <v>-4.2198289999999999E-2</v>
      </c>
      <c r="S751">
        <v>3.0265499999999999</v>
      </c>
      <c r="T751">
        <v>-0.14648029999999901</v>
      </c>
      <c r="U751">
        <v>-0.1934814</v>
      </c>
      <c r="V751">
        <v>3.4895200000000001E-2</v>
      </c>
      <c r="W751">
        <v>0.1154554</v>
      </c>
      <c r="X751">
        <v>0.99269960000000002</v>
      </c>
      <c r="Y751">
        <v>5.6374750000000001E-2</v>
      </c>
      <c r="Z751">
        <v>-1.0054910000000001E-3</v>
      </c>
      <c r="AA751">
        <v>0.9984092</v>
      </c>
      <c r="AB751">
        <v>33</v>
      </c>
      <c r="AC751">
        <v>22.738600000000002</v>
      </c>
      <c r="AD751">
        <v>-1.1096660721930001</v>
      </c>
      <c r="AE751">
        <v>-1.4643000000000299</v>
      </c>
      <c r="AF751">
        <v>1.2933986610303501</v>
      </c>
      <c r="AG751">
        <v>-1.1096660721930001</v>
      </c>
      <c r="AH751">
        <v>22.6949606827183</v>
      </c>
      <c r="AI751">
        <v>92.794710050823895</v>
      </c>
      <c r="AJ751">
        <v>86.738209376739405</v>
      </c>
      <c r="AK751">
        <v>22.7588549641291</v>
      </c>
      <c r="AL751">
        <v>83.370107888505601</v>
      </c>
      <c r="AM751">
        <v>87.986777876347404</v>
      </c>
      <c r="AN751">
        <v>1.00000006010617</v>
      </c>
    </row>
    <row r="752" spans="1:40" x14ac:dyDescent="0.25">
      <c r="A752" t="str">
        <f>"20190312164007192"</f>
        <v>20190312164007192</v>
      </c>
      <c r="B752" t="str">
        <f>"1552380007187515"</f>
        <v>1552380007187515</v>
      </c>
      <c r="C752" t="s">
        <v>40</v>
      </c>
      <c r="D752">
        <v>5.3617920000000003</v>
      </c>
      <c r="E752">
        <v>0.51124619999999998</v>
      </c>
      <c r="F752" t="s">
        <v>41</v>
      </c>
      <c r="G752">
        <v>-321.46690000000001</v>
      </c>
      <c r="H752" s="1">
        <v>-4.1601189999999997E-6</v>
      </c>
      <c r="I752">
        <v>366.70119999999997</v>
      </c>
      <c r="J752">
        <v>-344.09530000000001</v>
      </c>
      <c r="K752">
        <v>1.109666</v>
      </c>
      <c r="L752">
        <v>368.1617</v>
      </c>
      <c r="M752">
        <v>0.99991529999999995</v>
      </c>
      <c r="N752">
        <v>0</v>
      </c>
      <c r="O752">
        <v>-7.4730830000000002E-3</v>
      </c>
      <c r="P752">
        <v>0.99349860000000001</v>
      </c>
      <c r="Q752">
        <v>0.1056744</v>
      </c>
      <c r="R752">
        <v>-4.2346469999999997E-2</v>
      </c>
      <c r="S752">
        <v>3.0266419999999998</v>
      </c>
      <c r="T752">
        <v>-0.14637939999999999</v>
      </c>
      <c r="U752">
        <v>-0.19296260000000001</v>
      </c>
      <c r="V752">
        <v>3.495036E-2</v>
      </c>
      <c r="W752">
        <v>0.1162435</v>
      </c>
      <c r="X752">
        <v>0.99260559999999998</v>
      </c>
      <c r="Y752">
        <v>5.6108770000000002E-2</v>
      </c>
      <c r="Z752">
        <v>-9.9380140000000002E-4</v>
      </c>
      <c r="AA752">
        <v>0.99842419999999998</v>
      </c>
      <c r="AB752">
        <v>33</v>
      </c>
      <c r="AC752">
        <v>22.628399999999999</v>
      </c>
      <c r="AD752">
        <v>-1.109670160119</v>
      </c>
      <c r="AE752">
        <v>-1.4605000000000199</v>
      </c>
      <c r="AF752">
        <v>1.28826053474945</v>
      </c>
      <c r="AG752">
        <v>-1.109670160119</v>
      </c>
      <c r="AH752">
        <v>22.584596840817301</v>
      </c>
      <c r="AI752">
        <v>92.808347316739798</v>
      </c>
      <c r="AJ752">
        <v>86.7352973745665</v>
      </c>
      <c r="AK752">
        <v>22.6485098302715</v>
      </c>
      <c r="AL752">
        <v>83.324646437924699</v>
      </c>
      <c r="AM752">
        <v>87.983407338184094</v>
      </c>
      <c r="AN752">
        <v>0.99999997805386898</v>
      </c>
    </row>
    <row r="753" spans="1:40" x14ac:dyDescent="0.25">
      <c r="A753" t="str">
        <f>"20190312164007213"</f>
        <v>20190312164007213</v>
      </c>
      <c r="B753" t="str">
        <f>"1552380007207035"</f>
        <v>1552380007207035</v>
      </c>
      <c r="C753" t="s">
        <v>40</v>
      </c>
      <c r="D753">
        <v>5.1327619999999996</v>
      </c>
      <c r="E753">
        <v>0.51127359999999999</v>
      </c>
      <c r="F753" t="s">
        <v>41</v>
      </c>
      <c r="G753">
        <v>-320.29250000000002</v>
      </c>
      <c r="H753" s="1">
        <v>-4.6759709999999996E-6</v>
      </c>
      <c r="I753">
        <v>366.63310000000001</v>
      </c>
      <c r="J753">
        <v>-343.76979999999998</v>
      </c>
      <c r="K753">
        <v>1.109672</v>
      </c>
      <c r="L753">
        <v>368.15910000000002</v>
      </c>
      <c r="M753">
        <v>0.99991450000000004</v>
      </c>
      <c r="N753">
        <v>0</v>
      </c>
      <c r="O753">
        <v>-7.5710229999999996E-3</v>
      </c>
      <c r="P753">
        <v>0.99347269999999999</v>
      </c>
      <c r="Q753">
        <v>0.105896</v>
      </c>
      <c r="R753">
        <v>-4.2399569999999998E-2</v>
      </c>
      <c r="S753">
        <v>3.0263979999999999</v>
      </c>
      <c r="T753">
        <v>-0.1410882</v>
      </c>
      <c r="U753">
        <v>-0.19433590000000001</v>
      </c>
      <c r="V753">
        <v>3.4906390000000002E-2</v>
      </c>
      <c r="W753">
        <v>0.11647929999999999</v>
      </c>
      <c r="X753">
        <v>0.99257949999999995</v>
      </c>
      <c r="Y753">
        <v>5.6471019999999997E-2</v>
      </c>
      <c r="Z753">
        <v>-9.6185400000000005E-4</v>
      </c>
      <c r="AA753">
        <v>0.99840379999999995</v>
      </c>
      <c r="AB753">
        <v>33</v>
      </c>
      <c r="AC753">
        <v>23.4772999999999</v>
      </c>
      <c r="AD753">
        <v>-1.1096766759709999</v>
      </c>
      <c r="AE753">
        <v>-1.52600000000001</v>
      </c>
      <c r="AF753">
        <v>1.34520633682725</v>
      </c>
      <c r="AG753">
        <v>-1.1096766759709999</v>
      </c>
      <c r="AH753">
        <v>23.436043618755601</v>
      </c>
      <c r="AI753">
        <v>92.706433551706098</v>
      </c>
      <c r="AJ753">
        <v>86.714882033322397</v>
      </c>
      <c r="AK753">
        <v>23.500831962167801</v>
      </c>
      <c r="AL753">
        <v>83.311043658592496</v>
      </c>
      <c r="AM753">
        <v>87.985889345949602</v>
      </c>
      <c r="AN753">
        <v>0.99999997360578496</v>
      </c>
    </row>
    <row r="754" spans="1:40" x14ac:dyDescent="0.25">
      <c r="A754" t="str">
        <f>"20190312164007226"</f>
        <v>20190312164007226</v>
      </c>
      <c r="B754" t="str">
        <f>"1552380007216795"</f>
        <v>1552380007216795</v>
      </c>
      <c r="C754" t="s">
        <v>40</v>
      </c>
      <c r="D754">
        <v>5.3899670000000004</v>
      </c>
      <c r="E754">
        <v>0.51132900000000003</v>
      </c>
      <c r="F754" t="s">
        <v>43</v>
      </c>
      <c r="G754">
        <v>-318.84769999999997</v>
      </c>
      <c r="H754">
        <v>-0.05</v>
      </c>
      <c r="I754">
        <v>366.55630000000002</v>
      </c>
      <c r="J754">
        <v>-343.58100000000002</v>
      </c>
      <c r="K754">
        <v>1.109675</v>
      </c>
      <c r="L754">
        <v>368.1576</v>
      </c>
      <c r="M754">
        <v>0.99991390000000002</v>
      </c>
      <c r="N754">
        <v>0</v>
      </c>
      <c r="O754">
        <v>-7.627923E-3</v>
      </c>
      <c r="P754">
        <v>0.99348689999999995</v>
      </c>
      <c r="Q754">
        <v>0.1057879</v>
      </c>
      <c r="R754">
        <v>-4.2340240000000001E-2</v>
      </c>
      <c r="S754">
        <v>3.0264280000000001</v>
      </c>
      <c r="T754">
        <v>-0.14082529999999999</v>
      </c>
      <c r="U754">
        <v>-0.19464110000000001</v>
      </c>
      <c r="V754">
        <v>3.4790160000000001E-2</v>
      </c>
      <c r="W754">
        <v>0.11637939999999899</v>
      </c>
      <c r="X754">
        <v>0.99259529999999996</v>
      </c>
      <c r="Y754">
        <v>5.6514050000000003E-2</v>
      </c>
      <c r="Z754">
        <v>-9.5840659999999996E-4</v>
      </c>
      <c r="AA754">
        <v>0.99840130000000005</v>
      </c>
      <c r="AB754">
        <v>33</v>
      </c>
      <c r="AC754">
        <v>24.7332999999999</v>
      </c>
      <c r="AD754">
        <v>-1.159675</v>
      </c>
      <c r="AE754">
        <v>-1.60129999999998</v>
      </c>
      <c r="AF754">
        <v>1.4094932363649699</v>
      </c>
      <c r="AG754">
        <v>-1.159675</v>
      </c>
      <c r="AH754">
        <v>24.690741868478099</v>
      </c>
      <c r="AI754">
        <v>92.684727980580803</v>
      </c>
      <c r="AJ754">
        <v>86.732764834925504</v>
      </c>
      <c r="AK754">
        <v>24.758114857654199</v>
      </c>
      <c r="AL754">
        <v>83.316806709595397</v>
      </c>
      <c r="AM754">
        <v>87.992622288247603</v>
      </c>
      <c r="AN754">
        <v>0.99999997477963698</v>
      </c>
    </row>
    <row r="755" spans="1:40" x14ac:dyDescent="0.25">
      <c r="A755" t="str">
        <f>"20190312164007239"</f>
        <v>20190312164007239</v>
      </c>
      <c r="B755" t="str">
        <f>"1552380007226555"</f>
        <v>1552380007226555</v>
      </c>
      <c r="C755" t="s">
        <v>40</v>
      </c>
      <c r="D755">
        <v>5.5152539999999997</v>
      </c>
      <c r="E755">
        <v>0.51137979999999905</v>
      </c>
      <c r="F755" t="s">
        <v>43</v>
      </c>
      <c r="G755">
        <v>-318.5061</v>
      </c>
      <c r="H755">
        <v>-0.05</v>
      </c>
      <c r="I755">
        <v>366.54239999999999</v>
      </c>
      <c r="J755">
        <v>-343.40089999999998</v>
      </c>
      <c r="K755">
        <v>1.109666</v>
      </c>
      <c r="L755">
        <v>368.15620000000001</v>
      </c>
      <c r="M755">
        <v>0.99991359999999996</v>
      </c>
      <c r="N755">
        <v>0</v>
      </c>
      <c r="O755">
        <v>-7.6821969999999896E-3</v>
      </c>
      <c r="P755">
        <v>0.9934847</v>
      </c>
      <c r="Q755">
        <v>0.1058721</v>
      </c>
      <c r="R755">
        <v>-4.2185269999999997E-2</v>
      </c>
      <c r="S755">
        <v>3.0262449999999999</v>
      </c>
      <c r="T755">
        <v>-0.1399591</v>
      </c>
      <c r="U755">
        <v>-0.19494629999999999</v>
      </c>
      <c r="V755">
        <v>3.4581090000000002E-2</v>
      </c>
      <c r="W755">
        <v>0.1164708</v>
      </c>
      <c r="X755">
        <v>0.99259189999999997</v>
      </c>
      <c r="Y755">
        <v>5.6564639999999999E-2</v>
      </c>
      <c r="Z755">
        <v>-9.5123449999999997E-4</v>
      </c>
      <c r="AA755">
        <v>0.99839849999999997</v>
      </c>
      <c r="AB755">
        <v>33</v>
      </c>
      <c r="AC755">
        <v>24.894799999999901</v>
      </c>
      <c r="AD755">
        <v>-1.1596660000000001</v>
      </c>
      <c r="AE755">
        <v>-1.6138000000000201</v>
      </c>
      <c r="AF755">
        <v>1.41942754579842</v>
      </c>
      <c r="AG755">
        <v>-1.1596660000000001</v>
      </c>
      <c r="AH755">
        <v>24.852760115551099</v>
      </c>
      <c r="AI755">
        <v>92.667226411154402</v>
      </c>
      <c r="AJ755">
        <v>86.731189953155905</v>
      </c>
      <c r="AK755">
        <v>24.920258528965</v>
      </c>
      <c r="AL755">
        <v>83.311534116991297</v>
      </c>
      <c r="AM755">
        <v>88.004668930333395</v>
      </c>
      <c r="AN755">
        <v>0.99999998949191904</v>
      </c>
    </row>
    <row r="756" spans="1:40" x14ac:dyDescent="0.25">
      <c r="A756" t="str">
        <f>"20190312164007251"</f>
        <v>20190312164007251</v>
      </c>
      <c r="B756" t="str">
        <f>"1552380007247051"</f>
        <v>1552380007247051</v>
      </c>
      <c r="C756" t="s">
        <v>40</v>
      </c>
      <c r="D756">
        <v>5.3586479999999996</v>
      </c>
      <c r="E756">
        <v>0.51138450000000002</v>
      </c>
      <c r="F756" t="s">
        <v>43</v>
      </c>
      <c r="G756">
        <v>-318.11779999999999</v>
      </c>
      <c r="H756">
        <v>-0.05</v>
      </c>
      <c r="I756">
        <v>366.5256</v>
      </c>
      <c r="J756">
        <v>-343.2106</v>
      </c>
      <c r="K756">
        <v>1.1096649999999999</v>
      </c>
      <c r="L756">
        <v>368.15469999999999</v>
      </c>
      <c r="M756">
        <v>0.99991300000000005</v>
      </c>
      <c r="N756">
        <v>0</v>
      </c>
      <c r="O756">
        <v>-7.7389769999999898E-3</v>
      </c>
      <c r="P756">
        <v>0.99348619999999999</v>
      </c>
      <c r="Q756">
        <v>0.10585509999999999</v>
      </c>
      <c r="R756">
        <v>-4.2192630000000002E-2</v>
      </c>
      <c r="S756">
        <v>3.0261840000000002</v>
      </c>
      <c r="T756">
        <v>-0.1388026</v>
      </c>
      <c r="U756">
        <v>-0.1951599</v>
      </c>
      <c r="V756">
        <v>3.4531880000000001E-2</v>
      </c>
      <c r="W756">
        <v>0.1164613</v>
      </c>
      <c r="X756">
        <v>0.99259470000000005</v>
      </c>
      <c r="Y756">
        <v>5.6580320000000003E-2</v>
      </c>
      <c r="Z756">
        <v>-9.4115880000000005E-4</v>
      </c>
      <c r="AA756">
        <v>0.9983976</v>
      </c>
      <c r="AB756">
        <v>33</v>
      </c>
      <c r="AC756">
        <v>25.0928</v>
      </c>
      <c r="AD756">
        <v>-1.1596649999999999</v>
      </c>
      <c r="AE756">
        <v>-1.62909999999999</v>
      </c>
      <c r="AF756">
        <v>1.43180227539375</v>
      </c>
      <c r="AG756">
        <v>-1.1596649999999999</v>
      </c>
      <c r="AH756">
        <v>25.051375841966198</v>
      </c>
      <c r="AI756">
        <v>92.646101447932296</v>
      </c>
      <c r="AJ756">
        <v>86.728839377090907</v>
      </c>
      <c r="AK756">
        <v>25.119042821005301</v>
      </c>
      <c r="AL756">
        <v>83.312081970450393</v>
      </c>
      <c r="AM756">
        <v>88.0075116762128</v>
      </c>
      <c r="AN756">
        <v>0.99999996180105599</v>
      </c>
    </row>
    <row r="757" spans="1:40" x14ac:dyDescent="0.25">
      <c r="A757" t="str">
        <f>"20190312164007267"</f>
        <v>20190312164007267</v>
      </c>
      <c r="B757" t="str">
        <f>"1552380007256811"</f>
        <v>1552380007256811</v>
      </c>
      <c r="C757" t="s">
        <v>40</v>
      </c>
      <c r="D757">
        <v>5.5738849999999998</v>
      </c>
      <c r="E757">
        <v>0.51134840000000004</v>
      </c>
      <c r="F757" t="s">
        <v>43</v>
      </c>
      <c r="G757">
        <v>-317.60520000000002</v>
      </c>
      <c r="H757">
        <v>-0.05</v>
      </c>
      <c r="I757">
        <v>366.50380000000001</v>
      </c>
      <c r="J757">
        <v>-342.9796</v>
      </c>
      <c r="K757">
        <v>1.1096710000000001</v>
      </c>
      <c r="L757">
        <v>368.15280000000001</v>
      </c>
      <c r="M757">
        <v>0.99991240000000003</v>
      </c>
      <c r="N757">
        <v>0</v>
      </c>
      <c r="O757">
        <v>-7.8064839999999998E-3</v>
      </c>
      <c r="P757">
        <v>0.99347379999999996</v>
      </c>
      <c r="Q757">
        <v>0.1059621</v>
      </c>
      <c r="R757">
        <v>-4.221627E-2</v>
      </c>
      <c r="S757">
        <v>3.0260009999999999</v>
      </c>
      <c r="T757">
        <v>-0.13704710000000001</v>
      </c>
      <c r="U757">
        <v>-0.19509889999999999</v>
      </c>
      <c r="V757">
        <v>3.4488360000000003E-2</v>
      </c>
      <c r="W757">
        <v>0.1165769</v>
      </c>
      <c r="X757">
        <v>0.99258270000000004</v>
      </c>
      <c r="Y757">
        <v>5.6498159999999999E-2</v>
      </c>
      <c r="Z757">
        <v>-9.244136E-4</v>
      </c>
      <c r="AA757">
        <v>0.99840229999999996</v>
      </c>
      <c r="AB757">
        <v>33</v>
      </c>
      <c r="AC757">
        <v>25.374399999999898</v>
      </c>
      <c r="AD757">
        <v>-1.1596709999999999</v>
      </c>
      <c r="AE757">
        <v>-1.649</v>
      </c>
      <c r="AF757">
        <v>1.44784217955586</v>
      </c>
      <c r="AG757">
        <v>-1.1596709999999999</v>
      </c>
      <c r="AH757">
        <v>25.333807925300398</v>
      </c>
      <c r="AI757">
        <v>92.616656934134298</v>
      </c>
      <c r="AJ757">
        <v>86.729070211706798</v>
      </c>
      <c r="AK757">
        <v>25.4016319909008</v>
      </c>
      <c r="AL757">
        <v>83.305413534174605</v>
      </c>
      <c r="AM757">
        <v>88.009996719708596</v>
      </c>
      <c r="AN757">
        <v>1.00000001846419</v>
      </c>
    </row>
    <row r="758" spans="1:40" x14ac:dyDescent="0.25">
      <c r="A758" t="str">
        <f>"20190312164007290"</f>
        <v>20190312164007290</v>
      </c>
      <c r="B758" t="str">
        <f>"1552380007287067"</f>
        <v>1552380007287067</v>
      </c>
      <c r="C758" t="s">
        <v>40</v>
      </c>
      <c r="D758">
        <v>5.3133879999999998</v>
      </c>
      <c r="E758">
        <v>0.51131800000000005</v>
      </c>
      <c r="F758" t="s">
        <v>43</v>
      </c>
      <c r="G758">
        <v>-317.27140000000003</v>
      </c>
      <c r="H758">
        <v>-0.05</v>
      </c>
      <c r="I758">
        <v>366.49900000000002</v>
      </c>
      <c r="J758">
        <v>-342.6465</v>
      </c>
      <c r="K758">
        <v>1.109674</v>
      </c>
      <c r="L758">
        <v>368.15010000000001</v>
      </c>
      <c r="M758">
        <v>0.99991149999999995</v>
      </c>
      <c r="N758">
        <v>0</v>
      </c>
      <c r="O758">
        <v>-7.8991340000000004E-3</v>
      </c>
      <c r="P758">
        <v>0.99341270000000004</v>
      </c>
      <c r="Q758">
        <v>0.1064145</v>
      </c>
      <c r="R758">
        <v>-4.2512670000000002E-2</v>
      </c>
      <c r="S758">
        <v>3.0260009999999999</v>
      </c>
      <c r="T758">
        <v>-0.13650000000000001</v>
      </c>
      <c r="U758">
        <v>-0.1946716</v>
      </c>
      <c r="V758">
        <v>3.469262E-2</v>
      </c>
      <c r="W758">
        <v>0.11703959999999999</v>
      </c>
      <c r="X758">
        <v>0.99252110000000004</v>
      </c>
      <c r="Y758">
        <v>5.6265990000000002E-2</v>
      </c>
      <c r="Z758">
        <v>-9.1133070000000004E-4</v>
      </c>
      <c r="AA758">
        <v>0.99841539999999995</v>
      </c>
      <c r="AB758">
        <v>33</v>
      </c>
      <c r="AC758">
        <v>25.3750999999999</v>
      </c>
      <c r="AD758">
        <v>-1.1596739999999901</v>
      </c>
      <c r="AE758">
        <v>-1.65109999999998</v>
      </c>
      <c r="AF758">
        <v>1.44758499438676</v>
      </c>
      <c r="AG758">
        <v>-1.1596739999999901</v>
      </c>
      <c r="AH758">
        <v>25.3346602333528</v>
      </c>
      <c r="AI758">
        <v>92.616577583458394</v>
      </c>
      <c r="AJ758">
        <v>86.729759759166498</v>
      </c>
      <c r="AK758">
        <v>25.402467503013899</v>
      </c>
      <c r="AL758">
        <v>83.278719853705496</v>
      </c>
      <c r="AM758">
        <v>87.998096192870705</v>
      </c>
      <c r="AN758">
        <v>0.99999998989791705</v>
      </c>
    </row>
    <row r="759" spans="1:40" x14ac:dyDescent="0.25">
      <c r="A759" t="str">
        <f>"20190312164007303"</f>
        <v>20190312164007303</v>
      </c>
      <c r="B759" t="str">
        <f>"1552380007296827"</f>
        <v>1552380007296827</v>
      </c>
      <c r="C759" t="s">
        <v>40</v>
      </c>
      <c r="D759">
        <v>5.4527299999999999</v>
      </c>
      <c r="E759">
        <v>0.51132169999999999</v>
      </c>
      <c r="F759" t="s">
        <v>43</v>
      </c>
      <c r="G759">
        <v>-316.2441</v>
      </c>
      <c r="H759">
        <v>-0.05</v>
      </c>
      <c r="I759">
        <v>366.44639999999998</v>
      </c>
      <c r="J759">
        <v>-342.45249999999999</v>
      </c>
      <c r="K759">
        <v>1.109677</v>
      </c>
      <c r="L759">
        <v>368.14850000000001</v>
      </c>
      <c r="M759">
        <v>0.99991110000000005</v>
      </c>
      <c r="N759">
        <v>0</v>
      </c>
      <c r="O759">
        <v>-7.949078E-3</v>
      </c>
      <c r="P759">
        <v>0.99337390000000003</v>
      </c>
      <c r="Q759">
        <v>0.1067328</v>
      </c>
      <c r="R759">
        <v>-4.2621529999999998E-2</v>
      </c>
      <c r="S759">
        <v>3.0258180000000001</v>
      </c>
      <c r="T759">
        <v>-0.1329033</v>
      </c>
      <c r="U759">
        <v>-0.19525149999999999</v>
      </c>
      <c r="V759">
        <v>3.4751480000000001E-2</v>
      </c>
      <c r="W759">
        <v>0.117364</v>
      </c>
      <c r="X759">
        <v>0.99248080000000005</v>
      </c>
      <c r="Y759">
        <v>5.641297E-2</v>
      </c>
      <c r="Z759">
        <v>-8.8842199999999896E-4</v>
      </c>
      <c r="AA759">
        <v>0.99840709999999999</v>
      </c>
      <c r="AB759">
        <v>33</v>
      </c>
      <c r="AC759">
        <v>26.208399999999902</v>
      </c>
      <c r="AD759">
        <v>-1.1596770000000001</v>
      </c>
      <c r="AE759">
        <v>-1.7021000000000299</v>
      </c>
      <c r="AF759">
        <v>1.4907950767600699</v>
      </c>
      <c r="AG759">
        <v>-1.1596770000000001</v>
      </c>
      <c r="AH759">
        <v>26.170079274622601</v>
      </c>
      <c r="AI759">
        <v>92.533191430483001</v>
      </c>
      <c r="AJ759">
        <v>86.739633445190506</v>
      </c>
      <c r="AK759">
        <v>26.238147227753199</v>
      </c>
      <c r="AL759">
        <v>83.260004564298995</v>
      </c>
      <c r="AM759">
        <v>87.994621145301906</v>
      </c>
      <c r="AN759">
        <v>1.0000000561134099</v>
      </c>
    </row>
    <row r="760" spans="1:40" x14ac:dyDescent="0.25">
      <c r="A760" t="str">
        <f>"20190312164007314"</f>
        <v>20190312164007314</v>
      </c>
      <c r="B760" t="str">
        <f>"1552380007306588"</f>
        <v>1552380007306588</v>
      </c>
      <c r="C760" t="s">
        <v>40</v>
      </c>
      <c r="D760">
        <v>5.2279689999999999</v>
      </c>
      <c r="E760">
        <v>0.51130629999999999</v>
      </c>
      <c r="F760" t="s">
        <v>43</v>
      </c>
      <c r="G760">
        <v>-315.87099999999998</v>
      </c>
      <c r="H760">
        <v>-0.05</v>
      </c>
      <c r="I760">
        <v>366.43220000000002</v>
      </c>
      <c r="J760">
        <v>-342.28109999999998</v>
      </c>
      <c r="K760">
        <v>1.1096809999999999</v>
      </c>
      <c r="L760">
        <v>368.14710000000002</v>
      </c>
      <c r="M760">
        <v>0.99991059999999998</v>
      </c>
      <c r="N760">
        <v>0</v>
      </c>
      <c r="O760">
        <v>-7.9903040000000002E-3</v>
      </c>
      <c r="P760">
        <v>0.99335150000000005</v>
      </c>
      <c r="Q760">
        <v>0.1068363</v>
      </c>
      <c r="R760">
        <v>-4.2884730000000003E-2</v>
      </c>
      <c r="S760">
        <v>3.0258180000000001</v>
      </c>
      <c r="T760">
        <v>-0.13200819999999999</v>
      </c>
      <c r="U760">
        <v>-0.19537350000000001</v>
      </c>
      <c r="V760">
        <v>3.4972660000000003E-2</v>
      </c>
      <c r="W760">
        <v>0.11747290000000001</v>
      </c>
      <c r="X760">
        <v>0.99246009999999996</v>
      </c>
      <c r="Y760">
        <v>5.6412579999999997E-2</v>
      </c>
      <c r="Z760">
        <v>-8.8063859999999998E-4</v>
      </c>
      <c r="AA760">
        <v>0.99840709999999999</v>
      </c>
      <c r="AB760">
        <v>33</v>
      </c>
      <c r="AC760">
        <v>26.4101</v>
      </c>
      <c r="AD760">
        <v>-1.159681</v>
      </c>
      <c r="AE760">
        <v>-1.7149000000000001</v>
      </c>
      <c r="AF760">
        <v>1.5009265567161001</v>
      </c>
      <c r="AG760">
        <v>-1.159681</v>
      </c>
      <c r="AH760">
        <v>26.372324323210599</v>
      </c>
      <c r="AI760">
        <v>92.513805982521404</v>
      </c>
      <c r="AJ760">
        <v>86.742642558538407</v>
      </c>
      <c r="AK760">
        <v>26.440444980352002</v>
      </c>
      <c r="AL760">
        <v>83.253721276977103</v>
      </c>
      <c r="AM760">
        <v>87.981826131830999</v>
      </c>
      <c r="AN760">
        <v>1.0000000096369399</v>
      </c>
    </row>
    <row r="761" spans="1:40" x14ac:dyDescent="0.25">
      <c r="A761" t="str">
        <f>"20190312164007326"</f>
        <v>20190312164007326</v>
      </c>
      <c r="B761" t="str">
        <f>"1552380007317322"</f>
        <v>1552380007317322</v>
      </c>
      <c r="C761" t="s">
        <v>40</v>
      </c>
      <c r="D761">
        <v>5.1611289999999999</v>
      </c>
      <c r="E761">
        <v>0.51126099999999997</v>
      </c>
      <c r="F761" t="s">
        <v>43</v>
      </c>
      <c r="G761">
        <v>-315.58330000000001</v>
      </c>
      <c r="H761">
        <v>-0.05</v>
      </c>
      <c r="I761">
        <v>366.41969999999998</v>
      </c>
      <c r="J761">
        <v>-342.12</v>
      </c>
      <c r="K761">
        <v>1.109683</v>
      </c>
      <c r="L761">
        <v>368.14580000000001</v>
      </c>
      <c r="M761">
        <v>0.99991039999999998</v>
      </c>
      <c r="N761">
        <v>0</v>
      </c>
      <c r="O761">
        <v>-8.0244779999999998E-3</v>
      </c>
      <c r="P761">
        <v>0.99331360000000002</v>
      </c>
      <c r="Q761">
        <v>0.10699019999999999</v>
      </c>
      <c r="R761">
        <v>-4.3373620000000002E-2</v>
      </c>
      <c r="S761">
        <v>3.0257260000000001</v>
      </c>
      <c r="T761">
        <v>-0.131429399999999</v>
      </c>
      <c r="U761">
        <v>-0.19577030000000001</v>
      </c>
      <c r="V761">
        <v>3.5426840000000001E-2</v>
      </c>
      <c r="W761">
        <v>0.117631</v>
      </c>
      <c r="X761">
        <v>0.99242529999999995</v>
      </c>
      <c r="Y761">
        <v>5.6511100000000002E-2</v>
      </c>
      <c r="Z761">
        <v>-8.7745849999999997E-4</v>
      </c>
      <c r="AA761">
        <v>0.9984016</v>
      </c>
      <c r="AB761">
        <v>33</v>
      </c>
      <c r="AC761">
        <v>26.5367</v>
      </c>
      <c r="AD761">
        <v>-1.159683</v>
      </c>
      <c r="AE761">
        <v>-1.7261000000000299</v>
      </c>
      <c r="AF761">
        <v>1.5102169895808499</v>
      </c>
      <c r="AG761">
        <v>-1.159683</v>
      </c>
      <c r="AH761">
        <v>26.499302571256798</v>
      </c>
      <c r="AI761">
        <v>92.501769036501102</v>
      </c>
      <c r="AJ761">
        <v>86.738194872506696</v>
      </c>
      <c r="AK761">
        <v>26.567624221580701</v>
      </c>
      <c r="AL761">
        <v>83.244599808508994</v>
      </c>
      <c r="AM761">
        <v>87.955567152393002</v>
      </c>
      <c r="AN761">
        <v>1.0000000446167301</v>
      </c>
    </row>
    <row r="762" spans="1:40" x14ac:dyDescent="0.25">
      <c r="A762" t="str">
        <f>"20190312164007346"</f>
        <v>20190312164007346</v>
      </c>
      <c r="B762" t="str">
        <f>"1552380007336843"</f>
        <v>1552380007336843</v>
      </c>
      <c r="C762" t="s">
        <v>40</v>
      </c>
      <c r="D762">
        <v>5.4646520000000001</v>
      </c>
      <c r="E762">
        <v>0.51124219999999998</v>
      </c>
      <c r="F762" t="s">
        <v>43</v>
      </c>
      <c r="G762">
        <v>-315.51010000000002</v>
      </c>
      <c r="H762">
        <v>-0.05</v>
      </c>
      <c r="I762">
        <v>366.41550000000001</v>
      </c>
      <c r="J762">
        <v>-341.82549999999998</v>
      </c>
      <c r="K762">
        <v>1.109693</v>
      </c>
      <c r="L762">
        <v>368.14339999999999</v>
      </c>
      <c r="M762">
        <v>0.99990990000000002</v>
      </c>
      <c r="N762">
        <v>0</v>
      </c>
      <c r="O762">
        <v>-8.0776619999999993E-3</v>
      </c>
      <c r="P762">
        <v>0.99327580000000004</v>
      </c>
      <c r="Q762">
        <v>0.1070825</v>
      </c>
      <c r="R762">
        <v>-4.400424E-2</v>
      </c>
      <c r="S762">
        <v>3.0258180000000001</v>
      </c>
      <c r="T762">
        <v>-0.13186800000000001</v>
      </c>
      <c r="U762">
        <v>-0.1967468</v>
      </c>
      <c r="V762">
        <v>3.6001829999999999E-2</v>
      </c>
      <c r="W762">
        <v>0.1177314</v>
      </c>
      <c r="X762">
        <v>0.99239270000000002</v>
      </c>
      <c r="Y762">
        <v>5.6776420000000001E-2</v>
      </c>
      <c r="Z762">
        <v>-8.8380659999999999E-4</v>
      </c>
      <c r="AA762">
        <v>0.99838649999999995</v>
      </c>
      <c r="AB762">
        <v>33</v>
      </c>
      <c r="AC762">
        <v>26.315399999999901</v>
      </c>
      <c r="AD762">
        <v>-1.1596930000000001</v>
      </c>
      <c r="AE762">
        <v>-1.72789999999997</v>
      </c>
      <c r="AF762">
        <v>1.51234002678257</v>
      </c>
      <c r="AG762">
        <v>-1.1596930000000001</v>
      </c>
      <c r="AH762">
        <v>26.2776853893461</v>
      </c>
      <c r="AI762">
        <v>92.522781946996503</v>
      </c>
      <c r="AJ762">
        <v>86.706132249365297</v>
      </c>
      <c r="AK762">
        <v>26.346703961450501</v>
      </c>
      <c r="AL762">
        <v>83.238807047888599</v>
      </c>
      <c r="AM762">
        <v>87.922345950120501</v>
      </c>
      <c r="AN762">
        <v>1.0000000426612901</v>
      </c>
    </row>
    <row r="763" spans="1:40" x14ac:dyDescent="0.25">
      <c r="A763" t="str">
        <f>"20190312164007358"</f>
        <v>20190312164007358</v>
      </c>
      <c r="B763" t="str">
        <f>"1552380007346603"</f>
        <v>1552380007346603</v>
      </c>
      <c r="C763" t="s">
        <v>40</v>
      </c>
      <c r="D763">
        <v>5.2291629999999998</v>
      </c>
      <c r="E763">
        <v>0.51124219999999998</v>
      </c>
      <c r="F763" t="s">
        <v>43</v>
      </c>
      <c r="G763">
        <v>-315.00490000000002</v>
      </c>
      <c r="H763">
        <v>-0.05</v>
      </c>
      <c r="I763">
        <v>366.38229999999999</v>
      </c>
      <c r="J763">
        <v>-341.64949999999999</v>
      </c>
      <c r="K763">
        <v>1.109702</v>
      </c>
      <c r="L763">
        <v>368.14190000000002</v>
      </c>
      <c r="M763">
        <v>0.99990959999999995</v>
      </c>
      <c r="N763">
        <v>0</v>
      </c>
      <c r="O763">
        <v>-8.1040490000000003E-3</v>
      </c>
      <c r="P763">
        <v>0.99329129999999999</v>
      </c>
      <c r="Q763">
        <v>0.1067502</v>
      </c>
      <c r="R763">
        <v>-4.4464440000000001E-2</v>
      </c>
      <c r="S763">
        <v>3.025604</v>
      </c>
      <c r="T763">
        <v>-0.13082369999999999</v>
      </c>
      <c r="U763">
        <v>-0.1986694</v>
      </c>
      <c r="V763">
        <v>3.643333E-2</v>
      </c>
      <c r="W763">
        <v>0.1174047</v>
      </c>
      <c r="X763">
        <v>0.99241559999999995</v>
      </c>
      <c r="Y763">
        <v>5.7386529999999998E-2</v>
      </c>
      <c r="Z763">
        <v>-8.8888879999999995E-4</v>
      </c>
      <c r="AA763">
        <v>0.99835160000000001</v>
      </c>
      <c r="AB763">
        <v>33</v>
      </c>
      <c r="AC763">
        <v>26.644599999999901</v>
      </c>
      <c r="AD763">
        <v>-1.159702</v>
      </c>
      <c r="AE763">
        <v>-1.75960000000003</v>
      </c>
      <c r="AF763">
        <v>1.5406946012557801</v>
      </c>
      <c r="AG763">
        <v>-1.159702</v>
      </c>
      <c r="AH763">
        <v>26.607798389889801</v>
      </c>
      <c r="AI763">
        <v>92.4914913941126</v>
      </c>
      <c r="AJ763">
        <v>86.686052837635998</v>
      </c>
      <c r="AK763">
        <v>26.677585792949198</v>
      </c>
      <c r="AL763">
        <v>83.257655924922005</v>
      </c>
      <c r="AM763">
        <v>87.897514913141407</v>
      </c>
      <c r="AN763">
        <v>0.99999998712016902</v>
      </c>
    </row>
    <row r="764" spans="1:40" x14ac:dyDescent="0.25">
      <c r="A764" t="str">
        <f>"20190312164007370"</f>
        <v>20190312164007370</v>
      </c>
      <c r="B764" t="str">
        <f>"1552380007357338"</f>
        <v>1552380007357338</v>
      </c>
      <c r="C764" t="s">
        <v>40</v>
      </c>
      <c r="D764">
        <v>6.1363719999999997</v>
      </c>
      <c r="E764">
        <v>0.51082510000000003</v>
      </c>
      <c r="F764" t="s">
        <v>43</v>
      </c>
      <c r="G764">
        <v>-315.0335</v>
      </c>
      <c r="H764">
        <v>-0.05</v>
      </c>
      <c r="I764">
        <v>366.3845</v>
      </c>
      <c r="J764">
        <v>-341.48090000000002</v>
      </c>
      <c r="K764">
        <v>1.1097090000000001</v>
      </c>
      <c r="L764">
        <v>368.14049999999997</v>
      </c>
      <c r="M764">
        <v>0.99990950000000001</v>
      </c>
      <c r="N764">
        <v>0</v>
      </c>
      <c r="O764">
        <v>-8.1212490000000005E-3</v>
      </c>
      <c r="P764">
        <v>0.99327840000000001</v>
      </c>
      <c r="Q764">
        <v>0.10681789999999899</v>
      </c>
      <c r="R764">
        <v>-4.4591550000000001E-2</v>
      </c>
      <c r="S764">
        <v>3.0254819999999998</v>
      </c>
      <c r="T764">
        <v>-0.13182489999999999</v>
      </c>
      <c r="U764">
        <v>-0.1997681</v>
      </c>
      <c r="V764">
        <v>3.6541049999999999E-2</v>
      </c>
      <c r="W764">
        <v>0.1174771</v>
      </c>
      <c r="X764">
        <v>0.99240309999999998</v>
      </c>
      <c r="Y764">
        <v>5.7731949999999997E-2</v>
      </c>
      <c r="Z764">
        <v>-9.0247570000000004E-4</v>
      </c>
      <c r="AA764">
        <v>0.99833170000000004</v>
      </c>
      <c r="AB764">
        <v>33</v>
      </c>
      <c r="AC764">
        <v>26.447399999999998</v>
      </c>
      <c r="AD764">
        <v>-1.1597090000000001</v>
      </c>
      <c r="AE764">
        <v>-1.75599999999997</v>
      </c>
      <c r="AF764">
        <v>1.5381991538612101</v>
      </c>
      <c r="AG764">
        <v>-1.1597090000000001</v>
      </c>
      <c r="AH764">
        <v>26.4102309816477</v>
      </c>
      <c r="AI764">
        <v>92.510071772686601</v>
      </c>
      <c r="AJ764">
        <v>86.666713442327605</v>
      </c>
      <c r="AK764">
        <v>26.480394296641499</v>
      </c>
      <c r="AL764">
        <v>83.253478994036499</v>
      </c>
      <c r="AM764">
        <v>87.891277702599496</v>
      </c>
      <c r="AN764">
        <v>1.00000001512456</v>
      </c>
    </row>
    <row r="765" spans="1:40" x14ac:dyDescent="0.25">
      <c r="A765" t="str">
        <f>"20190312164007381"</f>
        <v>20190312164007381</v>
      </c>
      <c r="B765" t="str">
        <f>"1552380007376858"</f>
        <v>1552380007376858</v>
      </c>
      <c r="C765" t="s">
        <v>40</v>
      </c>
      <c r="D765">
        <v>5.0774540000000004</v>
      </c>
      <c r="E765">
        <v>0.50912239999999997</v>
      </c>
      <c r="F765" t="s">
        <v>43</v>
      </c>
      <c r="G765">
        <v>-312.99239999999998</v>
      </c>
      <c r="H765">
        <v>-0.05</v>
      </c>
      <c r="I765">
        <v>366.27940000000001</v>
      </c>
      <c r="J765">
        <v>-341.30810000000002</v>
      </c>
      <c r="K765">
        <v>1.1097170000000001</v>
      </c>
      <c r="L765">
        <v>368.13909999999998</v>
      </c>
      <c r="M765">
        <v>0.9999091</v>
      </c>
      <c r="N765">
        <v>0</v>
      </c>
      <c r="O765">
        <v>-8.1369019999999997E-3</v>
      </c>
      <c r="P765">
        <v>0.99328559999999999</v>
      </c>
      <c r="Q765">
        <v>0.1065152</v>
      </c>
      <c r="R765">
        <v>-4.51475E-2</v>
      </c>
      <c r="S765">
        <v>3.024689</v>
      </c>
      <c r="T765">
        <v>-0.12312910000000001</v>
      </c>
      <c r="U765">
        <v>-0.19760130000000001</v>
      </c>
      <c r="V765">
        <v>3.7079210000000001E-2</v>
      </c>
      <c r="W765">
        <v>0.1171788</v>
      </c>
      <c r="X765">
        <v>0.99241840000000003</v>
      </c>
      <c r="Y765">
        <v>5.7027969999999997E-2</v>
      </c>
      <c r="Z765">
        <v>-8.2829179999999896E-4</v>
      </c>
      <c r="AA765">
        <v>0.99837229999999999</v>
      </c>
      <c r="AB765">
        <v>33</v>
      </c>
      <c r="AC765">
        <v>28.3157</v>
      </c>
      <c r="AD765">
        <v>-1.1597170000000001</v>
      </c>
      <c r="AE765">
        <v>-1.8596999999999699</v>
      </c>
      <c r="AF765">
        <v>1.62650637106254</v>
      </c>
      <c r="AG765">
        <v>-1.1597170000000001</v>
      </c>
      <c r="AH765">
        <v>28.282656606882099</v>
      </c>
      <c r="AI765">
        <v>92.344202086318106</v>
      </c>
      <c r="AJ765">
        <v>86.708604224722507</v>
      </c>
      <c r="AK765">
        <v>28.353115018248101</v>
      </c>
      <c r="AL765">
        <v>83.2706891559925</v>
      </c>
      <c r="AM765">
        <v>87.860283014187601</v>
      </c>
      <c r="AN765">
        <v>1.0000000098211099</v>
      </c>
    </row>
    <row r="766" spans="1:40" x14ac:dyDescent="0.25">
      <c r="A766" t="str">
        <f>"20190312164007395"</f>
        <v>20190312164007395</v>
      </c>
      <c r="B766" t="str">
        <f>"1552380007386619"</f>
        <v>1552380007386619</v>
      </c>
      <c r="C766" t="s">
        <v>40</v>
      </c>
      <c r="D766">
        <v>5.0724859999999996</v>
      </c>
      <c r="E766">
        <v>0.50831029999999999</v>
      </c>
      <c r="F766" t="s">
        <v>43</v>
      </c>
      <c r="G766">
        <v>-313.37400000000002</v>
      </c>
      <c r="H766">
        <v>-0.05</v>
      </c>
      <c r="I766">
        <v>366.42959999999999</v>
      </c>
      <c r="J766">
        <v>-341.10210000000001</v>
      </c>
      <c r="K766">
        <v>1.1097269999999999</v>
      </c>
      <c r="L766">
        <v>368.13749999999999</v>
      </c>
      <c r="M766">
        <v>0.9999091</v>
      </c>
      <c r="N766">
        <v>0</v>
      </c>
      <c r="O766">
        <v>-8.1502829999999995E-3</v>
      </c>
      <c r="P766">
        <v>0.99325289999999999</v>
      </c>
      <c r="Q766">
        <v>0.1067221</v>
      </c>
      <c r="R766">
        <v>-4.5381039999999997E-2</v>
      </c>
      <c r="S766">
        <v>3.02536</v>
      </c>
      <c r="T766">
        <v>-0.1256013</v>
      </c>
      <c r="U766">
        <v>-0.18515010000000001</v>
      </c>
      <c r="V766">
        <v>3.7297219999999999E-2</v>
      </c>
      <c r="W766">
        <v>0.117391</v>
      </c>
      <c r="X766">
        <v>0.99238510000000002</v>
      </c>
      <c r="Y766">
        <v>5.2909119999999997E-2</v>
      </c>
      <c r="Z766">
        <v>-7.5889109999999996E-4</v>
      </c>
      <c r="AA766">
        <v>0.99859909999999996</v>
      </c>
      <c r="AB766">
        <v>33</v>
      </c>
      <c r="AC766">
        <v>27.728099999999898</v>
      </c>
      <c r="AD766">
        <v>-1.159727</v>
      </c>
      <c r="AE766">
        <v>-1.70789999999999</v>
      </c>
      <c r="AF766">
        <v>1.4792604364619399</v>
      </c>
      <c r="AG766">
        <v>-1.159727</v>
      </c>
      <c r="AH766">
        <v>27.692838831293798</v>
      </c>
      <c r="AI766">
        <v>92.3946345056697</v>
      </c>
      <c r="AJ766">
        <v>86.942353727878498</v>
      </c>
      <c r="AK766">
        <v>27.756557796121299</v>
      </c>
      <c r="AL766">
        <v>83.258446146341001</v>
      </c>
      <c r="AM766">
        <v>87.847642031380005</v>
      </c>
      <c r="AN766">
        <v>0.99999995810136799</v>
      </c>
    </row>
    <row r="767" spans="1:40" x14ac:dyDescent="0.25">
      <c r="A767" t="str">
        <f>"20190312164007414"</f>
        <v>20190312164007414</v>
      </c>
      <c r="B767" t="str">
        <f>"1552380007407115"</f>
        <v>1552380007407115</v>
      </c>
      <c r="C767" t="s">
        <v>40</v>
      </c>
      <c r="D767">
        <v>4.9145570000000003</v>
      </c>
      <c r="E767">
        <v>0.50707139999999995</v>
      </c>
      <c r="F767" t="s">
        <v>43</v>
      </c>
      <c r="G767">
        <v>-313.06119999999999</v>
      </c>
      <c r="H767">
        <v>-0.05</v>
      </c>
      <c r="I767">
        <v>366.47609999999997</v>
      </c>
      <c r="J767">
        <v>-340.81540000000001</v>
      </c>
      <c r="K767">
        <v>1.1097379999999999</v>
      </c>
      <c r="L767">
        <v>368.13510000000002</v>
      </c>
      <c r="M767">
        <v>0.99990900000000005</v>
      </c>
      <c r="N767">
        <v>0</v>
      </c>
      <c r="O767">
        <v>-8.1616309999999904E-3</v>
      </c>
      <c r="P767">
        <v>0.99318740000000005</v>
      </c>
      <c r="Q767">
        <v>0.1068853</v>
      </c>
      <c r="R767">
        <v>-4.6418269999999998E-2</v>
      </c>
      <c r="S767">
        <v>3.0256349999999999</v>
      </c>
      <c r="T767">
        <v>-0.12513579999999999</v>
      </c>
      <c r="U767">
        <v>-0.17926029999999901</v>
      </c>
      <c r="V767">
        <v>3.8320970000000003E-2</v>
      </c>
      <c r="W767">
        <v>0.11756</v>
      </c>
      <c r="X767">
        <v>0.99232609999999999</v>
      </c>
      <c r="Y767">
        <v>5.0957210000000003E-2</v>
      </c>
      <c r="Z767">
        <v>-7.1527579999999997E-4</v>
      </c>
      <c r="AA767">
        <v>0.99870060000000005</v>
      </c>
      <c r="AB767">
        <v>33</v>
      </c>
      <c r="AC767">
        <v>27.754200000000001</v>
      </c>
      <c r="AD767">
        <v>-1.1597379999999999</v>
      </c>
      <c r="AE767">
        <v>-1.65900000000004</v>
      </c>
      <c r="AF767">
        <v>1.42992426708731</v>
      </c>
      <c r="AG767">
        <v>-1.1597379999999999</v>
      </c>
      <c r="AH767">
        <v>27.718590057977501</v>
      </c>
      <c r="AI767">
        <v>92.392663999492598</v>
      </c>
      <c r="AJ767">
        <v>87.046889326692906</v>
      </c>
      <c r="AK767">
        <v>27.779667212557801</v>
      </c>
      <c r="AL767">
        <v>83.248695722165607</v>
      </c>
      <c r="AM767">
        <v>87.788489713238704</v>
      </c>
      <c r="AN767">
        <v>0.99999996954147397</v>
      </c>
    </row>
    <row r="768" spans="1:40" x14ac:dyDescent="0.25">
      <c r="A768" t="str">
        <f>"20190312164007436"</f>
        <v>20190312164007436</v>
      </c>
      <c r="B768" t="str">
        <f>"1552380007426635"</f>
        <v>1552380007426635</v>
      </c>
      <c r="C768" t="s">
        <v>40</v>
      </c>
      <c r="D768">
        <v>5.1991800000000001</v>
      </c>
      <c r="E768">
        <v>0.5059553</v>
      </c>
      <c r="F768" t="s">
        <v>43</v>
      </c>
      <c r="G768">
        <v>-313.0797</v>
      </c>
      <c r="H768">
        <v>-0.05</v>
      </c>
      <c r="I768">
        <v>366.55309999999997</v>
      </c>
      <c r="J768">
        <v>-340.50369999999998</v>
      </c>
      <c r="K768">
        <v>1.109742</v>
      </c>
      <c r="L768">
        <v>368.13249999999999</v>
      </c>
      <c r="M768">
        <v>0.99990880000000004</v>
      </c>
      <c r="N768">
        <v>0</v>
      </c>
      <c r="O768">
        <v>-8.165627E-3</v>
      </c>
      <c r="P768">
        <v>0.99313240000000003</v>
      </c>
      <c r="Q768">
        <v>0.1072034</v>
      </c>
      <c r="R768">
        <v>-4.6859890000000001E-2</v>
      </c>
      <c r="S768">
        <v>3.026062</v>
      </c>
      <c r="T768">
        <v>-0.12653110000000001</v>
      </c>
      <c r="U768">
        <v>-0.17260739999999999</v>
      </c>
      <c r="V768">
        <v>3.8757090000000001E-2</v>
      </c>
      <c r="W768">
        <v>0.1178844</v>
      </c>
      <c r="X768">
        <v>0.99227069999999995</v>
      </c>
      <c r="Y768">
        <v>4.8757620000000002E-2</v>
      </c>
      <c r="Z768">
        <v>-6.7709200000000002E-4</v>
      </c>
      <c r="AA768">
        <v>0.99881039999999999</v>
      </c>
      <c r="AB768">
        <v>33</v>
      </c>
      <c r="AC768">
        <v>27.4239999999999</v>
      </c>
      <c r="AD768">
        <v>-1.1597420000000001</v>
      </c>
      <c r="AE768">
        <v>-1.5794000000000199</v>
      </c>
      <c r="AF768">
        <v>1.3529885594659901</v>
      </c>
      <c r="AG768">
        <v>-1.1597420000000001</v>
      </c>
      <c r="AH768">
        <v>27.3871662378188</v>
      </c>
      <c r="AI768">
        <v>92.421858913010993</v>
      </c>
      <c r="AJ768">
        <v>87.171756999775795</v>
      </c>
      <c r="AK768">
        <v>27.445080690107801</v>
      </c>
      <c r="AL768">
        <v>83.229978983033902</v>
      </c>
      <c r="AM768">
        <v>87.763221816128606</v>
      </c>
      <c r="AN768">
        <v>0.99999999293355901</v>
      </c>
    </row>
    <row r="769" spans="1:40" x14ac:dyDescent="0.25">
      <c r="A769" t="str">
        <f>"20190312164007448"</f>
        <v>20190312164007448</v>
      </c>
      <c r="B769" t="str">
        <f>"1552380007437371"</f>
        <v>1552380007437371</v>
      </c>
      <c r="C769" t="s">
        <v>40</v>
      </c>
      <c r="D769">
        <v>5.1569669999999999</v>
      </c>
      <c r="E769">
        <v>0.50535659999999905</v>
      </c>
      <c r="F769" t="s">
        <v>43</v>
      </c>
      <c r="G769">
        <v>-312.99829999999997</v>
      </c>
      <c r="H769">
        <v>-0.05</v>
      </c>
      <c r="I769">
        <v>366.63170000000002</v>
      </c>
      <c r="J769">
        <v>-340.32440000000003</v>
      </c>
      <c r="K769">
        <v>1.1097440000000001</v>
      </c>
      <c r="L769">
        <v>368.1311</v>
      </c>
      <c r="M769">
        <v>0.99990889999999999</v>
      </c>
      <c r="N769">
        <v>0</v>
      </c>
      <c r="O769">
        <v>-8.165014E-3</v>
      </c>
      <c r="P769">
        <v>0.99314400000000003</v>
      </c>
      <c r="Q769">
        <v>0.10714369999999999</v>
      </c>
      <c r="R769">
        <v>-4.6752200000000001E-2</v>
      </c>
      <c r="S769">
        <v>3.026764</v>
      </c>
      <c r="T769">
        <v>-0.12762080000000001</v>
      </c>
      <c r="U769">
        <v>-0.16516110000000001</v>
      </c>
      <c r="V769">
        <v>3.8649000000000003E-2</v>
      </c>
      <c r="W769">
        <v>0.117828</v>
      </c>
      <c r="X769">
        <v>0.99228159999999999</v>
      </c>
      <c r="Y769">
        <v>4.6296900000000002E-2</v>
      </c>
      <c r="Z769">
        <v>-6.3101620000000005E-4</v>
      </c>
      <c r="AA769">
        <v>0.99892749999999997</v>
      </c>
      <c r="AB769">
        <v>33</v>
      </c>
      <c r="AC769">
        <v>27.3261</v>
      </c>
      <c r="AD769">
        <v>-1.1597440000000001</v>
      </c>
      <c r="AE769">
        <v>-1.4993999999999801</v>
      </c>
      <c r="AF769">
        <v>1.2739313804738699</v>
      </c>
      <c r="AG769">
        <v>-1.1597440000000001</v>
      </c>
      <c r="AH769">
        <v>27.288427162100302</v>
      </c>
      <c r="AI769">
        <v>92.430932083035401</v>
      </c>
      <c r="AJ769">
        <v>87.327147692775299</v>
      </c>
      <c r="AK769">
        <v>27.342753414551101</v>
      </c>
      <c r="AL769">
        <v>83.233233044457904</v>
      </c>
      <c r="AM769">
        <v>87.769478154598701</v>
      </c>
      <c r="AN769">
        <v>0.999999978241779</v>
      </c>
    </row>
    <row r="770" spans="1:40" x14ac:dyDescent="0.25">
      <c r="A770" t="str">
        <f>"20190312164007460"</f>
        <v>20190312164007460</v>
      </c>
      <c r="B770" t="str">
        <f>"1552380007456891"</f>
        <v>1552380007456891</v>
      </c>
      <c r="C770" t="s">
        <v>40</v>
      </c>
      <c r="D770">
        <v>5.1173539999999997</v>
      </c>
      <c r="E770">
        <v>0.50424119999999995</v>
      </c>
      <c r="F770" t="s">
        <v>43</v>
      </c>
      <c r="G770">
        <v>-313.11599999999999</v>
      </c>
      <c r="H770">
        <v>-0.05</v>
      </c>
      <c r="I770">
        <v>366.69260000000003</v>
      </c>
      <c r="J770">
        <v>-340.14359999999999</v>
      </c>
      <c r="K770">
        <v>1.1097459999999999</v>
      </c>
      <c r="L770">
        <v>368.12959999999998</v>
      </c>
      <c r="M770">
        <v>0.99990869999999998</v>
      </c>
      <c r="N770">
        <v>0</v>
      </c>
      <c r="O770">
        <v>-8.1636909999999903E-3</v>
      </c>
      <c r="P770">
        <v>0.99316780000000005</v>
      </c>
      <c r="Q770">
        <v>0.10694960000000001</v>
      </c>
      <c r="R770">
        <v>-4.6684290000000003E-2</v>
      </c>
      <c r="S770">
        <v>3.0270999999999999</v>
      </c>
      <c r="T770">
        <v>-0.1290289</v>
      </c>
      <c r="U770">
        <v>-0.16003419999999999</v>
      </c>
      <c r="V770">
        <v>3.8581919999999999E-2</v>
      </c>
      <c r="W770">
        <v>0.1176372</v>
      </c>
      <c r="X770">
        <v>0.99230689999999999</v>
      </c>
      <c r="Y770">
        <v>4.4605909999999999E-2</v>
      </c>
      <c r="Z770">
        <v>-6.0198860000000001E-4</v>
      </c>
      <c r="AA770">
        <v>0.99900449999999996</v>
      </c>
      <c r="AB770">
        <v>33</v>
      </c>
      <c r="AC770">
        <v>27.0276</v>
      </c>
      <c r="AD770">
        <v>-1.1597459999999999</v>
      </c>
      <c r="AE770">
        <v>-1.4369999999999501</v>
      </c>
      <c r="AF770">
        <v>1.2140652548555699</v>
      </c>
      <c r="AG770">
        <v>-1.1597459999999999</v>
      </c>
      <c r="AH770">
        <v>26.9888781756501</v>
      </c>
      <c r="AI770">
        <v>92.458075160394799</v>
      </c>
      <c r="AJ770">
        <v>87.424348221856903</v>
      </c>
      <c r="AK770">
        <v>27.041052316942999</v>
      </c>
      <c r="AL770">
        <v>83.244241989012195</v>
      </c>
      <c r="AM770">
        <v>87.773402308088507</v>
      </c>
      <c r="AN770">
        <v>1.00000002958116</v>
      </c>
    </row>
    <row r="771" spans="1:40" x14ac:dyDescent="0.25">
      <c r="A771" t="str">
        <f>"20190312164007471"</f>
        <v>20190312164007471</v>
      </c>
      <c r="B771" t="str">
        <f>"1552380007466651"</f>
        <v>1552380007466651</v>
      </c>
      <c r="C771" t="s">
        <v>40</v>
      </c>
      <c r="D771">
        <v>5.0365640000000003</v>
      </c>
      <c r="E771">
        <v>0.50375379999999903</v>
      </c>
      <c r="F771" t="s">
        <v>43</v>
      </c>
      <c r="G771">
        <v>-313.8184</v>
      </c>
      <c r="H771">
        <v>-0.05</v>
      </c>
      <c r="I771">
        <v>366.81779999999998</v>
      </c>
      <c r="J771">
        <v>-339.97329999999999</v>
      </c>
      <c r="K771">
        <v>1.109747</v>
      </c>
      <c r="L771">
        <v>368.12819999999999</v>
      </c>
      <c r="M771">
        <v>0.99990869999999998</v>
      </c>
      <c r="N771">
        <v>0</v>
      </c>
      <c r="O771">
        <v>-8.1615419999999904E-3</v>
      </c>
      <c r="P771">
        <v>0.99319420000000003</v>
      </c>
      <c r="Q771">
        <v>0.10676670000000001</v>
      </c>
      <c r="R771">
        <v>-4.6542609999999998E-2</v>
      </c>
      <c r="S771">
        <v>3.0278930000000002</v>
      </c>
      <c r="T771">
        <v>-0.13339289999999901</v>
      </c>
      <c r="U771">
        <v>-0.15087890000000001</v>
      </c>
      <c r="V771">
        <v>3.844173E-2</v>
      </c>
      <c r="W771">
        <v>0.1174577</v>
      </c>
      <c r="X771">
        <v>0.99233360000000004</v>
      </c>
      <c r="Y771">
        <v>4.1582029999999999E-2</v>
      </c>
      <c r="Z771">
        <v>-5.5577410000000002E-4</v>
      </c>
      <c r="AA771">
        <v>0.999135</v>
      </c>
      <c r="AB771">
        <v>33</v>
      </c>
      <c r="AC771">
        <v>26.154900000000001</v>
      </c>
      <c r="AD771">
        <v>-1.1597469999999901</v>
      </c>
      <c r="AE771">
        <v>-1.31040000000001</v>
      </c>
      <c r="AF771">
        <v>1.09473261834845</v>
      </c>
      <c r="AG771">
        <v>-1.1597469999999901</v>
      </c>
      <c r="AH771">
        <v>26.113509329633899</v>
      </c>
      <c r="AI771">
        <v>92.540706899116302</v>
      </c>
      <c r="AJ771">
        <v>87.599447400878901</v>
      </c>
      <c r="AK771">
        <v>26.162163941818001</v>
      </c>
      <c r="AL771">
        <v>83.254598353548602</v>
      </c>
      <c r="AM771">
        <v>87.781544333981401</v>
      </c>
      <c r="AN771">
        <v>1.00000002579182</v>
      </c>
    </row>
    <row r="772" spans="1:40" x14ac:dyDescent="0.25">
      <c r="A772" t="str">
        <f>"20190312164007484"</f>
        <v>20190312164007484</v>
      </c>
      <c r="B772" t="str">
        <f>"1552380007477386"</f>
        <v>1552380007477386</v>
      </c>
      <c r="C772" t="s">
        <v>40</v>
      </c>
      <c r="D772">
        <v>5.060003</v>
      </c>
      <c r="E772">
        <v>0.50326070000000001</v>
      </c>
      <c r="F772" t="s">
        <v>43</v>
      </c>
      <c r="G772">
        <v>-313.7824</v>
      </c>
      <c r="H772">
        <v>-0.05</v>
      </c>
      <c r="I772">
        <v>366.863</v>
      </c>
      <c r="J772">
        <v>-339.79559999999998</v>
      </c>
      <c r="K772">
        <v>1.109747</v>
      </c>
      <c r="L772">
        <v>368.1268</v>
      </c>
      <c r="M772">
        <v>0.99990869999999998</v>
      </c>
      <c r="N772">
        <v>0</v>
      </c>
      <c r="O772">
        <v>-8.1591559999999903E-3</v>
      </c>
      <c r="P772">
        <v>0.99321599999999999</v>
      </c>
      <c r="Q772">
        <v>0.10666009999999999</v>
      </c>
      <c r="R772">
        <v>-4.6320800000000002E-2</v>
      </c>
      <c r="S772">
        <v>3.0281370000000001</v>
      </c>
      <c r="T772">
        <v>-0.13408779999999901</v>
      </c>
      <c r="U772">
        <v>-0.14627079999999901</v>
      </c>
      <c r="V772">
        <v>3.822176E-2</v>
      </c>
      <c r="W772">
        <v>0.117354</v>
      </c>
      <c r="X772">
        <v>0.99235430000000002</v>
      </c>
      <c r="Y772">
        <v>4.0064710000000003E-2</v>
      </c>
      <c r="Z772">
        <v>-5.2518930000000001E-4</v>
      </c>
      <c r="AA772">
        <v>0.99919690000000005</v>
      </c>
      <c r="AB772">
        <v>33</v>
      </c>
      <c r="AC772">
        <v>26.013199999999902</v>
      </c>
      <c r="AD772">
        <v>-1.1597469999999901</v>
      </c>
      <c r="AE772">
        <v>-1.2637999999999401</v>
      </c>
      <c r="AF772">
        <v>1.04941889623548</v>
      </c>
      <c r="AG772">
        <v>-1.1597469999999901</v>
      </c>
      <c r="AH772">
        <v>25.9711462721977</v>
      </c>
      <c r="AI772">
        <v>92.554774439678098</v>
      </c>
      <c r="AJ772">
        <v>87.686102063747001</v>
      </c>
      <c r="AK772">
        <v>26.018200011062898</v>
      </c>
      <c r="AL772">
        <v>83.260580861577793</v>
      </c>
      <c r="AM772">
        <v>87.794272098540603</v>
      </c>
      <c r="AN772">
        <v>0.99999996049099305</v>
      </c>
    </row>
    <row r="773" spans="1:40" x14ac:dyDescent="0.25">
      <c r="A773" t="str">
        <f>"20190312164007495"</f>
        <v>20190312164007495</v>
      </c>
      <c r="B773" t="str">
        <f>"1552380007487148"</f>
        <v>1552380007487148</v>
      </c>
      <c r="C773" t="s">
        <v>40</v>
      </c>
      <c r="D773">
        <v>5.0312010000000003</v>
      </c>
      <c r="E773">
        <v>0.50279719999999894</v>
      </c>
      <c r="F773" t="s">
        <v>43</v>
      </c>
      <c r="G773">
        <v>-313.70030000000003</v>
      </c>
      <c r="H773">
        <v>-0.05</v>
      </c>
      <c r="I773">
        <v>366.90519999999998</v>
      </c>
      <c r="J773">
        <v>-339.61270000000002</v>
      </c>
      <c r="K773">
        <v>1.109748</v>
      </c>
      <c r="L773">
        <v>368.12520000000001</v>
      </c>
      <c r="M773">
        <v>0.99990869999999998</v>
      </c>
      <c r="N773">
        <v>0</v>
      </c>
      <c r="O773">
        <v>-8.1567719999999996E-3</v>
      </c>
      <c r="P773">
        <v>0.99323269999999997</v>
      </c>
      <c r="Q773">
        <v>0.1066387</v>
      </c>
      <c r="R773">
        <v>-4.6011990000000003E-2</v>
      </c>
      <c r="S773">
        <v>3.0282900000000001</v>
      </c>
      <c r="T773">
        <v>-0.1345856</v>
      </c>
      <c r="U773">
        <v>-0.1417542</v>
      </c>
      <c r="V773">
        <v>3.7914829999999997E-2</v>
      </c>
      <c r="W773">
        <v>0.1173355</v>
      </c>
      <c r="X773">
        <v>0.99236829999999998</v>
      </c>
      <c r="Y773">
        <v>3.8578929999999997E-2</v>
      </c>
      <c r="Z773">
        <v>-4.9425290000000002E-4</v>
      </c>
      <c r="AA773">
        <v>0.99925540000000002</v>
      </c>
      <c r="AB773">
        <v>33</v>
      </c>
      <c r="AC773">
        <v>25.912399999999899</v>
      </c>
      <c r="AD773">
        <v>-1.159748</v>
      </c>
      <c r="AE773">
        <v>-1.22000000000002</v>
      </c>
      <c r="AF773">
        <v>1.0065737528374701</v>
      </c>
      <c r="AG773">
        <v>-1.159748</v>
      </c>
      <c r="AH773">
        <v>25.869783448108901</v>
      </c>
      <c r="AI773">
        <v>92.564925324709904</v>
      </c>
      <c r="AJ773">
        <v>87.771788452118997</v>
      </c>
      <c r="AK773">
        <v>25.9153217575135</v>
      </c>
      <c r="AL773">
        <v>83.261648464001595</v>
      </c>
      <c r="AM773">
        <v>87.811998181132594</v>
      </c>
      <c r="AN773">
        <v>0.99999999836953402</v>
      </c>
    </row>
    <row r="774" spans="1:40" x14ac:dyDescent="0.25">
      <c r="A774" t="str">
        <f>"20190312164007514"</f>
        <v>20190312164007514</v>
      </c>
      <c r="B774" t="str">
        <f>"1552380007506667"</f>
        <v>1552380007506667</v>
      </c>
      <c r="C774" t="s">
        <v>40</v>
      </c>
      <c r="D774">
        <v>5.0726820000000004</v>
      </c>
      <c r="E774">
        <v>0.50181699999999996</v>
      </c>
      <c r="F774" t="s">
        <v>43</v>
      </c>
      <c r="G774">
        <v>-313.55650000000003</v>
      </c>
      <c r="H774">
        <v>-0.05</v>
      </c>
      <c r="I774">
        <v>366.94529999999997</v>
      </c>
      <c r="J774">
        <v>-339.34609999999998</v>
      </c>
      <c r="K774">
        <v>1.109747</v>
      </c>
      <c r="L774">
        <v>368.12310000000002</v>
      </c>
      <c r="M774">
        <v>0.99990889999999999</v>
      </c>
      <c r="N774">
        <v>0</v>
      </c>
      <c r="O774">
        <v>-8.1541500000000006E-3</v>
      </c>
      <c r="P774">
        <v>0.9932588</v>
      </c>
      <c r="Q774">
        <v>0.1066082</v>
      </c>
      <c r="R774">
        <v>-4.5523279999999999E-2</v>
      </c>
      <c r="S774">
        <v>3.0285639999999998</v>
      </c>
      <c r="T774">
        <v>-0.134799799999999</v>
      </c>
      <c r="U774">
        <v>-0.13714599999999999</v>
      </c>
      <c r="V774">
        <v>3.7427910000000002E-2</v>
      </c>
      <c r="W774">
        <v>0.117309</v>
      </c>
      <c r="X774">
        <v>0.99238990000000005</v>
      </c>
      <c r="Y774">
        <v>3.7061469999999999E-2</v>
      </c>
      <c r="Z774">
        <v>-4.6139059999999999E-4</v>
      </c>
      <c r="AA774">
        <v>0.99931289999999995</v>
      </c>
      <c r="AB774">
        <v>33</v>
      </c>
      <c r="AC774">
        <v>25.789599999999901</v>
      </c>
      <c r="AD774">
        <v>-1.1597469999999901</v>
      </c>
      <c r="AE774">
        <v>-1.1778000000000399</v>
      </c>
      <c r="AF774">
        <v>0.96550795966192404</v>
      </c>
      <c r="AG774">
        <v>-1.1597469999999901</v>
      </c>
      <c r="AH774">
        <v>25.746389460216999</v>
      </c>
      <c r="AI774">
        <v>92.577337716663195</v>
      </c>
      <c r="AJ774">
        <v>87.852373782227801</v>
      </c>
      <c r="AK774">
        <v>25.7905755841422</v>
      </c>
      <c r="AL774">
        <v>83.263177248566905</v>
      </c>
      <c r="AM774">
        <v>87.840117705540294</v>
      </c>
      <c r="AN774">
        <v>0.99999998177498906</v>
      </c>
    </row>
    <row r="775" spans="1:40" x14ac:dyDescent="0.25">
      <c r="A775" t="str">
        <f>"20190312164007526"</f>
        <v>20190312164007526</v>
      </c>
      <c r="B775" t="str">
        <f>"1552380007517403"</f>
        <v>1552380007517403</v>
      </c>
      <c r="C775" t="s">
        <v>40</v>
      </c>
      <c r="D775">
        <v>5.1169000000000002</v>
      </c>
      <c r="E775">
        <v>0.50143879999999996</v>
      </c>
      <c r="F775" t="s">
        <v>43</v>
      </c>
      <c r="G775">
        <v>-313.505</v>
      </c>
      <c r="H775">
        <v>-0.05</v>
      </c>
      <c r="I775">
        <v>367.03410000000002</v>
      </c>
      <c r="J775">
        <v>-339.17770000000002</v>
      </c>
      <c r="K775">
        <v>1.1097459999999999</v>
      </c>
      <c r="L775">
        <v>368.12169999999998</v>
      </c>
      <c r="M775">
        <v>0.99990869999999998</v>
      </c>
      <c r="N775">
        <v>0</v>
      </c>
      <c r="O775">
        <v>-8.1528399999999997E-3</v>
      </c>
      <c r="P775">
        <v>0.99328399999999994</v>
      </c>
      <c r="Q775">
        <v>0.106521699999999</v>
      </c>
      <c r="R775">
        <v>-4.516792E-2</v>
      </c>
      <c r="S775">
        <v>3.0291139999999999</v>
      </c>
      <c r="T775">
        <v>-0.13594619999999999</v>
      </c>
      <c r="U775">
        <v>-0.12765499999999999</v>
      </c>
      <c r="V775">
        <v>3.7073580000000002E-2</v>
      </c>
      <c r="W775">
        <v>0.1172252</v>
      </c>
      <c r="X775">
        <v>0.99241310000000005</v>
      </c>
      <c r="Y775">
        <v>3.3931950000000002E-2</v>
      </c>
      <c r="Z775">
        <v>-3.9515559999999999E-4</v>
      </c>
      <c r="AA775">
        <v>0.99942399999999998</v>
      </c>
      <c r="AB775">
        <v>33</v>
      </c>
      <c r="AC775">
        <v>25.672699999999999</v>
      </c>
      <c r="AD775">
        <v>-1.1597459999999999</v>
      </c>
      <c r="AE775">
        <v>-1.0875999999999499</v>
      </c>
      <c r="AF775">
        <v>0.87646087649102999</v>
      </c>
      <c r="AG775">
        <v>-1.1597459999999999</v>
      </c>
      <c r="AH775">
        <v>25.6285073921558</v>
      </c>
      <c r="AI775">
        <v>92.589479939575995</v>
      </c>
      <c r="AJ775">
        <v>88.041323873859199</v>
      </c>
      <c r="AK775">
        <v>25.6697017045839</v>
      </c>
      <c r="AL775">
        <v>83.268011977003695</v>
      </c>
      <c r="AM775">
        <v>87.860596185860302</v>
      </c>
      <c r="AN775">
        <v>0.99999997945033303</v>
      </c>
    </row>
    <row r="776" spans="1:40" x14ac:dyDescent="0.25">
      <c r="A776" t="str">
        <f>"20190312164007536"</f>
        <v>20190312164007536</v>
      </c>
      <c r="B776" t="str">
        <f>"1552380007527163"</f>
        <v>1552380007527163</v>
      </c>
      <c r="C776" t="s">
        <v>40</v>
      </c>
      <c r="D776">
        <v>5.1272479999999998</v>
      </c>
      <c r="E776">
        <v>0.50102709999999995</v>
      </c>
      <c r="F776" t="s">
        <v>43</v>
      </c>
      <c r="G776">
        <v>-313.55860000000001</v>
      </c>
      <c r="H776">
        <v>-0.05</v>
      </c>
      <c r="I776">
        <v>367.07810000000001</v>
      </c>
      <c r="J776">
        <v>-339.01069999999999</v>
      </c>
      <c r="K776">
        <v>1.1097459999999999</v>
      </c>
      <c r="L776">
        <v>368.12040000000002</v>
      </c>
      <c r="M776">
        <v>0.99990869999999998</v>
      </c>
      <c r="N776">
        <v>0</v>
      </c>
      <c r="O776">
        <v>-8.1520059999999998E-3</v>
      </c>
      <c r="P776">
        <v>0.99328170000000005</v>
      </c>
      <c r="Q776">
        <v>0.1066155</v>
      </c>
      <c r="R776">
        <v>-4.5002769999999997E-2</v>
      </c>
      <c r="S776">
        <v>3.0293580000000002</v>
      </c>
      <c r="T776">
        <v>-0.1371357</v>
      </c>
      <c r="U776">
        <v>-0.1234131</v>
      </c>
      <c r="V776">
        <v>3.690885E-2</v>
      </c>
      <c r="W776">
        <v>0.1173213</v>
      </c>
      <c r="X776">
        <v>0.99240790000000001</v>
      </c>
      <c r="Y776">
        <v>3.2533260000000001E-2</v>
      </c>
      <c r="Z776">
        <v>-3.6699729999999998E-4</v>
      </c>
      <c r="AA776">
        <v>0.99947059999999999</v>
      </c>
      <c r="AB776">
        <v>33</v>
      </c>
      <c r="AC776">
        <v>25.452099999999898</v>
      </c>
      <c r="AD776">
        <v>-1.1597459999999999</v>
      </c>
      <c r="AE776">
        <v>-1.04230000000001</v>
      </c>
      <c r="AF776">
        <v>0.83304093990898898</v>
      </c>
      <c r="AG776">
        <v>-1.1597459999999999</v>
      </c>
      <c r="AH776">
        <v>25.407088490354798</v>
      </c>
      <c r="AI776">
        <v>92.612138871928494</v>
      </c>
      <c r="AJ776">
        <v>88.122073792952506</v>
      </c>
      <c r="AK776">
        <v>25.447182821459801</v>
      </c>
      <c r="AL776">
        <v>83.262467701856394</v>
      </c>
      <c r="AM776">
        <v>87.870082329679306</v>
      </c>
      <c r="AN776">
        <v>0.99999999531221095</v>
      </c>
    </row>
    <row r="777" spans="1:40" x14ac:dyDescent="0.25">
      <c r="A777" t="str">
        <f>"20190312164007548"</f>
        <v>20190312164007548</v>
      </c>
      <c r="B777" t="str">
        <f>"1552380007536923"</f>
        <v>1552380007536923</v>
      </c>
      <c r="C777" t="s">
        <v>40</v>
      </c>
      <c r="D777">
        <v>5.2459369999999996</v>
      </c>
      <c r="E777">
        <v>0.50063199999999997</v>
      </c>
      <c r="F777" t="s">
        <v>43</v>
      </c>
      <c r="G777">
        <v>-313.39190000000002</v>
      </c>
      <c r="H777">
        <v>-0.05</v>
      </c>
      <c r="I777">
        <v>367.1044</v>
      </c>
      <c r="J777">
        <v>-338.83710000000002</v>
      </c>
      <c r="K777">
        <v>1.109748</v>
      </c>
      <c r="L777">
        <v>368.11900000000003</v>
      </c>
      <c r="M777">
        <v>0.99990869999999998</v>
      </c>
      <c r="N777">
        <v>0</v>
      </c>
      <c r="O777">
        <v>-8.1515310000000001E-3</v>
      </c>
      <c r="P777">
        <v>0.99331069999999999</v>
      </c>
      <c r="Q777">
        <v>0.1064674</v>
      </c>
      <c r="R777">
        <v>-4.470623E-2</v>
      </c>
      <c r="S777">
        <v>3.0295719999999999</v>
      </c>
      <c r="T777">
        <v>-0.1371464</v>
      </c>
      <c r="U777">
        <v>-0.120147699999999</v>
      </c>
      <c r="V777">
        <v>3.661263E-2</v>
      </c>
      <c r="W777">
        <v>0.1171755</v>
      </c>
      <c r="X777">
        <v>0.99243610000000004</v>
      </c>
      <c r="Y777">
        <v>3.1456419999999999E-2</v>
      </c>
      <c r="Z777">
        <v>-3.4267679999999998E-4</v>
      </c>
      <c r="AA777">
        <v>0.99950499999999998</v>
      </c>
      <c r="AB777">
        <v>33</v>
      </c>
      <c r="AC777">
        <v>25.4452</v>
      </c>
      <c r="AD777">
        <v>-1.159748</v>
      </c>
      <c r="AE777">
        <v>-1.0146000000000299</v>
      </c>
      <c r="AF777">
        <v>0.80546630208594105</v>
      </c>
      <c r="AG777">
        <v>-1.159748</v>
      </c>
      <c r="AH777">
        <v>25.399944002206801</v>
      </c>
      <c r="AI777">
        <v>92.612967578320607</v>
      </c>
      <c r="AJ777">
        <v>88.183682632854499</v>
      </c>
      <c r="AK777">
        <v>25.439161674523401</v>
      </c>
      <c r="AL777">
        <v>83.270879460543796</v>
      </c>
      <c r="AM777">
        <v>87.887220873565397</v>
      </c>
      <c r="AN777">
        <v>0.99999999752948798</v>
      </c>
    </row>
    <row r="778" spans="1:40" x14ac:dyDescent="0.25">
      <c r="A778" t="str">
        <f>"20190312164007561"</f>
        <v>20190312164007561</v>
      </c>
      <c r="B778" t="str">
        <f>"1552380007557419"</f>
        <v>1552380007557419</v>
      </c>
      <c r="C778" t="s">
        <v>40</v>
      </c>
      <c r="D778">
        <v>4.9712610000000002</v>
      </c>
      <c r="E778">
        <v>0.49975029999999998</v>
      </c>
      <c r="F778" t="s">
        <v>43</v>
      </c>
      <c r="G778">
        <v>-313.31819999999999</v>
      </c>
      <c r="H778">
        <v>-0.05</v>
      </c>
      <c r="I778">
        <v>367.14069999999998</v>
      </c>
      <c r="J778">
        <v>-338.65390000000002</v>
      </c>
      <c r="K778">
        <v>1.109747</v>
      </c>
      <c r="L778">
        <v>368.11750000000001</v>
      </c>
      <c r="M778">
        <v>0.99990869999999998</v>
      </c>
      <c r="N778">
        <v>0</v>
      </c>
      <c r="O778">
        <v>-8.1509369999999901E-3</v>
      </c>
      <c r="P778">
        <v>0.99333419999999895</v>
      </c>
      <c r="Q778">
        <v>0.1062625</v>
      </c>
      <c r="R778">
        <v>-4.4671700000000002E-2</v>
      </c>
      <c r="S778">
        <v>3.0297550000000002</v>
      </c>
      <c r="T778">
        <v>-0.13769189999999901</v>
      </c>
      <c r="U778">
        <v>-0.1161499</v>
      </c>
      <c r="V778">
        <v>3.6578230000000003E-2</v>
      </c>
      <c r="W778">
        <v>0.1169733</v>
      </c>
      <c r="X778">
        <v>0.99246120000000004</v>
      </c>
      <c r="Y778">
        <v>3.0138910000000001E-2</v>
      </c>
      <c r="Z778">
        <v>-3.1414129999999998E-4</v>
      </c>
      <c r="AA778">
        <v>0.99954569999999998</v>
      </c>
      <c r="AB778">
        <v>33</v>
      </c>
      <c r="AC778">
        <v>25.335699999999999</v>
      </c>
      <c r="AD778">
        <v>-1.1597469999999901</v>
      </c>
      <c r="AE778">
        <v>-0.97680000000002498</v>
      </c>
      <c r="AF778">
        <v>0.76863766867156003</v>
      </c>
      <c r="AG778">
        <v>-1.1597469999999901</v>
      </c>
      <c r="AH778">
        <v>25.289907503135801</v>
      </c>
      <c r="AI778">
        <v>92.624425668798807</v>
      </c>
      <c r="AJ778">
        <v>88.259141852768806</v>
      </c>
      <c r="AK778">
        <v>25.328151106760199</v>
      </c>
      <c r="AL778">
        <v>83.282544747838998</v>
      </c>
      <c r="AM778">
        <v>87.889257508669104</v>
      </c>
      <c r="AN778">
        <v>0.99999997666413099</v>
      </c>
    </row>
    <row r="779" spans="1:40" x14ac:dyDescent="0.25">
      <c r="A779" t="str">
        <f>"20190312164007573"</f>
        <v>20190312164007573</v>
      </c>
      <c r="B779" t="str">
        <f>"1552380007567179"</f>
        <v>1552380007567179</v>
      </c>
      <c r="C779" t="s">
        <v>40</v>
      </c>
      <c r="D779">
        <v>4.9945620000000002</v>
      </c>
      <c r="E779">
        <v>0.49940469999999998</v>
      </c>
      <c r="F779" t="s">
        <v>43</v>
      </c>
      <c r="G779">
        <v>-313.43689999999998</v>
      </c>
      <c r="H779">
        <v>-0.05</v>
      </c>
      <c r="I779">
        <v>367.2088</v>
      </c>
      <c r="J779">
        <v>-338.47019999999998</v>
      </c>
      <c r="K779">
        <v>1.109745</v>
      </c>
      <c r="L779">
        <v>368.11599999999999</v>
      </c>
      <c r="M779">
        <v>0.99990869999999998</v>
      </c>
      <c r="N779">
        <v>0</v>
      </c>
      <c r="O779">
        <v>-8.1509419999999996E-3</v>
      </c>
      <c r="P779">
        <v>0.99333850000000001</v>
      </c>
      <c r="Q779">
        <v>0.10636429999999999</v>
      </c>
      <c r="R779">
        <v>-4.4334440000000003E-2</v>
      </c>
      <c r="S779">
        <v>3.0301209999999998</v>
      </c>
      <c r="T779">
        <v>-0.13935699999999901</v>
      </c>
      <c r="U779">
        <v>-0.109191899999999</v>
      </c>
      <c r="V779">
        <v>3.6240750000000002E-2</v>
      </c>
      <c r="W779">
        <v>0.1170775</v>
      </c>
      <c r="X779">
        <v>0.99246129999999999</v>
      </c>
      <c r="Y779">
        <v>2.7844000000000001E-2</v>
      </c>
      <c r="Z779">
        <v>-2.6518329999999999E-4</v>
      </c>
      <c r="AA779">
        <v>0.99961230000000001</v>
      </c>
      <c r="AB779">
        <v>33</v>
      </c>
      <c r="AC779">
        <v>25.033300000000001</v>
      </c>
      <c r="AD779">
        <v>-1.159745</v>
      </c>
      <c r="AE779">
        <v>-0.90719999999998802</v>
      </c>
      <c r="AF779">
        <v>0.70160914904852101</v>
      </c>
      <c r="AG779">
        <v>-1.159745</v>
      </c>
      <c r="AH779">
        <v>24.9863057039924</v>
      </c>
      <c r="AI779">
        <v>92.656443623481707</v>
      </c>
      <c r="AJ779">
        <v>88.391571637232403</v>
      </c>
      <c r="AK779">
        <v>25.023044111307101</v>
      </c>
      <c r="AL779">
        <v>83.276533261104007</v>
      </c>
      <c r="AM779">
        <v>87.908714591204202</v>
      </c>
      <c r="AN779">
        <v>0.99999998248225097</v>
      </c>
    </row>
    <row r="780" spans="1:40" x14ac:dyDescent="0.25">
      <c r="A780" t="str">
        <f>"20190312164007586"</f>
        <v>20190312164007586</v>
      </c>
      <c r="B780" t="str">
        <f>"1552380007576939"</f>
        <v>1552380007576939</v>
      </c>
      <c r="C780" t="s">
        <v>40</v>
      </c>
      <c r="D780">
        <v>5.0366519999999904</v>
      </c>
      <c r="E780">
        <v>0.49900349999999999</v>
      </c>
      <c r="F780" t="s">
        <v>43</v>
      </c>
      <c r="G780">
        <v>-313.28370000000001</v>
      </c>
      <c r="H780">
        <v>-0.05</v>
      </c>
      <c r="I780">
        <v>367.23919999999998</v>
      </c>
      <c r="J780">
        <v>-338.28480000000002</v>
      </c>
      <c r="K780">
        <v>1.1097440000000001</v>
      </c>
      <c r="L780">
        <v>368.11450000000002</v>
      </c>
      <c r="M780">
        <v>0.99990869999999998</v>
      </c>
      <c r="N780">
        <v>0</v>
      </c>
      <c r="O780">
        <v>-8.1509479999999999E-3</v>
      </c>
      <c r="P780">
        <v>0.99336619999999998</v>
      </c>
      <c r="Q780">
        <v>0.1061366</v>
      </c>
      <c r="R780">
        <v>-4.4257909999999998E-2</v>
      </c>
      <c r="S780">
        <v>3.0303339999999999</v>
      </c>
      <c r="T780">
        <v>-0.13953589999999999</v>
      </c>
      <c r="U780">
        <v>-0.1054993</v>
      </c>
      <c r="V780">
        <v>3.6163840000000003E-2</v>
      </c>
      <c r="W780">
        <v>0.1168525</v>
      </c>
      <c r="X780">
        <v>0.9924906</v>
      </c>
      <c r="Y780">
        <v>2.662612E-2</v>
      </c>
      <c r="Z780">
        <v>-2.3749369999999999E-4</v>
      </c>
      <c r="AA780">
        <v>0.99964540000000002</v>
      </c>
      <c r="AB780">
        <v>33</v>
      </c>
      <c r="AC780">
        <v>25.001100000000001</v>
      </c>
      <c r="AD780">
        <v>-1.1597440000000001</v>
      </c>
      <c r="AE780">
        <v>-0.87530000000003805</v>
      </c>
      <c r="AF780">
        <v>0.67003638452655601</v>
      </c>
      <c r="AG780">
        <v>-1.1597440000000001</v>
      </c>
      <c r="AH780">
        <v>24.953774012647699</v>
      </c>
      <c r="AI780">
        <v>92.6599890743109</v>
      </c>
      <c r="AJ780">
        <v>88.461914630716706</v>
      </c>
      <c r="AK780">
        <v>24.9896937231415</v>
      </c>
      <c r="AL780">
        <v>83.289513762820803</v>
      </c>
      <c r="AM780">
        <v>87.913210334923804</v>
      </c>
      <c r="AN780">
        <v>0.99999996058407703</v>
      </c>
    </row>
    <row r="781" spans="1:40" x14ac:dyDescent="0.25">
      <c r="A781" t="str">
        <f>"20190312164007605"</f>
        <v>20190312164007605</v>
      </c>
      <c r="B781" t="str">
        <f>"1552380007597435"</f>
        <v>1552380007597435</v>
      </c>
      <c r="C781" t="s">
        <v>40</v>
      </c>
      <c r="D781">
        <v>5.1768419999999997</v>
      </c>
      <c r="E781">
        <v>0.49831569999999997</v>
      </c>
      <c r="F781" t="s">
        <v>43</v>
      </c>
      <c r="G781">
        <v>-313.38220000000001</v>
      </c>
      <c r="H781">
        <v>-0.05</v>
      </c>
      <c r="I781">
        <v>367.2749</v>
      </c>
      <c r="J781">
        <v>-338.00909999999999</v>
      </c>
      <c r="K781">
        <v>1.10975</v>
      </c>
      <c r="L781">
        <v>368.11219999999997</v>
      </c>
      <c r="M781">
        <v>0.99990860000000004</v>
      </c>
      <c r="N781">
        <v>0</v>
      </c>
      <c r="O781">
        <v>-8.150839E-3</v>
      </c>
      <c r="P781">
        <v>0.99335680000000004</v>
      </c>
      <c r="Q781">
        <v>0.1063142</v>
      </c>
      <c r="R781">
        <v>-4.4041879999999999E-2</v>
      </c>
      <c r="S781">
        <v>3.0305179999999998</v>
      </c>
      <c r="T781">
        <v>-0.14113499999999901</v>
      </c>
      <c r="U781">
        <v>-0.1021729</v>
      </c>
      <c r="V781">
        <v>3.5948029999999999E-2</v>
      </c>
      <c r="W781">
        <v>0.117033399999999</v>
      </c>
      <c r="X781">
        <v>0.99247719999999995</v>
      </c>
      <c r="Y781">
        <v>2.5528889999999999E-2</v>
      </c>
      <c r="Z781">
        <v>-2.1467829999999999E-4</v>
      </c>
      <c r="AA781">
        <v>0.99967410000000001</v>
      </c>
      <c r="AB781">
        <v>33</v>
      </c>
      <c r="AC781">
        <v>24.6268999999999</v>
      </c>
      <c r="AD781">
        <v>-1.1597500000000001</v>
      </c>
      <c r="AE781">
        <v>-0.83729999999996996</v>
      </c>
      <c r="AF781">
        <v>0.63512369831006399</v>
      </c>
      <c r="AG781">
        <v>-1.1597500000000001</v>
      </c>
      <c r="AH781">
        <v>24.578461397933602</v>
      </c>
      <c r="AI781">
        <v>92.700633062438797</v>
      </c>
      <c r="AJ781">
        <v>88.519768574058304</v>
      </c>
      <c r="AK781">
        <v>24.614003470877499</v>
      </c>
      <c r="AL781">
        <v>83.279077850590497</v>
      </c>
      <c r="AM781">
        <v>87.925624490017398</v>
      </c>
      <c r="AN781">
        <v>1.00000003504813</v>
      </c>
    </row>
    <row r="782" spans="1:40" x14ac:dyDescent="0.25">
      <c r="A782" t="str">
        <f>"20190312164007626"</f>
        <v>20190312164007626</v>
      </c>
      <c r="B782" t="str">
        <f>"1552380007616955"</f>
        <v>1552380007616955</v>
      </c>
      <c r="C782" t="s">
        <v>40</v>
      </c>
      <c r="D782">
        <v>5.1487319999999999</v>
      </c>
      <c r="E782">
        <v>0.49770140000000002</v>
      </c>
      <c r="F782" t="s">
        <v>43</v>
      </c>
      <c r="G782">
        <v>-313.07920000000001</v>
      </c>
      <c r="H782">
        <v>-0.05</v>
      </c>
      <c r="I782">
        <v>367.32330000000002</v>
      </c>
      <c r="J782">
        <v>-337.6893</v>
      </c>
      <c r="K782">
        <v>1.1097520000000001</v>
      </c>
      <c r="L782">
        <v>368.1096</v>
      </c>
      <c r="M782">
        <v>0.99990840000000003</v>
      </c>
      <c r="N782">
        <v>0</v>
      </c>
      <c r="O782">
        <v>-8.1504969999999996E-3</v>
      </c>
      <c r="P782">
        <v>0.99337419999999998</v>
      </c>
      <c r="Q782">
        <v>0.106278</v>
      </c>
      <c r="R782">
        <v>-4.3733859999999999E-2</v>
      </c>
      <c r="S782">
        <v>3.0309140000000001</v>
      </c>
      <c r="T782">
        <v>-0.1409994</v>
      </c>
      <c r="U782">
        <v>-9.5916749999999995E-2</v>
      </c>
      <c r="V782">
        <v>3.5639839999999999E-2</v>
      </c>
      <c r="W782">
        <v>0.1170008</v>
      </c>
      <c r="X782">
        <v>0.99249209999999999</v>
      </c>
      <c r="Y782">
        <v>2.3465819999999998E-2</v>
      </c>
      <c r="Z782">
        <v>-1.6651700000000001E-4</v>
      </c>
      <c r="AA782">
        <v>0.99972459999999996</v>
      </c>
      <c r="AB782">
        <v>33</v>
      </c>
      <c r="AC782">
        <v>24.6100999999999</v>
      </c>
      <c r="AD782">
        <v>-1.1597519999999999</v>
      </c>
      <c r="AE782">
        <v>-0.78629999999998201</v>
      </c>
      <c r="AF782">
        <v>0.58438116936495099</v>
      </c>
      <c r="AG782">
        <v>-1.1597519999999999</v>
      </c>
      <c r="AH782">
        <v>24.561202421119699</v>
      </c>
      <c r="AI782">
        <v>92.702669676298399</v>
      </c>
      <c r="AJ782">
        <v>88.637026883270806</v>
      </c>
      <c r="AK782">
        <v>24.595511591016599</v>
      </c>
      <c r="AL782">
        <v>83.280958222002297</v>
      </c>
      <c r="AM782">
        <v>87.943424057475696</v>
      </c>
      <c r="AN782">
        <v>0.99999997697913701</v>
      </c>
    </row>
    <row r="783" spans="1:40" x14ac:dyDescent="0.25">
      <c r="A783" t="str">
        <f>"20190312164007636"</f>
        <v>20190312164007636</v>
      </c>
      <c r="B783" t="str">
        <f>"1552380007626716"</f>
        <v>1552380007626716</v>
      </c>
      <c r="C783" t="s">
        <v>40</v>
      </c>
      <c r="D783">
        <v>5.0611930000000003</v>
      </c>
      <c r="E783">
        <v>0.49740679999999998</v>
      </c>
      <c r="F783" t="s">
        <v>43</v>
      </c>
      <c r="G783">
        <v>-312.78160000000003</v>
      </c>
      <c r="H783">
        <v>-0.05</v>
      </c>
      <c r="I783">
        <v>367.37040000000002</v>
      </c>
      <c r="J783">
        <v>-337.5258</v>
      </c>
      <c r="K783">
        <v>1.1097520000000001</v>
      </c>
      <c r="L783">
        <v>368.10829999999999</v>
      </c>
      <c r="M783">
        <v>0.99990860000000004</v>
      </c>
      <c r="N783">
        <v>0</v>
      </c>
      <c r="O783">
        <v>-8.1505039999999994E-3</v>
      </c>
      <c r="P783">
        <v>0.99339750000000004</v>
      </c>
      <c r="Q783">
        <v>0.10615280000000001</v>
      </c>
      <c r="R783">
        <v>-4.3513129999999997E-2</v>
      </c>
      <c r="S783">
        <v>3.031158</v>
      </c>
      <c r="T783">
        <v>-0.1411364</v>
      </c>
      <c r="U783">
        <v>-8.9965820000000002E-2</v>
      </c>
      <c r="V783">
        <v>3.5418789999999999E-2</v>
      </c>
      <c r="W783">
        <v>0.1168771</v>
      </c>
      <c r="X783">
        <v>0.99251460000000002</v>
      </c>
      <c r="Y783">
        <v>2.1504450000000001E-2</v>
      </c>
      <c r="Z783">
        <v>-1.210413E-4</v>
      </c>
      <c r="AA783">
        <v>0.99976869999999995</v>
      </c>
      <c r="AB783">
        <v>33</v>
      </c>
      <c r="AC783">
        <v>24.7441999999999</v>
      </c>
      <c r="AD783">
        <v>-1.1597519999999999</v>
      </c>
      <c r="AE783">
        <v>-0.73789999999996703</v>
      </c>
      <c r="AF783">
        <v>0.53501180085976996</v>
      </c>
      <c r="AG783">
        <v>-1.1597519999999999</v>
      </c>
      <c r="AH783">
        <v>24.6951913012226</v>
      </c>
      <c r="AI783">
        <v>92.688157118813194</v>
      </c>
      <c r="AJ783">
        <v>88.758903168908603</v>
      </c>
      <c r="AK783">
        <v>24.7281971791828</v>
      </c>
      <c r="AL783">
        <v>83.288094754947195</v>
      </c>
      <c r="AM783">
        <v>87.956215059453697</v>
      </c>
      <c r="AN783">
        <v>0.99999998920131605</v>
      </c>
    </row>
    <row r="784" spans="1:40" x14ac:dyDescent="0.25">
      <c r="A784" t="str">
        <f>"20190312164007648"</f>
        <v>20190312164007648</v>
      </c>
      <c r="B784" t="str">
        <f>"1552380007637452"</f>
        <v>1552380007637452</v>
      </c>
      <c r="C784" t="s">
        <v>40</v>
      </c>
      <c r="D784">
        <v>5.0618749999999997</v>
      </c>
      <c r="E784">
        <v>0.49712450000000002</v>
      </c>
      <c r="F784" t="s">
        <v>43</v>
      </c>
      <c r="G784">
        <v>-312.67290000000003</v>
      </c>
      <c r="H784">
        <v>-0.05</v>
      </c>
      <c r="I784">
        <v>367.39749999999998</v>
      </c>
      <c r="J784">
        <v>-337.36180000000002</v>
      </c>
      <c r="K784">
        <v>1.109753</v>
      </c>
      <c r="L784">
        <v>368.10700000000003</v>
      </c>
      <c r="M784">
        <v>0.99990840000000003</v>
      </c>
      <c r="N784">
        <v>0</v>
      </c>
      <c r="O784">
        <v>-8.1501549999999992E-3</v>
      </c>
      <c r="P784">
        <v>0.99340949999999995</v>
      </c>
      <c r="Q784">
        <v>0.106043</v>
      </c>
      <c r="R784">
        <v>-4.3504910000000001E-2</v>
      </c>
      <c r="S784">
        <v>3.0312809999999999</v>
      </c>
      <c r="T784">
        <v>-0.14145369999999999</v>
      </c>
      <c r="U784">
        <v>-8.6700440000000004E-2</v>
      </c>
      <c r="V784">
        <v>3.5410860000000002E-2</v>
      </c>
      <c r="W784">
        <v>0.1167701</v>
      </c>
      <c r="X784">
        <v>0.99252750000000001</v>
      </c>
      <c r="Y784">
        <v>2.042863E-2</v>
      </c>
      <c r="Z784" s="1">
        <v>-9.6243429999999996E-5</v>
      </c>
      <c r="AA784">
        <v>0.99979130000000005</v>
      </c>
      <c r="AB784">
        <v>33</v>
      </c>
      <c r="AC784">
        <v>24.688899999999901</v>
      </c>
      <c r="AD784">
        <v>-1.159753</v>
      </c>
      <c r="AE784">
        <v>-0.70949999999999103</v>
      </c>
      <c r="AF784">
        <v>0.50712820619090704</v>
      </c>
      <c r="AG784">
        <v>-1.159753</v>
      </c>
      <c r="AH784">
        <v>24.639537553732801</v>
      </c>
      <c r="AI784">
        <v>92.694283789976794</v>
      </c>
      <c r="AJ784">
        <v>88.820911148239603</v>
      </c>
      <c r="AK784">
        <v>24.672029038981201</v>
      </c>
      <c r="AL784">
        <v>83.294267823311301</v>
      </c>
      <c r="AM784">
        <v>87.956698794427595</v>
      </c>
      <c r="AN784">
        <v>1.0000000117580901</v>
      </c>
    </row>
    <row r="785" spans="1:40" x14ac:dyDescent="0.25">
      <c r="A785" t="str">
        <f>"20190312164007659"</f>
        <v>20190312164007659</v>
      </c>
      <c r="B785" t="str">
        <f>"1552380007656971"</f>
        <v>1552380007656971</v>
      </c>
      <c r="C785" t="s">
        <v>40</v>
      </c>
      <c r="D785">
        <v>4.9743060000000003</v>
      </c>
      <c r="E785">
        <v>0.49643389999999998</v>
      </c>
      <c r="F785" t="s">
        <v>43</v>
      </c>
      <c r="G785">
        <v>-312.5763</v>
      </c>
      <c r="H785">
        <v>-0.05</v>
      </c>
      <c r="I785">
        <v>367.41550000000001</v>
      </c>
      <c r="J785">
        <v>-337.19600000000003</v>
      </c>
      <c r="K785">
        <v>1.109756</v>
      </c>
      <c r="L785">
        <v>368.10559999999998</v>
      </c>
      <c r="M785">
        <v>0.99990840000000003</v>
      </c>
      <c r="N785">
        <v>0</v>
      </c>
      <c r="O785">
        <v>-8.1501630000000002E-3</v>
      </c>
      <c r="P785">
        <v>0.99343049999999999</v>
      </c>
      <c r="Q785">
        <v>0.1059509</v>
      </c>
      <c r="R785">
        <v>-4.3248490000000001E-2</v>
      </c>
      <c r="S785">
        <v>3.031342</v>
      </c>
      <c r="T785">
        <v>-0.14184140000000001</v>
      </c>
      <c r="U785">
        <v>-8.4564210000000001E-2</v>
      </c>
      <c r="V785">
        <v>3.5154199999999997E-2</v>
      </c>
      <c r="W785">
        <v>0.1166797</v>
      </c>
      <c r="X785">
        <v>0.99254730000000002</v>
      </c>
      <c r="Y785">
        <v>1.9724729999999999E-2</v>
      </c>
      <c r="Z785" s="1">
        <v>-8.0049130000000001E-5</v>
      </c>
      <c r="AA785">
        <v>0.99980550000000001</v>
      </c>
      <c r="AB785">
        <v>33</v>
      </c>
      <c r="AC785">
        <v>24.619699999999899</v>
      </c>
      <c r="AD785">
        <v>-1.159756</v>
      </c>
      <c r="AE785">
        <v>-0.69009999999997196</v>
      </c>
      <c r="AF785">
        <v>0.488328017861897</v>
      </c>
      <c r="AG785">
        <v>-1.159756</v>
      </c>
      <c r="AH785">
        <v>24.570027565846502</v>
      </c>
      <c r="AI785">
        <v>92.701940334860296</v>
      </c>
      <c r="AJ785">
        <v>88.861399272197502</v>
      </c>
      <c r="AK785">
        <v>24.6022306472202</v>
      </c>
      <c r="AL785">
        <v>83.299483312111093</v>
      </c>
      <c r="AM785">
        <v>87.971536776436807</v>
      </c>
      <c r="AN785">
        <v>1.0000000564535001</v>
      </c>
    </row>
    <row r="786" spans="1:40" x14ac:dyDescent="0.25">
      <c r="A786" t="str">
        <f>"20190312164007670"</f>
        <v>20190312164007670</v>
      </c>
      <c r="B786" t="str">
        <f>"1552380007666731"</f>
        <v>1552380007666731</v>
      </c>
      <c r="C786" t="s">
        <v>40</v>
      </c>
      <c r="D786">
        <v>4.9945370000000002</v>
      </c>
      <c r="E786">
        <v>0.49611270000000002</v>
      </c>
      <c r="F786" t="s">
        <v>43</v>
      </c>
      <c r="G786">
        <v>-312.69490000000002</v>
      </c>
      <c r="H786">
        <v>-0.05</v>
      </c>
      <c r="I786">
        <v>367.47129999999999</v>
      </c>
      <c r="J786">
        <v>-337.03339999999997</v>
      </c>
      <c r="K786">
        <v>1.109756</v>
      </c>
      <c r="L786">
        <v>368.10430000000002</v>
      </c>
      <c r="M786">
        <v>0.99990840000000003</v>
      </c>
      <c r="N786">
        <v>0</v>
      </c>
      <c r="O786">
        <v>-8.1500519999999996E-3</v>
      </c>
      <c r="P786">
        <v>0.9934598</v>
      </c>
      <c r="Q786">
        <v>0.1057862</v>
      </c>
      <c r="R786">
        <v>-4.2979219999999999E-2</v>
      </c>
      <c r="S786">
        <v>3.0317690000000002</v>
      </c>
      <c r="T786">
        <v>-0.1435081</v>
      </c>
      <c r="U786">
        <v>-7.8491210000000006E-2</v>
      </c>
      <c r="V786">
        <v>3.488496E-2</v>
      </c>
      <c r="W786">
        <v>0.1165168</v>
      </c>
      <c r="X786">
        <v>0.99257589999999996</v>
      </c>
      <c r="Y786">
        <v>1.7721540000000001E-2</v>
      </c>
      <c r="Z786" s="1">
        <v>-3.3608030000000003E-5</v>
      </c>
      <c r="AA786">
        <v>0.99984289999999998</v>
      </c>
      <c r="AB786">
        <v>33</v>
      </c>
      <c r="AC786">
        <v>24.3384999999999</v>
      </c>
      <c r="AD786">
        <v>-1.159756</v>
      </c>
      <c r="AE786">
        <v>-0.63300000000003798</v>
      </c>
      <c r="AF786">
        <v>0.43362342038227097</v>
      </c>
      <c r="AG786">
        <v>-1.159756</v>
      </c>
      <c r="AH786">
        <v>24.287739755114199</v>
      </c>
      <c r="AI786">
        <v>92.733400712663993</v>
      </c>
      <c r="AJ786">
        <v>88.977173138565902</v>
      </c>
      <c r="AK786">
        <v>24.319279711011099</v>
      </c>
      <c r="AL786">
        <v>83.308880656409102</v>
      </c>
      <c r="AM786">
        <v>87.987117552266696</v>
      </c>
      <c r="AN786">
        <v>1.00000002118862</v>
      </c>
    </row>
    <row r="787" spans="1:40" x14ac:dyDescent="0.25">
      <c r="A787" t="str">
        <f>"20190312164007683"</f>
        <v>20190312164007683</v>
      </c>
      <c r="B787" t="str">
        <f>"1552380007677469"</f>
        <v>1552380007677469</v>
      </c>
      <c r="C787" t="s">
        <v>40</v>
      </c>
      <c r="D787">
        <v>4.9637479999999998</v>
      </c>
      <c r="E787">
        <v>0.4958593</v>
      </c>
      <c r="F787" t="s">
        <v>43</v>
      </c>
      <c r="G787">
        <v>-312.76569999999998</v>
      </c>
      <c r="H787">
        <v>-0.05</v>
      </c>
      <c r="I787">
        <v>367.50490000000002</v>
      </c>
      <c r="J787">
        <v>-336.84780000000001</v>
      </c>
      <c r="K787">
        <v>1.1097570000000001</v>
      </c>
      <c r="L787">
        <v>368.1028</v>
      </c>
      <c r="M787">
        <v>0.99990840000000003</v>
      </c>
      <c r="N787">
        <v>0</v>
      </c>
      <c r="O787">
        <v>-8.1497040000000007E-3</v>
      </c>
      <c r="P787">
        <v>0.99348539999999996</v>
      </c>
      <c r="Q787">
        <v>0.1055951</v>
      </c>
      <c r="R787">
        <v>-4.2856180000000001E-2</v>
      </c>
      <c r="S787">
        <v>3.0319210000000001</v>
      </c>
      <c r="T787">
        <v>-0.1448952</v>
      </c>
      <c r="U787">
        <v>-7.4890139999999994E-2</v>
      </c>
      <c r="V787">
        <v>3.4762040000000001E-2</v>
      </c>
      <c r="W787">
        <v>0.1163283</v>
      </c>
      <c r="X787">
        <v>0.99260230000000005</v>
      </c>
      <c r="Y787">
        <v>1.6534940000000001E-2</v>
      </c>
      <c r="Z787" s="1">
        <v>-5.614333E-6</v>
      </c>
      <c r="AA787">
        <v>0.99986330000000001</v>
      </c>
      <c r="AB787">
        <v>33</v>
      </c>
      <c r="AC787">
        <v>24.082100000000001</v>
      </c>
      <c r="AD787">
        <v>-1.1597569999999999</v>
      </c>
      <c r="AE787">
        <v>-0.597899999999981</v>
      </c>
      <c r="AF787">
        <v>0.40067799980700097</v>
      </c>
      <c r="AG787">
        <v>-1.1597569999999999</v>
      </c>
      <c r="AH787">
        <v>24.0304750921573</v>
      </c>
      <c r="AI787">
        <v>92.762677314287203</v>
      </c>
      <c r="AJ787">
        <v>89.044753333803001</v>
      </c>
      <c r="AK787">
        <v>24.061781154215801</v>
      </c>
      <c r="AL787">
        <v>83.319754711351607</v>
      </c>
      <c r="AM787">
        <v>87.994257608097101</v>
      </c>
      <c r="AN787">
        <v>0.99999999938557005</v>
      </c>
    </row>
    <row r="788" spans="1:40" x14ac:dyDescent="0.25">
      <c r="A788" t="str">
        <f>"20190312164007694"</f>
        <v>20190312164007694</v>
      </c>
      <c r="B788" t="str">
        <f>"1552380007687228"</f>
        <v>1552380007687228</v>
      </c>
      <c r="C788" t="s">
        <v>40</v>
      </c>
      <c r="D788">
        <v>5.0915860000000004</v>
      </c>
      <c r="E788">
        <v>0.49560690000000002</v>
      </c>
      <c r="F788" t="s">
        <v>43</v>
      </c>
      <c r="G788">
        <v>-312.84289999999999</v>
      </c>
      <c r="H788">
        <v>-0.05</v>
      </c>
      <c r="I788">
        <v>367.52879999999999</v>
      </c>
      <c r="J788">
        <v>-336.66930000000002</v>
      </c>
      <c r="K788">
        <v>1.1097539999999999</v>
      </c>
      <c r="L788">
        <v>368.10129999999998</v>
      </c>
      <c r="M788">
        <v>0.99990840000000003</v>
      </c>
      <c r="N788">
        <v>0</v>
      </c>
      <c r="O788">
        <v>-8.1495939999999996E-3</v>
      </c>
      <c r="P788">
        <v>0.99349860000000001</v>
      </c>
      <c r="Q788">
        <v>0.1055746</v>
      </c>
      <c r="R788">
        <v>-4.2597860000000001E-2</v>
      </c>
      <c r="S788">
        <v>3.0321039999999999</v>
      </c>
      <c r="T788">
        <v>-0.14649110000000001</v>
      </c>
      <c r="U788">
        <v>-7.2509770000000001E-2</v>
      </c>
      <c r="V788">
        <v>3.4503579999999999E-2</v>
      </c>
      <c r="W788">
        <v>0.1163093</v>
      </c>
      <c r="X788">
        <v>0.99261359999999998</v>
      </c>
      <c r="Y788">
        <v>1.5749780000000001E-2</v>
      </c>
      <c r="Z788" s="1">
        <v>1.327245E-5</v>
      </c>
      <c r="AA788">
        <v>0.99987599999999999</v>
      </c>
      <c r="AB788">
        <v>33</v>
      </c>
      <c r="AC788">
        <v>23.8264</v>
      </c>
      <c r="AD788">
        <v>-1.159754</v>
      </c>
      <c r="AE788">
        <v>-0.57249999999999002</v>
      </c>
      <c r="AF788">
        <v>0.37740051246890799</v>
      </c>
      <c r="AG788">
        <v>-1.159754</v>
      </c>
      <c r="AH788">
        <v>23.773980062439701</v>
      </c>
      <c r="AI788">
        <v>92.7924656717273</v>
      </c>
      <c r="AJ788">
        <v>89.090533415300797</v>
      </c>
      <c r="AK788">
        <v>23.805242878336902</v>
      </c>
      <c r="AL788">
        <v>83.320851141774696</v>
      </c>
      <c r="AM788">
        <v>88.009181147400895</v>
      </c>
      <c r="AN788">
        <v>1.0000000546021299</v>
      </c>
    </row>
    <row r="789" spans="1:40" x14ac:dyDescent="0.25">
      <c r="A789" t="str">
        <f>"20190312164007705"</f>
        <v>20190312164007705</v>
      </c>
      <c r="B789" t="str">
        <f>"1552380007696988"</f>
        <v>1552380007696988</v>
      </c>
      <c r="C789" t="s">
        <v>40</v>
      </c>
      <c r="D789">
        <v>5.1772629999999999</v>
      </c>
      <c r="E789">
        <v>0.49540329999999999</v>
      </c>
      <c r="F789" t="s">
        <v>43</v>
      </c>
      <c r="G789">
        <v>-312.81920000000002</v>
      </c>
      <c r="H789">
        <v>-0.05</v>
      </c>
      <c r="I789">
        <v>367.55259999999998</v>
      </c>
      <c r="J789">
        <v>-336.50139999999999</v>
      </c>
      <c r="K789">
        <v>1.109753</v>
      </c>
      <c r="L789">
        <v>368.1</v>
      </c>
      <c r="M789">
        <v>0.99990840000000003</v>
      </c>
      <c r="N789">
        <v>0</v>
      </c>
      <c r="O789">
        <v>-8.1493650000000004E-3</v>
      </c>
      <c r="P789">
        <v>0.99349679999999996</v>
      </c>
      <c r="Q789">
        <v>0.1057023</v>
      </c>
      <c r="R789">
        <v>-4.2323079999999999E-2</v>
      </c>
      <c r="S789">
        <v>3.0323180000000001</v>
      </c>
      <c r="T789">
        <v>-0.14745179999999999</v>
      </c>
      <c r="U789">
        <v>-6.9763179999999994E-2</v>
      </c>
      <c r="V789">
        <v>3.4229259999999997E-2</v>
      </c>
      <c r="W789">
        <v>0.1164386</v>
      </c>
      <c r="X789">
        <v>0.99260789999999999</v>
      </c>
      <c r="Y789">
        <v>1.4844110000000001E-2</v>
      </c>
      <c r="Z789" s="1">
        <v>3.535167E-5</v>
      </c>
      <c r="AA789">
        <v>0.99988980000000005</v>
      </c>
      <c r="AB789">
        <v>33</v>
      </c>
      <c r="AC789">
        <v>23.682199999999899</v>
      </c>
      <c r="AD789">
        <v>-1.159753</v>
      </c>
      <c r="AE789">
        <v>-0.54740000000003797</v>
      </c>
      <c r="AF789">
        <v>0.35352827711102403</v>
      </c>
      <c r="AG789">
        <v>-1.159753</v>
      </c>
      <c r="AH789">
        <v>23.6292371500938</v>
      </c>
      <c r="AI789">
        <v>92.809580894755896</v>
      </c>
      <c r="AJ789">
        <v>89.1428344931917</v>
      </c>
      <c r="AK789">
        <v>23.6603224314273</v>
      </c>
      <c r="AL789">
        <v>83.313391861219301</v>
      </c>
      <c r="AM789">
        <v>88.024985194117207</v>
      </c>
      <c r="AN789">
        <v>1.0000000164762499</v>
      </c>
    </row>
    <row r="790" spans="1:40" x14ac:dyDescent="0.25">
      <c r="A790" t="str">
        <f>"20190312164007718"</f>
        <v>20190312164007718</v>
      </c>
      <c r="B790" t="str">
        <f>"1552380007706747"</f>
        <v>1552380007706747</v>
      </c>
      <c r="C790" t="s">
        <v>40</v>
      </c>
      <c r="D790">
        <v>5.0937960000000002</v>
      </c>
      <c r="E790">
        <v>0.49518109999999999</v>
      </c>
      <c r="F790" t="s">
        <v>43</v>
      </c>
      <c r="G790">
        <v>-312.73200000000003</v>
      </c>
      <c r="H790">
        <v>-0.05</v>
      </c>
      <c r="I790">
        <v>367.5702</v>
      </c>
      <c r="J790">
        <v>-336.31950000000001</v>
      </c>
      <c r="K790">
        <v>1.1097549999999901</v>
      </c>
      <c r="L790">
        <v>368.0985</v>
      </c>
      <c r="M790">
        <v>0.99990840000000003</v>
      </c>
      <c r="N790">
        <v>0</v>
      </c>
      <c r="O790">
        <v>-8.1493739999999992E-3</v>
      </c>
      <c r="P790">
        <v>0.99351109999999998</v>
      </c>
      <c r="Q790">
        <v>0.1055904</v>
      </c>
      <c r="R790">
        <v>-4.2266579999999998E-2</v>
      </c>
      <c r="S790">
        <v>3.0325009999999999</v>
      </c>
      <c r="T790">
        <v>-0.1479615</v>
      </c>
      <c r="U790">
        <v>-6.7596439999999994E-2</v>
      </c>
      <c r="V790">
        <v>3.4172519999999998E-2</v>
      </c>
      <c r="W790">
        <v>0.11632869999999999</v>
      </c>
      <c r="X790">
        <v>0.99262269999999997</v>
      </c>
      <c r="Y790">
        <v>1.412944E-2</v>
      </c>
      <c r="Z790" s="1">
        <v>5.2895110000000002E-5</v>
      </c>
      <c r="AA790">
        <v>0.99990020000000002</v>
      </c>
      <c r="AB790">
        <v>33</v>
      </c>
      <c r="AC790">
        <v>23.587499999999899</v>
      </c>
      <c r="AD790">
        <v>-1.1597550000000001</v>
      </c>
      <c r="AE790">
        <v>-0.52830000000000099</v>
      </c>
      <c r="AF790">
        <v>0.33523783556938502</v>
      </c>
      <c r="AG790">
        <v>-1.1597550000000001</v>
      </c>
      <c r="AH790">
        <v>23.534156625991201</v>
      </c>
      <c r="AI790">
        <v>92.820947934701607</v>
      </c>
      <c r="AJ790">
        <v>89.183891973994093</v>
      </c>
      <c r="AK790">
        <v>23.5651001305555</v>
      </c>
      <c r="AL790">
        <v>83.319731479855193</v>
      </c>
      <c r="AM790">
        <v>88.028285858899594</v>
      </c>
      <c r="AN790">
        <v>0.99999997606106406</v>
      </c>
    </row>
    <row r="791" spans="1:40" x14ac:dyDescent="0.25">
      <c r="A791" t="str">
        <f>"20190312164007731"</f>
        <v>20190312164007731</v>
      </c>
      <c r="B791" t="str">
        <f>"1552380007727244"</f>
        <v>1552380007727244</v>
      </c>
      <c r="C791" t="s">
        <v>40</v>
      </c>
      <c r="D791">
        <v>4.9653729999999996</v>
      </c>
      <c r="E791">
        <v>0.49475649999999899</v>
      </c>
      <c r="F791" t="s">
        <v>43</v>
      </c>
      <c r="G791">
        <v>-312.7115</v>
      </c>
      <c r="H791">
        <v>-0.05</v>
      </c>
      <c r="I791">
        <v>367.58679999999998</v>
      </c>
      <c r="J791">
        <v>-336.1275</v>
      </c>
      <c r="K791">
        <v>1.1097539999999999</v>
      </c>
      <c r="L791">
        <v>368.09699999999998</v>
      </c>
      <c r="M791">
        <v>0.99990829999999997</v>
      </c>
      <c r="N791">
        <v>0</v>
      </c>
      <c r="O791">
        <v>-8.1487899999999995E-3</v>
      </c>
      <c r="P791">
        <v>0.99351719999999999</v>
      </c>
      <c r="Q791">
        <v>0.1057042</v>
      </c>
      <c r="R791">
        <v>-4.1836720000000001E-2</v>
      </c>
      <c r="S791">
        <v>3.0326230000000001</v>
      </c>
      <c r="T791">
        <v>-0.1489791</v>
      </c>
      <c r="U791">
        <v>-6.5734860000000006E-2</v>
      </c>
      <c r="V791">
        <v>3.3743199999999897E-2</v>
      </c>
      <c r="W791">
        <v>0.1164448</v>
      </c>
      <c r="X791">
        <v>0.99262379999999995</v>
      </c>
      <c r="Y791">
        <v>1.351628E-2</v>
      </c>
      <c r="Z791" s="1">
        <v>6.82786E-5</v>
      </c>
      <c r="AA791">
        <v>0.99990860000000004</v>
      </c>
      <c r="AB791">
        <v>33</v>
      </c>
      <c r="AC791">
        <v>23.416</v>
      </c>
      <c r="AD791">
        <v>-1.159754</v>
      </c>
      <c r="AE791">
        <v>-0.51019999999999699</v>
      </c>
      <c r="AF791">
        <v>0.31857871076150801</v>
      </c>
      <c r="AG791">
        <v>-1.159754</v>
      </c>
      <c r="AH791">
        <v>23.362099013003402</v>
      </c>
      <c r="AI791">
        <v>92.841711376760898</v>
      </c>
      <c r="AJ791">
        <v>89.2187309772617</v>
      </c>
      <c r="AK791">
        <v>23.393037255321101</v>
      </c>
      <c r="AL791">
        <v>83.313034094844596</v>
      </c>
      <c r="AM791">
        <v>88.053040087311999</v>
      </c>
      <c r="AN791">
        <v>1.00000000165986</v>
      </c>
    </row>
    <row r="792" spans="1:40" x14ac:dyDescent="0.25">
      <c r="A792" t="str">
        <f>"20190312164007747"</f>
        <v>20190312164007747</v>
      </c>
      <c r="B792" t="str">
        <f>"1552380007737003"</f>
        <v>1552380007737003</v>
      </c>
      <c r="C792" t="s">
        <v>40</v>
      </c>
      <c r="D792">
        <v>4.9379479999999996</v>
      </c>
      <c r="E792">
        <v>0.4945582</v>
      </c>
      <c r="F792" t="s">
        <v>43</v>
      </c>
      <c r="G792">
        <v>-312.56049999999999</v>
      </c>
      <c r="H792">
        <v>-0.05</v>
      </c>
      <c r="I792">
        <v>367.6232</v>
      </c>
      <c r="J792">
        <v>-335.87990000000002</v>
      </c>
      <c r="K792">
        <v>1.1097509999999999</v>
      </c>
      <c r="L792">
        <v>368.09500000000003</v>
      </c>
      <c r="M792">
        <v>0.99990829999999997</v>
      </c>
      <c r="N792">
        <v>0</v>
      </c>
      <c r="O792">
        <v>-8.1484460000000002E-3</v>
      </c>
      <c r="P792">
        <v>0.99354730000000002</v>
      </c>
      <c r="Q792">
        <v>0.1055649</v>
      </c>
      <c r="R792">
        <v>-4.1473019999999999E-2</v>
      </c>
      <c r="S792">
        <v>3.0328979999999999</v>
      </c>
      <c r="T792">
        <v>-0.14925160000000001</v>
      </c>
      <c r="U792">
        <v>-6.097412E-2</v>
      </c>
      <c r="V792">
        <v>3.3379689999999997E-2</v>
      </c>
      <c r="W792">
        <v>0.11630790000000001</v>
      </c>
      <c r="X792">
        <v>0.99265210000000004</v>
      </c>
      <c r="Y792">
        <v>1.1947650000000001E-2</v>
      </c>
      <c r="Z792">
        <v>1.069516E-4</v>
      </c>
      <c r="AA792">
        <v>0.99992859999999995</v>
      </c>
      <c r="AB792">
        <v>33</v>
      </c>
      <c r="AC792">
        <v>23.319400000000002</v>
      </c>
      <c r="AD792">
        <v>-1.159751</v>
      </c>
      <c r="AE792">
        <v>-0.47180000000002997</v>
      </c>
      <c r="AF792">
        <v>0.28106145311962799</v>
      </c>
      <c r="AG792">
        <v>-1.159751</v>
      </c>
      <c r="AH792">
        <v>23.264950349631601</v>
      </c>
      <c r="AI792">
        <v>92.853607696409497</v>
      </c>
      <c r="AJ792">
        <v>89.307849299364094</v>
      </c>
      <c r="AK792">
        <v>23.2955346084449</v>
      </c>
      <c r="AL792">
        <v>83.320931279120202</v>
      </c>
      <c r="AM792">
        <v>88.074053354848104</v>
      </c>
      <c r="AN792">
        <v>0.99999996147065695</v>
      </c>
    </row>
    <row r="793" spans="1:40" x14ac:dyDescent="0.25">
      <c r="A793" t="str">
        <f>"20190312164007771"</f>
        <v>20190312164007771</v>
      </c>
      <c r="B793" t="str">
        <f>"1552380007767259"</f>
        <v>1552380007767259</v>
      </c>
      <c r="C793" t="s">
        <v>40</v>
      </c>
      <c r="D793">
        <v>4.9996960000000001</v>
      </c>
      <c r="E793">
        <v>0.49361179999999899</v>
      </c>
      <c r="F793" t="s">
        <v>43</v>
      </c>
      <c r="G793">
        <v>-312.39960000000002</v>
      </c>
      <c r="H793">
        <v>-0.05</v>
      </c>
      <c r="I793">
        <v>367.64249999999998</v>
      </c>
      <c r="J793">
        <v>-335.53140000000002</v>
      </c>
      <c r="K793">
        <v>1.10975</v>
      </c>
      <c r="L793">
        <v>368.09210000000002</v>
      </c>
      <c r="M793">
        <v>0.99990829999999997</v>
      </c>
      <c r="N793">
        <v>0</v>
      </c>
      <c r="O793">
        <v>-8.1478660000000001E-3</v>
      </c>
      <c r="P793">
        <v>0.99356250000000002</v>
      </c>
      <c r="Q793">
        <v>0.1056068</v>
      </c>
      <c r="R793">
        <v>-4.1001870000000003E-2</v>
      </c>
      <c r="S793">
        <v>3.032959</v>
      </c>
      <c r="T793">
        <v>-0.149805299999999</v>
      </c>
      <c r="U793">
        <v>-5.8441159999999999E-2</v>
      </c>
      <c r="V793">
        <v>3.2908949999999999E-2</v>
      </c>
      <c r="W793">
        <v>0.1163529</v>
      </c>
      <c r="X793">
        <v>0.99266259999999995</v>
      </c>
      <c r="Y793">
        <v>1.111403E-2</v>
      </c>
      <c r="Z793">
        <v>1.2789100000000001E-4</v>
      </c>
      <c r="AA793">
        <v>0.9999382</v>
      </c>
      <c r="AB793">
        <v>33</v>
      </c>
      <c r="AC793">
        <v>23.131799999999998</v>
      </c>
      <c r="AD793">
        <v>-1.1597500000000001</v>
      </c>
      <c r="AE793">
        <v>-0.44960000000003197</v>
      </c>
      <c r="AF793">
        <v>0.26044481263667801</v>
      </c>
      <c r="AG793">
        <v>-1.1597500000000001</v>
      </c>
      <c r="AH793">
        <v>23.076710010960401</v>
      </c>
      <c r="AI793">
        <v>92.876870267449107</v>
      </c>
      <c r="AJ793">
        <v>89.353384645274204</v>
      </c>
      <c r="AK793">
        <v>23.107301800359298</v>
      </c>
      <c r="AL793">
        <v>83.318335715962206</v>
      </c>
      <c r="AM793">
        <v>88.101214231529696</v>
      </c>
      <c r="AN793">
        <v>1.00000001688363</v>
      </c>
    </row>
    <row r="794" spans="1:40" x14ac:dyDescent="0.25">
      <c r="A794" t="str">
        <f>"20190312164007783"</f>
        <v>20190312164007783</v>
      </c>
      <c r="B794" t="str">
        <f>"1552380007777021"</f>
        <v>1552380007777021</v>
      </c>
      <c r="C794" t="s">
        <v>40</v>
      </c>
      <c r="D794">
        <v>4.9947739999999996</v>
      </c>
      <c r="E794">
        <v>0.49361179999999899</v>
      </c>
      <c r="F794" t="s">
        <v>43</v>
      </c>
      <c r="G794">
        <v>-311.87889999999999</v>
      </c>
      <c r="H794">
        <v>-0.05</v>
      </c>
      <c r="I794">
        <v>367.70299999999997</v>
      </c>
      <c r="J794">
        <v>-335.34609999999998</v>
      </c>
      <c r="K794">
        <v>1.1097490000000001</v>
      </c>
      <c r="L794">
        <v>368.09059999999999</v>
      </c>
      <c r="M794">
        <v>0.99990840000000003</v>
      </c>
      <c r="N794">
        <v>0</v>
      </c>
      <c r="O794">
        <v>-8.1478760000000001E-3</v>
      </c>
      <c r="P794">
        <v>0.9935756</v>
      </c>
      <c r="Q794">
        <v>0.1055932</v>
      </c>
      <c r="R794">
        <v>-4.0719669999999999E-2</v>
      </c>
      <c r="S794">
        <v>3.0332029999999999</v>
      </c>
      <c r="T794">
        <v>-0.14872650000000001</v>
      </c>
      <c r="U794">
        <v>-4.9896240000000001E-2</v>
      </c>
      <c r="V794">
        <v>3.2626570000000001E-2</v>
      </c>
      <c r="W794">
        <v>0.1163415</v>
      </c>
      <c r="X794">
        <v>0.99267320000000003</v>
      </c>
      <c r="Y794">
        <v>8.2998120000000002E-3</v>
      </c>
      <c r="Z794">
        <v>1.9591399999999999E-4</v>
      </c>
      <c r="AA794">
        <v>0.99996549999999995</v>
      </c>
      <c r="AB794">
        <v>33</v>
      </c>
      <c r="AC794">
        <v>23.467199999999899</v>
      </c>
      <c r="AD794">
        <v>-1.1597489999999999</v>
      </c>
      <c r="AE794">
        <v>-0.38759999999996297</v>
      </c>
      <c r="AF794">
        <v>0.19588983040881799</v>
      </c>
      <c r="AG794">
        <v>-1.1597489999999999</v>
      </c>
      <c r="AH794">
        <v>23.4124138349841</v>
      </c>
      <c r="AI794">
        <v>92.835766234445202</v>
      </c>
      <c r="AJ794">
        <v>89.520621892448304</v>
      </c>
      <c r="AK794">
        <v>23.441939172116601</v>
      </c>
      <c r="AL794">
        <v>83.318992971308703</v>
      </c>
      <c r="AM794">
        <v>88.117515350868203</v>
      </c>
      <c r="AN794">
        <v>0.99999995984522605</v>
      </c>
    </row>
    <row r="795" spans="1:40" x14ac:dyDescent="0.25">
      <c r="A795" t="str">
        <f>"20190312164007796"</f>
        <v>20190312164007796</v>
      </c>
      <c r="B795" t="str">
        <f>"1552380007786779"</f>
        <v>1552380007786779</v>
      </c>
      <c r="C795" t="s">
        <v>40</v>
      </c>
      <c r="D795">
        <v>4.9272869999999998</v>
      </c>
      <c r="E795">
        <v>0.45227539999999999</v>
      </c>
      <c r="F795" t="s">
        <v>43</v>
      </c>
      <c r="G795">
        <v>-311.69240000000002</v>
      </c>
      <c r="H795">
        <v>-0.05</v>
      </c>
      <c r="I795">
        <v>367.7133</v>
      </c>
      <c r="J795">
        <v>-335.15640000000002</v>
      </c>
      <c r="K795">
        <v>1.109745</v>
      </c>
      <c r="L795">
        <v>368.08909999999997</v>
      </c>
      <c r="M795">
        <v>0.99990829999999997</v>
      </c>
      <c r="N795">
        <v>0</v>
      </c>
      <c r="O795">
        <v>-8.1476459999999997E-3</v>
      </c>
      <c r="P795">
        <v>0.99361339999999998</v>
      </c>
      <c r="Q795">
        <v>0.10529669999999999</v>
      </c>
      <c r="R795">
        <v>-4.0558940000000002E-2</v>
      </c>
      <c r="S795">
        <v>3.0332340000000002</v>
      </c>
      <c r="T795">
        <v>-0.14872050000000001</v>
      </c>
      <c r="U795">
        <v>-4.8370360000000001E-2</v>
      </c>
      <c r="V795">
        <v>3.2465769999999998E-2</v>
      </c>
      <c r="W795">
        <v>0.1160474</v>
      </c>
      <c r="X795">
        <v>0.99271290000000001</v>
      </c>
      <c r="Y795">
        <v>7.7975739999999998E-3</v>
      </c>
      <c r="Z795">
        <v>2.0819830000000001E-4</v>
      </c>
      <c r="AA795">
        <v>0.99996960000000001</v>
      </c>
      <c r="AB795">
        <v>33</v>
      </c>
      <c r="AC795">
        <v>23.463999999999999</v>
      </c>
      <c r="AD795">
        <v>-1.159745</v>
      </c>
      <c r="AE795">
        <v>-0.37579999999996899</v>
      </c>
      <c r="AF795">
        <v>0.184150212539578</v>
      </c>
      <c r="AG795">
        <v>-1.159745</v>
      </c>
      <c r="AH795">
        <v>23.409109688229702</v>
      </c>
      <c r="AI795">
        <v>92.836167575360605</v>
      </c>
      <c r="AJ795">
        <v>89.549286048090906</v>
      </c>
      <c r="AK795">
        <v>23.438543814865501</v>
      </c>
      <c r="AL795">
        <v>83.335958602391898</v>
      </c>
      <c r="AM795">
        <v>88.126861406469402</v>
      </c>
      <c r="AN795">
        <v>0.99999996354743004</v>
      </c>
    </row>
    <row r="796" spans="1:40" x14ac:dyDescent="0.25">
      <c r="A796" t="str">
        <f>"20190312164007811"</f>
        <v>20190312164007811</v>
      </c>
      <c r="B796" t="str">
        <f>"1552380007807275"</f>
        <v>1552380007807275</v>
      </c>
      <c r="C796" t="s">
        <v>40</v>
      </c>
      <c r="D796">
        <v>4.881526</v>
      </c>
      <c r="E796">
        <v>0.45035799999999998</v>
      </c>
      <c r="F796" t="s">
        <v>43</v>
      </c>
      <c r="G796">
        <v>-296.57279999999997</v>
      </c>
      <c r="H796">
        <v>-0.05</v>
      </c>
      <c r="I796">
        <v>371.63069999999999</v>
      </c>
      <c r="J796">
        <v>-334.95</v>
      </c>
      <c r="K796">
        <v>1.1097440000000001</v>
      </c>
      <c r="L796">
        <v>368.08730000000003</v>
      </c>
      <c r="M796">
        <v>0.99990829999999997</v>
      </c>
      <c r="N796">
        <v>0</v>
      </c>
      <c r="O796">
        <v>-8.1474169999999901E-3</v>
      </c>
      <c r="P796">
        <v>0.99364110000000005</v>
      </c>
      <c r="Q796">
        <v>0.10507759999999999</v>
      </c>
      <c r="R796">
        <v>-4.0450350000000003E-2</v>
      </c>
      <c r="S796">
        <v>3.0403440000000002</v>
      </c>
      <c r="T796">
        <v>-9.1386679999999998E-2</v>
      </c>
      <c r="U796">
        <v>0.27908329999999998</v>
      </c>
      <c r="V796">
        <v>3.2357289999999997E-2</v>
      </c>
      <c r="W796">
        <v>0.1158305</v>
      </c>
      <c r="X796">
        <v>0.99274180000000001</v>
      </c>
      <c r="Y796">
        <v>-9.9471539999999997E-2</v>
      </c>
      <c r="Z796">
        <v>1.735849E-3</v>
      </c>
      <c r="AA796">
        <v>0.99503889999999995</v>
      </c>
      <c r="AB796">
        <v>33</v>
      </c>
      <c r="AC796">
        <v>38.377200000000002</v>
      </c>
      <c r="AD796">
        <v>-1.1597440000000001</v>
      </c>
      <c r="AE796">
        <v>3.5433999999999601</v>
      </c>
      <c r="AF796">
        <v>-3.8524872767086502</v>
      </c>
      <c r="AG796">
        <v>-1.1597440000000001</v>
      </c>
      <c r="AH796">
        <v>38.312362785611597</v>
      </c>
      <c r="AI796">
        <v>91.725162290418297</v>
      </c>
      <c r="AJ796">
        <v>95.742057414861407</v>
      </c>
      <c r="AK796">
        <v>38.523029561277397</v>
      </c>
      <c r="AL796">
        <v>83.348470611092793</v>
      </c>
      <c r="AM796">
        <v>88.133170119527307</v>
      </c>
      <c r="AN796">
        <v>0.99999999020681696</v>
      </c>
    </row>
    <row r="797" spans="1:40" x14ac:dyDescent="0.25">
      <c r="A797" t="str">
        <f>"20190312164007849"</f>
        <v>20190312164007849</v>
      </c>
      <c r="B797" t="str">
        <f>"1552380007836556"</f>
        <v>1552380007836556</v>
      </c>
      <c r="C797" t="s">
        <v>40</v>
      </c>
      <c r="D797">
        <v>4.93391</v>
      </c>
      <c r="E797">
        <v>0.44961479999999998</v>
      </c>
      <c r="F797" t="s">
        <v>43</v>
      </c>
      <c r="G797">
        <v>-300.34570000000002</v>
      </c>
      <c r="H797">
        <v>-0.05</v>
      </c>
      <c r="I797">
        <v>371.44400000000002</v>
      </c>
      <c r="J797">
        <v>-334.36610000000002</v>
      </c>
      <c r="K797">
        <v>1.1097429999999999</v>
      </c>
      <c r="L797">
        <v>368.08260000000001</v>
      </c>
      <c r="M797">
        <v>0.99990820000000002</v>
      </c>
      <c r="N797">
        <v>0</v>
      </c>
      <c r="O797">
        <v>-8.1469679999999992E-3</v>
      </c>
      <c r="P797">
        <v>0.99375860000000005</v>
      </c>
      <c r="Q797">
        <v>0.1040547</v>
      </c>
      <c r="R797">
        <v>-4.021011E-2</v>
      </c>
      <c r="S797">
        <v>3.041992</v>
      </c>
      <c r="T797">
        <v>-0.10195079999999999</v>
      </c>
      <c r="U797">
        <v>0.29507450000000002</v>
      </c>
      <c r="V797">
        <v>3.2116480000000003E-2</v>
      </c>
      <c r="W797">
        <v>0.114814</v>
      </c>
      <c r="X797">
        <v>0.99286770000000002</v>
      </c>
      <c r="Y797">
        <v>-0.10459069999999999</v>
      </c>
      <c r="Z797">
        <v>2.020427E-3</v>
      </c>
      <c r="AA797">
        <v>0.99451330000000004</v>
      </c>
      <c r="AB797">
        <v>33</v>
      </c>
      <c r="AC797">
        <v>34.020399999999903</v>
      </c>
      <c r="AD797">
        <v>-1.159743</v>
      </c>
      <c r="AE797">
        <v>3.3614000000000002</v>
      </c>
      <c r="AF797">
        <v>-3.6342852058370601</v>
      </c>
      <c r="AG797">
        <v>-1.159743</v>
      </c>
      <c r="AH797">
        <v>33.952808811051398</v>
      </c>
      <c r="AI797">
        <v>91.945216648303699</v>
      </c>
      <c r="AJ797">
        <v>96.109637984559996</v>
      </c>
      <c r="AK797">
        <v>34.166449317176998</v>
      </c>
      <c r="AL797">
        <v>83.407103001774104</v>
      </c>
      <c r="AM797">
        <v>88.147288550707401</v>
      </c>
      <c r="AN797">
        <v>0.99999999629344005</v>
      </c>
    </row>
    <row r="798" spans="1:40" x14ac:dyDescent="0.25">
      <c r="A798" t="str">
        <f>"20190312164007861"</f>
        <v>20190312164007861</v>
      </c>
      <c r="B798" t="str">
        <f>"1552380007856734"</f>
        <v>1552380007856734</v>
      </c>
      <c r="C798" t="s">
        <v>40</v>
      </c>
      <c r="D798">
        <v>5.0636489999999998</v>
      </c>
      <c r="E798">
        <v>0.44955600000000001</v>
      </c>
      <c r="F798" t="s">
        <v>43</v>
      </c>
      <c r="G798">
        <v>-301.26420000000002</v>
      </c>
      <c r="H798">
        <v>-0.05</v>
      </c>
      <c r="I798">
        <v>371.3657</v>
      </c>
      <c r="J798">
        <v>-334.17970000000003</v>
      </c>
      <c r="K798">
        <v>1.109737</v>
      </c>
      <c r="L798">
        <v>368.08109999999999</v>
      </c>
      <c r="M798">
        <v>0.99990809999999997</v>
      </c>
      <c r="N798">
        <v>0</v>
      </c>
      <c r="O798">
        <v>-8.14685699999999E-3</v>
      </c>
      <c r="P798">
        <v>0.99377649999999995</v>
      </c>
      <c r="Q798">
        <v>0.1038755</v>
      </c>
      <c r="R798">
        <v>-4.0223519999999999E-2</v>
      </c>
      <c r="S798">
        <v>3.0421749999999999</v>
      </c>
      <c r="T798">
        <v>-0.1065841</v>
      </c>
      <c r="U798">
        <v>0.30172729999999998</v>
      </c>
      <c r="V798">
        <v>3.2129940000000003E-2</v>
      </c>
      <c r="W798">
        <v>0.1146369</v>
      </c>
      <c r="X798">
        <v>0.99288770000000004</v>
      </c>
      <c r="Y798">
        <v>-0.1067316</v>
      </c>
      <c r="Z798">
        <v>2.1492410000000001E-3</v>
      </c>
      <c r="AA798">
        <v>0.99428550000000004</v>
      </c>
      <c r="AB798">
        <v>33</v>
      </c>
      <c r="AC798">
        <v>32.915500000000002</v>
      </c>
      <c r="AD798">
        <v>-1.159737</v>
      </c>
      <c r="AE798">
        <v>3.28460000000001</v>
      </c>
      <c r="AF798">
        <v>-3.54830310327758</v>
      </c>
      <c r="AG798">
        <v>-1.159737</v>
      </c>
      <c r="AH798">
        <v>32.847271641037302</v>
      </c>
      <c r="AI798">
        <v>92.010413004956803</v>
      </c>
      <c r="AJ798">
        <v>96.165427945557596</v>
      </c>
      <c r="AK798">
        <v>33.058715932140998</v>
      </c>
      <c r="AL798">
        <v>83.417317343708206</v>
      </c>
      <c r="AM798">
        <v>88.146549931036901</v>
      </c>
      <c r="AN798">
        <v>0.99999996834865101</v>
      </c>
    </row>
    <row r="799" spans="1:40" x14ac:dyDescent="0.25">
      <c r="A799" t="str">
        <f>"20190312164007883"</f>
        <v>20190312164007883</v>
      </c>
      <c r="B799" t="str">
        <f>"1552380007877228"</f>
        <v>1552380007877228</v>
      </c>
      <c r="C799" t="s">
        <v>40</v>
      </c>
      <c r="D799">
        <v>5.5569089999999903</v>
      </c>
      <c r="E799">
        <v>0.4501481</v>
      </c>
      <c r="F799" t="s">
        <v>43</v>
      </c>
      <c r="G799">
        <v>-303.85309999999998</v>
      </c>
      <c r="H799">
        <v>-0.05</v>
      </c>
      <c r="I799">
        <v>371.09910000000002</v>
      </c>
      <c r="J799">
        <v>-333.86130000000003</v>
      </c>
      <c r="K799">
        <v>1.1097349999999999</v>
      </c>
      <c r="L799">
        <v>368.07850000000002</v>
      </c>
      <c r="M799">
        <v>0.99990820000000002</v>
      </c>
      <c r="N799">
        <v>0</v>
      </c>
      <c r="O799">
        <v>-8.1465140000000005E-3</v>
      </c>
      <c r="P799">
        <v>0.99381109999999995</v>
      </c>
      <c r="Q799">
        <v>0.1035017</v>
      </c>
      <c r="R799">
        <v>-4.0340559999999998E-2</v>
      </c>
      <c r="S799">
        <v>3.0432739999999998</v>
      </c>
      <c r="T799">
        <v>-0.1163795</v>
      </c>
      <c r="U799">
        <v>0.30285640000000003</v>
      </c>
      <c r="V799">
        <v>3.2246759999999999E-2</v>
      </c>
      <c r="W799">
        <v>0.1142664</v>
      </c>
      <c r="X799">
        <v>0.99292670000000005</v>
      </c>
      <c r="Y799">
        <v>-0.1070478</v>
      </c>
      <c r="Z799">
        <v>2.351756E-3</v>
      </c>
      <c r="AA799">
        <v>0.99425110000000005</v>
      </c>
      <c r="AB799">
        <v>33</v>
      </c>
      <c r="AC799">
        <v>30.008199999999999</v>
      </c>
      <c r="AD799">
        <v>-1.159735</v>
      </c>
      <c r="AE799">
        <v>3.0206</v>
      </c>
      <c r="AF799">
        <v>-3.2601557430521599</v>
      </c>
      <c r="AG799">
        <v>-1.159735</v>
      </c>
      <c r="AH799">
        <v>29.938327609520002</v>
      </c>
      <c r="AI799">
        <v>92.205359863383293</v>
      </c>
      <c r="AJ799">
        <v>96.214776853184404</v>
      </c>
      <c r="AK799">
        <v>30.1376352886906</v>
      </c>
      <c r="AL799">
        <v>83.438686369631597</v>
      </c>
      <c r="AM799">
        <v>88.139888782542698</v>
      </c>
      <c r="AN799">
        <v>1.0000000476361699</v>
      </c>
    </row>
    <row r="800" spans="1:40" x14ac:dyDescent="0.25">
      <c r="A800" t="str">
        <f>"20190312164007894"</f>
        <v>20190312164007894</v>
      </c>
      <c r="B800" t="str">
        <f>"1552380007886988"</f>
        <v>1552380007886988</v>
      </c>
      <c r="C800" t="s">
        <v>40</v>
      </c>
      <c r="D800">
        <v>4.8969940000000003</v>
      </c>
      <c r="E800">
        <v>0.4500479</v>
      </c>
      <c r="F800" t="s">
        <v>43</v>
      </c>
      <c r="G800">
        <v>-302.5034</v>
      </c>
      <c r="H800">
        <v>-0.05</v>
      </c>
      <c r="I800">
        <v>371.14640000000003</v>
      </c>
      <c r="J800">
        <v>-333.67599999999999</v>
      </c>
      <c r="K800">
        <v>1.109739</v>
      </c>
      <c r="L800">
        <v>368.07690000000002</v>
      </c>
      <c r="M800">
        <v>0.99990809999999997</v>
      </c>
      <c r="N800">
        <v>0</v>
      </c>
      <c r="O800">
        <v>-8.1462840000000002E-3</v>
      </c>
      <c r="P800">
        <v>0.99382870000000001</v>
      </c>
      <c r="Q800">
        <v>0.1032676</v>
      </c>
      <c r="R800">
        <v>-4.0504310000000002E-2</v>
      </c>
      <c r="S800">
        <v>3.0424799999999999</v>
      </c>
      <c r="T800">
        <v>-0.1125227</v>
      </c>
      <c r="U800">
        <v>0.2976685</v>
      </c>
      <c r="V800">
        <v>3.2410580000000001E-2</v>
      </c>
      <c r="W800">
        <v>0.11403430000000001</v>
      </c>
      <c r="X800">
        <v>0.99294800000000005</v>
      </c>
      <c r="Y800">
        <v>-0.10540040000000001</v>
      </c>
      <c r="Z800">
        <v>2.2442629999999998E-3</v>
      </c>
      <c r="AA800">
        <v>0.99442730000000001</v>
      </c>
      <c r="AB800">
        <v>33</v>
      </c>
      <c r="AC800">
        <v>31.1725999999999</v>
      </c>
      <c r="AD800">
        <v>-1.1597389999999901</v>
      </c>
      <c r="AE800">
        <v>3.0695000000000001</v>
      </c>
      <c r="AF800">
        <v>-3.3188043819692101</v>
      </c>
      <c r="AG800">
        <v>-1.1597389999999901</v>
      </c>
      <c r="AH800">
        <v>31.103920823191501</v>
      </c>
      <c r="AI800">
        <v>92.123296424472201</v>
      </c>
      <c r="AJ800">
        <v>96.090445717699694</v>
      </c>
      <c r="AK800">
        <v>31.301970347715599</v>
      </c>
      <c r="AL800">
        <v>83.452071896285304</v>
      </c>
      <c r="AM800">
        <v>88.130485809952802</v>
      </c>
      <c r="AN800">
        <v>0.99999999898821301</v>
      </c>
    </row>
    <row r="801" spans="1:40" x14ac:dyDescent="0.25">
      <c r="A801" t="str">
        <f>"20190312164007906"</f>
        <v>20190312164007906</v>
      </c>
      <c r="B801" t="str">
        <f>"1552380007896748"</f>
        <v>1552380007896748</v>
      </c>
      <c r="C801" t="s">
        <v>40</v>
      </c>
      <c r="D801">
        <v>5.0839270000000001</v>
      </c>
      <c r="E801">
        <v>0.45016349999999999</v>
      </c>
      <c r="F801" t="s">
        <v>43</v>
      </c>
      <c r="G801">
        <v>-303.24259999999998</v>
      </c>
      <c r="H801">
        <v>-0.05</v>
      </c>
      <c r="I801">
        <v>371.05410000000001</v>
      </c>
      <c r="J801">
        <v>-333.51049999999998</v>
      </c>
      <c r="K801">
        <v>1.1097379999999999</v>
      </c>
      <c r="L801">
        <v>368.07560000000001</v>
      </c>
      <c r="M801">
        <v>0.99990809999999997</v>
      </c>
      <c r="N801">
        <v>0</v>
      </c>
      <c r="O801">
        <v>-8.1461720000000001E-3</v>
      </c>
      <c r="P801">
        <v>0.99383670000000002</v>
      </c>
      <c r="Q801">
        <v>0.1031373</v>
      </c>
      <c r="R801">
        <v>-4.0641799999999999E-2</v>
      </c>
      <c r="S801">
        <v>3.0428470000000001</v>
      </c>
      <c r="T801">
        <v>-0.11595519999999999</v>
      </c>
      <c r="U801">
        <v>0.2976685</v>
      </c>
      <c r="V801">
        <v>3.254812E-2</v>
      </c>
      <c r="W801">
        <v>0.11390500000000001</v>
      </c>
      <c r="X801">
        <v>0.99295840000000002</v>
      </c>
      <c r="Y801">
        <v>-0.10538400000000001</v>
      </c>
      <c r="Z801">
        <v>2.312082E-3</v>
      </c>
      <c r="AA801">
        <v>0.99442889999999995</v>
      </c>
      <c r="AB801">
        <v>33</v>
      </c>
      <c r="AC801">
        <v>30.267900000000001</v>
      </c>
      <c r="AD801">
        <v>-1.1597379999999999</v>
      </c>
      <c r="AE801">
        <v>2.9784999999999902</v>
      </c>
      <c r="AF801">
        <v>-3.2203007809717601</v>
      </c>
      <c r="AG801">
        <v>-1.1597379999999999</v>
      </c>
      <c r="AH801">
        <v>30.1987212752503</v>
      </c>
      <c r="AI801">
        <v>92.1868935904442</v>
      </c>
      <c r="AJ801">
        <v>96.086847009131702</v>
      </c>
      <c r="AK801">
        <v>30.392072913982499</v>
      </c>
      <c r="AL801">
        <v>83.459529206916201</v>
      </c>
      <c r="AM801">
        <v>88.122577513014093</v>
      </c>
      <c r="AN801">
        <v>1.00000005663554</v>
      </c>
    </row>
    <row r="802" spans="1:40" x14ac:dyDescent="0.25">
      <c r="A802" t="str">
        <f>"20190312164007917"</f>
        <v>20190312164007917</v>
      </c>
      <c r="B802" t="str">
        <f>"1552380007907485"</f>
        <v>1552380007907485</v>
      </c>
      <c r="C802" t="s">
        <v>40</v>
      </c>
      <c r="D802">
        <v>5.0190210000000004</v>
      </c>
      <c r="E802">
        <v>0.4499995</v>
      </c>
      <c r="F802" t="s">
        <v>43</v>
      </c>
      <c r="G802">
        <v>-303.14010000000002</v>
      </c>
      <c r="H802">
        <v>-0.05</v>
      </c>
      <c r="I802">
        <v>371.03530000000001</v>
      </c>
      <c r="J802">
        <v>-333.34039999999999</v>
      </c>
      <c r="K802">
        <v>1.109739</v>
      </c>
      <c r="L802">
        <v>368.07420000000002</v>
      </c>
      <c r="M802">
        <v>0.99990800000000002</v>
      </c>
      <c r="N802">
        <v>0</v>
      </c>
      <c r="O802">
        <v>-8.1459419999999998E-3</v>
      </c>
      <c r="P802">
        <v>0.99387049999999999</v>
      </c>
      <c r="Q802">
        <v>0.10278320000000001</v>
      </c>
      <c r="R802">
        <v>-4.0703870000000003E-2</v>
      </c>
      <c r="S802">
        <v>3.0428160000000002</v>
      </c>
      <c r="T802">
        <v>-0.1161944</v>
      </c>
      <c r="U802">
        <v>0.29653930000000001</v>
      </c>
      <c r="V802">
        <v>3.2610390000000003E-2</v>
      </c>
      <c r="W802">
        <v>0.113553</v>
      </c>
      <c r="X802">
        <v>0.99299660000000001</v>
      </c>
      <c r="Y802">
        <v>-0.1050191</v>
      </c>
      <c r="Z802">
        <v>2.3099560000000002E-3</v>
      </c>
      <c r="AA802">
        <v>0.99446749999999995</v>
      </c>
      <c r="AB802">
        <v>33</v>
      </c>
      <c r="AC802">
        <v>30.200299999999899</v>
      </c>
      <c r="AD802">
        <v>-1.1597389999999901</v>
      </c>
      <c r="AE802">
        <v>2.9610999999999801</v>
      </c>
      <c r="AF802">
        <v>-3.2023486313082898</v>
      </c>
      <c r="AG802">
        <v>-1.1597389999999901</v>
      </c>
      <c r="AH802">
        <v>30.1311647575065</v>
      </c>
      <c r="AI802">
        <v>92.191876116660694</v>
      </c>
      <c r="AJ802">
        <v>96.066637997062003</v>
      </c>
      <c r="AK802">
        <v>30.323046036778099</v>
      </c>
      <c r="AL802">
        <v>83.479828556863893</v>
      </c>
      <c r="AM802">
        <v>88.1190605769076</v>
      </c>
      <c r="AN802">
        <v>0.999999984478255</v>
      </c>
    </row>
    <row r="803" spans="1:40" x14ac:dyDescent="0.25">
      <c r="A803" t="str">
        <f>"20190312164007929"</f>
        <v>20190312164007929</v>
      </c>
      <c r="B803" t="str">
        <f>"1552380007927003"</f>
        <v>1552380007927003</v>
      </c>
      <c r="C803" t="s">
        <v>40</v>
      </c>
      <c r="D803">
        <v>4.89391</v>
      </c>
      <c r="E803">
        <v>0.44975209999999999</v>
      </c>
      <c r="F803" t="s">
        <v>43</v>
      </c>
      <c r="G803">
        <v>-303.2491</v>
      </c>
      <c r="H803">
        <v>-0.05</v>
      </c>
      <c r="I803">
        <v>371.0179</v>
      </c>
      <c r="J803">
        <v>-333.16559999999998</v>
      </c>
      <c r="K803">
        <v>1.1097330000000001</v>
      </c>
      <c r="L803">
        <v>368.07279999999997</v>
      </c>
      <c r="M803">
        <v>0.99990800000000002</v>
      </c>
      <c r="N803">
        <v>0</v>
      </c>
      <c r="O803">
        <v>-8.1458309999999992E-3</v>
      </c>
      <c r="P803">
        <v>0.9938688</v>
      </c>
      <c r="Q803">
        <v>0.1026976</v>
      </c>
      <c r="R803">
        <v>-4.0964960000000002E-2</v>
      </c>
      <c r="S803">
        <v>3.0428160000000002</v>
      </c>
      <c r="T803">
        <v>-0.1172721</v>
      </c>
      <c r="U803">
        <v>0.2976685</v>
      </c>
      <c r="V803">
        <v>3.2871369999999997E-2</v>
      </c>
      <c r="W803">
        <v>0.1134691</v>
      </c>
      <c r="X803">
        <v>0.99299760000000004</v>
      </c>
      <c r="Y803">
        <v>-0.1053827</v>
      </c>
      <c r="Z803">
        <v>2.3383079999999999E-3</v>
      </c>
      <c r="AA803">
        <v>0.99442900000000001</v>
      </c>
      <c r="AB803">
        <v>33</v>
      </c>
      <c r="AC803">
        <v>29.9164999999999</v>
      </c>
      <c r="AD803">
        <v>-1.1597329999999999</v>
      </c>
      <c r="AE803">
        <v>2.94510000000002</v>
      </c>
      <c r="AF803">
        <v>-3.1839724902900599</v>
      </c>
      <c r="AG803">
        <v>-1.1597329999999999</v>
      </c>
      <c r="AH803">
        <v>29.8470926172056</v>
      </c>
      <c r="AI803">
        <v>92.212613275390495</v>
      </c>
      <c r="AJ803">
        <v>96.089064563134599</v>
      </c>
      <c r="AK803">
        <v>30.038834850078</v>
      </c>
      <c r="AL803">
        <v>83.484667037122406</v>
      </c>
      <c r="AM803">
        <v>88.104020324545104</v>
      </c>
      <c r="AN803">
        <v>0.99999999861312305</v>
      </c>
    </row>
    <row r="804" spans="1:40" x14ac:dyDescent="0.25">
      <c r="A804" t="str">
        <f>"20190312164007949"</f>
        <v>20190312164007949</v>
      </c>
      <c r="B804" t="str">
        <f>"1552380007936765"</f>
        <v>1552380007936765</v>
      </c>
      <c r="C804" t="s">
        <v>40</v>
      </c>
      <c r="D804">
        <v>4.942647</v>
      </c>
      <c r="E804">
        <v>0.44970769999999999</v>
      </c>
      <c r="F804" t="s">
        <v>43</v>
      </c>
      <c r="G804">
        <v>-302.94639999999998</v>
      </c>
      <c r="H804">
        <v>-0.05</v>
      </c>
      <c r="I804">
        <v>371.03739999999999</v>
      </c>
      <c r="J804">
        <v>-332.87119999999999</v>
      </c>
      <c r="K804">
        <v>1.1097330000000001</v>
      </c>
      <c r="L804">
        <v>368.07029999999997</v>
      </c>
      <c r="M804">
        <v>0.99990800000000002</v>
      </c>
      <c r="N804">
        <v>0</v>
      </c>
      <c r="O804">
        <v>-8.145724E-3</v>
      </c>
      <c r="P804">
        <v>0.99386180000000002</v>
      </c>
      <c r="Q804">
        <v>0.1026943</v>
      </c>
      <c r="R804">
        <v>-4.1140950000000003E-2</v>
      </c>
      <c r="S804">
        <v>3.0429080000000002</v>
      </c>
      <c r="T804">
        <v>-0.1167787</v>
      </c>
      <c r="U804">
        <v>0.29852289999999998</v>
      </c>
      <c r="V804">
        <v>3.3047729999999997E-2</v>
      </c>
      <c r="W804">
        <v>0.1134677</v>
      </c>
      <c r="X804">
        <v>0.99299190000000004</v>
      </c>
      <c r="Y804">
        <v>-0.1056568</v>
      </c>
      <c r="Z804">
        <v>2.3336160000000002E-3</v>
      </c>
      <c r="AA804">
        <v>0.9943999</v>
      </c>
      <c r="AB804">
        <v>34</v>
      </c>
      <c r="AC804">
        <v>29.924800000000001</v>
      </c>
      <c r="AD804">
        <v>-1.1597329999999999</v>
      </c>
      <c r="AE804">
        <v>2.9671000000000101</v>
      </c>
      <c r="AF804">
        <v>-3.2060066878164699</v>
      </c>
      <c r="AG804">
        <v>-1.1597329999999999</v>
      </c>
      <c r="AH804">
        <v>29.855232149170799</v>
      </c>
      <c r="AI804">
        <v>92.211844868363499</v>
      </c>
      <c r="AJ804">
        <v>96.129224421856904</v>
      </c>
      <c r="AK804">
        <v>30.049265318714401</v>
      </c>
      <c r="AL804">
        <v>83.484747732199494</v>
      </c>
      <c r="AM804">
        <v>88.093844649832207</v>
      </c>
      <c r="AN804">
        <v>0.999999992433526</v>
      </c>
    </row>
    <row r="805" spans="1:40" x14ac:dyDescent="0.25">
      <c r="A805" t="str">
        <f>"20190312164007962"</f>
        <v>20190312164007962</v>
      </c>
      <c r="B805" t="str">
        <f>"1552380007957139"</f>
        <v>1552380007957139</v>
      </c>
      <c r="C805" t="s">
        <v>40</v>
      </c>
      <c r="D805">
        <v>4.9366250000000003</v>
      </c>
      <c r="E805">
        <v>0.4496561</v>
      </c>
      <c r="F805" t="s">
        <v>43</v>
      </c>
      <c r="G805">
        <v>-303.27499999999998</v>
      </c>
      <c r="H805">
        <v>-0.05</v>
      </c>
      <c r="I805">
        <v>370.97469999999998</v>
      </c>
      <c r="J805">
        <v>-332.68459999999999</v>
      </c>
      <c r="K805">
        <v>1.1097379999999999</v>
      </c>
      <c r="L805">
        <v>368.06880000000001</v>
      </c>
      <c r="M805">
        <v>0.99990809999999997</v>
      </c>
      <c r="N805">
        <v>0</v>
      </c>
      <c r="O805">
        <v>-8.1454930000000002E-3</v>
      </c>
      <c r="P805">
        <v>0.99387110000000001</v>
      </c>
      <c r="Q805">
        <v>0.1025906</v>
      </c>
      <c r="R805">
        <v>-4.11819E-2</v>
      </c>
      <c r="S805">
        <v>3.0432429999999999</v>
      </c>
      <c r="T805">
        <v>-0.1192497</v>
      </c>
      <c r="U805">
        <v>0.29864499999999999</v>
      </c>
      <c r="V805">
        <v>3.308842E-2</v>
      </c>
      <c r="W805">
        <v>0.11336590000000001</v>
      </c>
      <c r="X805">
        <v>0.99300219999999995</v>
      </c>
      <c r="Y805">
        <v>-0.1056819</v>
      </c>
      <c r="Z805">
        <v>2.3831719999999998E-3</v>
      </c>
      <c r="AA805">
        <v>0.99439710000000003</v>
      </c>
      <c r="AB805">
        <v>34</v>
      </c>
      <c r="AC805">
        <v>29.409600000000001</v>
      </c>
      <c r="AD805">
        <v>-1.1597379999999999</v>
      </c>
      <c r="AE805">
        <v>2.9058999999999702</v>
      </c>
      <c r="AF805">
        <v>-3.1405369023390501</v>
      </c>
      <c r="AG805">
        <v>-1.1597379999999999</v>
      </c>
      <c r="AH805">
        <v>29.339769454218999</v>
      </c>
      <c r="AI805">
        <v>92.250756440592696</v>
      </c>
      <c r="AJ805">
        <v>96.109692514318894</v>
      </c>
      <c r="AK805">
        <v>29.5301546878833</v>
      </c>
      <c r="AL805">
        <v>83.490618502902393</v>
      </c>
      <c r="AM805">
        <v>88.091519213075401</v>
      </c>
      <c r="AN805">
        <v>1.00000002001287</v>
      </c>
    </row>
    <row r="806" spans="1:40" x14ac:dyDescent="0.25">
      <c r="A806" t="str">
        <f>"20190312164007972"</f>
        <v>20190312164007972</v>
      </c>
      <c r="B806" t="str">
        <f>"1552380007966899"</f>
        <v>1552380007966899</v>
      </c>
      <c r="C806" t="s">
        <v>40</v>
      </c>
      <c r="D806">
        <v>4.9648309999999896</v>
      </c>
      <c r="E806">
        <v>0.44996960000000003</v>
      </c>
      <c r="F806" t="s">
        <v>43</v>
      </c>
      <c r="G806">
        <v>-303.56650000000002</v>
      </c>
      <c r="H806">
        <v>-0.05</v>
      </c>
      <c r="I806">
        <v>370.92939999999999</v>
      </c>
      <c r="J806">
        <v>-332.52010000000001</v>
      </c>
      <c r="K806">
        <v>1.1097379999999999</v>
      </c>
      <c r="L806">
        <v>368.0675</v>
      </c>
      <c r="M806">
        <v>0.99990809999999997</v>
      </c>
      <c r="N806">
        <v>0</v>
      </c>
      <c r="O806">
        <v>-8.1453819999999996E-3</v>
      </c>
      <c r="P806">
        <v>0.99384640000000002</v>
      </c>
      <c r="Q806">
        <v>0.1027873</v>
      </c>
      <c r="R806">
        <v>-4.1285969999999998E-2</v>
      </c>
      <c r="S806">
        <v>3.0433650000000001</v>
      </c>
      <c r="T806">
        <v>-0.1212134</v>
      </c>
      <c r="U806">
        <v>0.29898069999999999</v>
      </c>
      <c r="V806">
        <v>3.3192979999999997E-2</v>
      </c>
      <c r="W806">
        <v>0.11356289999999999</v>
      </c>
      <c r="X806">
        <v>0.99297619999999998</v>
      </c>
      <c r="Y806">
        <v>-0.10578360000000001</v>
      </c>
      <c r="Z806">
        <v>2.4242920000000002E-3</v>
      </c>
      <c r="AA806">
        <v>0.9943862</v>
      </c>
      <c r="AB806">
        <v>34</v>
      </c>
      <c r="AC806">
        <v>28.953599999999899</v>
      </c>
      <c r="AD806">
        <v>-1.1597379999999999</v>
      </c>
      <c r="AE806">
        <v>2.8618999999999901</v>
      </c>
      <c r="AF806">
        <v>-3.0927430214394702</v>
      </c>
      <c r="AG806">
        <v>-1.1597379999999999</v>
      </c>
      <c r="AH806">
        <v>28.8834343226223</v>
      </c>
      <c r="AI806">
        <v>92.286270340093594</v>
      </c>
      <c r="AJ806">
        <v>96.111756406449501</v>
      </c>
      <c r="AK806">
        <v>29.071684331915499</v>
      </c>
      <c r="AL806">
        <v>83.479257868012198</v>
      </c>
      <c r="AM806">
        <v>88.085442768611202</v>
      </c>
      <c r="AN806">
        <v>1.00000001997206</v>
      </c>
    </row>
    <row r="807" spans="1:40" x14ac:dyDescent="0.25">
      <c r="A807" t="str">
        <f>"20190312164007985"</f>
        <v>20190312164007985</v>
      </c>
      <c r="B807" t="str">
        <f>"1552380007976659"</f>
        <v>1552380007976659</v>
      </c>
      <c r="C807" t="s">
        <v>40</v>
      </c>
      <c r="D807">
        <v>4.963889</v>
      </c>
      <c r="E807">
        <v>0.44979360000000002</v>
      </c>
      <c r="F807" t="s">
        <v>43</v>
      </c>
      <c r="G807">
        <v>-302.93430000000001</v>
      </c>
      <c r="H807">
        <v>-0.05</v>
      </c>
      <c r="I807">
        <v>370.94920000000002</v>
      </c>
      <c r="J807">
        <v>-332.33519999999999</v>
      </c>
      <c r="K807">
        <v>1.109739</v>
      </c>
      <c r="L807">
        <v>368.06599999999997</v>
      </c>
      <c r="M807">
        <v>0.99990800000000002</v>
      </c>
      <c r="N807">
        <v>0</v>
      </c>
      <c r="O807">
        <v>-8.145032E-3</v>
      </c>
      <c r="P807">
        <v>0.9938399</v>
      </c>
      <c r="Q807">
        <v>0.102823499999999</v>
      </c>
      <c r="R807">
        <v>-4.1353269999999998E-2</v>
      </c>
      <c r="S807">
        <v>3.0432130000000002</v>
      </c>
      <c r="T807">
        <v>-0.11929140000000001</v>
      </c>
      <c r="U807">
        <v>0.29641719999999999</v>
      </c>
      <c r="V807">
        <v>3.3260570000000003E-2</v>
      </c>
      <c r="W807">
        <v>0.1136009</v>
      </c>
      <c r="X807">
        <v>0.99296960000000001</v>
      </c>
      <c r="Y807">
        <v>-0.10496179999999999</v>
      </c>
      <c r="Z807">
        <v>2.3700209999999999E-3</v>
      </c>
      <c r="AA807">
        <v>0.99447350000000001</v>
      </c>
      <c r="AB807">
        <v>34</v>
      </c>
      <c r="AC807">
        <v>29.400899999999901</v>
      </c>
      <c r="AD807">
        <v>-1.1597389999999901</v>
      </c>
      <c r="AE807">
        <v>2.88320000000004</v>
      </c>
      <c r="AF807">
        <v>-3.1177847588299299</v>
      </c>
      <c r="AG807">
        <v>-1.1597389999999901</v>
      </c>
      <c r="AH807">
        <v>29.331235873751101</v>
      </c>
      <c r="AI807">
        <v>92.251589158315994</v>
      </c>
      <c r="AJ807">
        <v>96.0675126052883</v>
      </c>
      <c r="AK807">
        <v>29.519264459537901</v>
      </c>
      <c r="AL807">
        <v>83.477066501254797</v>
      </c>
      <c r="AM807">
        <v>88.081534373976794</v>
      </c>
      <c r="AN807">
        <v>1.0000000282608399</v>
      </c>
    </row>
    <row r="808" spans="1:40" x14ac:dyDescent="0.25">
      <c r="A808" t="str">
        <f>"20190312164008000"</f>
        <v>20190312164008000</v>
      </c>
      <c r="B808" t="str">
        <f>"1552380007987395"</f>
        <v>1552380007987395</v>
      </c>
      <c r="C808" t="s">
        <v>40</v>
      </c>
      <c r="D808">
        <v>5.0469419999999996</v>
      </c>
      <c r="E808">
        <v>0.44973800000000003</v>
      </c>
      <c r="F808" t="s">
        <v>43</v>
      </c>
      <c r="G808">
        <v>-303.02170000000001</v>
      </c>
      <c r="H808">
        <v>-0.05</v>
      </c>
      <c r="I808">
        <v>370.93509999999998</v>
      </c>
      <c r="J808">
        <v>-332.11810000000003</v>
      </c>
      <c r="K808">
        <v>1.1097379999999999</v>
      </c>
      <c r="L808">
        <v>368.06420000000003</v>
      </c>
      <c r="M808">
        <v>0.99990809999999997</v>
      </c>
      <c r="N808">
        <v>0</v>
      </c>
      <c r="O808">
        <v>-8.1450410000000004E-3</v>
      </c>
      <c r="P808">
        <v>0.9938688</v>
      </c>
      <c r="Q808">
        <v>0.10261720000000001</v>
      </c>
      <c r="R808">
        <v>-4.1167769999999999E-2</v>
      </c>
      <c r="S808">
        <v>3.043488</v>
      </c>
      <c r="T808">
        <v>-0.1204104</v>
      </c>
      <c r="U808">
        <v>0.29788209999999998</v>
      </c>
      <c r="V808">
        <v>3.3075029999999998E-2</v>
      </c>
      <c r="W808">
        <v>0.1133966</v>
      </c>
      <c r="X808">
        <v>0.99299910000000002</v>
      </c>
      <c r="Y808">
        <v>-0.1054253</v>
      </c>
      <c r="Z808">
        <v>2.4011089999999998E-3</v>
      </c>
      <c r="AA808">
        <v>0.99442430000000004</v>
      </c>
      <c r="AB808">
        <v>34</v>
      </c>
      <c r="AC808">
        <v>29.096399999999999</v>
      </c>
      <c r="AD808">
        <v>-1.1597379999999999</v>
      </c>
      <c r="AE808">
        <v>2.8708999999999398</v>
      </c>
      <c r="AF808">
        <v>-3.1029279615827701</v>
      </c>
      <c r="AG808">
        <v>-1.1597379999999999</v>
      </c>
      <c r="AH808">
        <v>29.026380219339298</v>
      </c>
      <c r="AI808">
        <v>92.275065443361001</v>
      </c>
      <c r="AJ808">
        <v>96.101761894685694</v>
      </c>
      <c r="AK808">
        <v>29.214789111014799</v>
      </c>
      <c r="AL808">
        <v>83.488847841607097</v>
      </c>
      <c r="AM808">
        <v>88.0922850023113</v>
      </c>
      <c r="AN808">
        <v>0.999999979550935</v>
      </c>
    </row>
    <row r="809" spans="1:40" x14ac:dyDescent="0.25">
      <c r="A809" t="str">
        <f>"20190312164008018"</f>
        <v>20190312164008018</v>
      </c>
      <c r="B809" t="str">
        <f>"1552380008006914"</f>
        <v>1552380008006914</v>
      </c>
      <c r="C809" t="s">
        <v>40</v>
      </c>
      <c r="D809">
        <v>5.0917629999999896</v>
      </c>
      <c r="E809">
        <v>0.44945580000000002</v>
      </c>
      <c r="F809" t="s">
        <v>43</v>
      </c>
      <c r="G809">
        <v>-302.8152</v>
      </c>
      <c r="H809">
        <v>-0.05</v>
      </c>
      <c r="I809">
        <v>370.94040000000001</v>
      </c>
      <c r="J809">
        <v>-331.83359999999999</v>
      </c>
      <c r="K809">
        <v>1.109734</v>
      </c>
      <c r="L809">
        <v>368.06189999999998</v>
      </c>
      <c r="M809">
        <v>0.99990809999999997</v>
      </c>
      <c r="N809">
        <v>0</v>
      </c>
      <c r="O809">
        <v>-8.1449350000000007E-3</v>
      </c>
      <c r="P809">
        <v>0.99387400000000004</v>
      </c>
      <c r="Q809">
        <v>0.1026889</v>
      </c>
      <c r="R809">
        <v>-4.0862599999999999E-2</v>
      </c>
      <c r="S809">
        <v>3.0432739999999998</v>
      </c>
      <c r="T809">
        <v>-0.1204451</v>
      </c>
      <c r="U809">
        <v>0.29870609999999997</v>
      </c>
      <c r="V809">
        <v>3.2770029999999999E-2</v>
      </c>
      <c r="W809">
        <v>0.1134705</v>
      </c>
      <c r="X809">
        <v>0.99300080000000002</v>
      </c>
      <c r="Y809">
        <v>-0.1056984</v>
      </c>
      <c r="Z809">
        <v>2.407321E-3</v>
      </c>
      <c r="AA809">
        <v>0.99439529999999998</v>
      </c>
      <c r="AB809">
        <v>34</v>
      </c>
      <c r="AC809">
        <v>29.0183999999999</v>
      </c>
      <c r="AD809">
        <v>-1.159734</v>
      </c>
      <c r="AE809">
        <v>2.87850000000003</v>
      </c>
      <c r="AF809">
        <v>-3.1098525929078602</v>
      </c>
      <c r="AG809">
        <v>-1.159734</v>
      </c>
      <c r="AH809">
        <v>28.948204094659499</v>
      </c>
      <c r="AI809">
        <v>92.281067586123498</v>
      </c>
      <c r="AJ809">
        <v>96.131664774712604</v>
      </c>
      <c r="AK809">
        <v>29.137856585659001</v>
      </c>
      <c r="AL809">
        <v>83.484586369685601</v>
      </c>
      <c r="AM809">
        <v>88.109867329745995</v>
      </c>
      <c r="AN809">
        <v>1.0000000090185399</v>
      </c>
    </row>
    <row r="810" spans="1:40" x14ac:dyDescent="0.25">
      <c r="A810" t="str">
        <f>"20190312164008039"</f>
        <v>20190312164008039</v>
      </c>
      <c r="B810" t="str">
        <f>"1552380008027410"</f>
        <v>1552380008027410</v>
      </c>
      <c r="C810" t="s">
        <v>40</v>
      </c>
      <c r="D810">
        <v>4.9761170000000003</v>
      </c>
      <c r="E810">
        <v>0.44918130000000001</v>
      </c>
      <c r="F810" t="s">
        <v>43</v>
      </c>
      <c r="G810">
        <v>-302.54360000000003</v>
      </c>
      <c r="H810">
        <v>-0.05</v>
      </c>
      <c r="I810">
        <v>370.96699999999998</v>
      </c>
      <c r="J810">
        <v>-331.51949999999999</v>
      </c>
      <c r="K810">
        <v>1.1097360000000001</v>
      </c>
      <c r="L810">
        <v>368.05939999999998</v>
      </c>
      <c r="M810">
        <v>0.99990789999999996</v>
      </c>
      <c r="N810">
        <v>0</v>
      </c>
      <c r="O810">
        <v>-8.1443519999999901E-3</v>
      </c>
      <c r="P810">
        <v>0.99388149999999997</v>
      </c>
      <c r="Q810">
        <v>0.10257139999999999</v>
      </c>
      <c r="R810">
        <v>-4.097634E-2</v>
      </c>
      <c r="S810">
        <v>3.0433650000000001</v>
      </c>
      <c r="T810">
        <v>-0.1205016</v>
      </c>
      <c r="U810">
        <v>0.30184939999999999</v>
      </c>
      <c r="V810">
        <v>3.2884030000000002E-2</v>
      </c>
      <c r="W810">
        <v>0.1133559</v>
      </c>
      <c r="X810">
        <v>0.99301010000000001</v>
      </c>
      <c r="Y810">
        <v>-0.10671120000000001</v>
      </c>
      <c r="Z810">
        <v>2.4282259999999999E-3</v>
      </c>
      <c r="AA810">
        <v>0.99428709999999998</v>
      </c>
      <c r="AB810">
        <v>34</v>
      </c>
      <c r="AC810">
        <v>28.9758999999999</v>
      </c>
      <c r="AD810">
        <v>-1.1597360000000001</v>
      </c>
      <c r="AE810">
        <v>2.9076</v>
      </c>
      <c r="AF810">
        <v>-3.1385297984468998</v>
      </c>
      <c r="AG810">
        <v>-1.1597360000000001</v>
      </c>
      <c r="AH810">
        <v>28.905414023924902</v>
      </c>
      <c r="AI810">
        <v>92.284164291741504</v>
      </c>
      <c r="AJ810">
        <v>96.196859521801997</v>
      </c>
      <c r="AK810">
        <v>29.098424644299101</v>
      </c>
      <c r="AL810">
        <v>83.491194975915207</v>
      </c>
      <c r="AM810">
        <v>88.103314503088399</v>
      </c>
      <c r="AN810">
        <v>0.99999998909792998</v>
      </c>
    </row>
    <row r="811" spans="1:40" x14ac:dyDescent="0.25">
      <c r="A811" t="str">
        <f>"20190312164008050"</f>
        <v>20190312164008050</v>
      </c>
      <c r="B811" t="str">
        <f>"1552380008047610"</f>
        <v>1552380008047610</v>
      </c>
      <c r="C811" t="s">
        <v>40</v>
      </c>
      <c r="D811">
        <v>5.17659</v>
      </c>
      <c r="E811">
        <v>0.44944129999999899</v>
      </c>
      <c r="F811" t="s">
        <v>43</v>
      </c>
      <c r="G811">
        <v>-302.78120000000001</v>
      </c>
      <c r="H811">
        <v>-0.05</v>
      </c>
      <c r="I811">
        <v>370.92930000000001</v>
      </c>
      <c r="J811">
        <v>-331.34</v>
      </c>
      <c r="K811">
        <v>1.1097379999999999</v>
      </c>
      <c r="L811">
        <v>368.05790000000002</v>
      </c>
      <c r="M811">
        <v>0.99990800000000002</v>
      </c>
      <c r="N811">
        <v>0</v>
      </c>
      <c r="O811">
        <v>-8.144241E-3</v>
      </c>
      <c r="P811">
        <v>0.9938669</v>
      </c>
      <c r="Q811">
        <v>0.10268149999999999</v>
      </c>
      <c r="R811">
        <v>-4.105425E-2</v>
      </c>
      <c r="S811">
        <v>3.0436399999999999</v>
      </c>
      <c r="T811">
        <v>-0.12282650000000001</v>
      </c>
      <c r="U811">
        <v>0.30395509999999998</v>
      </c>
      <c r="V811">
        <v>3.2962270000000002E-2</v>
      </c>
      <c r="W811">
        <v>0.1134672</v>
      </c>
      <c r="X811">
        <v>0.99299479999999996</v>
      </c>
      <c r="Y811">
        <v>-0.1073793</v>
      </c>
      <c r="Z811">
        <v>2.4881690000000001E-3</v>
      </c>
      <c r="AA811">
        <v>0.99421499999999996</v>
      </c>
      <c r="AB811">
        <v>34</v>
      </c>
      <c r="AC811">
        <v>28.558799999999898</v>
      </c>
      <c r="AD811">
        <v>-1.1597379999999999</v>
      </c>
      <c r="AE811">
        <v>2.8713999999999902</v>
      </c>
      <c r="AF811">
        <v>-3.09884910783502</v>
      </c>
      <c r="AG811">
        <v>-1.1597379999999999</v>
      </c>
      <c r="AH811">
        <v>28.487957424476701</v>
      </c>
      <c r="AI811">
        <v>92.3175544313644</v>
      </c>
      <c r="AJ811">
        <v>96.208083271494004</v>
      </c>
      <c r="AK811">
        <v>28.679462621195899</v>
      </c>
      <c r="AL811">
        <v>83.484776581618107</v>
      </c>
      <c r="AM811">
        <v>88.098775811236095</v>
      </c>
      <c r="AN811">
        <v>0.99999999477321599</v>
      </c>
    </row>
    <row r="812" spans="1:40" x14ac:dyDescent="0.25">
      <c r="A812" t="str">
        <f>"20190312164008062"</f>
        <v>20190312164008062</v>
      </c>
      <c r="B812" t="str">
        <f>"1552380008057370"</f>
        <v>1552380008057370</v>
      </c>
      <c r="C812" t="s">
        <v>40</v>
      </c>
      <c r="D812">
        <v>5.1886150000000004</v>
      </c>
      <c r="E812">
        <v>0.48434549999999998</v>
      </c>
      <c r="F812" t="s">
        <v>43</v>
      </c>
      <c r="G812">
        <v>-301.94729999999998</v>
      </c>
      <c r="H812">
        <v>-0.05</v>
      </c>
      <c r="I812">
        <v>370.97050000000002</v>
      </c>
      <c r="J812">
        <v>-331.17250000000001</v>
      </c>
      <c r="K812">
        <v>1.109729</v>
      </c>
      <c r="L812">
        <v>368.05650000000003</v>
      </c>
      <c r="M812">
        <v>0.99990789999999996</v>
      </c>
      <c r="N812">
        <v>0</v>
      </c>
      <c r="O812">
        <v>-8.1438900000000009E-3</v>
      </c>
      <c r="P812">
        <v>0.99388609999999999</v>
      </c>
      <c r="Q812">
        <v>0.1024523</v>
      </c>
      <c r="R812">
        <v>-4.1161059999999999E-2</v>
      </c>
      <c r="S812">
        <v>3.0433650000000001</v>
      </c>
      <c r="T812">
        <v>-0.1200812</v>
      </c>
      <c r="U812">
        <v>0.30157469999999997</v>
      </c>
      <c r="V812">
        <v>3.3069170000000002E-2</v>
      </c>
      <c r="W812">
        <v>0.1132394</v>
      </c>
      <c r="X812">
        <v>0.99301729999999999</v>
      </c>
      <c r="Y812">
        <v>-0.1066225</v>
      </c>
      <c r="Z812">
        <v>2.41801E-3</v>
      </c>
      <c r="AA812">
        <v>0.99429659999999997</v>
      </c>
      <c r="AB812">
        <v>34</v>
      </c>
      <c r="AC812">
        <v>29.225200000000001</v>
      </c>
      <c r="AD812">
        <v>-1.159729</v>
      </c>
      <c r="AE812">
        <v>2.9139999999999802</v>
      </c>
      <c r="AF812">
        <v>-3.1470173683125302</v>
      </c>
      <c r="AG812">
        <v>-1.159729</v>
      </c>
      <c r="AH812">
        <v>29.155039499191101</v>
      </c>
      <c r="AI812">
        <v>92.264768649273194</v>
      </c>
      <c r="AJ812">
        <v>96.160697832854297</v>
      </c>
      <c r="AK812">
        <v>29.347317047207198</v>
      </c>
      <c r="AL812">
        <v>83.497913556735</v>
      </c>
      <c r="AM812">
        <v>88.092657680633494</v>
      </c>
      <c r="AN812">
        <v>1.0000000449080599</v>
      </c>
    </row>
    <row r="813" spans="1:40" x14ac:dyDescent="0.25">
      <c r="A813" t="str">
        <f>"20190312164008072"</f>
        <v>20190312164008072</v>
      </c>
      <c r="B813" t="str">
        <f>"1552380008067131"</f>
        <v>1552380008067131</v>
      </c>
      <c r="C813" t="s">
        <v>40</v>
      </c>
      <c r="D813">
        <v>5.0342949999999904</v>
      </c>
      <c r="E813">
        <v>0.48434549999999998</v>
      </c>
      <c r="F813" t="s">
        <v>43</v>
      </c>
      <c r="G813">
        <v>-303.76710000000003</v>
      </c>
      <c r="H813">
        <v>-0.05</v>
      </c>
      <c r="I813">
        <v>368.26830000000001</v>
      </c>
      <c r="J813">
        <v>-331.00490000000002</v>
      </c>
      <c r="K813">
        <v>1.109729</v>
      </c>
      <c r="L813">
        <v>368.05520000000001</v>
      </c>
      <c r="M813">
        <v>0.99990789999999996</v>
      </c>
      <c r="N813">
        <v>0</v>
      </c>
      <c r="O813">
        <v>-8.1438980000000001E-3</v>
      </c>
      <c r="P813">
        <v>0.99388469999999995</v>
      </c>
      <c r="Q813">
        <v>0.1024124</v>
      </c>
      <c r="R813">
        <v>-4.1292580000000002E-2</v>
      </c>
      <c r="S813">
        <v>3.0326230000000001</v>
      </c>
      <c r="T813">
        <v>-0.12833330000000001</v>
      </c>
      <c r="U813">
        <v>2.34375E-2</v>
      </c>
      <c r="V813">
        <v>3.3200739999999999E-2</v>
      </c>
      <c r="W813">
        <v>0.113201</v>
      </c>
      <c r="X813">
        <v>0.99301729999999999</v>
      </c>
      <c r="Y813">
        <v>-1.5850639999999999E-2</v>
      </c>
      <c r="Z813">
        <v>6.7971660000000001E-4</v>
      </c>
      <c r="AA813">
        <v>0.99987409999999999</v>
      </c>
      <c r="AB813">
        <v>34</v>
      </c>
      <c r="AC813">
        <v>27.2378</v>
      </c>
      <c r="AD813">
        <v>-1.159729</v>
      </c>
      <c r="AE813">
        <v>0.21309999999999699</v>
      </c>
      <c r="AF813">
        <v>-0.43414087432809301</v>
      </c>
      <c r="AG813">
        <v>-1.159729</v>
      </c>
      <c r="AH813">
        <v>27.185879352548401</v>
      </c>
      <c r="AI813">
        <v>92.442402436160606</v>
      </c>
      <c r="AJ813">
        <v>90.914898698665695</v>
      </c>
      <c r="AK813">
        <v>27.214067792660501</v>
      </c>
      <c r="AL813">
        <v>83.500128031064605</v>
      </c>
      <c r="AM813">
        <v>88.085074709399706</v>
      </c>
      <c r="AN813">
        <v>1.00000005681841</v>
      </c>
    </row>
    <row r="814" spans="1:40" x14ac:dyDescent="0.25">
      <c r="A814" t="str">
        <f>"20190312164008084"</f>
        <v>20190312164008084</v>
      </c>
      <c r="B814" t="str">
        <f>"1552380008076890"</f>
        <v>1552380008076890</v>
      </c>
      <c r="C814" t="s">
        <v>40</v>
      </c>
      <c r="D814">
        <v>5.1792790000000002</v>
      </c>
      <c r="E814">
        <v>0.52804819999999997</v>
      </c>
      <c r="F814" t="s">
        <v>43</v>
      </c>
      <c r="G814">
        <v>-303.62880000000001</v>
      </c>
      <c r="H814">
        <v>-0.05</v>
      </c>
      <c r="I814">
        <v>368.26130000000001</v>
      </c>
      <c r="J814">
        <v>-330.83819999999997</v>
      </c>
      <c r="K814">
        <v>1.1097300000000001</v>
      </c>
      <c r="L814">
        <v>368.0539</v>
      </c>
      <c r="M814">
        <v>0.99990789999999996</v>
      </c>
      <c r="N814">
        <v>0</v>
      </c>
      <c r="O814">
        <v>-8.1437860000000001E-3</v>
      </c>
      <c r="P814">
        <v>0.99391200000000002</v>
      </c>
      <c r="Q814">
        <v>0.10205640000000001</v>
      </c>
      <c r="R814">
        <v>-4.1518270000000003E-2</v>
      </c>
      <c r="S814">
        <v>3.032654</v>
      </c>
      <c r="T814">
        <v>-0.12847169999999999</v>
      </c>
      <c r="U814">
        <v>2.2827150000000001E-2</v>
      </c>
      <c r="V814">
        <v>3.3426249999999998E-2</v>
      </c>
      <c r="W814">
        <v>0.11284660000000001</v>
      </c>
      <c r="X814">
        <v>0.99304999999999999</v>
      </c>
      <c r="Y814">
        <v>-1.5649349999999999E-2</v>
      </c>
      <c r="Z814">
        <v>6.7617630000000001E-4</v>
      </c>
      <c r="AA814">
        <v>0.99987729999999997</v>
      </c>
      <c r="AB814">
        <v>34</v>
      </c>
      <c r="AC814">
        <v>27.209399999999899</v>
      </c>
      <c r="AD814">
        <v>-1.1597299999999999</v>
      </c>
      <c r="AE814">
        <v>0.207400000000006</v>
      </c>
      <c r="AF814">
        <v>-0.42821583147880299</v>
      </c>
      <c r="AG814">
        <v>-1.1597299999999999</v>
      </c>
      <c r="AH814">
        <v>27.157475194756898</v>
      </c>
      <c r="AI814">
        <v>92.444963771320602</v>
      </c>
      <c r="AJ814">
        <v>90.903358160073793</v>
      </c>
      <c r="AK814">
        <v>27.185599155160499</v>
      </c>
      <c r="AL814">
        <v>83.520564144686603</v>
      </c>
      <c r="AM814">
        <v>88.072141145787</v>
      </c>
      <c r="AN814">
        <v>0.99999998591031103</v>
      </c>
    </row>
    <row r="815" spans="1:40" x14ac:dyDescent="0.25">
      <c r="A815" t="str">
        <f>"20190312164008094"</f>
        <v>20190312164008094</v>
      </c>
      <c r="B815" t="str">
        <f>"1552380008087626"</f>
        <v>1552380008087626</v>
      </c>
      <c r="C815" t="s">
        <v>40</v>
      </c>
      <c r="D815">
        <v>5.2515830000000001</v>
      </c>
      <c r="E815">
        <v>0.53105409999999997</v>
      </c>
      <c r="F815" t="s">
        <v>43</v>
      </c>
      <c r="G815">
        <v>-287.55059999999997</v>
      </c>
      <c r="H815">
        <v>-0.05</v>
      </c>
      <c r="I815">
        <v>363.32819999999998</v>
      </c>
      <c r="J815">
        <v>-330.68079999999998</v>
      </c>
      <c r="K815">
        <v>1.109729</v>
      </c>
      <c r="L815">
        <v>368.05259999999998</v>
      </c>
      <c r="M815">
        <v>0.99990789999999996</v>
      </c>
      <c r="N815">
        <v>0</v>
      </c>
      <c r="O815">
        <v>-8.1435540000000008E-3</v>
      </c>
      <c r="P815">
        <v>0.99392530000000001</v>
      </c>
      <c r="Q815">
        <v>0.1018728</v>
      </c>
      <c r="R815">
        <v>-4.1651649999999998E-2</v>
      </c>
      <c r="S815">
        <v>3.0129090000000001</v>
      </c>
      <c r="T815">
        <v>-8.071971E-2</v>
      </c>
      <c r="U815">
        <v>-0.3289185</v>
      </c>
      <c r="V815">
        <v>3.355963E-2</v>
      </c>
      <c r="W815">
        <v>0.11266470000000001</v>
      </c>
      <c r="X815">
        <v>0.99306620000000001</v>
      </c>
      <c r="Y815">
        <v>0.1003927</v>
      </c>
      <c r="Z815">
        <v>-1.123125E-3</v>
      </c>
      <c r="AA815">
        <v>0.99494729999999998</v>
      </c>
      <c r="AB815">
        <v>34</v>
      </c>
      <c r="AC815">
        <v>43.130200000000002</v>
      </c>
      <c r="AD815">
        <v>-1.159729</v>
      </c>
      <c r="AE815">
        <v>-4.7244000000000002</v>
      </c>
      <c r="AF815">
        <v>4.3698674687248298</v>
      </c>
      <c r="AG815">
        <v>-1.159729</v>
      </c>
      <c r="AH815">
        <v>43.136426636760199</v>
      </c>
      <c r="AI815">
        <v>91.532196091102904</v>
      </c>
      <c r="AJ815">
        <v>84.215475490243904</v>
      </c>
      <c r="AK815">
        <v>43.372710499071403</v>
      </c>
      <c r="AL815">
        <v>83.531053427705103</v>
      </c>
      <c r="AM815">
        <v>88.064485845149505</v>
      </c>
      <c r="AN815">
        <v>1.0000000304871299</v>
      </c>
    </row>
    <row r="816" spans="1:40" x14ac:dyDescent="0.25">
      <c r="A816" t="str">
        <f>"20190312164008118"</f>
        <v>20190312164008118</v>
      </c>
      <c r="B816" t="str">
        <f>"1552380008107147"</f>
        <v>1552380008107147</v>
      </c>
      <c r="C816" t="s">
        <v>40</v>
      </c>
      <c r="D816">
        <v>5.212402</v>
      </c>
      <c r="E816">
        <v>0.53220299999999998</v>
      </c>
      <c r="F816" t="s">
        <v>43</v>
      </c>
      <c r="G816">
        <v>-289.7054</v>
      </c>
      <c r="H816">
        <v>-0.05</v>
      </c>
      <c r="I816">
        <v>363.24630000000002</v>
      </c>
      <c r="J816">
        <v>-330.32479999999998</v>
      </c>
      <c r="K816">
        <v>1.1097269999999999</v>
      </c>
      <c r="L816">
        <v>368.04969999999997</v>
      </c>
      <c r="M816">
        <v>0.99990800000000002</v>
      </c>
      <c r="N816">
        <v>0</v>
      </c>
      <c r="O816">
        <v>-8.14345E-3</v>
      </c>
      <c r="P816">
        <v>0.99393799999999999</v>
      </c>
      <c r="Q816">
        <v>0.1017318</v>
      </c>
      <c r="R816">
        <v>-4.1693750000000002E-2</v>
      </c>
      <c r="S816">
        <v>3.0122990000000001</v>
      </c>
      <c r="T816">
        <v>-8.5257410000000006E-2</v>
      </c>
      <c r="U816">
        <v>-0.35333249999999999</v>
      </c>
      <c r="V816">
        <v>3.3601939999999997E-2</v>
      </c>
      <c r="W816">
        <v>0.1125263</v>
      </c>
      <c r="X816">
        <v>0.99308039999999997</v>
      </c>
      <c r="Y816">
        <v>0.108366</v>
      </c>
      <c r="Z816">
        <v>-1.2983700000000001E-3</v>
      </c>
      <c r="AA816">
        <v>0.99411020000000005</v>
      </c>
      <c r="AB816">
        <v>34</v>
      </c>
      <c r="AC816">
        <v>40.619399999999899</v>
      </c>
      <c r="AD816">
        <v>-1.159727</v>
      </c>
      <c r="AE816">
        <v>-4.8033999999999502</v>
      </c>
      <c r="AF816">
        <v>4.4688465906868799</v>
      </c>
      <c r="AG816">
        <v>-1.159727</v>
      </c>
      <c r="AH816">
        <v>40.624512611326601</v>
      </c>
      <c r="AI816">
        <v>91.625405870769598</v>
      </c>
      <c r="AJ816">
        <v>83.722492200029606</v>
      </c>
      <c r="AK816">
        <v>40.886019388948299</v>
      </c>
      <c r="AL816">
        <v>83.539033517660698</v>
      </c>
      <c r="AM816">
        <v>88.062075212240401</v>
      </c>
      <c r="AN816">
        <v>0.999999969713806</v>
      </c>
    </row>
    <row r="817" spans="1:40" x14ac:dyDescent="0.25">
      <c r="A817" t="str">
        <f>"20190312164008132"</f>
        <v>20190312164008132</v>
      </c>
      <c r="B817" t="str">
        <f>"1552380008127644"</f>
        <v>1552380008127644</v>
      </c>
      <c r="C817" t="s">
        <v>40</v>
      </c>
      <c r="D817">
        <v>5.1906169999999996</v>
      </c>
      <c r="E817">
        <v>0.53326019999999996</v>
      </c>
      <c r="F817" t="s">
        <v>43</v>
      </c>
      <c r="G817">
        <v>-293.99360000000001</v>
      </c>
      <c r="H817">
        <v>-0.05</v>
      </c>
      <c r="I817">
        <v>363.68310000000002</v>
      </c>
      <c r="J817">
        <v>-330.10840000000002</v>
      </c>
      <c r="K817">
        <v>1.109728</v>
      </c>
      <c r="L817">
        <v>368.04790000000003</v>
      </c>
      <c r="M817">
        <v>0.99990789999999996</v>
      </c>
      <c r="N817">
        <v>0</v>
      </c>
      <c r="O817">
        <v>-8.1431009999999998E-3</v>
      </c>
      <c r="P817">
        <v>0.9939325</v>
      </c>
      <c r="Q817">
        <v>0.1017824</v>
      </c>
      <c r="R817">
        <v>-4.1693979999999999E-2</v>
      </c>
      <c r="S817">
        <v>3.0129700000000001</v>
      </c>
      <c r="T817">
        <v>-9.6176979999999995E-2</v>
      </c>
      <c r="U817">
        <v>-0.36212159999999999</v>
      </c>
      <c r="V817">
        <v>3.3602600000000003E-2</v>
      </c>
      <c r="W817">
        <v>0.1125789</v>
      </c>
      <c r="X817">
        <v>0.99307449999999997</v>
      </c>
      <c r="Y817">
        <v>0.1111878</v>
      </c>
      <c r="Z817">
        <v>-1.5088829999999999E-3</v>
      </c>
      <c r="AA817">
        <v>0.99379830000000002</v>
      </c>
      <c r="AB817">
        <v>34</v>
      </c>
      <c r="AC817">
        <v>36.114800000000002</v>
      </c>
      <c r="AD817">
        <v>-1.1597280000000001</v>
      </c>
      <c r="AE817">
        <v>-4.3647999999999998</v>
      </c>
      <c r="AF817">
        <v>4.0664185545512304</v>
      </c>
      <c r="AG817">
        <v>-1.1597280000000001</v>
      </c>
      <c r="AH817">
        <v>36.112444606893497</v>
      </c>
      <c r="AI817">
        <v>91.827841187935505</v>
      </c>
      <c r="AJ817">
        <v>83.575308929738199</v>
      </c>
      <c r="AK817">
        <v>36.3591719430013</v>
      </c>
      <c r="AL817">
        <v>83.536001027649704</v>
      </c>
      <c r="AM817">
        <v>88.062025672143704</v>
      </c>
      <c r="AN817">
        <v>1.0000000530011</v>
      </c>
    </row>
    <row r="818" spans="1:40" x14ac:dyDescent="0.25">
      <c r="A818" t="str">
        <f>"20190312164008145"</f>
        <v>20190312164008145</v>
      </c>
      <c r="B818" t="str">
        <f>"1552380008137403"</f>
        <v>1552380008137403</v>
      </c>
      <c r="C818" t="s">
        <v>40</v>
      </c>
      <c r="D818">
        <v>5.1732740000000002</v>
      </c>
      <c r="E818">
        <v>0.53324649999999996</v>
      </c>
      <c r="F818" t="s">
        <v>43</v>
      </c>
      <c r="G818">
        <v>-294.69909999999999</v>
      </c>
      <c r="H818">
        <v>-0.05</v>
      </c>
      <c r="I818">
        <v>363.69580000000002</v>
      </c>
      <c r="J818">
        <v>-329.92020000000002</v>
      </c>
      <c r="K818">
        <v>1.109726</v>
      </c>
      <c r="L818">
        <v>368.04640000000001</v>
      </c>
      <c r="M818">
        <v>0.99990780000000001</v>
      </c>
      <c r="N818">
        <v>0</v>
      </c>
      <c r="O818">
        <v>-8.1427510000000002E-3</v>
      </c>
      <c r="P818">
        <v>0.99390970000000001</v>
      </c>
      <c r="Q818">
        <v>0.101928</v>
      </c>
      <c r="R818">
        <v>-4.1884650000000002E-2</v>
      </c>
      <c r="S818">
        <v>3.012848</v>
      </c>
      <c r="T818">
        <v>-9.867716E-2</v>
      </c>
      <c r="U818">
        <v>-0.37030030000000003</v>
      </c>
      <c r="V818">
        <v>3.3793799999999999E-2</v>
      </c>
      <c r="W818">
        <v>0.1127253</v>
      </c>
      <c r="X818">
        <v>0.99305140000000003</v>
      </c>
      <c r="Y818">
        <v>0.1138469</v>
      </c>
      <c r="Z818">
        <v>-1.59128E-3</v>
      </c>
      <c r="AA818">
        <v>0.99349699999999996</v>
      </c>
      <c r="AB818">
        <v>34</v>
      </c>
      <c r="AC818">
        <v>35.2211</v>
      </c>
      <c r="AD818">
        <v>-1.159726</v>
      </c>
      <c r="AE818">
        <v>-4.3505999999999796</v>
      </c>
      <c r="AF818">
        <v>4.0593072518674296</v>
      </c>
      <c r="AG818">
        <v>-1.159726</v>
      </c>
      <c r="AH818">
        <v>35.217751264534598</v>
      </c>
      <c r="AI818">
        <v>91.8736808601235</v>
      </c>
      <c r="AJ818">
        <v>83.4249261767159</v>
      </c>
      <c r="AK818">
        <v>35.469887847169304</v>
      </c>
      <c r="AL818">
        <v>83.527559160844106</v>
      </c>
      <c r="AM818">
        <v>88.050961707292601</v>
      </c>
      <c r="AN818">
        <v>1.0000000486102401</v>
      </c>
    </row>
    <row r="819" spans="1:40" x14ac:dyDescent="0.25">
      <c r="A819" t="str">
        <f>"20190312164008162"</f>
        <v>20190312164008162</v>
      </c>
      <c r="B819" t="str">
        <f>"1552380008156923"</f>
        <v>1552380008156923</v>
      </c>
      <c r="C819" t="s">
        <v>40</v>
      </c>
      <c r="D819">
        <v>5.1709779999999999</v>
      </c>
      <c r="E819">
        <v>0.53332950000000001</v>
      </c>
      <c r="F819" t="s">
        <v>43</v>
      </c>
      <c r="G819">
        <v>-296.48219999999998</v>
      </c>
      <c r="H819">
        <v>-0.05</v>
      </c>
      <c r="I819">
        <v>363.93849999999998</v>
      </c>
      <c r="J819">
        <v>-329.66489999999999</v>
      </c>
      <c r="K819">
        <v>1.109729</v>
      </c>
      <c r="L819">
        <v>368.04430000000002</v>
      </c>
      <c r="M819">
        <v>0.99990789999999996</v>
      </c>
      <c r="N819">
        <v>0</v>
      </c>
      <c r="O819">
        <v>-8.1427600000000006E-3</v>
      </c>
      <c r="P819">
        <v>0.99389899999999998</v>
      </c>
      <c r="Q819">
        <v>0.1021272</v>
      </c>
      <c r="R819">
        <v>-4.1656899999999997E-2</v>
      </c>
      <c r="S819">
        <v>3.0134889999999999</v>
      </c>
      <c r="T819">
        <v>-0.1045165</v>
      </c>
      <c r="U819">
        <v>-0.3702087</v>
      </c>
      <c r="V819">
        <v>3.356601E-2</v>
      </c>
      <c r="W819">
        <v>0.1129262</v>
      </c>
      <c r="X819">
        <v>0.99303629999999998</v>
      </c>
      <c r="Y819">
        <v>0.11378480000000001</v>
      </c>
      <c r="Z819">
        <v>-1.683967E-3</v>
      </c>
      <c r="AA819">
        <v>0.99350400000000005</v>
      </c>
      <c r="AB819">
        <v>34</v>
      </c>
      <c r="AC819">
        <v>33.182699999999997</v>
      </c>
      <c r="AD819">
        <v>-1.159729</v>
      </c>
      <c r="AE819">
        <v>-4.1058000000000403</v>
      </c>
      <c r="AF819">
        <v>3.8308404049907598</v>
      </c>
      <c r="AG819">
        <v>-1.159729</v>
      </c>
      <c r="AH819">
        <v>33.175122283489799</v>
      </c>
      <c r="AI819">
        <v>91.988913073315402</v>
      </c>
      <c r="AJ819">
        <v>83.413041657310103</v>
      </c>
      <c r="AK819">
        <v>33.415700622408799</v>
      </c>
      <c r="AL819">
        <v>83.515974467192095</v>
      </c>
      <c r="AM819">
        <v>88.0640599213108</v>
      </c>
      <c r="AN819">
        <v>1.0000000483957201</v>
      </c>
    </row>
    <row r="820" spans="1:40" x14ac:dyDescent="0.25">
      <c r="A820" t="str">
        <f>"20190312164008175"</f>
        <v>20190312164008175</v>
      </c>
      <c r="B820" t="str">
        <f>"1552380008166682"</f>
        <v>1552380008166682</v>
      </c>
      <c r="C820" t="s">
        <v>40</v>
      </c>
      <c r="D820">
        <v>6.1466669999999999</v>
      </c>
      <c r="E820">
        <v>0.53369960000000005</v>
      </c>
      <c r="F820" t="s">
        <v>43</v>
      </c>
      <c r="G820">
        <v>-296.48020000000002</v>
      </c>
      <c r="H820">
        <v>-0.05</v>
      </c>
      <c r="I820">
        <v>363.97149999999999</v>
      </c>
      <c r="J820">
        <v>-329.45119999999997</v>
      </c>
      <c r="K820">
        <v>1.1097269999999999</v>
      </c>
      <c r="L820">
        <v>368.04250000000002</v>
      </c>
      <c r="M820">
        <v>0.99990789999999996</v>
      </c>
      <c r="N820">
        <v>0</v>
      </c>
      <c r="O820">
        <v>-8.1426490000000001E-3</v>
      </c>
      <c r="P820">
        <v>0.99388750000000003</v>
      </c>
      <c r="Q820">
        <v>0.1021801</v>
      </c>
      <c r="R820">
        <v>-4.180014E-2</v>
      </c>
      <c r="S820">
        <v>3.0137330000000002</v>
      </c>
      <c r="T820">
        <v>-0.1053231</v>
      </c>
      <c r="U820">
        <v>-0.36987300000000001</v>
      </c>
      <c r="V820">
        <v>3.3709500000000003E-2</v>
      </c>
      <c r="W820">
        <v>0.1129807</v>
      </c>
      <c r="X820">
        <v>0.99302520000000005</v>
      </c>
      <c r="Y820">
        <v>0.11366519999999999</v>
      </c>
      <c r="Z820">
        <v>-1.69475299999999E-3</v>
      </c>
      <c r="AA820">
        <v>0.9935176</v>
      </c>
      <c r="AB820">
        <v>34</v>
      </c>
      <c r="AC820">
        <v>32.970999999999897</v>
      </c>
      <c r="AD820">
        <v>-1.159727</v>
      </c>
      <c r="AE820">
        <v>-4.0710000000000202</v>
      </c>
      <c r="AF820">
        <v>3.7977498172753399</v>
      </c>
      <c r="AG820">
        <v>-1.159727</v>
      </c>
      <c r="AH820">
        <v>32.962887525507199</v>
      </c>
      <c r="AI820">
        <v>92.0017643325412</v>
      </c>
      <c r="AJ820">
        <v>83.4277649160273</v>
      </c>
      <c r="AK820">
        <v>33.2012021530604</v>
      </c>
      <c r="AL820">
        <v>83.512831474175798</v>
      </c>
      <c r="AM820">
        <v>88.055768670316198</v>
      </c>
      <c r="AN820">
        <v>1.00000000839889</v>
      </c>
    </row>
    <row r="821" spans="1:40" x14ac:dyDescent="0.25">
      <c r="A821" t="str">
        <f>"20190312164008188"</f>
        <v>20190312164008188</v>
      </c>
      <c r="B821" t="str">
        <f>"1552380008177418"</f>
        <v>1552380008177418</v>
      </c>
      <c r="C821" t="s">
        <v>40</v>
      </c>
      <c r="D821">
        <v>5.1727339999999904</v>
      </c>
      <c r="E821">
        <v>0.53365779999999996</v>
      </c>
      <c r="F821" t="s">
        <v>43</v>
      </c>
      <c r="G821">
        <v>-295.27980000000002</v>
      </c>
      <c r="H821">
        <v>-0.05</v>
      </c>
      <c r="I821">
        <v>363.81</v>
      </c>
      <c r="J821">
        <v>-329.27409999999998</v>
      </c>
      <c r="K821">
        <v>1.109728</v>
      </c>
      <c r="L821">
        <v>368.04109999999997</v>
      </c>
      <c r="M821">
        <v>0.99990789999999996</v>
      </c>
      <c r="N821">
        <v>0</v>
      </c>
      <c r="O821">
        <v>-8.1426569999999993E-3</v>
      </c>
      <c r="P821">
        <v>0.99389369999999999</v>
      </c>
      <c r="Q821">
        <v>0.1020795</v>
      </c>
      <c r="R821">
        <v>-4.1899169999999999E-2</v>
      </c>
      <c r="S821">
        <v>3.0132750000000001</v>
      </c>
      <c r="T821">
        <v>-0.1022662</v>
      </c>
      <c r="U821">
        <v>-0.37323000000000001</v>
      </c>
      <c r="V821">
        <v>3.3808600000000001E-2</v>
      </c>
      <c r="W821">
        <v>0.1128812</v>
      </c>
      <c r="X821">
        <v>0.9930331</v>
      </c>
      <c r="Y821">
        <v>0.1147767</v>
      </c>
      <c r="Z821">
        <v>-1.6645119999999999E-3</v>
      </c>
      <c r="AA821">
        <v>0.99338990000000005</v>
      </c>
      <c r="AB821">
        <v>34</v>
      </c>
      <c r="AC821">
        <v>33.994299999999903</v>
      </c>
      <c r="AD821">
        <v>-1.1597280000000001</v>
      </c>
      <c r="AE821">
        <v>-4.2310999999999597</v>
      </c>
      <c r="AF821">
        <v>3.94961280741285</v>
      </c>
      <c r="AG821">
        <v>-1.1597280000000001</v>
      </c>
      <c r="AH821">
        <v>33.988672784728799</v>
      </c>
      <c r="AI821">
        <v>91.941179817460593</v>
      </c>
      <c r="AJ821">
        <v>83.371740740498296</v>
      </c>
      <c r="AK821">
        <v>34.2370309464741</v>
      </c>
      <c r="AL821">
        <v>83.518568808187993</v>
      </c>
      <c r="AM821">
        <v>88.050072878822903</v>
      </c>
      <c r="AN821">
        <v>0.999999962221504</v>
      </c>
    </row>
    <row r="822" spans="1:40" x14ac:dyDescent="0.25">
      <c r="A822" t="str">
        <f>"20190312164008207"</f>
        <v>20190312164008207</v>
      </c>
      <c r="B822" t="str">
        <f>"1552380008196938"</f>
        <v>1552380008196938</v>
      </c>
      <c r="C822" t="s">
        <v>40</v>
      </c>
      <c r="D822">
        <v>5.088889</v>
      </c>
      <c r="E822">
        <v>0.53394719999999996</v>
      </c>
      <c r="F822" t="s">
        <v>43</v>
      </c>
      <c r="G822">
        <v>-296.38749999999999</v>
      </c>
      <c r="H822">
        <v>-0.05</v>
      </c>
      <c r="I822">
        <v>363.97109999999998</v>
      </c>
      <c r="J822">
        <v>-328.98259999999999</v>
      </c>
      <c r="K822">
        <v>1.1097269999999999</v>
      </c>
      <c r="L822">
        <v>368.03870000000001</v>
      </c>
      <c r="M822">
        <v>0.99990789999999996</v>
      </c>
      <c r="N822">
        <v>0</v>
      </c>
      <c r="O822">
        <v>-8.1423099999999998E-3</v>
      </c>
      <c r="P822">
        <v>0.99389680000000002</v>
      </c>
      <c r="Q822">
        <v>0.1020639</v>
      </c>
      <c r="R822">
        <v>-4.1859170000000001E-2</v>
      </c>
      <c r="S822">
        <v>3.013611</v>
      </c>
      <c r="T822">
        <v>-0.1062733</v>
      </c>
      <c r="U822">
        <v>-0.37295529999999999</v>
      </c>
      <c r="V822">
        <v>3.3768989999999999E-2</v>
      </c>
      <c r="W822">
        <v>0.11286789999999899</v>
      </c>
      <c r="X822">
        <v>0.99303600000000003</v>
      </c>
      <c r="Y822">
        <v>0.1146696</v>
      </c>
      <c r="Z822">
        <v>-1.727644E-3</v>
      </c>
      <c r="AA822">
        <v>0.99340220000000001</v>
      </c>
      <c r="AB822">
        <v>34</v>
      </c>
      <c r="AC822">
        <v>32.595100000000002</v>
      </c>
      <c r="AD822">
        <v>-1.159727</v>
      </c>
      <c r="AE822">
        <v>-4.0676000000000201</v>
      </c>
      <c r="AF822">
        <v>3.7973166988135199</v>
      </c>
      <c r="AG822">
        <v>-1.159727</v>
      </c>
      <c r="AH822">
        <v>32.586521560715902</v>
      </c>
      <c r="AI822">
        <v>92.024560341713197</v>
      </c>
      <c r="AJ822">
        <v>83.353284144589296</v>
      </c>
      <c r="AK822">
        <v>32.827518460167198</v>
      </c>
      <c r="AL822">
        <v>83.519336004981696</v>
      </c>
      <c r="AM822">
        <v>88.052361327365603</v>
      </c>
      <c r="AN822">
        <v>1.0000000024160101</v>
      </c>
    </row>
    <row r="823" spans="1:40" x14ac:dyDescent="0.25">
      <c r="A823" t="str">
        <f>"20190312164008222"</f>
        <v>20190312164008222</v>
      </c>
      <c r="B823" t="str">
        <f>"1552380008217434"</f>
        <v>1552380008217434</v>
      </c>
      <c r="C823" t="s">
        <v>40</v>
      </c>
      <c r="D823">
        <v>5.2067949999999996</v>
      </c>
      <c r="E823">
        <v>0.53436649999999997</v>
      </c>
      <c r="F823" t="s">
        <v>43</v>
      </c>
      <c r="G823">
        <v>-296.3956</v>
      </c>
      <c r="H823">
        <v>-0.05</v>
      </c>
      <c r="I823">
        <v>363.98540000000003</v>
      </c>
      <c r="J823">
        <v>-328.76650000000001</v>
      </c>
      <c r="K823">
        <v>1.109728</v>
      </c>
      <c r="L823">
        <v>368.0369</v>
      </c>
      <c r="M823">
        <v>0.99990780000000001</v>
      </c>
      <c r="N823">
        <v>0</v>
      </c>
      <c r="O823">
        <v>-8.1419660000000005E-3</v>
      </c>
      <c r="P823">
        <v>0.99388359999999998</v>
      </c>
      <c r="Q823">
        <v>0.1020151</v>
      </c>
      <c r="R823">
        <v>-4.2293980000000002E-2</v>
      </c>
      <c r="S823">
        <v>3.0136720000000001</v>
      </c>
      <c r="T823">
        <v>-0.1072525</v>
      </c>
      <c r="U823">
        <v>-0.3748474</v>
      </c>
      <c r="V823">
        <v>3.4203839999999999E-2</v>
      </c>
      <c r="W823">
        <v>0.112821</v>
      </c>
      <c r="X823">
        <v>0.99302639999999998</v>
      </c>
      <c r="Y823">
        <v>0.1152801</v>
      </c>
      <c r="Z823">
        <v>-1.7542809999999999E-3</v>
      </c>
      <c r="AA823">
        <v>0.99333150000000003</v>
      </c>
      <c r="AB823">
        <v>34</v>
      </c>
      <c r="AC823">
        <v>32.370899999999999</v>
      </c>
      <c r="AD823">
        <v>-1.1597280000000001</v>
      </c>
      <c r="AE823">
        <v>-4.0514999999999697</v>
      </c>
      <c r="AF823">
        <v>3.7830066818240802</v>
      </c>
      <c r="AG823">
        <v>-1.1597280000000001</v>
      </c>
      <c r="AH823">
        <v>32.361919471345203</v>
      </c>
      <c r="AI823">
        <v>92.038515408062395</v>
      </c>
      <c r="AJ823">
        <v>83.332563453864296</v>
      </c>
      <c r="AK823">
        <v>32.602913067064101</v>
      </c>
      <c r="AL823">
        <v>83.522040148644805</v>
      </c>
      <c r="AM823">
        <v>88.027281831018399</v>
      </c>
      <c r="AN823">
        <v>0.99999995590435098</v>
      </c>
    </row>
    <row r="824" spans="1:40" x14ac:dyDescent="0.25">
      <c r="A824" t="str">
        <f>"20190312164008240"</f>
        <v>20190312164008240</v>
      </c>
      <c r="B824" t="str">
        <f>"1552380008236954"</f>
        <v>1552380008236954</v>
      </c>
      <c r="C824" t="s">
        <v>40</v>
      </c>
      <c r="D824">
        <v>5.1919250000000003</v>
      </c>
      <c r="E824">
        <v>0.53423269999999901</v>
      </c>
      <c r="F824" t="s">
        <v>43</v>
      </c>
      <c r="G824">
        <v>-295.31079999999997</v>
      </c>
      <c r="H824">
        <v>-0.05</v>
      </c>
      <c r="I824">
        <v>363.8202</v>
      </c>
      <c r="J824">
        <v>-328.4787</v>
      </c>
      <c r="K824">
        <v>1.109728</v>
      </c>
      <c r="L824">
        <v>368.03460000000001</v>
      </c>
      <c r="M824">
        <v>0.99990769999999995</v>
      </c>
      <c r="N824">
        <v>0</v>
      </c>
      <c r="O824">
        <v>-8.1416430000000005E-3</v>
      </c>
      <c r="P824">
        <v>0.99386750000000001</v>
      </c>
      <c r="Q824">
        <v>0.1019322</v>
      </c>
      <c r="R824">
        <v>-4.2865500000000001E-2</v>
      </c>
      <c r="S824">
        <v>3.0130620000000001</v>
      </c>
      <c r="T824">
        <v>-0.1044466</v>
      </c>
      <c r="U824">
        <v>-0.37976070000000001</v>
      </c>
      <c r="V824">
        <v>3.4776040000000001E-2</v>
      </c>
      <c r="W824">
        <v>0.1127447</v>
      </c>
      <c r="X824">
        <v>0.99301519999999999</v>
      </c>
      <c r="Y824">
        <v>0.1169022</v>
      </c>
      <c r="Z824">
        <v>-1.7365929999999901E-3</v>
      </c>
      <c r="AA824">
        <v>0.99314190000000002</v>
      </c>
      <c r="AB824">
        <v>34</v>
      </c>
      <c r="AC824">
        <v>33.167900000000003</v>
      </c>
      <c r="AD824">
        <v>-1.1597280000000001</v>
      </c>
      <c r="AE824">
        <v>-4.2144000000000101</v>
      </c>
      <c r="AF824">
        <v>3.93946335134236</v>
      </c>
      <c r="AG824">
        <v>-1.1597280000000001</v>
      </c>
      <c r="AH824">
        <v>33.161216730362597</v>
      </c>
      <c r="AI824">
        <v>91.988981223835594</v>
      </c>
      <c r="AJ824">
        <v>83.225167065734894</v>
      </c>
      <c r="AK824">
        <v>33.4145273132605</v>
      </c>
      <c r="AL824">
        <v>83.526439940530295</v>
      </c>
      <c r="AM824">
        <v>87.994284129632007</v>
      </c>
      <c r="AN824">
        <v>0.99999996388360501</v>
      </c>
    </row>
    <row r="825" spans="1:40" x14ac:dyDescent="0.25">
      <c r="A825" t="str">
        <f>"20190312164008252"</f>
        <v>20190312164008252</v>
      </c>
      <c r="B825" t="str">
        <f>"1552380008246714"</f>
        <v>1552380008246714</v>
      </c>
      <c r="C825" t="s">
        <v>40</v>
      </c>
      <c r="D825">
        <v>6.1030759999999997</v>
      </c>
      <c r="E825">
        <v>0.53446569999999904</v>
      </c>
      <c r="F825" t="s">
        <v>43</v>
      </c>
      <c r="G825">
        <v>-296.93400000000003</v>
      </c>
      <c r="H825">
        <v>-0.05</v>
      </c>
      <c r="I825">
        <v>364.05619999999999</v>
      </c>
      <c r="J825">
        <v>-328.29390000000001</v>
      </c>
      <c r="K825">
        <v>1.109729</v>
      </c>
      <c r="L825">
        <v>368.03309999999999</v>
      </c>
      <c r="M825">
        <v>0.99990760000000001</v>
      </c>
      <c r="N825">
        <v>0</v>
      </c>
      <c r="O825">
        <v>-8.1413179999999998E-3</v>
      </c>
      <c r="P825">
        <v>0.99384399999999995</v>
      </c>
      <c r="Q825">
        <v>0.10205</v>
      </c>
      <c r="R825">
        <v>-4.3129050000000002E-2</v>
      </c>
      <c r="S825">
        <v>3.0135190000000001</v>
      </c>
      <c r="T825">
        <v>-0.1107906</v>
      </c>
      <c r="U825">
        <v>-0.38006590000000001</v>
      </c>
      <c r="V825">
        <v>3.5039939999999999E-2</v>
      </c>
      <c r="W825">
        <v>0.11286839999999999</v>
      </c>
      <c r="X825">
        <v>0.99299190000000004</v>
      </c>
      <c r="Y825">
        <v>0.1169747</v>
      </c>
      <c r="Z825">
        <v>-1.843054E-3</v>
      </c>
      <c r="AA825">
        <v>0.99313320000000005</v>
      </c>
      <c r="AB825">
        <v>34</v>
      </c>
      <c r="AC825">
        <v>31.3598999999999</v>
      </c>
      <c r="AD825">
        <v>-1.159729</v>
      </c>
      <c r="AE825">
        <v>-3.9769000000000001</v>
      </c>
      <c r="AF825">
        <v>3.7164399258624901</v>
      </c>
      <c r="AG825">
        <v>-1.159729</v>
      </c>
      <c r="AH825">
        <v>31.349044871069601</v>
      </c>
      <c r="AI825">
        <v>92.103918905071396</v>
      </c>
      <c r="AJ825">
        <v>83.239120902826599</v>
      </c>
      <c r="AK825">
        <v>31.589864061187701</v>
      </c>
      <c r="AL825">
        <v>83.519307113455497</v>
      </c>
      <c r="AM825">
        <v>87.979028830945197</v>
      </c>
      <c r="AN825">
        <v>0.99999999328968603</v>
      </c>
    </row>
    <row r="826" spans="1:40" x14ac:dyDescent="0.25">
      <c r="A826" t="str">
        <f>"20190312164008264"</f>
        <v>20190312164008264</v>
      </c>
      <c r="B826" t="str">
        <f>"1552380008257451"</f>
        <v>1552380008257451</v>
      </c>
      <c r="C826" t="s">
        <v>40</v>
      </c>
      <c r="D826">
        <v>5.2952659999999998</v>
      </c>
      <c r="E826">
        <v>0.53461539999999996</v>
      </c>
      <c r="F826" t="s">
        <v>43</v>
      </c>
      <c r="G826">
        <v>-296.33249999999998</v>
      </c>
      <c r="H826">
        <v>-0.05</v>
      </c>
      <c r="I826">
        <v>363.97680000000003</v>
      </c>
      <c r="J826">
        <v>-328.1284</v>
      </c>
      <c r="K826">
        <v>1.1097300000000001</v>
      </c>
      <c r="L826">
        <v>368.0317</v>
      </c>
      <c r="M826">
        <v>0.99990749999999995</v>
      </c>
      <c r="N826">
        <v>0</v>
      </c>
      <c r="O826">
        <v>-8.1413490000000008E-3</v>
      </c>
      <c r="P826">
        <v>0.99383619999999995</v>
      </c>
      <c r="Q826">
        <v>0.1020578</v>
      </c>
      <c r="R826">
        <v>-4.3289859999999999E-2</v>
      </c>
      <c r="S826">
        <v>3.013245</v>
      </c>
      <c r="T826">
        <v>-0.1093365</v>
      </c>
      <c r="U826">
        <v>-0.38241579999999997</v>
      </c>
      <c r="V826">
        <v>3.5200960000000003E-2</v>
      </c>
      <c r="W826">
        <v>0.1128817</v>
      </c>
      <c r="X826">
        <v>0.99298470000000005</v>
      </c>
      <c r="Y826">
        <v>0.1177496</v>
      </c>
      <c r="Z826">
        <v>-1.832951E-3</v>
      </c>
      <c r="AA826">
        <v>0.99304159999999997</v>
      </c>
      <c r="AB826">
        <v>34</v>
      </c>
      <c r="AC826">
        <v>31.7959</v>
      </c>
      <c r="AD826">
        <v>-1.1597299999999999</v>
      </c>
      <c r="AE826">
        <v>-4.0548999999999698</v>
      </c>
      <c r="AF826">
        <v>3.7909261008784698</v>
      </c>
      <c r="AG826">
        <v>-1.1597299999999999</v>
      </c>
      <c r="AH826">
        <v>31.786249788064701</v>
      </c>
      <c r="AI826">
        <v>92.074834504583194</v>
      </c>
      <c r="AJ826">
        <v>83.198853155017602</v>
      </c>
      <c r="AK826">
        <v>32.032511140472103</v>
      </c>
      <c r="AL826">
        <v>83.518540222621098</v>
      </c>
      <c r="AM826">
        <v>87.969734851994303</v>
      </c>
      <c r="AN826">
        <v>1.00000000010695</v>
      </c>
    </row>
    <row r="827" spans="1:40" x14ac:dyDescent="0.25">
      <c r="A827" t="str">
        <f>"20190312164008275"</f>
        <v>20190312164008275</v>
      </c>
      <c r="B827" t="str">
        <f>"1552380008267210"</f>
        <v>1552380008267210</v>
      </c>
      <c r="C827" t="s">
        <v>40</v>
      </c>
      <c r="D827">
        <v>5.1400540000000001</v>
      </c>
      <c r="E827">
        <v>0.53482680000000005</v>
      </c>
      <c r="F827" t="s">
        <v>43</v>
      </c>
      <c r="G827">
        <v>-295.79649999999998</v>
      </c>
      <c r="H827">
        <v>-0.05</v>
      </c>
      <c r="I827">
        <v>363.90640000000002</v>
      </c>
      <c r="J827">
        <v>-327.9409</v>
      </c>
      <c r="K827">
        <v>1.109731</v>
      </c>
      <c r="L827">
        <v>368.03019999999998</v>
      </c>
      <c r="M827">
        <v>0.99990749999999995</v>
      </c>
      <c r="N827">
        <v>0</v>
      </c>
      <c r="O827">
        <v>-8.1412659999999994E-3</v>
      </c>
      <c r="P827">
        <v>0.99384740000000005</v>
      </c>
      <c r="Q827">
        <v>0.10194880000000001</v>
      </c>
      <c r="R827">
        <v>-4.3289179999999997E-2</v>
      </c>
      <c r="S827">
        <v>3.0129700000000001</v>
      </c>
      <c r="T827">
        <v>-0.10807360000000001</v>
      </c>
      <c r="U827">
        <v>-0.38442989999999999</v>
      </c>
      <c r="V827">
        <v>3.520032E-2</v>
      </c>
      <c r="W827">
        <v>0.1127793</v>
      </c>
      <c r="X827">
        <v>0.99299630000000005</v>
      </c>
      <c r="Y827">
        <v>0.1184154</v>
      </c>
      <c r="Z827">
        <v>-1.823774E-3</v>
      </c>
      <c r="AA827">
        <v>0.99296249999999997</v>
      </c>
      <c r="AB827">
        <v>34</v>
      </c>
      <c r="AC827">
        <v>32.144399999999997</v>
      </c>
      <c r="AD827">
        <v>-1.1597309999999901</v>
      </c>
      <c r="AE827">
        <v>-4.1237999999999602</v>
      </c>
      <c r="AF827">
        <v>3.8570123735516799</v>
      </c>
      <c r="AG827">
        <v>-1.1597309999999901</v>
      </c>
      <c r="AH827">
        <v>32.135756404595902</v>
      </c>
      <c r="AI827">
        <v>92.052106234841006</v>
      </c>
      <c r="AJ827">
        <v>83.155958283710106</v>
      </c>
      <c r="AK827">
        <v>32.387163508674597</v>
      </c>
      <c r="AL827">
        <v>83.524444641864207</v>
      </c>
      <c r="AM827">
        <v>87.9697954309148</v>
      </c>
      <c r="AN827">
        <v>0.99999994242513901</v>
      </c>
    </row>
    <row r="828" spans="1:40" x14ac:dyDescent="0.25">
      <c r="A828" t="str">
        <f>"20190312164008287"</f>
        <v>20190312164008287</v>
      </c>
      <c r="B828" t="str">
        <f>"1552380008276970"</f>
        <v>1552380008276970</v>
      </c>
      <c r="C828" t="s">
        <v>40</v>
      </c>
      <c r="D828">
        <v>6.0394389999999998</v>
      </c>
      <c r="E828">
        <v>0.53495349999999997</v>
      </c>
      <c r="F828" t="s">
        <v>43</v>
      </c>
      <c r="G828">
        <v>-295.19889999999998</v>
      </c>
      <c r="H828">
        <v>-0.05</v>
      </c>
      <c r="I828">
        <v>363.8356</v>
      </c>
      <c r="J828">
        <v>-327.77159999999998</v>
      </c>
      <c r="K828">
        <v>1.1097330000000001</v>
      </c>
      <c r="L828">
        <v>368.02879999999999</v>
      </c>
      <c r="M828">
        <v>0.9999074</v>
      </c>
      <c r="N828">
        <v>0</v>
      </c>
      <c r="O828">
        <v>-8.1410600000000003E-3</v>
      </c>
      <c r="P828">
        <v>0.99383630000000001</v>
      </c>
      <c r="Q828">
        <v>0.10206990000000001</v>
      </c>
      <c r="R828">
        <v>-4.3257959999999998E-2</v>
      </c>
      <c r="S828">
        <v>3.0126650000000001</v>
      </c>
      <c r="T828">
        <v>-0.1067095</v>
      </c>
      <c r="U828">
        <v>-0.38595580000000002</v>
      </c>
      <c r="V828">
        <v>3.5169350000000002E-2</v>
      </c>
      <c r="W828">
        <v>0.1129063</v>
      </c>
      <c r="X828">
        <v>0.99298299999999995</v>
      </c>
      <c r="Y828">
        <v>0.1189245</v>
      </c>
      <c r="Z828">
        <v>-1.8098750000000001E-3</v>
      </c>
      <c r="AA828">
        <v>0.99290160000000005</v>
      </c>
      <c r="AB828">
        <v>34</v>
      </c>
      <c r="AC828">
        <v>32.572699999999998</v>
      </c>
      <c r="AD828">
        <v>-1.1597329999999999</v>
      </c>
      <c r="AE828">
        <v>-4.1931999999999903</v>
      </c>
      <c r="AF828">
        <v>3.9229769572203099</v>
      </c>
      <c r="AG828">
        <v>-1.1597329999999999</v>
      </c>
      <c r="AH828">
        <v>32.565150472918603</v>
      </c>
      <c r="AI828">
        <v>92.0249677085135</v>
      </c>
      <c r="AJ828">
        <v>83.130935771759596</v>
      </c>
      <c r="AK828">
        <v>32.821087035045103</v>
      </c>
      <c r="AL828">
        <v>83.517121527455402</v>
      </c>
      <c r="AM828">
        <v>87.971553009930005</v>
      </c>
      <c r="AN828">
        <v>0.99999997702405596</v>
      </c>
    </row>
    <row r="829" spans="1:40" x14ac:dyDescent="0.25">
      <c r="A829" t="str">
        <f>"20190312164008306"</f>
        <v>20190312164008306</v>
      </c>
      <c r="B829" t="str">
        <f>"1552380008297469"</f>
        <v>1552380008297469</v>
      </c>
      <c r="C829" t="s">
        <v>40</v>
      </c>
      <c r="D829">
        <v>6.1824149999999998</v>
      </c>
      <c r="E829">
        <v>0.53531519999999899</v>
      </c>
      <c r="F829" t="s">
        <v>43</v>
      </c>
      <c r="G829">
        <v>-294.61419999999998</v>
      </c>
      <c r="H829">
        <v>-0.05</v>
      </c>
      <c r="I829">
        <v>363.77080000000001</v>
      </c>
      <c r="J829">
        <v>-327.4846</v>
      </c>
      <c r="K829">
        <v>1.1097319999999999</v>
      </c>
      <c r="L829">
        <v>368.0265</v>
      </c>
      <c r="M829">
        <v>0.99990730000000005</v>
      </c>
      <c r="N829">
        <v>0</v>
      </c>
      <c r="O829">
        <v>-8.1408829999999998E-3</v>
      </c>
      <c r="P829">
        <v>0.99383030000000006</v>
      </c>
      <c r="Q829">
        <v>0.1021731</v>
      </c>
      <c r="R829">
        <v>-4.3156519999999997E-2</v>
      </c>
      <c r="S829">
        <v>3.0125730000000002</v>
      </c>
      <c r="T829">
        <v>-0.10536959999999999</v>
      </c>
      <c r="U829">
        <v>-0.38687129999999997</v>
      </c>
      <c r="V829">
        <v>3.506807E-2</v>
      </c>
      <c r="W829">
        <v>0.1130205</v>
      </c>
      <c r="X829">
        <v>0.99297360000000001</v>
      </c>
      <c r="Y829">
        <v>0.11922679999999999</v>
      </c>
      <c r="Z829">
        <v>-1.7924529999999901E-3</v>
      </c>
      <c r="AA829">
        <v>0.99286540000000001</v>
      </c>
      <c r="AB829">
        <v>34</v>
      </c>
      <c r="AC829">
        <v>32.870399999999997</v>
      </c>
      <c r="AD829">
        <v>-1.159732</v>
      </c>
      <c r="AE829">
        <v>-4.2556999999999903</v>
      </c>
      <c r="AF829">
        <v>3.9830724865445899</v>
      </c>
      <c r="AG829">
        <v>-1.159732</v>
      </c>
      <c r="AH829">
        <v>32.863722970629397</v>
      </c>
      <c r="AI829">
        <v>92.006408615827496</v>
      </c>
      <c r="AJ829">
        <v>83.0894757693614</v>
      </c>
      <c r="AK829">
        <v>33.124524634101</v>
      </c>
      <c r="AL829">
        <v>83.510536260143297</v>
      </c>
      <c r="AM829">
        <v>87.977370501573006</v>
      </c>
      <c r="AN829">
        <v>0.99999998662536704</v>
      </c>
    </row>
    <row r="830" spans="1:40" x14ac:dyDescent="0.25">
      <c r="A830" t="str">
        <f>"20190312164008319"</f>
        <v>20190312164008319</v>
      </c>
      <c r="B830" t="str">
        <f>"1552380008316986"</f>
        <v>1552380008316986</v>
      </c>
      <c r="C830" t="s">
        <v>40</v>
      </c>
      <c r="D830">
        <v>5.1397890000000004</v>
      </c>
      <c r="E830">
        <v>0.53546859999999996</v>
      </c>
      <c r="F830" t="s">
        <v>43</v>
      </c>
      <c r="G830">
        <v>-293.7242</v>
      </c>
      <c r="H830">
        <v>-0.05</v>
      </c>
      <c r="I830">
        <v>363.65809999999999</v>
      </c>
      <c r="J830">
        <v>-327.28280000000001</v>
      </c>
      <c r="K830">
        <v>1.1097319999999999</v>
      </c>
      <c r="L830">
        <v>368.02480000000003</v>
      </c>
      <c r="M830">
        <v>0.9999072</v>
      </c>
      <c r="N830">
        <v>0</v>
      </c>
      <c r="O830">
        <v>-8.1405790000000002E-3</v>
      </c>
      <c r="P830">
        <v>0.99381560000000002</v>
      </c>
      <c r="Q830">
        <v>0.1022996</v>
      </c>
      <c r="R830">
        <v>-4.3190550000000001E-2</v>
      </c>
      <c r="S830">
        <v>3.0123289999999998</v>
      </c>
      <c r="T830">
        <v>-0.103479</v>
      </c>
      <c r="U830">
        <v>-0.38977050000000002</v>
      </c>
      <c r="V830">
        <v>3.5102590000000003E-2</v>
      </c>
      <c r="W830">
        <v>0.1131569</v>
      </c>
      <c r="X830">
        <v>0.99295690000000003</v>
      </c>
      <c r="Y830">
        <v>0.12017899999999999</v>
      </c>
      <c r="Z830">
        <v>-1.7766380000000001E-3</v>
      </c>
      <c r="AA830">
        <v>0.99275060000000004</v>
      </c>
      <c r="AB830">
        <v>34</v>
      </c>
      <c r="AC830">
        <v>33.558599999999998</v>
      </c>
      <c r="AD830">
        <v>-1.159732</v>
      </c>
      <c r="AE830">
        <v>-4.36670000000003</v>
      </c>
      <c r="AF830">
        <v>4.0885509651975598</v>
      </c>
      <c r="AG830">
        <v>-1.159732</v>
      </c>
      <c r="AH830">
        <v>33.553632120050203</v>
      </c>
      <c r="AI830">
        <v>91.965033550897601</v>
      </c>
      <c r="AJ830">
        <v>83.052688262036</v>
      </c>
      <c r="AK830">
        <v>33.821700958918498</v>
      </c>
      <c r="AL830">
        <v>83.502671008920402</v>
      </c>
      <c r="AM830">
        <v>87.975347116783894</v>
      </c>
      <c r="AN830">
        <v>1.0000000405499601</v>
      </c>
    </row>
    <row r="831" spans="1:40" x14ac:dyDescent="0.25">
      <c r="A831" t="str">
        <f>"20190312164008340"</f>
        <v>20190312164008340</v>
      </c>
      <c r="B831" t="str">
        <f>"1552380008337483"</f>
        <v>1552380008337483</v>
      </c>
      <c r="C831" t="s">
        <v>40</v>
      </c>
      <c r="D831">
        <v>4.6062909999999997</v>
      </c>
      <c r="E831">
        <v>0.53932880000000005</v>
      </c>
      <c r="F831" t="s">
        <v>43</v>
      </c>
      <c r="G831">
        <v>-295.30610000000001</v>
      </c>
      <c r="H831">
        <v>-0.05</v>
      </c>
      <c r="I831">
        <v>363.87549999999999</v>
      </c>
      <c r="J831">
        <v>-326.97109999999998</v>
      </c>
      <c r="K831">
        <v>1.109729</v>
      </c>
      <c r="L831">
        <v>368.02229999999997</v>
      </c>
      <c r="M831">
        <v>0.99990699999999999</v>
      </c>
      <c r="N831">
        <v>0</v>
      </c>
      <c r="O831">
        <v>-8.1403180000000006E-3</v>
      </c>
      <c r="P831">
        <v>0.9938207</v>
      </c>
      <c r="Q831">
        <v>0.1021807</v>
      </c>
      <c r="R831">
        <v>-4.3349819999999997E-2</v>
      </c>
      <c r="S831">
        <v>3.0129389999999998</v>
      </c>
      <c r="T831">
        <v>-0.1092733</v>
      </c>
      <c r="U831">
        <v>-0.39096069999999999</v>
      </c>
      <c r="V831">
        <v>3.5262210000000002E-2</v>
      </c>
      <c r="W831">
        <v>0.1130555</v>
      </c>
      <c r="X831">
        <v>0.99296280000000003</v>
      </c>
      <c r="Y831">
        <v>0.12053170000000001</v>
      </c>
      <c r="Z831">
        <v>-1.8820099999999999E-3</v>
      </c>
      <c r="AA831">
        <v>0.99270769999999997</v>
      </c>
      <c r="AB831">
        <v>34</v>
      </c>
      <c r="AC831">
        <v>31.6649999999999</v>
      </c>
      <c r="AD831">
        <v>-1.159729</v>
      </c>
      <c r="AE831">
        <v>-4.1467999999999803</v>
      </c>
      <c r="AF831">
        <v>3.88376219816407</v>
      </c>
      <c r="AG831">
        <v>-1.159729</v>
      </c>
      <c r="AH831">
        <v>31.655962084621599</v>
      </c>
      <c r="AI831">
        <v>92.0825152050637</v>
      </c>
      <c r="AJ831">
        <v>83.005529735332701</v>
      </c>
      <c r="AK831">
        <v>31.914393550063402</v>
      </c>
      <c r="AL831">
        <v>83.5085183581172</v>
      </c>
      <c r="AM831">
        <v>87.966160317650903</v>
      </c>
      <c r="AN831">
        <v>1.0000000458590801</v>
      </c>
    </row>
    <row r="832" spans="1:40" x14ac:dyDescent="0.25">
      <c r="A832" t="str">
        <f>"20190312164008352"</f>
        <v>20190312164008352</v>
      </c>
      <c r="B832" t="str">
        <f>"1552380008347242"</f>
        <v>1552380008347242</v>
      </c>
      <c r="C832" t="s">
        <v>40</v>
      </c>
      <c r="D832">
        <v>5.2264410000000003</v>
      </c>
      <c r="E832">
        <v>0.54115749999999996</v>
      </c>
      <c r="F832" t="s">
        <v>43</v>
      </c>
      <c r="G832">
        <v>-297.47629999999998</v>
      </c>
      <c r="H832">
        <v>-0.05</v>
      </c>
      <c r="I832">
        <v>363.8938</v>
      </c>
      <c r="J832">
        <v>-326.78719999999998</v>
      </c>
      <c r="K832">
        <v>1.109731</v>
      </c>
      <c r="L832">
        <v>368.02080000000001</v>
      </c>
      <c r="M832">
        <v>0.99990690000000004</v>
      </c>
      <c r="N832">
        <v>0</v>
      </c>
      <c r="O832">
        <v>-8.1401379999999999E-3</v>
      </c>
      <c r="P832">
        <v>0.99381540000000002</v>
      </c>
      <c r="Q832">
        <v>0.1021676</v>
      </c>
      <c r="R832">
        <v>-4.3505429999999998E-2</v>
      </c>
      <c r="S832">
        <v>3.0124209999999998</v>
      </c>
      <c r="T832">
        <v>-0.1184477</v>
      </c>
      <c r="U832">
        <v>-0.42166140000000002</v>
      </c>
      <c r="V832">
        <v>3.5417940000000002E-2</v>
      </c>
      <c r="W832">
        <v>0.11305320000000001</v>
      </c>
      <c r="X832">
        <v>0.99295750000000005</v>
      </c>
      <c r="Y832">
        <v>0.13046350000000001</v>
      </c>
      <c r="Z832">
        <v>-2.233119E-3</v>
      </c>
      <c r="AA832">
        <v>0.99145059999999996</v>
      </c>
      <c r="AB832">
        <v>34</v>
      </c>
      <c r="AC832">
        <v>29.3109</v>
      </c>
      <c r="AD832">
        <v>-1.1597309999999901</v>
      </c>
      <c r="AE832">
        <v>-4.1269999999999998</v>
      </c>
      <c r="AF832">
        <v>3.8822945432326699</v>
      </c>
      <c r="AG832">
        <v>-1.1597309999999901</v>
      </c>
      <c r="AH832">
        <v>29.298549557669499</v>
      </c>
      <c r="AI832">
        <v>92.247146300519404</v>
      </c>
      <c r="AJ832">
        <v>82.451819274624697</v>
      </c>
      <c r="AK832">
        <v>29.577393277569101</v>
      </c>
      <c r="AL832">
        <v>83.508650863529098</v>
      </c>
      <c r="AM832">
        <v>87.9571748837554</v>
      </c>
      <c r="AN832">
        <v>1.0000000266551601</v>
      </c>
    </row>
    <row r="833" spans="1:40" x14ac:dyDescent="0.25">
      <c r="A833" t="str">
        <f>"20190312164008362"</f>
        <v>20190312164008362</v>
      </c>
      <c r="B833" t="str">
        <f>"1552380008357002"</f>
        <v>1552380008357002</v>
      </c>
      <c r="C833" t="s">
        <v>40</v>
      </c>
      <c r="D833">
        <v>5.1911800000000001</v>
      </c>
      <c r="E833">
        <v>0.54277399999999998</v>
      </c>
      <c r="F833" t="s">
        <v>43</v>
      </c>
      <c r="G833">
        <v>-297.45209999999997</v>
      </c>
      <c r="H833">
        <v>-0.05</v>
      </c>
      <c r="I833">
        <v>363.76960000000003</v>
      </c>
      <c r="J833">
        <v>-326.62299999999999</v>
      </c>
      <c r="K833">
        <v>1.1097379999999999</v>
      </c>
      <c r="L833">
        <v>368.01949999999999</v>
      </c>
      <c r="M833">
        <v>0.99990679999999998</v>
      </c>
      <c r="N833">
        <v>0</v>
      </c>
      <c r="O833">
        <v>-8.1399509999999994E-3</v>
      </c>
      <c r="P833">
        <v>0.9938053</v>
      </c>
      <c r="Q833">
        <v>0.102217</v>
      </c>
      <c r="R833">
        <v>-4.3621159999999999E-2</v>
      </c>
      <c r="S833">
        <v>3.0117799999999999</v>
      </c>
      <c r="T833">
        <v>-0.1190671</v>
      </c>
      <c r="U833">
        <v>-0.43646239999999997</v>
      </c>
      <c r="V833">
        <v>3.5533960000000003E-2</v>
      </c>
      <c r="W833">
        <v>0.1131119</v>
      </c>
      <c r="X833">
        <v>0.99294660000000001</v>
      </c>
      <c r="Y833">
        <v>0.13526199999999999</v>
      </c>
      <c r="Z833">
        <v>-2.338817E-3</v>
      </c>
      <c r="AA833">
        <v>0.99080710000000005</v>
      </c>
      <c r="AB833">
        <v>34</v>
      </c>
      <c r="AC833">
        <v>29.1709</v>
      </c>
      <c r="AD833">
        <v>-1.1597379999999999</v>
      </c>
      <c r="AE833">
        <v>-4.2498999999999603</v>
      </c>
      <c r="AF833">
        <v>4.0060948236544496</v>
      </c>
      <c r="AG833">
        <v>-1.1597379999999999</v>
      </c>
      <c r="AH833">
        <v>29.1593982939504</v>
      </c>
      <c r="AI833">
        <v>92.256414709740696</v>
      </c>
      <c r="AJ833">
        <v>82.177330772865304</v>
      </c>
      <c r="AK833">
        <v>29.4561419203193</v>
      </c>
      <c r="AL833">
        <v>83.505265436666207</v>
      </c>
      <c r="AM833">
        <v>87.950466335997007</v>
      </c>
      <c r="AN833">
        <v>0.999999957343224</v>
      </c>
    </row>
    <row r="834" spans="1:40" x14ac:dyDescent="0.25">
      <c r="A834" t="str">
        <f>"20190312164008373"</f>
        <v>20190312164008373</v>
      </c>
      <c r="B834" t="str">
        <f>"1552380008366762"</f>
        <v>1552380008366762</v>
      </c>
      <c r="C834" t="s">
        <v>40</v>
      </c>
      <c r="D834">
        <v>5.1323369999999997</v>
      </c>
      <c r="E834">
        <v>0.54419719999999905</v>
      </c>
      <c r="F834" t="s">
        <v>43</v>
      </c>
      <c r="G834">
        <v>-297.47140000000002</v>
      </c>
      <c r="H834">
        <v>-0.05</v>
      </c>
      <c r="I834">
        <v>363.66930000000002</v>
      </c>
      <c r="J834">
        <v>-326.45339999999999</v>
      </c>
      <c r="K834">
        <v>1.1097399999999999</v>
      </c>
      <c r="L834">
        <v>368.01799999999997</v>
      </c>
      <c r="M834">
        <v>0.99990670000000004</v>
      </c>
      <c r="N834">
        <v>0</v>
      </c>
      <c r="O834">
        <v>-8.1397650000000002E-3</v>
      </c>
      <c r="P834">
        <v>0.99379519999999999</v>
      </c>
      <c r="Q834">
        <v>0.102324</v>
      </c>
      <c r="R834">
        <v>-4.3600689999999998E-2</v>
      </c>
      <c r="S834">
        <v>3.0113219999999998</v>
      </c>
      <c r="T834">
        <v>-0.1197995</v>
      </c>
      <c r="U834">
        <v>-0.44937129999999997</v>
      </c>
      <c r="V834">
        <v>3.5513639999999999E-2</v>
      </c>
      <c r="W834">
        <v>0.11322749999999999</v>
      </c>
      <c r="X834">
        <v>0.99293419999999999</v>
      </c>
      <c r="Y834">
        <v>0.13943539999999999</v>
      </c>
      <c r="Z834">
        <v>-2.435352E-3</v>
      </c>
      <c r="AA834">
        <v>0.9902282</v>
      </c>
      <c r="AB834">
        <v>34</v>
      </c>
      <c r="AC834">
        <v>28.9819999999999</v>
      </c>
      <c r="AD834">
        <v>-1.15974</v>
      </c>
      <c r="AE834">
        <v>-4.3487</v>
      </c>
      <c r="AF834">
        <v>4.1062046865804103</v>
      </c>
      <c r="AG834">
        <v>-1.15974</v>
      </c>
      <c r="AH834">
        <v>28.971070237436599</v>
      </c>
      <c r="AI834">
        <v>92.269721122687102</v>
      </c>
      <c r="AJ834">
        <v>81.932934986619202</v>
      </c>
      <c r="AK834">
        <v>29.283593094054901</v>
      </c>
      <c r="AL834">
        <v>83.498599532450896</v>
      </c>
      <c r="AM834">
        <v>87.951611799012298</v>
      </c>
      <c r="AN834">
        <v>1.0000000054559599</v>
      </c>
    </row>
    <row r="835" spans="1:40" x14ac:dyDescent="0.25">
      <c r="A835" t="str">
        <f>"20190312164008385"</f>
        <v>20190312164008385</v>
      </c>
      <c r="B835" t="str">
        <f>"1552380008377499"</f>
        <v>1552380008377499</v>
      </c>
      <c r="C835" t="s">
        <v>40</v>
      </c>
      <c r="D835">
        <v>5.1070769999999897</v>
      </c>
      <c r="E835">
        <v>0.54570319999999894</v>
      </c>
      <c r="F835" t="s">
        <v>43</v>
      </c>
      <c r="G835">
        <v>-297.37</v>
      </c>
      <c r="H835">
        <v>-0.05</v>
      </c>
      <c r="I835">
        <v>363.56450000000001</v>
      </c>
      <c r="J835">
        <v>-326.28769999999997</v>
      </c>
      <c r="K835">
        <v>1.109742</v>
      </c>
      <c r="L835">
        <v>368.01670000000001</v>
      </c>
      <c r="M835">
        <v>0.99990670000000004</v>
      </c>
      <c r="N835">
        <v>0</v>
      </c>
      <c r="O835">
        <v>-8.1398129999999992E-3</v>
      </c>
      <c r="P835">
        <v>0.99378569999999999</v>
      </c>
      <c r="Q835">
        <v>0.1023497</v>
      </c>
      <c r="R835">
        <v>-4.3759819999999998E-2</v>
      </c>
      <c r="S835">
        <v>3.0108950000000001</v>
      </c>
      <c r="T835">
        <v>-0.1200635</v>
      </c>
      <c r="U835">
        <v>-0.46105960000000001</v>
      </c>
      <c r="V835">
        <v>3.5672759999999998E-2</v>
      </c>
      <c r="W835">
        <v>0.1132621</v>
      </c>
      <c r="X835">
        <v>0.99292460000000005</v>
      </c>
      <c r="Y835">
        <v>0.1432097</v>
      </c>
      <c r="Z835">
        <v>-2.5151409999999998E-3</v>
      </c>
      <c r="AA835">
        <v>0.98968920000000005</v>
      </c>
      <c r="AB835">
        <v>34</v>
      </c>
      <c r="AC835">
        <v>28.9176999999999</v>
      </c>
      <c r="AD835">
        <v>-1.1597420000000001</v>
      </c>
      <c r="AE835">
        <v>-4.4522000000000004</v>
      </c>
      <c r="AF835">
        <v>4.21003900011765</v>
      </c>
      <c r="AG835">
        <v>-1.1597420000000001</v>
      </c>
      <c r="AH835">
        <v>28.907565672742901</v>
      </c>
      <c r="AI835">
        <v>92.273457659070303</v>
      </c>
      <c r="AJ835">
        <v>81.713816085015296</v>
      </c>
      <c r="AK835">
        <v>29.235539725016501</v>
      </c>
      <c r="AL835">
        <v>83.496604588016993</v>
      </c>
      <c r="AM835">
        <v>87.942421924930201</v>
      </c>
      <c r="AN835">
        <v>1.00000005519379</v>
      </c>
    </row>
    <row r="836" spans="1:40" x14ac:dyDescent="0.25">
      <c r="A836" t="str">
        <f>"20190312164008396"</f>
        <v>20190312164008396</v>
      </c>
      <c r="B836" t="str">
        <f>"1552380008387259"</f>
        <v>1552380008387259</v>
      </c>
      <c r="C836" t="s">
        <v>40</v>
      </c>
      <c r="D836">
        <v>5.0836100000000002</v>
      </c>
      <c r="E836">
        <v>0.54704359999999996</v>
      </c>
      <c r="F836" t="s">
        <v>43</v>
      </c>
      <c r="G836">
        <v>-297.35599999999999</v>
      </c>
      <c r="H836">
        <v>-0.05</v>
      </c>
      <c r="I836">
        <v>363.46559999999999</v>
      </c>
      <c r="J836">
        <v>-326.11689999999999</v>
      </c>
      <c r="K836">
        <v>1.1097379999999999</v>
      </c>
      <c r="L836">
        <v>368.0154</v>
      </c>
      <c r="M836">
        <v>0.99990650000000003</v>
      </c>
      <c r="N836">
        <v>0</v>
      </c>
      <c r="O836">
        <v>-8.139505E-3</v>
      </c>
      <c r="P836">
        <v>0.99380559999999996</v>
      </c>
      <c r="Q836">
        <v>0.1022156</v>
      </c>
      <c r="R836">
        <v>-4.3616429999999998E-2</v>
      </c>
      <c r="S836">
        <v>3.010345</v>
      </c>
      <c r="T836">
        <v>-0.1206715</v>
      </c>
      <c r="U836">
        <v>-0.4735413</v>
      </c>
      <c r="V836">
        <v>3.5529600000000001E-2</v>
      </c>
      <c r="W836">
        <v>0.113137</v>
      </c>
      <c r="X836">
        <v>0.99294389999999999</v>
      </c>
      <c r="Y836">
        <v>0.14723849999999999</v>
      </c>
      <c r="Z836">
        <v>-2.6077629999999999E-3</v>
      </c>
      <c r="AA836">
        <v>0.98909760000000002</v>
      </c>
      <c r="AB836">
        <v>34</v>
      </c>
      <c r="AC836">
        <v>28.7608999999999</v>
      </c>
      <c r="AD836">
        <v>-1.1597379999999999</v>
      </c>
      <c r="AE836">
        <v>-4.5498000000000003</v>
      </c>
      <c r="AF836">
        <v>4.3087008284259802</v>
      </c>
      <c r="AG836">
        <v>-1.1597379999999999</v>
      </c>
      <c r="AH836">
        <v>28.751374726464899</v>
      </c>
      <c r="AI836">
        <v>92.284393469956498</v>
      </c>
      <c r="AJ836">
        <v>81.477040836011</v>
      </c>
      <c r="AK836">
        <v>29.095557113056401</v>
      </c>
      <c r="AL836">
        <v>83.503818044508193</v>
      </c>
      <c r="AM836">
        <v>87.950712030745095</v>
      </c>
      <c r="AN836">
        <v>0.99999996089618404</v>
      </c>
    </row>
    <row r="837" spans="1:40" x14ac:dyDescent="0.25">
      <c r="A837" t="str">
        <f>"20190312164008408"</f>
        <v>20190312164008408</v>
      </c>
      <c r="B837" t="str">
        <f>"1552380008397019"</f>
        <v>1552380008397019</v>
      </c>
      <c r="C837" t="s">
        <v>40</v>
      </c>
      <c r="D837">
        <v>5.2252809999999998</v>
      </c>
      <c r="E837">
        <v>0.54812380000000005</v>
      </c>
      <c r="F837" t="s">
        <v>43</v>
      </c>
      <c r="G837">
        <v>-297.39749999999998</v>
      </c>
      <c r="H837">
        <v>-0.05</v>
      </c>
      <c r="I837">
        <v>363.40069999999997</v>
      </c>
      <c r="J837">
        <v>-325.94119999999998</v>
      </c>
      <c r="K837">
        <v>1.109739</v>
      </c>
      <c r="L837">
        <v>368.01389999999998</v>
      </c>
      <c r="M837">
        <v>0.99990639999999997</v>
      </c>
      <c r="N837">
        <v>0</v>
      </c>
      <c r="O837">
        <v>-8.1393139999999999E-3</v>
      </c>
      <c r="P837">
        <v>0.99378659999999996</v>
      </c>
      <c r="Q837">
        <v>0.10238410000000001</v>
      </c>
      <c r="R837">
        <v>-4.3655739999999998E-2</v>
      </c>
      <c r="S837">
        <v>3.009979</v>
      </c>
      <c r="T837">
        <v>-0.1215483</v>
      </c>
      <c r="U837">
        <v>-0.48364259999999898</v>
      </c>
      <c r="V837">
        <v>3.5569389999999999E-2</v>
      </c>
      <c r="W837">
        <v>0.1133142</v>
      </c>
      <c r="X837">
        <v>0.99292230000000004</v>
      </c>
      <c r="Y837">
        <v>0.15048979999999901</v>
      </c>
      <c r="Z837">
        <v>-2.6915340000000002E-3</v>
      </c>
      <c r="AA837">
        <v>0.98860789999999998</v>
      </c>
      <c r="AB837">
        <v>34</v>
      </c>
      <c r="AC837">
        <v>28.543700000000001</v>
      </c>
      <c r="AD837">
        <v>-1.1597389999999901</v>
      </c>
      <c r="AE837">
        <v>-4.6132</v>
      </c>
      <c r="AF837">
        <v>4.3736706297412304</v>
      </c>
      <c r="AG837">
        <v>-1.1597389999999901</v>
      </c>
      <c r="AH837">
        <v>28.534398848299599</v>
      </c>
      <c r="AI837">
        <v>92.300583805701194</v>
      </c>
      <c r="AJ837">
        <v>81.285689563003004</v>
      </c>
      <c r="AK837">
        <v>28.890931223472599</v>
      </c>
      <c r="AL837">
        <v>83.493599720587696</v>
      </c>
      <c r="AM837">
        <v>87.9483743782109</v>
      </c>
      <c r="AN837">
        <v>0.99999999163195097</v>
      </c>
    </row>
    <row r="838" spans="1:40" x14ac:dyDescent="0.25">
      <c r="A838" t="str">
        <f>"20190312164008421"</f>
        <v>20190312164008421</v>
      </c>
      <c r="B838" t="str">
        <f>"1552380008417514"</f>
        <v>1552380008417514</v>
      </c>
      <c r="C838" t="s">
        <v>40</v>
      </c>
      <c r="D838">
        <v>5.1830959999999999</v>
      </c>
      <c r="E838">
        <v>0.5504059</v>
      </c>
      <c r="F838" t="s">
        <v>43</v>
      </c>
      <c r="G838">
        <v>-297.8159</v>
      </c>
      <c r="H838">
        <v>-0.05</v>
      </c>
      <c r="I838">
        <v>363.41480000000001</v>
      </c>
      <c r="J838">
        <v>-325.74329999999998</v>
      </c>
      <c r="K838">
        <v>1.1097379999999999</v>
      </c>
      <c r="L838">
        <v>368.01229999999998</v>
      </c>
      <c r="M838">
        <v>0.99990630000000003</v>
      </c>
      <c r="N838">
        <v>0</v>
      </c>
      <c r="O838">
        <v>-8.1390100000000003E-3</v>
      </c>
      <c r="P838">
        <v>0.99377130000000002</v>
      </c>
      <c r="Q838">
        <v>0.1024693</v>
      </c>
      <c r="R838">
        <v>-4.3804709999999997E-2</v>
      </c>
      <c r="S838">
        <v>3.0099179999999999</v>
      </c>
      <c r="T838">
        <v>-0.1241133</v>
      </c>
      <c r="U838">
        <v>-0.4921875</v>
      </c>
      <c r="V838">
        <v>3.5718720000000002E-2</v>
      </c>
      <c r="W838">
        <v>0.1134085</v>
      </c>
      <c r="X838">
        <v>0.99290619999999996</v>
      </c>
      <c r="Y838">
        <v>0.15322040000000001</v>
      </c>
      <c r="Z838">
        <v>-2.8036369999999999E-3</v>
      </c>
      <c r="AA838">
        <v>0.98818810000000001</v>
      </c>
      <c r="AB838">
        <v>34</v>
      </c>
      <c r="AC838">
        <v>27.927399999999899</v>
      </c>
      <c r="AD838">
        <v>-1.1597379999999999</v>
      </c>
      <c r="AE838">
        <v>-4.5974999999999602</v>
      </c>
      <c r="AF838">
        <v>4.3627076425170603</v>
      </c>
      <c r="AG838">
        <v>-1.1597379999999999</v>
      </c>
      <c r="AH838">
        <v>27.917024090904</v>
      </c>
      <c r="AI838">
        <v>92.350338097665798</v>
      </c>
      <c r="AJ838">
        <v>81.117993278878501</v>
      </c>
      <c r="AK838">
        <v>28.2796471741575</v>
      </c>
      <c r="AL838">
        <v>83.488161849093402</v>
      </c>
      <c r="AM838">
        <v>87.939735123431404</v>
      </c>
      <c r="AN838">
        <v>1.0000000184145601</v>
      </c>
    </row>
    <row r="839" spans="1:40" x14ac:dyDescent="0.25">
      <c r="A839" t="str">
        <f>"20190312164008433"</f>
        <v>20190312164008433</v>
      </c>
      <c r="B839" t="str">
        <f>"1552380008427274"</f>
        <v>1552380008427274</v>
      </c>
      <c r="C839" t="s">
        <v>40</v>
      </c>
      <c r="D839">
        <v>5.0314300000000003</v>
      </c>
      <c r="E839">
        <v>0.55159709999999995</v>
      </c>
      <c r="F839" t="s">
        <v>43</v>
      </c>
      <c r="G839">
        <v>-296.51940000000002</v>
      </c>
      <c r="H839">
        <v>-0.05</v>
      </c>
      <c r="I839">
        <v>363.04680000000002</v>
      </c>
      <c r="J839">
        <v>-325.54809999999998</v>
      </c>
      <c r="K839">
        <v>1.1097399999999999</v>
      </c>
      <c r="L839">
        <v>368.01069999999999</v>
      </c>
      <c r="M839">
        <v>0.99990619999999997</v>
      </c>
      <c r="N839">
        <v>0</v>
      </c>
      <c r="O839">
        <v>-8.1387009999999999E-3</v>
      </c>
      <c r="P839">
        <v>0.99374969999999996</v>
      </c>
      <c r="Q839">
        <v>0.1025776</v>
      </c>
      <c r="R839">
        <v>-4.4040030000000001E-2</v>
      </c>
      <c r="S839">
        <v>3.0086059999999999</v>
      </c>
      <c r="T839">
        <v>-0.1193953</v>
      </c>
      <c r="U839">
        <v>-0.51119999999999999</v>
      </c>
      <c r="V839">
        <v>3.595454E-2</v>
      </c>
      <c r="W839">
        <v>0.1135255</v>
      </c>
      <c r="X839">
        <v>0.99288430000000005</v>
      </c>
      <c r="Y839">
        <v>0.15936629999999999</v>
      </c>
      <c r="Z839">
        <v>-2.8179630000000002E-3</v>
      </c>
      <c r="AA839">
        <v>0.98721550000000002</v>
      </c>
      <c r="AB839">
        <v>34</v>
      </c>
      <c r="AC839">
        <v>29.028699999999901</v>
      </c>
      <c r="AD839">
        <v>-1.15974</v>
      </c>
      <c r="AE839">
        <v>-4.9638999999999598</v>
      </c>
      <c r="AF839">
        <v>4.7201454425574996</v>
      </c>
      <c r="AG839">
        <v>-1.15974</v>
      </c>
      <c r="AH839">
        <v>29.023132233082201</v>
      </c>
      <c r="AI839">
        <v>92.258629991041303</v>
      </c>
      <c r="AJ839">
        <v>80.762638889398303</v>
      </c>
      <c r="AK839">
        <v>29.427316807440601</v>
      </c>
      <c r="AL839">
        <v>83.4814145517784</v>
      </c>
      <c r="AM839">
        <v>87.926099101038901</v>
      </c>
      <c r="AN839">
        <v>1.0000000006416701</v>
      </c>
    </row>
    <row r="840" spans="1:40" x14ac:dyDescent="0.25">
      <c r="A840" t="str">
        <f>"20190312164008446"</f>
        <v>20190312164008446</v>
      </c>
      <c r="B840" t="str">
        <f>"1552380008437035"</f>
        <v>1552380008437035</v>
      </c>
      <c r="C840" t="s">
        <v>40</v>
      </c>
      <c r="D840">
        <v>5.0215129999999997</v>
      </c>
      <c r="E840">
        <v>0.5527552</v>
      </c>
      <c r="F840" t="s">
        <v>43</v>
      </c>
      <c r="G840">
        <v>-296.45370000000003</v>
      </c>
      <c r="H840">
        <v>-0.05</v>
      </c>
      <c r="I840">
        <v>362.96769999999998</v>
      </c>
      <c r="J840">
        <v>-325.35640000000001</v>
      </c>
      <c r="K840">
        <v>1.1097410000000001</v>
      </c>
      <c r="L840">
        <v>368.00920000000002</v>
      </c>
      <c r="M840">
        <v>0.99990610000000002</v>
      </c>
      <c r="N840">
        <v>0</v>
      </c>
      <c r="O840">
        <v>-8.1383900000000006E-3</v>
      </c>
      <c r="P840">
        <v>0.99378390000000005</v>
      </c>
      <c r="Q840">
        <v>0.1021774</v>
      </c>
      <c r="R840">
        <v>-4.4202249999999998E-2</v>
      </c>
      <c r="S840">
        <v>3.0081790000000002</v>
      </c>
      <c r="T840">
        <v>-0.1199098</v>
      </c>
      <c r="U840">
        <v>-0.52142330000000003</v>
      </c>
      <c r="V840">
        <v>3.6116559999999999E-2</v>
      </c>
      <c r="W840">
        <v>0.1131337</v>
      </c>
      <c r="X840">
        <v>0.99292309999999995</v>
      </c>
      <c r="Y840">
        <v>0.1626445</v>
      </c>
      <c r="Z840">
        <v>-2.894527E-3</v>
      </c>
      <c r="AA840">
        <v>0.98668049999999996</v>
      </c>
      <c r="AB840">
        <v>34</v>
      </c>
      <c r="AC840">
        <v>28.9026999999999</v>
      </c>
      <c r="AD840">
        <v>-1.1597409999999999</v>
      </c>
      <c r="AE840">
        <v>-5.0415000000000401</v>
      </c>
      <c r="AF840">
        <v>4.7985993198422996</v>
      </c>
      <c r="AG840">
        <v>-1.1597409999999999</v>
      </c>
      <c r="AH840">
        <v>28.897621483951198</v>
      </c>
      <c r="AI840">
        <v>92.267191326992901</v>
      </c>
      <c r="AJ840">
        <v>80.571770670583305</v>
      </c>
      <c r="AK840">
        <v>29.316276742608199</v>
      </c>
      <c r="AL840">
        <v>83.504008344672997</v>
      </c>
      <c r="AM840">
        <v>87.916843143454102</v>
      </c>
      <c r="AN840">
        <v>0.99999996124776602</v>
      </c>
    </row>
    <row r="841" spans="1:40" x14ac:dyDescent="0.25">
      <c r="A841" t="str">
        <f>"20190312164008463"</f>
        <v>20190312164008463</v>
      </c>
      <c r="B841" t="str">
        <f>"1552380008457539"</f>
        <v>1552380008457539</v>
      </c>
      <c r="C841" t="s">
        <v>40</v>
      </c>
      <c r="D841">
        <v>5.0440750000000003</v>
      </c>
      <c r="E841">
        <v>0.55492519999999901</v>
      </c>
      <c r="F841" t="s">
        <v>43</v>
      </c>
      <c r="G841">
        <v>-296.72140000000002</v>
      </c>
      <c r="H841">
        <v>-0.05</v>
      </c>
      <c r="I841">
        <v>362.95269999999999</v>
      </c>
      <c r="J841">
        <v>-325.09219999999999</v>
      </c>
      <c r="K841">
        <v>1.109742</v>
      </c>
      <c r="L841">
        <v>368.00700000000001</v>
      </c>
      <c r="M841">
        <v>0.99990590000000001</v>
      </c>
      <c r="N841">
        <v>0</v>
      </c>
      <c r="O841">
        <v>-8.1383310000000004E-3</v>
      </c>
      <c r="P841">
        <v>0.9937764</v>
      </c>
      <c r="Q841">
        <v>0.1021242</v>
      </c>
      <c r="R841">
        <v>-4.4486619999999998E-2</v>
      </c>
      <c r="S841">
        <v>3.00766</v>
      </c>
      <c r="T841">
        <v>-0.1218128</v>
      </c>
      <c r="U841">
        <v>-0.53109740000000005</v>
      </c>
      <c r="V841">
        <v>3.6401240000000001E-2</v>
      </c>
      <c r="W841">
        <v>0.1130915</v>
      </c>
      <c r="X841">
        <v>0.99291750000000001</v>
      </c>
      <c r="Y841">
        <v>0.16574549999999999</v>
      </c>
      <c r="Z841">
        <v>-3.0024140000000001E-3</v>
      </c>
      <c r="AA841">
        <v>0.98616400000000004</v>
      </c>
      <c r="AB841">
        <v>34</v>
      </c>
      <c r="AC841">
        <v>28.3707999999999</v>
      </c>
      <c r="AD841">
        <v>-1.1597420000000001</v>
      </c>
      <c r="AE841">
        <v>-5.0542999999999498</v>
      </c>
      <c r="AF841">
        <v>4.8154284439161099</v>
      </c>
      <c r="AG841">
        <v>-1.1597420000000001</v>
      </c>
      <c r="AH841">
        <v>28.365056108958498</v>
      </c>
      <c r="AI841">
        <v>92.308317235013604</v>
      </c>
      <c r="AJ841">
        <v>80.364973389621198</v>
      </c>
      <c r="AK841">
        <v>28.794266107497901</v>
      </c>
      <c r="AL841">
        <v>83.506441769298505</v>
      </c>
      <c r="AM841">
        <v>87.900425973241795</v>
      </c>
      <c r="AN841">
        <v>0.99999994972601702</v>
      </c>
    </row>
    <row r="842" spans="1:40" x14ac:dyDescent="0.25">
      <c r="A842" t="str">
        <f>"20190312164008474"</f>
        <v>20190312164008474</v>
      </c>
      <c r="B842" t="str">
        <f>"1552380008467291"</f>
        <v>1552380008467291</v>
      </c>
      <c r="C842" t="s">
        <v>40</v>
      </c>
      <c r="D842">
        <v>5.1733469999999997</v>
      </c>
      <c r="E842">
        <v>0.55569389999999996</v>
      </c>
      <c r="F842" t="s">
        <v>43</v>
      </c>
      <c r="G842">
        <v>-296.85329999999999</v>
      </c>
      <c r="H842">
        <v>-0.05</v>
      </c>
      <c r="I842">
        <v>362.84780000000001</v>
      </c>
      <c r="J842">
        <v>-324.92290000000003</v>
      </c>
      <c r="K842">
        <v>1.1097410000000001</v>
      </c>
      <c r="L842">
        <v>368.00560000000002</v>
      </c>
      <c r="M842">
        <v>0.99990590000000001</v>
      </c>
      <c r="N842">
        <v>0</v>
      </c>
      <c r="O842">
        <v>-8.1381289999999992E-3</v>
      </c>
      <c r="P842">
        <v>0.99379810000000002</v>
      </c>
      <c r="Q842">
        <v>0.1018963</v>
      </c>
      <c r="R842">
        <v>-4.452209E-2</v>
      </c>
      <c r="S842">
        <v>3.0068969999999999</v>
      </c>
      <c r="T842">
        <v>-0.1234899</v>
      </c>
      <c r="U842">
        <v>-0.54934689999999997</v>
      </c>
      <c r="V842">
        <v>3.6436719999999999E-2</v>
      </c>
      <c r="W842">
        <v>0.11287079999999999</v>
      </c>
      <c r="X842">
        <v>0.99294139999999997</v>
      </c>
      <c r="Y842">
        <v>0.17157559999999999</v>
      </c>
      <c r="Z842">
        <v>-3.1615530000000001E-3</v>
      </c>
      <c r="AA842">
        <v>0.98516590000000004</v>
      </c>
      <c r="AB842">
        <v>34</v>
      </c>
      <c r="AC842">
        <v>28.069600000000001</v>
      </c>
      <c r="AD842">
        <v>-1.1597409999999999</v>
      </c>
      <c r="AE842">
        <v>-5.1577999999999999</v>
      </c>
      <c r="AF842">
        <v>4.92105504328085</v>
      </c>
      <c r="AG842">
        <v>-1.1597409999999999</v>
      </c>
      <c r="AH842">
        <v>28.0643049490008</v>
      </c>
      <c r="AI842">
        <v>92.330845928171698</v>
      </c>
      <c r="AJ842">
        <v>80.054339274360999</v>
      </c>
      <c r="AK842">
        <v>28.5160830794938</v>
      </c>
      <c r="AL842">
        <v>83.519169009865493</v>
      </c>
      <c r="AM842">
        <v>87.898431909655699</v>
      </c>
      <c r="AN842">
        <v>1.0000000379454701</v>
      </c>
    </row>
    <row r="843" spans="1:40" x14ac:dyDescent="0.25">
      <c r="A843" t="str">
        <f>"20190312164008485"</f>
        <v>20190312164008485</v>
      </c>
      <c r="B843" t="str">
        <f>"1552380008477051"</f>
        <v>1552380008477051</v>
      </c>
      <c r="C843" t="s">
        <v>40</v>
      </c>
      <c r="D843">
        <v>5.0286460000000002</v>
      </c>
      <c r="E843">
        <v>0.55647939999999996</v>
      </c>
      <c r="F843" t="s">
        <v>43</v>
      </c>
      <c r="G843">
        <v>-297.4744</v>
      </c>
      <c r="H843">
        <v>-0.05</v>
      </c>
      <c r="I843">
        <v>362.93680000000001</v>
      </c>
      <c r="J843">
        <v>-324.75779999999997</v>
      </c>
      <c r="K843">
        <v>1.1097429999999999</v>
      </c>
      <c r="L843">
        <v>368.0043</v>
      </c>
      <c r="M843">
        <v>0.99990579999999996</v>
      </c>
      <c r="N843">
        <v>0</v>
      </c>
      <c r="O843">
        <v>-8.1378040000000002E-3</v>
      </c>
      <c r="P843">
        <v>0.99381770000000003</v>
      </c>
      <c r="Q843">
        <v>0.1016715</v>
      </c>
      <c r="R843">
        <v>-4.4598150000000003E-2</v>
      </c>
      <c r="S843">
        <v>3.0068969999999999</v>
      </c>
      <c r="T843">
        <v>-0.12704599999999999</v>
      </c>
      <c r="U843">
        <v>-0.55526730000000002</v>
      </c>
      <c r="V843">
        <v>3.6512940000000001E-2</v>
      </c>
      <c r="W843">
        <v>0.1126524</v>
      </c>
      <c r="X843">
        <v>0.99296340000000005</v>
      </c>
      <c r="Y843">
        <v>0.17344270000000001</v>
      </c>
      <c r="Z843">
        <v>-3.2910539999999999E-3</v>
      </c>
      <c r="AA843">
        <v>0.98483849999999995</v>
      </c>
      <c r="AB843">
        <v>34</v>
      </c>
      <c r="AC843">
        <v>27.283399999999901</v>
      </c>
      <c r="AD843">
        <v>-1.159743</v>
      </c>
      <c r="AE843">
        <v>-5.0674999999999901</v>
      </c>
      <c r="AF843">
        <v>4.8368435570827604</v>
      </c>
      <c r="AG843">
        <v>-1.159743</v>
      </c>
      <c r="AH843">
        <v>27.276096491137899</v>
      </c>
      <c r="AI843">
        <v>92.397317050339595</v>
      </c>
      <c r="AJ843">
        <v>79.944327940160505</v>
      </c>
      <c r="AK843">
        <v>27.725899430236801</v>
      </c>
      <c r="AL843">
        <v>83.531762716055397</v>
      </c>
      <c r="AM843">
        <v>87.894086324967404</v>
      </c>
      <c r="AN843">
        <v>1.0000000358763801</v>
      </c>
    </row>
    <row r="844" spans="1:40" x14ac:dyDescent="0.25">
      <c r="A844" t="str">
        <f>"20190312164008496"</f>
        <v>20190312164008496</v>
      </c>
      <c r="B844" t="str">
        <f>"1552380008486811"</f>
        <v>1552380008486811</v>
      </c>
      <c r="C844" t="s">
        <v>40</v>
      </c>
      <c r="D844">
        <v>5.1726559999999999</v>
      </c>
      <c r="E844">
        <v>0.55724149999999995</v>
      </c>
      <c r="F844" t="s">
        <v>43</v>
      </c>
      <c r="G844">
        <v>-298.51029999999997</v>
      </c>
      <c r="H844">
        <v>-0.05</v>
      </c>
      <c r="I844">
        <v>363.10140000000001</v>
      </c>
      <c r="J844">
        <v>-324.59039999999999</v>
      </c>
      <c r="K844">
        <v>1.109739</v>
      </c>
      <c r="L844">
        <v>368.00290000000001</v>
      </c>
      <c r="M844">
        <v>0.99990590000000001</v>
      </c>
      <c r="N844">
        <v>0</v>
      </c>
      <c r="O844">
        <v>-8.1378370000000002E-3</v>
      </c>
      <c r="P844">
        <v>0.99382669999999995</v>
      </c>
      <c r="Q844">
        <v>0.101688899999999</v>
      </c>
      <c r="R844">
        <v>-4.4365349999999998E-2</v>
      </c>
      <c r="S844">
        <v>3.00705</v>
      </c>
      <c r="T844">
        <v>-0.1328666</v>
      </c>
      <c r="U844">
        <v>-0.5617065</v>
      </c>
      <c r="V844">
        <v>3.6279939999999997E-2</v>
      </c>
      <c r="W844">
        <v>0.1126756</v>
      </c>
      <c r="X844">
        <v>0.99296930000000005</v>
      </c>
      <c r="Y844">
        <v>0.1754568</v>
      </c>
      <c r="Z844">
        <v>-3.4849500000000001E-3</v>
      </c>
      <c r="AA844">
        <v>0.98448100000000005</v>
      </c>
      <c r="AB844">
        <v>34</v>
      </c>
      <c r="AC844">
        <v>26.080100000000002</v>
      </c>
      <c r="AD844">
        <v>-1.1597389999999901</v>
      </c>
      <c r="AE844">
        <v>-4.9014999999999898</v>
      </c>
      <c r="AF844">
        <v>4.6801501801840804</v>
      </c>
      <c r="AG844">
        <v>-1.1597389999999901</v>
      </c>
      <c r="AH844">
        <v>26.0693346784509</v>
      </c>
      <c r="AI844">
        <v>92.507190852136404</v>
      </c>
      <c r="AJ844">
        <v>79.822277270986106</v>
      </c>
      <c r="AK844">
        <v>26.511488280258501</v>
      </c>
      <c r="AL844">
        <v>83.5304248841732</v>
      </c>
      <c r="AM844">
        <v>87.907525228235102</v>
      </c>
      <c r="AN844">
        <v>1.0000000278121199</v>
      </c>
    </row>
    <row r="845" spans="1:40" x14ac:dyDescent="0.25">
      <c r="A845" t="str">
        <f>"20190312164008508"</f>
        <v>20190312164008508</v>
      </c>
      <c r="B845" t="str">
        <f>"1552380008497547"</f>
        <v>1552380008497547</v>
      </c>
      <c r="C845" t="s">
        <v>40</v>
      </c>
      <c r="D845">
        <v>5.0799010000000004</v>
      </c>
      <c r="E845">
        <v>0.55807799999999996</v>
      </c>
      <c r="F845" t="s">
        <v>43</v>
      </c>
      <c r="G845">
        <v>-298.80360000000002</v>
      </c>
      <c r="H845">
        <v>-0.05</v>
      </c>
      <c r="I845">
        <v>363.13959999999997</v>
      </c>
      <c r="J845">
        <v>-324.41640000000001</v>
      </c>
      <c r="K845">
        <v>1.1097410000000001</v>
      </c>
      <c r="L845">
        <v>368.00150000000002</v>
      </c>
      <c r="M845">
        <v>0.99990579999999996</v>
      </c>
      <c r="N845">
        <v>0</v>
      </c>
      <c r="O845">
        <v>-8.1377499999999992E-3</v>
      </c>
      <c r="P845">
        <v>0.99385460000000003</v>
      </c>
      <c r="Q845">
        <v>0.1013423</v>
      </c>
      <c r="R845">
        <v>-4.4529270000000003E-2</v>
      </c>
      <c r="S845">
        <v>3.0071720000000002</v>
      </c>
      <c r="T845">
        <v>-0.135245</v>
      </c>
      <c r="U845">
        <v>-0.5671387</v>
      </c>
      <c r="V845">
        <v>3.6443679999999999E-2</v>
      </c>
      <c r="W845">
        <v>0.1123349</v>
      </c>
      <c r="X845">
        <v>0.99300189999999999</v>
      </c>
      <c r="Y845">
        <v>0.17715999999999901</v>
      </c>
      <c r="Z845">
        <v>-3.5844959999999999E-3</v>
      </c>
      <c r="AA845">
        <v>0.98417560000000004</v>
      </c>
      <c r="AB845">
        <v>34</v>
      </c>
      <c r="AC845">
        <v>25.6128</v>
      </c>
      <c r="AD845">
        <v>-1.1597409999999999</v>
      </c>
      <c r="AE845">
        <v>-4.8619000000000403</v>
      </c>
      <c r="AF845">
        <v>4.6441052535299301</v>
      </c>
      <c r="AG845">
        <v>-1.1597409999999999</v>
      </c>
      <c r="AH845">
        <v>25.600856382225999</v>
      </c>
      <c r="AI845">
        <v>92.552178590580297</v>
      </c>
      <c r="AJ845">
        <v>79.718110431263497</v>
      </c>
      <c r="AK845">
        <v>26.044511135675201</v>
      </c>
      <c r="AL845">
        <v>83.550070247379296</v>
      </c>
      <c r="AM845">
        <v>87.898158786863505</v>
      </c>
      <c r="AN845">
        <v>1.00000002248678</v>
      </c>
    </row>
    <row r="846" spans="1:40" x14ac:dyDescent="0.25">
      <c r="A846" t="str">
        <f>"20190312164008519"</f>
        <v>20190312164008519</v>
      </c>
      <c r="B846" t="str">
        <f>"1552380008517066"</f>
        <v>1552380008517066</v>
      </c>
      <c r="C846" t="s">
        <v>40</v>
      </c>
      <c r="D846">
        <v>4.4722650000000002</v>
      </c>
      <c r="E846">
        <v>0.55956640000000002</v>
      </c>
      <c r="F846" t="s">
        <v>43</v>
      </c>
      <c r="G846">
        <v>-299.13850000000002</v>
      </c>
      <c r="H846">
        <v>-0.05</v>
      </c>
      <c r="I846">
        <v>363.17410000000001</v>
      </c>
      <c r="J846">
        <v>-324.2398</v>
      </c>
      <c r="K846">
        <v>1.1097410000000001</v>
      </c>
      <c r="L846">
        <v>368.00009999999997</v>
      </c>
      <c r="M846">
        <v>0.99990559999999995</v>
      </c>
      <c r="N846">
        <v>0</v>
      </c>
      <c r="O846">
        <v>-8.1374240000000007E-3</v>
      </c>
      <c r="P846">
        <v>0.99385639999999997</v>
      </c>
      <c r="Q846">
        <v>0.1014536</v>
      </c>
      <c r="R846">
        <v>-4.4232790000000001E-2</v>
      </c>
      <c r="S846">
        <v>3.0069270000000001</v>
      </c>
      <c r="T846">
        <v>-0.13795669999999999</v>
      </c>
      <c r="U846">
        <v>-0.57424929999999996</v>
      </c>
      <c r="V846">
        <v>3.6147650000000003E-2</v>
      </c>
      <c r="W846">
        <v>0.11245189999999999</v>
      </c>
      <c r="X846">
        <v>0.99299939999999998</v>
      </c>
      <c r="Y846">
        <v>0.17941179999999901</v>
      </c>
      <c r="Z846">
        <v>-3.7069730000000001E-3</v>
      </c>
      <c r="AA846">
        <v>0.98376710000000001</v>
      </c>
      <c r="AB846">
        <v>34</v>
      </c>
      <c r="AC846">
        <v>25.101299999999899</v>
      </c>
      <c r="AD846">
        <v>-1.1597409999999999</v>
      </c>
      <c r="AE846">
        <v>-4.8259999999999597</v>
      </c>
      <c r="AF846">
        <v>4.6120734743435596</v>
      </c>
      <c r="AG846">
        <v>-1.1597409999999999</v>
      </c>
      <c r="AH846">
        <v>25.0880968024818</v>
      </c>
      <c r="AI846">
        <v>92.603152849733505</v>
      </c>
      <c r="AJ846">
        <v>79.583328893341999</v>
      </c>
      <c r="AK846">
        <v>25.534855043460102</v>
      </c>
      <c r="AL846">
        <v>83.543323395211104</v>
      </c>
      <c r="AM846">
        <v>87.915211555785007</v>
      </c>
      <c r="AN846">
        <v>0.99999994540724402</v>
      </c>
    </row>
    <row r="847" spans="1:40" x14ac:dyDescent="0.25">
      <c r="A847" t="str">
        <f>"20190312164008530"</f>
        <v>20190312164008530</v>
      </c>
      <c r="B847" t="str">
        <f>"1552380008526828"</f>
        <v>1552380008526828</v>
      </c>
      <c r="C847" t="s">
        <v>40</v>
      </c>
      <c r="D847">
        <v>4.9976510000000003</v>
      </c>
      <c r="E847">
        <v>0.56018570000000001</v>
      </c>
      <c r="F847" t="s">
        <v>43</v>
      </c>
      <c r="G847">
        <v>-299.2081</v>
      </c>
      <c r="H847">
        <v>-0.05</v>
      </c>
      <c r="I847">
        <v>363.12880000000001</v>
      </c>
      <c r="J847">
        <v>-324.06670000000003</v>
      </c>
      <c r="K847">
        <v>1.1097459999999999</v>
      </c>
      <c r="L847">
        <v>367.99869999999999</v>
      </c>
      <c r="M847">
        <v>0.99990559999999995</v>
      </c>
      <c r="N847">
        <v>0</v>
      </c>
      <c r="O847">
        <v>-8.1373330000000001E-3</v>
      </c>
      <c r="P847">
        <v>0.99385020000000002</v>
      </c>
      <c r="Q847">
        <v>0.10157579999999999</v>
      </c>
      <c r="R847">
        <v>-4.4096429999999999E-2</v>
      </c>
      <c r="S847">
        <v>3.0067140000000001</v>
      </c>
      <c r="T847">
        <v>-0.1393037</v>
      </c>
      <c r="U847">
        <v>-0.58511349999999995</v>
      </c>
      <c r="V847">
        <v>3.6011500000000002E-2</v>
      </c>
      <c r="W847">
        <v>0.112579399999999</v>
      </c>
      <c r="X847">
        <v>0.99299000000000004</v>
      </c>
      <c r="Y847">
        <v>0.18284420000000001</v>
      </c>
      <c r="Z847">
        <v>-3.8208600000000001E-3</v>
      </c>
      <c r="AA847">
        <v>0.98313450000000002</v>
      </c>
      <c r="AB847">
        <v>34</v>
      </c>
      <c r="AC847">
        <v>24.858599999999999</v>
      </c>
      <c r="AD847">
        <v>-1.1597459999999999</v>
      </c>
      <c r="AE847">
        <v>-4.8698999999999701</v>
      </c>
      <c r="AF847">
        <v>4.6576805677840198</v>
      </c>
      <c r="AG847">
        <v>-1.1597459999999999</v>
      </c>
      <c r="AH847">
        <v>24.845328423618401</v>
      </c>
      <c r="AI847">
        <v>92.626854209074196</v>
      </c>
      <c r="AJ847">
        <v>79.382168197257698</v>
      </c>
      <c r="AK847">
        <v>25.304729667267601</v>
      </c>
      <c r="AL847">
        <v>83.535972143030804</v>
      </c>
      <c r="AM847">
        <v>87.9230373704888</v>
      </c>
      <c r="AN847">
        <v>1.0000000447683</v>
      </c>
    </row>
    <row r="848" spans="1:40" x14ac:dyDescent="0.25">
      <c r="A848" t="str">
        <f>"20190312164008541"</f>
        <v>20190312164008541</v>
      </c>
      <c r="B848" t="str">
        <f>"1552380008536588"</f>
        <v>1552380008536588</v>
      </c>
      <c r="C848" t="s">
        <v>40</v>
      </c>
      <c r="D848">
        <v>5.0698689999999997</v>
      </c>
      <c r="E848">
        <v>0.56018570000000001</v>
      </c>
      <c r="F848" t="s">
        <v>43</v>
      </c>
      <c r="G848">
        <v>-298.94850000000002</v>
      </c>
      <c r="H848">
        <v>-0.05</v>
      </c>
      <c r="I848">
        <v>363.0729</v>
      </c>
      <c r="J848">
        <v>-323.90949999999998</v>
      </c>
      <c r="K848">
        <v>1.1097459999999999</v>
      </c>
      <c r="L848">
        <v>367.99740000000003</v>
      </c>
      <c r="M848">
        <v>0.9999055</v>
      </c>
      <c r="N848">
        <v>0</v>
      </c>
      <c r="O848">
        <v>-8.1371199999999994E-3</v>
      </c>
      <c r="P848">
        <v>0.99385259999999997</v>
      </c>
      <c r="Q848">
        <v>0.10152990000000001</v>
      </c>
      <c r="R848">
        <v>-4.414324E-2</v>
      </c>
      <c r="S848">
        <v>3.0065919999999999</v>
      </c>
      <c r="T848">
        <v>-0.13881859999999999</v>
      </c>
      <c r="U848">
        <v>-0.5895996</v>
      </c>
      <c r="V848">
        <v>3.6058430000000002E-2</v>
      </c>
      <c r="W848">
        <v>0.1125377</v>
      </c>
      <c r="X848">
        <v>0.99299300000000001</v>
      </c>
      <c r="Y848">
        <v>0.1842645</v>
      </c>
      <c r="Z848">
        <v>-3.8396559999999999E-3</v>
      </c>
      <c r="AA848">
        <v>0.9828692</v>
      </c>
      <c r="AB848">
        <v>34</v>
      </c>
      <c r="AC848">
        <v>24.960999999999899</v>
      </c>
      <c r="AD848">
        <v>-1.1597459999999999</v>
      </c>
      <c r="AE848">
        <v>-4.9245000000000196</v>
      </c>
      <c r="AF848">
        <v>4.7114240892888697</v>
      </c>
      <c r="AG848">
        <v>-1.1597459999999999</v>
      </c>
      <c r="AH848">
        <v>24.948407641406899</v>
      </c>
      <c r="AI848">
        <v>92.615361086093699</v>
      </c>
      <c r="AJ848">
        <v>79.305824060924706</v>
      </c>
      <c r="AK848">
        <v>25.415852761130399</v>
      </c>
      <c r="AL848">
        <v>83.538376504272094</v>
      </c>
      <c r="AM848">
        <v>87.920339336229702</v>
      </c>
      <c r="AN848">
        <v>1.00000002117217</v>
      </c>
    </row>
    <row r="849" spans="1:40" x14ac:dyDescent="0.25">
      <c r="A849" t="str">
        <f>"20190312164008552"</f>
        <v>20190312164008552</v>
      </c>
      <c r="B849" t="str">
        <f>"1552380008547323"</f>
        <v>1552380008547323</v>
      </c>
      <c r="C849" t="s">
        <v>40</v>
      </c>
      <c r="D849">
        <v>5.2652279999999996</v>
      </c>
      <c r="E849">
        <v>0.60043429999999998</v>
      </c>
      <c r="F849" t="s">
        <v>43</v>
      </c>
      <c r="G849">
        <v>-298.81569999999999</v>
      </c>
      <c r="H849">
        <v>-0.05</v>
      </c>
      <c r="I849">
        <v>363.07420000000002</v>
      </c>
      <c r="J849">
        <v>-323.73570000000001</v>
      </c>
      <c r="K849">
        <v>1.109745</v>
      </c>
      <c r="L849">
        <v>367.99599999999998</v>
      </c>
      <c r="M849">
        <v>0.99990559999999995</v>
      </c>
      <c r="N849">
        <v>0</v>
      </c>
      <c r="O849">
        <v>-8.1370269999999998E-3</v>
      </c>
      <c r="P849">
        <v>0.99386419999999998</v>
      </c>
      <c r="Q849">
        <v>0.1015337</v>
      </c>
      <c r="R849">
        <v>-4.3876789999999999E-2</v>
      </c>
      <c r="S849">
        <v>3.006561</v>
      </c>
      <c r="T849">
        <v>-0.13895270000000001</v>
      </c>
      <c r="U849">
        <v>-0.58987429999999996</v>
      </c>
      <c r="V849">
        <v>3.57921E-2</v>
      </c>
      <c r="W849">
        <v>0.1125467</v>
      </c>
      <c r="X849">
        <v>0.99300160000000004</v>
      </c>
      <c r="Y849">
        <v>0.1843525</v>
      </c>
      <c r="Z849">
        <v>-3.8453839999999999E-3</v>
      </c>
      <c r="AA849">
        <v>0.98285270000000002</v>
      </c>
      <c r="AB849">
        <v>34</v>
      </c>
      <c r="AC849">
        <v>24.92</v>
      </c>
      <c r="AD849">
        <v>-1.159745</v>
      </c>
      <c r="AE849">
        <v>-4.9217999999999602</v>
      </c>
      <c r="AF849">
        <v>4.7090337295384099</v>
      </c>
      <c r="AG849">
        <v>-1.159745</v>
      </c>
      <c r="AH849">
        <v>24.907305906029301</v>
      </c>
      <c r="AI849">
        <v>92.619565733557906</v>
      </c>
      <c r="AJ849">
        <v>79.293893488573204</v>
      </c>
      <c r="AK849">
        <v>25.375064426075401</v>
      </c>
      <c r="AL849">
        <v>83.537857445876</v>
      </c>
      <c r="AM849">
        <v>87.935704374288207</v>
      </c>
      <c r="AN849">
        <v>1.0000000058529299</v>
      </c>
    </row>
    <row r="850" spans="1:40" x14ac:dyDescent="0.25">
      <c r="A850" t="str">
        <f>"20190312164008564"</f>
        <v>20190312164008564</v>
      </c>
      <c r="B850" t="str">
        <f>"1552380008557082"</f>
        <v>1552380008557082</v>
      </c>
      <c r="C850" t="s">
        <v>40</v>
      </c>
      <c r="D850">
        <v>4.9207519999999896</v>
      </c>
      <c r="E850">
        <v>0.59971540000000001</v>
      </c>
      <c r="F850" t="s">
        <v>43</v>
      </c>
      <c r="G850">
        <v>-312.3852</v>
      </c>
      <c r="H850">
        <v>-0.05</v>
      </c>
      <c r="I850">
        <v>364.59589999999997</v>
      </c>
      <c r="J850">
        <v>-323.55160000000001</v>
      </c>
      <c r="K850">
        <v>1.109745</v>
      </c>
      <c r="L850">
        <v>367.99450000000002</v>
      </c>
      <c r="M850">
        <v>0.9999053</v>
      </c>
      <c r="N850">
        <v>0</v>
      </c>
      <c r="O850">
        <v>-8.1367030000000003E-3</v>
      </c>
      <c r="P850">
        <v>0.99387930000000002</v>
      </c>
      <c r="Q850">
        <v>0.10157620000000001</v>
      </c>
      <c r="R850">
        <v>-4.3430049999999998E-2</v>
      </c>
      <c r="S850">
        <v>3.0101619999999998</v>
      </c>
      <c r="T850">
        <v>-0.30756499999999998</v>
      </c>
      <c r="U850">
        <v>-0.90170289999999997</v>
      </c>
      <c r="V850">
        <v>3.5345389999999997E-2</v>
      </c>
      <c r="W850">
        <v>0.112595</v>
      </c>
      <c r="X850">
        <v>0.99301209999999995</v>
      </c>
      <c r="Y850">
        <v>0.27786230000000001</v>
      </c>
      <c r="Z850">
        <v>-1.3045299999999999E-2</v>
      </c>
      <c r="AA850">
        <v>0.96053230000000001</v>
      </c>
      <c r="AB850">
        <v>34</v>
      </c>
      <c r="AC850">
        <v>11.166399999999999</v>
      </c>
      <c r="AD850">
        <v>-1.159745</v>
      </c>
      <c r="AE850">
        <v>-3.39860000000004</v>
      </c>
      <c r="AF850">
        <v>3.2752891701937599</v>
      </c>
      <c r="AG850">
        <v>-1.159745</v>
      </c>
      <c r="AH850">
        <v>11.0842569594182</v>
      </c>
      <c r="AI850">
        <v>95.729935834380001</v>
      </c>
      <c r="AJ850">
        <v>73.5381070064998</v>
      </c>
      <c r="AK850">
        <v>11.616078510229899</v>
      </c>
      <c r="AL850">
        <v>83.535072193465197</v>
      </c>
      <c r="AM850">
        <v>87.961467864679406</v>
      </c>
      <c r="AN850">
        <v>0.99999998068283003</v>
      </c>
    </row>
    <row r="851" spans="1:40" x14ac:dyDescent="0.25">
      <c r="A851" t="str">
        <f>"20190312164008574"</f>
        <v>20190312164008574</v>
      </c>
      <c r="B851" t="str">
        <f>"1552380008566843"</f>
        <v>1552380008566843</v>
      </c>
      <c r="C851" t="s">
        <v>40</v>
      </c>
      <c r="D851">
        <v>5.5288589999999997</v>
      </c>
      <c r="E851">
        <v>0.59868089999999996</v>
      </c>
      <c r="F851" t="s">
        <v>43</v>
      </c>
      <c r="G851">
        <v>-311.34269999999998</v>
      </c>
      <c r="H851">
        <v>-0.05</v>
      </c>
      <c r="I851">
        <v>364.35969999999998</v>
      </c>
      <c r="J851">
        <v>-323.38869999999997</v>
      </c>
      <c r="K851">
        <v>1.1097440000000001</v>
      </c>
      <c r="L851">
        <v>367.9932</v>
      </c>
      <c r="M851">
        <v>0.99990540000000006</v>
      </c>
      <c r="N851">
        <v>0</v>
      </c>
      <c r="O851">
        <v>-8.1367369999999998E-3</v>
      </c>
      <c r="P851">
        <v>0.9939114</v>
      </c>
      <c r="Q851">
        <v>0.1014554</v>
      </c>
      <c r="R851">
        <v>-4.2976319999999998E-2</v>
      </c>
      <c r="S851">
        <v>3.0085139999999999</v>
      </c>
      <c r="T851">
        <v>-0.285784599999999</v>
      </c>
      <c r="U851">
        <v>-0.89569089999999996</v>
      </c>
      <c r="V851">
        <v>3.4891419999999999E-2</v>
      </c>
      <c r="W851">
        <v>0.11248080000000001</v>
      </c>
      <c r="X851">
        <v>0.99304110000000001</v>
      </c>
      <c r="Y851">
        <v>0.27642410000000001</v>
      </c>
      <c r="Z851">
        <v>-1.2068499999999999E-2</v>
      </c>
      <c r="AA851">
        <v>0.96096000000000004</v>
      </c>
      <c r="AB851">
        <v>34</v>
      </c>
      <c r="AC851">
        <v>12.0459999999999</v>
      </c>
      <c r="AD851">
        <v>-1.1597440000000001</v>
      </c>
      <c r="AE851">
        <v>-3.6335000000000202</v>
      </c>
      <c r="AF851">
        <v>3.5055747866229501</v>
      </c>
      <c r="AG851">
        <v>-1.1597440000000001</v>
      </c>
      <c r="AH851">
        <v>11.973440151954099</v>
      </c>
      <c r="AI851">
        <v>95.310809160165306</v>
      </c>
      <c r="AJ851">
        <v>73.681064440016101</v>
      </c>
      <c r="AK851">
        <v>12.5298575332111</v>
      </c>
      <c r="AL851">
        <v>83.541657224353798</v>
      </c>
      <c r="AM851">
        <v>87.987687466972105</v>
      </c>
      <c r="AN851">
        <v>0.99999998392373302</v>
      </c>
    </row>
    <row r="852" spans="1:40" x14ac:dyDescent="0.25">
      <c r="A852" t="str">
        <f>"20190312164008586"</f>
        <v>20190312164008586</v>
      </c>
      <c r="B852" t="str">
        <f>"1552380008576603"</f>
        <v>1552380008576603</v>
      </c>
      <c r="C852" t="s">
        <v>40</v>
      </c>
      <c r="D852">
        <v>5.2093189999999998</v>
      </c>
      <c r="E852">
        <v>0.59885869999999997</v>
      </c>
      <c r="F852" t="s">
        <v>43</v>
      </c>
      <c r="G852">
        <v>-309.27839999999998</v>
      </c>
      <c r="H852">
        <v>-0.05</v>
      </c>
      <c r="I852">
        <v>363.82119999999998</v>
      </c>
      <c r="J852">
        <v>-323.22340000000003</v>
      </c>
      <c r="K852">
        <v>1.109747</v>
      </c>
      <c r="L852">
        <v>367.99189999999999</v>
      </c>
      <c r="M852">
        <v>0.9999053</v>
      </c>
      <c r="N852">
        <v>0</v>
      </c>
      <c r="O852">
        <v>-8.1364209999999996E-3</v>
      </c>
      <c r="P852">
        <v>0.99392080000000005</v>
      </c>
      <c r="Q852">
        <v>0.1014427</v>
      </c>
      <c r="R852">
        <v>-4.2790250000000002E-2</v>
      </c>
      <c r="S852">
        <v>3.005188</v>
      </c>
      <c r="T852">
        <v>-0.24700130000000001</v>
      </c>
      <c r="U852">
        <v>-0.88854979999999995</v>
      </c>
      <c r="V852">
        <v>3.4705529999999998E-2</v>
      </c>
      <c r="W852">
        <v>0.1124756</v>
      </c>
      <c r="X852">
        <v>0.99304820000000005</v>
      </c>
      <c r="Y852">
        <v>0.2748987</v>
      </c>
      <c r="Z852">
        <v>-1.0389489999999999E-2</v>
      </c>
      <c r="AA852">
        <v>0.96141710000000002</v>
      </c>
      <c r="AB852">
        <v>34</v>
      </c>
      <c r="AC852">
        <v>13.945</v>
      </c>
      <c r="AD852">
        <v>-1.1597469999999901</v>
      </c>
      <c r="AE852">
        <v>-4.1707000000000098</v>
      </c>
      <c r="AF852">
        <v>4.0314979341484696</v>
      </c>
      <c r="AG852">
        <v>-1.1597469999999901</v>
      </c>
      <c r="AH852">
        <v>13.8902902650554</v>
      </c>
      <c r="AI852">
        <v>94.584415636820196</v>
      </c>
      <c r="AJ852">
        <v>73.815233311098496</v>
      </c>
      <c r="AK852">
        <v>14.5099328855976</v>
      </c>
      <c r="AL852">
        <v>83.541957045958895</v>
      </c>
      <c r="AM852">
        <v>87.998413961034501</v>
      </c>
      <c r="AN852">
        <v>0.99999998096558995</v>
      </c>
    </row>
    <row r="853" spans="1:40" x14ac:dyDescent="0.25">
      <c r="A853" t="str">
        <f>"20190312164008597"</f>
        <v>20190312164008597</v>
      </c>
      <c r="B853" t="str">
        <f>"1552380008587339"</f>
        <v>1552380008587339</v>
      </c>
      <c r="C853" t="s">
        <v>40</v>
      </c>
      <c r="D853">
        <v>4.6645379999999896</v>
      </c>
      <c r="E853">
        <v>0.59845090000000001</v>
      </c>
      <c r="F853" t="s">
        <v>43</v>
      </c>
      <c r="G853">
        <v>-308.98309999999998</v>
      </c>
      <c r="H853">
        <v>-0.05</v>
      </c>
      <c r="I853">
        <v>363.77670000000001</v>
      </c>
      <c r="J853">
        <v>-323.04739999999998</v>
      </c>
      <c r="K853">
        <v>1.1097490000000001</v>
      </c>
      <c r="L853">
        <v>367.99040000000002</v>
      </c>
      <c r="M853">
        <v>0.99990520000000005</v>
      </c>
      <c r="N853">
        <v>0</v>
      </c>
      <c r="O853">
        <v>-8.1363479999999998E-3</v>
      </c>
      <c r="P853">
        <v>0.99391240000000003</v>
      </c>
      <c r="Q853">
        <v>0.1016551</v>
      </c>
      <c r="R853">
        <v>-4.247948E-2</v>
      </c>
      <c r="S853">
        <v>3.0050349999999999</v>
      </c>
      <c r="T853">
        <v>-0.24473449999999999</v>
      </c>
      <c r="U853">
        <v>-0.88949579999999995</v>
      </c>
      <c r="V853">
        <v>3.439507E-2</v>
      </c>
      <c r="W853">
        <v>0.1126964</v>
      </c>
      <c r="X853">
        <v>0.99303399999999997</v>
      </c>
      <c r="Y853">
        <v>0.27520450000000002</v>
      </c>
      <c r="Z853">
        <v>-1.030667E-2</v>
      </c>
      <c r="AA853">
        <v>0.96133049999999998</v>
      </c>
      <c r="AB853">
        <v>34</v>
      </c>
      <c r="AC853">
        <v>14.064299999999999</v>
      </c>
      <c r="AD853">
        <v>-1.1597489999999999</v>
      </c>
      <c r="AE853">
        <v>-4.21370000000001</v>
      </c>
      <c r="AF853">
        <v>4.0737029260081501</v>
      </c>
      <c r="AG853">
        <v>-1.1597489999999999</v>
      </c>
      <c r="AH853">
        <v>14.0106987921005</v>
      </c>
      <c r="AI853">
        <v>94.544562517184303</v>
      </c>
      <c r="AJ853">
        <v>73.787862831834403</v>
      </c>
      <c r="AK853">
        <v>14.636931164535</v>
      </c>
      <c r="AL853">
        <v>83.529225391742301</v>
      </c>
      <c r="AM853">
        <v>88.016276532948694</v>
      </c>
      <c r="AN853">
        <v>1.00000001228463</v>
      </c>
    </row>
    <row r="854" spans="1:40" x14ac:dyDescent="0.25">
      <c r="A854" t="str">
        <f>"20190312164008610"</f>
        <v>20190312164008610</v>
      </c>
      <c r="B854" t="str">
        <f>"1552380008606859"</f>
        <v>1552380008606859</v>
      </c>
      <c r="C854" t="s">
        <v>40</v>
      </c>
      <c r="D854">
        <v>5.1584940000000001</v>
      </c>
      <c r="E854">
        <v>0.59793750000000001</v>
      </c>
      <c r="F854" t="s">
        <v>43</v>
      </c>
      <c r="G854">
        <v>-307.73149999999998</v>
      </c>
      <c r="H854">
        <v>-0.05</v>
      </c>
      <c r="I854">
        <v>363.47250000000003</v>
      </c>
      <c r="J854">
        <v>-322.85820000000001</v>
      </c>
      <c r="K854">
        <v>1.1097509999999999</v>
      </c>
      <c r="L854">
        <v>367.9889</v>
      </c>
      <c r="M854">
        <v>0.99990509999999999</v>
      </c>
      <c r="N854">
        <v>0</v>
      </c>
      <c r="O854">
        <v>-8.1360410000000001E-3</v>
      </c>
      <c r="P854">
        <v>0.99389309999999997</v>
      </c>
      <c r="Q854">
        <v>0.10182769999999999</v>
      </c>
      <c r="R854">
        <v>-4.2518180000000003E-2</v>
      </c>
      <c r="S854">
        <v>3.0037229999999999</v>
      </c>
      <c r="T854">
        <v>-0.2274485</v>
      </c>
      <c r="U854">
        <v>-0.88604740000000004</v>
      </c>
      <c r="V854">
        <v>3.4434140000000002E-2</v>
      </c>
      <c r="W854">
        <v>0.1128779</v>
      </c>
      <c r="X854">
        <v>0.99301200000000001</v>
      </c>
      <c r="Y854">
        <v>0.27441569999999998</v>
      </c>
      <c r="Z854">
        <v>-9.5570570000000007E-3</v>
      </c>
      <c r="AA854">
        <v>0.96156359999999996</v>
      </c>
      <c r="AB854">
        <v>34</v>
      </c>
      <c r="AC854">
        <v>15.1267</v>
      </c>
      <c r="AD854">
        <v>-1.159751</v>
      </c>
      <c r="AE854">
        <v>-4.5163999999999698</v>
      </c>
      <c r="AF854">
        <v>4.3695886041058696</v>
      </c>
      <c r="AG854">
        <v>-1.159751</v>
      </c>
      <c r="AH854">
        <v>15.081551454220801</v>
      </c>
      <c r="AI854">
        <v>94.224254463448702</v>
      </c>
      <c r="AJ854">
        <v>73.842074280834595</v>
      </c>
      <c r="AK854">
        <v>15.7445711665146</v>
      </c>
      <c r="AL854">
        <v>83.518759224180897</v>
      </c>
      <c r="AM854">
        <v>88.013981024257603</v>
      </c>
      <c r="AN854">
        <v>0.99999998122497402</v>
      </c>
    </row>
    <row r="855" spans="1:40" x14ac:dyDescent="0.25">
      <c r="A855" t="str">
        <f>"20190312164008632"</f>
        <v>20190312164008632</v>
      </c>
      <c r="B855" t="str">
        <f>"1552380008627355"</f>
        <v>1552380008627355</v>
      </c>
      <c r="C855" t="s">
        <v>40</v>
      </c>
      <c r="D855">
        <v>4.903829</v>
      </c>
      <c r="E855">
        <v>0.59946599999999906</v>
      </c>
      <c r="F855" t="s">
        <v>43</v>
      </c>
      <c r="G855">
        <v>-307.46359999999999</v>
      </c>
      <c r="H855">
        <v>-0.05</v>
      </c>
      <c r="I855">
        <v>363.46949999999998</v>
      </c>
      <c r="J855">
        <v>-322.53379999999999</v>
      </c>
      <c r="K855">
        <v>1.109756</v>
      </c>
      <c r="L855">
        <v>367.98630000000003</v>
      </c>
      <c r="M855">
        <v>0.99990500000000004</v>
      </c>
      <c r="N855">
        <v>0</v>
      </c>
      <c r="O855">
        <v>-8.1357679999999998E-3</v>
      </c>
      <c r="P855">
        <v>0.99391470000000004</v>
      </c>
      <c r="Q855">
        <v>0.1018018</v>
      </c>
      <c r="R855">
        <v>-4.2075769999999998E-2</v>
      </c>
      <c r="S855">
        <v>3.0039370000000001</v>
      </c>
      <c r="T855">
        <v>-0.2263008</v>
      </c>
      <c r="U855">
        <v>-0.8818665</v>
      </c>
      <c r="V855">
        <v>3.3991769999999998E-2</v>
      </c>
      <c r="W855">
        <v>0.11286649999999999</v>
      </c>
      <c r="X855">
        <v>0.99302860000000004</v>
      </c>
      <c r="Y855">
        <v>0.27317560000000002</v>
      </c>
      <c r="Z855">
        <v>-9.464475E-3</v>
      </c>
      <c r="AA855">
        <v>0.96191760000000004</v>
      </c>
      <c r="AB855">
        <v>34</v>
      </c>
      <c r="AC855">
        <v>15.0702</v>
      </c>
      <c r="AD855">
        <v>-1.159756</v>
      </c>
      <c r="AE855">
        <v>-4.5168000000000399</v>
      </c>
      <c r="AF855">
        <v>4.3702862075237396</v>
      </c>
      <c r="AG855">
        <v>-1.159756</v>
      </c>
      <c r="AH855">
        <v>15.0248031788422</v>
      </c>
      <c r="AI855">
        <v>94.238879387181996</v>
      </c>
      <c r="AJ855">
        <v>73.781794993918794</v>
      </c>
      <c r="AK855">
        <v>15.690415739493799</v>
      </c>
      <c r="AL855">
        <v>83.519417004493604</v>
      </c>
      <c r="AM855">
        <v>88.039507806313907</v>
      </c>
      <c r="AN855">
        <v>1.00000004383397</v>
      </c>
    </row>
    <row r="856" spans="1:40" x14ac:dyDescent="0.25">
      <c r="A856" t="str">
        <f>"20190312164008653"</f>
        <v>20190312164008653</v>
      </c>
      <c r="B856" t="str">
        <f>"1552380008646878"</f>
        <v>1552380008646878</v>
      </c>
      <c r="C856" t="s">
        <v>40</v>
      </c>
      <c r="D856">
        <v>5.1663050000000004</v>
      </c>
      <c r="E856">
        <v>0.60074729999999998</v>
      </c>
      <c r="F856" t="s">
        <v>43</v>
      </c>
      <c r="G856">
        <v>-307.887</v>
      </c>
      <c r="H856">
        <v>-0.05</v>
      </c>
      <c r="I856">
        <v>363.63529999999997</v>
      </c>
      <c r="J856">
        <v>-322.19720000000001</v>
      </c>
      <c r="K856">
        <v>1.109756</v>
      </c>
      <c r="L856">
        <v>367.98349999999999</v>
      </c>
      <c r="M856">
        <v>0.99990480000000004</v>
      </c>
      <c r="N856">
        <v>0</v>
      </c>
      <c r="O856">
        <v>-8.1353720000000001E-3</v>
      </c>
      <c r="P856">
        <v>0.9939597</v>
      </c>
      <c r="Q856">
        <v>0.1014299</v>
      </c>
      <c r="R856">
        <v>-4.1907420000000001E-2</v>
      </c>
      <c r="S856">
        <v>3.0049440000000001</v>
      </c>
      <c r="T856">
        <v>-0.23793510000000001</v>
      </c>
      <c r="U856">
        <v>-0.89263919999999997</v>
      </c>
      <c r="V856">
        <v>3.3823609999999997E-2</v>
      </c>
      <c r="W856">
        <v>0.1125102</v>
      </c>
      <c r="X856">
        <v>0.99307469999999998</v>
      </c>
      <c r="Y856">
        <v>0.27617950000000002</v>
      </c>
      <c r="Z856">
        <v>-1.005782E-2</v>
      </c>
      <c r="AA856">
        <v>0.96105339999999995</v>
      </c>
      <c r="AB856">
        <v>34</v>
      </c>
      <c r="AC856">
        <v>14.3102</v>
      </c>
      <c r="AD856">
        <v>-1.159756</v>
      </c>
      <c r="AE856">
        <v>-4.3482000000000198</v>
      </c>
      <c r="AF856">
        <v>4.2063374626706498</v>
      </c>
      <c r="AG856">
        <v>-1.159756</v>
      </c>
      <c r="AH856">
        <v>14.2593616392681</v>
      </c>
      <c r="AI856">
        <v>94.460588891963994</v>
      </c>
      <c r="AJ856">
        <v>73.564584773697007</v>
      </c>
      <c r="AK856">
        <v>14.911998631599801</v>
      </c>
      <c r="AL856">
        <v>83.539961881775895</v>
      </c>
      <c r="AM856">
        <v>88.049289494407901</v>
      </c>
      <c r="AN856">
        <v>0.99999997073878</v>
      </c>
    </row>
    <row r="857" spans="1:40" x14ac:dyDescent="0.25">
      <c r="A857" t="str">
        <f>"20190312164008664"</f>
        <v>20190312164008664</v>
      </c>
      <c r="B857" t="str">
        <f>"1552380008656634"</f>
        <v>1552380008656634</v>
      </c>
      <c r="C857" t="s">
        <v>40</v>
      </c>
      <c r="D857">
        <v>5.2377739999999999</v>
      </c>
      <c r="E857">
        <v>0.6008732</v>
      </c>
      <c r="F857" t="s">
        <v>43</v>
      </c>
      <c r="G857">
        <v>-308.02699999999999</v>
      </c>
      <c r="H857">
        <v>-0.05</v>
      </c>
      <c r="I857">
        <v>363.7294</v>
      </c>
      <c r="J857">
        <v>-322.02699999999999</v>
      </c>
      <c r="K857">
        <v>1.1097570000000001</v>
      </c>
      <c r="L857">
        <v>367.9821</v>
      </c>
      <c r="M857">
        <v>0.99990469999999998</v>
      </c>
      <c r="N857">
        <v>0</v>
      </c>
      <c r="O857">
        <v>-8.1351719999999995E-3</v>
      </c>
      <c r="P857">
        <v>0.99398140000000001</v>
      </c>
      <c r="Q857">
        <v>0.1012535</v>
      </c>
      <c r="R857">
        <v>-4.1818330000000001E-2</v>
      </c>
      <c r="S857">
        <v>3.0053100000000001</v>
      </c>
      <c r="T857">
        <v>-0.24596970000000001</v>
      </c>
      <c r="U857">
        <v>-0.90225219999999995</v>
      </c>
      <c r="V857">
        <v>3.3734310000000003E-2</v>
      </c>
      <c r="W857">
        <v>0.1123406</v>
      </c>
      <c r="X857">
        <v>0.99309689999999995</v>
      </c>
      <c r="Y857">
        <v>0.27890880000000001</v>
      </c>
      <c r="Z857">
        <v>-1.0499690000000001E-2</v>
      </c>
      <c r="AA857">
        <v>0.96026020000000001</v>
      </c>
      <c r="AB857">
        <v>34</v>
      </c>
      <c r="AC857">
        <v>14</v>
      </c>
      <c r="AD857">
        <v>-1.1597569999999999</v>
      </c>
      <c r="AE857">
        <v>-4.2526999999999999</v>
      </c>
      <c r="AF857">
        <v>4.1128201171883498</v>
      </c>
      <c r="AG857">
        <v>-1.1597569999999999</v>
      </c>
      <c r="AH857">
        <v>13.9465134020055</v>
      </c>
      <c r="AI857">
        <v>94.560344071038003</v>
      </c>
      <c r="AJ857">
        <v>73.569237064633001</v>
      </c>
      <c r="AK857">
        <v>14.586485583844899</v>
      </c>
      <c r="AL857">
        <v>83.549741004163195</v>
      </c>
      <c r="AM857">
        <v>88.054479192197505</v>
      </c>
      <c r="AN857">
        <v>0.99999993343457005</v>
      </c>
    </row>
    <row r="858" spans="1:40" x14ac:dyDescent="0.25">
      <c r="A858" t="str">
        <f>"20190312164008675"</f>
        <v>20190312164008675</v>
      </c>
      <c r="B858" t="str">
        <f>"1552380008667371"</f>
        <v>1552380008667371</v>
      </c>
      <c r="C858" t="s">
        <v>40</v>
      </c>
      <c r="D858">
        <v>5.2804529999999996</v>
      </c>
      <c r="E858">
        <v>0.60114209999999901</v>
      </c>
      <c r="F858" t="s">
        <v>43</v>
      </c>
      <c r="G858">
        <v>-307.79539999999997</v>
      </c>
      <c r="H858">
        <v>-0.05</v>
      </c>
      <c r="I858">
        <v>363.70620000000002</v>
      </c>
      <c r="J858">
        <v>-321.85419999999999</v>
      </c>
      <c r="K858">
        <v>1.109756</v>
      </c>
      <c r="L858">
        <v>367.98070000000001</v>
      </c>
      <c r="M858">
        <v>0.99990460000000003</v>
      </c>
      <c r="N858">
        <v>0</v>
      </c>
      <c r="O858">
        <v>-8.135092E-3</v>
      </c>
      <c r="P858">
        <v>0.99399139999999997</v>
      </c>
      <c r="Q858">
        <v>0.1012468</v>
      </c>
      <c r="R858">
        <v>-4.1598379999999997E-2</v>
      </c>
      <c r="S858">
        <v>3.0051269999999999</v>
      </c>
      <c r="T858">
        <v>-0.2448922</v>
      </c>
      <c r="U858">
        <v>-0.9028931</v>
      </c>
      <c r="V858">
        <v>3.3514469999999998E-2</v>
      </c>
      <c r="W858">
        <v>0.112341</v>
      </c>
      <c r="X858">
        <v>0.99310430000000005</v>
      </c>
      <c r="Y858">
        <v>0.27911950000000002</v>
      </c>
      <c r="Z858">
        <v>-1.0462529999999999E-2</v>
      </c>
      <c r="AA858">
        <v>0.96019940000000004</v>
      </c>
      <c r="AB858">
        <v>34</v>
      </c>
      <c r="AC858">
        <v>14.0588</v>
      </c>
      <c r="AD858">
        <v>-1.159756</v>
      </c>
      <c r="AE858">
        <v>-4.2744999999999802</v>
      </c>
      <c r="AF858">
        <v>4.13422850642191</v>
      </c>
      <c r="AG858">
        <v>-1.159756</v>
      </c>
      <c r="AH858">
        <v>14.0058638796904</v>
      </c>
      <c r="AI858">
        <v>94.5407542326125</v>
      </c>
      <c r="AJ858">
        <v>73.554537921942995</v>
      </c>
      <c r="AK858">
        <v>14.649269686208299</v>
      </c>
      <c r="AL858">
        <v>83.549717952120901</v>
      </c>
      <c r="AM858">
        <v>88.067162519682995</v>
      </c>
      <c r="AN858">
        <v>0.99999993532943299</v>
      </c>
    </row>
    <row r="859" spans="1:40" x14ac:dyDescent="0.25">
      <c r="A859" t="str">
        <f>"20190312164008686"</f>
        <v>20190312164008686</v>
      </c>
      <c r="B859" t="str">
        <f>"1552380008677130"</f>
        <v>1552380008677130</v>
      </c>
      <c r="C859" t="s">
        <v>40</v>
      </c>
      <c r="D859">
        <v>5.3055629999999896</v>
      </c>
      <c r="E859">
        <v>0.60145190000000004</v>
      </c>
      <c r="F859" t="s">
        <v>43</v>
      </c>
      <c r="G859">
        <v>-307.52730000000003</v>
      </c>
      <c r="H859">
        <v>-0.05</v>
      </c>
      <c r="I859">
        <v>363.66699999999997</v>
      </c>
      <c r="J859">
        <v>-321.68709999999999</v>
      </c>
      <c r="K859">
        <v>1.1097549999999901</v>
      </c>
      <c r="L859">
        <v>367.97930000000002</v>
      </c>
      <c r="M859">
        <v>0.99990460000000003</v>
      </c>
      <c r="N859">
        <v>0</v>
      </c>
      <c r="O859">
        <v>-8.1350069999999997E-3</v>
      </c>
      <c r="P859">
        <v>0.99401680000000003</v>
      </c>
      <c r="Q859">
        <v>0.10104109999999999</v>
      </c>
      <c r="R859">
        <v>-4.1490600000000002E-2</v>
      </c>
      <c r="S859">
        <v>3.0050349999999999</v>
      </c>
      <c r="T859">
        <v>-0.24325550000000001</v>
      </c>
      <c r="U859">
        <v>-0.90478519999999896</v>
      </c>
      <c r="V859">
        <v>3.3406760000000001E-2</v>
      </c>
      <c r="W859">
        <v>0.11214159999999999</v>
      </c>
      <c r="X859">
        <v>0.99313050000000003</v>
      </c>
      <c r="Y859">
        <v>0.27969129999999998</v>
      </c>
      <c r="Z859">
        <v>-1.041482E-2</v>
      </c>
      <c r="AA859">
        <v>0.96003349999999998</v>
      </c>
      <c r="AB859">
        <v>34</v>
      </c>
      <c r="AC859">
        <v>14.159799999999899</v>
      </c>
      <c r="AD859">
        <v>-1.1597550000000001</v>
      </c>
      <c r="AE859">
        <v>-4.3123000000000502</v>
      </c>
      <c r="AF859">
        <v>4.1713520686639596</v>
      </c>
      <c r="AG859">
        <v>-1.1597550000000001</v>
      </c>
      <c r="AH859">
        <v>14.107806214925599</v>
      </c>
      <c r="AI859">
        <v>94.507466799111199</v>
      </c>
      <c r="AJ859">
        <v>73.528270013756796</v>
      </c>
      <c r="AK859">
        <v>14.757215385656799</v>
      </c>
      <c r="AL859">
        <v>83.561215608308004</v>
      </c>
      <c r="AM859">
        <v>88.073420441342407</v>
      </c>
      <c r="AN859">
        <v>0.99999997004725305</v>
      </c>
    </row>
    <row r="860" spans="1:40" x14ac:dyDescent="0.25">
      <c r="A860" t="str">
        <f>"20190312164008698"</f>
        <v>20190312164008698</v>
      </c>
      <c r="B860" t="str">
        <f>"1552380008686891"</f>
        <v>1552380008686891</v>
      </c>
      <c r="C860" t="s">
        <v>40</v>
      </c>
      <c r="D860">
        <v>5.319674</v>
      </c>
      <c r="E860">
        <v>0.60185900000000003</v>
      </c>
      <c r="F860" t="s">
        <v>43</v>
      </c>
      <c r="G860">
        <v>-307.2285</v>
      </c>
      <c r="H860">
        <v>-0.05</v>
      </c>
      <c r="I860">
        <v>363.61489999999998</v>
      </c>
      <c r="J860">
        <v>-321.51080000000002</v>
      </c>
      <c r="K860">
        <v>1.109747</v>
      </c>
      <c r="L860">
        <v>367.97789999999998</v>
      </c>
      <c r="M860">
        <v>0.99990460000000003</v>
      </c>
      <c r="N860">
        <v>0</v>
      </c>
      <c r="O860">
        <v>-8.1348059999999996E-3</v>
      </c>
      <c r="P860">
        <v>0.99403039999999998</v>
      </c>
      <c r="Q860">
        <v>0.100964899999999</v>
      </c>
      <c r="R860">
        <v>-4.1353729999999998E-2</v>
      </c>
      <c r="S860">
        <v>3.0047000000000001</v>
      </c>
      <c r="T860">
        <v>-0.24101359999999999</v>
      </c>
      <c r="U860">
        <v>-0.90698239999999997</v>
      </c>
      <c r="V860">
        <v>3.326979E-2</v>
      </c>
      <c r="W860">
        <v>0.1120724</v>
      </c>
      <c r="X860">
        <v>0.993143</v>
      </c>
      <c r="Y860">
        <v>0.2803775</v>
      </c>
      <c r="Z860">
        <v>-1.0346060000000001E-2</v>
      </c>
      <c r="AA860">
        <v>0.95983399999999996</v>
      </c>
      <c r="AB860">
        <v>34</v>
      </c>
      <c r="AC860">
        <v>14.282299999999999</v>
      </c>
      <c r="AD860">
        <v>-1.1597469999999901</v>
      </c>
      <c r="AE860">
        <v>-4.3630000000000004</v>
      </c>
      <c r="AF860">
        <v>4.2212069128349698</v>
      </c>
      <c r="AG860">
        <v>-1.1597469999999901</v>
      </c>
      <c r="AH860">
        <v>14.231492860161</v>
      </c>
      <c r="AI860">
        <v>94.467289996766496</v>
      </c>
      <c r="AJ860">
        <v>73.479102617571598</v>
      </c>
      <c r="AK860">
        <v>14.889559762927499</v>
      </c>
      <c r="AL860">
        <v>83.565206210874507</v>
      </c>
      <c r="AM860">
        <v>88.081337764155904</v>
      </c>
      <c r="AN860">
        <v>1.0000000601087</v>
      </c>
    </row>
    <row r="861" spans="1:40" x14ac:dyDescent="0.25">
      <c r="A861" t="str">
        <f>"20190312164008711"</f>
        <v>20190312164008711</v>
      </c>
      <c r="B861" t="str">
        <f>"1552380008707387"</f>
        <v>1552380008707387</v>
      </c>
      <c r="C861" t="s">
        <v>40</v>
      </c>
      <c r="D861">
        <v>5.206887</v>
      </c>
      <c r="E861">
        <v>0.60269859999999997</v>
      </c>
      <c r="F861" t="s">
        <v>43</v>
      </c>
      <c r="G861">
        <v>-306.93950000000001</v>
      </c>
      <c r="H861">
        <v>-0.05</v>
      </c>
      <c r="I861">
        <v>363.56540000000001</v>
      </c>
      <c r="J861">
        <v>-321.31490000000002</v>
      </c>
      <c r="K861">
        <v>1.109747</v>
      </c>
      <c r="L861">
        <v>367.97629999999998</v>
      </c>
      <c r="M861">
        <v>0.99990429999999997</v>
      </c>
      <c r="N861">
        <v>0</v>
      </c>
      <c r="O861">
        <v>-8.1344989999999999E-3</v>
      </c>
      <c r="P861">
        <v>0.9940388</v>
      </c>
      <c r="Q861">
        <v>0.1009597</v>
      </c>
      <c r="R861">
        <v>-4.1162650000000002E-2</v>
      </c>
      <c r="S861">
        <v>3.0044559999999998</v>
      </c>
      <c r="T861">
        <v>-0.23912890000000001</v>
      </c>
      <c r="U861">
        <v>-0.90982059999999998</v>
      </c>
      <c r="V861">
        <v>3.307889E-2</v>
      </c>
      <c r="W861">
        <v>0.1120767</v>
      </c>
      <c r="X861">
        <v>0.9931489</v>
      </c>
      <c r="Y861">
        <v>0.2812402</v>
      </c>
      <c r="Z861">
        <v>-1.0298379999999999E-2</v>
      </c>
      <c r="AA861">
        <v>0.95958209999999999</v>
      </c>
      <c r="AB861">
        <v>34</v>
      </c>
      <c r="AC861">
        <v>14.375400000000001</v>
      </c>
      <c r="AD861">
        <v>-1.1597469999999901</v>
      </c>
      <c r="AE861">
        <v>-4.4108999999999696</v>
      </c>
      <c r="AF861">
        <v>4.2684191898460204</v>
      </c>
      <c r="AG861">
        <v>-1.1597469999999901</v>
      </c>
      <c r="AH861">
        <v>14.3255907033515</v>
      </c>
      <c r="AI861">
        <v>94.436437651781901</v>
      </c>
      <c r="AJ861">
        <v>73.408172570794704</v>
      </c>
      <c r="AK861">
        <v>14.9928971344502</v>
      </c>
      <c r="AL861">
        <v>83.564958331935102</v>
      </c>
      <c r="AM861">
        <v>88.092350096205607</v>
      </c>
      <c r="AN861">
        <v>1.0000000686088599</v>
      </c>
    </row>
    <row r="862" spans="1:40" x14ac:dyDescent="0.25">
      <c r="A862" t="str">
        <f>"20190312164008723"</f>
        <v>20190312164008723</v>
      </c>
      <c r="B862" t="str">
        <f>"1552380008717147"</f>
        <v>1552380008717147</v>
      </c>
      <c r="C862" t="s">
        <v>40</v>
      </c>
      <c r="D862">
        <v>5.2197069999999997</v>
      </c>
      <c r="E862">
        <v>0.60320209999999996</v>
      </c>
      <c r="F862" t="s">
        <v>43</v>
      </c>
      <c r="G862">
        <v>-306.30759999999998</v>
      </c>
      <c r="H862">
        <v>-0.05</v>
      </c>
      <c r="I862">
        <v>363.39699999999999</v>
      </c>
      <c r="J862">
        <v>-321.13249999999999</v>
      </c>
      <c r="K862">
        <v>1.109702</v>
      </c>
      <c r="L862">
        <v>367.97480000000002</v>
      </c>
      <c r="M862">
        <v>0.99990619999999997</v>
      </c>
      <c r="N862">
        <v>0</v>
      </c>
      <c r="O862">
        <v>-8.1344599999999996E-3</v>
      </c>
      <c r="P862">
        <v>0.99402020000000002</v>
      </c>
      <c r="Q862">
        <v>0.1011412</v>
      </c>
      <c r="R862">
        <v>-4.1159569999999999E-2</v>
      </c>
      <c r="S862">
        <v>3.0036619999999998</v>
      </c>
      <c r="T862">
        <v>-0.2321203</v>
      </c>
      <c r="U862">
        <v>-0.91653439999999997</v>
      </c>
      <c r="V862">
        <v>3.3076260000000003E-2</v>
      </c>
      <c r="W862">
        <v>0.1121008</v>
      </c>
      <c r="X862">
        <v>0.99314619999999998</v>
      </c>
      <c r="Y862">
        <v>0.2833135</v>
      </c>
      <c r="Z862">
        <v>-1.0074970000000001E-2</v>
      </c>
      <c r="AA862">
        <v>0.9589744</v>
      </c>
      <c r="AB862">
        <v>34</v>
      </c>
      <c r="AC862">
        <v>14.8249</v>
      </c>
      <c r="AD862">
        <v>-1.159702</v>
      </c>
      <c r="AE862">
        <v>-4.5778000000000203</v>
      </c>
      <c r="AF862">
        <v>4.4322867786842997</v>
      </c>
      <c r="AG862">
        <v>-1.159702</v>
      </c>
      <c r="AH862">
        <v>14.779083306416601</v>
      </c>
      <c r="AI862">
        <v>94.298372986052499</v>
      </c>
      <c r="AJ862">
        <v>73.305871212554294</v>
      </c>
      <c r="AK862">
        <v>15.4729240350783</v>
      </c>
      <c r="AL862">
        <v>83.563568312800598</v>
      </c>
      <c r="AM862">
        <v>88.092496473527802</v>
      </c>
      <c r="AN862">
        <v>1.0000000014553301</v>
      </c>
    </row>
    <row r="863" spans="1:40" x14ac:dyDescent="0.25">
      <c r="A863" t="str">
        <f>"20190312164008733"</f>
        <v>20190312164008733</v>
      </c>
      <c r="B863" t="str">
        <f>"1552380008726907"</f>
        <v>1552380008726907</v>
      </c>
      <c r="C863" t="s">
        <v>40</v>
      </c>
      <c r="D863">
        <v>5.3046419999999896</v>
      </c>
      <c r="E863">
        <v>0.60359169999999995</v>
      </c>
      <c r="F863" t="s">
        <v>43</v>
      </c>
      <c r="G863">
        <v>-305.69119999999998</v>
      </c>
      <c r="H863">
        <v>-0.05</v>
      </c>
      <c r="I863">
        <v>363.23660000000001</v>
      </c>
      <c r="J863">
        <v>-320.9615</v>
      </c>
      <c r="K863">
        <v>1.109594</v>
      </c>
      <c r="L863">
        <v>367.97340000000003</v>
      </c>
      <c r="M863">
        <v>0.99991030000000003</v>
      </c>
      <c r="N863">
        <v>0</v>
      </c>
      <c r="O863">
        <v>-8.1346779999999994E-3</v>
      </c>
      <c r="P863">
        <v>0.99398089999999995</v>
      </c>
      <c r="Q863">
        <v>0.1016001</v>
      </c>
      <c r="R863">
        <v>-4.0984630000000001E-2</v>
      </c>
      <c r="S863">
        <v>3.0028079999999999</v>
      </c>
      <c r="T863">
        <v>-0.22552130000000001</v>
      </c>
      <c r="U863">
        <v>-0.92141719999999905</v>
      </c>
      <c r="V863">
        <v>3.2901359999999998E-2</v>
      </c>
      <c r="W863">
        <v>0.1121823</v>
      </c>
      <c r="X863">
        <v>0.99314279999999999</v>
      </c>
      <c r="Y863">
        <v>0.28485300000000002</v>
      </c>
      <c r="Z863">
        <v>-9.8461280000000009E-3</v>
      </c>
      <c r="AA863">
        <v>0.9585207</v>
      </c>
      <c r="AB863">
        <v>34</v>
      </c>
      <c r="AC863">
        <v>15.270300000000001</v>
      </c>
      <c r="AD863">
        <v>-1.159594</v>
      </c>
      <c r="AE863">
        <v>-4.7368000000000103</v>
      </c>
      <c r="AF863">
        <v>4.5882810864301504</v>
      </c>
      <c r="AG863">
        <v>-1.159594</v>
      </c>
      <c r="AH863">
        <v>15.2282227768811</v>
      </c>
      <c r="AI863">
        <v>94.170062139399505</v>
      </c>
      <c r="AJ863">
        <v>73.232385240336697</v>
      </c>
      <c r="AK863">
        <v>15.9466532700516</v>
      </c>
      <c r="AL863">
        <v>83.558869020442501</v>
      </c>
      <c r="AM863">
        <v>88.102569049855305</v>
      </c>
      <c r="AN863">
        <v>0.999999994557489</v>
      </c>
    </row>
    <row r="864" spans="1:40" x14ac:dyDescent="0.25">
      <c r="A864" t="str">
        <f>"20190312164008744"</f>
        <v>20190312164008744</v>
      </c>
      <c r="B864" t="str">
        <f>"1552380008736667"</f>
        <v>1552380008736667</v>
      </c>
      <c r="C864" t="s">
        <v>40</v>
      </c>
      <c r="D864">
        <v>5.4336039999999999</v>
      </c>
      <c r="E864">
        <v>0.60386300000000004</v>
      </c>
      <c r="F864" t="s">
        <v>43</v>
      </c>
      <c r="G864">
        <v>-305.08420000000001</v>
      </c>
      <c r="H864">
        <v>-0.05</v>
      </c>
      <c r="I864">
        <v>363.08769999999998</v>
      </c>
      <c r="J864">
        <v>-320.79880000000003</v>
      </c>
      <c r="K864">
        <v>1.1094790000000001</v>
      </c>
      <c r="L864">
        <v>367.97210000000001</v>
      </c>
      <c r="M864">
        <v>0.99991350000000001</v>
      </c>
      <c r="N864">
        <v>0</v>
      </c>
      <c r="O864">
        <v>-8.1354349999999999E-3</v>
      </c>
      <c r="P864">
        <v>0.9939557</v>
      </c>
      <c r="Q864">
        <v>0.101879</v>
      </c>
      <c r="R864">
        <v>-4.0903920000000003E-2</v>
      </c>
      <c r="S864">
        <v>3.002472</v>
      </c>
      <c r="T864">
        <v>-0.2192857</v>
      </c>
      <c r="U864">
        <v>-0.92391970000000001</v>
      </c>
      <c r="V864">
        <v>3.2820130000000003E-2</v>
      </c>
      <c r="W864">
        <v>0.1121506</v>
      </c>
      <c r="X864">
        <v>0.99314910000000001</v>
      </c>
      <c r="Y864">
        <v>0.28564909999999999</v>
      </c>
      <c r="Z864">
        <v>-9.6027749999999992E-3</v>
      </c>
      <c r="AA864">
        <v>0.95828619999999998</v>
      </c>
      <c r="AB864">
        <v>34</v>
      </c>
      <c r="AC864">
        <v>15.714600000000001</v>
      </c>
      <c r="AD864">
        <v>-1.1594789999999999</v>
      </c>
      <c r="AE864">
        <v>-4.8844000000000198</v>
      </c>
      <c r="AF864">
        <v>4.7328904085772399</v>
      </c>
      <c r="AG864">
        <v>-1.1594789999999999</v>
      </c>
      <c r="AH864">
        <v>15.675996695826299</v>
      </c>
      <c r="AI864">
        <v>94.050258978582207</v>
      </c>
      <c r="AJ864">
        <v>73.199906317995897</v>
      </c>
      <c r="AK864">
        <v>16.4158921651734</v>
      </c>
      <c r="AL864">
        <v>83.560697037241695</v>
      </c>
      <c r="AM864">
        <v>88.107262193686793</v>
      </c>
      <c r="AN864">
        <v>1.00000002642219</v>
      </c>
    </row>
    <row r="865" spans="1:40" x14ac:dyDescent="0.25">
      <c r="A865" t="str">
        <f>"20190312164008755"</f>
        <v>20190312164008755</v>
      </c>
      <c r="B865" t="str">
        <f>"1552380008747402"</f>
        <v>1552380008747402</v>
      </c>
      <c r="C865" t="s">
        <v>40</v>
      </c>
      <c r="D865">
        <v>5.141254</v>
      </c>
      <c r="E865">
        <v>0.60374680000000003</v>
      </c>
      <c r="F865" t="s">
        <v>43</v>
      </c>
      <c r="G865">
        <v>-304.56380000000001</v>
      </c>
      <c r="H865">
        <v>-0.05</v>
      </c>
      <c r="I865">
        <v>362.96089999999998</v>
      </c>
      <c r="J865">
        <v>-320.62419999999997</v>
      </c>
      <c r="K865">
        <v>1.109345</v>
      </c>
      <c r="L865">
        <v>367.97070000000002</v>
      </c>
      <c r="M865">
        <v>0.99991660000000004</v>
      </c>
      <c r="N865">
        <v>0</v>
      </c>
      <c r="O865">
        <v>-8.1367729999999999E-3</v>
      </c>
      <c r="P865">
        <v>0.99390670000000003</v>
      </c>
      <c r="Q865">
        <v>0.1024186</v>
      </c>
      <c r="R865">
        <v>-4.0743519999999998E-2</v>
      </c>
      <c r="S865">
        <v>3.002075</v>
      </c>
      <c r="T865">
        <v>-0.2144028</v>
      </c>
      <c r="U865">
        <v>-0.92663569999999995</v>
      </c>
      <c r="V865">
        <v>3.2659069999999998E-2</v>
      </c>
      <c r="W865">
        <v>0.1123903</v>
      </c>
      <c r="X865">
        <v>0.99312730000000005</v>
      </c>
      <c r="Y865">
        <v>0.2865028</v>
      </c>
      <c r="Z865">
        <v>-9.4190890000000003E-3</v>
      </c>
      <c r="AA865">
        <v>0.95803309999999997</v>
      </c>
      <c r="AB865">
        <v>35</v>
      </c>
      <c r="AC865">
        <v>16.060399999999898</v>
      </c>
      <c r="AD865">
        <v>-1.1593450000000001</v>
      </c>
      <c r="AE865">
        <v>-5.0098000000000402</v>
      </c>
      <c r="AF865">
        <v>4.8558879861836104</v>
      </c>
      <c r="AG865">
        <v>-1.1593450000000001</v>
      </c>
      <c r="AH865">
        <v>16.0245362580057</v>
      </c>
      <c r="AI865">
        <v>93.960778353937002</v>
      </c>
      <c r="AJ865">
        <v>73.141706326815694</v>
      </c>
      <c r="AK865">
        <v>16.784203622678302</v>
      </c>
      <c r="AL865">
        <v>83.546875778172904</v>
      </c>
      <c r="AM865">
        <v>88.116502508281599</v>
      </c>
      <c r="AN865">
        <v>1.0000000141963199</v>
      </c>
    </row>
    <row r="866" spans="1:40" x14ac:dyDescent="0.25">
      <c r="A866" t="str">
        <f>"20190312164008766"</f>
        <v>20190312164008766</v>
      </c>
      <c r="B866" t="str">
        <f>"1552380008757162"</f>
        <v>1552380008757162</v>
      </c>
      <c r="C866" t="s">
        <v>40</v>
      </c>
      <c r="D866">
        <v>5.1538490000000001</v>
      </c>
      <c r="E866">
        <v>0.60374680000000003</v>
      </c>
      <c r="F866" t="s">
        <v>43</v>
      </c>
      <c r="G866">
        <v>-303.79059999999998</v>
      </c>
      <c r="H866">
        <v>-0.05</v>
      </c>
      <c r="I866">
        <v>362.78059999999999</v>
      </c>
      <c r="J866">
        <v>-320.45150000000001</v>
      </c>
      <c r="K866">
        <v>1.1092120000000001</v>
      </c>
      <c r="L866">
        <v>367.96929999999998</v>
      </c>
      <c r="M866">
        <v>0.99991719999999895</v>
      </c>
      <c r="N866">
        <v>0</v>
      </c>
      <c r="O866">
        <v>-8.1406699999999992E-3</v>
      </c>
      <c r="P866">
        <v>0.99388779999999999</v>
      </c>
      <c r="Q866">
        <v>0.102634199999999</v>
      </c>
      <c r="R866">
        <v>-4.0665880000000001E-2</v>
      </c>
      <c r="S866">
        <v>3.00177</v>
      </c>
      <c r="T866">
        <v>-0.20673449999999999</v>
      </c>
      <c r="U866">
        <v>-0.92550659999999896</v>
      </c>
      <c r="V866">
        <v>3.2578040000000003E-2</v>
      </c>
      <c r="W866">
        <v>0.1125471</v>
      </c>
      <c r="X866">
        <v>0.9931122</v>
      </c>
      <c r="Y866">
        <v>0.28624329999999998</v>
      </c>
      <c r="Z866">
        <v>-9.0753499999999994E-3</v>
      </c>
      <c r="AA866">
        <v>0.95811400000000002</v>
      </c>
      <c r="AB866">
        <v>35</v>
      </c>
      <c r="AC866">
        <v>16.660900000000002</v>
      </c>
      <c r="AD866">
        <v>-1.1592119999999999</v>
      </c>
      <c r="AE866">
        <v>-5.1886999999999803</v>
      </c>
      <c r="AF866">
        <v>5.0306903566511396</v>
      </c>
      <c r="AG866">
        <v>-1.1592119999999999</v>
      </c>
      <c r="AH866">
        <v>16.6292059919721</v>
      </c>
      <c r="AI866">
        <v>93.817289109260699</v>
      </c>
      <c r="AJ866">
        <v>73.168311699197702</v>
      </c>
      <c r="AK866">
        <v>17.412125368515099</v>
      </c>
      <c r="AL866">
        <v>83.5378344085739</v>
      </c>
      <c r="AM866">
        <v>88.121143729742798</v>
      </c>
      <c r="AN866">
        <v>1.0000000100987401</v>
      </c>
    </row>
    <row r="867" spans="1:40" x14ac:dyDescent="0.25">
      <c r="A867" t="str">
        <f>"20190312164008778"</f>
        <v>20190312164008778</v>
      </c>
      <c r="B867" t="str">
        <f>"1552380008766923"</f>
        <v>1552380008766923</v>
      </c>
      <c r="C867" t="s">
        <v>40</v>
      </c>
      <c r="D867">
        <v>5.3639010000000003</v>
      </c>
      <c r="E867">
        <v>0.55346329999999999</v>
      </c>
      <c r="F867" t="s">
        <v>43</v>
      </c>
      <c r="G867">
        <v>-303.54070000000002</v>
      </c>
      <c r="H867">
        <v>-0.05</v>
      </c>
      <c r="I867">
        <v>362.75510000000003</v>
      </c>
      <c r="J867">
        <v>-320.2645</v>
      </c>
      <c r="K867">
        <v>1.1090530000000001</v>
      </c>
      <c r="L867">
        <v>367.96780000000001</v>
      </c>
      <c r="M867">
        <v>0.99991699999999994</v>
      </c>
      <c r="N867">
        <v>0</v>
      </c>
      <c r="O867">
        <v>-8.1460619999999904E-3</v>
      </c>
      <c r="P867">
        <v>0.99390129999999999</v>
      </c>
      <c r="Q867">
        <v>0.10252319999999999</v>
      </c>
      <c r="R867">
        <v>-4.0616579999999999E-2</v>
      </c>
      <c r="S867">
        <v>3.001862</v>
      </c>
      <c r="T867">
        <v>-0.20577319999999999</v>
      </c>
      <c r="U867">
        <v>-0.92556760000000005</v>
      </c>
      <c r="V867">
        <v>3.2523839999999998E-2</v>
      </c>
      <c r="W867">
        <v>0.1124604</v>
      </c>
      <c r="X867">
        <v>0.9931238</v>
      </c>
      <c r="Y867">
        <v>0.28625329999999999</v>
      </c>
      <c r="Z867">
        <v>-9.0329290000000003E-3</v>
      </c>
      <c r="AA867">
        <v>0.95811139999999995</v>
      </c>
      <c r="AB867">
        <v>35</v>
      </c>
      <c r="AC867">
        <v>16.723799999999901</v>
      </c>
      <c r="AD867">
        <v>-1.1590530000000001</v>
      </c>
      <c r="AE867">
        <v>-5.2126999999999803</v>
      </c>
      <c r="AF867">
        <v>5.0541603314565302</v>
      </c>
      <c r="AG867">
        <v>-1.1590530000000001</v>
      </c>
      <c r="AH867">
        <v>16.692630857404499</v>
      </c>
      <c r="AI867">
        <v>93.802037946872105</v>
      </c>
      <c r="AJ867">
        <v>73.154845569778203</v>
      </c>
      <c r="AK867">
        <v>17.479469827613499</v>
      </c>
      <c r="AL867">
        <v>83.542833703440294</v>
      </c>
      <c r="AM867">
        <v>88.124289236694494</v>
      </c>
      <c r="AN867">
        <v>1.00000001193147</v>
      </c>
    </row>
    <row r="868" spans="1:40" x14ac:dyDescent="0.25">
      <c r="A868" t="str">
        <f>"20190312164008790"</f>
        <v>20190312164008790</v>
      </c>
      <c r="B868" t="str">
        <f>"1552380008787419"</f>
        <v>1552380008787419</v>
      </c>
      <c r="C868" t="s">
        <v>40</v>
      </c>
      <c r="D868">
        <v>5.4734879999999997</v>
      </c>
      <c r="E868">
        <v>0.50258409999999998</v>
      </c>
      <c r="F868" t="s">
        <v>44</v>
      </c>
      <c r="G868">
        <v>-168.982</v>
      </c>
      <c r="H868">
        <v>5.0033359999999999E-2</v>
      </c>
      <c r="I868">
        <v>341.08589999999998</v>
      </c>
      <c r="J868">
        <v>-320.07900000000001</v>
      </c>
      <c r="K868">
        <v>1.1088279999999999</v>
      </c>
      <c r="L868">
        <v>367.96620000000001</v>
      </c>
      <c r="M868">
        <v>0.99991419999999998</v>
      </c>
      <c r="N868">
        <v>0</v>
      </c>
      <c r="O868">
        <v>-8.1566119999999902E-3</v>
      </c>
      <c r="P868">
        <v>0.99390730000000005</v>
      </c>
      <c r="Q868">
        <v>0.1024986</v>
      </c>
      <c r="R868">
        <v>-4.0531230000000001E-2</v>
      </c>
      <c r="S868">
        <v>2.9988100000000002</v>
      </c>
      <c r="T868">
        <v>-2.0992400000000001E-2</v>
      </c>
      <c r="U868">
        <v>-0.53286739999999999</v>
      </c>
      <c r="V868">
        <v>3.242896E-2</v>
      </c>
      <c r="W868">
        <v>0.1126945</v>
      </c>
      <c r="X868">
        <v>0.99310030000000005</v>
      </c>
      <c r="Y868">
        <v>0.16691159999999999</v>
      </c>
      <c r="Z868">
        <v>-5.2301750000000003E-4</v>
      </c>
      <c r="AA868">
        <v>0.98597170000000001</v>
      </c>
      <c r="AB868">
        <v>35</v>
      </c>
      <c r="AC868">
        <v>151.09700000000001</v>
      </c>
      <c r="AD868">
        <v>-1.0587946399999999</v>
      </c>
      <c r="AE868">
        <v>-26.880299999999998</v>
      </c>
      <c r="AF868">
        <v>25.6456807053058</v>
      </c>
      <c r="AG868">
        <v>-1.0587946399999999</v>
      </c>
      <c r="AH868">
        <v>151.30403519449601</v>
      </c>
      <c r="AI868">
        <v>90.395299601771598</v>
      </c>
      <c r="AJ868">
        <v>80.379930239327294</v>
      </c>
      <c r="AK868">
        <v>153.465739013844</v>
      </c>
      <c r="AL868">
        <v>83.529334526245506</v>
      </c>
      <c r="AM868">
        <v>88.129713027654404</v>
      </c>
      <c r="AN868">
        <v>0.99999994681850901</v>
      </c>
    </row>
    <row r="869" spans="1:40" x14ac:dyDescent="0.25">
      <c r="A869" t="str">
        <f>"20190312164008803"</f>
        <v>20190312164008803</v>
      </c>
      <c r="B869" t="str">
        <f>"1552380008797179"</f>
        <v>1552380008797179</v>
      </c>
      <c r="C869" t="s">
        <v>40</v>
      </c>
      <c r="D869">
        <v>5.5456269999999996</v>
      </c>
      <c r="E869">
        <v>0.50036539999999996</v>
      </c>
      <c r="F869" t="s">
        <v>43</v>
      </c>
      <c r="G869">
        <v>-284.8252</v>
      </c>
      <c r="H869">
        <v>-0.05</v>
      </c>
      <c r="I869">
        <v>366.53089999999997</v>
      </c>
      <c r="J869">
        <v>-319.89249999999998</v>
      </c>
      <c r="K869">
        <v>1.108554</v>
      </c>
      <c r="L869">
        <v>367.96469999999999</v>
      </c>
      <c r="M869">
        <v>0.99991059999999998</v>
      </c>
      <c r="N869">
        <v>0</v>
      </c>
      <c r="O869">
        <v>-8.1696919999999992E-3</v>
      </c>
      <c r="P869">
        <v>0.99394000000000005</v>
      </c>
      <c r="Q869">
        <v>0.1022907</v>
      </c>
      <c r="R869">
        <v>-4.0251410000000001E-2</v>
      </c>
      <c r="S869">
        <v>3.0236510000000001</v>
      </c>
      <c r="T869">
        <v>-9.9390389999999995E-2</v>
      </c>
      <c r="U869">
        <v>-0.12310790000000001</v>
      </c>
      <c r="V869">
        <v>3.2137319999999997E-2</v>
      </c>
      <c r="W869">
        <v>0.1128096</v>
      </c>
      <c r="X869">
        <v>0.9930968</v>
      </c>
      <c r="Y869">
        <v>3.2503419999999998E-2</v>
      </c>
      <c r="Z869">
        <v>-2.6548069999999998E-4</v>
      </c>
      <c r="AA869">
        <v>0.99947160000000002</v>
      </c>
      <c r="AB869">
        <v>35</v>
      </c>
      <c r="AC869">
        <v>35.067299999999904</v>
      </c>
      <c r="AD869">
        <v>-1.1585540000000001</v>
      </c>
      <c r="AE869">
        <v>-1.43380000000001</v>
      </c>
      <c r="AF869">
        <v>1.1459982718061399</v>
      </c>
      <c r="AG869">
        <v>-1.1585540000000001</v>
      </c>
      <c r="AH869">
        <v>35.039661620487699</v>
      </c>
      <c r="AI869">
        <v>91.892730764487197</v>
      </c>
      <c r="AJ869">
        <v>88.1267665110054</v>
      </c>
      <c r="AK869">
        <v>35.077534774954998</v>
      </c>
      <c r="AL869">
        <v>83.522698023147996</v>
      </c>
      <c r="AM869">
        <v>88.146514572520402</v>
      </c>
      <c r="AN869">
        <v>1.00000003367959</v>
      </c>
    </row>
    <row r="870" spans="1:40" x14ac:dyDescent="0.25">
      <c r="A870" t="str">
        <f>"20190312164008815"</f>
        <v>20190312164008815</v>
      </c>
      <c r="B870" t="str">
        <f>"1552380008806939"</f>
        <v>1552380008806939</v>
      </c>
      <c r="C870" t="s">
        <v>40</v>
      </c>
      <c r="D870">
        <v>5.4891350000000001</v>
      </c>
      <c r="E870">
        <v>0.49980720000000001</v>
      </c>
      <c r="F870" t="s">
        <v>43</v>
      </c>
      <c r="G870">
        <v>-285.48079999999999</v>
      </c>
      <c r="H870">
        <v>-0.05</v>
      </c>
      <c r="I870">
        <v>366.77409999999998</v>
      </c>
      <c r="J870">
        <v>-319.6857</v>
      </c>
      <c r="K870">
        <v>1.1081669999999999</v>
      </c>
      <c r="L870">
        <v>367.96300000000002</v>
      </c>
      <c r="M870">
        <v>0.99990559999999995</v>
      </c>
      <c r="N870">
        <v>0</v>
      </c>
      <c r="O870">
        <v>-8.1882669999999904E-3</v>
      </c>
      <c r="P870">
        <v>0.99396289999999998</v>
      </c>
      <c r="Q870">
        <v>0.10205889999999999</v>
      </c>
      <c r="R870">
        <v>-4.0276090000000001E-2</v>
      </c>
      <c r="S870">
        <v>3.0245359999999999</v>
      </c>
      <c r="T870">
        <v>-0.1018285</v>
      </c>
      <c r="U870">
        <v>-0.1046448</v>
      </c>
      <c r="V870">
        <v>3.214533E-2</v>
      </c>
      <c r="W870">
        <v>0.1130385</v>
      </c>
      <c r="X870">
        <v>0.99307049999999997</v>
      </c>
      <c r="Y870">
        <v>2.6382610000000001E-2</v>
      </c>
      <c r="Z870">
        <v>-1.683368E-4</v>
      </c>
      <c r="AA870">
        <v>0.99965190000000004</v>
      </c>
      <c r="AB870">
        <v>35</v>
      </c>
      <c r="AC870">
        <v>34.204900000000002</v>
      </c>
      <c r="AD870">
        <v>-1.1581669999999999</v>
      </c>
      <c r="AE870">
        <v>-1.18890000000004</v>
      </c>
      <c r="AF870">
        <v>0.90772480288560298</v>
      </c>
      <c r="AG870">
        <v>-1.1581669999999999</v>
      </c>
      <c r="AH870">
        <v>34.174355914891898</v>
      </c>
      <c r="AI870">
        <v>91.940324049915304</v>
      </c>
      <c r="AJ870">
        <v>88.478491462098106</v>
      </c>
      <c r="AK870">
        <v>34.206021652851803</v>
      </c>
      <c r="AL870">
        <v>83.509498510695295</v>
      </c>
      <c r="AM870">
        <v>88.146003861944095</v>
      </c>
      <c r="AN870">
        <v>1.00000002134665</v>
      </c>
    </row>
    <row r="871" spans="1:40" x14ac:dyDescent="0.25">
      <c r="A871" t="str">
        <f>"20190312164008833"</f>
        <v>20190312164008833</v>
      </c>
      <c r="B871" t="str">
        <f>"1552380008827435"</f>
        <v>1552380008827435</v>
      </c>
      <c r="C871" t="s">
        <v>40</v>
      </c>
      <c r="D871">
        <v>5.3533179999999998</v>
      </c>
      <c r="E871">
        <v>0.49924980000000002</v>
      </c>
      <c r="F871" t="s">
        <v>43</v>
      </c>
      <c r="G871">
        <v>-285.29390000000001</v>
      </c>
      <c r="H871">
        <v>-0.05</v>
      </c>
      <c r="I871">
        <v>366.82240000000002</v>
      </c>
      <c r="J871">
        <v>-319.42669999999998</v>
      </c>
      <c r="K871">
        <v>1.107531</v>
      </c>
      <c r="L871">
        <v>367.96089999999998</v>
      </c>
      <c r="M871">
        <v>0.99989600000000001</v>
      </c>
      <c r="N871">
        <v>0</v>
      </c>
      <c r="O871">
        <v>-8.2185219999999903E-3</v>
      </c>
      <c r="P871">
        <v>0.99405520000000003</v>
      </c>
      <c r="Q871">
        <v>0.1014562</v>
      </c>
      <c r="R871">
        <v>-3.9509790000000003E-2</v>
      </c>
      <c r="S871">
        <v>3.0246279999999999</v>
      </c>
      <c r="T871">
        <v>-0.1018565</v>
      </c>
      <c r="U871">
        <v>-0.10031130000000001</v>
      </c>
      <c r="V871">
        <v>3.1351219999999999E-2</v>
      </c>
      <c r="W871">
        <v>0.11323129999999999</v>
      </c>
      <c r="X871">
        <v>0.99307389999999995</v>
      </c>
      <c r="Y871">
        <v>2.4921450000000001E-2</v>
      </c>
      <c r="Z871">
        <v>-1.4277180000000001E-4</v>
      </c>
      <c r="AA871">
        <v>0.99968939999999995</v>
      </c>
      <c r="AB871">
        <v>35</v>
      </c>
      <c r="AC871">
        <v>34.132799999999897</v>
      </c>
      <c r="AD871">
        <v>-1.1575309999999901</v>
      </c>
      <c r="AE871">
        <v>-1.1384999999999601</v>
      </c>
      <c r="AF871">
        <v>0.85693624079731001</v>
      </c>
      <c r="AG871">
        <v>-1.1575309999999901</v>
      </c>
      <c r="AH871">
        <v>34.101828880094402</v>
      </c>
      <c r="AI871">
        <v>91.943452427806406</v>
      </c>
      <c r="AJ871">
        <v>88.560531769544795</v>
      </c>
      <c r="AK871">
        <v>34.132227450080002</v>
      </c>
      <c r="AL871">
        <v>83.498380354306406</v>
      </c>
      <c r="AM871">
        <v>88.191779904175704</v>
      </c>
      <c r="AN871">
        <v>0.99999999857819399</v>
      </c>
    </row>
    <row r="872" spans="1:40" x14ac:dyDescent="0.25">
      <c r="A872" t="str">
        <f>"20190312164008845"</f>
        <v>20190312164008845</v>
      </c>
      <c r="B872" t="str">
        <f>"1552380008837194"</f>
        <v>1552380008837194</v>
      </c>
      <c r="C872" t="s">
        <v>40</v>
      </c>
      <c r="D872">
        <v>5.3699149999999998</v>
      </c>
      <c r="E872">
        <v>0.499838</v>
      </c>
      <c r="F872" t="s">
        <v>43</v>
      </c>
      <c r="G872">
        <v>-286.2441</v>
      </c>
      <c r="H872">
        <v>-0.05</v>
      </c>
      <c r="I872">
        <v>366.93279999999999</v>
      </c>
      <c r="J872">
        <v>-319.22000000000003</v>
      </c>
      <c r="K872">
        <v>1.1069500000000001</v>
      </c>
      <c r="L872">
        <v>367.95920000000001</v>
      </c>
      <c r="M872">
        <v>0.99988509999999997</v>
      </c>
      <c r="N872">
        <v>0</v>
      </c>
      <c r="O872">
        <v>-8.2474560000000002E-3</v>
      </c>
      <c r="P872">
        <v>0.99415189999999998</v>
      </c>
      <c r="Q872">
        <v>0.1005822</v>
      </c>
      <c r="R872">
        <v>-3.9310299999999999E-2</v>
      </c>
      <c r="S872">
        <v>3.024994</v>
      </c>
      <c r="T872">
        <v>-0.10552300000000001</v>
      </c>
      <c r="U872">
        <v>-9.3719479999999994E-2</v>
      </c>
      <c r="V872">
        <v>3.1124490000000001E-2</v>
      </c>
      <c r="W872">
        <v>0.1132142</v>
      </c>
      <c r="X872">
        <v>0.99308300000000005</v>
      </c>
      <c r="Y872">
        <v>2.2712840000000002E-2</v>
      </c>
      <c r="Z872">
        <v>-1.083817E-4</v>
      </c>
      <c r="AA872">
        <v>0.99974200000000002</v>
      </c>
      <c r="AB872">
        <v>35</v>
      </c>
      <c r="AC872">
        <v>32.975900000000003</v>
      </c>
      <c r="AD872">
        <v>-1.1569499999999999</v>
      </c>
      <c r="AE872">
        <v>-1.02640000000002</v>
      </c>
      <c r="AF872">
        <v>0.75344925008616803</v>
      </c>
      <c r="AG872">
        <v>-1.1569499999999999</v>
      </c>
      <c r="AH872">
        <v>32.9427329691216</v>
      </c>
      <c r="AI872">
        <v>92.010877751351501</v>
      </c>
      <c r="AJ872">
        <v>88.689788818548294</v>
      </c>
      <c r="AK872">
        <v>32.971652590517898</v>
      </c>
      <c r="AL872">
        <v>83.499366572893194</v>
      </c>
      <c r="AM872">
        <v>88.204864686688396</v>
      </c>
      <c r="AN872">
        <v>1.00000001692419</v>
      </c>
    </row>
    <row r="873" spans="1:40" x14ac:dyDescent="0.25">
      <c r="A873" t="str">
        <f>"20190312164008865"</f>
        <v>20190312164008865</v>
      </c>
      <c r="B873" t="str">
        <f>"1552380008856715"</f>
        <v>1552380008856715</v>
      </c>
      <c r="C873" t="s">
        <v>40</v>
      </c>
      <c r="D873">
        <v>5.2063189999999997</v>
      </c>
      <c r="E873">
        <v>0.50020589999999998</v>
      </c>
      <c r="F873" t="s">
        <v>43</v>
      </c>
      <c r="G873">
        <v>-287.3426</v>
      </c>
      <c r="H873">
        <v>-0.05</v>
      </c>
      <c r="I873">
        <v>366.92970000000003</v>
      </c>
      <c r="J873">
        <v>-318.91649999999998</v>
      </c>
      <c r="K873">
        <v>1.10598</v>
      </c>
      <c r="L873">
        <v>367.95659999999998</v>
      </c>
      <c r="M873">
        <v>0.99986339999999996</v>
      </c>
      <c r="N873">
        <v>0</v>
      </c>
      <c r="O873">
        <v>-8.2995650000000001E-3</v>
      </c>
      <c r="P873">
        <v>0.99431309999999995</v>
      </c>
      <c r="Q873">
        <v>9.9219779999999994E-2</v>
      </c>
      <c r="R873">
        <v>-3.8691879999999998E-2</v>
      </c>
      <c r="S873">
        <v>3.024902</v>
      </c>
      <c r="T873">
        <v>-0.10978499999999999</v>
      </c>
      <c r="U873">
        <v>-9.7686770000000006E-2</v>
      </c>
      <c r="V873">
        <v>3.0456609999999999E-2</v>
      </c>
      <c r="W873">
        <v>0.11341370000000001</v>
      </c>
      <c r="X873">
        <v>0.99308090000000004</v>
      </c>
      <c r="Y873">
        <v>2.3969859999999999E-2</v>
      </c>
      <c r="Z873">
        <v>-1.3365870000000001E-4</v>
      </c>
      <c r="AA873">
        <v>0.99971259999999995</v>
      </c>
      <c r="AB873">
        <v>35</v>
      </c>
      <c r="AC873">
        <v>31.573899999999899</v>
      </c>
      <c r="AD873">
        <v>-1.15598</v>
      </c>
      <c r="AE873">
        <v>-1.02689999999995</v>
      </c>
      <c r="AF873">
        <v>0.76376552413492504</v>
      </c>
      <c r="AG873">
        <v>-1.15598</v>
      </c>
      <c r="AH873">
        <v>31.5391047096576</v>
      </c>
      <c r="AI873">
        <v>92.098466484334097</v>
      </c>
      <c r="AJ873">
        <v>88.612770076549694</v>
      </c>
      <c r="AK873">
        <v>31.569522540307801</v>
      </c>
      <c r="AL873">
        <v>83.487861680544299</v>
      </c>
      <c r="AM873">
        <v>88.243357205725104</v>
      </c>
      <c r="AN873">
        <v>0.99999997319259504</v>
      </c>
    </row>
    <row r="874" spans="1:40" x14ac:dyDescent="0.25">
      <c r="A874" t="str">
        <f>"20190312164008876"</f>
        <v>20190312164008876</v>
      </c>
      <c r="B874" t="str">
        <f>"1552380008867451"</f>
        <v>1552380008867451</v>
      </c>
      <c r="C874" t="s">
        <v>40</v>
      </c>
      <c r="D874">
        <v>5.4447140000000003</v>
      </c>
      <c r="E874">
        <v>0.50004599999999999</v>
      </c>
      <c r="F874" t="s">
        <v>43</v>
      </c>
      <c r="G874">
        <v>-287.99279999999999</v>
      </c>
      <c r="H874">
        <v>-0.05</v>
      </c>
      <c r="I874">
        <v>366.94380000000001</v>
      </c>
      <c r="J874">
        <v>-318.74430000000001</v>
      </c>
      <c r="K874">
        <v>1.1053789999999999</v>
      </c>
      <c r="L874">
        <v>367.95510000000002</v>
      </c>
      <c r="M874">
        <v>0.99984850000000003</v>
      </c>
      <c r="N874">
        <v>0</v>
      </c>
      <c r="O874">
        <v>-8.3344649999999992E-3</v>
      </c>
      <c r="P874">
        <v>0.99439849999999996</v>
      </c>
      <c r="Q874">
        <v>9.8429269999999999E-2</v>
      </c>
      <c r="R874">
        <v>-3.8513749999999999E-2</v>
      </c>
      <c r="S874">
        <v>3.0245669999999998</v>
      </c>
      <c r="T874">
        <v>-0.1130637</v>
      </c>
      <c r="U874">
        <v>-9.9060060000000005E-2</v>
      </c>
      <c r="V874">
        <v>3.024514E-2</v>
      </c>
      <c r="W874">
        <v>0.1136079</v>
      </c>
      <c r="X874">
        <v>0.99306519999999998</v>
      </c>
      <c r="Y874">
        <v>2.439096E-2</v>
      </c>
      <c r="Z874">
        <v>-1.4421949999999999E-4</v>
      </c>
      <c r="AA874">
        <v>0.99970250000000005</v>
      </c>
      <c r="AB874">
        <v>35</v>
      </c>
      <c r="AC874">
        <v>30.7515</v>
      </c>
      <c r="AD874">
        <v>-1.1553789999999999</v>
      </c>
      <c r="AE874">
        <v>-1.0113000000000001</v>
      </c>
      <c r="AF874">
        <v>0.75387460571384701</v>
      </c>
      <c r="AG874">
        <v>-1.1553789999999999</v>
      </c>
      <c r="AH874">
        <v>30.7155496148795</v>
      </c>
      <c r="AI874">
        <v>92.153542563748005</v>
      </c>
      <c r="AJ874">
        <v>88.594029291060195</v>
      </c>
      <c r="AK874">
        <v>30.746515504995202</v>
      </c>
      <c r="AL874">
        <v>83.476662680998103</v>
      </c>
      <c r="AM874">
        <v>88.255519014732997</v>
      </c>
      <c r="AN874">
        <v>1.00000000744353</v>
      </c>
    </row>
    <row r="875" spans="1:40" x14ac:dyDescent="0.25">
      <c r="A875" t="str">
        <f>"20190312164008887"</f>
        <v>20190312164008887</v>
      </c>
      <c r="B875" t="str">
        <f>"1552380008876632"</f>
        <v>1552380008876632</v>
      </c>
      <c r="C875" t="s">
        <v>40</v>
      </c>
      <c r="D875">
        <v>5.3101500000000001</v>
      </c>
      <c r="E875">
        <v>0.49991970000000002</v>
      </c>
      <c r="F875" t="s">
        <v>43</v>
      </c>
      <c r="G875">
        <v>-288.27359999999999</v>
      </c>
      <c r="H875">
        <v>-0.05</v>
      </c>
      <c r="I875">
        <v>366.97559999999999</v>
      </c>
      <c r="J875">
        <v>-318.58159999999998</v>
      </c>
      <c r="K875">
        <v>1.1046940000000001</v>
      </c>
      <c r="L875">
        <v>367.95370000000003</v>
      </c>
      <c r="M875">
        <v>0.99983610000000001</v>
      </c>
      <c r="N875">
        <v>0</v>
      </c>
      <c r="O875">
        <v>-8.3790779999999999E-3</v>
      </c>
      <c r="P875">
        <v>0.99447410000000003</v>
      </c>
      <c r="Q875">
        <v>9.7653610000000002E-2</v>
      </c>
      <c r="R875">
        <v>-3.8538900000000001E-2</v>
      </c>
      <c r="S875">
        <v>3.0245060000000001</v>
      </c>
      <c r="T875">
        <v>-0.1146824</v>
      </c>
      <c r="U875">
        <v>-9.7228999999999996E-2</v>
      </c>
      <c r="V875">
        <v>3.0226780000000002E-2</v>
      </c>
      <c r="W875">
        <v>0.1136037</v>
      </c>
      <c r="X875">
        <v>0.99306629999999996</v>
      </c>
      <c r="Y875">
        <v>2.3742490000000002E-2</v>
      </c>
      <c r="Z875">
        <v>-1.32306E-4</v>
      </c>
      <c r="AA875">
        <v>0.99971810000000005</v>
      </c>
      <c r="AB875">
        <v>35</v>
      </c>
      <c r="AC875">
        <v>30.308</v>
      </c>
      <c r="AD875">
        <v>-1.1546940000000001</v>
      </c>
      <c r="AE875">
        <v>-0.97810000000004005</v>
      </c>
      <c r="AF875">
        <v>0.72303145427114202</v>
      </c>
      <c r="AG875">
        <v>-1.1546940000000001</v>
      </c>
      <c r="AH875">
        <v>30.271239178292699</v>
      </c>
      <c r="AI875">
        <v>92.183861590717001</v>
      </c>
      <c r="AJ875">
        <v>88.6317449609964</v>
      </c>
      <c r="AK875">
        <v>30.301881362498001</v>
      </c>
      <c r="AL875">
        <v>83.4769052850761</v>
      </c>
      <c r="AM875">
        <v>88.256579260131403</v>
      </c>
      <c r="AN875">
        <v>1.00000006753927</v>
      </c>
    </row>
    <row r="876" spans="1:40" x14ac:dyDescent="0.25">
      <c r="A876" t="str">
        <f>"20190312164008909"</f>
        <v>20190312164008909</v>
      </c>
      <c r="B876" t="str">
        <f>"1552380008897131"</f>
        <v>1552380008897131</v>
      </c>
      <c r="C876" t="s">
        <v>40</v>
      </c>
      <c r="D876">
        <v>5.2499969999999996</v>
      </c>
      <c r="E876">
        <v>0.49972549999999999</v>
      </c>
      <c r="F876" t="s">
        <v>43</v>
      </c>
      <c r="G876">
        <v>-288.96949999999998</v>
      </c>
      <c r="H876">
        <v>-0.05</v>
      </c>
      <c r="I876">
        <v>367.01249999999999</v>
      </c>
      <c r="J876">
        <v>-318.24110000000002</v>
      </c>
      <c r="K876">
        <v>1.103094</v>
      </c>
      <c r="L876">
        <v>367.95080000000002</v>
      </c>
      <c r="M876">
        <v>0.99981180000000003</v>
      </c>
      <c r="N876">
        <v>0</v>
      </c>
      <c r="O876">
        <v>-8.4843049999999993E-3</v>
      </c>
      <c r="P876">
        <v>0.9945927</v>
      </c>
      <c r="Q876">
        <v>9.6608700000000006E-2</v>
      </c>
      <c r="R876">
        <v>-3.8104390000000002E-2</v>
      </c>
      <c r="S876">
        <v>3.0245359999999999</v>
      </c>
      <c r="T876">
        <v>-0.1179385</v>
      </c>
      <c r="U876">
        <v>-9.6130370000000007E-2</v>
      </c>
      <c r="V876">
        <v>2.9690350000000001E-2</v>
      </c>
      <c r="W876">
        <v>0.1139453</v>
      </c>
      <c r="X876">
        <v>0.99304329999999996</v>
      </c>
      <c r="Y876">
        <v>2.3273780000000001E-2</v>
      </c>
      <c r="Z876">
        <v>-1.228178E-4</v>
      </c>
      <c r="AA876">
        <v>0.99972910000000004</v>
      </c>
      <c r="AB876">
        <v>34</v>
      </c>
      <c r="AC876">
        <v>29.271599999999999</v>
      </c>
      <c r="AD876">
        <v>-1.1530940000000001</v>
      </c>
      <c r="AE876">
        <v>-0.938300000000026</v>
      </c>
      <c r="AF876">
        <v>0.68881142856871902</v>
      </c>
      <c r="AG876">
        <v>-1.1530940000000001</v>
      </c>
      <c r="AH876">
        <v>29.2331905812648</v>
      </c>
      <c r="AI876">
        <v>92.258216830406695</v>
      </c>
      <c r="AJ876">
        <v>88.6502093830224</v>
      </c>
      <c r="AK876">
        <v>29.264031139224599</v>
      </c>
      <c r="AL876">
        <v>83.4572048275963</v>
      </c>
      <c r="AM876">
        <v>88.287461249486995</v>
      </c>
      <c r="AN876">
        <v>1.00000002197505</v>
      </c>
    </row>
    <row r="877" spans="1:40" x14ac:dyDescent="0.25">
      <c r="A877" t="str">
        <f>"20190312164008920"</f>
        <v>20190312164008920</v>
      </c>
      <c r="B877" t="str">
        <f>"1552380008916648"</f>
        <v>1552380008916648</v>
      </c>
      <c r="C877" t="s">
        <v>40</v>
      </c>
      <c r="D877">
        <v>5.4433299999999996</v>
      </c>
      <c r="E877">
        <v>0.4997008</v>
      </c>
      <c r="F877" t="s">
        <v>43</v>
      </c>
      <c r="G877">
        <v>-290.76839999999999</v>
      </c>
      <c r="H877">
        <v>-0.05</v>
      </c>
      <c r="I877">
        <v>367.1096</v>
      </c>
      <c r="J877">
        <v>-318.06610000000001</v>
      </c>
      <c r="K877">
        <v>1.102177</v>
      </c>
      <c r="L877">
        <v>367.94929999999999</v>
      </c>
      <c r="M877">
        <v>0.99980069999999999</v>
      </c>
      <c r="N877">
        <v>0</v>
      </c>
      <c r="O877">
        <v>-8.5433260000000004E-3</v>
      </c>
      <c r="P877">
        <v>0.99466560000000004</v>
      </c>
      <c r="Q877">
        <v>9.5857910000000005E-2</v>
      </c>
      <c r="R877">
        <v>-3.8102509999999999E-2</v>
      </c>
      <c r="S877">
        <v>3.025055</v>
      </c>
      <c r="T877">
        <v>-0.12696840000000001</v>
      </c>
      <c r="U877">
        <v>-9.2620850000000005E-2</v>
      </c>
      <c r="V877">
        <v>2.9630790000000001E-2</v>
      </c>
      <c r="W877">
        <v>0.1137908</v>
      </c>
      <c r="X877">
        <v>0.99306280000000002</v>
      </c>
      <c r="Y877">
        <v>2.2049860000000001E-2</v>
      </c>
      <c r="Z877">
        <v>-1.04045E-4</v>
      </c>
      <c r="AA877">
        <v>0.99975689999999995</v>
      </c>
      <c r="AB877">
        <v>35</v>
      </c>
      <c r="AC877">
        <v>27.297699999999999</v>
      </c>
      <c r="AD877">
        <v>-1.152177</v>
      </c>
      <c r="AE877">
        <v>-0.83969999999999301</v>
      </c>
      <c r="AF877">
        <v>0.60534082566286196</v>
      </c>
      <c r="AG877">
        <v>-1.152177</v>
      </c>
      <c r="AH877">
        <v>27.255368858081901</v>
      </c>
      <c r="AI877">
        <v>92.420049829972896</v>
      </c>
      <c r="AJ877">
        <v>88.727671842304403</v>
      </c>
      <c r="AK877">
        <v>27.2864266796634</v>
      </c>
      <c r="AL877">
        <v>83.4661150130392</v>
      </c>
      <c r="AM877">
        <v>88.2909281698999</v>
      </c>
      <c r="AN877">
        <v>1.00000002731225</v>
      </c>
    </row>
    <row r="878" spans="1:40" x14ac:dyDescent="0.25">
      <c r="A878" t="str">
        <f>"20190312164008932"</f>
        <v>20190312164008932</v>
      </c>
      <c r="B878" t="str">
        <f>"1552380008927385"</f>
        <v>1552380008927385</v>
      </c>
      <c r="C878" t="s">
        <v>40</v>
      </c>
      <c r="D878">
        <v>5.535539</v>
      </c>
      <c r="E878">
        <v>0.49975579999999997</v>
      </c>
      <c r="F878" t="s">
        <v>43</v>
      </c>
      <c r="G878">
        <v>-291.43920000000003</v>
      </c>
      <c r="H878">
        <v>-0.05</v>
      </c>
      <c r="I878">
        <v>367.13240000000002</v>
      </c>
      <c r="J878">
        <v>-317.88799999999998</v>
      </c>
      <c r="K878">
        <v>1.101154</v>
      </c>
      <c r="L878">
        <v>367.9477</v>
      </c>
      <c r="M878">
        <v>0.99979050000000003</v>
      </c>
      <c r="N878">
        <v>0</v>
      </c>
      <c r="O878">
        <v>-8.6057459999999992E-3</v>
      </c>
      <c r="P878">
        <v>0.99472240000000001</v>
      </c>
      <c r="Q878">
        <v>9.5195340000000003E-2</v>
      </c>
      <c r="R878">
        <v>-3.8281309999999999E-2</v>
      </c>
      <c r="S878">
        <v>3.0251459999999999</v>
      </c>
      <c r="T878">
        <v>-0.13090170000000001</v>
      </c>
      <c r="U878">
        <v>-9.2803960000000005E-2</v>
      </c>
      <c r="V878">
        <v>2.9748879999999998E-2</v>
      </c>
      <c r="W878">
        <v>0.1136477</v>
      </c>
      <c r="X878">
        <v>0.99307559999999995</v>
      </c>
      <c r="Y878">
        <v>2.2046199999999998E-2</v>
      </c>
      <c r="Z878">
        <v>-1.0448E-4</v>
      </c>
      <c r="AA878">
        <v>0.99975689999999995</v>
      </c>
      <c r="AB878">
        <v>35</v>
      </c>
      <c r="AC878">
        <v>26.448799999999899</v>
      </c>
      <c r="AD878">
        <v>-1.151154</v>
      </c>
      <c r="AE878">
        <v>-0.81529999999997904</v>
      </c>
      <c r="AF878">
        <v>0.58650889784112703</v>
      </c>
      <c r="AG878">
        <v>-1.151154</v>
      </c>
      <c r="AH878">
        <v>26.404865773621101</v>
      </c>
      <c r="AI878">
        <v>92.495687490486802</v>
      </c>
      <c r="AJ878">
        <v>88.727546664071497</v>
      </c>
      <c r="AK878">
        <v>26.436453709639402</v>
      </c>
      <c r="AL878">
        <v>83.474367207701206</v>
      </c>
      <c r="AM878">
        <v>88.2841430337037</v>
      </c>
      <c r="AN878">
        <v>0.99999997144595099</v>
      </c>
    </row>
    <row r="879" spans="1:40" x14ac:dyDescent="0.25">
      <c r="A879" t="str">
        <f>"20190312164008943"</f>
        <v>20190312164008943</v>
      </c>
      <c r="B879" t="str">
        <f>"1552380008937144"</f>
        <v>1552380008937144</v>
      </c>
      <c r="C879" t="s">
        <v>40</v>
      </c>
      <c r="D879">
        <v>5.34558</v>
      </c>
      <c r="E879">
        <v>0.49980049999999998</v>
      </c>
      <c r="F879" t="s">
        <v>43</v>
      </c>
      <c r="G879">
        <v>-291.84359999999998</v>
      </c>
      <c r="H879">
        <v>-0.05</v>
      </c>
      <c r="I879">
        <v>367.1379</v>
      </c>
      <c r="J879">
        <v>-317.70429999999999</v>
      </c>
      <c r="K879">
        <v>1.1000490000000001</v>
      </c>
      <c r="L879">
        <v>367.9461</v>
      </c>
      <c r="M879">
        <v>0.99978080000000003</v>
      </c>
      <c r="N879">
        <v>0</v>
      </c>
      <c r="O879">
        <v>-8.6696080000000005E-3</v>
      </c>
      <c r="P879">
        <v>0.99476880000000001</v>
      </c>
      <c r="Q879">
        <v>9.4631809999999997E-2</v>
      </c>
      <c r="R879">
        <v>-3.8476400000000001E-2</v>
      </c>
      <c r="S879">
        <v>3.0250849999999998</v>
      </c>
      <c r="T879">
        <v>-0.13370760000000001</v>
      </c>
      <c r="U879">
        <v>-9.4055180000000002E-2</v>
      </c>
      <c r="V879">
        <v>2.9881720000000001E-2</v>
      </c>
      <c r="W879">
        <v>0.1135767</v>
      </c>
      <c r="X879">
        <v>0.99307979999999996</v>
      </c>
      <c r="Y879">
        <v>2.2395180000000001E-2</v>
      </c>
      <c r="Z879">
        <v>-1.116013E-4</v>
      </c>
      <c r="AA879">
        <v>0.9997492</v>
      </c>
      <c r="AB879">
        <v>35</v>
      </c>
      <c r="AC879">
        <v>25.860700000000001</v>
      </c>
      <c r="AD879">
        <v>-1.1500489999999901</v>
      </c>
      <c r="AE879">
        <v>-0.80819999999999903</v>
      </c>
      <c r="AF879">
        <v>0.58277535044384698</v>
      </c>
      <c r="AG879">
        <v>-1.1500489999999901</v>
      </c>
      <c r="AH879">
        <v>25.815730824496001</v>
      </c>
      <c r="AI879">
        <v>92.550098879951193</v>
      </c>
      <c r="AJ879">
        <v>88.706800208464799</v>
      </c>
      <c r="AK879">
        <v>25.847905095274601</v>
      </c>
      <c r="AL879">
        <v>83.478462145979293</v>
      </c>
      <c r="AM879">
        <v>88.276492979161404</v>
      </c>
      <c r="AN879">
        <v>1.0000000365705399</v>
      </c>
    </row>
    <row r="880" spans="1:40" x14ac:dyDescent="0.25">
      <c r="A880" t="str">
        <f>"20190312164008955"</f>
        <v>20190312164008955</v>
      </c>
      <c r="B880" t="str">
        <f>"1552380008946904"</f>
        <v>1552380008946904</v>
      </c>
      <c r="C880" t="s">
        <v>40</v>
      </c>
      <c r="D880">
        <v>5.9430750000000003</v>
      </c>
      <c r="E880">
        <v>0.49985760000000001</v>
      </c>
      <c r="F880" t="s">
        <v>43</v>
      </c>
      <c r="G880">
        <v>-292.10410000000002</v>
      </c>
      <c r="H880">
        <v>-0.05</v>
      </c>
      <c r="I880">
        <v>367.1429</v>
      </c>
      <c r="J880">
        <v>-317.52170000000001</v>
      </c>
      <c r="K880">
        <v>1.0989</v>
      </c>
      <c r="L880">
        <v>367.94450000000001</v>
      </c>
      <c r="M880">
        <v>0.99977159999999998</v>
      </c>
      <c r="N880">
        <v>0</v>
      </c>
      <c r="O880">
        <v>-8.7324250000000003E-3</v>
      </c>
      <c r="P880">
        <v>0.99481679999999995</v>
      </c>
      <c r="Q880">
        <v>9.4039919999999999E-2</v>
      </c>
      <c r="R880">
        <v>-3.8682800000000003E-2</v>
      </c>
      <c r="S880">
        <v>3.025055</v>
      </c>
      <c r="T880">
        <v>-0.13589609999999999</v>
      </c>
      <c r="U880">
        <v>-9.4909670000000002E-2</v>
      </c>
      <c r="V880">
        <v>3.0027229999999999E-2</v>
      </c>
      <c r="W880">
        <v>0.1134308</v>
      </c>
      <c r="X880">
        <v>0.99309210000000003</v>
      </c>
      <c r="Y880">
        <v>2.261413E-2</v>
      </c>
      <c r="Z880">
        <v>-1.1551769999999999E-4</v>
      </c>
      <c r="AA880">
        <v>0.99974419999999997</v>
      </c>
      <c r="AB880">
        <v>35</v>
      </c>
      <c r="AC880">
        <v>25.4176</v>
      </c>
      <c r="AD880">
        <v>-1.1489</v>
      </c>
      <c r="AE880">
        <v>-0.80160000000000697</v>
      </c>
      <c r="AF880">
        <v>0.57838935162470195</v>
      </c>
      <c r="AG880">
        <v>-1.1489</v>
      </c>
      <c r="AH880">
        <v>25.371845346472899</v>
      </c>
      <c r="AI880">
        <v>92.592051136464704</v>
      </c>
      <c r="AJ880">
        <v>88.694082772102007</v>
      </c>
      <c r="AK880">
        <v>25.404429569219001</v>
      </c>
      <c r="AL880">
        <v>83.4868760615865</v>
      </c>
      <c r="AM880">
        <v>88.268126842393698</v>
      </c>
      <c r="AN880">
        <v>1.00000005000626</v>
      </c>
    </row>
    <row r="881" spans="1:40" x14ac:dyDescent="0.25">
      <c r="A881" t="str">
        <f>"20190312164008965"</f>
        <v>20190312164008965</v>
      </c>
      <c r="B881" t="str">
        <f>"1552380008956664"</f>
        <v>1552380008956664</v>
      </c>
      <c r="C881" t="s">
        <v>40</v>
      </c>
      <c r="D881">
        <v>5.3143750000000001</v>
      </c>
      <c r="E881">
        <v>0.49985619999999997</v>
      </c>
      <c r="F881" t="s">
        <v>43</v>
      </c>
      <c r="G881">
        <v>-292.39949999999999</v>
      </c>
      <c r="H881">
        <v>-0.05</v>
      </c>
      <c r="I881">
        <v>367.14580000000001</v>
      </c>
      <c r="J881">
        <v>-317.37060000000002</v>
      </c>
      <c r="K881">
        <v>1.097888</v>
      </c>
      <c r="L881">
        <v>367.94310000000002</v>
      </c>
      <c r="M881">
        <v>0.99976509999999996</v>
      </c>
      <c r="N881">
        <v>0</v>
      </c>
      <c r="O881">
        <v>-8.7843550000000006E-3</v>
      </c>
      <c r="P881">
        <v>0.99484709999999998</v>
      </c>
      <c r="Q881">
        <v>9.3668719999999997E-2</v>
      </c>
      <c r="R881">
        <v>-3.8800550000000003E-2</v>
      </c>
      <c r="S881">
        <v>3.0249630000000001</v>
      </c>
      <c r="T881">
        <v>-0.1383392</v>
      </c>
      <c r="U881">
        <v>-9.6160889999999999E-2</v>
      </c>
      <c r="V881">
        <v>3.009531E-2</v>
      </c>
      <c r="W881">
        <v>0.11335729999999999</v>
      </c>
      <c r="X881">
        <v>0.99309840000000005</v>
      </c>
      <c r="Y881">
        <v>2.2975369999999998E-2</v>
      </c>
      <c r="Z881">
        <v>-1.234733E-4</v>
      </c>
      <c r="AA881">
        <v>0.99973599999999996</v>
      </c>
      <c r="AB881">
        <v>35</v>
      </c>
      <c r="AC881">
        <v>24.9711</v>
      </c>
      <c r="AD881">
        <v>-1.147888</v>
      </c>
      <c r="AE881">
        <v>-0.797300000000007</v>
      </c>
      <c r="AF881">
        <v>0.57665385206024999</v>
      </c>
      <c r="AG881">
        <v>-1.147888</v>
      </c>
      <c r="AH881">
        <v>24.924526479167799</v>
      </c>
      <c r="AI881">
        <v>92.636164007048706</v>
      </c>
      <c r="AJ881">
        <v>88.674641271255894</v>
      </c>
      <c r="AK881">
        <v>24.957607993082501</v>
      </c>
      <c r="AL881">
        <v>83.491114434391704</v>
      </c>
      <c r="AM881">
        <v>88.264213613213599</v>
      </c>
      <c r="AN881">
        <v>1.00000001861492</v>
      </c>
    </row>
    <row r="882" spans="1:40" x14ac:dyDescent="0.25">
      <c r="A882" t="str">
        <f>"20190312164008976"</f>
        <v>20190312164008976</v>
      </c>
      <c r="B882" t="str">
        <f>"1552380008967400"</f>
        <v>1552380008967400</v>
      </c>
      <c r="C882" t="s">
        <v>40</v>
      </c>
      <c r="D882">
        <v>5.3913830000000003</v>
      </c>
      <c r="E882">
        <v>0.50001790000000002</v>
      </c>
      <c r="F882" t="s">
        <v>43</v>
      </c>
      <c r="G882">
        <v>-292.50880000000001</v>
      </c>
      <c r="H882">
        <v>-0.05</v>
      </c>
      <c r="I882">
        <v>367.14920000000001</v>
      </c>
      <c r="J882">
        <v>-317.1968</v>
      </c>
      <c r="K882">
        <v>1.0966940000000001</v>
      </c>
      <c r="L882">
        <v>367.94159999999999</v>
      </c>
      <c r="M882">
        <v>0.99975820000000004</v>
      </c>
      <c r="N882">
        <v>0</v>
      </c>
      <c r="O882">
        <v>-8.8439580000000007E-3</v>
      </c>
      <c r="P882">
        <v>0.99486819999999998</v>
      </c>
      <c r="Q882">
        <v>9.3435069999999995E-2</v>
      </c>
      <c r="R882">
        <v>-3.8825829999999999E-2</v>
      </c>
      <c r="S882">
        <v>3.0249329999999999</v>
      </c>
      <c r="T882">
        <v>-0.1396637</v>
      </c>
      <c r="U882">
        <v>-9.6588129999999994E-2</v>
      </c>
      <c r="V882">
        <v>3.006379E-2</v>
      </c>
      <c r="W882">
        <v>0.11343830000000001</v>
      </c>
      <c r="X882">
        <v>0.99309009999999998</v>
      </c>
      <c r="Y882">
        <v>2.3056790000000001E-2</v>
      </c>
      <c r="Z882">
        <v>-1.2378080000000001E-4</v>
      </c>
      <c r="AA882">
        <v>0.99973420000000002</v>
      </c>
      <c r="AB882">
        <v>35</v>
      </c>
      <c r="AC882">
        <v>24.687999999999899</v>
      </c>
      <c r="AD882">
        <v>-1.1466940000000001</v>
      </c>
      <c r="AE882">
        <v>-0.792399999999986</v>
      </c>
      <c r="AF882">
        <v>0.57275074015579497</v>
      </c>
      <c r="AG882">
        <v>-1.1466940000000001</v>
      </c>
      <c r="AH882">
        <v>24.640938723302</v>
      </c>
      <c r="AI882">
        <v>92.663683337972898</v>
      </c>
      <c r="AJ882">
        <v>88.668464198676403</v>
      </c>
      <c r="AK882">
        <v>24.6742540253097</v>
      </c>
      <c r="AL882">
        <v>83.486443309835195</v>
      </c>
      <c r="AM882">
        <v>88.2660159768255</v>
      </c>
      <c r="AN882">
        <v>1.0000000130470299</v>
      </c>
    </row>
    <row r="883" spans="1:40" x14ac:dyDescent="0.25">
      <c r="A883" t="str">
        <f>"20190312164008989"</f>
        <v>20190312164008989</v>
      </c>
      <c r="B883" t="str">
        <f>"1552380008977160"</f>
        <v>1552380008977160</v>
      </c>
      <c r="C883" t="s">
        <v>40</v>
      </c>
      <c r="D883">
        <v>5.4716559999999896</v>
      </c>
      <c r="E883">
        <v>0.50037529999999997</v>
      </c>
      <c r="F883" t="s">
        <v>43</v>
      </c>
      <c r="G883">
        <v>-292.78660000000002</v>
      </c>
      <c r="H883">
        <v>-0.05</v>
      </c>
      <c r="I883">
        <v>367.1508</v>
      </c>
      <c r="J883">
        <v>-317.00310000000002</v>
      </c>
      <c r="K883">
        <v>1.0952809999999999</v>
      </c>
      <c r="L883">
        <v>367.93979999999999</v>
      </c>
      <c r="M883">
        <v>0.99975329999999996</v>
      </c>
      <c r="N883">
        <v>0</v>
      </c>
      <c r="O883">
        <v>-8.9112489999999996E-3</v>
      </c>
      <c r="P883">
        <v>0.99486079999999999</v>
      </c>
      <c r="Q883">
        <v>9.3447600000000006E-2</v>
      </c>
      <c r="R883">
        <v>-3.8981179999999997E-2</v>
      </c>
      <c r="S883">
        <v>3.0249630000000001</v>
      </c>
      <c r="T883">
        <v>-0.142100799999999</v>
      </c>
      <c r="U883">
        <v>-9.799194E-2</v>
      </c>
      <c r="V883">
        <v>3.015462E-2</v>
      </c>
      <c r="W883">
        <v>0.11367099999999999</v>
      </c>
      <c r="X883">
        <v>0.99306070000000002</v>
      </c>
      <c r="Y883">
        <v>2.3451710000000001E-2</v>
      </c>
      <c r="Z883">
        <v>-1.3204429999999999E-4</v>
      </c>
      <c r="AA883">
        <v>0.99972499999999997</v>
      </c>
      <c r="AB883">
        <v>35</v>
      </c>
      <c r="AC883">
        <v>24.2165</v>
      </c>
      <c r="AD883">
        <v>-1.145281</v>
      </c>
      <c r="AE883">
        <v>-0.78899999999998705</v>
      </c>
      <c r="AF883">
        <v>0.57184704575471401</v>
      </c>
      <c r="AG883">
        <v>-1.145281</v>
      </c>
      <c r="AH883">
        <v>24.168570766899599</v>
      </c>
      <c r="AI883">
        <v>92.712299280726697</v>
      </c>
      <c r="AJ883">
        <v>88.644590512800207</v>
      </c>
      <c r="AK883">
        <v>24.202448027572199</v>
      </c>
      <c r="AL883">
        <v>83.473023535871903</v>
      </c>
      <c r="AM883">
        <v>88.260728944557599</v>
      </c>
      <c r="AN883">
        <v>0.99999997561641696</v>
      </c>
    </row>
    <row r="884" spans="1:40" x14ac:dyDescent="0.25">
      <c r="A884" t="str">
        <f>"20190312164009001"</f>
        <v>20190312164009001</v>
      </c>
      <c r="B884" t="str">
        <f>"1552380008996680"</f>
        <v>1552380008996680</v>
      </c>
      <c r="C884" t="s">
        <v>40</v>
      </c>
      <c r="D884">
        <v>5.4217510000000004</v>
      </c>
      <c r="E884">
        <v>0.50058359999999902</v>
      </c>
      <c r="F884" t="s">
        <v>43</v>
      </c>
      <c r="G884">
        <v>-292.95710000000003</v>
      </c>
      <c r="H884">
        <v>-0.05</v>
      </c>
      <c r="I884">
        <v>367.13510000000002</v>
      </c>
      <c r="J884">
        <v>-316.80560000000003</v>
      </c>
      <c r="K884">
        <v>1.0938079999999999</v>
      </c>
      <c r="L884">
        <v>367.93799999999999</v>
      </c>
      <c r="M884">
        <v>0.9997492</v>
      </c>
      <c r="N884">
        <v>0</v>
      </c>
      <c r="O884">
        <v>-8.9802879999999995E-3</v>
      </c>
      <c r="P884">
        <v>0.99488589999999999</v>
      </c>
      <c r="Q884">
        <v>9.3118240000000005E-2</v>
      </c>
      <c r="R884">
        <v>-3.9128900000000001E-2</v>
      </c>
      <c r="S884">
        <v>3.025055</v>
      </c>
      <c r="T884">
        <v>-0.14407990000000001</v>
      </c>
      <c r="U884">
        <v>-0.10122680000000001</v>
      </c>
      <c r="V884">
        <v>3.0234799999999999E-2</v>
      </c>
      <c r="W884">
        <v>0.1135032</v>
      </c>
      <c r="X884">
        <v>0.99307749999999995</v>
      </c>
      <c r="Y884">
        <v>2.4448069999999999E-2</v>
      </c>
      <c r="Z884">
        <v>-1.5429570000000001E-4</v>
      </c>
      <c r="AA884">
        <v>0.99970110000000001</v>
      </c>
      <c r="AB884">
        <v>35</v>
      </c>
      <c r="AC884">
        <v>23.848500000000001</v>
      </c>
      <c r="AD884">
        <v>-1.1438079999999999</v>
      </c>
      <c r="AE884">
        <v>-0.80290000000002204</v>
      </c>
      <c r="AF884">
        <v>0.58730667662888203</v>
      </c>
      <c r="AG884">
        <v>-1.1438079999999999</v>
      </c>
      <c r="AH884">
        <v>23.800064468249801</v>
      </c>
      <c r="AI884">
        <v>92.750626468778407</v>
      </c>
      <c r="AJ884">
        <v>88.586417020519605</v>
      </c>
      <c r="AK884">
        <v>23.834770705130001</v>
      </c>
      <c r="AL884">
        <v>83.482700688461605</v>
      </c>
      <c r="AM884">
        <v>88.256136623518998</v>
      </c>
      <c r="AN884">
        <v>1.00000002027376</v>
      </c>
    </row>
    <row r="885" spans="1:40" x14ac:dyDescent="0.25">
      <c r="A885" t="str">
        <f>"20190312164009014"</f>
        <v>20190312164009014</v>
      </c>
      <c r="B885" t="str">
        <f>"1552380009007416"</f>
        <v>1552380009007416</v>
      </c>
      <c r="C885" t="s">
        <v>40</v>
      </c>
      <c r="D885">
        <v>5.3892509999999998</v>
      </c>
      <c r="E885">
        <v>0.50070550000000003</v>
      </c>
      <c r="F885" t="s">
        <v>43</v>
      </c>
      <c r="G885">
        <v>-293.92759999999998</v>
      </c>
      <c r="H885">
        <v>-0.05</v>
      </c>
      <c r="I885">
        <v>367.15940000000001</v>
      </c>
      <c r="J885">
        <v>-316.61360000000002</v>
      </c>
      <c r="K885">
        <v>1.0923080000000001</v>
      </c>
      <c r="L885">
        <v>367.93619999999999</v>
      </c>
      <c r="M885">
        <v>0.99974779999999996</v>
      </c>
      <c r="N885">
        <v>0</v>
      </c>
      <c r="O885">
        <v>-9.0489119999999992E-3</v>
      </c>
      <c r="P885">
        <v>0.99486200000000002</v>
      </c>
      <c r="Q885">
        <v>9.3251589999999995E-2</v>
      </c>
      <c r="R885">
        <v>-3.9421230000000002E-2</v>
      </c>
      <c r="S885">
        <v>3.0255130000000001</v>
      </c>
      <c r="T885">
        <v>-0.15126319999999999</v>
      </c>
      <c r="U885">
        <v>-0.1029663</v>
      </c>
      <c r="V885">
        <v>3.0459710000000001E-2</v>
      </c>
      <c r="W885">
        <v>0.1136828</v>
      </c>
      <c r="X885">
        <v>0.99304999999999999</v>
      </c>
      <c r="Y885">
        <v>2.4946179999999998E-2</v>
      </c>
      <c r="Z885">
        <v>-1.70965099999999E-4</v>
      </c>
      <c r="AA885">
        <v>0.99968880000000004</v>
      </c>
      <c r="AB885">
        <v>35</v>
      </c>
      <c r="AC885">
        <v>22.686</v>
      </c>
      <c r="AD885">
        <v>-1.1423080000000001</v>
      </c>
      <c r="AE885">
        <v>-0.77679999999997995</v>
      </c>
      <c r="AF885">
        <v>0.56999769651759902</v>
      </c>
      <c r="AG885">
        <v>-1.1423080000000001</v>
      </c>
      <c r="AH885">
        <v>22.634779917587501</v>
      </c>
      <c r="AI885">
        <v>92.888177298364496</v>
      </c>
      <c r="AJ885">
        <v>88.557460615647599</v>
      </c>
      <c r="AK885">
        <v>22.670752675165399</v>
      </c>
      <c r="AL885">
        <v>83.472342786070698</v>
      </c>
      <c r="AM885">
        <v>88.243123887930494</v>
      </c>
      <c r="AN885">
        <v>0.99999993772455997</v>
      </c>
    </row>
    <row r="886" spans="1:40" x14ac:dyDescent="0.25">
      <c r="A886" t="str">
        <f>"20190312164009033"</f>
        <v>20190312164009033</v>
      </c>
      <c r="B886" t="str">
        <f>"1552380009026937"</f>
        <v>1552380009026937</v>
      </c>
      <c r="C886" t="s">
        <v>40</v>
      </c>
      <c r="D886">
        <v>5.4562339999999896</v>
      </c>
      <c r="E886">
        <v>0.50120600000000004</v>
      </c>
      <c r="F886" t="s">
        <v>43</v>
      </c>
      <c r="G886">
        <v>-293.89069999999998</v>
      </c>
      <c r="H886">
        <v>-0.05</v>
      </c>
      <c r="I886">
        <v>367.14980000000003</v>
      </c>
      <c r="J886">
        <v>-316.30709999999999</v>
      </c>
      <c r="K886">
        <v>1.089853</v>
      </c>
      <c r="L886">
        <v>367.93329999999997</v>
      </c>
      <c r="M886">
        <v>0.99974689999999999</v>
      </c>
      <c r="N886">
        <v>0</v>
      </c>
      <c r="O886">
        <v>-9.1480180000000008E-3</v>
      </c>
      <c r="P886">
        <v>0.99488140000000003</v>
      </c>
      <c r="Q886">
        <v>9.3035259999999995E-2</v>
      </c>
      <c r="R886">
        <v>-3.9441879999999999E-2</v>
      </c>
      <c r="S886">
        <v>3.0255740000000002</v>
      </c>
      <c r="T886">
        <v>-0.1520995</v>
      </c>
      <c r="U886">
        <v>-0.1047058</v>
      </c>
      <c r="V886">
        <v>3.0382360000000001E-2</v>
      </c>
      <c r="W886">
        <v>0.11346340000000001</v>
      </c>
      <c r="X886">
        <v>0.99307749999999995</v>
      </c>
      <c r="Y886">
        <v>2.5419779999999999E-2</v>
      </c>
      <c r="Z886">
        <v>-1.7881939999999901E-4</v>
      </c>
      <c r="AA886">
        <v>0.99967680000000003</v>
      </c>
      <c r="AB886">
        <v>35</v>
      </c>
      <c r="AC886">
        <v>22.416399999999999</v>
      </c>
      <c r="AD886">
        <v>-1.139853</v>
      </c>
      <c r="AE886">
        <v>-0.78349999999994602</v>
      </c>
      <c r="AF886">
        <v>0.57686849489796499</v>
      </c>
      <c r="AG886">
        <v>-1.139853</v>
      </c>
      <c r="AH886">
        <v>22.364873923760101</v>
      </c>
      <c r="AI886">
        <v>92.916656208288501</v>
      </c>
      <c r="AJ886">
        <v>88.522468616900895</v>
      </c>
      <c r="AK886">
        <v>22.4013309369711</v>
      </c>
      <c r="AL886">
        <v>83.484995597773505</v>
      </c>
      <c r="AM886">
        <v>88.247631046223901</v>
      </c>
      <c r="AN886">
        <v>0.99999997597248902</v>
      </c>
    </row>
    <row r="887" spans="1:40" x14ac:dyDescent="0.25">
      <c r="A887" t="str">
        <f>"20190312164009048"</f>
        <v>20190312164009048</v>
      </c>
      <c r="B887" t="str">
        <f>"1552380009036695"</f>
        <v>1552380009036695</v>
      </c>
      <c r="C887" t="s">
        <v>40</v>
      </c>
      <c r="D887">
        <v>5.2307090000000001</v>
      </c>
      <c r="E887">
        <v>0.50107679999999999</v>
      </c>
      <c r="F887" t="s">
        <v>43</v>
      </c>
      <c r="G887">
        <v>-294.8381</v>
      </c>
      <c r="H887">
        <v>-0.05</v>
      </c>
      <c r="I887">
        <v>367.16379999999998</v>
      </c>
      <c r="J887">
        <v>-316.09829999999999</v>
      </c>
      <c r="K887">
        <v>1.0881529999999999</v>
      </c>
      <c r="L887">
        <v>367.93130000000002</v>
      </c>
      <c r="M887">
        <v>0.99974700000000005</v>
      </c>
      <c r="N887">
        <v>0</v>
      </c>
      <c r="O887">
        <v>-9.2142439999999999E-3</v>
      </c>
      <c r="P887">
        <v>0.99489209999999995</v>
      </c>
      <c r="Q887">
        <v>9.2956800000000006E-2</v>
      </c>
      <c r="R887">
        <v>-3.9355370000000001E-2</v>
      </c>
      <c r="S887">
        <v>3.026154</v>
      </c>
      <c r="T887">
        <v>-0.16066710000000001</v>
      </c>
      <c r="U887">
        <v>-0.1084595</v>
      </c>
      <c r="V887">
        <v>3.0229789999999999E-2</v>
      </c>
      <c r="W887">
        <v>0.113346</v>
      </c>
      <c r="X887">
        <v>0.99309559999999997</v>
      </c>
      <c r="Y887">
        <v>2.6581500000000001E-2</v>
      </c>
      <c r="Z887">
        <v>-2.1613399999999999E-4</v>
      </c>
      <c r="AA887">
        <v>0.99964660000000005</v>
      </c>
      <c r="AB887">
        <v>35</v>
      </c>
      <c r="AC887">
        <v>21.260200000000001</v>
      </c>
      <c r="AD887">
        <v>-1.138153</v>
      </c>
      <c r="AE887">
        <v>-0.76750000000004004</v>
      </c>
      <c r="AF887">
        <v>0.56989831472283003</v>
      </c>
      <c r="AG887">
        <v>-1.138153</v>
      </c>
      <c r="AH887">
        <v>21.205675477139</v>
      </c>
      <c r="AI887">
        <v>93.071129903369297</v>
      </c>
      <c r="AJ887">
        <v>88.460557862559298</v>
      </c>
      <c r="AK887">
        <v>21.2438426086776</v>
      </c>
      <c r="AL887">
        <v>83.491766042017801</v>
      </c>
      <c r="AM887">
        <v>88.256457167196899</v>
      </c>
      <c r="AN887">
        <v>1.0000000133294</v>
      </c>
    </row>
    <row r="888" spans="1:40" x14ac:dyDescent="0.25">
      <c r="A888" t="str">
        <f>"20190312164009066"</f>
        <v>20190312164009066</v>
      </c>
      <c r="B888" t="str">
        <f>"1552380009057192"</f>
        <v>1552380009057192</v>
      </c>
      <c r="C888" t="s">
        <v>40</v>
      </c>
      <c r="D888">
        <v>5.2328479999999997</v>
      </c>
      <c r="E888">
        <v>0.50093180000000004</v>
      </c>
      <c r="F888" t="s">
        <v>43</v>
      </c>
      <c r="G888">
        <v>-294.94810000000001</v>
      </c>
      <c r="H888">
        <v>-0.05</v>
      </c>
      <c r="I888">
        <v>367.18400000000003</v>
      </c>
      <c r="J888">
        <v>-315.79809999999998</v>
      </c>
      <c r="K888">
        <v>1.0856939999999999</v>
      </c>
      <c r="L888">
        <v>367.92840000000001</v>
      </c>
      <c r="M888">
        <v>0.99974850000000004</v>
      </c>
      <c r="N888">
        <v>0</v>
      </c>
      <c r="O888">
        <v>-9.3137270000000008E-3</v>
      </c>
      <c r="P888">
        <v>0.99488410000000005</v>
      </c>
      <c r="Q888">
        <v>9.3014730000000004E-2</v>
      </c>
      <c r="R888">
        <v>-3.942205E-2</v>
      </c>
      <c r="S888">
        <v>3.026367</v>
      </c>
      <c r="T888">
        <v>-0.1628571</v>
      </c>
      <c r="U888">
        <v>-0.1069336</v>
      </c>
      <c r="V888">
        <v>3.0196899999999999E-2</v>
      </c>
      <c r="W888">
        <v>0.1132915</v>
      </c>
      <c r="X888">
        <v>0.99310279999999995</v>
      </c>
      <c r="Y888">
        <v>2.597648E-2</v>
      </c>
      <c r="Z888">
        <v>-1.9745299999999999E-4</v>
      </c>
      <c r="AA888">
        <v>0.99966250000000001</v>
      </c>
      <c r="AB888">
        <v>35</v>
      </c>
      <c r="AC888">
        <v>20.849999999999898</v>
      </c>
      <c r="AD888">
        <v>-1.135694</v>
      </c>
      <c r="AE888">
        <v>-0.74439999999998396</v>
      </c>
      <c r="AF888">
        <v>0.54851073493519598</v>
      </c>
      <c r="AG888">
        <v>-1.135694</v>
      </c>
      <c r="AH888">
        <v>20.794412379169199</v>
      </c>
      <c r="AI888">
        <v>93.125038141992206</v>
      </c>
      <c r="AJ888">
        <v>88.489014083536802</v>
      </c>
      <c r="AK888">
        <v>20.832624680604201</v>
      </c>
      <c r="AL888">
        <v>83.494908780212498</v>
      </c>
      <c r="AM888">
        <v>88.258365591343093</v>
      </c>
      <c r="AN888">
        <v>0.99999999405484996</v>
      </c>
    </row>
    <row r="889" spans="1:40" x14ac:dyDescent="0.25">
      <c r="A889" t="str">
        <f>"20190312164009077"</f>
        <v>20190312164009077</v>
      </c>
      <c r="B889" t="str">
        <f>"1552380009066952"</f>
        <v>1552380009066952</v>
      </c>
      <c r="C889" t="s">
        <v>40</v>
      </c>
      <c r="D889">
        <v>5.3882260000000004</v>
      </c>
      <c r="E889">
        <v>0.50086079999999999</v>
      </c>
      <c r="F889" t="s">
        <v>43</v>
      </c>
      <c r="G889">
        <v>-294.61169999999998</v>
      </c>
      <c r="H889">
        <v>-0.05</v>
      </c>
      <c r="I889">
        <v>367.185</v>
      </c>
      <c r="J889">
        <v>-315.63049999999998</v>
      </c>
      <c r="K889">
        <v>1.0843259999999999</v>
      </c>
      <c r="L889">
        <v>367.92680000000001</v>
      </c>
      <c r="M889">
        <v>0.99974980000000002</v>
      </c>
      <c r="N889">
        <v>0</v>
      </c>
      <c r="O889">
        <v>-9.371842E-3</v>
      </c>
      <c r="P889">
        <v>0.99485610000000002</v>
      </c>
      <c r="Q889">
        <v>9.3251929999999997E-2</v>
      </c>
      <c r="R889">
        <v>-3.9567390000000001E-2</v>
      </c>
      <c r="S889">
        <v>3.026367</v>
      </c>
      <c r="T889">
        <v>-0.16222800000000001</v>
      </c>
      <c r="U889">
        <v>-0.1062012</v>
      </c>
      <c r="V889">
        <v>3.0284149999999999E-2</v>
      </c>
      <c r="W889">
        <v>0.11343739999999999</v>
      </c>
      <c r="X889">
        <v>0.99308350000000001</v>
      </c>
      <c r="Y889">
        <v>2.5677450000000001E-2</v>
      </c>
      <c r="Z889">
        <v>-1.8557400000000001E-4</v>
      </c>
      <c r="AA889">
        <v>0.99967030000000001</v>
      </c>
      <c r="AB889">
        <v>35</v>
      </c>
      <c r="AC889">
        <v>21.018799999999999</v>
      </c>
      <c r="AD889">
        <v>-1.1343259999999999</v>
      </c>
      <c r="AE889">
        <v>-0.74180000000001201</v>
      </c>
      <c r="AF889">
        <v>0.54316192589150303</v>
      </c>
      <c r="AG889">
        <v>-1.1343259999999999</v>
      </c>
      <c r="AH889">
        <v>20.9638495945755</v>
      </c>
      <c r="AI889">
        <v>93.096141120167701</v>
      </c>
      <c r="AJ889">
        <v>88.515829604992007</v>
      </c>
      <c r="AK889">
        <v>21.001540661960899</v>
      </c>
      <c r="AL889">
        <v>83.486495163096805</v>
      </c>
      <c r="AM889">
        <v>88.253302554438307</v>
      </c>
      <c r="AN889">
        <v>1.00000000571611</v>
      </c>
    </row>
    <row r="890" spans="1:40" x14ac:dyDescent="0.25">
      <c r="A890" t="str">
        <f>"20190312164009088"</f>
        <v>20190312164009088</v>
      </c>
      <c r="B890" t="str">
        <f>"1552380009076712"</f>
        <v>1552380009076712</v>
      </c>
      <c r="C890" t="s">
        <v>40</v>
      </c>
      <c r="D890">
        <v>5.3073399999999999</v>
      </c>
      <c r="E890">
        <v>0.50076030000000005</v>
      </c>
      <c r="F890" t="s">
        <v>43</v>
      </c>
      <c r="G890">
        <v>-294.3777</v>
      </c>
      <c r="H890">
        <v>-0.05</v>
      </c>
      <c r="I890">
        <v>367.18270000000001</v>
      </c>
      <c r="J890">
        <v>-315.46769999999998</v>
      </c>
      <c r="K890">
        <v>1.0830200000000001</v>
      </c>
      <c r="L890">
        <v>367.92520000000002</v>
      </c>
      <c r="M890">
        <v>0.99975230000000004</v>
      </c>
      <c r="N890">
        <v>0</v>
      </c>
      <c r="O890">
        <v>-9.4323500000000008E-3</v>
      </c>
      <c r="P890">
        <v>0.99482380000000004</v>
      </c>
      <c r="Q890">
        <v>9.362529E-2</v>
      </c>
      <c r="R890">
        <v>-3.9502849999999999E-2</v>
      </c>
      <c r="S890">
        <v>3.0264280000000001</v>
      </c>
      <c r="T890">
        <v>-0.16152920000000001</v>
      </c>
      <c r="U890">
        <v>-0.105957</v>
      </c>
      <c r="V890">
        <v>3.0158790000000001E-2</v>
      </c>
      <c r="W890">
        <v>0.1136615</v>
      </c>
      <c r="X890">
        <v>0.99306170000000005</v>
      </c>
      <c r="Y890">
        <v>2.5536219999999998E-2</v>
      </c>
      <c r="Z890">
        <v>-1.77782099999999E-4</v>
      </c>
      <c r="AA890">
        <v>0.9996739</v>
      </c>
      <c r="AB890">
        <v>35</v>
      </c>
      <c r="AC890">
        <v>21.0899999999999</v>
      </c>
      <c r="AD890">
        <v>-1.1330199999999999</v>
      </c>
      <c r="AE890">
        <v>-0.74250000000000604</v>
      </c>
      <c r="AF890">
        <v>0.54193607934557897</v>
      </c>
      <c r="AG890">
        <v>-1.1330199999999999</v>
      </c>
      <c r="AH890">
        <v>21.035429680631299</v>
      </c>
      <c r="AI890">
        <v>93.082091723801696</v>
      </c>
      <c r="AJ890">
        <v>88.524214454436603</v>
      </c>
      <c r="AK890">
        <v>21.0728908999994</v>
      </c>
      <c r="AL890">
        <v>83.473571652021604</v>
      </c>
      <c r="AM890">
        <v>88.260490323865</v>
      </c>
      <c r="AN890">
        <v>1.0000000146017001</v>
      </c>
    </row>
    <row r="891" spans="1:40" x14ac:dyDescent="0.25">
      <c r="A891" t="str">
        <f>"20190312164009099"</f>
        <v>20190312164009099</v>
      </c>
      <c r="B891" t="str">
        <f>"1552380009087448"</f>
        <v>1552380009087448</v>
      </c>
      <c r="C891" t="s">
        <v>40</v>
      </c>
      <c r="D891">
        <v>5.3496389999999998</v>
      </c>
      <c r="E891">
        <v>0.50066489999999997</v>
      </c>
      <c r="F891" t="s">
        <v>43</v>
      </c>
      <c r="G891">
        <v>-294.1302</v>
      </c>
      <c r="H891">
        <v>-0.05</v>
      </c>
      <c r="I891">
        <v>367.1859</v>
      </c>
      <c r="J891">
        <v>-315.29599999999999</v>
      </c>
      <c r="K891">
        <v>1.0816520000000001</v>
      </c>
      <c r="L891">
        <v>367.92349999999999</v>
      </c>
      <c r="M891">
        <v>0.99975499999999995</v>
      </c>
      <c r="N891">
        <v>0</v>
      </c>
      <c r="O891">
        <v>-9.4965050000000006E-3</v>
      </c>
      <c r="P891">
        <v>0.99477059999999995</v>
      </c>
      <c r="Q891">
        <v>9.4051090000000004E-2</v>
      </c>
      <c r="R891">
        <v>-3.9823200000000003E-2</v>
      </c>
      <c r="S891">
        <v>3.0265499999999999</v>
      </c>
      <c r="T891">
        <v>-0.16070989999999999</v>
      </c>
      <c r="U891">
        <v>-0.10485839999999901</v>
      </c>
      <c r="V891">
        <v>3.0415299999999999E-2</v>
      </c>
      <c r="W891">
        <v>0.1139201</v>
      </c>
      <c r="X891">
        <v>0.99302420000000002</v>
      </c>
      <c r="Y891">
        <v>2.510917E-2</v>
      </c>
      <c r="Z891">
        <v>-1.6214699999999999E-4</v>
      </c>
      <c r="AA891">
        <v>0.99968469999999998</v>
      </c>
      <c r="AB891">
        <v>35</v>
      </c>
      <c r="AC891">
        <v>21.165799999999901</v>
      </c>
      <c r="AD891">
        <v>-1.1316520000000001</v>
      </c>
      <c r="AE891">
        <v>-0.73759999999998604</v>
      </c>
      <c r="AF891">
        <v>0.534997912273382</v>
      </c>
      <c r="AG891">
        <v>-1.1316520000000001</v>
      </c>
      <c r="AH891">
        <v>21.111574450078301</v>
      </c>
      <c r="AI891">
        <v>93.067328760963804</v>
      </c>
      <c r="AJ891">
        <v>88.5483525484631</v>
      </c>
      <c r="AK891">
        <v>21.148650897313502</v>
      </c>
      <c r="AL891">
        <v>83.458657807795902</v>
      </c>
      <c r="AM891">
        <v>88.245638245832296</v>
      </c>
      <c r="AN891">
        <v>0.99999997072186897</v>
      </c>
    </row>
    <row r="892" spans="1:40" x14ac:dyDescent="0.25">
      <c r="A892" t="str">
        <f>"20190312164009110"</f>
        <v>20190312164009110</v>
      </c>
      <c r="B892" t="str">
        <f>"1552380009106968"</f>
        <v>1552380009106968</v>
      </c>
      <c r="C892" t="s">
        <v>40</v>
      </c>
      <c r="D892">
        <v>5.2005439999999998</v>
      </c>
      <c r="E892">
        <v>0.50052559999999902</v>
      </c>
      <c r="F892" t="s">
        <v>43</v>
      </c>
      <c r="G892">
        <v>-293.84609999999998</v>
      </c>
      <c r="H892">
        <v>-0.05</v>
      </c>
      <c r="I892">
        <v>367.17849999999999</v>
      </c>
      <c r="J892">
        <v>-315.11419999999998</v>
      </c>
      <c r="K892">
        <v>1.080249</v>
      </c>
      <c r="L892">
        <v>367.92169999999999</v>
      </c>
      <c r="M892">
        <v>0.99975899999999995</v>
      </c>
      <c r="N892">
        <v>0</v>
      </c>
      <c r="O892">
        <v>-9.5658689999999994E-3</v>
      </c>
      <c r="P892">
        <v>0.99474439999999997</v>
      </c>
      <c r="Q892">
        <v>9.4332920000000001E-2</v>
      </c>
      <c r="R892">
        <v>-3.9814240000000001E-2</v>
      </c>
      <c r="S892">
        <v>3.026672</v>
      </c>
      <c r="T892">
        <v>-0.15968080000000001</v>
      </c>
      <c r="U892">
        <v>-0.10513309999999999</v>
      </c>
      <c r="V892">
        <v>3.0337019999999999E-2</v>
      </c>
      <c r="W892">
        <v>0.113968899999999</v>
      </c>
      <c r="X892">
        <v>0.99302100000000004</v>
      </c>
      <c r="Y892">
        <v>2.512942E-2</v>
      </c>
      <c r="Z892">
        <v>-1.5798320000000001E-4</v>
      </c>
      <c r="AA892">
        <v>0.99968420000000002</v>
      </c>
      <c r="AB892">
        <v>35</v>
      </c>
      <c r="AC892">
        <v>21.2681</v>
      </c>
      <c r="AD892">
        <v>-1.1302490000000001</v>
      </c>
      <c r="AE892">
        <v>-0.74320000000000097</v>
      </c>
      <c r="AF892">
        <v>0.53816039263078597</v>
      </c>
      <c r="AG892">
        <v>-1.1302490000000001</v>
      </c>
      <c r="AH892">
        <v>21.214397263208198</v>
      </c>
      <c r="AI892">
        <v>93.048710791922204</v>
      </c>
      <c r="AJ892">
        <v>88.546849707692701</v>
      </c>
      <c r="AK892">
        <v>21.251299505004699</v>
      </c>
      <c r="AL892">
        <v>83.455843476739105</v>
      </c>
      <c r="AM892">
        <v>88.250145008783804</v>
      </c>
      <c r="AN892">
        <v>0.99999997569534504</v>
      </c>
    </row>
    <row r="893" spans="1:40" x14ac:dyDescent="0.25">
      <c r="A893" t="str">
        <f>"20190312164009134"</f>
        <v>20190312164009134</v>
      </c>
      <c r="B893" t="str">
        <f>"1552380009127464"</f>
        <v>1552380009127464</v>
      </c>
      <c r="C893" t="s">
        <v>40</v>
      </c>
      <c r="D893">
        <v>5.0937739999999998</v>
      </c>
      <c r="E893">
        <v>0.50011629999999996</v>
      </c>
      <c r="F893" t="s">
        <v>43</v>
      </c>
      <c r="G893">
        <v>-294.06869999999998</v>
      </c>
      <c r="H893">
        <v>-0.05</v>
      </c>
      <c r="I893">
        <v>367.19889999999998</v>
      </c>
      <c r="J893">
        <v>-314.76159999999999</v>
      </c>
      <c r="K893">
        <v>1.077636</v>
      </c>
      <c r="L893">
        <v>367.91820000000001</v>
      </c>
      <c r="M893">
        <v>0.99976779999999998</v>
      </c>
      <c r="N893">
        <v>0</v>
      </c>
      <c r="O893">
        <v>-9.6991400000000002E-3</v>
      </c>
      <c r="P893">
        <v>0.99466410000000005</v>
      </c>
      <c r="Q893">
        <v>9.5068299999999994E-2</v>
      </c>
      <c r="R893">
        <v>-4.0070990000000001E-2</v>
      </c>
      <c r="S893">
        <v>3.0271300000000001</v>
      </c>
      <c r="T893">
        <v>-0.16257199999999999</v>
      </c>
      <c r="U893">
        <v>-0.10397339999999999</v>
      </c>
      <c r="V893">
        <v>3.0461510000000001E-2</v>
      </c>
      <c r="W893">
        <v>0.1141911</v>
      </c>
      <c r="X893">
        <v>0.99299170000000003</v>
      </c>
      <c r="Y893">
        <v>2.4608649999999999E-2</v>
      </c>
      <c r="Z893">
        <v>-1.3970080000000001E-4</v>
      </c>
      <c r="AA893">
        <v>0.99969710000000001</v>
      </c>
      <c r="AB893">
        <v>35</v>
      </c>
      <c r="AC893">
        <v>20.692900000000002</v>
      </c>
      <c r="AD893">
        <v>-1.1276360000000001</v>
      </c>
      <c r="AE893">
        <v>-0.71930000000003202</v>
      </c>
      <c r="AF893">
        <v>0.51699225382988001</v>
      </c>
      <c r="AG893">
        <v>-1.1276360000000001</v>
      </c>
      <c r="AH893">
        <v>20.637692840743298</v>
      </c>
      <c r="AI893">
        <v>93.126531637910901</v>
      </c>
      <c r="AJ893">
        <v>88.564990744670297</v>
      </c>
      <c r="AK893">
        <v>20.674941589467299</v>
      </c>
      <c r="AL893">
        <v>83.443028943295701</v>
      </c>
      <c r="AM893">
        <v>88.242917041157995</v>
      </c>
      <c r="AN893">
        <v>1.00000001358979</v>
      </c>
    </row>
    <row r="894" spans="1:40" x14ac:dyDescent="0.25">
      <c r="A894" t="str">
        <f>"20190312164009146"</f>
        <v>20190312164009146</v>
      </c>
      <c r="B894" t="str">
        <f>"1552380009137224"</f>
        <v>1552380009137224</v>
      </c>
      <c r="C894" t="s">
        <v>40</v>
      </c>
      <c r="D894">
        <v>5.1765210000000002</v>
      </c>
      <c r="E894">
        <v>0.48188829999999999</v>
      </c>
      <c r="F894" t="s">
        <v>43</v>
      </c>
      <c r="G894">
        <v>-293.48329999999999</v>
      </c>
      <c r="H894">
        <v>-0.05</v>
      </c>
      <c r="I894">
        <v>367.20519999999999</v>
      </c>
      <c r="J894">
        <v>-314.57819999999998</v>
      </c>
      <c r="K894">
        <v>1.076363</v>
      </c>
      <c r="L894">
        <v>367.91640000000001</v>
      </c>
      <c r="M894">
        <v>0.99977280000000002</v>
      </c>
      <c r="N894">
        <v>0</v>
      </c>
      <c r="O894">
        <v>-9.7672809999999992E-3</v>
      </c>
      <c r="P894">
        <v>0.99464209999999997</v>
      </c>
      <c r="Q894">
        <v>9.5302170000000005E-2</v>
      </c>
      <c r="R894">
        <v>-4.0059949999999997E-2</v>
      </c>
      <c r="S894">
        <v>3.0273439999999998</v>
      </c>
      <c r="T894">
        <v>-0.1604332</v>
      </c>
      <c r="U894">
        <v>-0.1014404</v>
      </c>
      <c r="V894">
        <v>3.0382949999999999E-2</v>
      </c>
      <c r="W894">
        <v>0.1141267</v>
      </c>
      <c r="X894">
        <v>0.99300149999999998</v>
      </c>
      <c r="Y894">
        <v>2.3704579999999999E-2</v>
      </c>
      <c r="Z894">
        <v>-1.103206E-4</v>
      </c>
      <c r="AA894">
        <v>0.99971900000000002</v>
      </c>
      <c r="AB894">
        <v>35</v>
      </c>
      <c r="AC894">
        <v>21.094899999999999</v>
      </c>
      <c r="AD894">
        <v>-1.126363</v>
      </c>
      <c r="AE894">
        <v>-0.71120000000001904</v>
      </c>
      <c r="AF894">
        <v>0.50365495292540596</v>
      </c>
      <c r="AG894">
        <v>-1.126363</v>
      </c>
      <c r="AH894">
        <v>21.0409209362106</v>
      </c>
      <c r="AI894">
        <v>93.063358193799104</v>
      </c>
      <c r="AJ894">
        <v>88.628777057946294</v>
      </c>
      <c r="AK894">
        <v>21.077066109002001</v>
      </c>
      <c r="AL894">
        <v>83.4467430038586</v>
      </c>
      <c r="AM894">
        <v>88.247463000267501</v>
      </c>
      <c r="AN894">
        <v>1.0000000031529199</v>
      </c>
    </row>
    <row r="895" spans="1:40" x14ac:dyDescent="0.25">
      <c r="A895" t="str">
        <f>"20190312164009167"</f>
        <v>20190312164009167</v>
      </c>
      <c r="B895" t="str">
        <f>"1552380009156744"</f>
        <v>1552380009156744</v>
      </c>
      <c r="C895" t="s">
        <v>40</v>
      </c>
      <c r="D895">
        <v>5.132682</v>
      </c>
      <c r="E895">
        <v>0.48104639999999999</v>
      </c>
      <c r="F895" t="s">
        <v>43</v>
      </c>
      <c r="G895">
        <v>-285.75970000000001</v>
      </c>
      <c r="H895">
        <v>-0.05</v>
      </c>
      <c r="I895">
        <v>368.31959999999998</v>
      </c>
      <c r="J895">
        <v>-314.25540000000001</v>
      </c>
      <c r="K895">
        <v>1.0742510000000001</v>
      </c>
      <c r="L895">
        <v>367.91309999999999</v>
      </c>
      <c r="M895">
        <v>0.99978210000000001</v>
      </c>
      <c r="N895">
        <v>0</v>
      </c>
      <c r="O895">
        <v>-9.8850759999999996E-3</v>
      </c>
      <c r="P895">
        <v>0.99458829999999998</v>
      </c>
      <c r="Q895">
        <v>9.5860630000000002E-2</v>
      </c>
      <c r="R895">
        <v>-4.0063029999999999E-2</v>
      </c>
      <c r="S895">
        <v>3.0292050000000001</v>
      </c>
      <c r="T895">
        <v>-0.118395899999999</v>
      </c>
      <c r="U895">
        <v>4.2388919999999997E-2</v>
      </c>
      <c r="V895">
        <v>3.0269339999999999E-2</v>
      </c>
      <c r="W895">
        <v>0.11413520000000001</v>
      </c>
      <c r="X895">
        <v>0.993004</v>
      </c>
      <c r="Y895">
        <v>-2.3851379999999998E-2</v>
      </c>
      <c r="Z895">
        <v>8.5217020000000004E-4</v>
      </c>
      <c r="AA895">
        <v>0.99971509999999997</v>
      </c>
      <c r="AB895">
        <v>34</v>
      </c>
      <c r="AC895">
        <v>28.495699999999999</v>
      </c>
      <c r="AD895">
        <v>-1.1242509999999999</v>
      </c>
      <c r="AE895">
        <v>0.40649999999999398</v>
      </c>
      <c r="AF895">
        <v>-0.68714055123047701</v>
      </c>
      <c r="AG895">
        <v>-1.1242509999999999</v>
      </c>
      <c r="AH895">
        <v>28.446019172876401</v>
      </c>
      <c r="AI895">
        <v>92.262621484199002</v>
      </c>
      <c r="AJ895">
        <v>91.383764748079898</v>
      </c>
      <c r="AK895">
        <v>28.4765185588371</v>
      </c>
      <c r="AL895">
        <v>83.446252834346595</v>
      </c>
      <c r="AM895">
        <v>88.254016535411196</v>
      </c>
      <c r="AN895">
        <v>1.0000000104195299</v>
      </c>
    </row>
    <row r="896" spans="1:40" x14ac:dyDescent="0.25">
      <c r="A896" t="str">
        <f>"20190312164009179"</f>
        <v>20190312164009179</v>
      </c>
      <c r="B896" t="str">
        <f>"1552380009167480"</f>
        <v>1552380009167480</v>
      </c>
      <c r="C896" t="s">
        <v>40</v>
      </c>
      <c r="D896">
        <v>5.0475729999999999</v>
      </c>
      <c r="E896">
        <v>0.48137380000000002</v>
      </c>
      <c r="F896" t="s">
        <v>43</v>
      </c>
      <c r="G896">
        <v>-287.84570000000002</v>
      </c>
      <c r="H896">
        <v>-0.05</v>
      </c>
      <c r="I896">
        <v>368.34530000000001</v>
      </c>
      <c r="J896">
        <v>-314.06209999999999</v>
      </c>
      <c r="K896">
        <v>1.0730649999999999</v>
      </c>
      <c r="L896">
        <v>367.91120000000001</v>
      </c>
      <c r="M896">
        <v>0.9997876</v>
      </c>
      <c r="N896">
        <v>0</v>
      </c>
      <c r="O896">
        <v>-9.9545539999999991E-3</v>
      </c>
      <c r="P896">
        <v>0.99457189999999995</v>
      </c>
      <c r="Q896">
        <v>9.5990519999999996E-2</v>
      </c>
      <c r="R896">
        <v>-4.0164070000000003E-2</v>
      </c>
      <c r="S896">
        <v>3.0307309999999998</v>
      </c>
      <c r="T896">
        <v>-0.1290171</v>
      </c>
      <c r="U896">
        <v>4.9591059999999999E-2</v>
      </c>
      <c r="V896">
        <v>3.0301290000000002E-2</v>
      </c>
      <c r="W896">
        <v>0.11392919999999999</v>
      </c>
      <c r="X896">
        <v>0.99302670000000004</v>
      </c>
      <c r="Y896">
        <v>-2.6281769999999999E-2</v>
      </c>
      <c r="Z896">
        <v>9.8272589999999992E-4</v>
      </c>
      <c r="AA896">
        <v>0.99965409999999999</v>
      </c>
      <c r="AB896">
        <v>34</v>
      </c>
      <c r="AC896">
        <v>26.216399999999901</v>
      </c>
      <c r="AD896">
        <v>-1.123065</v>
      </c>
      <c r="AE896">
        <v>0.43409999999999999</v>
      </c>
      <c r="AF896">
        <v>-0.69382066569368395</v>
      </c>
      <c r="AG896">
        <v>-1.123065</v>
      </c>
      <c r="AH896">
        <v>26.162780043037301</v>
      </c>
      <c r="AI896">
        <v>92.457110137054201</v>
      </c>
      <c r="AJ896">
        <v>91.519092413722703</v>
      </c>
      <c r="AK896">
        <v>26.196063095257699</v>
      </c>
      <c r="AL896">
        <v>83.458133381297003</v>
      </c>
      <c r="AM896">
        <v>88.252214680785499</v>
      </c>
      <c r="AN896">
        <v>1.0000000288505899</v>
      </c>
    </row>
    <row r="897" spans="1:40" x14ac:dyDescent="0.25">
      <c r="A897" t="str">
        <f>"20190312164009190"</f>
        <v>20190312164009190</v>
      </c>
      <c r="B897" t="str">
        <f>"1552380009187001"</f>
        <v>1552380009187001</v>
      </c>
      <c r="C897" t="s">
        <v>40</v>
      </c>
      <c r="D897">
        <v>5.0897439999999996</v>
      </c>
      <c r="E897">
        <v>0.48153750000000001</v>
      </c>
      <c r="F897" t="s">
        <v>43</v>
      </c>
      <c r="G897">
        <v>-289.20920000000001</v>
      </c>
      <c r="H897">
        <v>-0.05</v>
      </c>
      <c r="I897">
        <v>368.29500000000002</v>
      </c>
      <c r="J897">
        <v>-313.8741</v>
      </c>
      <c r="K897">
        <v>1.072011</v>
      </c>
      <c r="L897">
        <v>367.9092</v>
      </c>
      <c r="M897">
        <v>0.99979260000000003</v>
      </c>
      <c r="N897">
        <v>0</v>
      </c>
      <c r="O897">
        <v>-1.0022029999999999E-2</v>
      </c>
      <c r="P897">
        <v>0.99455660000000001</v>
      </c>
      <c r="Q897">
        <v>9.6211179999999993E-2</v>
      </c>
      <c r="R897">
        <v>-4.0008799999999997E-2</v>
      </c>
      <c r="S897">
        <v>3.0314640000000002</v>
      </c>
      <c r="T897">
        <v>-0.1369871</v>
      </c>
      <c r="U897">
        <v>4.6813960000000002E-2</v>
      </c>
      <c r="V897">
        <v>3.0078819999999999E-2</v>
      </c>
      <c r="W897">
        <v>0.11382399999999999</v>
      </c>
      <c r="X897">
        <v>0.99304550000000003</v>
      </c>
      <c r="Y897">
        <v>-2.5426319999999999E-2</v>
      </c>
      <c r="Z897">
        <v>1.026856E-3</v>
      </c>
      <c r="AA897">
        <v>0.99967620000000001</v>
      </c>
      <c r="AB897">
        <v>34</v>
      </c>
      <c r="AC897">
        <v>24.6648999999999</v>
      </c>
      <c r="AD897">
        <v>-1.1220110000000001</v>
      </c>
      <c r="AE897">
        <v>0.38580000000001702</v>
      </c>
      <c r="AF897">
        <v>-0.63170493992530796</v>
      </c>
      <c r="AG897">
        <v>-1.1220110000000001</v>
      </c>
      <c r="AH897">
        <v>24.608881671816199</v>
      </c>
      <c r="AI897">
        <v>92.609662605623598</v>
      </c>
      <c r="AJ897">
        <v>91.470447974917903</v>
      </c>
      <c r="AK897">
        <v>24.642544855446602</v>
      </c>
      <c r="AL897">
        <v>83.464200185411499</v>
      </c>
      <c r="AM897">
        <v>88.265071755148298</v>
      </c>
      <c r="AN897">
        <v>1.0000000017294199</v>
      </c>
    </row>
    <row r="898" spans="1:40" x14ac:dyDescent="0.25">
      <c r="A898" t="str">
        <f>"20190312164009202"</f>
        <v>20190312164009202</v>
      </c>
      <c r="B898" t="str">
        <f>"1552380009197608"</f>
        <v>1552380009197608</v>
      </c>
      <c r="C898" t="s">
        <v>40</v>
      </c>
      <c r="D898">
        <v>5.0242680000000002</v>
      </c>
      <c r="E898">
        <v>0.48174149999999999</v>
      </c>
      <c r="F898" t="s">
        <v>43</v>
      </c>
      <c r="G898">
        <v>-288.92959999999999</v>
      </c>
      <c r="H898">
        <v>-0.05</v>
      </c>
      <c r="I898">
        <v>368.28989999999999</v>
      </c>
      <c r="J898">
        <v>-313.7097</v>
      </c>
      <c r="K898">
        <v>1.071129</v>
      </c>
      <c r="L898">
        <v>367.90750000000003</v>
      </c>
      <c r="M898">
        <v>0.99979700000000005</v>
      </c>
      <c r="N898">
        <v>0</v>
      </c>
      <c r="O898">
        <v>-1.008124E-2</v>
      </c>
      <c r="P898">
        <v>0.99448939999999997</v>
      </c>
      <c r="Q898">
        <v>9.6832879999999996E-2</v>
      </c>
      <c r="R898">
        <v>-4.017689E-2</v>
      </c>
      <c r="S898">
        <v>3.0314640000000002</v>
      </c>
      <c r="T898">
        <v>-0.13635610000000001</v>
      </c>
      <c r="U898">
        <v>4.6264649999999997E-2</v>
      </c>
      <c r="V898">
        <v>3.0188920000000001E-2</v>
      </c>
      <c r="W898">
        <v>0.11416320000000001</v>
      </c>
      <c r="X898">
        <v>0.99300319999999997</v>
      </c>
      <c r="Y898">
        <v>-2.5304759999999999E-2</v>
      </c>
      <c r="Z898">
        <v>1.0220610000000001E-3</v>
      </c>
      <c r="AA898">
        <v>0.99967930000000005</v>
      </c>
      <c r="AB898">
        <v>34</v>
      </c>
      <c r="AC898">
        <v>24.780100000000001</v>
      </c>
      <c r="AD898">
        <v>-1.121129</v>
      </c>
      <c r="AE898">
        <v>0.38239999999996099</v>
      </c>
      <c r="AF898">
        <v>-0.63094152649131197</v>
      </c>
      <c r="AG898">
        <v>-1.121129</v>
      </c>
      <c r="AH898">
        <v>24.7243874308841</v>
      </c>
      <c r="AI898">
        <v>92.595458628163101</v>
      </c>
      <c r="AJ898">
        <v>91.461813462544001</v>
      </c>
      <c r="AK898">
        <v>24.757834139458801</v>
      </c>
      <c r="AL898">
        <v>83.444637804747501</v>
      </c>
      <c r="AM898">
        <v>88.258651026549202</v>
      </c>
      <c r="AN898">
        <v>0.99999998116762301</v>
      </c>
    </row>
    <row r="899" spans="1:40" x14ac:dyDescent="0.25">
      <c r="A899" t="str">
        <f>"20190312164009213"</f>
        <v>20190312164009213</v>
      </c>
      <c r="B899" t="str">
        <f>"1552380009207369"</f>
        <v>1552380009207369</v>
      </c>
      <c r="C899" t="s">
        <v>40</v>
      </c>
      <c r="D899">
        <v>4.9794090000000004</v>
      </c>
      <c r="E899">
        <v>0.48175600000000002</v>
      </c>
      <c r="F899" t="s">
        <v>43</v>
      </c>
      <c r="G899">
        <v>-289.7978</v>
      </c>
      <c r="H899">
        <v>-0.05</v>
      </c>
      <c r="I899">
        <v>368.2593</v>
      </c>
      <c r="J899">
        <v>-313.54000000000002</v>
      </c>
      <c r="K899">
        <v>1.070276</v>
      </c>
      <c r="L899">
        <v>367.90570000000002</v>
      </c>
      <c r="M899">
        <v>0.9998013</v>
      </c>
      <c r="N899">
        <v>0</v>
      </c>
      <c r="O899">
        <v>-1.014224E-2</v>
      </c>
      <c r="P899">
        <v>0.99446579999999996</v>
      </c>
      <c r="Q899">
        <v>9.7081440000000005E-2</v>
      </c>
      <c r="R899">
        <v>-4.0162799999999999E-2</v>
      </c>
      <c r="S899">
        <v>3.0322879999999999</v>
      </c>
      <c r="T899">
        <v>-0.14217160000000001</v>
      </c>
      <c r="U899">
        <v>4.4616700000000002E-2</v>
      </c>
      <c r="V899">
        <v>3.011407E-2</v>
      </c>
      <c r="W899">
        <v>0.1141257</v>
      </c>
      <c r="X899">
        <v>0.99300980000000005</v>
      </c>
      <c r="Y899">
        <v>-2.4815770000000001E-2</v>
      </c>
      <c r="Z899">
        <v>1.056719E-3</v>
      </c>
      <c r="AA899">
        <v>0.99969149999999996</v>
      </c>
      <c r="AB899">
        <v>34</v>
      </c>
      <c r="AC899">
        <v>23.7422</v>
      </c>
      <c r="AD899">
        <v>-1.120276</v>
      </c>
      <c r="AE899">
        <v>0.35359999999997099</v>
      </c>
      <c r="AF899">
        <v>-0.59309617157865302</v>
      </c>
      <c r="AG899">
        <v>-1.120276</v>
      </c>
      <c r="AH899">
        <v>23.684671204169199</v>
      </c>
      <c r="AI899">
        <v>92.707202990170998</v>
      </c>
      <c r="AJ899">
        <v>91.434463955688798</v>
      </c>
      <c r="AK899">
        <v>23.7185672297995</v>
      </c>
      <c r="AL899">
        <v>83.446800640921893</v>
      </c>
      <c r="AM899">
        <v>88.262977393388098</v>
      </c>
      <c r="AN899">
        <v>0.99999999775424697</v>
      </c>
    </row>
    <row r="900" spans="1:40" x14ac:dyDescent="0.25">
      <c r="A900" t="str">
        <f>"20190312164009224"</f>
        <v>20190312164009224</v>
      </c>
      <c r="B900" t="str">
        <f>"1552380009217129"</f>
        <v>1552380009217129</v>
      </c>
      <c r="C900" t="s">
        <v>40</v>
      </c>
      <c r="D900">
        <v>5.1849759999999998</v>
      </c>
      <c r="E900">
        <v>0.48189579999999999</v>
      </c>
      <c r="F900" t="s">
        <v>43</v>
      </c>
      <c r="G900">
        <v>-290.54640000000001</v>
      </c>
      <c r="H900">
        <v>-0.05</v>
      </c>
      <c r="I900">
        <v>368.24770000000001</v>
      </c>
      <c r="J900">
        <v>-313.36529999999999</v>
      </c>
      <c r="K900">
        <v>1.0694539999999999</v>
      </c>
      <c r="L900">
        <v>367.90390000000002</v>
      </c>
      <c r="M900">
        <v>0.99980570000000002</v>
      </c>
      <c r="N900">
        <v>0</v>
      </c>
      <c r="O900">
        <v>-1.020543E-2</v>
      </c>
      <c r="P900">
        <v>0.99442459999999999</v>
      </c>
      <c r="Q900">
        <v>9.7505910000000001E-2</v>
      </c>
      <c r="R900">
        <v>-4.0153939999999999E-2</v>
      </c>
      <c r="S900">
        <v>3.0329280000000001</v>
      </c>
      <c r="T900">
        <v>-0.14776829999999999</v>
      </c>
      <c r="U900">
        <v>4.5104980000000003E-2</v>
      </c>
      <c r="V900">
        <v>3.0042639999999999E-2</v>
      </c>
      <c r="W900">
        <v>0.11426360000000001</v>
      </c>
      <c r="X900">
        <v>0.99299610000000005</v>
      </c>
      <c r="Y900">
        <v>-2.5033300000000001E-2</v>
      </c>
      <c r="Z900">
        <v>1.1064060000000001E-3</v>
      </c>
      <c r="AA900">
        <v>0.99968599999999996</v>
      </c>
      <c r="AB900">
        <v>34</v>
      </c>
      <c r="AC900">
        <v>22.8188999999999</v>
      </c>
      <c r="AD900">
        <v>-1.1194539999999999</v>
      </c>
      <c r="AE900">
        <v>0.343799999999987</v>
      </c>
      <c r="AF900">
        <v>-0.575307618766985</v>
      </c>
      <c r="AG900">
        <v>-1.1194539999999999</v>
      </c>
      <c r="AH900">
        <v>22.759439346749101</v>
      </c>
      <c r="AI900">
        <v>92.8150037694042</v>
      </c>
      <c r="AJ900">
        <v>91.448000541406799</v>
      </c>
      <c r="AK900">
        <v>22.7942149567094</v>
      </c>
      <c r="AL900">
        <v>83.438847492533</v>
      </c>
      <c r="AM900">
        <v>88.267071169068501</v>
      </c>
      <c r="AN900">
        <v>0.99999999255916905</v>
      </c>
    </row>
    <row r="901" spans="1:40" x14ac:dyDescent="0.25">
      <c r="A901" t="str">
        <f>"20190312164009236"</f>
        <v>20190312164009236</v>
      </c>
      <c r="B901" t="str">
        <f>"1552380009226888"</f>
        <v>1552380009226888</v>
      </c>
      <c r="C901" t="s">
        <v>40</v>
      </c>
      <c r="D901">
        <v>4.9504859999999997</v>
      </c>
      <c r="E901">
        <v>0.48160190000000003</v>
      </c>
      <c r="F901" t="s">
        <v>43</v>
      </c>
      <c r="G901">
        <v>-289.9597</v>
      </c>
      <c r="H901">
        <v>-0.05</v>
      </c>
      <c r="I901">
        <v>368.24110000000002</v>
      </c>
      <c r="J901">
        <v>-313.17520000000002</v>
      </c>
      <c r="K901">
        <v>1.0685990000000001</v>
      </c>
      <c r="L901">
        <v>367.90190000000001</v>
      </c>
      <c r="M901">
        <v>0.99981019999999998</v>
      </c>
      <c r="N901">
        <v>0</v>
      </c>
      <c r="O901">
        <v>-1.0274449999999999E-2</v>
      </c>
      <c r="P901">
        <v>0.99436219999999997</v>
      </c>
      <c r="Q901">
        <v>9.8153580000000004E-2</v>
      </c>
      <c r="R901">
        <v>-4.0125880000000003E-2</v>
      </c>
      <c r="S901">
        <v>3.0328059999999999</v>
      </c>
      <c r="T901">
        <v>-0.14505479999999901</v>
      </c>
      <c r="U901">
        <v>4.3701169999999998E-2</v>
      </c>
      <c r="V901">
        <v>2.994641E-2</v>
      </c>
      <c r="W901">
        <v>0.1146061</v>
      </c>
      <c r="X901">
        <v>0.99295960000000005</v>
      </c>
      <c r="Y901">
        <v>-2.4642109999999998E-2</v>
      </c>
      <c r="Z901">
        <v>1.080108E-3</v>
      </c>
      <c r="AA901">
        <v>0.99969580000000002</v>
      </c>
      <c r="AB901">
        <v>35</v>
      </c>
      <c r="AC901">
        <v>23.215499999999999</v>
      </c>
      <c r="AD901">
        <v>-1.1185989999999999</v>
      </c>
      <c r="AE901">
        <v>0.339200000000005</v>
      </c>
      <c r="AF901">
        <v>-0.57640336070263998</v>
      </c>
      <c r="AG901">
        <v>-1.1185989999999999</v>
      </c>
      <c r="AH901">
        <v>23.157038126065199</v>
      </c>
      <c r="AI901">
        <v>92.764663722140199</v>
      </c>
      <c r="AJ901">
        <v>91.425858598197706</v>
      </c>
      <c r="AK901">
        <v>23.191203490312201</v>
      </c>
      <c r="AL901">
        <v>83.419094343946199</v>
      </c>
      <c r="AM901">
        <v>88.272555111331798</v>
      </c>
      <c r="AN901">
        <v>1.00000005643062</v>
      </c>
    </row>
    <row r="902" spans="1:40" x14ac:dyDescent="0.25">
      <c r="A902" t="str">
        <f>"20190312164009257"</f>
        <v>20190312164009257</v>
      </c>
      <c r="B902" t="str">
        <f>"1552380009247384"</f>
        <v>1552380009247384</v>
      </c>
      <c r="C902" t="s">
        <v>40</v>
      </c>
      <c r="D902">
        <v>5.1338900000000001</v>
      </c>
      <c r="E902">
        <v>0.48174410000000001</v>
      </c>
      <c r="F902" t="s">
        <v>43</v>
      </c>
      <c r="G902">
        <v>-290.10399999999998</v>
      </c>
      <c r="H902">
        <v>-0.05</v>
      </c>
      <c r="I902">
        <v>368.25510000000003</v>
      </c>
      <c r="J902">
        <v>-312.87009999999998</v>
      </c>
      <c r="K902">
        <v>1.067385</v>
      </c>
      <c r="L902">
        <v>367.89859999999999</v>
      </c>
      <c r="M902">
        <v>0.99981660000000006</v>
      </c>
      <c r="N902">
        <v>0</v>
      </c>
      <c r="O902">
        <v>-1.038538E-2</v>
      </c>
      <c r="P902">
        <v>0.99428130000000003</v>
      </c>
      <c r="Q902">
        <v>9.8891510000000002E-2</v>
      </c>
      <c r="R902">
        <v>-4.0314570000000001E-2</v>
      </c>
      <c r="S902">
        <v>3.0333860000000001</v>
      </c>
      <c r="T902">
        <v>-0.147072799999999</v>
      </c>
      <c r="U902">
        <v>4.6447750000000003E-2</v>
      </c>
      <c r="V902">
        <v>3.0025199999999998E-2</v>
      </c>
      <c r="W902">
        <v>0.1148827</v>
      </c>
      <c r="X902">
        <v>0.99292519999999995</v>
      </c>
      <c r="Y902">
        <v>-2.565274E-2</v>
      </c>
      <c r="Z902">
        <v>1.124756E-3</v>
      </c>
      <c r="AA902">
        <v>0.99967030000000001</v>
      </c>
      <c r="AB902">
        <v>35</v>
      </c>
      <c r="AC902">
        <v>22.766099999999899</v>
      </c>
      <c r="AD902">
        <v>-1.1173850000000001</v>
      </c>
      <c r="AE902">
        <v>0.35650000000003901</v>
      </c>
      <c r="AF902">
        <v>-0.59152138427163203</v>
      </c>
      <c r="AG902">
        <v>-1.1173850000000001</v>
      </c>
      <c r="AH902">
        <v>22.706483599046202</v>
      </c>
      <c r="AI902">
        <v>92.816296076367195</v>
      </c>
      <c r="AJ902">
        <v>91.492261670712395</v>
      </c>
      <c r="AK902">
        <v>22.741654386170499</v>
      </c>
      <c r="AL902">
        <v>83.403140587575393</v>
      </c>
      <c r="AM902">
        <v>88.267952942700802</v>
      </c>
      <c r="AN902">
        <v>1.00000000009468</v>
      </c>
    </row>
    <row r="903" spans="1:40" x14ac:dyDescent="0.25">
      <c r="A903" t="str">
        <f>"20190312164009269"</f>
        <v>20190312164009269</v>
      </c>
      <c r="B903" t="str">
        <f>"1552380009257145"</f>
        <v>1552380009257145</v>
      </c>
      <c r="C903" t="s">
        <v>40</v>
      </c>
      <c r="D903">
        <v>5.0858790000000003</v>
      </c>
      <c r="E903">
        <v>0.48182839999999999</v>
      </c>
      <c r="F903" t="s">
        <v>43</v>
      </c>
      <c r="G903">
        <v>-289.66930000000002</v>
      </c>
      <c r="H903">
        <v>-0.05</v>
      </c>
      <c r="I903">
        <v>368.23910000000001</v>
      </c>
      <c r="J903">
        <v>-312.67540000000002</v>
      </c>
      <c r="K903">
        <v>1.0667009999999999</v>
      </c>
      <c r="L903">
        <v>367.8965</v>
      </c>
      <c r="M903">
        <v>0.99982020000000005</v>
      </c>
      <c r="N903">
        <v>0</v>
      </c>
      <c r="O903">
        <v>-1.045608E-2</v>
      </c>
      <c r="P903">
        <v>0.99423930000000005</v>
      </c>
      <c r="Q903">
        <v>9.9272079999999999E-2</v>
      </c>
      <c r="R903">
        <v>-4.041786E-2</v>
      </c>
      <c r="S903">
        <v>3.0335999999999999</v>
      </c>
      <c r="T903">
        <v>-0.14610229999999999</v>
      </c>
      <c r="U903">
        <v>4.4525149999999999E-2</v>
      </c>
      <c r="V903">
        <v>3.0058330000000001E-2</v>
      </c>
      <c r="W903">
        <v>0.1149888</v>
      </c>
      <c r="X903">
        <v>0.99291189999999996</v>
      </c>
      <c r="Y903">
        <v>-2.5090020000000001E-2</v>
      </c>
      <c r="Z903">
        <v>1.1071290000000001E-3</v>
      </c>
      <c r="AA903">
        <v>0.99968460000000003</v>
      </c>
      <c r="AB903">
        <v>35</v>
      </c>
      <c r="AC903">
        <v>23.0061</v>
      </c>
      <c r="AD903">
        <v>-1.1167009999999999</v>
      </c>
      <c r="AE903">
        <v>0.34260000000000401</v>
      </c>
      <c r="AF903">
        <v>-0.58179454866080205</v>
      </c>
      <c r="AG903">
        <v>-1.1167009999999999</v>
      </c>
      <c r="AH903">
        <v>22.947206136605502</v>
      </c>
      <c r="AI903">
        <v>92.785145730472706</v>
      </c>
      <c r="AJ903">
        <v>91.452343794267094</v>
      </c>
      <c r="AK903">
        <v>22.981726991157998</v>
      </c>
      <c r="AL903">
        <v>83.397020844963393</v>
      </c>
      <c r="AM903">
        <v>88.266019744737093</v>
      </c>
      <c r="AN903">
        <v>0.99999998424471903</v>
      </c>
    </row>
    <row r="904" spans="1:40" x14ac:dyDescent="0.25">
      <c r="A904" t="str">
        <f>"20190312164009281"</f>
        <v>20190312164009281</v>
      </c>
      <c r="B904" t="str">
        <f>"1552380009277641"</f>
        <v>1552380009277641</v>
      </c>
      <c r="C904" t="s">
        <v>40</v>
      </c>
      <c r="D904">
        <v>5.1831870000000002</v>
      </c>
      <c r="E904">
        <v>0.48176059999999998</v>
      </c>
      <c r="F904" t="s">
        <v>43</v>
      </c>
      <c r="G904">
        <v>-289.26159999999999</v>
      </c>
      <c r="H904">
        <v>-0.05</v>
      </c>
      <c r="I904">
        <v>368.23379999999997</v>
      </c>
      <c r="J904">
        <v>-312.4837</v>
      </c>
      <c r="K904">
        <v>1.066065</v>
      </c>
      <c r="L904">
        <v>367.89440000000002</v>
      </c>
      <c r="M904">
        <v>0.99982349999999998</v>
      </c>
      <c r="N904">
        <v>0</v>
      </c>
      <c r="O904">
        <v>-1.0525730000000001E-2</v>
      </c>
      <c r="P904">
        <v>0.99421250000000005</v>
      </c>
      <c r="Q904">
        <v>9.9552669999999996E-2</v>
      </c>
      <c r="R904">
        <v>-4.0382389999999997E-2</v>
      </c>
      <c r="S904">
        <v>3.03363</v>
      </c>
      <c r="T904">
        <v>-0.1446865</v>
      </c>
      <c r="U904">
        <v>4.3701169999999998E-2</v>
      </c>
      <c r="V904">
        <v>2.99537E-2</v>
      </c>
      <c r="W904">
        <v>0.11500730000000001</v>
      </c>
      <c r="X904">
        <v>0.99291289999999999</v>
      </c>
      <c r="Y904">
        <v>-2.4888939999999998E-2</v>
      </c>
      <c r="Z904">
        <v>1.0949289999999999E-3</v>
      </c>
      <c r="AA904">
        <v>0.99968959999999996</v>
      </c>
      <c r="AB904">
        <v>35</v>
      </c>
      <c r="AC904">
        <v>23.222100000000001</v>
      </c>
      <c r="AD904">
        <v>-1.1160649999999901</v>
      </c>
      <c r="AE904">
        <v>0.33939999999995502</v>
      </c>
      <c r="AF904">
        <v>-0.58249518635965902</v>
      </c>
      <c r="AG904">
        <v>-1.1160649999999901</v>
      </c>
      <c r="AH904">
        <v>23.163747989521099</v>
      </c>
      <c r="AI904">
        <v>92.757595113826895</v>
      </c>
      <c r="AJ904">
        <v>91.440504511734005</v>
      </c>
      <c r="AK904">
        <v>23.19793358574</v>
      </c>
      <c r="AL904">
        <v>83.395953666856599</v>
      </c>
      <c r="AM904">
        <v>88.272053627930504</v>
      </c>
      <c r="AN904">
        <v>0.99999996509169398</v>
      </c>
    </row>
    <row r="905" spans="1:40" x14ac:dyDescent="0.25">
      <c r="A905" t="str">
        <f>"20190312164009292"</f>
        <v>20190312164009292</v>
      </c>
      <c r="B905" t="str">
        <f>"1552380009287401"</f>
        <v>1552380009287401</v>
      </c>
      <c r="C905" t="s">
        <v>40</v>
      </c>
      <c r="D905">
        <v>5.0594039999999998</v>
      </c>
      <c r="E905">
        <v>0.48173759999999999</v>
      </c>
      <c r="F905" t="s">
        <v>43</v>
      </c>
      <c r="G905">
        <v>-288.9119</v>
      </c>
      <c r="H905">
        <v>-0.05</v>
      </c>
      <c r="I905">
        <v>368.23989999999998</v>
      </c>
      <c r="J905">
        <v>-312.31029999999998</v>
      </c>
      <c r="K905">
        <v>1.065542</v>
      </c>
      <c r="L905">
        <v>367.89249999999998</v>
      </c>
      <c r="M905">
        <v>0.9998264</v>
      </c>
      <c r="N905">
        <v>0</v>
      </c>
      <c r="O905">
        <v>-1.0588449999999999E-2</v>
      </c>
      <c r="P905">
        <v>0.99417250000000001</v>
      </c>
      <c r="Q905">
        <v>9.9922300000000006E-2</v>
      </c>
      <c r="R905">
        <v>-4.0456489999999998E-2</v>
      </c>
      <c r="S905">
        <v>3.03363</v>
      </c>
      <c r="T905">
        <v>-0.1436347</v>
      </c>
      <c r="U905">
        <v>4.4464110000000001E-2</v>
      </c>
      <c r="V905">
        <v>2.9965680000000001E-2</v>
      </c>
      <c r="W905">
        <v>0.1151532</v>
      </c>
      <c r="X905">
        <v>0.99289570000000005</v>
      </c>
      <c r="Y905">
        <v>-2.5203139999999999E-2</v>
      </c>
      <c r="Z905">
        <v>1.0973770000000001E-3</v>
      </c>
      <c r="AA905">
        <v>0.99968179999999995</v>
      </c>
      <c r="AB905">
        <v>35</v>
      </c>
      <c r="AC905">
        <v>23.398399999999899</v>
      </c>
      <c r="AD905">
        <v>-1.115542</v>
      </c>
      <c r="AE905">
        <v>0.34739999999999299</v>
      </c>
      <c r="AF905">
        <v>-0.59381299202590698</v>
      </c>
      <c r="AG905">
        <v>-1.115542</v>
      </c>
      <c r="AH905">
        <v>23.340368159827499</v>
      </c>
      <c r="AI905">
        <v>92.735458944231596</v>
      </c>
      <c r="AJ905">
        <v>91.457373774935306</v>
      </c>
      <c r="AK905">
        <v>23.374555261214098</v>
      </c>
      <c r="AL905">
        <v>83.387538775026201</v>
      </c>
      <c r="AM905">
        <v>88.271333026850101</v>
      </c>
      <c r="AN905">
        <v>1.0000000362632899</v>
      </c>
    </row>
    <row r="906" spans="1:40" x14ac:dyDescent="0.25">
      <c r="A906" t="str">
        <f>"20190312164009303"</f>
        <v>20190312164009303</v>
      </c>
      <c r="B906" t="str">
        <f>"1552380009297161"</f>
        <v>1552380009297161</v>
      </c>
      <c r="C906" t="s">
        <v>40</v>
      </c>
      <c r="D906">
        <v>5.1124029999999996</v>
      </c>
      <c r="E906">
        <v>0.48174220000000001</v>
      </c>
      <c r="F906" t="s">
        <v>43</v>
      </c>
      <c r="G906">
        <v>-288.50940000000003</v>
      </c>
      <c r="H906">
        <v>-0.05</v>
      </c>
      <c r="I906">
        <v>368.24259999999998</v>
      </c>
      <c r="J906">
        <v>-312.14589999999998</v>
      </c>
      <c r="K906">
        <v>1.0650820000000001</v>
      </c>
      <c r="L906">
        <v>367.89069999999998</v>
      </c>
      <c r="M906">
        <v>0.99982879999999996</v>
      </c>
      <c r="N906">
        <v>0</v>
      </c>
      <c r="O906">
        <v>-1.0647780000000001E-2</v>
      </c>
      <c r="P906">
        <v>0.99413320000000005</v>
      </c>
      <c r="Q906">
        <v>0.1002354</v>
      </c>
      <c r="R906">
        <v>-4.064715E-2</v>
      </c>
      <c r="S906">
        <v>3.0336910000000001</v>
      </c>
      <c r="T906">
        <v>-0.1421885</v>
      </c>
      <c r="U906">
        <v>4.4616700000000002E-2</v>
      </c>
      <c r="V906">
        <v>3.0097539999999999E-2</v>
      </c>
      <c r="W906">
        <v>0.11526359999999999</v>
      </c>
      <c r="X906">
        <v>0.99287890000000001</v>
      </c>
      <c r="Y906">
        <v>-2.5313019999999999E-2</v>
      </c>
      <c r="Z906">
        <v>1.0916700000000001E-3</v>
      </c>
      <c r="AA906">
        <v>0.99967899999999998</v>
      </c>
      <c r="AB906">
        <v>35</v>
      </c>
      <c r="AC906">
        <v>23.636499999999899</v>
      </c>
      <c r="AD906">
        <v>-1.1150819999999999</v>
      </c>
      <c r="AE906">
        <v>0.35189999999999999</v>
      </c>
      <c r="AF906">
        <v>-0.602245059700945</v>
      </c>
      <c r="AG906">
        <v>-1.1150819999999999</v>
      </c>
      <c r="AH906">
        <v>23.5789466814559</v>
      </c>
      <c r="AI906">
        <v>92.706700371384798</v>
      </c>
      <c r="AJ906">
        <v>91.463110286886803</v>
      </c>
      <c r="AK906">
        <v>23.612980192800698</v>
      </c>
      <c r="AL906">
        <v>83.381170909656305</v>
      </c>
      <c r="AM906">
        <v>88.263701542456005</v>
      </c>
      <c r="AN906">
        <v>1.0000000347321101</v>
      </c>
    </row>
    <row r="907" spans="1:40" x14ac:dyDescent="0.25">
      <c r="A907" t="str">
        <f>"20190312164009314"</f>
        <v>20190312164009314</v>
      </c>
      <c r="B907" t="str">
        <f>"1552380009306921"</f>
        <v>1552380009306921</v>
      </c>
      <c r="C907" t="s">
        <v>40</v>
      </c>
      <c r="D907">
        <v>4.9941500000000003</v>
      </c>
      <c r="E907">
        <v>0.48165720000000001</v>
      </c>
      <c r="F907" t="s">
        <v>43</v>
      </c>
      <c r="G907">
        <v>-288.07600000000002</v>
      </c>
      <c r="H907">
        <v>-0.05</v>
      </c>
      <c r="I907">
        <v>368.24079999999998</v>
      </c>
      <c r="J907">
        <v>-311.96949999999998</v>
      </c>
      <c r="K907">
        <v>1.0646180000000001</v>
      </c>
      <c r="L907">
        <v>367.8888</v>
      </c>
      <c r="M907">
        <v>0.99983129999999998</v>
      </c>
      <c r="N907">
        <v>0</v>
      </c>
      <c r="O907">
        <v>-1.0711389999999999E-2</v>
      </c>
      <c r="P907">
        <v>0.99409060000000005</v>
      </c>
      <c r="Q907">
        <v>0.1007034</v>
      </c>
      <c r="R907">
        <v>-4.0532510000000001E-2</v>
      </c>
      <c r="S907">
        <v>3.0336910000000001</v>
      </c>
      <c r="T907">
        <v>-0.140541</v>
      </c>
      <c r="U907">
        <v>4.4128420000000002E-2</v>
      </c>
      <c r="V907">
        <v>2.992015E-2</v>
      </c>
      <c r="W907">
        <v>0.115524</v>
      </c>
      <c r="X907">
        <v>0.99285389999999996</v>
      </c>
      <c r="Y907">
        <v>-2.5216659999999998E-2</v>
      </c>
      <c r="Z907">
        <v>1.0797479999999999E-3</v>
      </c>
      <c r="AA907">
        <v>0.99968140000000005</v>
      </c>
      <c r="AB907">
        <v>35</v>
      </c>
      <c r="AC907">
        <v>23.8935</v>
      </c>
      <c r="AD907">
        <v>-1.1146180000000001</v>
      </c>
      <c r="AE907">
        <v>0.351999999999975</v>
      </c>
      <c r="AF907">
        <v>-0.60662107025504097</v>
      </c>
      <c r="AG907">
        <v>-1.1146180000000001</v>
      </c>
      <c r="AH907">
        <v>23.836497145698502</v>
      </c>
      <c r="AI907">
        <v>92.676391362778105</v>
      </c>
      <c r="AJ907">
        <v>91.457820173972706</v>
      </c>
      <c r="AK907">
        <v>23.8702525873878</v>
      </c>
      <c r="AL907">
        <v>83.366150109573994</v>
      </c>
      <c r="AM907">
        <v>88.273885357953802</v>
      </c>
      <c r="AN907">
        <v>0.999999938348614</v>
      </c>
    </row>
    <row r="908" spans="1:40" x14ac:dyDescent="0.25">
      <c r="A908" t="str">
        <f>"20190312164009334"</f>
        <v>20190312164009334</v>
      </c>
      <c r="B908" t="str">
        <f>"1552380009327420"</f>
        <v>1552380009327420</v>
      </c>
      <c r="C908" t="s">
        <v>40</v>
      </c>
      <c r="D908">
        <v>4.8974190000000002</v>
      </c>
      <c r="E908">
        <v>0.48186309999999899</v>
      </c>
      <c r="F908" t="s">
        <v>43</v>
      </c>
      <c r="G908">
        <v>-288.17399999999998</v>
      </c>
      <c r="H908">
        <v>-0.05</v>
      </c>
      <c r="I908">
        <v>368.2414</v>
      </c>
      <c r="J908">
        <v>-311.6705</v>
      </c>
      <c r="K908">
        <v>1.063923</v>
      </c>
      <c r="L908">
        <v>367.88549999999998</v>
      </c>
      <c r="M908">
        <v>0.99983500000000003</v>
      </c>
      <c r="N908">
        <v>0</v>
      </c>
      <c r="O908">
        <v>-1.081871E-2</v>
      </c>
      <c r="P908">
        <v>0.99400809999999995</v>
      </c>
      <c r="Q908">
        <v>0.1014022</v>
      </c>
      <c r="R908">
        <v>-4.0813509999999997E-2</v>
      </c>
      <c r="S908">
        <v>3.0340579999999999</v>
      </c>
      <c r="T908">
        <v>-0.14211960000000001</v>
      </c>
      <c r="U908">
        <v>4.4952390000000002E-2</v>
      </c>
      <c r="V908">
        <v>3.0095070000000002E-2</v>
      </c>
      <c r="W908">
        <v>0.115895899999999</v>
      </c>
      <c r="X908">
        <v>0.99280539999999995</v>
      </c>
      <c r="Y908">
        <v>-2.5592199999999999E-2</v>
      </c>
      <c r="Z908">
        <v>1.1055419999999999E-3</v>
      </c>
      <c r="AA908">
        <v>0.99967189999999995</v>
      </c>
      <c r="AB908">
        <v>35</v>
      </c>
      <c r="AC908">
        <v>23.496499999999902</v>
      </c>
      <c r="AD908">
        <v>-1.113923</v>
      </c>
      <c r="AE908">
        <v>0.35590000000001898</v>
      </c>
      <c r="AF908">
        <v>-0.60874021078582397</v>
      </c>
      <c r="AG908">
        <v>-1.113923</v>
      </c>
      <c r="AH908">
        <v>23.438607103424498</v>
      </c>
      <c r="AI908">
        <v>92.7200265928942</v>
      </c>
      <c r="AJ908">
        <v>91.487733711801098</v>
      </c>
      <c r="AK908">
        <v>23.472956610594601</v>
      </c>
      <c r="AL908">
        <v>83.344698576839505</v>
      </c>
      <c r="AM908">
        <v>88.263715493660698</v>
      </c>
      <c r="AN908">
        <v>1.0000000675721299</v>
      </c>
    </row>
    <row r="909" spans="1:40" x14ac:dyDescent="0.25">
      <c r="A909" t="str">
        <f>"20190312164009345"</f>
        <v>20190312164009345</v>
      </c>
      <c r="B909" t="str">
        <f>"1552380009337177"</f>
        <v>1552380009337177</v>
      </c>
      <c r="C909" t="s">
        <v>40</v>
      </c>
      <c r="D909">
        <v>5.0137619999999998</v>
      </c>
      <c r="E909">
        <v>0.4818479</v>
      </c>
      <c r="F909" t="s">
        <v>43</v>
      </c>
      <c r="G909">
        <v>-287.96339999999998</v>
      </c>
      <c r="H909">
        <v>-0.05</v>
      </c>
      <c r="I909">
        <v>368.22050000000002</v>
      </c>
      <c r="J909">
        <v>-311.49419999999998</v>
      </c>
      <c r="K909">
        <v>1.063561</v>
      </c>
      <c r="L909">
        <v>367.88350000000003</v>
      </c>
      <c r="M909">
        <v>0.99983679999999997</v>
      </c>
      <c r="N909">
        <v>0</v>
      </c>
      <c r="O909">
        <v>-1.088164E-2</v>
      </c>
      <c r="P909">
        <v>0.99399870000000001</v>
      </c>
      <c r="Q909">
        <v>0.1015078</v>
      </c>
      <c r="R909">
        <v>-4.0775329999999999E-2</v>
      </c>
      <c r="S909">
        <v>3.0343930000000001</v>
      </c>
      <c r="T909">
        <v>-0.14257649999999999</v>
      </c>
      <c r="U909">
        <v>4.2877199999999997E-2</v>
      </c>
      <c r="V909">
        <v>2.9994529999999998E-2</v>
      </c>
      <c r="W909">
        <v>0.11582389999999999</v>
      </c>
      <c r="X909">
        <v>0.99281680000000005</v>
      </c>
      <c r="Y909">
        <v>-2.4970289999999999E-2</v>
      </c>
      <c r="Z909">
        <v>1.097326E-3</v>
      </c>
      <c r="AA909">
        <v>0.99968760000000001</v>
      </c>
      <c r="AB909">
        <v>35</v>
      </c>
      <c r="AC909">
        <v>23.530799999999999</v>
      </c>
      <c r="AD909">
        <v>-1.113561</v>
      </c>
      <c r="AE909">
        <v>0.33699999999998898</v>
      </c>
      <c r="AF909">
        <v>-0.59173543605243495</v>
      </c>
      <c r="AG909">
        <v>-1.113561</v>
      </c>
      <c r="AH909">
        <v>23.473181191236701</v>
      </c>
      <c r="AI909">
        <v>92.7151977710773</v>
      </c>
      <c r="AJ909">
        <v>91.444063487647199</v>
      </c>
      <c r="AK909">
        <v>23.507028824664999</v>
      </c>
      <c r="AL909">
        <v>83.348851544795494</v>
      </c>
      <c r="AM909">
        <v>88.269532305526596</v>
      </c>
      <c r="AN909">
        <v>1.0000000230016799</v>
      </c>
    </row>
    <row r="910" spans="1:40" x14ac:dyDescent="0.25">
      <c r="A910" t="str">
        <f>"20190312164009355"</f>
        <v>20190312164009355</v>
      </c>
      <c r="B910" t="str">
        <f>"1552380009346937"</f>
        <v>1552380009346937</v>
      </c>
      <c r="C910" t="s">
        <v>40</v>
      </c>
      <c r="D910">
        <v>5.1070529999999996</v>
      </c>
      <c r="E910">
        <v>0.4818479</v>
      </c>
      <c r="F910" t="s">
        <v>43</v>
      </c>
      <c r="G910">
        <v>-287.6952</v>
      </c>
      <c r="H910">
        <v>-0.05</v>
      </c>
      <c r="I910">
        <v>368.22210000000001</v>
      </c>
      <c r="J910">
        <v>-311.3288</v>
      </c>
      <c r="K910">
        <v>1.0632360000000001</v>
      </c>
      <c r="L910">
        <v>367.88170000000002</v>
      </c>
      <c r="M910">
        <v>0.99983860000000002</v>
      </c>
      <c r="N910">
        <v>0</v>
      </c>
      <c r="O910">
        <v>-1.094066E-2</v>
      </c>
      <c r="P910">
        <v>0.99394459999999996</v>
      </c>
      <c r="Q910">
        <v>0.1019837</v>
      </c>
      <c r="R910">
        <v>-4.091351E-2</v>
      </c>
      <c r="S910">
        <v>3.0343629999999999</v>
      </c>
      <c r="T910">
        <v>-0.14197850000000001</v>
      </c>
      <c r="U910">
        <v>4.3182369999999998E-2</v>
      </c>
      <c r="V910">
        <v>3.007454E-2</v>
      </c>
      <c r="W910">
        <v>0.1161383</v>
      </c>
      <c r="X910">
        <v>0.99277760000000004</v>
      </c>
      <c r="Y910">
        <v>-2.5130030000000001E-2</v>
      </c>
      <c r="Z910">
        <v>1.099233E-3</v>
      </c>
      <c r="AA910">
        <v>0.99968360000000001</v>
      </c>
      <c r="AB910">
        <v>35</v>
      </c>
      <c r="AC910">
        <v>23.633600000000001</v>
      </c>
      <c r="AD910">
        <v>-1.1132359999999999</v>
      </c>
      <c r="AE910">
        <v>0.34039999999998799</v>
      </c>
      <c r="AF910">
        <v>-0.59764728892113705</v>
      </c>
      <c r="AG910">
        <v>-1.1132359999999999</v>
      </c>
      <c r="AH910">
        <v>23.576161120739499</v>
      </c>
      <c r="AI910">
        <v>92.702558094760903</v>
      </c>
      <c r="AJ910">
        <v>91.452116615336493</v>
      </c>
      <c r="AK910">
        <v>23.6099947027677</v>
      </c>
      <c r="AL910">
        <v>83.330715022720298</v>
      </c>
      <c r="AM910">
        <v>88.264850656246097</v>
      </c>
      <c r="AN910">
        <v>0.99999997287243003</v>
      </c>
    </row>
    <row r="911" spans="1:40" x14ac:dyDescent="0.25">
      <c r="A911" t="str">
        <f>"20190312164009367"</f>
        <v>20190312164009367</v>
      </c>
      <c r="B911" t="str">
        <f>"1552380009356696"</f>
        <v>1552380009356696</v>
      </c>
      <c r="C911" t="s">
        <v>40</v>
      </c>
      <c r="D911">
        <v>5.0414490000000001</v>
      </c>
      <c r="E911">
        <v>0.48175590000000001</v>
      </c>
      <c r="F911" t="s">
        <v>43</v>
      </c>
      <c r="G911">
        <v>-287.28919999999999</v>
      </c>
      <c r="H911">
        <v>-0.05</v>
      </c>
      <c r="I911">
        <v>368.22199999999998</v>
      </c>
      <c r="J911">
        <v>-311.15890000000002</v>
      </c>
      <c r="K911">
        <v>1.06294</v>
      </c>
      <c r="L911">
        <v>367.87970000000001</v>
      </c>
      <c r="M911">
        <v>0.99984010000000001</v>
      </c>
      <c r="N911">
        <v>0</v>
      </c>
      <c r="O911">
        <v>-1.100142E-2</v>
      </c>
      <c r="P911">
        <v>0.99392000000000003</v>
      </c>
      <c r="Q911">
        <v>0.1022517</v>
      </c>
      <c r="R911">
        <v>-4.0841870000000002E-2</v>
      </c>
      <c r="S911">
        <v>3.0344540000000002</v>
      </c>
      <c r="T911">
        <v>-0.1405206</v>
      </c>
      <c r="U911">
        <v>4.296875E-2</v>
      </c>
      <c r="V911">
        <v>2.9942719999999999E-2</v>
      </c>
      <c r="W911">
        <v>0.11625389999999999</v>
      </c>
      <c r="X911">
        <v>0.99276810000000004</v>
      </c>
      <c r="Y911">
        <v>-2.5120719999999999E-2</v>
      </c>
      <c r="Z911">
        <v>1.0905209999999999E-3</v>
      </c>
      <c r="AA911">
        <v>0.99968389999999996</v>
      </c>
      <c r="AB911">
        <v>35</v>
      </c>
      <c r="AC911">
        <v>23.869700000000002</v>
      </c>
      <c r="AD911">
        <v>-1.11294</v>
      </c>
      <c r="AE911">
        <v>0.34229999999996602</v>
      </c>
      <c r="AF911">
        <v>-0.60359406105081703</v>
      </c>
      <c r="AG911">
        <v>-1.11294</v>
      </c>
      <c r="AH911">
        <v>23.812731970399501</v>
      </c>
      <c r="AI911">
        <v>92.675038094135402</v>
      </c>
      <c r="AJ911">
        <v>91.451995871485906</v>
      </c>
      <c r="AK911">
        <v>23.846365868371301</v>
      </c>
      <c r="AL911">
        <v>83.324046762575605</v>
      </c>
      <c r="AM911">
        <v>88.272434865773704</v>
      </c>
      <c r="AN911">
        <v>1.0000000180619</v>
      </c>
    </row>
    <row r="912" spans="1:40" x14ac:dyDescent="0.25">
      <c r="A912" t="str">
        <f>"20190312164009379"</f>
        <v>20190312164009379</v>
      </c>
      <c r="B912" t="str">
        <f>"1552380009367433"</f>
        <v>1552380009367433</v>
      </c>
      <c r="C912" t="s">
        <v>40</v>
      </c>
      <c r="D912">
        <v>5.0732089999999896</v>
      </c>
      <c r="E912">
        <v>0.48176279999999999</v>
      </c>
      <c r="F912" t="s">
        <v>43</v>
      </c>
      <c r="G912">
        <v>-287.42680000000001</v>
      </c>
      <c r="H912">
        <v>-0.05</v>
      </c>
      <c r="I912">
        <v>368.22359999999998</v>
      </c>
      <c r="J912">
        <v>-310.98390000000001</v>
      </c>
      <c r="K912">
        <v>1.062648</v>
      </c>
      <c r="L912">
        <v>367.8777</v>
      </c>
      <c r="M912">
        <v>0.9998416</v>
      </c>
      <c r="N912">
        <v>0</v>
      </c>
      <c r="O912">
        <v>-1.106409E-2</v>
      </c>
      <c r="P912">
        <v>0.99388460000000001</v>
      </c>
      <c r="Q912">
        <v>0.102517</v>
      </c>
      <c r="R912">
        <v>-4.1038829999999998E-2</v>
      </c>
      <c r="S912">
        <v>3.0347900000000001</v>
      </c>
      <c r="T912">
        <v>-0.14231969999999999</v>
      </c>
      <c r="U912">
        <v>4.397583E-2</v>
      </c>
      <c r="V912">
        <v>3.0077509999999998E-2</v>
      </c>
      <c r="W912">
        <v>0.1163657</v>
      </c>
      <c r="X912">
        <v>0.99275089999999999</v>
      </c>
      <c r="Y912">
        <v>-2.551198E-2</v>
      </c>
      <c r="Z912">
        <v>1.116449E-3</v>
      </c>
      <c r="AA912">
        <v>0.9996739</v>
      </c>
      <c r="AB912">
        <v>35</v>
      </c>
      <c r="AC912">
        <v>23.557099999999899</v>
      </c>
      <c r="AD912">
        <v>-1.1126479999999901</v>
      </c>
      <c r="AE912">
        <v>0.34589999999997101</v>
      </c>
      <c r="AF912">
        <v>-0.60519222394149197</v>
      </c>
      <c r="AG912">
        <v>-1.1126479999999901</v>
      </c>
      <c r="AH912">
        <v>23.4994178099608</v>
      </c>
      <c r="AI912">
        <v>92.709912947255802</v>
      </c>
      <c r="AJ912">
        <v>91.4752406882683</v>
      </c>
      <c r="AK912">
        <v>23.5335267354242</v>
      </c>
      <c r="AL912">
        <v>83.317597141072</v>
      </c>
      <c r="AM912">
        <v>88.264632764135598</v>
      </c>
      <c r="AN912">
        <v>0.99999999109755</v>
      </c>
    </row>
    <row r="913" spans="1:40" x14ac:dyDescent="0.25">
      <c r="A913" t="str">
        <f>"20190312164009389"</f>
        <v>20190312164009389</v>
      </c>
      <c r="B913" t="str">
        <f>"1552380009377193"</f>
        <v>1552380009377193</v>
      </c>
      <c r="C913" t="s">
        <v>40</v>
      </c>
      <c r="D913">
        <v>5.1015420000000002</v>
      </c>
      <c r="E913">
        <v>0.48175119999999999</v>
      </c>
      <c r="F913" t="s">
        <v>43</v>
      </c>
      <c r="G913">
        <v>-287.43349999999998</v>
      </c>
      <c r="H913">
        <v>-0.05</v>
      </c>
      <c r="I913">
        <v>368.21730000000002</v>
      </c>
      <c r="J913">
        <v>-310.81029999999998</v>
      </c>
      <c r="K913">
        <v>1.062395</v>
      </c>
      <c r="L913">
        <v>367.87569999999999</v>
      </c>
      <c r="M913">
        <v>0.99984289999999998</v>
      </c>
      <c r="N913">
        <v>0</v>
      </c>
      <c r="O913">
        <v>-1.112629E-2</v>
      </c>
      <c r="P913">
        <v>0.99385570000000001</v>
      </c>
      <c r="Q913">
        <v>0.10282189999999999</v>
      </c>
      <c r="R913">
        <v>-4.0976140000000001E-2</v>
      </c>
      <c r="S913">
        <v>3.0350950000000001</v>
      </c>
      <c r="T913">
        <v>-0.14339460000000001</v>
      </c>
      <c r="U913">
        <v>4.3762210000000003E-2</v>
      </c>
      <c r="V913">
        <v>2.995329E-2</v>
      </c>
      <c r="W913">
        <v>0.116532399999999</v>
      </c>
      <c r="X913">
        <v>0.99273509999999998</v>
      </c>
      <c r="Y913">
        <v>-2.5501679999999999E-2</v>
      </c>
      <c r="Z913">
        <v>1.1274519999999999E-3</v>
      </c>
      <c r="AA913">
        <v>0.99967410000000001</v>
      </c>
      <c r="AB913">
        <v>35</v>
      </c>
      <c r="AC913">
        <v>23.376799999999999</v>
      </c>
      <c r="AD913">
        <v>-1.112395</v>
      </c>
      <c r="AE913">
        <v>0.34160000000002799</v>
      </c>
      <c r="AF913">
        <v>-0.600341562718814</v>
      </c>
      <c r="AG913">
        <v>-1.112395</v>
      </c>
      <c r="AH913">
        <v>23.318760524596399</v>
      </c>
      <c r="AI913">
        <v>92.730256353068597</v>
      </c>
      <c r="AJ913">
        <v>91.474754255608303</v>
      </c>
      <c r="AK913">
        <v>23.352996061135901</v>
      </c>
      <c r="AL913">
        <v>83.307980497306602</v>
      </c>
      <c r="AM913">
        <v>88.271767980069797</v>
      </c>
      <c r="AN913">
        <v>0.99999998930179701</v>
      </c>
    </row>
    <row r="914" spans="1:40" x14ac:dyDescent="0.25">
      <c r="A914" t="str">
        <f>"20190312164009400"</f>
        <v>20190312164009400</v>
      </c>
      <c r="B914" t="str">
        <f>"1552380009396713"</f>
        <v>1552380009396713</v>
      </c>
      <c r="C914" t="s">
        <v>40</v>
      </c>
      <c r="D914">
        <v>5.0858970000000001</v>
      </c>
      <c r="E914">
        <v>0.48185689999999998</v>
      </c>
      <c r="F914" t="s">
        <v>43</v>
      </c>
      <c r="G914">
        <v>-287.27659999999997</v>
      </c>
      <c r="H914">
        <v>-0.05</v>
      </c>
      <c r="I914">
        <v>368.21449999999999</v>
      </c>
      <c r="J914">
        <v>-310.64429999999999</v>
      </c>
      <c r="K914">
        <v>1.062165</v>
      </c>
      <c r="L914">
        <v>367.87380000000002</v>
      </c>
      <c r="M914">
        <v>0.99984399999999996</v>
      </c>
      <c r="N914">
        <v>0</v>
      </c>
      <c r="O914">
        <v>-1.118569E-2</v>
      </c>
      <c r="P914">
        <v>0.99387289999999995</v>
      </c>
      <c r="Q914">
        <v>0.10262300000000001</v>
      </c>
      <c r="R914">
        <v>-4.1051810000000001E-2</v>
      </c>
      <c r="S914">
        <v>3.0351560000000002</v>
      </c>
      <c r="T914">
        <v>-0.14346639999999999</v>
      </c>
      <c r="U914">
        <v>4.3701169999999998E-2</v>
      </c>
      <c r="V914">
        <v>2.9969579999999999E-2</v>
      </c>
      <c r="W914">
        <v>0.11620510000000001</v>
      </c>
      <c r="X914">
        <v>0.99277300000000002</v>
      </c>
      <c r="Y914">
        <v>-2.5540520000000001E-2</v>
      </c>
      <c r="Z914">
        <v>1.1317160000000001E-3</v>
      </c>
      <c r="AA914">
        <v>0.99967309999999998</v>
      </c>
      <c r="AB914">
        <v>35</v>
      </c>
      <c r="AC914">
        <v>23.367699999999999</v>
      </c>
      <c r="AD914">
        <v>-1.1121650000000001</v>
      </c>
      <c r="AE914">
        <v>0.34069999999996903</v>
      </c>
      <c r="AF914">
        <v>-0.60072647714236704</v>
      </c>
      <c r="AG914">
        <v>-1.1121650000000001</v>
      </c>
      <c r="AH914">
        <v>23.3096367188699</v>
      </c>
      <c r="AI914">
        <v>92.730757663150101</v>
      </c>
      <c r="AJ914">
        <v>91.476276749051195</v>
      </c>
      <c r="AK914">
        <v>23.3438845793337</v>
      </c>
      <c r="AL914">
        <v>83.326861857544799</v>
      </c>
      <c r="AM914">
        <v>88.270894629717006</v>
      </c>
      <c r="AN914">
        <v>1.00000001526019</v>
      </c>
    </row>
    <row r="915" spans="1:40" x14ac:dyDescent="0.25">
      <c r="A915" t="str">
        <f>"20190312164009412"</f>
        <v>20190312164009412</v>
      </c>
      <c r="B915" t="str">
        <f>"1552380009407448"</f>
        <v>1552380009407448</v>
      </c>
      <c r="C915" t="s">
        <v>40</v>
      </c>
      <c r="D915">
        <v>5.116161</v>
      </c>
      <c r="E915">
        <v>0.48189019999999999</v>
      </c>
      <c r="F915" t="s">
        <v>43</v>
      </c>
      <c r="G915">
        <v>-287.54939999999999</v>
      </c>
      <c r="H915">
        <v>-0.05</v>
      </c>
      <c r="I915">
        <v>368.20030000000003</v>
      </c>
      <c r="J915">
        <v>-310.4633</v>
      </c>
      <c r="K915">
        <v>1.061941</v>
      </c>
      <c r="L915">
        <v>367.87180000000001</v>
      </c>
      <c r="M915">
        <v>0.99984499999999998</v>
      </c>
      <c r="N915">
        <v>0</v>
      </c>
      <c r="O915">
        <v>-1.125059E-2</v>
      </c>
      <c r="P915">
        <v>0.99386739999999996</v>
      </c>
      <c r="Q915">
        <v>0.102720699999999</v>
      </c>
      <c r="R915">
        <v>-4.0940890000000001E-2</v>
      </c>
      <c r="S915">
        <v>3.0354000000000001</v>
      </c>
      <c r="T915">
        <v>-0.14617379999999999</v>
      </c>
      <c r="U915">
        <v>4.2907710000000002E-2</v>
      </c>
      <c r="V915">
        <v>2.979414E-2</v>
      </c>
      <c r="W915">
        <v>0.1161734</v>
      </c>
      <c r="X915">
        <v>0.99278200000000005</v>
      </c>
      <c r="Y915">
        <v>-2.5341559999999999E-2</v>
      </c>
      <c r="Z915">
        <v>1.1512930000000001E-3</v>
      </c>
      <c r="AA915">
        <v>0.99967819999999996</v>
      </c>
      <c r="AB915">
        <v>35</v>
      </c>
      <c r="AC915">
        <v>22.913900000000002</v>
      </c>
      <c r="AD915">
        <v>-1.1119410000000001</v>
      </c>
      <c r="AE915">
        <v>0.328500000000019</v>
      </c>
      <c r="AF915">
        <v>-0.58492061843051302</v>
      </c>
      <c r="AG915">
        <v>-1.1119410000000001</v>
      </c>
      <c r="AH915">
        <v>22.854944177813898</v>
      </c>
      <c r="AI915">
        <v>92.784453321618003</v>
      </c>
      <c r="AJ915">
        <v>91.466035901038495</v>
      </c>
      <c r="AK915">
        <v>22.889452118570599</v>
      </c>
      <c r="AL915">
        <v>83.3286905815729</v>
      </c>
      <c r="AM915">
        <v>88.281026184906906</v>
      </c>
      <c r="AN915">
        <v>1.0000000245849401</v>
      </c>
    </row>
    <row r="916" spans="1:40" x14ac:dyDescent="0.25">
      <c r="A916" t="str">
        <f>"20190312164009435"</f>
        <v>20190312164009435</v>
      </c>
      <c r="B916" t="str">
        <f>"1552380009426968"</f>
        <v>1552380009426968</v>
      </c>
      <c r="C916" t="s">
        <v>40</v>
      </c>
      <c r="D916">
        <v>5.1519820000000003</v>
      </c>
      <c r="E916">
        <v>0.48196489999999997</v>
      </c>
      <c r="F916" t="s">
        <v>43</v>
      </c>
      <c r="G916">
        <v>-287.44639999999998</v>
      </c>
      <c r="H916">
        <v>-0.05</v>
      </c>
      <c r="I916">
        <v>368.2013</v>
      </c>
      <c r="J916">
        <v>-310.108</v>
      </c>
      <c r="K916">
        <v>1.061547</v>
      </c>
      <c r="L916">
        <v>367.86759999999998</v>
      </c>
      <c r="M916">
        <v>0.99984669999999998</v>
      </c>
      <c r="N916">
        <v>0</v>
      </c>
      <c r="O916">
        <v>-1.137783E-2</v>
      </c>
      <c r="P916">
        <v>0.99390290000000003</v>
      </c>
      <c r="Q916">
        <v>0.10237060000000001</v>
      </c>
      <c r="R916">
        <v>-4.0952549999999997E-2</v>
      </c>
      <c r="S916">
        <v>3.0355219999999998</v>
      </c>
      <c r="T916">
        <v>-0.14664569999999999</v>
      </c>
      <c r="U916">
        <v>4.3457030000000001E-2</v>
      </c>
      <c r="V916">
        <v>2.9678630000000001E-2</v>
      </c>
      <c r="W916">
        <v>0.11558889999999999</v>
      </c>
      <c r="X916">
        <v>0.9928536</v>
      </c>
      <c r="Y916">
        <v>-2.5648259999999999E-2</v>
      </c>
      <c r="Z916">
        <v>1.168503E-3</v>
      </c>
      <c r="AA916">
        <v>0.99967030000000001</v>
      </c>
      <c r="AB916">
        <v>35</v>
      </c>
      <c r="AC916">
        <v>22.6616</v>
      </c>
      <c r="AD916">
        <v>-1.1115469999999901</v>
      </c>
      <c r="AE916">
        <v>0.33370000000002098</v>
      </c>
      <c r="AF916">
        <v>-0.59012160993045903</v>
      </c>
      <c r="AG916">
        <v>-1.1115469999999901</v>
      </c>
      <c r="AH916">
        <v>22.601969836682699</v>
      </c>
      <c r="AI916">
        <v>92.814535114916694</v>
      </c>
      <c r="AJ916">
        <v>91.4956129040592</v>
      </c>
      <c r="AK916">
        <v>22.636979055210301</v>
      </c>
      <c r="AL916">
        <v>83.362406565451806</v>
      </c>
      <c r="AM916">
        <v>88.287809973326603</v>
      </c>
      <c r="AN916">
        <v>0.99999994295742101</v>
      </c>
    </row>
    <row r="917" spans="1:40" x14ac:dyDescent="0.25">
      <c r="A917" t="str">
        <f>"20190312164009448"</f>
        <v>20190312164009448</v>
      </c>
      <c r="B917" t="str">
        <f>"1552380009436728"</f>
        <v>1552380009436728</v>
      </c>
      <c r="C917" t="s">
        <v>40</v>
      </c>
      <c r="D917">
        <v>5.1514759999999997</v>
      </c>
      <c r="E917">
        <v>0.48196159999999999</v>
      </c>
      <c r="F917" t="s">
        <v>43</v>
      </c>
      <c r="G917">
        <v>-287.41000000000003</v>
      </c>
      <c r="H917">
        <v>-0.05</v>
      </c>
      <c r="I917">
        <v>368.18779999999998</v>
      </c>
      <c r="J917">
        <v>-309.91239999999999</v>
      </c>
      <c r="K917">
        <v>1.061366</v>
      </c>
      <c r="L917">
        <v>367.86529999999999</v>
      </c>
      <c r="M917">
        <v>0.9998475</v>
      </c>
      <c r="N917">
        <v>0</v>
      </c>
      <c r="O917">
        <v>-1.1447250000000001E-2</v>
      </c>
      <c r="P917">
        <v>0.99390389999999995</v>
      </c>
      <c r="Q917">
        <v>0.1024171</v>
      </c>
      <c r="R917">
        <v>-4.0817520000000003E-2</v>
      </c>
      <c r="S917">
        <v>3.0354920000000001</v>
      </c>
      <c r="T917">
        <v>-0.14865110000000001</v>
      </c>
      <c r="U917">
        <v>4.2816159999999999E-2</v>
      </c>
      <c r="V917">
        <v>2.947427E-2</v>
      </c>
      <c r="W917">
        <v>0.11552030000000001</v>
      </c>
      <c r="X917">
        <v>0.99286770000000002</v>
      </c>
      <c r="Y917">
        <v>-2.5505679999999999E-2</v>
      </c>
      <c r="Z917">
        <v>1.184385E-3</v>
      </c>
      <c r="AA917">
        <v>0.99967399999999995</v>
      </c>
      <c r="AB917">
        <v>35</v>
      </c>
      <c r="AC917">
        <v>22.502399999999898</v>
      </c>
      <c r="AD917">
        <v>-1.1113660000000001</v>
      </c>
      <c r="AE917">
        <v>0.32249999999999002</v>
      </c>
      <c r="AF917">
        <v>-0.57868061160722095</v>
      </c>
      <c r="AG917">
        <v>-1.1113660000000001</v>
      </c>
      <c r="AH917">
        <v>22.442501626297499</v>
      </c>
      <c r="AI917">
        <v>92.834064655997807</v>
      </c>
      <c r="AJ917">
        <v>91.477046191336001</v>
      </c>
      <c r="AK917">
        <v>22.477452811263401</v>
      </c>
      <c r="AL917">
        <v>83.366363750456003</v>
      </c>
      <c r="AM917">
        <v>88.299616895726501</v>
      </c>
      <c r="AN917">
        <v>0.99999997100370597</v>
      </c>
    </row>
    <row r="918" spans="1:40" x14ac:dyDescent="0.25">
      <c r="A918" t="str">
        <f>"20190312164009468"</f>
        <v>20190312164009468</v>
      </c>
      <c r="B918" t="str">
        <f>"1552380009456803"</f>
        <v>1552380009456803</v>
      </c>
      <c r="C918" t="s">
        <v>40</v>
      </c>
      <c r="D918">
        <v>5.1298550000000001</v>
      </c>
      <c r="E918">
        <v>0.48209259999999898</v>
      </c>
      <c r="F918" t="s">
        <v>43</v>
      </c>
      <c r="G918">
        <v>-287.24149999999997</v>
      </c>
      <c r="H918">
        <v>-0.05</v>
      </c>
      <c r="I918">
        <v>368.18799999999999</v>
      </c>
      <c r="J918">
        <v>-309.59710000000001</v>
      </c>
      <c r="K918">
        <v>1.0611079999999999</v>
      </c>
      <c r="L918">
        <v>367.86160000000001</v>
      </c>
      <c r="M918">
        <v>0.99984859999999998</v>
      </c>
      <c r="N918">
        <v>0</v>
      </c>
      <c r="O918">
        <v>-1.1556449999999999E-2</v>
      </c>
      <c r="P918">
        <v>0.99387579999999998</v>
      </c>
      <c r="Q918">
        <v>0.1026344</v>
      </c>
      <c r="R918">
        <v>-4.0957889999999997E-2</v>
      </c>
      <c r="S918">
        <v>3.0354920000000001</v>
      </c>
      <c r="T918">
        <v>-0.14880539999999901</v>
      </c>
      <c r="U918">
        <v>4.3212889999999997E-2</v>
      </c>
      <c r="V918">
        <v>2.9505759999999999E-2</v>
      </c>
      <c r="W918">
        <v>0.1155653</v>
      </c>
      <c r="X918">
        <v>0.99286160000000001</v>
      </c>
      <c r="Y918">
        <v>-2.5744949999999999E-2</v>
      </c>
      <c r="Z918">
        <v>1.196821E-3</v>
      </c>
      <c r="AA918">
        <v>0.9996678</v>
      </c>
      <c r="AB918">
        <v>35</v>
      </c>
      <c r="AC918">
        <v>22.355599999999999</v>
      </c>
      <c r="AD918">
        <v>-1.111108</v>
      </c>
      <c r="AE918">
        <v>0.326400000000035</v>
      </c>
      <c r="AF918">
        <v>-0.583310823111303</v>
      </c>
      <c r="AG918">
        <v>-1.111108</v>
      </c>
      <c r="AH918">
        <v>22.2952715132975</v>
      </c>
      <c r="AI918">
        <v>92.852059909662103</v>
      </c>
      <c r="AJ918">
        <v>91.4986866513417</v>
      </c>
      <c r="AK918">
        <v>22.330560771186999</v>
      </c>
      <c r="AL918">
        <v>83.363768532880698</v>
      </c>
      <c r="AM918">
        <v>88.297790840591404</v>
      </c>
      <c r="AN918">
        <v>1.0000000425959099</v>
      </c>
    </row>
    <row r="919" spans="1:40" x14ac:dyDescent="0.25">
      <c r="A919" t="str">
        <f>"20190312164009481"</f>
        <v>20190312164009481</v>
      </c>
      <c r="B919" t="str">
        <f>"1552380009477299"</f>
        <v>1552380009477299</v>
      </c>
      <c r="C919" t="s">
        <v>40</v>
      </c>
      <c r="D919">
        <v>5.11897</v>
      </c>
      <c r="E919">
        <v>0.4821684</v>
      </c>
      <c r="F919" t="s">
        <v>43</v>
      </c>
      <c r="G919">
        <v>-287.06700000000001</v>
      </c>
      <c r="H919">
        <v>-0.05</v>
      </c>
      <c r="I919">
        <v>368.1771</v>
      </c>
      <c r="J919">
        <v>-309.40280000000001</v>
      </c>
      <c r="K919">
        <v>1.060964</v>
      </c>
      <c r="L919">
        <v>367.85930000000002</v>
      </c>
      <c r="M919">
        <v>0.99984890000000004</v>
      </c>
      <c r="N919">
        <v>0</v>
      </c>
      <c r="O919">
        <v>-1.162097E-2</v>
      </c>
      <c r="P919">
        <v>0.99382110000000001</v>
      </c>
      <c r="Q919">
        <v>0.1031265</v>
      </c>
      <c r="R919">
        <v>-4.1043160000000002E-2</v>
      </c>
      <c r="S919">
        <v>3.0357059999999998</v>
      </c>
      <c r="T919">
        <v>-0.14971010000000001</v>
      </c>
      <c r="U919">
        <v>4.2510989999999999E-2</v>
      </c>
      <c r="V919">
        <v>2.9527089999999999E-2</v>
      </c>
      <c r="W919">
        <v>0.1159589</v>
      </c>
      <c r="X919">
        <v>0.992815</v>
      </c>
      <c r="Y919">
        <v>-2.5576939999999999E-2</v>
      </c>
      <c r="Z919">
        <v>1.2030459999999999E-3</v>
      </c>
      <c r="AA919">
        <v>0.99967209999999995</v>
      </c>
      <c r="AB919">
        <v>35</v>
      </c>
      <c r="AC919">
        <v>22.335799999999999</v>
      </c>
      <c r="AD919">
        <v>-1.1109639999999901</v>
      </c>
      <c r="AE919">
        <v>0.31779999999997699</v>
      </c>
      <c r="AF919">
        <v>-0.57593931518539598</v>
      </c>
      <c r="AG919">
        <v>-1.1109639999999901</v>
      </c>
      <c r="AH919">
        <v>22.275499969237799</v>
      </c>
      <c r="AI919">
        <v>92.8542406342346</v>
      </c>
      <c r="AJ919">
        <v>91.481068519447803</v>
      </c>
      <c r="AK919">
        <v>22.310621819742799</v>
      </c>
      <c r="AL919">
        <v>83.341063787024595</v>
      </c>
      <c r="AM919">
        <v>88.296481114200404</v>
      </c>
      <c r="AN919">
        <v>0.99999996987903805</v>
      </c>
    </row>
    <row r="920" spans="1:40" x14ac:dyDescent="0.25">
      <c r="A920" t="str">
        <f>"20190312164009491"</f>
        <v>20190312164009491</v>
      </c>
      <c r="B920" t="str">
        <f>"1552380009487059"</f>
        <v>1552380009487059</v>
      </c>
      <c r="C920" t="s">
        <v>40</v>
      </c>
      <c r="D920">
        <v>5.1436080000000004</v>
      </c>
      <c r="E920">
        <v>0.48222730000000003</v>
      </c>
      <c r="F920" t="s">
        <v>43</v>
      </c>
      <c r="G920">
        <v>-286.86079999999998</v>
      </c>
      <c r="H920">
        <v>-0.05</v>
      </c>
      <c r="I920">
        <v>368.17110000000002</v>
      </c>
      <c r="J920">
        <v>-309.22949999999997</v>
      </c>
      <c r="K920">
        <v>1.0608550000000001</v>
      </c>
      <c r="L920">
        <v>367.85719999999998</v>
      </c>
      <c r="M920">
        <v>0.9998494</v>
      </c>
      <c r="N920">
        <v>0</v>
      </c>
      <c r="O920">
        <v>-1.167606E-2</v>
      </c>
      <c r="P920">
        <v>0.99383569999999999</v>
      </c>
      <c r="Q920">
        <v>0.102826</v>
      </c>
      <c r="R920">
        <v>-4.144051E-2</v>
      </c>
      <c r="S920">
        <v>3.0359189999999998</v>
      </c>
      <c r="T920">
        <v>-0.14962329999999999</v>
      </c>
      <c r="U920">
        <v>4.1992189999999999E-2</v>
      </c>
      <c r="V920">
        <v>2.986871E-2</v>
      </c>
      <c r="W920">
        <v>0.1155785</v>
      </c>
      <c r="X920">
        <v>0.99284919999999999</v>
      </c>
      <c r="Y920">
        <v>-2.546037E-2</v>
      </c>
      <c r="Z920">
        <v>1.2021079999999999E-3</v>
      </c>
      <c r="AA920">
        <v>0.99967510000000004</v>
      </c>
      <c r="AB920">
        <v>35</v>
      </c>
      <c r="AC920">
        <v>22.368699999999901</v>
      </c>
      <c r="AD920">
        <v>-1.1108549999999999</v>
      </c>
      <c r="AE920">
        <v>0.31390000000004598</v>
      </c>
      <c r="AF920">
        <v>-0.57366390435178505</v>
      </c>
      <c r="AG920">
        <v>-1.1108549999999999</v>
      </c>
      <c r="AH920">
        <v>22.3085024870627</v>
      </c>
      <c r="AI920">
        <v>92.849756242719295</v>
      </c>
      <c r="AJ920">
        <v>91.473038298224296</v>
      </c>
      <c r="AK920">
        <v>22.343508505189199</v>
      </c>
      <c r="AL920">
        <v>83.363007054020798</v>
      </c>
      <c r="AM920">
        <v>88.276843025120101</v>
      </c>
      <c r="AN920">
        <v>1.00000003171997</v>
      </c>
    </row>
    <row r="921" spans="1:40" x14ac:dyDescent="0.25">
      <c r="A921" t="str">
        <f>"20190312164009503"</f>
        <v>20190312164009503</v>
      </c>
      <c r="B921" t="str">
        <f>"1552380009496820"</f>
        <v>1552380009496820</v>
      </c>
      <c r="C921" t="s">
        <v>40</v>
      </c>
      <c r="D921">
        <v>5.03979</v>
      </c>
      <c r="E921">
        <v>0.48226790000000003</v>
      </c>
      <c r="F921" t="s">
        <v>43</v>
      </c>
      <c r="G921">
        <v>-286.8664</v>
      </c>
      <c r="H921">
        <v>-0.05</v>
      </c>
      <c r="I921">
        <v>368.15530000000001</v>
      </c>
      <c r="J921">
        <v>-309.0539</v>
      </c>
      <c r="K921">
        <v>1.0607569999999999</v>
      </c>
      <c r="L921">
        <v>367.85509999999999</v>
      </c>
      <c r="M921">
        <v>0.99984980000000001</v>
      </c>
      <c r="N921">
        <v>0</v>
      </c>
      <c r="O921">
        <v>-1.172891E-2</v>
      </c>
      <c r="P921">
        <v>0.99384890000000004</v>
      </c>
      <c r="Q921">
        <v>0.10270410000000001</v>
      </c>
      <c r="R921">
        <v>-4.1430309999999998E-2</v>
      </c>
      <c r="S921">
        <v>3.0358890000000001</v>
      </c>
      <c r="T921">
        <v>-0.1508031</v>
      </c>
      <c r="U921">
        <v>4.0466309999999998E-2</v>
      </c>
      <c r="V921">
        <v>2.9804529999999999E-2</v>
      </c>
      <c r="W921">
        <v>0.11538</v>
      </c>
      <c r="X921">
        <v>0.99287420000000004</v>
      </c>
      <c r="Y921">
        <v>-2.501074E-2</v>
      </c>
      <c r="Z921">
        <v>1.2030539999999901E-3</v>
      </c>
      <c r="AA921">
        <v>0.99968650000000003</v>
      </c>
      <c r="AB921">
        <v>35</v>
      </c>
      <c r="AC921">
        <v>22.1875</v>
      </c>
      <c r="AD921">
        <v>-1.110757</v>
      </c>
      <c r="AE921">
        <v>0.30020000000001801</v>
      </c>
      <c r="AF921">
        <v>-0.55903490966106695</v>
      </c>
      <c r="AG921">
        <v>-1.110757</v>
      </c>
      <c r="AH921">
        <v>22.127006979543999</v>
      </c>
      <c r="AI921">
        <v>92.872872050604997</v>
      </c>
      <c r="AJ921">
        <v>91.447259832899107</v>
      </c>
      <c r="AK921">
        <v>22.1619209234231</v>
      </c>
      <c r="AL921">
        <v>83.374456759879095</v>
      </c>
      <c r="AM921">
        <v>88.280586680007005</v>
      </c>
      <c r="AN921">
        <v>1.0000000157170801</v>
      </c>
    </row>
    <row r="922" spans="1:40" x14ac:dyDescent="0.25">
      <c r="A922" t="str">
        <f>"20190312164009514"</f>
        <v>20190312164009514</v>
      </c>
      <c r="B922" t="str">
        <f>"1552380009507555"</f>
        <v>1552380009507555</v>
      </c>
      <c r="C922" t="s">
        <v>40</v>
      </c>
      <c r="D922">
        <v>5.2662329999999997</v>
      </c>
      <c r="E922">
        <v>0.48227249999999999</v>
      </c>
      <c r="F922" t="s">
        <v>43</v>
      </c>
      <c r="G922">
        <v>-286.79270000000002</v>
      </c>
      <c r="H922">
        <v>-0.05</v>
      </c>
      <c r="I922">
        <v>368.14940000000001</v>
      </c>
      <c r="J922">
        <v>-308.88200000000001</v>
      </c>
      <c r="K922">
        <v>1.0606660000000001</v>
      </c>
      <c r="L922">
        <v>367.85309999999998</v>
      </c>
      <c r="M922">
        <v>0.99985020000000002</v>
      </c>
      <c r="N922">
        <v>0</v>
      </c>
      <c r="O922">
        <v>-1.1777370000000001E-2</v>
      </c>
      <c r="P922">
        <v>0.99386070000000004</v>
      </c>
      <c r="Q922">
        <v>0.10244499999999999</v>
      </c>
      <c r="R922">
        <v>-4.1792700000000002E-2</v>
      </c>
      <c r="S922">
        <v>3.0358580000000002</v>
      </c>
      <c r="T922">
        <v>-0.15147910000000001</v>
      </c>
      <c r="U922">
        <v>4.0130619999999999E-2</v>
      </c>
      <c r="V922">
        <v>3.0117209999999998E-2</v>
      </c>
      <c r="W922">
        <v>0.1150504</v>
      </c>
      <c r="X922">
        <v>0.99290299999999998</v>
      </c>
      <c r="Y922">
        <v>-2.4948399999999999E-2</v>
      </c>
      <c r="Z922">
        <v>1.2093150000000001E-3</v>
      </c>
      <c r="AA922">
        <v>0.99968800000000002</v>
      </c>
      <c r="AB922">
        <v>35</v>
      </c>
      <c r="AC922">
        <v>22.089299999999898</v>
      </c>
      <c r="AD922">
        <v>-1.1106659999999999</v>
      </c>
      <c r="AE922">
        <v>0.29630000000002998</v>
      </c>
      <c r="AF922">
        <v>-0.55505123289530001</v>
      </c>
      <c r="AG922">
        <v>-1.1106659999999999</v>
      </c>
      <c r="AH922">
        <v>22.028596217050801</v>
      </c>
      <c r="AI922">
        <v>92.885453625955407</v>
      </c>
      <c r="AJ922">
        <v>91.443367753603198</v>
      </c>
      <c r="AK922">
        <v>22.063560730955398</v>
      </c>
      <c r="AL922">
        <v>83.393467976462802</v>
      </c>
      <c r="AM922">
        <v>88.262609639704294</v>
      </c>
      <c r="AN922">
        <v>1.0000000041436701</v>
      </c>
    </row>
    <row r="923" spans="1:40" x14ac:dyDescent="0.25">
      <c r="A923" t="str">
        <f>"20190312164009525"</f>
        <v>20190312164009525</v>
      </c>
      <c r="B923" t="str">
        <f>"1552380009517315"</f>
        <v>1552380009517315</v>
      </c>
      <c r="C923" t="s">
        <v>40</v>
      </c>
      <c r="D923">
        <v>5.0378170000000004</v>
      </c>
      <c r="E923">
        <v>0.48229309999999997</v>
      </c>
      <c r="F923" t="s">
        <v>43</v>
      </c>
      <c r="G923">
        <v>-286.81889999999999</v>
      </c>
      <c r="H923">
        <v>-0.05</v>
      </c>
      <c r="I923">
        <v>368.1352</v>
      </c>
      <c r="J923">
        <v>-308.72669999999999</v>
      </c>
      <c r="K923">
        <v>1.060594</v>
      </c>
      <c r="L923">
        <v>367.85120000000001</v>
      </c>
      <c r="M923">
        <v>0.99985040000000003</v>
      </c>
      <c r="N923">
        <v>0</v>
      </c>
      <c r="O923">
        <v>-1.1815880000000001E-2</v>
      </c>
      <c r="P923">
        <v>0.99387990000000004</v>
      </c>
      <c r="Q923">
        <v>0.10213659999999999</v>
      </c>
      <c r="R923">
        <v>-4.2083049999999997E-2</v>
      </c>
      <c r="S923">
        <v>3.0359189999999998</v>
      </c>
      <c r="T923">
        <v>-0.15282960000000001</v>
      </c>
      <c r="U923">
        <v>3.8818360000000003E-2</v>
      </c>
      <c r="V923">
        <v>3.0367499999999999E-2</v>
      </c>
      <c r="W923">
        <v>0.1146833</v>
      </c>
      <c r="X923">
        <v>0.99293790000000004</v>
      </c>
      <c r="Y923">
        <v>-2.455423E-2</v>
      </c>
      <c r="Z923">
        <v>1.2120849999999999E-3</v>
      </c>
      <c r="AA923">
        <v>0.99969770000000002</v>
      </c>
      <c r="AB923">
        <v>35</v>
      </c>
      <c r="AC923">
        <v>21.907800000000002</v>
      </c>
      <c r="AD923">
        <v>-1.1105940000000001</v>
      </c>
      <c r="AE923">
        <v>0.28399999999999098</v>
      </c>
      <c r="AF923">
        <v>-0.54146948268674699</v>
      </c>
      <c r="AG923">
        <v>-1.1105940000000001</v>
      </c>
      <c r="AH923">
        <v>21.846780191374599</v>
      </c>
      <c r="AI923">
        <v>92.9092678237012</v>
      </c>
      <c r="AJ923">
        <v>91.419777450335502</v>
      </c>
      <c r="AK923">
        <v>21.8816912729284</v>
      </c>
      <c r="AL923">
        <v>83.414641767831398</v>
      </c>
      <c r="AM923">
        <v>88.248241498418594</v>
      </c>
      <c r="AN923">
        <v>1.00000005880577</v>
      </c>
    </row>
    <row r="924" spans="1:40" x14ac:dyDescent="0.25">
      <c r="A924" t="str">
        <f>"20190312164009534"</f>
        <v>20190312164009534</v>
      </c>
      <c r="B924" t="str">
        <f>"1552380009527075"</f>
        <v>1552380009527075</v>
      </c>
      <c r="C924" t="s">
        <v>40</v>
      </c>
      <c r="D924">
        <v>5.0940690000000002</v>
      </c>
      <c r="E924">
        <v>0.48228120000000002</v>
      </c>
      <c r="F924" t="s">
        <v>43</v>
      </c>
      <c r="G924">
        <v>-286.87</v>
      </c>
      <c r="H924">
        <v>-0.05</v>
      </c>
      <c r="I924">
        <v>368.12360000000001</v>
      </c>
      <c r="J924">
        <v>-308.56180000000001</v>
      </c>
      <c r="K924">
        <v>1.06053</v>
      </c>
      <c r="L924">
        <v>367.8492</v>
      </c>
      <c r="M924">
        <v>0.99985069999999998</v>
      </c>
      <c r="N924">
        <v>0</v>
      </c>
      <c r="O924">
        <v>-1.1853529999999999E-2</v>
      </c>
      <c r="P924">
        <v>0.99390889999999998</v>
      </c>
      <c r="Q924">
        <v>0.101867</v>
      </c>
      <c r="R924">
        <v>-4.2048670000000003E-2</v>
      </c>
      <c r="S924">
        <v>3.0358890000000001</v>
      </c>
      <c r="T924">
        <v>-0.15426119999999999</v>
      </c>
      <c r="U924">
        <v>3.7841800000000002E-2</v>
      </c>
      <c r="V924">
        <v>3.0293589999999999E-2</v>
      </c>
      <c r="W924">
        <v>0.1143536</v>
      </c>
      <c r="X924">
        <v>0.99297809999999997</v>
      </c>
      <c r="Y924">
        <v>-2.426992E-2</v>
      </c>
      <c r="Z924">
        <v>1.218132E-3</v>
      </c>
      <c r="AA924">
        <v>0.9997047</v>
      </c>
      <c r="AB924">
        <v>35</v>
      </c>
      <c r="AC924">
        <v>21.691800000000001</v>
      </c>
      <c r="AD924">
        <v>-1.11053</v>
      </c>
      <c r="AE924">
        <v>0.27440000000001402</v>
      </c>
      <c r="AF924">
        <v>-0.53013617308470096</v>
      </c>
      <c r="AG924">
        <v>-1.11053</v>
      </c>
      <c r="AH924">
        <v>21.630338565692298</v>
      </c>
      <c r="AI924">
        <v>92.938179238533195</v>
      </c>
      <c r="AJ924">
        <v>91.403976434063097</v>
      </c>
      <c r="AK924">
        <v>21.665314853687001</v>
      </c>
      <c r="AL924">
        <v>83.433656748231002</v>
      </c>
      <c r="AM924">
        <v>88.252573074879095</v>
      </c>
      <c r="AN924">
        <v>0.99999997725382805</v>
      </c>
    </row>
    <row r="925" spans="1:40" x14ac:dyDescent="0.25">
      <c r="A925" t="str">
        <f>"20190312164009546"</f>
        <v>20190312164009546</v>
      </c>
      <c r="B925" t="str">
        <f>"1552380009536836"</f>
        <v>1552380009536836</v>
      </c>
      <c r="C925" t="s">
        <v>40</v>
      </c>
      <c r="D925">
        <v>5.0713010000000001</v>
      </c>
      <c r="E925">
        <v>0.48226219999999997</v>
      </c>
      <c r="F925" t="s">
        <v>43</v>
      </c>
      <c r="G925">
        <v>-286.83260000000001</v>
      </c>
      <c r="H925">
        <v>-0.05</v>
      </c>
      <c r="I925">
        <v>368.1234</v>
      </c>
      <c r="J925">
        <v>-308.38920000000002</v>
      </c>
      <c r="K925">
        <v>1.0604629999999999</v>
      </c>
      <c r="L925">
        <v>367.84710000000001</v>
      </c>
      <c r="M925">
        <v>0.99985100000000005</v>
      </c>
      <c r="N925">
        <v>0</v>
      </c>
      <c r="O925">
        <v>-1.188533E-2</v>
      </c>
      <c r="P925">
        <v>0.99393399999999998</v>
      </c>
      <c r="Q925">
        <v>0.1015123</v>
      </c>
      <c r="R925">
        <v>-4.2314160000000003E-2</v>
      </c>
      <c r="S925">
        <v>3.0358890000000001</v>
      </c>
      <c r="T925">
        <v>-0.15515709999999999</v>
      </c>
      <c r="U925">
        <v>3.8299560000000003E-2</v>
      </c>
      <c r="V925">
        <v>3.052467E-2</v>
      </c>
      <c r="W925">
        <v>0.1139414</v>
      </c>
      <c r="X925">
        <v>0.99301839999999997</v>
      </c>
      <c r="Y925">
        <v>-2.44516E-2</v>
      </c>
      <c r="Z925">
        <v>1.2314590000000001E-3</v>
      </c>
      <c r="AA925">
        <v>0.99970020000000004</v>
      </c>
      <c r="AB925">
        <v>35</v>
      </c>
      <c r="AC925">
        <v>21.5566</v>
      </c>
      <c r="AD925">
        <v>-1.110463</v>
      </c>
      <c r="AE925">
        <v>0.276299999999992</v>
      </c>
      <c r="AF925">
        <v>-0.53109873237058802</v>
      </c>
      <c r="AG925">
        <v>-1.110463</v>
      </c>
      <c r="AH925">
        <v>21.494762245218599</v>
      </c>
      <c r="AI925">
        <v>92.956486230115601</v>
      </c>
      <c r="AJ925">
        <v>91.415392519756793</v>
      </c>
      <c r="AK925">
        <v>21.529979050532599</v>
      </c>
      <c r="AL925">
        <v>83.4574294072291</v>
      </c>
      <c r="AM925">
        <v>88.239323444509793</v>
      </c>
      <c r="AN925">
        <v>0.99999997042556399</v>
      </c>
    </row>
    <row r="926" spans="1:40" x14ac:dyDescent="0.25">
      <c r="A926" t="str">
        <f>"20190312164009556"</f>
        <v>20190312164009556</v>
      </c>
      <c r="B926" t="str">
        <f>"1552380009547571"</f>
        <v>1552380009547571</v>
      </c>
      <c r="C926" t="s">
        <v>40</v>
      </c>
      <c r="D926">
        <v>5.1806619999999999</v>
      </c>
      <c r="E926">
        <v>0.4822922</v>
      </c>
      <c r="F926" t="s">
        <v>43</v>
      </c>
      <c r="G926">
        <v>-287.04559999999998</v>
      </c>
      <c r="H926">
        <v>-0.05</v>
      </c>
      <c r="I926">
        <v>368.1123</v>
      </c>
      <c r="J926">
        <v>-308.21499999999997</v>
      </c>
      <c r="K926">
        <v>1.0604020000000001</v>
      </c>
      <c r="L926">
        <v>367.84500000000003</v>
      </c>
      <c r="M926">
        <v>0.9998515</v>
      </c>
      <c r="N926">
        <v>0</v>
      </c>
      <c r="O926">
        <v>-1.1914620000000001E-2</v>
      </c>
      <c r="P926">
        <v>0.99395919999999904</v>
      </c>
      <c r="Q926">
        <v>0.1013416</v>
      </c>
      <c r="R926">
        <v>-4.2134270000000001E-2</v>
      </c>
      <c r="S926">
        <v>3.0360719999999999</v>
      </c>
      <c r="T926">
        <v>-0.15796009999999999</v>
      </c>
      <c r="U926">
        <v>3.771973E-2</v>
      </c>
      <c r="V926">
        <v>3.0312499999999999E-2</v>
      </c>
      <c r="W926">
        <v>0.1137145</v>
      </c>
      <c r="X926">
        <v>0.99305089999999996</v>
      </c>
      <c r="Y926">
        <v>-2.4287690000000001E-2</v>
      </c>
      <c r="Z926">
        <v>1.2508630000000001E-3</v>
      </c>
      <c r="AA926">
        <v>0.99970420000000004</v>
      </c>
      <c r="AB926">
        <v>35</v>
      </c>
      <c r="AC926">
        <v>21.1694</v>
      </c>
      <c r="AD926">
        <v>-1.1104019999999999</v>
      </c>
      <c r="AE926">
        <v>0.267299999999977</v>
      </c>
      <c r="AF926">
        <v>-0.51810069153117499</v>
      </c>
      <c r="AG926">
        <v>-1.1104019999999999</v>
      </c>
      <c r="AH926">
        <v>21.1066499101169</v>
      </c>
      <c r="AI926">
        <v>93.010598296789894</v>
      </c>
      <c r="AJ926">
        <v>91.406145602726895</v>
      </c>
      <c r="AK926">
        <v>21.142187478035599</v>
      </c>
      <c r="AL926">
        <v>83.470514817821893</v>
      </c>
      <c r="AM926">
        <v>88.251611068379205</v>
      </c>
      <c r="AN926">
        <v>0.99999996257865398</v>
      </c>
    </row>
    <row r="927" spans="1:40" x14ac:dyDescent="0.25">
      <c r="A927" t="str">
        <f>"20190312164009568"</f>
        <v>20190312164009568</v>
      </c>
      <c r="B927" t="str">
        <f>"1552380009556899"</f>
        <v>1552380009556899</v>
      </c>
      <c r="C927" t="s">
        <v>40</v>
      </c>
      <c r="D927">
        <v>5.2114149999999997</v>
      </c>
      <c r="E927">
        <v>0.48229830000000001</v>
      </c>
      <c r="F927" t="s">
        <v>43</v>
      </c>
      <c r="G927">
        <v>-286.95089999999999</v>
      </c>
      <c r="H927">
        <v>-0.05</v>
      </c>
      <c r="I927">
        <v>368.1146</v>
      </c>
      <c r="J927">
        <v>-308.04640000000001</v>
      </c>
      <c r="K927">
        <v>1.0603560000000001</v>
      </c>
      <c r="L927">
        <v>367.84300000000002</v>
      </c>
      <c r="M927">
        <v>0.99985179999999996</v>
      </c>
      <c r="N927">
        <v>0</v>
      </c>
      <c r="O927">
        <v>-1.193396E-2</v>
      </c>
      <c r="P927">
        <v>0.99396689999999999</v>
      </c>
      <c r="Q927">
        <v>0.10129059999999999</v>
      </c>
      <c r="R927">
        <v>-4.2074939999999998E-2</v>
      </c>
      <c r="S927">
        <v>3.0360719999999999</v>
      </c>
      <c r="T927">
        <v>-0.1585424</v>
      </c>
      <c r="U927">
        <v>3.8482669999999997E-2</v>
      </c>
      <c r="V927">
        <v>3.0231299999999999E-2</v>
      </c>
      <c r="W927">
        <v>0.1136146</v>
      </c>
      <c r="X927">
        <v>0.99306479999999997</v>
      </c>
      <c r="Y927">
        <v>-2.4557430000000002E-2</v>
      </c>
      <c r="Z927">
        <v>1.263513E-3</v>
      </c>
      <c r="AA927">
        <v>0.99969759999999996</v>
      </c>
      <c r="AB927">
        <v>35</v>
      </c>
      <c r="AC927">
        <v>21.095500000000001</v>
      </c>
      <c r="AD927">
        <v>-1.1103559999999999</v>
      </c>
      <c r="AE927">
        <v>0.27159999999997803</v>
      </c>
      <c r="AF927">
        <v>-0.52190723093519398</v>
      </c>
      <c r="AG927">
        <v>-1.1103559999999999</v>
      </c>
      <c r="AH927">
        <v>21.032496908541301</v>
      </c>
      <c r="AI927">
        <v>93.021048128038501</v>
      </c>
      <c r="AJ927">
        <v>91.421464432462002</v>
      </c>
      <c r="AK927">
        <v>21.068251085750799</v>
      </c>
      <c r="AL927">
        <v>83.476275940285802</v>
      </c>
      <c r="AM927">
        <v>88.256316084260007</v>
      </c>
      <c r="AN927">
        <v>0.99999995291594301</v>
      </c>
    </row>
    <row r="928" spans="1:40" x14ac:dyDescent="0.25">
      <c r="A928" t="str">
        <f>"20190312164009579"</f>
        <v>20190312164009579</v>
      </c>
      <c r="B928" t="str">
        <f>"1552380009567634"</f>
        <v>1552380009567634</v>
      </c>
      <c r="C928" t="s">
        <v>40</v>
      </c>
      <c r="D928">
        <v>5.2395399999999999</v>
      </c>
      <c r="E928">
        <v>0.48228650000000001</v>
      </c>
      <c r="F928" t="s">
        <v>43</v>
      </c>
      <c r="G928">
        <v>-286.86840000000001</v>
      </c>
      <c r="H928">
        <v>-0.05</v>
      </c>
      <c r="I928">
        <v>368.11250000000001</v>
      </c>
      <c r="J928">
        <v>-307.87639999999999</v>
      </c>
      <c r="K928">
        <v>1.0603100000000001</v>
      </c>
      <c r="L928">
        <v>367.84089999999998</v>
      </c>
      <c r="M928">
        <v>0.99985230000000003</v>
      </c>
      <c r="N928">
        <v>0</v>
      </c>
      <c r="O928">
        <v>-1.195235E-2</v>
      </c>
      <c r="P928">
        <v>0.99394970000000005</v>
      </c>
      <c r="Q928">
        <v>0.10140979999999999</v>
      </c>
      <c r="R928">
        <v>-4.2196530000000003E-2</v>
      </c>
      <c r="S928">
        <v>3.0360719999999999</v>
      </c>
      <c r="T928">
        <v>-0.15918099999999999</v>
      </c>
      <c r="U928">
        <v>3.8635250000000003E-2</v>
      </c>
      <c r="V928">
        <v>3.033224E-2</v>
      </c>
      <c r="W928">
        <v>0.1136847</v>
      </c>
      <c r="X928">
        <v>0.99305370000000004</v>
      </c>
      <c r="Y928">
        <v>-2.4625520000000001E-2</v>
      </c>
      <c r="Z928">
        <v>1.271342E-3</v>
      </c>
      <c r="AA928">
        <v>0.99969600000000003</v>
      </c>
      <c r="AB928">
        <v>35</v>
      </c>
      <c r="AC928">
        <v>21.0079999999999</v>
      </c>
      <c r="AD928">
        <v>-1.1103099999999999</v>
      </c>
      <c r="AE928">
        <v>0.27160000000003398</v>
      </c>
      <c r="AF928">
        <v>-0.52123897701382904</v>
      </c>
      <c r="AG928">
        <v>-1.1103099999999999</v>
      </c>
      <c r="AH928">
        <v>20.9447572084187</v>
      </c>
      <c r="AI928">
        <v>93.0335491504174</v>
      </c>
      <c r="AJ928">
        <v>91.425589711638494</v>
      </c>
      <c r="AK928">
        <v>20.980641860697801</v>
      </c>
      <c r="AL928">
        <v>83.472233316760693</v>
      </c>
      <c r="AM928">
        <v>88.2504781259114</v>
      </c>
      <c r="AN928">
        <v>0.999999953440597</v>
      </c>
    </row>
    <row r="929" spans="1:40" x14ac:dyDescent="0.25">
      <c r="A929" t="str">
        <f>"20190312164009591"</f>
        <v>20190312164009591</v>
      </c>
      <c r="B929" t="str">
        <f>"1552380009587154"</f>
        <v>1552380009587154</v>
      </c>
      <c r="C929" t="s">
        <v>40</v>
      </c>
      <c r="D929">
        <v>5.2850140000000003</v>
      </c>
      <c r="E929">
        <v>0.48229670000000002</v>
      </c>
      <c r="F929" t="s">
        <v>43</v>
      </c>
      <c r="G929">
        <v>-286.6814</v>
      </c>
      <c r="H929">
        <v>-0.05</v>
      </c>
      <c r="I929">
        <v>368.11149999999998</v>
      </c>
      <c r="J929">
        <v>-307.69819999999999</v>
      </c>
      <c r="K929">
        <v>1.060268</v>
      </c>
      <c r="L929">
        <v>367.83879999999999</v>
      </c>
      <c r="M929">
        <v>0.99985270000000004</v>
      </c>
      <c r="N929">
        <v>0</v>
      </c>
      <c r="O929">
        <v>-1.196468E-2</v>
      </c>
      <c r="P929">
        <v>0.99394490000000002</v>
      </c>
      <c r="Q929">
        <v>0.10156900000000001</v>
      </c>
      <c r="R929">
        <v>-4.1922290000000001E-2</v>
      </c>
      <c r="S929">
        <v>3.036133</v>
      </c>
      <c r="T929">
        <v>-0.15904889999999999</v>
      </c>
      <c r="U929">
        <v>3.8757319999999998E-2</v>
      </c>
      <c r="V929">
        <v>3.0043670000000001E-2</v>
      </c>
      <c r="W929">
        <v>0.11379789999999999</v>
      </c>
      <c r="X929">
        <v>0.99304959999999998</v>
      </c>
      <c r="Y929">
        <v>-2.467778E-2</v>
      </c>
      <c r="Z929">
        <v>1.272275E-3</v>
      </c>
      <c r="AA929">
        <v>0.99969459999999999</v>
      </c>
      <c r="AB929">
        <v>35</v>
      </c>
      <c r="AC929">
        <v>21.0167999999999</v>
      </c>
      <c r="AD929">
        <v>-1.110268</v>
      </c>
      <c r="AE929">
        <v>0.27269999999998601</v>
      </c>
      <c r="AF929">
        <v>-0.52270031921731797</v>
      </c>
      <c r="AG929">
        <v>-1.110268</v>
      </c>
      <c r="AH929">
        <v>20.953565861602002</v>
      </c>
      <c r="AI929">
        <v>93.032157303339602</v>
      </c>
      <c r="AJ929">
        <v>91.428984096593297</v>
      </c>
      <c r="AK929">
        <v>20.989469573384401</v>
      </c>
      <c r="AL929">
        <v>83.465705676636802</v>
      </c>
      <c r="AM929">
        <v>88.267105099376593</v>
      </c>
      <c r="AN929">
        <v>1.0000000461058101</v>
      </c>
    </row>
    <row r="930" spans="1:40" x14ac:dyDescent="0.25">
      <c r="A930" t="str">
        <f>"20190312164009601"</f>
        <v>20190312164009601</v>
      </c>
      <c r="B930" t="str">
        <f>"1552380009596914"</f>
        <v>1552380009596914</v>
      </c>
      <c r="C930" t="s">
        <v>40</v>
      </c>
      <c r="D930">
        <v>5.1821659999999996</v>
      </c>
      <c r="E930">
        <v>0.4823038</v>
      </c>
      <c r="F930" t="s">
        <v>43</v>
      </c>
      <c r="G930">
        <v>-286.46559999999999</v>
      </c>
      <c r="H930">
        <v>-0.05</v>
      </c>
      <c r="I930">
        <v>368.11750000000001</v>
      </c>
      <c r="J930">
        <v>-307.52550000000002</v>
      </c>
      <c r="K930">
        <v>1.0602320000000001</v>
      </c>
      <c r="L930">
        <v>367.83670000000001</v>
      </c>
      <c r="M930">
        <v>0.9998532</v>
      </c>
      <c r="N930">
        <v>0</v>
      </c>
      <c r="O930">
        <v>-1.19743E-2</v>
      </c>
      <c r="P930">
        <v>0.99391450000000003</v>
      </c>
      <c r="Q930">
        <v>0.10179059999999999</v>
      </c>
      <c r="R930">
        <v>-4.2104120000000002E-2</v>
      </c>
      <c r="S930">
        <v>3.0362239999999998</v>
      </c>
      <c r="T930">
        <v>-0.15876689999999999</v>
      </c>
      <c r="U930">
        <v>3.9855960000000003E-2</v>
      </c>
      <c r="V930">
        <v>3.0214069999999999E-2</v>
      </c>
      <c r="W930">
        <v>0.11397699999999999</v>
      </c>
      <c r="X930">
        <v>0.99302389999999996</v>
      </c>
      <c r="Y930">
        <v>-2.5048339999999999E-2</v>
      </c>
      <c r="Z930">
        <v>1.2801659999999999E-3</v>
      </c>
      <c r="AA930">
        <v>0.99968539999999995</v>
      </c>
      <c r="AB930">
        <v>35</v>
      </c>
      <c r="AC930">
        <v>21.059899999999999</v>
      </c>
      <c r="AD930">
        <v>-1.1102319999999899</v>
      </c>
      <c r="AE930">
        <v>0.28079999999999899</v>
      </c>
      <c r="AF930">
        <v>-0.53149950162174397</v>
      </c>
      <c r="AG930">
        <v>-1.1102319999999899</v>
      </c>
      <c r="AH930">
        <v>20.996684307621901</v>
      </c>
      <c r="AI930">
        <v>93.025816265402895</v>
      </c>
      <c r="AJ930">
        <v>91.450046868853207</v>
      </c>
      <c r="AK930">
        <v>21.0327330303978</v>
      </c>
      <c r="AL930">
        <v>83.455376866552996</v>
      </c>
      <c r="AM930">
        <v>88.257237532419694</v>
      </c>
      <c r="AN930">
        <v>1.00000005626308</v>
      </c>
    </row>
    <row r="931" spans="1:40" x14ac:dyDescent="0.25">
      <c r="A931" t="str">
        <f>"20190312164009613"</f>
        <v>20190312164009613</v>
      </c>
      <c r="B931" t="str">
        <f>"1552380009607652"</f>
        <v>1552380009607652</v>
      </c>
      <c r="C931" t="s">
        <v>40</v>
      </c>
      <c r="D931">
        <v>5.1824830000000004</v>
      </c>
      <c r="E931">
        <v>0.48231829999999998</v>
      </c>
      <c r="F931" t="s">
        <v>43</v>
      </c>
      <c r="G931">
        <v>-286.23270000000002</v>
      </c>
      <c r="H931">
        <v>-0.05</v>
      </c>
      <c r="I931">
        <v>368.11219999999997</v>
      </c>
      <c r="J931">
        <v>-307.34179999999998</v>
      </c>
      <c r="K931">
        <v>1.0601969999999901</v>
      </c>
      <c r="L931">
        <v>367.83449999999999</v>
      </c>
      <c r="M931">
        <v>0.99985360000000001</v>
      </c>
      <c r="N931">
        <v>0</v>
      </c>
      <c r="O931">
        <v>-1.197953E-2</v>
      </c>
      <c r="P931">
        <v>0.99385999999999997</v>
      </c>
      <c r="Q931">
        <v>0.1023348</v>
      </c>
      <c r="R931">
        <v>-4.2070429999999999E-2</v>
      </c>
      <c r="S931">
        <v>3.0362550000000001</v>
      </c>
      <c r="T931">
        <v>-0.15831429999999999</v>
      </c>
      <c r="U931">
        <v>3.9276119999999998E-2</v>
      </c>
      <c r="V931">
        <v>3.0173700000000001E-2</v>
      </c>
      <c r="W931">
        <v>0.1144782</v>
      </c>
      <c r="X931">
        <v>0.99296739999999994</v>
      </c>
      <c r="Y931">
        <v>-2.4863079999999999E-2</v>
      </c>
      <c r="Z931">
        <v>1.2719560000000001E-3</v>
      </c>
      <c r="AA931">
        <v>0.99969010000000003</v>
      </c>
      <c r="AB931">
        <v>35</v>
      </c>
      <c r="AC931">
        <v>21.109099999999899</v>
      </c>
      <c r="AD931">
        <v>-1.1101970000000001</v>
      </c>
      <c r="AE931">
        <v>0.27769999999998102</v>
      </c>
      <c r="AF931">
        <v>-0.52911274111235596</v>
      </c>
      <c r="AG931">
        <v>-1.1101970000000001</v>
      </c>
      <c r="AH931">
        <v>21.0460536323796</v>
      </c>
      <c r="AI931">
        <v>93.018649658007504</v>
      </c>
      <c r="AJ931">
        <v>91.440153236732201</v>
      </c>
      <c r="AK931">
        <v>21.081956056509899</v>
      </c>
      <c r="AL931">
        <v>83.426470545647803</v>
      </c>
      <c r="AM931">
        <v>88.259465690710101</v>
      </c>
      <c r="AN931">
        <v>0.99999998395484402</v>
      </c>
    </row>
    <row r="932" spans="1:40" x14ac:dyDescent="0.25">
      <c r="A932" t="str">
        <f>"20190312164009636"</f>
        <v>20190312164009636</v>
      </c>
      <c r="B932" t="str">
        <f>"1552380009627170"</f>
        <v>1552380009627170</v>
      </c>
      <c r="C932" t="s">
        <v>40</v>
      </c>
      <c r="D932">
        <v>5.2457710000000004</v>
      </c>
      <c r="E932">
        <v>0.48234890000000002</v>
      </c>
      <c r="F932" t="s">
        <v>43</v>
      </c>
      <c r="G932">
        <v>-285.83699999999999</v>
      </c>
      <c r="H932">
        <v>-0.05</v>
      </c>
      <c r="I932">
        <v>368.11290000000002</v>
      </c>
      <c r="J932">
        <v>-306.99529999999999</v>
      </c>
      <c r="K932">
        <v>1.0601419999999999</v>
      </c>
      <c r="L932">
        <v>367.8304</v>
      </c>
      <c r="M932">
        <v>0.99985460000000004</v>
      </c>
      <c r="N932">
        <v>0</v>
      </c>
      <c r="O932">
        <v>-1.1969530000000001E-2</v>
      </c>
      <c r="P932">
        <v>0.99380009999999996</v>
      </c>
      <c r="Q932">
        <v>0.1030929</v>
      </c>
      <c r="R932">
        <v>-4.1635890000000002E-2</v>
      </c>
      <c r="S932">
        <v>3.0363769999999999</v>
      </c>
      <c r="T932">
        <v>-0.1567549</v>
      </c>
      <c r="U932">
        <v>3.9306639999999997E-2</v>
      </c>
      <c r="V932">
        <v>2.9745259999999999E-2</v>
      </c>
      <c r="W932">
        <v>0.1151631</v>
      </c>
      <c r="X932">
        <v>0.99290109999999998</v>
      </c>
      <c r="Y932">
        <v>-2.48636E-2</v>
      </c>
      <c r="Z932">
        <v>1.258889E-3</v>
      </c>
      <c r="AA932">
        <v>0.99969010000000003</v>
      </c>
      <c r="AB932">
        <v>35</v>
      </c>
      <c r="AC932">
        <v>21.158300000000001</v>
      </c>
      <c r="AD932">
        <v>-1.110142</v>
      </c>
      <c r="AE932">
        <v>0.28250000000002701</v>
      </c>
      <c r="AF932">
        <v>-0.53428276472966696</v>
      </c>
      <c r="AG932">
        <v>-1.110142</v>
      </c>
      <c r="AH932">
        <v>21.095338721654201</v>
      </c>
      <c r="AI932">
        <v>93.011447129465495</v>
      </c>
      <c r="AJ932">
        <v>91.450823090444899</v>
      </c>
      <c r="AK932">
        <v>21.131284606340799</v>
      </c>
      <c r="AL932">
        <v>83.386967222951199</v>
      </c>
      <c r="AM932">
        <v>88.284050362554794</v>
      </c>
      <c r="AN932">
        <v>0.99999995723764301</v>
      </c>
    </row>
    <row r="933" spans="1:40" x14ac:dyDescent="0.25">
      <c r="A933" t="str">
        <f>"20190312164009648"</f>
        <v>20190312164009648</v>
      </c>
      <c r="B933" t="str">
        <f>"1552380009636931"</f>
        <v>1552380009636931</v>
      </c>
      <c r="C933" t="s">
        <v>40</v>
      </c>
      <c r="D933">
        <v>5.2525760000000004</v>
      </c>
      <c r="E933">
        <v>0.48237530000000001</v>
      </c>
      <c r="F933" t="s">
        <v>43</v>
      </c>
      <c r="G933">
        <v>-285.1096</v>
      </c>
      <c r="H933">
        <v>-0.05</v>
      </c>
      <c r="I933">
        <v>368.12349999999998</v>
      </c>
      <c r="J933">
        <v>-306.79899999999998</v>
      </c>
      <c r="K933">
        <v>1.0601229999999999</v>
      </c>
      <c r="L933">
        <v>367.82799999999997</v>
      </c>
      <c r="M933">
        <v>0.9998553</v>
      </c>
      <c r="N933">
        <v>0</v>
      </c>
      <c r="O933">
        <v>-1.1945519999999999E-2</v>
      </c>
      <c r="P933">
        <v>0.99376330000000002</v>
      </c>
      <c r="Q933">
        <v>0.10338940000000001</v>
      </c>
      <c r="R933">
        <v>-4.1779959999999998E-2</v>
      </c>
      <c r="S933">
        <v>3.0364070000000001</v>
      </c>
      <c r="T933">
        <v>-0.1540203</v>
      </c>
      <c r="U933">
        <v>4.0679930000000003E-2</v>
      </c>
      <c r="V933">
        <v>2.9910059999999999E-2</v>
      </c>
      <c r="W933">
        <v>0.1154241</v>
      </c>
      <c r="X933">
        <v>0.99286589999999997</v>
      </c>
      <c r="Y933">
        <v>-2.529269E-2</v>
      </c>
      <c r="Z933">
        <v>1.2465989999999999E-3</v>
      </c>
      <c r="AA933">
        <v>0.99967930000000005</v>
      </c>
      <c r="AB933">
        <v>35</v>
      </c>
      <c r="AC933">
        <v>21.689399999999999</v>
      </c>
      <c r="AD933">
        <v>-1.110123</v>
      </c>
      <c r="AE933">
        <v>0.29549999999994703</v>
      </c>
      <c r="AF933">
        <v>-0.55314030076616505</v>
      </c>
      <c r="AG933">
        <v>-1.110123</v>
      </c>
      <c r="AH933">
        <v>21.627675141070299</v>
      </c>
      <c r="AI933">
        <v>92.937387097036904</v>
      </c>
      <c r="AJ933">
        <v>91.465053320084294</v>
      </c>
      <c r="AK933">
        <v>21.6632100408765</v>
      </c>
      <c r="AL933">
        <v>83.371913015980894</v>
      </c>
      <c r="AM933">
        <v>88.274487947802598</v>
      </c>
      <c r="AN933">
        <v>1.0000000149664099</v>
      </c>
    </row>
    <row r="934" spans="1:40" x14ac:dyDescent="0.25">
      <c r="A934" t="str">
        <f>"20190312164009680"</f>
        <v>20190312164009680</v>
      </c>
      <c r="B934" t="str">
        <f>"1552380009677581"</f>
        <v>1552380009677581</v>
      </c>
      <c r="C934" t="s">
        <v>40</v>
      </c>
      <c r="D934">
        <v>5.3837349999999997</v>
      </c>
      <c r="E934">
        <v>0.48266569999999998</v>
      </c>
      <c r="F934" t="s">
        <v>43</v>
      </c>
      <c r="G934">
        <v>-284.76209999999998</v>
      </c>
      <c r="H934">
        <v>-0.05</v>
      </c>
      <c r="I934">
        <v>368.11709999999999</v>
      </c>
      <c r="J934">
        <v>-306.31610000000001</v>
      </c>
      <c r="K934">
        <v>1.0600969999999901</v>
      </c>
      <c r="L934">
        <v>367.82229999999998</v>
      </c>
      <c r="M934">
        <v>0.99985760000000001</v>
      </c>
      <c r="N934">
        <v>0</v>
      </c>
      <c r="O934">
        <v>-1.184145E-2</v>
      </c>
      <c r="P934">
        <v>0.99363029999999997</v>
      </c>
      <c r="Q934">
        <v>0.10470500000000001</v>
      </c>
      <c r="R934">
        <v>-4.1665510000000003E-2</v>
      </c>
      <c r="S934">
        <v>3.0364070000000001</v>
      </c>
      <c r="T934">
        <v>-0.1529604</v>
      </c>
      <c r="U934">
        <v>3.9825439999999997E-2</v>
      </c>
      <c r="V934">
        <v>2.988915E-2</v>
      </c>
      <c r="W934">
        <v>0.11666029999999999</v>
      </c>
      <c r="X934">
        <v>0.99272199999999999</v>
      </c>
      <c r="Y934">
        <v>-2.4908619999999999E-2</v>
      </c>
      <c r="Z934">
        <v>1.2231259999999999E-3</v>
      </c>
      <c r="AA934">
        <v>0.99968900000000005</v>
      </c>
      <c r="AB934">
        <v>35</v>
      </c>
      <c r="AC934">
        <v>21.553999999999998</v>
      </c>
      <c r="AD934">
        <v>-1.1100969999999999</v>
      </c>
      <c r="AE934">
        <v>0.294800000000009</v>
      </c>
      <c r="AF934">
        <v>-0.54857353618304605</v>
      </c>
      <c r="AG934">
        <v>-1.1100969999999999</v>
      </c>
      <c r="AH934">
        <v>21.491999195477302</v>
      </c>
      <c r="AI934">
        <v>92.955832361242599</v>
      </c>
      <c r="AJ934">
        <v>91.462131325090596</v>
      </c>
      <c r="AK934">
        <v>21.5276398542062</v>
      </c>
      <c r="AL934">
        <v>83.3006019659191</v>
      </c>
      <c r="AM934">
        <v>88.2754437218086</v>
      </c>
      <c r="AN934">
        <v>0.99999997808390595</v>
      </c>
    </row>
    <row r="935" spans="1:40" x14ac:dyDescent="0.25">
      <c r="A935" t="str">
        <f>"20190312164009691"</f>
        <v>20190312164009691</v>
      </c>
      <c r="B935" t="str">
        <f>"1552380009687342"</f>
        <v>1552380009687342</v>
      </c>
      <c r="C935" t="s">
        <v>40</v>
      </c>
      <c r="D935">
        <v>5.414574</v>
      </c>
      <c r="E935">
        <v>0.48275010000000002</v>
      </c>
      <c r="F935" t="s">
        <v>43</v>
      </c>
      <c r="G935">
        <v>-283.47320000000002</v>
      </c>
      <c r="H935">
        <v>-0.05</v>
      </c>
      <c r="I935">
        <v>368.10809999999998</v>
      </c>
      <c r="J935">
        <v>-306.13479999999998</v>
      </c>
      <c r="K935">
        <v>1.0600969999999901</v>
      </c>
      <c r="L935">
        <v>367.8202</v>
      </c>
      <c r="M935">
        <v>0.99985869999999999</v>
      </c>
      <c r="N935">
        <v>0</v>
      </c>
      <c r="O935">
        <v>-1.177987E-2</v>
      </c>
      <c r="P935">
        <v>0.99361080000000002</v>
      </c>
      <c r="Q935">
        <v>0.10479910000000001</v>
      </c>
      <c r="R935">
        <v>-4.1895429999999997E-2</v>
      </c>
      <c r="S935">
        <v>3.0363769999999999</v>
      </c>
      <c r="T935">
        <v>-0.14755879999999999</v>
      </c>
      <c r="U935">
        <v>3.7994380000000001E-2</v>
      </c>
      <c r="V935">
        <v>3.0175210000000001E-2</v>
      </c>
      <c r="W935">
        <v>0.1167299</v>
      </c>
      <c r="X935">
        <v>0.99270519999999995</v>
      </c>
      <c r="Y935">
        <v>-2.4248499999999999E-2</v>
      </c>
      <c r="Z935">
        <v>1.16098E-3</v>
      </c>
      <c r="AA935">
        <v>0.99970530000000002</v>
      </c>
      <c r="AB935">
        <v>35</v>
      </c>
      <c r="AC935">
        <v>22.6615999999999</v>
      </c>
      <c r="AD935">
        <v>-1.1100969999999999</v>
      </c>
      <c r="AE935">
        <v>0.28789999999997901</v>
      </c>
      <c r="AF935">
        <v>-0.55352189843213895</v>
      </c>
      <c r="AG935">
        <v>-1.1100969999999999</v>
      </c>
      <c r="AH935">
        <v>22.602407510884401</v>
      </c>
      <c r="AI935">
        <v>92.810930066798605</v>
      </c>
      <c r="AJ935">
        <v>91.402865195187303</v>
      </c>
      <c r="AK935">
        <v>22.6364203691647</v>
      </c>
      <c r="AL935">
        <v>83.296586985105805</v>
      </c>
      <c r="AM935">
        <v>88.258919179987103</v>
      </c>
      <c r="AN935">
        <v>1.00000001347979</v>
      </c>
    </row>
    <row r="936" spans="1:40" x14ac:dyDescent="0.25">
      <c r="A936" t="str">
        <f>"20190312164009702"</f>
        <v>20190312164009702</v>
      </c>
      <c r="B936" t="str">
        <f>"1552380009697101"</f>
        <v>1552380009697101</v>
      </c>
      <c r="C936" t="s">
        <v>40</v>
      </c>
      <c r="D936">
        <v>5.4737090000000004</v>
      </c>
      <c r="E936">
        <v>0.48282550000000002</v>
      </c>
      <c r="F936" t="s">
        <v>43</v>
      </c>
      <c r="G936">
        <v>-283.13369999999998</v>
      </c>
      <c r="H936">
        <v>-0.05</v>
      </c>
      <c r="I936">
        <v>368.09530000000001</v>
      </c>
      <c r="J936">
        <v>-305.96339999999998</v>
      </c>
      <c r="K936">
        <v>1.0600959999999999</v>
      </c>
      <c r="L936">
        <v>367.81819999999999</v>
      </c>
      <c r="M936">
        <v>0.99985959999999996</v>
      </c>
      <c r="N936">
        <v>0</v>
      </c>
      <c r="O936">
        <v>-1.1714860000000001E-2</v>
      </c>
      <c r="P936">
        <v>0.99357059999999997</v>
      </c>
      <c r="Q936">
        <v>0.10512009999999999</v>
      </c>
      <c r="R936">
        <v>-4.2040180000000003E-2</v>
      </c>
      <c r="S936">
        <v>3.0363159999999998</v>
      </c>
      <c r="T936">
        <v>-0.14654149999999999</v>
      </c>
      <c r="U936">
        <v>3.6315920000000002E-2</v>
      </c>
      <c r="V936">
        <v>3.037989E-2</v>
      </c>
      <c r="W936">
        <v>0.1170282</v>
      </c>
      <c r="X936">
        <v>0.99266379999999999</v>
      </c>
      <c r="Y936">
        <v>-2.3632569999999999E-2</v>
      </c>
      <c r="Z936">
        <v>1.1350220000000001E-3</v>
      </c>
      <c r="AA936">
        <v>0.9997201</v>
      </c>
      <c r="AB936">
        <v>35</v>
      </c>
      <c r="AC936">
        <v>22.829699999999999</v>
      </c>
      <c r="AD936">
        <v>-1.110096</v>
      </c>
      <c r="AE936">
        <v>0.277100000000018</v>
      </c>
      <c r="AF936">
        <v>-0.54326261858814195</v>
      </c>
      <c r="AG936">
        <v>-1.110096</v>
      </c>
      <c r="AH936">
        <v>22.771054833975199</v>
      </c>
      <c r="AI936">
        <v>92.790184754303397</v>
      </c>
      <c r="AJ936">
        <v>91.366680281092499</v>
      </c>
      <c r="AK936">
        <v>22.804569402948101</v>
      </c>
      <c r="AL936">
        <v>83.279377468833005</v>
      </c>
      <c r="AM936">
        <v>88.247043622152106</v>
      </c>
      <c r="AN936">
        <v>0.99999997857104495</v>
      </c>
    </row>
    <row r="937" spans="1:40" x14ac:dyDescent="0.25">
      <c r="A937" t="str">
        <f>"20190312164009713"</f>
        <v>20190312164009713</v>
      </c>
      <c r="B937" t="str">
        <f>"1552380009706861"</f>
        <v>1552380009706861</v>
      </c>
      <c r="C937" t="s">
        <v>40</v>
      </c>
      <c r="D937">
        <v>5.2115019999999896</v>
      </c>
      <c r="E937">
        <v>0.48291250000000002</v>
      </c>
      <c r="F937" t="s">
        <v>43</v>
      </c>
      <c r="G937">
        <v>-282.69639999999998</v>
      </c>
      <c r="H937">
        <v>-0.05</v>
      </c>
      <c r="I937">
        <v>368.0865</v>
      </c>
      <c r="J937">
        <v>-305.78370000000001</v>
      </c>
      <c r="K937">
        <v>1.060098</v>
      </c>
      <c r="L937">
        <v>367.81619999999998</v>
      </c>
      <c r="M937">
        <v>0.99986090000000005</v>
      </c>
      <c r="N937">
        <v>0</v>
      </c>
      <c r="O937">
        <v>-1.163733E-2</v>
      </c>
      <c r="P937">
        <v>0.99350159999999998</v>
      </c>
      <c r="Q937">
        <v>0.10560120000000001</v>
      </c>
      <c r="R937">
        <v>-4.2466299999999998E-2</v>
      </c>
      <c r="S937">
        <v>3.0362239999999998</v>
      </c>
      <c r="T937">
        <v>-0.14486170000000001</v>
      </c>
      <c r="U937">
        <v>3.5003659999999999E-2</v>
      </c>
      <c r="V937">
        <v>3.0878590000000001E-2</v>
      </c>
      <c r="W937">
        <v>0.1174871</v>
      </c>
      <c r="X937">
        <v>0.99259419999999998</v>
      </c>
      <c r="Y937">
        <v>-2.3124990000000002E-2</v>
      </c>
      <c r="Z937">
        <v>1.106264E-3</v>
      </c>
      <c r="AA937">
        <v>0.99973199999999995</v>
      </c>
      <c r="AB937">
        <v>35</v>
      </c>
      <c r="AC937">
        <v>23.087299999999999</v>
      </c>
      <c r="AD937">
        <v>-1.110098</v>
      </c>
      <c r="AE937">
        <v>0.27030000000002002</v>
      </c>
      <c r="AF937">
        <v>-0.53773236780205103</v>
      </c>
      <c r="AG937">
        <v>-1.110098</v>
      </c>
      <c r="AH937">
        <v>23.029355436802099</v>
      </c>
      <c r="AI937">
        <v>92.758976220123699</v>
      </c>
      <c r="AJ937">
        <v>91.337605725201001</v>
      </c>
      <c r="AK937">
        <v>23.062365132474</v>
      </c>
      <c r="AL937">
        <v>83.252901775172205</v>
      </c>
      <c r="AM937">
        <v>88.218161574970694</v>
      </c>
      <c r="AN937">
        <v>0.99999997593021805</v>
      </c>
    </row>
    <row r="938" spans="1:40" x14ac:dyDescent="0.25">
      <c r="A938" t="str">
        <f>"20190312164009725"</f>
        <v>20190312164009725</v>
      </c>
      <c r="B938" t="str">
        <f>"1552380009717598"</f>
        <v>1552380009717598</v>
      </c>
      <c r="C938" t="s">
        <v>40</v>
      </c>
      <c r="D938">
        <v>5.3254999999999999</v>
      </c>
      <c r="E938">
        <v>0.48299110000000001</v>
      </c>
      <c r="F938" t="s">
        <v>43</v>
      </c>
      <c r="G938">
        <v>-282.2115</v>
      </c>
      <c r="H938">
        <v>-0.05</v>
      </c>
      <c r="I938">
        <v>368.0718</v>
      </c>
      <c r="J938">
        <v>-305.61660000000001</v>
      </c>
      <c r="K938">
        <v>1.0600989999999999</v>
      </c>
      <c r="L938">
        <v>367.8143</v>
      </c>
      <c r="M938">
        <v>0.99986200000000003</v>
      </c>
      <c r="N938">
        <v>0</v>
      </c>
      <c r="O938">
        <v>-1.155485E-2</v>
      </c>
      <c r="P938">
        <v>0.99347969999999997</v>
      </c>
      <c r="Q938">
        <v>0.10576969999999999</v>
      </c>
      <c r="R938">
        <v>-4.2556209999999997E-2</v>
      </c>
      <c r="S938">
        <v>3.0362239999999998</v>
      </c>
      <c r="T938">
        <v>-0.1429869</v>
      </c>
      <c r="U938">
        <v>3.2928470000000001E-2</v>
      </c>
      <c r="V938">
        <v>3.1045759999999999E-2</v>
      </c>
      <c r="W938">
        <v>0.1176367</v>
      </c>
      <c r="X938">
        <v>0.99257130000000005</v>
      </c>
      <c r="Y938">
        <v>-2.2361249999999999E-2</v>
      </c>
      <c r="Z938">
        <v>1.07011E-3</v>
      </c>
      <c r="AA938">
        <v>0.99974940000000001</v>
      </c>
      <c r="AB938">
        <v>35</v>
      </c>
      <c r="AC938">
        <v>23.405100000000001</v>
      </c>
      <c r="AD938">
        <v>-1.1100989999999999</v>
      </c>
      <c r="AE938">
        <v>0.25749999999999301</v>
      </c>
      <c r="AF938">
        <v>-0.52675964603034098</v>
      </c>
      <c r="AG938">
        <v>-1.1100989999999999</v>
      </c>
      <c r="AH938">
        <v>23.348044622718898</v>
      </c>
      <c r="AI938">
        <v>92.721426188434606</v>
      </c>
      <c r="AJ938">
        <v>91.292441649225907</v>
      </c>
      <c r="AK938">
        <v>23.380354642711399</v>
      </c>
      <c r="AL938">
        <v>83.244270697462497</v>
      </c>
      <c r="AM938">
        <v>88.208480051642098</v>
      </c>
      <c r="AN938">
        <v>1.00000000899227</v>
      </c>
    </row>
    <row r="939" spans="1:40" x14ac:dyDescent="0.25">
      <c r="A939" t="str">
        <f>"20190312164009735"</f>
        <v>20190312164009735</v>
      </c>
      <c r="B939" t="str">
        <f>"1552380009727357"</f>
        <v>1552380009727357</v>
      </c>
      <c r="C939" t="s">
        <v>40</v>
      </c>
      <c r="D939">
        <v>5.2119749999999998</v>
      </c>
      <c r="E939">
        <v>0.48304900000000001</v>
      </c>
      <c r="F939" t="s">
        <v>43</v>
      </c>
      <c r="G939">
        <v>-281.90789999999998</v>
      </c>
      <c r="H939">
        <v>-0.05</v>
      </c>
      <c r="I939">
        <v>368.06240000000003</v>
      </c>
      <c r="J939">
        <v>-305.44619999999998</v>
      </c>
      <c r="K939">
        <v>1.060103</v>
      </c>
      <c r="L939">
        <v>367.81240000000003</v>
      </c>
      <c r="M939">
        <v>0.99986330000000001</v>
      </c>
      <c r="N939">
        <v>0</v>
      </c>
      <c r="O939">
        <v>-1.146498E-2</v>
      </c>
      <c r="P939">
        <v>0.99341400000000002</v>
      </c>
      <c r="Q939">
        <v>0.1064203</v>
      </c>
      <c r="R939">
        <v>-4.2467579999999998E-2</v>
      </c>
      <c r="S939">
        <v>3.0361940000000001</v>
      </c>
      <c r="T939">
        <v>-0.1421618</v>
      </c>
      <c r="U939">
        <v>3.17688E-2</v>
      </c>
      <c r="V939">
        <v>3.1042340000000002E-2</v>
      </c>
      <c r="W939">
        <v>0.11826879999999999</v>
      </c>
      <c r="X939">
        <v>0.9924963</v>
      </c>
      <c r="Y939">
        <v>-2.1890730000000001E-2</v>
      </c>
      <c r="Z939">
        <v>1.04874E-3</v>
      </c>
      <c r="AA939">
        <v>0.99975979999999998</v>
      </c>
      <c r="AB939">
        <v>35</v>
      </c>
      <c r="AC939">
        <v>23.5382999999999</v>
      </c>
      <c r="AD939">
        <v>-1.1101030000000001</v>
      </c>
      <c r="AE939">
        <v>0.25</v>
      </c>
      <c r="AF939">
        <v>-0.518715255921116</v>
      </c>
      <c r="AG939">
        <v>-1.1101030000000001</v>
      </c>
      <c r="AH939">
        <v>23.4816639460646</v>
      </c>
      <c r="AI939">
        <v>92.706001484840797</v>
      </c>
      <c r="AJ939">
        <v>91.265470886079697</v>
      </c>
      <c r="AK939">
        <v>23.513611714563201</v>
      </c>
      <c r="AL939">
        <v>83.207799516695303</v>
      </c>
      <c r="AM939">
        <v>88.208542000100394</v>
      </c>
      <c r="AN939">
        <v>1.0000000207199</v>
      </c>
    </row>
    <row r="940" spans="1:40" x14ac:dyDescent="0.25">
      <c r="A940" t="str">
        <f>"20190312164009746"</f>
        <v>20190312164009746</v>
      </c>
      <c r="B940" t="str">
        <f>"1552380009737119"</f>
        <v>1552380009737119</v>
      </c>
      <c r="C940" t="s">
        <v>40</v>
      </c>
      <c r="D940">
        <v>5.2721499999999999</v>
      </c>
      <c r="E940">
        <v>0.48311379999999998</v>
      </c>
      <c r="F940" t="s">
        <v>43</v>
      </c>
      <c r="G940">
        <v>-281.32279999999997</v>
      </c>
      <c r="H940">
        <v>-0.05</v>
      </c>
      <c r="I940">
        <v>368.06290000000001</v>
      </c>
      <c r="J940">
        <v>-305.28149999999999</v>
      </c>
      <c r="K940">
        <v>1.0601069999999999</v>
      </c>
      <c r="L940">
        <v>367.81060000000002</v>
      </c>
      <c r="M940">
        <v>0.99986459999999999</v>
      </c>
      <c r="N940">
        <v>0</v>
      </c>
      <c r="O940">
        <v>-1.1367169999999999E-2</v>
      </c>
      <c r="P940">
        <v>0.99335870000000004</v>
      </c>
      <c r="Q940">
        <v>0.106921</v>
      </c>
      <c r="R940">
        <v>-4.2503119999999998E-2</v>
      </c>
      <c r="S940">
        <v>3.0361940000000001</v>
      </c>
      <c r="T940">
        <v>-0.13971889999999901</v>
      </c>
      <c r="U940">
        <v>3.1524660000000003E-2</v>
      </c>
      <c r="V940">
        <v>3.1171299999999999E-2</v>
      </c>
      <c r="W940">
        <v>0.1187532</v>
      </c>
      <c r="X940">
        <v>0.99243440000000005</v>
      </c>
      <c r="Y940">
        <v>-2.171408E-2</v>
      </c>
      <c r="Z940">
        <v>1.022177E-3</v>
      </c>
      <c r="AA940">
        <v>0.99976370000000003</v>
      </c>
      <c r="AB940">
        <v>35</v>
      </c>
      <c r="AC940">
        <v>23.9587</v>
      </c>
      <c r="AD940">
        <v>-1.110107</v>
      </c>
      <c r="AE940">
        <v>0.25229999999999098</v>
      </c>
      <c r="AF940">
        <v>-0.52352179061064397</v>
      </c>
      <c r="AG940">
        <v>-1.110107</v>
      </c>
      <c r="AH940">
        <v>23.902973125470499</v>
      </c>
      <c r="AI940">
        <v>92.658395612168405</v>
      </c>
      <c r="AJ940">
        <v>91.254688864752197</v>
      </c>
      <c r="AK940">
        <v>23.934463370914699</v>
      </c>
      <c r="AL940">
        <v>83.179848357912306</v>
      </c>
      <c r="AM940">
        <v>88.200992452559902</v>
      </c>
      <c r="AN940">
        <v>1.00000000537864</v>
      </c>
    </row>
    <row r="941" spans="1:40" x14ac:dyDescent="0.25">
      <c r="A941" t="str">
        <f>"20190312164009758"</f>
        <v>20190312164009758</v>
      </c>
      <c r="B941" t="str">
        <f>"1552380009746878"</f>
        <v>1552380009746878</v>
      </c>
      <c r="C941" t="s">
        <v>40</v>
      </c>
      <c r="D941">
        <v>5.211068</v>
      </c>
      <c r="E941">
        <v>0.48318699999999998</v>
      </c>
      <c r="F941" t="s">
        <v>43</v>
      </c>
      <c r="G941">
        <v>-280.81869999999998</v>
      </c>
      <c r="H941">
        <v>-0.05</v>
      </c>
      <c r="I941">
        <v>368.05939999999998</v>
      </c>
      <c r="J941">
        <v>-305.10140000000001</v>
      </c>
      <c r="K941">
        <v>1.0601119999999999</v>
      </c>
      <c r="L941">
        <v>367.80869999999999</v>
      </c>
      <c r="M941">
        <v>0.99986609999999998</v>
      </c>
      <c r="N941">
        <v>0</v>
      </c>
      <c r="O941">
        <v>-1.125718E-2</v>
      </c>
      <c r="P941">
        <v>0.99333199999999999</v>
      </c>
      <c r="Q941">
        <v>0.1073105</v>
      </c>
      <c r="R941">
        <v>-4.2147480000000001E-2</v>
      </c>
      <c r="S941">
        <v>3.0362239999999998</v>
      </c>
      <c r="T941">
        <v>-0.1377823</v>
      </c>
      <c r="U941">
        <v>3.0883790000000001E-2</v>
      </c>
      <c r="V941">
        <v>3.092085E-2</v>
      </c>
      <c r="W941">
        <v>0.1191258</v>
      </c>
      <c r="X941">
        <v>0.99239750000000004</v>
      </c>
      <c r="Y941">
        <v>-2.1394400000000001E-2</v>
      </c>
      <c r="Z941">
        <v>9.9577590000000005E-4</v>
      </c>
      <c r="AA941">
        <v>0.99977059999999995</v>
      </c>
      <c r="AB941">
        <v>35</v>
      </c>
      <c r="AC941">
        <v>24.282699999999998</v>
      </c>
      <c r="AD941">
        <v>-1.110112</v>
      </c>
      <c r="AE941">
        <v>0.25069999999999398</v>
      </c>
      <c r="AF941">
        <v>-0.522965254464409</v>
      </c>
      <c r="AG941">
        <v>-1.110112</v>
      </c>
      <c r="AH941">
        <v>24.227709017387401</v>
      </c>
      <c r="AI941">
        <v>92.622843738433303</v>
      </c>
      <c r="AJ941">
        <v>91.236561390352193</v>
      </c>
      <c r="AK941">
        <v>24.258765952560701</v>
      </c>
      <c r="AL941">
        <v>83.158346783880305</v>
      </c>
      <c r="AM941">
        <v>88.215371124456993</v>
      </c>
      <c r="AN941">
        <v>0.99999992659830295</v>
      </c>
    </row>
    <row r="942" spans="1:40" x14ac:dyDescent="0.25">
      <c r="A942" t="str">
        <f>"20190312164009769"</f>
        <v>20190312164009769</v>
      </c>
      <c r="B942" t="str">
        <f>"1552380009757220"</f>
        <v>1552380009757220</v>
      </c>
      <c r="C942" t="s">
        <v>40</v>
      </c>
      <c r="D942">
        <v>5.3436640000000004</v>
      </c>
      <c r="E942">
        <v>0.48327890000000001</v>
      </c>
      <c r="F942" t="s">
        <v>43</v>
      </c>
      <c r="G942">
        <v>-280.34629999999999</v>
      </c>
      <c r="H942">
        <v>-0.05</v>
      </c>
      <c r="I942">
        <v>368.06420000000003</v>
      </c>
      <c r="J942">
        <v>-304.9203</v>
      </c>
      <c r="K942">
        <v>1.060109</v>
      </c>
      <c r="L942">
        <v>367.80669999999998</v>
      </c>
      <c r="M942">
        <v>0.99986759999999997</v>
      </c>
      <c r="N942">
        <v>0</v>
      </c>
      <c r="O942">
        <v>-1.113509E-2</v>
      </c>
      <c r="P942">
        <v>0.99334080000000002</v>
      </c>
      <c r="Q942">
        <v>0.1073691</v>
      </c>
      <c r="R942">
        <v>-4.1785469999999998E-2</v>
      </c>
      <c r="S942">
        <v>3.0361940000000001</v>
      </c>
      <c r="T942">
        <v>-0.13615429999999901</v>
      </c>
      <c r="U942">
        <v>3.1341550000000003E-2</v>
      </c>
      <c r="V942">
        <v>3.067636E-2</v>
      </c>
      <c r="W942">
        <v>0.11916939999999999</v>
      </c>
      <c r="X942">
        <v>0.9923999</v>
      </c>
      <c r="Y942">
        <v>-2.1424019999999998E-2</v>
      </c>
      <c r="Z942">
        <v>9.792224E-4</v>
      </c>
      <c r="AA942">
        <v>0.99977000000000005</v>
      </c>
      <c r="AB942">
        <v>35</v>
      </c>
      <c r="AC942">
        <v>24.574000000000002</v>
      </c>
      <c r="AD942">
        <v>-1.110109</v>
      </c>
      <c r="AE942">
        <v>0.25750000000004902</v>
      </c>
      <c r="AF942">
        <v>-0.53005543365930197</v>
      </c>
      <c r="AG942">
        <v>-1.110109</v>
      </c>
      <c r="AH942">
        <v>24.519577131980899</v>
      </c>
      <c r="AI942">
        <v>92.591656819452794</v>
      </c>
      <c r="AJ942">
        <v>91.238406746085204</v>
      </c>
      <c r="AK942">
        <v>24.550416768067102</v>
      </c>
      <c r="AL942">
        <v>83.155831085727996</v>
      </c>
      <c r="AM942">
        <v>88.229477379915593</v>
      </c>
      <c r="AN942">
        <v>0.99999997323960899</v>
      </c>
    </row>
    <row r="943" spans="1:40" x14ac:dyDescent="0.25">
      <c r="A943" t="str">
        <f>"20190312164009780"</f>
        <v>20190312164009780</v>
      </c>
      <c r="B943" t="str">
        <f>"1552380009776742"</f>
        <v>1552380009776742</v>
      </c>
      <c r="C943" t="s">
        <v>40</v>
      </c>
      <c r="D943">
        <v>5.3475440000000001</v>
      </c>
      <c r="E943">
        <v>0.48340749999999999</v>
      </c>
      <c r="F943" t="s">
        <v>43</v>
      </c>
      <c r="G943">
        <v>-280.06920000000002</v>
      </c>
      <c r="H943">
        <v>-0.05</v>
      </c>
      <c r="I943">
        <v>368.06580000000002</v>
      </c>
      <c r="J943">
        <v>-304.75209999999998</v>
      </c>
      <c r="K943">
        <v>1.060114</v>
      </c>
      <c r="L943">
        <v>367.80500000000001</v>
      </c>
      <c r="M943">
        <v>0.99986900000000001</v>
      </c>
      <c r="N943">
        <v>0</v>
      </c>
      <c r="O943">
        <v>-1.102007E-2</v>
      </c>
      <c r="P943">
        <v>0.99334389999999995</v>
      </c>
      <c r="Q943">
        <v>0.10753740000000001</v>
      </c>
      <c r="R943">
        <v>-4.1269800000000002E-2</v>
      </c>
      <c r="S943">
        <v>3.036133</v>
      </c>
      <c r="T943">
        <v>-0.13562539999999901</v>
      </c>
      <c r="U943">
        <v>3.1646729999999998E-2</v>
      </c>
      <c r="V943">
        <v>3.027229E-2</v>
      </c>
      <c r="W943">
        <v>0.11932470000000001</v>
      </c>
      <c r="X943">
        <v>0.99239370000000005</v>
      </c>
      <c r="Y943">
        <v>-2.141007E-2</v>
      </c>
      <c r="Z943">
        <v>9.6999390000000003E-4</v>
      </c>
      <c r="AA943">
        <v>0.9997703</v>
      </c>
      <c r="AB943">
        <v>35</v>
      </c>
      <c r="AC943">
        <v>24.682899999999901</v>
      </c>
      <c r="AD943">
        <v>-1.110114</v>
      </c>
      <c r="AE943">
        <v>0.26080000000001702</v>
      </c>
      <c r="AF943">
        <v>-0.53173511457481903</v>
      </c>
      <c r="AG943">
        <v>-1.110114</v>
      </c>
      <c r="AH943">
        <v>24.628714499956299</v>
      </c>
      <c r="AI943">
        <v>92.580201091014999</v>
      </c>
      <c r="AJ943">
        <v>91.236826447961803</v>
      </c>
      <c r="AK943">
        <v>24.6594540338067</v>
      </c>
      <c r="AL943">
        <v>83.146869464859094</v>
      </c>
      <c r="AM943">
        <v>88.252773300004193</v>
      </c>
      <c r="AN943">
        <v>1.0000000256858099</v>
      </c>
    </row>
    <row r="944" spans="1:40" x14ac:dyDescent="0.25">
      <c r="A944" t="str">
        <f>"20190312164009791"</f>
        <v>20190312164009791</v>
      </c>
      <c r="B944" t="str">
        <f>"1552380009787477"</f>
        <v>1552380009787477</v>
      </c>
      <c r="C944" t="s">
        <v>40</v>
      </c>
      <c r="D944">
        <v>5.2678039999999999</v>
      </c>
      <c r="E944">
        <v>0.48347820000000002</v>
      </c>
      <c r="F944" t="s">
        <v>43</v>
      </c>
      <c r="G944">
        <v>-279.61099999999999</v>
      </c>
      <c r="H944">
        <v>-0.05</v>
      </c>
      <c r="I944">
        <v>368.07260000000002</v>
      </c>
      <c r="J944">
        <v>-304.57870000000003</v>
      </c>
      <c r="K944">
        <v>1.060111</v>
      </c>
      <c r="L944">
        <v>367.8032</v>
      </c>
      <c r="M944">
        <v>0.9998705</v>
      </c>
      <c r="N944">
        <v>0</v>
      </c>
      <c r="O944">
        <v>-1.0895419999999999E-2</v>
      </c>
      <c r="P944">
        <v>0.99333610000000006</v>
      </c>
      <c r="Q944">
        <v>0.107735</v>
      </c>
      <c r="R944">
        <v>-4.09459E-2</v>
      </c>
      <c r="S944">
        <v>3.0359500000000001</v>
      </c>
      <c r="T944">
        <v>-0.13405310000000001</v>
      </c>
      <c r="U944">
        <v>3.2318119999999999E-2</v>
      </c>
      <c r="V944">
        <v>3.0069439999999999E-2</v>
      </c>
      <c r="W944">
        <v>0.1195093</v>
      </c>
      <c r="X944">
        <v>0.99237759999999997</v>
      </c>
      <c r="Y944">
        <v>-2.15079E-2</v>
      </c>
      <c r="Z944">
        <v>9.5547410000000003E-4</v>
      </c>
      <c r="AA944">
        <v>0.9997682</v>
      </c>
      <c r="AB944">
        <v>35</v>
      </c>
      <c r="AC944">
        <v>24.967700000000001</v>
      </c>
      <c r="AD944">
        <v>-1.1101110000000001</v>
      </c>
      <c r="AE944">
        <v>0.26940000000001801</v>
      </c>
      <c r="AF944">
        <v>-0.54036855825142605</v>
      </c>
      <c r="AG944">
        <v>-1.1101110000000001</v>
      </c>
      <c r="AH944">
        <v>24.914036547095701</v>
      </c>
      <c r="AI944">
        <v>92.550678852573895</v>
      </c>
      <c r="AJ944">
        <v>91.242511792337694</v>
      </c>
      <c r="AK944">
        <v>24.944609872296802</v>
      </c>
      <c r="AL944">
        <v>83.136216066273903</v>
      </c>
      <c r="AM944">
        <v>88.264445876045599</v>
      </c>
      <c r="AN944">
        <v>0.99999997249508099</v>
      </c>
    </row>
    <row r="945" spans="1:40" x14ac:dyDescent="0.25">
      <c r="A945" t="str">
        <f>"20190312164009803"</f>
        <v>20190312164009803</v>
      </c>
      <c r="B945" t="str">
        <f>"1552380009797237"</f>
        <v>1552380009797237</v>
      </c>
      <c r="C945" t="s">
        <v>40</v>
      </c>
      <c r="D945">
        <v>5.7599589999999896</v>
      </c>
      <c r="E945">
        <v>0.48354409999999998</v>
      </c>
      <c r="F945" t="s">
        <v>43</v>
      </c>
      <c r="G945">
        <v>-279.2242</v>
      </c>
      <c r="H945">
        <v>-0.05</v>
      </c>
      <c r="I945">
        <v>368.07810000000001</v>
      </c>
      <c r="J945">
        <v>-304.40129999999999</v>
      </c>
      <c r="K945">
        <v>1.060111</v>
      </c>
      <c r="L945">
        <v>367.80130000000003</v>
      </c>
      <c r="M945">
        <v>0.99987210000000004</v>
      </c>
      <c r="N945">
        <v>0</v>
      </c>
      <c r="O945">
        <v>-1.076613E-2</v>
      </c>
      <c r="P945">
        <v>0.99333300000000002</v>
      </c>
      <c r="Q945">
        <v>0.1079682</v>
      </c>
      <c r="R945">
        <v>-4.0399869999999997E-2</v>
      </c>
      <c r="S945">
        <v>3.0358890000000001</v>
      </c>
      <c r="T945">
        <v>-0.13292179999999901</v>
      </c>
      <c r="U945">
        <v>3.2928470000000001E-2</v>
      </c>
      <c r="V945">
        <v>2.9649669999999999E-2</v>
      </c>
      <c r="W945">
        <v>0.1197294</v>
      </c>
      <c r="X945">
        <v>0.99236380000000002</v>
      </c>
      <c r="Y945">
        <v>-2.15804E-2</v>
      </c>
      <c r="Z945">
        <v>9.4336500000000005E-4</v>
      </c>
      <c r="AA945">
        <v>0.99976659999999995</v>
      </c>
      <c r="AB945">
        <v>35</v>
      </c>
      <c r="AC945">
        <v>25.177099999999999</v>
      </c>
      <c r="AD945">
        <v>-1.1101110000000001</v>
      </c>
      <c r="AE945">
        <v>0.27679999999998001</v>
      </c>
      <c r="AF945">
        <v>-0.54679993401471405</v>
      </c>
      <c r="AG945">
        <v>-1.1101110000000001</v>
      </c>
      <c r="AH945">
        <v>25.1238227112838</v>
      </c>
      <c r="AI945">
        <v>92.529404126428801</v>
      </c>
      <c r="AJ945">
        <v>91.246800040168694</v>
      </c>
      <c r="AK945">
        <v>25.154280037961399</v>
      </c>
      <c r="AL945">
        <v>83.123514748784601</v>
      </c>
      <c r="AM945">
        <v>88.288635953991104</v>
      </c>
      <c r="AN945">
        <v>1.00000007185295</v>
      </c>
    </row>
    <row r="946" spans="1:40" x14ac:dyDescent="0.25">
      <c r="A946" t="str">
        <f>"20190312164009814"</f>
        <v>20190312164009814</v>
      </c>
      <c r="B946" t="str">
        <f>"1552380009806997"</f>
        <v>1552380009806997</v>
      </c>
      <c r="C946" t="s">
        <v>40</v>
      </c>
      <c r="D946">
        <v>5.4633510000000003</v>
      </c>
      <c r="E946">
        <v>0.48362139999999998</v>
      </c>
      <c r="F946" t="s">
        <v>43</v>
      </c>
      <c r="G946">
        <v>-278.83530000000002</v>
      </c>
      <c r="H946">
        <v>-0.05</v>
      </c>
      <c r="I946">
        <v>368.08890000000002</v>
      </c>
      <c r="J946">
        <v>-304.2149</v>
      </c>
      <c r="K946">
        <v>1.060111</v>
      </c>
      <c r="L946">
        <v>367.79950000000002</v>
      </c>
      <c r="M946">
        <v>0.99987380000000003</v>
      </c>
      <c r="N946">
        <v>0</v>
      </c>
      <c r="O946">
        <v>-1.062781E-2</v>
      </c>
      <c r="P946">
        <v>0.99334109999999998</v>
      </c>
      <c r="Q946">
        <v>0.10794769999999899</v>
      </c>
      <c r="R946">
        <v>-4.0263229999999997E-2</v>
      </c>
      <c r="S946">
        <v>3.0357970000000001</v>
      </c>
      <c r="T946">
        <v>-0.13181870000000001</v>
      </c>
      <c r="U946">
        <v>3.414917E-2</v>
      </c>
      <c r="V946">
        <v>2.9648109999999998E-2</v>
      </c>
      <c r="W946">
        <v>0.11969680000000001</v>
      </c>
      <c r="X946">
        <v>0.99236769999999996</v>
      </c>
      <c r="Y946">
        <v>-2.1844760000000001E-2</v>
      </c>
      <c r="Z946">
        <v>9.3530230000000005E-4</v>
      </c>
      <c r="AA946">
        <v>0.99976089999999995</v>
      </c>
      <c r="AB946">
        <v>35</v>
      </c>
      <c r="AC946">
        <v>25.3795999999999</v>
      </c>
      <c r="AD946">
        <v>-1.1101110000000001</v>
      </c>
      <c r="AE946">
        <v>0.28939999999999999</v>
      </c>
      <c r="AF946">
        <v>-0.55806446943839905</v>
      </c>
      <c r="AG946">
        <v>-1.1101110000000001</v>
      </c>
      <c r="AH946">
        <v>25.326641585704301</v>
      </c>
      <c r="AI946">
        <v>92.509159501969194</v>
      </c>
      <c r="AJ946">
        <v>91.262289961568996</v>
      </c>
      <c r="AK946">
        <v>25.357100709566499</v>
      </c>
      <c r="AL946">
        <v>83.125395577439605</v>
      </c>
      <c r="AM946">
        <v>88.288732664165593</v>
      </c>
      <c r="AN946">
        <v>0.99999999318005095</v>
      </c>
    </row>
    <row r="947" spans="1:40" x14ac:dyDescent="0.25">
      <c r="A947" t="str">
        <f>"20190312164009825"</f>
        <v>20190312164009825</v>
      </c>
      <c r="B947" t="str">
        <f>"1552380009816757"</f>
        <v>1552380009816757</v>
      </c>
      <c r="C947" t="s">
        <v>40</v>
      </c>
      <c r="D947">
        <v>5.365259</v>
      </c>
      <c r="E947">
        <v>0.48366880000000001</v>
      </c>
      <c r="F947" t="s">
        <v>41</v>
      </c>
      <c r="G947">
        <v>-279.7235</v>
      </c>
      <c r="H947" s="1">
        <v>-4.9003049999999996E-7</v>
      </c>
      <c r="I947">
        <v>368.07589999999999</v>
      </c>
      <c r="J947">
        <v>-304.05040000000002</v>
      </c>
      <c r="K947">
        <v>1.0601130000000001</v>
      </c>
      <c r="L947">
        <v>367.7978</v>
      </c>
      <c r="M947">
        <v>0.99987519999999996</v>
      </c>
      <c r="N947">
        <v>0</v>
      </c>
      <c r="O947">
        <v>-1.050454E-2</v>
      </c>
      <c r="P947">
        <v>0.99336740000000001</v>
      </c>
      <c r="Q947">
        <v>0.1077954</v>
      </c>
      <c r="R947">
        <v>-4.001909E-2</v>
      </c>
      <c r="S947">
        <v>3.0357669999999999</v>
      </c>
      <c r="T947">
        <v>-0.13140250000000001</v>
      </c>
      <c r="U947">
        <v>3.4271240000000001E-2</v>
      </c>
      <c r="V947">
        <v>2.9525119999999998E-2</v>
      </c>
      <c r="W947">
        <v>0.1195349</v>
      </c>
      <c r="X947">
        <v>0.99239089999999996</v>
      </c>
      <c r="Y947">
        <v>-2.1762199999999999E-2</v>
      </c>
      <c r="Z947">
        <v>9.2524220000000002E-4</v>
      </c>
      <c r="AA947">
        <v>0.99976279999999995</v>
      </c>
      <c r="AB947">
        <v>35</v>
      </c>
      <c r="AC947">
        <v>24.326899999999998</v>
      </c>
      <c r="AD947">
        <v>-1.06011349003049</v>
      </c>
      <c r="AE947">
        <v>0.27809999999999402</v>
      </c>
      <c r="AF947">
        <v>-0.53263398642725002</v>
      </c>
      <c r="AG947">
        <v>-1.06011349003049</v>
      </c>
      <c r="AH947">
        <v>24.276540293851401</v>
      </c>
      <c r="AI947">
        <v>92.499815755769802</v>
      </c>
      <c r="AJ947">
        <v>91.256883545552398</v>
      </c>
      <c r="AK947">
        <v>24.305512712432801</v>
      </c>
      <c r="AL947">
        <v>83.134738974422007</v>
      </c>
      <c r="AM947">
        <v>88.295867179170898</v>
      </c>
      <c r="AN947">
        <v>1.00000001171591</v>
      </c>
    </row>
    <row r="948" spans="1:40" x14ac:dyDescent="0.25">
      <c r="A948" t="str">
        <f>"20190312164009837"</f>
        <v>20190312164009837</v>
      </c>
      <c r="B948" t="str">
        <f>"1552380009827493"</f>
        <v>1552380009827493</v>
      </c>
      <c r="C948" t="s">
        <v>40</v>
      </c>
      <c r="D948">
        <v>5.3903379999999999</v>
      </c>
      <c r="E948">
        <v>0.4837168</v>
      </c>
      <c r="F948" t="s">
        <v>41</v>
      </c>
      <c r="G948">
        <v>-279.56959999999998</v>
      </c>
      <c r="H948" s="1">
        <v>-5.416194E-7</v>
      </c>
      <c r="I948">
        <v>368.0788</v>
      </c>
      <c r="J948">
        <v>-303.88010000000003</v>
      </c>
      <c r="K948">
        <v>1.060109</v>
      </c>
      <c r="L948">
        <v>367.79610000000002</v>
      </c>
      <c r="M948">
        <v>0.9998766</v>
      </c>
      <c r="N948">
        <v>0</v>
      </c>
      <c r="O948">
        <v>-1.037627E-2</v>
      </c>
      <c r="P948">
        <v>0.99336550000000001</v>
      </c>
      <c r="Q948">
        <v>0.1078493</v>
      </c>
      <c r="R948">
        <v>-3.9923960000000001E-2</v>
      </c>
      <c r="S948">
        <v>3.0356749999999999</v>
      </c>
      <c r="T948">
        <v>-0.13145599999999999</v>
      </c>
      <c r="U948">
        <v>3.4851069999999998E-2</v>
      </c>
      <c r="V948">
        <v>2.9555749999999999E-2</v>
      </c>
      <c r="W948">
        <v>0.1195789</v>
      </c>
      <c r="X948">
        <v>0.99238470000000001</v>
      </c>
      <c r="Y948">
        <v>-2.1825259999999999E-2</v>
      </c>
      <c r="Z948">
        <v>9.2145829999999999E-4</v>
      </c>
      <c r="AA948">
        <v>0.99976140000000002</v>
      </c>
      <c r="AB948">
        <v>35</v>
      </c>
      <c r="AC948">
        <v>24.310500000000001</v>
      </c>
      <c r="AD948">
        <v>-1.0601095416194</v>
      </c>
      <c r="AE948">
        <v>0.28269999999997703</v>
      </c>
      <c r="AF948">
        <v>-0.53393944960213502</v>
      </c>
      <c r="AG948">
        <v>-1.0601095416194</v>
      </c>
      <c r="AH948">
        <v>24.260131240416001</v>
      </c>
      <c r="AI948">
        <v>92.501491360446295</v>
      </c>
      <c r="AJ948">
        <v>91.260815059792506</v>
      </c>
      <c r="AK948">
        <v>24.289151722081201</v>
      </c>
      <c r="AL948">
        <v>83.132199833583897</v>
      </c>
      <c r="AM948">
        <v>88.294089667435401</v>
      </c>
      <c r="AN948">
        <v>1.00000002423868</v>
      </c>
    </row>
    <row r="949" spans="1:40" x14ac:dyDescent="0.25">
      <c r="A949" t="str">
        <f>"20190312164009849"</f>
        <v>20190312164009849</v>
      </c>
      <c r="B949" t="str">
        <f>"1552380009837254"</f>
        <v>1552380009837254</v>
      </c>
      <c r="C949" t="s">
        <v>40</v>
      </c>
      <c r="D949">
        <v>5.1239039999999996</v>
      </c>
      <c r="E949">
        <v>0.48375610000000002</v>
      </c>
      <c r="F949" t="s">
        <v>41</v>
      </c>
      <c r="G949">
        <v>-279.27269999999999</v>
      </c>
      <c r="H949" s="1">
        <v>-6.4265050000000001E-7</v>
      </c>
      <c r="I949">
        <v>368.0788</v>
      </c>
      <c r="J949">
        <v>-303.6771</v>
      </c>
      <c r="K949">
        <v>1.0601050000000001</v>
      </c>
      <c r="L949">
        <v>367.79419999999999</v>
      </c>
      <c r="M949">
        <v>0.9998783</v>
      </c>
      <c r="N949">
        <v>0</v>
      </c>
      <c r="O949">
        <v>-1.0222490000000001E-2</v>
      </c>
      <c r="P949">
        <v>0.993367</v>
      </c>
      <c r="Q949">
        <v>0.1075773</v>
      </c>
      <c r="R949">
        <v>-4.0610710000000001E-2</v>
      </c>
      <c r="S949">
        <v>3.0357059999999998</v>
      </c>
      <c r="T949">
        <v>-0.1307806</v>
      </c>
      <c r="U949">
        <v>3.4881589999999997E-2</v>
      </c>
      <c r="V949">
        <v>3.039449E-2</v>
      </c>
      <c r="W949">
        <v>0.11929720000000001</v>
      </c>
      <c r="X949">
        <v>0.99239330000000003</v>
      </c>
      <c r="Y949">
        <v>-2.168202E-2</v>
      </c>
      <c r="Z949">
        <v>9.0701319999999998E-4</v>
      </c>
      <c r="AA949">
        <v>0.99976449999999994</v>
      </c>
      <c r="AB949">
        <v>35</v>
      </c>
      <c r="AC949">
        <v>24.404399999999999</v>
      </c>
      <c r="AD949">
        <v>-1.06010564265049</v>
      </c>
      <c r="AE949">
        <v>0.28460000000001101</v>
      </c>
      <c r="AF949">
        <v>-0.53307044397540304</v>
      </c>
      <c r="AG949">
        <v>-1.06010564265049</v>
      </c>
      <c r="AH949">
        <v>24.354265939838299</v>
      </c>
      <c r="AI949">
        <v>92.491832185857405</v>
      </c>
      <c r="AJ949">
        <v>91.253899851144894</v>
      </c>
      <c r="AK949">
        <v>24.383155200674601</v>
      </c>
      <c r="AL949">
        <v>83.148456632380004</v>
      </c>
      <c r="AM949">
        <v>88.245723970418496</v>
      </c>
      <c r="AN949">
        <v>1.00000005441754</v>
      </c>
    </row>
    <row r="950" spans="1:40" x14ac:dyDescent="0.25">
      <c r="A950" t="str">
        <f>"20190312164009863"</f>
        <v>20190312164009863</v>
      </c>
      <c r="B950" t="str">
        <f>"1552380009857013"</f>
        <v>1552380009857013</v>
      </c>
      <c r="C950" t="s">
        <v>40</v>
      </c>
      <c r="D950">
        <v>5.4441189999999997</v>
      </c>
      <c r="E950">
        <v>0.48388779999999998</v>
      </c>
      <c r="F950" t="s">
        <v>41</v>
      </c>
      <c r="G950">
        <v>-279.15039999999999</v>
      </c>
      <c r="H950" s="1">
        <v>-6.8988619999999997E-7</v>
      </c>
      <c r="I950">
        <v>368.05770000000001</v>
      </c>
      <c r="J950">
        <v>-303.45929999999998</v>
      </c>
      <c r="K950">
        <v>1.0600959999999999</v>
      </c>
      <c r="L950">
        <v>367.7921</v>
      </c>
      <c r="M950">
        <v>0.99988010000000005</v>
      </c>
      <c r="N950">
        <v>0</v>
      </c>
      <c r="O950">
        <v>-1.005764E-2</v>
      </c>
      <c r="P950">
        <v>0.99338070000000001</v>
      </c>
      <c r="Q950">
        <v>0.10745540000000001</v>
      </c>
      <c r="R950">
        <v>-4.059666E-2</v>
      </c>
      <c r="S950">
        <v>3.0355829999999999</v>
      </c>
      <c r="T950">
        <v>-0.13120519999999999</v>
      </c>
      <c r="U950">
        <v>3.2623289999999999E-2</v>
      </c>
      <c r="V950">
        <v>3.0542949999999999E-2</v>
      </c>
      <c r="W950">
        <v>0.1191646</v>
      </c>
      <c r="X950">
        <v>0.99240459999999997</v>
      </c>
      <c r="Y950">
        <v>-2.077476E-2</v>
      </c>
      <c r="Z950">
        <v>8.8327539999999904E-4</v>
      </c>
      <c r="AA950">
        <v>0.9997838</v>
      </c>
      <c r="AB950">
        <v>35</v>
      </c>
      <c r="AC950">
        <v>24.308899999999898</v>
      </c>
      <c r="AD950">
        <v>-1.0600966898862001</v>
      </c>
      <c r="AE950">
        <v>0.265600000000006</v>
      </c>
      <c r="AF950">
        <v>-0.50912554843662705</v>
      </c>
      <c r="AG950">
        <v>-1.0600966898862001</v>
      </c>
      <c r="AH950">
        <v>24.258869274382999</v>
      </c>
      <c r="AI950">
        <v>92.501645889709295</v>
      </c>
      <c r="AJ950">
        <v>91.202301026434</v>
      </c>
      <c r="AK950">
        <v>24.287357869632199</v>
      </c>
      <c r="AL950">
        <v>83.156108138787403</v>
      </c>
      <c r="AM950">
        <v>88.237180771318506</v>
      </c>
      <c r="AN950">
        <v>0.999999981894511</v>
      </c>
    </row>
    <row r="951" spans="1:40" x14ac:dyDescent="0.25">
      <c r="A951" t="str">
        <f>"20190312164009883"</f>
        <v>20190312164009883</v>
      </c>
      <c r="B951" t="str">
        <f>"1552380009877510"</f>
        <v>1552380009877510</v>
      </c>
      <c r="C951" t="s">
        <v>40</v>
      </c>
      <c r="D951">
        <v>5.4472490000000002</v>
      </c>
      <c r="E951">
        <v>0.48402679999999998</v>
      </c>
      <c r="F951" t="s">
        <v>41</v>
      </c>
      <c r="G951">
        <v>-278.92829999999998</v>
      </c>
      <c r="H951" s="1">
        <v>-7.6875390000000001E-7</v>
      </c>
      <c r="I951">
        <v>368.0453</v>
      </c>
      <c r="J951">
        <v>-303.16849999999999</v>
      </c>
      <c r="K951">
        <v>1.060093</v>
      </c>
      <c r="L951">
        <v>367.7894</v>
      </c>
      <c r="M951">
        <v>0.99988239999999995</v>
      </c>
      <c r="N951">
        <v>0</v>
      </c>
      <c r="O951">
        <v>-9.8388769999999993E-3</v>
      </c>
      <c r="P951">
        <v>0.9933748</v>
      </c>
      <c r="Q951">
        <v>0.1073592</v>
      </c>
      <c r="R951">
        <v>-4.0998550000000002E-2</v>
      </c>
      <c r="S951">
        <v>3.0354610000000002</v>
      </c>
      <c r="T951">
        <v>-0.13117599999999999</v>
      </c>
      <c r="U951">
        <v>3.1341550000000003E-2</v>
      </c>
      <c r="V951">
        <v>3.116095E-2</v>
      </c>
      <c r="W951">
        <v>0.1190562</v>
      </c>
      <c r="X951">
        <v>0.99239840000000001</v>
      </c>
      <c r="Y951">
        <v>-2.0135150000000001E-2</v>
      </c>
      <c r="Z951">
        <v>8.5985309999999998E-4</v>
      </c>
      <c r="AA951">
        <v>0.99979689999999999</v>
      </c>
      <c r="AB951">
        <v>35</v>
      </c>
      <c r="AC951">
        <v>24.240200000000002</v>
      </c>
      <c r="AD951">
        <v>-1.0600937687539</v>
      </c>
      <c r="AE951">
        <v>0.25589999999999602</v>
      </c>
      <c r="AF951">
        <v>-0.49345679887518501</v>
      </c>
      <c r="AG951">
        <v>-1.0600937687539</v>
      </c>
      <c r="AH951">
        <v>24.190248335560099</v>
      </c>
      <c r="AI951">
        <v>92.508756881650498</v>
      </c>
      <c r="AJ951">
        <v>91.168614347837902</v>
      </c>
      <c r="AK951">
        <v>24.218493201414802</v>
      </c>
      <c r="AL951">
        <v>83.162363547529694</v>
      </c>
      <c r="AM951">
        <v>88.201524200007796</v>
      </c>
      <c r="AN951">
        <v>0.99999998394295098</v>
      </c>
    </row>
    <row r="952" spans="1:40" x14ac:dyDescent="0.25">
      <c r="A952" t="str">
        <f>"20190312164009896"</f>
        <v>20190312164009896</v>
      </c>
      <c r="B952" t="str">
        <f>"1552380009887270"</f>
        <v>1552380009887270</v>
      </c>
      <c r="C952" t="s">
        <v>40</v>
      </c>
      <c r="D952">
        <v>5.3920879999999904</v>
      </c>
      <c r="E952">
        <v>0.48411599999999999</v>
      </c>
      <c r="F952" t="s">
        <v>41</v>
      </c>
      <c r="G952">
        <v>-278.6782</v>
      </c>
      <c r="H952" s="1">
        <v>-8.6080669999999898E-7</v>
      </c>
      <c r="I952">
        <v>368.01929999999999</v>
      </c>
      <c r="J952">
        <v>-302.95240000000001</v>
      </c>
      <c r="K952">
        <v>1.060095</v>
      </c>
      <c r="L952">
        <v>367.78739999999999</v>
      </c>
      <c r="M952">
        <v>0.99988410000000005</v>
      </c>
      <c r="N952">
        <v>0</v>
      </c>
      <c r="O952">
        <v>-9.6771440000000004E-3</v>
      </c>
      <c r="P952">
        <v>0.99335189999999995</v>
      </c>
      <c r="Q952">
        <v>0.10747660000000001</v>
      </c>
      <c r="R952">
        <v>-4.1241269999999997E-2</v>
      </c>
      <c r="S952">
        <v>3.035431</v>
      </c>
      <c r="T952">
        <v>-0.13139219999999999</v>
      </c>
      <c r="U952">
        <v>2.8503420000000002E-2</v>
      </c>
      <c r="V952">
        <v>3.1563819999999999E-2</v>
      </c>
      <c r="W952">
        <v>0.1191656</v>
      </c>
      <c r="X952">
        <v>0.99237260000000005</v>
      </c>
      <c r="Y952">
        <v>-1.9039879999999999E-2</v>
      </c>
      <c r="Z952">
        <v>8.3059029999999997E-4</v>
      </c>
      <c r="AA952">
        <v>0.9998184</v>
      </c>
      <c r="AB952">
        <v>35</v>
      </c>
      <c r="AC952">
        <v>24.2742</v>
      </c>
      <c r="AD952">
        <v>-1.0600958608066999</v>
      </c>
      <c r="AE952">
        <v>0.231899999999996</v>
      </c>
      <c r="AF952">
        <v>-0.46592176178799699</v>
      </c>
      <c r="AG952">
        <v>-1.0600958608066999</v>
      </c>
      <c r="AH952">
        <v>24.2246214998728</v>
      </c>
      <c r="AI952">
        <v>92.505264363599906</v>
      </c>
      <c r="AJ952">
        <v>91.101856617984893</v>
      </c>
      <c r="AK952">
        <v>24.2522818129409</v>
      </c>
      <c r="AL952">
        <v>83.156050873289701</v>
      </c>
      <c r="AM952">
        <v>88.178240516987401</v>
      </c>
      <c r="AN952">
        <v>1.0000000460935501</v>
      </c>
    </row>
    <row r="953" spans="1:40" x14ac:dyDescent="0.25">
      <c r="A953" t="str">
        <f>"20190312164009907"</f>
        <v>20190312164009907</v>
      </c>
      <c r="B953" t="str">
        <f>"1552380009897030"</f>
        <v>1552380009897030</v>
      </c>
      <c r="C953" t="s">
        <v>40</v>
      </c>
      <c r="D953">
        <v>5.1296150000000003</v>
      </c>
      <c r="E953">
        <v>0.4841801</v>
      </c>
      <c r="F953" t="s">
        <v>41</v>
      </c>
      <c r="G953">
        <v>-278.38569999999999</v>
      </c>
      <c r="H953" s="1">
        <v>-9.6362759999999993E-7</v>
      </c>
      <c r="I953">
        <v>368.00689999999997</v>
      </c>
      <c r="J953">
        <v>-302.77379999999999</v>
      </c>
      <c r="K953">
        <v>1.060093</v>
      </c>
      <c r="L953">
        <v>367.78570000000002</v>
      </c>
      <c r="M953">
        <v>0.99988540000000004</v>
      </c>
      <c r="N953">
        <v>0</v>
      </c>
      <c r="O953">
        <v>-9.5439280000000001E-3</v>
      </c>
      <c r="P953">
        <v>0.99335549999999995</v>
      </c>
      <c r="Q953">
        <v>0.1074147</v>
      </c>
      <c r="R953">
        <v>-4.1319250000000002E-2</v>
      </c>
      <c r="S953">
        <v>3.0354000000000001</v>
      </c>
      <c r="T953">
        <v>-0.1309826</v>
      </c>
      <c r="U953">
        <v>2.7130129999999999E-2</v>
      </c>
      <c r="V953">
        <v>3.1773269999999999E-2</v>
      </c>
      <c r="W953">
        <v>0.11909699999999999</v>
      </c>
      <c r="X953">
        <v>0.99237410000000004</v>
      </c>
      <c r="Y953">
        <v>-1.8455300000000001E-2</v>
      </c>
      <c r="Z953">
        <v>8.0966049999999998E-4</v>
      </c>
      <c r="AA953">
        <v>0.99982939999999998</v>
      </c>
      <c r="AB953">
        <v>35</v>
      </c>
      <c r="AC953">
        <v>24.388100000000001</v>
      </c>
      <c r="AD953">
        <v>-1.0600939636276001</v>
      </c>
      <c r="AE953">
        <v>0.22119999999995299</v>
      </c>
      <c r="AF953">
        <v>-0.45310821857500999</v>
      </c>
      <c r="AG953">
        <v>-1.0600939636276001</v>
      </c>
      <c r="AH953">
        <v>24.338894779476501</v>
      </c>
      <c r="AI953">
        <v>92.493541406758993</v>
      </c>
      <c r="AJ953">
        <v>91.066531173470395</v>
      </c>
      <c r="AK953">
        <v>24.366183643646199</v>
      </c>
      <c r="AL953">
        <v>83.160009205684702</v>
      </c>
      <c r="AM953">
        <v>88.166162751592395</v>
      </c>
      <c r="AN953">
        <v>0.99999999522315097</v>
      </c>
    </row>
    <row r="954" spans="1:40" x14ac:dyDescent="0.25">
      <c r="A954" t="str">
        <f>"20190312164009919"</f>
        <v>20190312164009919</v>
      </c>
      <c r="B954" t="str">
        <f>"1552380009906790"</f>
        <v>1552380009906790</v>
      </c>
      <c r="C954" t="s">
        <v>40</v>
      </c>
      <c r="D954">
        <v>5.405913</v>
      </c>
      <c r="E954">
        <v>0.48425420000000002</v>
      </c>
      <c r="F954" t="s">
        <v>41</v>
      </c>
      <c r="G954">
        <v>-278.19709999999998</v>
      </c>
      <c r="H954" s="1">
        <v>-1.042823E-6</v>
      </c>
      <c r="I954">
        <v>367.99790000000002</v>
      </c>
      <c r="J954">
        <v>-302.59620000000001</v>
      </c>
      <c r="K954">
        <v>1.060092</v>
      </c>
      <c r="L954">
        <v>367.78410000000002</v>
      </c>
      <c r="M954">
        <v>0.99988679999999996</v>
      </c>
      <c r="N954">
        <v>0</v>
      </c>
      <c r="O954">
        <v>-9.4117899999999997E-3</v>
      </c>
      <c r="P954">
        <v>0.99334630000000002</v>
      </c>
      <c r="Q954">
        <v>0.1074596</v>
      </c>
      <c r="R954">
        <v>-4.142303E-2</v>
      </c>
      <c r="S954">
        <v>3.0353089999999998</v>
      </c>
      <c r="T954">
        <v>-0.13092490000000001</v>
      </c>
      <c r="U954">
        <v>2.62145999999999E-2</v>
      </c>
      <c r="V954">
        <v>3.200807E-2</v>
      </c>
      <c r="W954">
        <v>0.1191362</v>
      </c>
      <c r="X954">
        <v>0.99236179999999996</v>
      </c>
      <c r="Y954">
        <v>-1.8022429999999999E-2</v>
      </c>
      <c r="Z954">
        <v>7.9430089999999896E-4</v>
      </c>
      <c r="AA954">
        <v>0.99983730000000004</v>
      </c>
      <c r="AB954">
        <v>35</v>
      </c>
      <c r="AC954">
        <v>24.399100000000001</v>
      </c>
      <c r="AD954">
        <v>-1.060093042823</v>
      </c>
      <c r="AE954">
        <v>0.213799999999992</v>
      </c>
      <c r="AF954">
        <v>-0.442610093756867</v>
      </c>
      <c r="AG954">
        <v>-1.060093042823</v>
      </c>
      <c r="AH954">
        <v>24.350043959984799</v>
      </c>
      <c r="AI954">
        <v>92.492419091330603</v>
      </c>
      <c r="AJ954">
        <v>91.041349164308599</v>
      </c>
      <c r="AK954">
        <v>24.377127431420799</v>
      </c>
      <c r="AL954">
        <v>83.157746769905103</v>
      </c>
      <c r="AM954">
        <v>88.152597426207706</v>
      </c>
      <c r="AN954">
        <v>0.99999994639740097</v>
      </c>
    </row>
    <row r="955" spans="1:40" x14ac:dyDescent="0.25">
      <c r="A955" t="str">
        <f>"20190312164009931"</f>
        <v>20190312164009931</v>
      </c>
      <c r="B955" t="str">
        <f>"1552380009927286"</f>
        <v>1552380009927286</v>
      </c>
      <c r="C955" t="s">
        <v>40</v>
      </c>
      <c r="D955">
        <v>5.3573820000000003</v>
      </c>
      <c r="E955">
        <v>0.48430980000000001</v>
      </c>
      <c r="F955" t="s">
        <v>41</v>
      </c>
      <c r="G955">
        <v>-277.94420000000002</v>
      </c>
      <c r="H955" s="1">
        <v>-1.1528030000000001E-6</v>
      </c>
      <c r="I955">
        <v>367.9896</v>
      </c>
      <c r="J955">
        <v>-302.41410000000002</v>
      </c>
      <c r="K955">
        <v>1.0600969999999901</v>
      </c>
      <c r="L955">
        <v>367.7826</v>
      </c>
      <c r="M955">
        <v>0.99988829999999995</v>
      </c>
      <c r="N955">
        <v>0</v>
      </c>
      <c r="O955">
        <v>-9.2763250000000002E-3</v>
      </c>
      <c r="P955">
        <v>0.99332580000000004</v>
      </c>
      <c r="Q955">
        <v>0.1077053</v>
      </c>
      <c r="R955">
        <v>-4.1278160000000001E-2</v>
      </c>
      <c r="S955">
        <v>3.0352779999999999</v>
      </c>
      <c r="T955">
        <v>-0.13052369999999999</v>
      </c>
      <c r="U955">
        <v>2.529907E-2</v>
      </c>
      <c r="V955">
        <v>3.1997400000000002E-2</v>
      </c>
      <c r="W955">
        <v>0.1193758</v>
      </c>
      <c r="X955">
        <v>0.99233340000000003</v>
      </c>
      <c r="Y955">
        <v>-1.758618E-2</v>
      </c>
      <c r="Z955">
        <v>7.7667939999999998E-4</v>
      </c>
      <c r="AA955">
        <v>0.99984499999999998</v>
      </c>
      <c r="AB955">
        <v>35</v>
      </c>
      <c r="AC955">
        <v>24.469899999999999</v>
      </c>
      <c r="AD955">
        <v>-1.06009815280299</v>
      </c>
      <c r="AE955">
        <v>0.206999999999993</v>
      </c>
      <c r="AF955">
        <v>-0.43318446554053203</v>
      </c>
      <c r="AG955">
        <v>-1.06009815280299</v>
      </c>
      <c r="AH955">
        <v>24.421095418204398</v>
      </c>
      <c r="AI955">
        <v>92.485208196671806</v>
      </c>
      <c r="AJ955">
        <v>91.016213179598395</v>
      </c>
      <c r="AK955">
        <v>24.447931575080201</v>
      </c>
      <c r="AL955">
        <v>83.143920368002497</v>
      </c>
      <c r="AM955">
        <v>88.1531600203068</v>
      </c>
      <c r="AN955">
        <v>0.99999999599397904</v>
      </c>
    </row>
    <row r="956" spans="1:40" x14ac:dyDescent="0.25">
      <c r="A956" t="str">
        <f>"20190312164009942"</f>
        <v>20190312164009942</v>
      </c>
      <c r="B956" t="str">
        <f>"1552380009937047"</f>
        <v>1552380009937047</v>
      </c>
      <c r="C956" t="s">
        <v>40</v>
      </c>
      <c r="D956">
        <v>5.3049089999999897</v>
      </c>
      <c r="E956">
        <v>0.49800129999999998</v>
      </c>
      <c r="F956" t="s">
        <v>41</v>
      </c>
      <c r="G956">
        <v>-277.5992</v>
      </c>
      <c r="H956" s="1">
        <v>-1.301332E-6</v>
      </c>
      <c r="I956">
        <v>367.98660000000001</v>
      </c>
      <c r="J956">
        <v>-302.23410000000001</v>
      </c>
      <c r="K956">
        <v>1.0600969999999901</v>
      </c>
      <c r="L956">
        <v>367.78100000000001</v>
      </c>
      <c r="M956">
        <v>0.99988960000000005</v>
      </c>
      <c r="N956">
        <v>0</v>
      </c>
      <c r="O956">
        <v>-9.1427690000000002E-3</v>
      </c>
      <c r="P956">
        <v>0.9933071</v>
      </c>
      <c r="Q956">
        <v>0.107833</v>
      </c>
      <c r="R956">
        <v>-4.1392140000000001E-2</v>
      </c>
      <c r="S956">
        <v>3.0352480000000002</v>
      </c>
      <c r="T956">
        <v>-0.12966620000000001</v>
      </c>
      <c r="U956">
        <v>2.496338E-2</v>
      </c>
      <c r="V956">
        <v>3.2244149999999999E-2</v>
      </c>
      <c r="W956">
        <v>0.1194984</v>
      </c>
      <c r="X956">
        <v>0.99231060000000004</v>
      </c>
      <c r="Y956">
        <v>-1.7342799999999998E-2</v>
      </c>
      <c r="Z956">
        <v>7.6069050000000002E-4</v>
      </c>
      <c r="AA956">
        <v>0.99984930000000005</v>
      </c>
      <c r="AB956">
        <v>35</v>
      </c>
      <c r="AC956">
        <v>24.634899999999998</v>
      </c>
      <c r="AD956">
        <v>-1.06009830133199</v>
      </c>
      <c r="AE956">
        <v>0.205600000000003</v>
      </c>
      <c r="AF956">
        <v>-0.430041768153758</v>
      </c>
      <c r="AG956">
        <v>-1.06009830133199</v>
      </c>
      <c r="AH956">
        <v>24.586464649785398</v>
      </c>
      <c r="AI956">
        <v>92.468524440249894</v>
      </c>
      <c r="AJ956">
        <v>91.0020581014317</v>
      </c>
      <c r="AK956">
        <v>24.613065398401499</v>
      </c>
      <c r="AL956">
        <v>83.136844872914594</v>
      </c>
      <c r="AM956">
        <v>88.138885241466497</v>
      </c>
      <c r="AN956">
        <v>0.99999993984206903</v>
      </c>
    </row>
    <row r="957" spans="1:40" x14ac:dyDescent="0.25">
      <c r="A957" t="str">
        <f>"20190312164009953"</f>
        <v>20190312164009953</v>
      </c>
      <c r="B957" t="str">
        <f>"1552380009946806"</f>
        <v>1552380009946806</v>
      </c>
      <c r="C957" t="s">
        <v>40</v>
      </c>
      <c r="D957">
        <v>5.2010329999999998</v>
      </c>
      <c r="E957">
        <v>0.50249480000000002</v>
      </c>
      <c r="F957" t="s">
        <v>41</v>
      </c>
      <c r="G957">
        <v>-275.50790000000001</v>
      </c>
      <c r="H957" s="1">
        <v>-2.367752E-6</v>
      </c>
      <c r="I957">
        <v>367.03230000000002</v>
      </c>
      <c r="J957">
        <v>-302.05549999999999</v>
      </c>
      <c r="K957">
        <v>1.060095</v>
      </c>
      <c r="L957">
        <v>367.77949999999998</v>
      </c>
      <c r="M957">
        <v>0.99989070000000002</v>
      </c>
      <c r="N957">
        <v>0</v>
      </c>
      <c r="O957">
        <v>-9.0104090000000005E-3</v>
      </c>
      <c r="P957">
        <v>0.99326040000000004</v>
      </c>
      <c r="Q957">
        <v>0.1083118</v>
      </c>
      <c r="R957">
        <v>-4.1260619999999998E-2</v>
      </c>
      <c r="S957">
        <v>3.0296940000000001</v>
      </c>
      <c r="T957">
        <v>-0.1201731</v>
      </c>
      <c r="U957">
        <v>-8.4869379999999994E-2</v>
      </c>
      <c r="V957">
        <v>3.2243809999999998E-2</v>
      </c>
      <c r="W957">
        <v>0.1199723</v>
      </c>
      <c r="X957">
        <v>0.99225350000000001</v>
      </c>
      <c r="Y957">
        <v>1.8985080000000001E-2</v>
      </c>
      <c r="Z957" s="1">
        <v>-1.910285E-5</v>
      </c>
      <c r="AA957">
        <v>0.99981980000000004</v>
      </c>
      <c r="AB957">
        <v>35</v>
      </c>
      <c r="AC957">
        <v>26.5475999999999</v>
      </c>
      <c r="AD957">
        <v>-1.060097367752</v>
      </c>
      <c r="AE957">
        <v>-0.747199999999963</v>
      </c>
      <c r="AF957">
        <v>0.50714046845962302</v>
      </c>
      <c r="AG957">
        <v>-1.060097367752</v>
      </c>
      <c r="AH957">
        <v>26.511015249789502</v>
      </c>
      <c r="AI957">
        <v>92.289450999045997</v>
      </c>
      <c r="AJ957">
        <v>88.904098366550699</v>
      </c>
      <c r="AK957">
        <v>26.5370482054511</v>
      </c>
      <c r="AL957">
        <v>83.109496147203103</v>
      </c>
      <c r="AM957">
        <v>88.138797829434395</v>
      </c>
      <c r="AN957">
        <v>1.0000000121564201</v>
      </c>
    </row>
    <row r="958" spans="1:40" x14ac:dyDescent="0.25">
      <c r="A958" t="str">
        <f>"20190312164009965"</f>
        <v>20190312164009965</v>
      </c>
      <c r="B958" t="str">
        <f>"1552380009957543"</f>
        <v>1552380009957543</v>
      </c>
      <c r="C958" t="s">
        <v>40</v>
      </c>
      <c r="D958">
        <v>5.2348330000000001</v>
      </c>
      <c r="E958">
        <v>0.50448909999999902</v>
      </c>
      <c r="F958" t="s">
        <v>41</v>
      </c>
      <c r="G958">
        <v>-273.78879999999998</v>
      </c>
      <c r="H958" s="1">
        <v>-3.1726930000000002E-6</v>
      </c>
      <c r="I958">
        <v>366.65199999999999</v>
      </c>
      <c r="J958">
        <v>-301.87939999999998</v>
      </c>
      <c r="K958">
        <v>1.0600940000000001</v>
      </c>
      <c r="L958">
        <v>367.77809999999999</v>
      </c>
      <c r="M958">
        <v>0.99989189999999994</v>
      </c>
      <c r="N958">
        <v>0</v>
      </c>
      <c r="O958">
        <v>-8.8798430000000001E-3</v>
      </c>
      <c r="P958">
        <v>0.99323530000000004</v>
      </c>
      <c r="Q958">
        <v>0.1085449</v>
      </c>
      <c r="R958">
        <v>-4.125032E-2</v>
      </c>
      <c r="S958">
        <v>3.027679</v>
      </c>
      <c r="T958">
        <v>-0.1135483</v>
      </c>
      <c r="U958">
        <v>-0.12075809999999999</v>
      </c>
      <c r="V958">
        <v>3.2363059999999999E-2</v>
      </c>
      <c r="W958">
        <v>0.1202009</v>
      </c>
      <c r="X958">
        <v>0.99222200000000005</v>
      </c>
      <c r="Y958">
        <v>3.096254E-2</v>
      </c>
      <c r="Z958">
        <v>-2.4738579999999998E-4</v>
      </c>
      <c r="AA958">
        <v>0.99952050000000003</v>
      </c>
      <c r="AB958">
        <v>35</v>
      </c>
      <c r="AC958">
        <v>28.090599999999899</v>
      </c>
      <c r="AD958">
        <v>-1.060097172693</v>
      </c>
      <c r="AE958">
        <v>-1.1261000000000001</v>
      </c>
      <c r="AF958">
        <v>0.87535367377212203</v>
      </c>
      <c r="AG958">
        <v>-1.060097172693</v>
      </c>
      <c r="AH958">
        <v>28.0595944066106</v>
      </c>
      <c r="AI958">
        <v>92.162566109352099</v>
      </c>
      <c r="AJ958">
        <v>88.2131669549034</v>
      </c>
      <c r="AK958">
        <v>28.093253430908099</v>
      </c>
      <c r="AL958">
        <v>83.096303194252002</v>
      </c>
      <c r="AM958">
        <v>88.131859992980793</v>
      </c>
      <c r="AN958">
        <v>1.0000000606486801</v>
      </c>
    </row>
    <row r="959" spans="1:40" x14ac:dyDescent="0.25">
      <c r="A959" t="str">
        <f>"20190312164009976"</f>
        <v>20190312164009976</v>
      </c>
      <c r="B959" t="str">
        <f>"1552380009967302"</f>
        <v>1552380009967302</v>
      </c>
      <c r="C959" t="s">
        <v>40</v>
      </c>
      <c r="D959">
        <v>5.3103150000000001</v>
      </c>
      <c r="E959">
        <v>0.50628569999999995</v>
      </c>
      <c r="F959" t="s">
        <v>41</v>
      </c>
      <c r="G959">
        <v>-272.12860000000001</v>
      </c>
      <c r="H959" s="1">
        <v>-3.9234520000000002E-6</v>
      </c>
      <c r="I959">
        <v>366.435</v>
      </c>
      <c r="J959">
        <v>-301.69970000000001</v>
      </c>
      <c r="K959">
        <v>1.0600940000000001</v>
      </c>
      <c r="L959">
        <v>367.77659999999997</v>
      </c>
      <c r="M959">
        <v>0.99989320000000004</v>
      </c>
      <c r="N959">
        <v>0</v>
      </c>
      <c r="O959">
        <v>-8.7466579999999992E-3</v>
      </c>
      <c r="P959">
        <v>0.99319740000000001</v>
      </c>
      <c r="Q959">
        <v>0.10886759999999999</v>
      </c>
      <c r="R959">
        <v>-4.1317529999999998E-2</v>
      </c>
      <c r="S959">
        <v>3.0265499999999999</v>
      </c>
      <c r="T959">
        <v>-0.10784340000000001</v>
      </c>
      <c r="U959">
        <v>-0.1366272</v>
      </c>
      <c r="V959">
        <v>3.2562389999999997E-2</v>
      </c>
      <c r="W959">
        <v>0.120519</v>
      </c>
      <c r="X959">
        <v>0.99217679999999997</v>
      </c>
      <c r="Y959">
        <v>3.6339389999999999E-2</v>
      </c>
      <c r="Z959">
        <v>-3.3548570000000003E-4</v>
      </c>
      <c r="AA959">
        <v>0.99933950000000005</v>
      </c>
      <c r="AB959">
        <v>35</v>
      </c>
      <c r="AC959">
        <v>29.571100000000001</v>
      </c>
      <c r="AD959">
        <v>-1.060097923452</v>
      </c>
      <c r="AE959">
        <v>-1.3415999999999699</v>
      </c>
      <c r="AF959">
        <v>1.08149560521167</v>
      </c>
      <c r="AG959">
        <v>-1.060097923452</v>
      </c>
      <c r="AH959">
        <v>29.5438134699126</v>
      </c>
      <c r="AI959">
        <v>92.053644359192106</v>
      </c>
      <c r="AJ959">
        <v>87.903538162513996</v>
      </c>
      <c r="AK959">
        <v>29.582602229966</v>
      </c>
      <c r="AL959">
        <v>83.0779433150323</v>
      </c>
      <c r="AM959">
        <v>88.120276437729899</v>
      </c>
      <c r="AN959">
        <v>0.99999997053087497</v>
      </c>
    </row>
    <row r="960" spans="1:40" x14ac:dyDescent="0.25">
      <c r="A960" t="str">
        <f>"20190312164009989"</f>
        <v>20190312164009989</v>
      </c>
      <c r="B960" t="str">
        <f>"1552380009977062"</f>
        <v>1552380009977062</v>
      </c>
      <c r="C960" t="s">
        <v>40</v>
      </c>
      <c r="D960">
        <v>5.3292519999999897</v>
      </c>
      <c r="E960">
        <v>0.50723109999999905</v>
      </c>
      <c r="F960" t="s">
        <v>41</v>
      </c>
      <c r="G960">
        <v>-271.82119999999998</v>
      </c>
      <c r="H960" s="1">
        <v>-4.0820169999999999E-6</v>
      </c>
      <c r="I960">
        <v>366.28440000000001</v>
      </c>
      <c r="J960">
        <v>-301.50760000000002</v>
      </c>
      <c r="K960">
        <v>1.0600959999999999</v>
      </c>
      <c r="L960">
        <v>367.77499999999998</v>
      </c>
      <c r="M960">
        <v>0.99989439999999996</v>
      </c>
      <c r="N960">
        <v>0</v>
      </c>
      <c r="O960">
        <v>-8.6042970000000003E-3</v>
      </c>
      <c r="P960">
        <v>0.99317100000000003</v>
      </c>
      <c r="Q960">
        <v>0.1091811</v>
      </c>
      <c r="R960">
        <v>-4.1124300000000003E-2</v>
      </c>
      <c r="S960">
        <v>3.0260310000000001</v>
      </c>
      <c r="T960">
        <v>-0.10736420000000001</v>
      </c>
      <c r="U960">
        <v>-0.15112300000000001</v>
      </c>
      <c r="V960">
        <v>3.251072E-2</v>
      </c>
      <c r="W960">
        <v>0.12082859999999999</v>
      </c>
      <c r="X960">
        <v>0.99214089999999999</v>
      </c>
      <c r="Y960">
        <v>4.1262319999999998E-2</v>
      </c>
      <c r="Z960">
        <v>-4.2631420000000003E-4</v>
      </c>
      <c r="AA960">
        <v>0.99914820000000004</v>
      </c>
      <c r="AB960">
        <v>35</v>
      </c>
      <c r="AC960">
        <v>29.686399999999999</v>
      </c>
      <c r="AD960">
        <v>-1.0601000820169999</v>
      </c>
      <c r="AE960">
        <v>-1.4905999999999699</v>
      </c>
      <c r="AF960">
        <v>1.2335276529655499</v>
      </c>
      <c r="AG960">
        <v>-1.0601000820169999</v>
      </c>
      <c r="AH960">
        <v>29.660399519686301</v>
      </c>
      <c r="AI960">
        <v>92.045185689784006</v>
      </c>
      <c r="AJ960">
        <v>87.618534309945701</v>
      </c>
      <c r="AK960">
        <v>29.704960904231601</v>
      </c>
      <c r="AL960">
        <v>83.060074380668794</v>
      </c>
      <c r="AM960">
        <v>88.123189188125707</v>
      </c>
      <c r="AN960">
        <v>1.0000000314728399</v>
      </c>
    </row>
    <row r="961" spans="1:40" x14ac:dyDescent="0.25">
      <c r="A961" t="str">
        <f>"20190312164010004"</f>
        <v>20190312164010004</v>
      </c>
      <c r="B961" t="str">
        <f>"1552380009997558"</f>
        <v>1552380009997558</v>
      </c>
      <c r="C961" t="s">
        <v>40</v>
      </c>
      <c r="D961">
        <v>5.2190899999999996</v>
      </c>
      <c r="E961">
        <v>0.50850529999999905</v>
      </c>
      <c r="F961" t="s">
        <v>41</v>
      </c>
      <c r="G961">
        <v>-271.05169999999998</v>
      </c>
      <c r="H961" s="1">
        <v>-4.4298210000000003E-6</v>
      </c>
      <c r="I961">
        <v>366.18470000000002</v>
      </c>
      <c r="J961">
        <v>-301.27179999999998</v>
      </c>
      <c r="K961">
        <v>1.0600969999999901</v>
      </c>
      <c r="L961">
        <v>367.77319999999997</v>
      </c>
      <c r="M961">
        <v>0.99989600000000001</v>
      </c>
      <c r="N961">
        <v>0</v>
      </c>
      <c r="O961">
        <v>-8.4295099999999994E-3</v>
      </c>
      <c r="P961">
        <v>0.99310869999999996</v>
      </c>
      <c r="Q961">
        <v>0.1097684</v>
      </c>
      <c r="R961">
        <v>-4.1062120000000001E-2</v>
      </c>
      <c r="S961">
        <v>3.0256959999999999</v>
      </c>
      <c r="T961">
        <v>-0.1053171</v>
      </c>
      <c r="U961">
        <v>-0.1579895</v>
      </c>
      <c r="V961">
        <v>3.2622060000000001E-2</v>
      </c>
      <c r="W961">
        <v>0.1214103</v>
      </c>
      <c r="X961">
        <v>0.99206620000000001</v>
      </c>
      <c r="Y961">
        <v>4.3703110000000003E-2</v>
      </c>
      <c r="Z961">
        <v>-4.6672860000000001E-4</v>
      </c>
      <c r="AA961">
        <v>0.9990445</v>
      </c>
      <c r="AB961">
        <v>35</v>
      </c>
      <c r="AC961">
        <v>30.220099999999999</v>
      </c>
      <c r="AD961">
        <v>-1.0601014298210001</v>
      </c>
      <c r="AE961">
        <v>-1.5884999999999501</v>
      </c>
      <c r="AF961">
        <v>1.33205082359879</v>
      </c>
      <c r="AG961">
        <v>-1.0601014298210001</v>
      </c>
      <c r="AH961">
        <v>30.195362514092999</v>
      </c>
      <c r="AI961">
        <v>92.008767330407494</v>
      </c>
      <c r="AJ961">
        <v>87.4740677783427</v>
      </c>
      <c r="AK961">
        <v>30.243314828167399</v>
      </c>
      <c r="AL961">
        <v>83.026498033386403</v>
      </c>
      <c r="AM961">
        <v>88.116624563080904</v>
      </c>
      <c r="AN961">
        <v>1.00000000246358</v>
      </c>
    </row>
    <row r="962" spans="1:40" x14ac:dyDescent="0.25">
      <c r="A962" t="str">
        <f>"20190312164010015"</f>
        <v>20190312164010015</v>
      </c>
      <c r="B962" t="str">
        <f>"1552380010007318"</f>
        <v>1552380010007318</v>
      </c>
      <c r="C962" t="s">
        <v>40</v>
      </c>
      <c r="D962">
        <v>5.2313099999999997</v>
      </c>
      <c r="E962">
        <v>0.50904070000000001</v>
      </c>
      <c r="F962" t="s">
        <v>41</v>
      </c>
      <c r="G962">
        <v>-269.93520000000001</v>
      </c>
      <c r="H962" s="1">
        <v>-9.6207369999999996E-7</v>
      </c>
      <c r="I962">
        <v>366.03100000000001</v>
      </c>
      <c r="J962">
        <v>-301.09300000000002</v>
      </c>
      <c r="K962">
        <v>1.0600969999999901</v>
      </c>
      <c r="L962">
        <v>367.77179999999998</v>
      </c>
      <c r="M962">
        <v>0.99989720000000004</v>
      </c>
      <c r="N962">
        <v>0</v>
      </c>
      <c r="O962">
        <v>-8.2971699999999995E-3</v>
      </c>
      <c r="P962">
        <v>0.99310299999999996</v>
      </c>
      <c r="Q962">
        <v>0.1098481</v>
      </c>
      <c r="R962">
        <v>-4.0989869999999998E-2</v>
      </c>
      <c r="S962">
        <v>3.0251769999999998</v>
      </c>
      <c r="T962">
        <v>-0.10233970000000001</v>
      </c>
      <c r="U962">
        <v>-0.16818239999999901</v>
      </c>
      <c r="V962">
        <v>3.2681250000000002E-2</v>
      </c>
      <c r="W962">
        <v>0.121486999999999</v>
      </c>
      <c r="X962">
        <v>0.99205489999999996</v>
      </c>
      <c r="Y962">
        <v>4.7199480000000002E-2</v>
      </c>
      <c r="Z962">
        <v>-5.1712820000000001E-4</v>
      </c>
      <c r="AA962">
        <v>0.99888529999999998</v>
      </c>
      <c r="AB962">
        <v>35</v>
      </c>
      <c r="AC962">
        <v>31.157800000000002</v>
      </c>
      <c r="AD962">
        <v>-1.0600979620737001</v>
      </c>
      <c r="AE962">
        <v>-1.7407999999999699</v>
      </c>
      <c r="AF962">
        <v>1.4804923440743001</v>
      </c>
      <c r="AG962">
        <v>-1.0600979620737001</v>
      </c>
      <c r="AH962">
        <v>31.135242044297499</v>
      </c>
      <c r="AI962">
        <v>91.947863867906406</v>
      </c>
      <c r="AJ962">
        <v>87.277614935012906</v>
      </c>
      <c r="AK962">
        <v>31.188442770152001</v>
      </c>
      <c r="AL962">
        <v>83.022070937363594</v>
      </c>
      <c r="AM962">
        <v>88.113188327620705</v>
      </c>
      <c r="AN962">
        <v>1.0000000399422799</v>
      </c>
    </row>
    <row r="963" spans="1:40" x14ac:dyDescent="0.25">
      <c r="A963" t="str">
        <f>"20190312164010026"</f>
        <v>20190312164010026</v>
      </c>
      <c r="B963" t="str">
        <f>"1552380010017078"</f>
        <v>1552380010017078</v>
      </c>
      <c r="C963" t="s">
        <v>40</v>
      </c>
      <c r="D963">
        <v>5.2916819999999998</v>
      </c>
      <c r="E963">
        <v>0.50971909999999998</v>
      </c>
      <c r="F963" t="s">
        <v>41</v>
      </c>
      <c r="G963">
        <v>-269.64</v>
      </c>
      <c r="H963" s="1">
        <v>-1.0769790000000001E-6</v>
      </c>
      <c r="I963">
        <v>365.97669999999999</v>
      </c>
      <c r="J963">
        <v>-300.92230000000001</v>
      </c>
      <c r="K963">
        <v>1.060093</v>
      </c>
      <c r="L963">
        <v>367.77050000000003</v>
      </c>
      <c r="M963">
        <v>0.99989819999999996</v>
      </c>
      <c r="N963">
        <v>0</v>
      </c>
      <c r="O963">
        <v>-8.1703190000000005E-3</v>
      </c>
      <c r="P963">
        <v>0.99308859999999999</v>
      </c>
      <c r="Q963">
        <v>0.1100415</v>
      </c>
      <c r="R963">
        <v>-4.081862E-2</v>
      </c>
      <c r="S963">
        <v>3.0250240000000002</v>
      </c>
      <c r="T963">
        <v>-0.1019557</v>
      </c>
      <c r="U963">
        <v>-0.17263789999999901</v>
      </c>
      <c r="V963">
        <v>3.2635940000000002E-2</v>
      </c>
      <c r="W963">
        <v>0.1216782</v>
      </c>
      <c r="X963">
        <v>0.9920329</v>
      </c>
      <c r="Y963">
        <v>4.8794730000000001E-2</v>
      </c>
      <c r="Z963">
        <v>-5.4631790000000003E-4</v>
      </c>
      <c r="AA963">
        <v>0.99880869999999999</v>
      </c>
      <c r="AB963">
        <v>35</v>
      </c>
      <c r="AC963">
        <v>31.282299999999999</v>
      </c>
      <c r="AD963">
        <v>-1.0600940769789999</v>
      </c>
      <c r="AE963">
        <v>-1.79380000000003</v>
      </c>
      <c r="AF963">
        <v>1.53637767390296</v>
      </c>
      <c r="AG963">
        <v>-1.0600940769789999</v>
      </c>
      <c r="AH963">
        <v>31.2601313112642</v>
      </c>
      <c r="AI963">
        <v>91.939931287374705</v>
      </c>
      <c r="AJ963">
        <v>87.186282432658899</v>
      </c>
      <c r="AK963">
        <v>31.315811747524499</v>
      </c>
      <c r="AL963">
        <v>83.0110336976757</v>
      </c>
      <c r="AM963">
        <v>88.115760602574198</v>
      </c>
      <c r="AN963">
        <v>0.99999998180866601</v>
      </c>
    </row>
    <row r="964" spans="1:40" x14ac:dyDescent="0.25">
      <c r="A964" t="str">
        <f>"20190312164010037"</f>
        <v>20190312164010037</v>
      </c>
      <c r="B964" t="str">
        <f>"1552380010026838"</f>
        <v>1552380010026838</v>
      </c>
      <c r="C964" t="s">
        <v>40</v>
      </c>
      <c r="D964">
        <v>5.3648740000000004</v>
      </c>
      <c r="E964">
        <v>0.51000059999999903</v>
      </c>
      <c r="F964" t="s">
        <v>41</v>
      </c>
      <c r="G964">
        <v>-270.34440000000001</v>
      </c>
      <c r="H964" s="1">
        <v>-4.7694779999999996E-6</v>
      </c>
      <c r="I964">
        <v>365.98039999999997</v>
      </c>
      <c r="J964">
        <v>-300.74619999999999</v>
      </c>
      <c r="K964">
        <v>1.060093</v>
      </c>
      <c r="L964">
        <v>367.76920000000001</v>
      </c>
      <c r="M964">
        <v>0.99989919999999999</v>
      </c>
      <c r="N964">
        <v>0</v>
      </c>
      <c r="O964">
        <v>-8.0395339999999992E-3</v>
      </c>
      <c r="P964">
        <v>0.99309270000000005</v>
      </c>
      <c r="Q964">
        <v>0.1099845</v>
      </c>
      <c r="R964">
        <v>-4.0869219999999998E-2</v>
      </c>
      <c r="S964">
        <v>3.0252379999999999</v>
      </c>
      <c r="T964">
        <v>-0.1048808</v>
      </c>
      <c r="U964">
        <v>-0.17709349999999999</v>
      </c>
      <c r="V964">
        <v>3.2816669999999999E-2</v>
      </c>
      <c r="W964">
        <v>0.12161859999999999</v>
      </c>
      <c r="X964">
        <v>0.99203430000000004</v>
      </c>
      <c r="Y964">
        <v>5.0385079999999999E-2</v>
      </c>
      <c r="Z964">
        <v>-5.9398399999999998E-4</v>
      </c>
      <c r="AA964">
        <v>0.99872969999999905</v>
      </c>
      <c r="AB964">
        <v>35</v>
      </c>
      <c r="AC964">
        <v>30.401799999999898</v>
      </c>
      <c r="AD964">
        <v>-1.0600977694780001</v>
      </c>
      <c r="AE964">
        <v>-1.7888000000000299</v>
      </c>
      <c r="AF964">
        <v>1.54244017604016</v>
      </c>
      <c r="AG964">
        <v>-1.0600977694780001</v>
      </c>
      <c r="AH964">
        <v>30.3783901969372</v>
      </c>
      <c r="AI964">
        <v>91.996038726385905</v>
      </c>
      <c r="AJ964">
        <v>87.093345488990906</v>
      </c>
      <c r="AK964">
        <v>30.435990536450198</v>
      </c>
      <c r="AL964">
        <v>83.014474450693299</v>
      </c>
      <c r="AM964">
        <v>88.105336393239298</v>
      </c>
      <c r="AN964">
        <v>1.00000003503616</v>
      </c>
    </row>
    <row r="965" spans="1:40" x14ac:dyDescent="0.25">
      <c r="A965" t="str">
        <f>"20190312164010049"</f>
        <v>20190312164010049</v>
      </c>
      <c r="B965" t="str">
        <f>"1552380010037574"</f>
        <v>1552380010037574</v>
      </c>
      <c r="C965" t="s">
        <v>40</v>
      </c>
      <c r="D965">
        <v>5.2011900000000004</v>
      </c>
      <c r="E965">
        <v>0.51025159999999903</v>
      </c>
      <c r="F965" t="s">
        <v>41</v>
      </c>
      <c r="G965">
        <v>-270.54579999999999</v>
      </c>
      <c r="H965" s="1">
        <v>-4.6833469999999999E-6</v>
      </c>
      <c r="I965">
        <v>365.97899999999998</v>
      </c>
      <c r="J965">
        <v>-300.5779</v>
      </c>
      <c r="K965">
        <v>1.060092</v>
      </c>
      <c r="L965">
        <v>367.7679</v>
      </c>
      <c r="M965">
        <v>0.99990020000000002</v>
      </c>
      <c r="N965">
        <v>0</v>
      </c>
      <c r="O965">
        <v>-7.9145929999999993E-3</v>
      </c>
      <c r="P965">
        <v>0.99309119999999995</v>
      </c>
      <c r="Q965">
        <v>0.11005189999999999</v>
      </c>
      <c r="R965">
        <v>-4.0721229999999997E-2</v>
      </c>
      <c r="S965">
        <v>3.0252379999999999</v>
      </c>
      <c r="T965">
        <v>-0.1061918</v>
      </c>
      <c r="U965">
        <v>-0.17932129999999999</v>
      </c>
      <c r="V965">
        <v>3.2792580000000002E-2</v>
      </c>
      <c r="W965">
        <v>0.1216839</v>
      </c>
      <c r="X965">
        <v>0.99202699999999999</v>
      </c>
      <c r="Y965">
        <v>5.1241540000000002E-2</v>
      </c>
      <c r="Z965">
        <v>-6.2078519999999996E-4</v>
      </c>
      <c r="AA965">
        <v>0.99868610000000002</v>
      </c>
      <c r="AB965">
        <v>35</v>
      </c>
      <c r="AC965">
        <v>30.0321</v>
      </c>
      <c r="AD965">
        <v>-1.060096683347</v>
      </c>
      <c r="AE965">
        <v>-1.78889999999995</v>
      </c>
      <c r="AF965">
        <v>1.549212336014</v>
      </c>
      <c r="AG965">
        <v>-1.060096683347</v>
      </c>
      <c r="AH965">
        <v>30.008060647568801</v>
      </c>
      <c r="AI965">
        <v>92.020561610615005</v>
      </c>
      <c r="AJ965">
        <v>87.044640936686093</v>
      </c>
      <c r="AK965">
        <v>30.066718604933701</v>
      </c>
      <c r="AL965">
        <v>83.010704420702993</v>
      </c>
      <c r="AM965">
        <v>88.106712289952796</v>
      </c>
      <c r="AN965">
        <v>0.99999994677563098</v>
      </c>
    </row>
    <row r="966" spans="1:40" x14ac:dyDescent="0.25">
      <c r="A966" t="str">
        <f>"20190312164010061"</f>
        <v>20190312164010061</v>
      </c>
      <c r="B966" t="str">
        <f>"1552380010057094"</f>
        <v>1552380010057094</v>
      </c>
      <c r="C966" t="s">
        <v>40</v>
      </c>
      <c r="D966">
        <v>5.2255039999999999</v>
      </c>
      <c r="E966">
        <v>0.51060260000000002</v>
      </c>
      <c r="F966" t="s">
        <v>41</v>
      </c>
      <c r="G966">
        <v>-270.2937</v>
      </c>
      <c r="H966" s="1">
        <v>-4.7955750000000002E-6</v>
      </c>
      <c r="I966">
        <v>365.95600000000002</v>
      </c>
      <c r="J966">
        <v>-300.38049999999998</v>
      </c>
      <c r="K966">
        <v>1.0600889999999901</v>
      </c>
      <c r="L966">
        <v>367.76650000000001</v>
      </c>
      <c r="M966">
        <v>0.9999015</v>
      </c>
      <c r="N966">
        <v>0</v>
      </c>
      <c r="O966">
        <v>-7.7684310000000001E-3</v>
      </c>
      <c r="P966">
        <v>0.99309840000000005</v>
      </c>
      <c r="Q966">
        <v>0.1100884</v>
      </c>
      <c r="R966">
        <v>-4.0451689999999998E-2</v>
      </c>
      <c r="S966">
        <v>3.0251769999999998</v>
      </c>
      <c r="T966">
        <v>-0.105896</v>
      </c>
      <c r="U966">
        <v>-0.18099979999999999</v>
      </c>
      <c r="V966">
        <v>3.2667960000000003E-2</v>
      </c>
      <c r="W966">
        <v>0.12171800000000001</v>
      </c>
      <c r="X966">
        <v>0.99202699999999999</v>
      </c>
      <c r="Y966">
        <v>5.1940470000000002E-2</v>
      </c>
      <c r="Z966">
        <v>-6.3638780000000003E-4</v>
      </c>
      <c r="AA966">
        <v>0.99865000000000004</v>
      </c>
      <c r="AB966">
        <v>35</v>
      </c>
      <c r="AC966">
        <v>30.086799999999901</v>
      </c>
      <c r="AD966">
        <v>-1.0600937955749901</v>
      </c>
      <c r="AE966">
        <v>-1.81050000000004</v>
      </c>
      <c r="AF966">
        <v>1.57475420342433</v>
      </c>
      <c r="AG966">
        <v>-1.0600937955749901</v>
      </c>
      <c r="AH966">
        <v>30.062770323106498</v>
      </c>
      <c r="AI966">
        <v>92.016803066813296</v>
      </c>
      <c r="AJ966">
        <v>87.001461276468604</v>
      </c>
      <c r="AK966">
        <v>30.122646118103098</v>
      </c>
      <c r="AL966">
        <v>83.008736502854006</v>
      </c>
      <c r="AM966">
        <v>88.113902049860897</v>
      </c>
      <c r="AN966">
        <v>1.0000000179317801</v>
      </c>
    </row>
    <row r="967" spans="1:40" x14ac:dyDescent="0.25">
      <c r="A967" t="str">
        <f>"20190312164010074"</f>
        <v>20190312164010074</v>
      </c>
      <c r="B967" t="str">
        <f>"1552380010066854"</f>
        <v>1552380010066854</v>
      </c>
      <c r="C967" t="s">
        <v>40</v>
      </c>
      <c r="D967">
        <v>5.3431639999999998</v>
      </c>
      <c r="E967">
        <v>0.51101169999999996</v>
      </c>
      <c r="F967" t="s">
        <v>41</v>
      </c>
      <c r="G967">
        <v>-270.5942</v>
      </c>
      <c r="H967" s="1">
        <v>-4.6644840000000004E-6</v>
      </c>
      <c r="I967">
        <v>365.96820000000002</v>
      </c>
      <c r="J967">
        <v>-300.16800000000001</v>
      </c>
      <c r="K967">
        <v>1.060087</v>
      </c>
      <c r="L967">
        <v>367.76499999999999</v>
      </c>
      <c r="M967">
        <v>0.99990270000000003</v>
      </c>
      <c r="N967">
        <v>0</v>
      </c>
      <c r="O967">
        <v>-7.61070699999999E-3</v>
      </c>
      <c r="P967">
        <v>0.99312040000000001</v>
      </c>
      <c r="Q967">
        <v>0.1099141</v>
      </c>
      <c r="R967">
        <v>-4.0384980000000001E-2</v>
      </c>
      <c r="S967">
        <v>3.02536</v>
      </c>
      <c r="T967">
        <v>-0.1076722</v>
      </c>
      <c r="U967">
        <v>-0.1826477</v>
      </c>
      <c r="V967">
        <v>3.275786E-2</v>
      </c>
      <c r="W967">
        <v>0.12154139999999999</v>
      </c>
      <c r="X967">
        <v>0.99204559999999997</v>
      </c>
      <c r="Y967">
        <v>5.2634970000000003E-2</v>
      </c>
      <c r="Z967">
        <v>-6.6495559999999896E-4</v>
      </c>
      <c r="AA967">
        <v>0.99861359999999999</v>
      </c>
      <c r="AB967">
        <v>35</v>
      </c>
      <c r="AC967">
        <v>29.573799999999999</v>
      </c>
      <c r="AD967">
        <v>-1.0600916644839999</v>
      </c>
      <c r="AE967">
        <v>-1.79679999999996</v>
      </c>
      <c r="AF967">
        <v>1.5696456103749501</v>
      </c>
      <c r="AG967">
        <v>-1.0600916644839999</v>
      </c>
      <c r="AH967">
        <v>29.5487913339777</v>
      </c>
      <c r="AI967">
        <v>92.051770370967404</v>
      </c>
      <c r="AJ967">
        <v>86.959279341954399</v>
      </c>
      <c r="AK967">
        <v>29.609435168172901</v>
      </c>
      <c r="AL967">
        <v>83.018930012462903</v>
      </c>
      <c r="AM967">
        <v>88.108750835361107</v>
      </c>
      <c r="AN967">
        <v>0.99999993089254702</v>
      </c>
    </row>
    <row r="968" spans="1:40" x14ac:dyDescent="0.25">
      <c r="A968" t="str">
        <f>"20190312164010087"</f>
        <v>20190312164010087</v>
      </c>
      <c r="B968" t="str">
        <f>"1552380010077590"</f>
        <v>1552380010077590</v>
      </c>
      <c r="C968" t="s">
        <v>40</v>
      </c>
      <c r="D968">
        <v>5.1688269999999896</v>
      </c>
      <c r="E968">
        <v>0.51115509999999997</v>
      </c>
      <c r="F968" t="s">
        <v>41</v>
      </c>
      <c r="G968">
        <v>-271.01920000000001</v>
      </c>
      <c r="H968" s="1">
        <v>-4.4806010000000002E-6</v>
      </c>
      <c r="I968">
        <v>365.97699999999998</v>
      </c>
      <c r="J968">
        <v>-299.97800000000001</v>
      </c>
      <c r="K968">
        <v>1.0600830000000001</v>
      </c>
      <c r="L968">
        <v>367.76369999999997</v>
      </c>
      <c r="M968">
        <v>0.99990369999999995</v>
      </c>
      <c r="N968">
        <v>0</v>
      </c>
      <c r="O968">
        <v>-7.4699129999999999E-3</v>
      </c>
      <c r="P968">
        <v>0.99314250000000004</v>
      </c>
      <c r="Q968">
        <v>0.10981680000000001</v>
      </c>
      <c r="R968">
        <v>-4.0102159999999998E-2</v>
      </c>
      <c r="S968">
        <v>3.0254210000000001</v>
      </c>
      <c r="T968">
        <v>-0.110029</v>
      </c>
      <c r="U968">
        <v>-0.1855774</v>
      </c>
      <c r="V968">
        <v>3.2614879999999999E-2</v>
      </c>
      <c r="W968">
        <v>0.12144249999999999</v>
      </c>
      <c r="X968">
        <v>0.99206249999999996</v>
      </c>
      <c r="Y968">
        <v>5.3735699999999997E-2</v>
      </c>
      <c r="Z968">
        <v>-7.045714E-4</v>
      </c>
      <c r="AA968">
        <v>0.99855490000000002</v>
      </c>
      <c r="AB968">
        <v>35</v>
      </c>
      <c r="AC968">
        <v>28.9588</v>
      </c>
      <c r="AD968">
        <v>-1.0600874806010001</v>
      </c>
      <c r="AE968">
        <v>-1.78669999999999</v>
      </c>
      <c r="AF968">
        <v>1.56822209759256</v>
      </c>
      <c r="AG968">
        <v>-1.0600874806010001</v>
      </c>
      <c r="AH968">
        <v>28.9327149697185</v>
      </c>
      <c r="AI968">
        <v>92.095291577022294</v>
      </c>
      <c r="AJ968">
        <v>86.897468146425695</v>
      </c>
      <c r="AK968">
        <v>28.9945702077626</v>
      </c>
      <c r="AL968">
        <v>83.0246393915818</v>
      </c>
      <c r="AM968">
        <v>88.117031771272906</v>
      </c>
      <c r="AN968">
        <v>1.00000000755495</v>
      </c>
    </row>
    <row r="969" spans="1:40" x14ac:dyDescent="0.25">
      <c r="A969" t="str">
        <f>"20190312164010100"</f>
        <v>20190312164010100</v>
      </c>
      <c r="B969" t="str">
        <f>"1552380010087351"</f>
        <v>1552380010087351</v>
      </c>
      <c r="C969" t="s">
        <v>40</v>
      </c>
      <c r="D969">
        <v>5.1667639999999997</v>
      </c>
      <c r="E969">
        <v>0.51134269999999904</v>
      </c>
      <c r="F969" t="s">
        <v>41</v>
      </c>
      <c r="G969">
        <v>-270.71789999999999</v>
      </c>
      <c r="H969" s="1">
        <v>-4.6120000000000001E-6</v>
      </c>
      <c r="I969">
        <v>365.96499999999997</v>
      </c>
      <c r="J969">
        <v>-299.78699999999998</v>
      </c>
      <c r="K969">
        <v>1.060082</v>
      </c>
      <c r="L969">
        <v>367.76240000000001</v>
      </c>
      <c r="M969">
        <v>0.99990489999999999</v>
      </c>
      <c r="N969">
        <v>0</v>
      </c>
      <c r="O969">
        <v>-7.3285240000000003E-3</v>
      </c>
      <c r="P969">
        <v>0.99316610000000005</v>
      </c>
      <c r="Q969">
        <v>0.10956050000000001</v>
      </c>
      <c r="R969">
        <v>-4.022502E-2</v>
      </c>
      <c r="S969">
        <v>3.0253299999999999</v>
      </c>
      <c r="T969">
        <v>-0.1096067</v>
      </c>
      <c r="U969">
        <v>-0.1859741</v>
      </c>
      <c r="V969">
        <v>3.2877969999999999E-2</v>
      </c>
      <c r="W969">
        <v>0.1211855</v>
      </c>
      <c r="X969">
        <v>0.9920852</v>
      </c>
      <c r="Y969">
        <v>5.4009160000000001E-2</v>
      </c>
      <c r="Z969">
        <v>-7.1195079999999999E-4</v>
      </c>
      <c r="AA969">
        <v>0.99854019999999999</v>
      </c>
      <c r="AB969">
        <v>35</v>
      </c>
      <c r="AC969">
        <v>29.069099999999999</v>
      </c>
      <c r="AD969">
        <v>-1.0600866120000001</v>
      </c>
      <c r="AE969">
        <v>-1.7974000000000301</v>
      </c>
      <c r="AF969">
        <v>1.5822074235149099</v>
      </c>
      <c r="AG969">
        <v>-1.0600866120000001</v>
      </c>
      <c r="AH969">
        <v>29.043015211943501</v>
      </c>
      <c r="AI969">
        <v>92.087308222981704</v>
      </c>
      <c r="AJ969">
        <v>86.8817189339739</v>
      </c>
      <c r="AK969">
        <v>29.105392911918401</v>
      </c>
      <c r="AL969">
        <v>83.039473676027697</v>
      </c>
      <c r="AM969">
        <v>88.101897155168999</v>
      </c>
      <c r="AN969">
        <v>0.99999996519030498</v>
      </c>
    </row>
    <row r="970" spans="1:40" x14ac:dyDescent="0.25">
      <c r="A970" t="str">
        <f>"20190312164010116"</f>
        <v>20190312164010116</v>
      </c>
      <c r="B970" t="str">
        <f>"1552380010106870"</f>
        <v>1552380010106870</v>
      </c>
      <c r="C970" t="s">
        <v>40</v>
      </c>
      <c r="D970">
        <v>5.1982850000000003</v>
      </c>
      <c r="E970">
        <v>0.51142969999999999</v>
      </c>
      <c r="F970" t="s">
        <v>41</v>
      </c>
      <c r="G970">
        <v>-270.71359999999999</v>
      </c>
      <c r="H970" s="1">
        <v>-4.6153249999999997E-6</v>
      </c>
      <c r="I970">
        <v>365.95659999999998</v>
      </c>
      <c r="J970">
        <v>-299.51710000000003</v>
      </c>
      <c r="K970">
        <v>1.060079</v>
      </c>
      <c r="L970">
        <v>367.76060000000001</v>
      </c>
      <c r="M970">
        <v>0.99990639999999997</v>
      </c>
      <c r="N970">
        <v>0</v>
      </c>
      <c r="O970">
        <v>-7.128484E-3</v>
      </c>
      <c r="P970">
        <v>0.99321800000000005</v>
      </c>
      <c r="Q970">
        <v>0.1091871</v>
      </c>
      <c r="R970">
        <v>-3.9955369999999997E-2</v>
      </c>
      <c r="S970">
        <v>3.0251769999999998</v>
      </c>
      <c r="T970">
        <v>-0.1103051</v>
      </c>
      <c r="U970">
        <v>-0.1878967</v>
      </c>
      <c r="V970">
        <v>3.2806839999999997E-2</v>
      </c>
      <c r="W970">
        <v>0.1208106</v>
      </c>
      <c r="X970">
        <v>0.9921333</v>
      </c>
      <c r="Y970">
        <v>5.484311E-2</v>
      </c>
      <c r="Z970">
        <v>-7.3897419999999995E-4</v>
      </c>
      <c r="AA970">
        <v>0.99849469999999996</v>
      </c>
      <c r="AB970">
        <v>35</v>
      </c>
      <c r="AC970">
        <v>28.8035</v>
      </c>
      <c r="AD970">
        <v>-1.060083615325</v>
      </c>
      <c r="AE970">
        <v>-1.80400000000003</v>
      </c>
      <c r="AF970">
        <v>1.5964608566751199</v>
      </c>
      <c r="AG970">
        <v>-1.060083615325</v>
      </c>
      <c r="AH970">
        <v>28.7768018898748</v>
      </c>
      <c r="AI970">
        <v>92.106479303658801</v>
      </c>
      <c r="AJ970">
        <v>86.824636670023196</v>
      </c>
      <c r="AK970">
        <v>28.840540763783899</v>
      </c>
      <c r="AL970">
        <v>83.061113008055599</v>
      </c>
      <c r="AM970">
        <v>88.106092377513704</v>
      </c>
      <c r="AN970">
        <v>0.99999998739601703</v>
      </c>
    </row>
    <row r="971" spans="1:40" x14ac:dyDescent="0.25">
      <c r="A971" t="str">
        <f>"20190312164010139"</f>
        <v>20190312164010139</v>
      </c>
      <c r="B971" t="str">
        <f>"1552380010127367"</f>
        <v>1552380010127367</v>
      </c>
      <c r="C971" t="s">
        <v>40</v>
      </c>
      <c r="D971">
        <v>5.2788240000000002</v>
      </c>
      <c r="E971">
        <v>0.51193089999999997</v>
      </c>
      <c r="F971" t="s">
        <v>41</v>
      </c>
      <c r="G971">
        <v>-271.274</v>
      </c>
      <c r="H971" s="1">
        <v>-4.3661600000000004E-6</v>
      </c>
      <c r="I971">
        <v>366.0059</v>
      </c>
      <c r="J971">
        <v>-299.17349999999999</v>
      </c>
      <c r="K971">
        <v>1.0600810000000001</v>
      </c>
      <c r="L971">
        <v>367.75839999999999</v>
      </c>
      <c r="M971">
        <v>0.99990809999999997</v>
      </c>
      <c r="N971">
        <v>0</v>
      </c>
      <c r="O971">
        <v>-6.8732530000000002E-3</v>
      </c>
      <c r="P971">
        <v>0.99325949999999996</v>
      </c>
      <c r="Q971">
        <v>0.10890859999999999</v>
      </c>
      <c r="R971">
        <v>-3.9679520000000003E-2</v>
      </c>
      <c r="S971">
        <v>3.0253909999999999</v>
      </c>
      <c r="T971">
        <v>-0.1135553</v>
      </c>
      <c r="U971">
        <v>-0.18795780000000001</v>
      </c>
      <c r="V971">
        <v>3.2784630000000002E-2</v>
      </c>
      <c r="W971">
        <v>0.120530399999999</v>
      </c>
      <c r="X971">
        <v>0.9921681</v>
      </c>
      <c r="Y971">
        <v>5.5111439999999998E-2</v>
      </c>
      <c r="Z971">
        <v>-7.7527580000000002E-4</v>
      </c>
      <c r="AA971">
        <v>0.99847989999999998</v>
      </c>
      <c r="AB971">
        <v>35</v>
      </c>
      <c r="AC971">
        <v>27.8994999999999</v>
      </c>
      <c r="AD971">
        <v>-1.06008536616</v>
      </c>
      <c r="AE971">
        <v>-1.75249999999999</v>
      </c>
      <c r="AF971">
        <v>1.5584440382050599</v>
      </c>
      <c r="AG971">
        <v>-1.06008536616</v>
      </c>
      <c r="AH971">
        <v>27.8708070504738</v>
      </c>
      <c r="AI971">
        <v>92.1748403726818</v>
      </c>
      <c r="AJ971">
        <v>86.799540922035405</v>
      </c>
      <c r="AK971">
        <v>27.934466424983</v>
      </c>
      <c r="AL971">
        <v>83.0772853706994</v>
      </c>
      <c r="AM971">
        <v>88.107439941887193</v>
      </c>
      <c r="AN971">
        <v>0.999999973973003</v>
      </c>
    </row>
    <row r="972" spans="1:40" x14ac:dyDescent="0.25">
      <c r="A972" t="str">
        <f>"20190312164010161"</f>
        <v>20190312164010161</v>
      </c>
      <c r="B972" t="str">
        <f>"1552380010157622"</f>
        <v>1552380010157622</v>
      </c>
      <c r="C972" t="s">
        <v>40</v>
      </c>
      <c r="D972">
        <v>5.2884099999999998</v>
      </c>
      <c r="E972">
        <v>0.5122681</v>
      </c>
      <c r="F972" t="s">
        <v>41</v>
      </c>
      <c r="G972">
        <v>-271.97179999999997</v>
      </c>
      <c r="H972" s="1">
        <v>-4.0600369999999996E-6</v>
      </c>
      <c r="I972">
        <v>366.04410000000001</v>
      </c>
      <c r="J972">
        <v>-298.82920000000001</v>
      </c>
      <c r="K972">
        <v>1.0600769999999999</v>
      </c>
      <c r="L972">
        <v>367.75630000000001</v>
      </c>
      <c r="M972">
        <v>0.99990990000000002</v>
      </c>
      <c r="N972">
        <v>0</v>
      </c>
      <c r="O972">
        <v>-6.6181399999999998E-3</v>
      </c>
      <c r="P972">
        <v>0.99326740000000002</v>
      </c>
      <c r="Q972">
        <v>0.10893120000000001</v>
      </c>
      <c r="R972">
        <v>-3.9424260000000003E-2</v>
      </c>
      <c r="S972">
        <v>3.025665</v>
      </c>
      <c r="T972">
        <v>-0.1179135</v>
      </c>
      <c r="U972">
        <v>-0.1906738</v>
      </c>
      <c r="V972">
        <v>3.2782609999999997E-2</v>
      </c>
      <c r="W972">
        <v>0.1205508</v>
      </c>
      <c r="X972">
        <v>0.99216570000000004</v>
      </c>
      <c r="Y972">
        <v>5.6249649999999998E-2</v>
      </c>
      <c r="Z972">
        <v>-8.3698910000000004E-4</v>
      </c>
      <c r="AA972">
        <v>0.99841639999999998</v>
      </c>
      <c r="AB972">
        <v>35</v>
      </c>
      <c r="AC972">
        <v>26.857399999999998</v>
      </c>
      <c r="AD972">
        <v>-1.0600810600370001</v>
      </c>
      <c r="AE972">
        <v>-1.71219999999999</v>
      </c>
      <c r="AF972">
        <v>1.5320271991063601</v>
      </c>
      <c r="AG972">
        <v>-1.0600810600370001</v>
      </c>
      <c r="AH972">
        <v>26.826519207551598</v>
      </c>
      <c r="AI972">
        <v>92.259254533061593</v>
      </c>
      <c r="AJ972">
        <v>86.731463704339902</v>
      </c>
      <c r="AK972">
        <v>26.891132590238399</v>
      </c>
      <c r="AL972">
        <v>83.076108032237897</v>
      </c>
      <c r="AM972">
        <v>88.107551891341402</v>
      </c>
      <c r="AN972">
        <v>0.99999998557777103</v>
      </c>
    </row>
    <row r="973" spans="1:40" x14ac:dyDescent="0.25">
      <c r="A973" t="str">
        <f>"20190312164010173"</f>
        <v>20190312164010173</v>
      </c>
      <c r="B973" t="str">
        <f>"1552380010167383"</f>
        <v>1552380010167383</v>
      </c>
      <c r="C973" t="s">
        <v>40</v>
      </c>
      <c r="D973">
        <v>5.1982799999999996</v>
      </c>
      <c r="E973">
        <v>0.51234729999999995</v>
      </c>
      <c r="F973" t="s">
        <v>41</v>
      </c>
      <c r="G973">
        <v>-272.01060000000001</v>
      </c>
      <c r="H973" s="1">
        <v>-4.043534E-6</v>
      </c>
      <c r="I973">
        <v>366.04329999999999</v>
      </c>
      <c r="J973">
        <v>-298.63400000000001</v>
      </c>
      <c r="K973">
        <v>1.060076</v>
      </c>
      <c r="L973">
        <v>367.7552</v>
      </c>
      <c r="M973">
        <v>0.99991099999999999</v>
      </c>
      <c r="N973">
        <v>0</v>
      </c>
      <c r="O973">
        <v>-6.4736539999999997E-3</v>
      </c>
      <c r="P973">
        <v>0.99325289999999999</v>
      </c>
      <c r="Q973">
        <v>0.1090912</v>
      </c>
      <c r="R973">
        <v>-3.9344450000000003E-2</v>
      </c>
      <c r="S973">
        <v>3.0257869999999998</v>
      </c>
      <c r="T973">
        <v>-0.11960229999999999</v>
      </c>
      <c r="U973">
        <v>-0.19326779999999999</v>
      </c>
      <c r="V973">
        <v>3.2846399999999998E-2</v>
      </c>
      <c r="W973">
        <v>0.12070980000000001</v>
      </c>
      <c r="X973">
        <v>0.99214429999999998</v>
      </c>
      <c r="Y973">
        <v>5.7241920000000002E-2</v>
      </c>
      <c r="Z973">
        <v>-8.7419720000000002E-4</v>
      </c>
      <c r="AA973">
        <v>0.99836000000000003</v>
      </c>
      <c r="AB973">
        <v>35</v>
      </c>
      <c r="AC973">
        <v>26.6234</v>
      </c>
      <c r="AD973">
        <v>-1.0600800435340001</v>
      </c>
      <c r="AE973">
        <v>-1.71190000000001</v>
      </c>
      <c r="AF973">
        <v>1.5370748069233799</v>
      </c>
      <c r="AG973">
        <v>-1.0600800435340001</v>
      </c>
      <c r="AH973">
        <v>26.591938677582402</v>
      </c>
      <c r="AI973">
        <v>92.279070984858606</v>
      </c>
      <c r="AJ973">
        <v>86.691854057300702</v>
      </c>
      <c r="AK973">
        <v>26.657411188880999</v>
      </c>
      <c r="AL973">
        <v>83.066931275810504</v>
      </c>
      <c r="AM973">
        <v>88.103831290466999</v>
      </c>
      <c r="AN973">
        <v>1.0000000269157401</v>
      </c>
    </row>
    <row r="974" spans="1:40" x14ac:dyDescent="0.25">
      <c r="A974" t="str">
        <f>"20190312164010194"</f>
        <v>20190312164010194</v>
      </c>
      <c r="B974" t="str">
        <f>"1552380010186902"</f>
        <v>1552380010186902</v>
      </c>
      <c r="C974" t="s">
        <v>40</v>
      </c>
      <c r="D974">
        <v>5.1406830000000001</v>
      </c>
      <c r="E974">
        <v>0.5123084</v>
      </c>
      <c r="F974" t="s">
        <v>41</v>
      </c>
      <c r="G974">
        <v>-272.00900000000001</v>
      </c>
      <c r="H974" s="1">
        <v>-4.0423210000000002E-6</v>
      </c>
      <c r="I974">
        <v>366.05399999999997</v>
      </c>
      <c r="J974">
        <v>-298.30380000000002</v>
      </c>
      <c r="K974">
        <v>1.0600719999999999</v>
      </c>
      <c r="L974">
        <v>367.75330000000002</v>
      </c>
      <c r="M974">
        <v>0.99991240000000003</v>
      </c>
      <c r="N974">
        <v>0</v>
      </c>
      <c r="O974">
        <v>-6.2320319999999898E-3</v>
      </c>
      <c r="P974">
        <v>0.9932723</v>
      </c>
      <c r="Q974">
        <v>0.10906970000000001</v>
      </c>
      <c r="R974">
        <v>-3.8912839999999997E-2</v>
      </c>
      <c r="S974">
        <v>3.0259399999999999</v>
      </c>
      <c r="T974">
        <v>-0.1204779</v>
      </c>
      <c r="U974">
        <v>-0.1933289</v>
      </c>
      <c r="V974">
        <v>3.2654990000000002E-2</v>
      </c>
      <c r="W974">
        <v>0.12068710000000001</v>
      </c>
      <c r="X974">
        <v>0.99215330000000002</v>
      </c>
      <c r="Y974">
        <v>5.7499050000000003E-2</v>
      </c>
      <c r="Z974">
        <v>-8.9526489999999998E-4</v>
      </c>
      <c r="AA974">
        <v>0.99834509999999999</v>
      </c>
      <c r="AB974">
        <v>35</v>
      </c>
      <c r="AC974">
        <v>26.294799999999999</v>
      </c>
      <c r="AD974">
        <v>-1.0600760423209901</v>
      </c>
      <c r="AE974">
        <v>-1.69929999999999</v>
      </c>
      <c r="AF974">
        <v>1.5329047154472799</v>
      </c>
      <c r="AG974">
        <v>-1.0600760423209901</v>
      </c>
      <c r="AH974">
        <v>26.262373332368899</v>
      </c>
      <c r="AI974">
        <v>92.307555911159199</v>
      </c>
      <c r="AJ974">
        <v>86.659501002434794</v>
      </c>
      <c r="AK974">
        <v>26.328422116239</v>
      </c>
      <c r="AL974">
        <v>83.068240915934396</v>
      </c>
      <c r="AM974">
        <v>88.114890167268399</v>
      </c>
      <c r="AN974">
        <v>0.99999994758959798</v>
      </c>
    </row>
    <row r="975" spans="1:40" x14ac:dyDescent="0.25">
      <c r="A975" t="str">
        <f>"20190312164010205"</f>
        <v>20190312164010205</v>
      </c>
      <c r="B975" t="str">
        <f>"1552380010197639"</f>
        <v>1552380010197639</v>
      </c>
      <c r="C975" t="s">
        <v>40</v>
      </c>
      <c r="D975">
        <v>5.2529070000000004</v>
      </c>
      <c r="E975">
        <v>0.5124765</v>
      </c>
      <c r="F975" t="s">
        <v>41</v>
      </c>
      <c r="G975">
        <v>-272.24599999999998</v>
      </c>
      <c r="H975" s="1">
        <v>-3.9317659999999997E-6</v>
      </c>
      <c r="I975">
        <v>366.10410000000002</v>
      </c>
      <c r="J975">
        <v>-298.12790000000001</v>
      </c>
      <c r="K975">
        <v>1.060068</v>
      </c>
      <c r="L975">
        <v>367.75229999999999</v>
      </c>
      <c r="M975">
        <v>0.9999131</v>
      </c>
      <c r="N975">
        <v>0</v>
      </c>
      <c r="O975">
        <v>-6.1067719999999999E-3</v>
      </c>
      <c r="P975">
        <v>0.99327960000000004</v>
      </c>
      <c r="Q975">
        <v>0.1090431</v>
      </c>
      <c r="R975">
        <v>-3.8799979999999998E-2</v>
      </c>
      <c r="S975">
        <v>3.0263059999999999</v>
      </c>
      <c r="T975">
        <v>-0.12311469999999999</v>
      </c>
      <c r="U975">
        <v>-0.19152830000000001</v>
      </c>
      <c r="V975">
        <v>3.2667109999999999E-2</v>
      </c>
      <c r="W975">
        <v>0.12066010000000001</v>
      </c>
      <c r="X975">
        <v>0.99215629999999999</v>
      </c>
      <c r="Y975">
        <v>5.7023339999999999E-2</v>
      </c>
      <c r="Z975">
        <v>-9.1017509999999997E-4</v>
      </c>
      <c r="AA975">
        <v>0.99837240000000005</v>
      </c>
      <c r="AB975">
        <v>35</v>
      </c>
      <c r="AC975">
        <v>25.881900000000002</v>
      </c>
      <c r="AD975">
        <v>-1.0600719317659999</v>
      </c>
      <c r="AE975">
        <v>-1.6481999999999699</v>
      </c>
      <c r="AF975">
        <v>1.48761812121625</v>
      </c>
      <c r="AG975">
        <v>-1.0600719317659999</v>
      </c>
      <c r="AH975">
        <v>25.848296235940399</v>
      </c>
      <c r="AI975">
        <v>92.344582349149206</v>
      </c>
      <c r="AJ975">
        <v>86.706153440745794</v>
      </c>
      <c r="AK975">
        <v>25.912760919593602</v>
      </c>
      <c r="AL975">
        <v>83.069800085107701</v>
      </c>
      <c r="AM975">
        <v>88.114196706086403</v>
      </c>
      <c r="AN975">
        <v>1.0000000617187199</v>
      </c>
    </row>
    <row r="976" spans="1:40" x14ac:dyDescent="0.25">
      <c r="A976" t="str">
        <f>"20190312164010217"</f>
        <v>20190312164010217</v>
      </c>
      <c r="B976" t="str">
        <f>"1552380010207398"</f>
        <v>1552380010207398</v>
      </c>
      <c r="C976" t="s">
        <v>40</v>
      </c>
      <c r="D976">
        <v>5.1698180000000002</v>
      </c>
      <c r="E976">
        <v>0.51257180000000002</v>
      </c>
      <c r="F976" t="s">
        <v>41</v>
      </c>
      <c r="G976">
        <v>-272.2405</v>
      </c>
      <c r="H976" s="1">
        <v>-3.9337710000000002E-6</v>
      </c>
      <c r="I976">
        <v>366.10610000000003</v>
      </c>
      <c r="J976">
        <v>-297.94630000000001</v>
      </c>
      <c r="K976">
        <v>1.060065</v>
      </c>
      <c r="L976">
        <v>367.75130000000001</v>
      </c>
      <c r="M976">
        <v>0.99991399999999997</v>
      </c>
      <c r="N976">
        <v>0</v>
      </c>
      <c r="O976">
        <v>-5.9788970000000004E-3</v>
      </c>
      <c r="P976">
        <v>0.99330320000000005</v>
      </c>
      <c r="Q976">
        <v>0.1089634</v>
      </c>
      <c r="R976">
        <v>-3.8418729999999998E-2</v>
      </c>
      <c r="S976">
        <v>3.0263979999999999</v>
      </c>
      <c r="T976">
        <v>-0.1239287</v>
      </c>
      <c r="U976">
        <v>-0.1924438</v>
      </c>
      <c r="V976">
        <v>3.2413599999999897E-2</v>
      </c>
      <c r="W976">
        <v>0.1205801</v>
      </c>
      <c r="X976">
        <v>0.99217429999999995</v>
      </c>
      <c r="Y976">
        <v>5.7448920000000001E-2</v>
      </c>
      <c r="Z976">
        <v>-9.3008119999999999E-4</v>
      </c>
      <c r="AA976">
        <v>0.99834800000000001</v>
      </c>
      <c r="AB976">
        <v>35</v>
      </c>
      <c r="AC976">
        <v>25.7058</v>
      </c>
      <c r="AD976">
        <v>-1.0600689337710001</v>
      </c>
      <c r="AE976">
        <v>-1.64519999999998</v>
      </c>
      <c r="AF976">
        <v>1.48894599453344</v>
      </c>
      <c r="AG976">
        <v>-1.0600689337710001</v>
      </c>
      <c r="AH976">
        <v>25.671698057196501</v>
      </c>
      <c r="AI976">
        <v>92.360625332416205</v>
      </c>
      <c r="AJ976">
        <v>86.680591438416997</v>
      </c>
      <c r="AK976">
        <v>25.736681749185301</v>
      </c>
      <c r="AL976">
        <v>83.074417181880406</v>
      </c>
      <c r="AM976">
        <v>88.128854781724399</v>
      </c>
      <c r="AN976">
        <v>1.0000000217807199</v>
      </c>
    </row>
    <row r="977" spans="1:40" x14ac:dyDescent="0.25">
      <c r="A977" t="str">
        <f>"20190312164010227"</f>
        <v>20190312164010227</v>
      </c>
      <c r="B977" t="str">
        <f>"1552380010217158"</f>
        <v>1552380010217158</v>
      </c>
      <c r="C977" t="s">
        <v>40</v>
      </c>
      <c r="D977">
        <v>5.153289</v>
      </c>
      <c r="E977">
        <v>0.51251420000000003</v>
      </c>
      <c r="F977" t="s">
        <v>41</v>
      </c>
      <c r="G977">
        <v>-272.06659999999999</v>
      </c>
      <c r="H977" s="1">
        <v>-4.0082839999999998E-6</v>
      </c>
      <c r="I977">
        <v>366.10669999999999</v>
      </c>
      <c r="J977">
        <v>-297.77789999999999</v>
      </c>
      <c r="K977">
        <v>1.06006</v>
      </c>
      <c r="L977">
        <v>367.75040000000001</v>
      </c>
      <c r="M977">
        <v>0.99991459999999999</v>
      </c>
      <c r="N977">
        <v>0</v>
      </c>
      <c r="O977">
        <v>-5.8653500000000001E-3</v>
      </c>
      <c r="P977">
        <v>0.99331340000000001</v>
      </c>
      <c r="Q977">
        <v>0.10897519999999999</v>
      </c>
      <c r="R977">
        <v>-3.8124610000000003E-2</v>
      </c>
      <c r="S977">
        <v>3.026367</v>
      </c>
      <c r="T977">
        <v>-0.1239637</v>
      </c>
      <c r="U977">
        <v>-0.19232179999999999</v>
      </c>
      <c r="V977">
        <v>3.223326E-2</v>
      </c>
      <c r="W977">
        <v>0.120591</v>
      </c>
      <c r="X977">
        <v>0.99217889999999997</v>
      </c>
      <c r="Y977">
        <v>5.7522619999999997E-2</v>
      </c>
      <c r="Z977">
        <v>-9.3650600000000004E-4</v>
      </c>
      <c r="AA977">
        <v>0.9983438</v>
      </c>
      <c r="AB977">
        <v>35</v>
      </c>
      <c r="AC977">
        <v>25.711299999999898</v>
      </c>
      <c r="AD977">
        <v>-1.060064008284</v>
      </c>
      <c r="AE977">
        <v>-1.6437000000000199</v>
      </c>
      <c r="AF977">
        <v>1.49033260118469</v>
      </c>
      <c r="AG977">
        <v>-1.060064008284</v>
      </c>
      <c r="AH977">
        <v>25.677029211974698</v>
      </c>
      <c r="AI977">
        <v>92.360119091682506</v>
      </c>
      <c r="AJ977">
        <v>86.678195386638706</v>
      </c>
      <c r="AK977">
        <v>25.742079483142302</v>
      </c>
      <c r="AL977">
        <v>83.073788409561502</v>
      </c>
      <c r="AM977">
        <v>88.139266580530105</v>
      </c>
      <c r="AN977">
        <v>1.00000007096821</v>
      </c>
    </row>
    <row r="978" spans="1:40" x14ac:dyDescent="0.25">
      <c r="A978" t="str">
        <f>"20190312164010238"</f>
        <v>20190312164010238</v>
      </c>
      <c r="B978" t="str">
        <f>"1552380010226918"</f>
        <v>1552380010226918</v>
      </c>
      <c r="C978" t="s">
        <v>40</v>
      </c>
      <c r="D978">
        <v>5.1403670000000004</v>
      </c>
      <c r="E978">
        <v>0.51245779999999996</v>
      </c>
      <c r="F978" t="s">
        <v>41</v>
      </c>
      <c r="G978">
        <v>-272.15120000000002</v>
      </c>
      <c r="H978" s="1">
        <v>-3.9670159999999999E-6</v>
      </c>
      <c r="I978">
        <v>366.13459999999998</v>
      </c>
      <c r="J978">
        <v>-297.61410000000001</v>
      </c>
      <c r="K978">
        <v>1.0600540000000001</v>
      </c>
      <c r="L978">
        <v>367.74959999999999</v>
      </c>
      <c r="M978">
        <v>0.9999152</v>
      </c>
      <c r="N978">
        <v>0</v>
      </c>
      <c r="O978">
        <v>-5.7553810000000004E-3</v>
      </c>
      <c r="P978">
        <v>0.99331060000000004</v>
      </c>
      <c r="Q978">
        <v>0.1089432</v>
      </c>
      <c r="R978">
        <v>-3.8282579999999997E-2</v>
      </c>
      <c r="S978">
        <v>3.0266109999999999</v>
      </c>
      <c r="T978">
        <v>-0.12519729999999901</v>
      </c>
      <c r="U978">
        <v>-0.19082640000000001</v>
      </c>
      <c r="V978">
        <v>3.2502120000000002E-2</v>
      </c>
      <c r="W978">
        <v>0.12055829999999999</v>
      </c>
      <c r="X978">
        <v>0.992174</v>
      </c>
      <c r="Y978">
        <v>5.7135409999999998E-2</v>
      </c>
      <c r="Z978">
        <v>-9.4230110000000002E-4</v>
      </c>
      <c r="AA978">
        <v>0.99836599999999998</v>
      </c>
      <c r="AB978">
        <v>35</v>
      </c>
      <c r="AC978">
        <v>25.462899999999902</v>
      </c>
      <c r="AD978">
        <v>-1.060057967016</v>
      </c>
      <c r="AE978">
        <v>-1.615</v>
      </c>
      <c r="AF978">
        <v>1.46588409619294</v>
      </c>
      <c r="AG978">
        <v>-1.060057967016</v>
      </c>
      <c r="AH978">
        <v>25.42787929623</v>
      </c>
      <c r="AI978">
        <v>92.383258043312196</v>
      </c>
      <c r="AJ978">
        <v>86.700624779840894</v>
      </c>
      <c r="AK978">
        <v>25.492147508214099</v>
      </c>
      <c r="AL978">
        <v>83.075675040677098</v>
      </c>
      <c r="AM978">
        <v>88.123747853612201</v>
      </c>
      <c r="AN978">
        <v>0.999999968889691</v>
      </c>
    </row>
    <row r="979" spans="1:40" x14ac:dyDescent="0.25">
      <c r="A979" t="str">
        <f>"20190312164010262"</f>
        <v>20190312164010262</v>
      </c>
      <c r="B979" t="str">
        <f>"1552380010257174"</f>
        <v>1552380010257174</v>
      </c>
      <c r="C979" t="s">
        <v>40</v>
      </c>
      <c r="D979">
        <v>5.2739699999999896</v>
      </c>
      <c r="E979">
        <v>0.5126539</v>
      </c>
      <c r="F979" t="s">
        <v>41</v>
      </c>
      <c r="G979">
        <v>-272.21510000000001</v>
      </c>
      <c r="H979" s="1">
        <v>-3.9371550000000004E-6</v>
      </c>
      <c r="I979">
        <v>366.14850000000001</v>
      </c>
      <c r="J979">
        <v>-297.2543</v>
      </c>
      <c r="K979">
        <v>1.060039</v>
      </c>
      <c r="L979">
        <v>367.74779999999998</v>
      </c>
      <c r="M979">
        <v>0.99991660000000004</v>
      </c>
      <c r="N979">
        <v>0</v>
      </c>
      <c r="O979">
        <v>-5.5315669999999898E-3</v>
      </c>
      <c r="P979">
        <v>0.99332120000000002</v>
      </c>
      <c r="Q979">
        <v>0.10907840000000001</v>
      </c>
      <c r="R979">
        <v>-3.7620479999999998E-2</v>
      </c>
      <c r="S979">
        <v>3.0267029999999999</v>
      </c>
      <c r="T979">
        <v>-0.1263225</v>
      </c>
      <c r="U979">
        <v>-0.19079589999999999</v>
      </c>
      <c r="V979">
        <v>3.2065740000000002E-2</v>
      </c>
      <c r="W979">
        <v>0.1206918</v>
      </c>
      <c r="X979">
        <v>0.99217200000000005</v>
      </c>
      <c r="Y979">
        <v>5.7345790000000001E-2</v>
      </c>
      <c r="Z979">
        <v>-9.6444589999999995E-4</v>
      </c>
      <c r="AA979">
        <v>0.99835390000000002</v>
      </c>
      <c r="AB979">
        <v>35</v>
      </c>
      <c r="AC979">
        <v>25.039199999999902</v>
      </c>
      <c r="AD979">
        <v>-1.060042937155</v>
      </c>
      <c r="AE979">
        <v>-1.59929999999997</v>
      </c>
      <c r="AF979">
        <v>1.4581572747006299</v>
      </c>
      <c r="AG979">
        <v>-1.060042937155</v>
      </c>
      <c r="AH979">
        <v>25.003033726052902</v>
      </c>
      <c r="AI979">
        <v>92.423577780391099</v>
      </c>
      <c r="AJ979">
        <v>86.6623356912541</v>
      </c>
      <c r="AK979">
        <v>25.067939866939899</v>
      </c>
      <c r="AL979">
        <v>83.067970007416307</v>
      </c>
      <c r="AM979">
        <v>88.1489174190352</v>
      </c>
      <c r="AN979">
        <v>0.99999999992649302</v>
      </c>
    </row>
    <row r="980" spans="1:40" x14ac:dyDescent="0.25">
      <c r="A980" t="str">
        <f>"20190312164010275"</f>
        <v>20190312164010275</v>
      </c>
      <c r="B980" t="str">
        <f>"1552380010266933"</f>
        <v>1552380010266933</v>
      </c>
      <c r="C980" t="s">
        <v>40</v>
      </c>
      <c r="D980">
        <v>5.223115</v>
      </c>
      <c r="E980">
        <v>0.51275870000000001</v>
      </c>
      <c r="F980" t="s">
        <v>41</v>
      </c>
      <c r="G980">
        <v>-271.77640000000002</v>
      </c>
      <c r="H980" s="1">
        <v>-4.1266709999999996E-6</v>
      </c>
      <c r="I980">
        <v>366.14089999999999</v>
      </c>
      <c r="J980">
        <v>-297.03620000000001</v>
      </c>
      <c r="K980">
        <v>1.06003</v>
      </c>
      <c r="L980">
        <v>367.74669999999998</v>
      </c>
      <c r="M980">
        <v>0.99991730000000001</v>
      </c>
      <c r="N980">
        <v>0</v>
      </c>
      <c r="O980">
        <v>-5.4038970000000004E-3</v>
      </c>
      <c r="P980">
        <v>0.99335720000000005</v>
      </c>
      <c r="Q980">
        <v>0.1089142</v>
      </c>
      <c r="R980">
        <v>-3.7142920000000003E-2</v>
      </c>
      <c r="S980">
        <v>3.026764</v>
      </c>
      <c r="T980">
        <v>-0.12593219999999999</v>
      </c>
      <c r="U980">
        <v>-0.19088749999999999</v>
      </c>
      <c r="V980">
        <v>3.1717490000000001E-2</v>
      </c>
      <c r="W980">
        <v>0.1205271</v>
      </c>
      <c r="X980">
        <v>0.99220319999999995</v>
      </c>
      <c r="Y980">
        <v>5.7502110000000002E-2</v>
      </c>
      <c r="Z980">
        <v>-9.6999969999999995E-4</v>
      </c>
      <c r="AA980">
        <v>0.99834489999999998</v>
      </c>
      <c r="AB980">
        <v>35</v>
      </c>
      <c r="AC980">
        <v>25.259799999999899</v>
      </c>
      <c r="AD980">
        <v>-1.0600341266710001</v>
      </c>
      <c r="AE980">
        <v>-1.6057999999999799</v>
      </c>
      <c r="AF980">
        <v>1.46669332432691</v>
      </c>
      <c r="AG980">
        <v>-1.0600341266710001</v>
      </c>
      <c r="AH980">
        <v>25.223866765854499</v>
      </c>
      <c r="AI980">
        <v>92.402388543237393</v>
      </c>
      <c r="AJ980">
        <v>86.6721668910305</v>
      </c>
      <c r="AK980">
        <v>25.288699378950099</v>
      </c>
      <c r="AL980">
        <v>83.077475915817004</v>
      </c>
      <c r="AM980">
        <v>88.169064880493494</v>
      </c>
      <c r="AN980">
        <v>0.99999998554827396</v>
      </c>
    </row>
    <row r="981" spans="1:40" x14ac:dyDescent="0.25">
      <c r="A981" t="str">
        <f>"20190312164010289"</f>
        <v>20190312164010289</v>
      </c>
      <c r="B981" t="str">
        <f>"1552380010277670"</f>
        <v>1552380010277670</v>
      </c>
      <c r="C981" t="s">
        <v>40</v>
      </c>
      <c r="D981">
        <v>5.3645699999999996</v>
      </c>
      <c r="E981">
        <v>0.5128452</v>
      </c>
      <c r="F981" t="s">
        <v>41</v>
      </c>
      <c r="G981">
        <v>-271.60149999999999</v>
      </c>
      <c r="H981" s="1">
        <v>-4.2005470000000001E-6</v>
      </c>
      <c r="I981">
        <v>366.1474</v>
      </c>
      <c r="J981">
        <v>-296.82659999999998</v>
      </c>
      <c r="K981">
        <v>1.06002</v>
      </c>
      <c r="L981">
        <v>367.7457</v>
      </c>
      <c r="M981">
        <v>0.99991779999999997</v>
      </c>
      <c r="N981">
        <v>0</v>
      </c>
      <c r="O981">
        <v>-5.2885040000000003E-3</v>
      </c>
      <c r="P981">
        <v>0.9933708</v>
      </c>
      <c r="Q981">
        <v>0.1087719</v>
      </c>
      <c r="R981">
        <v>-3.718875E-2</v>
      </c>
      <c r="S981">
        <v>3.026764</v>
      </c>
      <c r="T981">
        <v>-0.12614510000000001</v>
      </c>
      <c r="U981">
        <v>-0.19030759999999999</v>
      </c>
      <c r="V981">
        <v>3.1880609999999997E-2</v>
      </c>
      <c r="W981">
        <v>0.12038409999999999</v>
      </c>
      <c r="X981">
        <v>0.99221530000000002</v>
      </c>
      <c r="Y981">
        <v>5.7426640000000001E-2</v>
      </c>
      <c r="Z981">
        <v>-9.7487590000000003E-4</v>
      </c>
      <c r="AA981">
        <v>0.99834920000000005</v>
      </c>
      <c r="AB981">
        <v>35</v>
      </c>
      <c r="AC981">
        <v>25.225100000000001</v>
      </c>
      <c r="AD981">
        <v>-1.060024200547</v>
      </c>
      <c r="AE981">
        <v>-1.5982999999999901</v>
      </c>
      <c r="AF981">
        <v>1.4622935663191601</v>
      </c>
      <c r="AG981">
        <v>-1.060024200547</v>
      </c>
      <c r="AH981">
        <v>25.188897214860699</v>
      </c>
      <c r="AI981">
        <v>92.405710415558005</v>
      </c>
      <c r="AJ981">
        <v>86.677531459300198</v>
      </c>
      <c r="AK981">
        <v>25.253564039174002</v>
      </c>
      <c r="AL981">
        <v>83.085729082884697</v>
      </c>
      <c r="AM981">
        <v>88.159677443414097</v>
      </c>
      <c r="AN981">
        <v>0.999999953190435</v>
      </c>
    </row>
    <row r="982" spans="1:40" x14ac:dyDescent="0.25">
      <c r="A982" t="str">
        <f>"20190312164010305"</f>
        <v>20190312164010305</v>
      </c>
      <c r="B982" t="str">
        <f>"1552380010297189"</f>
        <v>1552380010297189</v>
      </c>
      <c r="C982" t="s">
        <v>40</v>
      </c>
      <c r="D982">
        <v>5.3317740000000002</v>
      </c>
      <c r="E982">
        <v>0.51304189999999905</v>
      </c>
      <c r="F982" t="s">
        <v>41</v>
      </c>
      <c r="G982">
        <v>-271.47480000000002</v>
      </c>
      <c r="H982" s="1">
        <v>-4.2554040000000001E-6</v>
      </c>
      <c r="I982">
        <v>366.1447</v>
      </c>
      <c r="J982">
        <v>-296.56470000000002</v>
      </c>
      <c r="K982">
        <v>1.060009</v>
      </c>
      <c r="L982">
        <v>367.74439999999998</v>
      </c>
      <c r="M982">
        <v>0.99991859999999999</v>
      </c>
      <c r="N982">
        <v>0</v>
      </c>
      <c r="O982">
        <v>-5.1534759999999997E-3</v>
      </c>
      <c r="P982">
        <v>0.99336389999999997</v>
      </c>
      <c r="Q982">
        <v>0.10896110000000001</v>
      </c>
      <c r="R982">
        <v>-3.682858E-2</v>
      </c>
      <c r="S982">
        <v>3.0267330000000001</v>
      </c>
      <c r="T982">
        <v>-0.12655519999999901</v>
      </c>
      <c r="U982">
        <v>-0.19113160000000001</v>
      </c>
      <c r="V982">
        <v>3.1657780000000003E-2</v>
      </c>
      <c r="W982">
        <v>0.1205725</v>
      </c>
      <c r="X982">
        <v>0.99219959999999996</v>
      </c>
      <c r="Y982">
        <v>5.7832019999999998E-2</v>
      </c>
      <c r="Z982">
        <v>-9.921445000000001E-4</v>
      </c>
      <c r="AA982">
        <v>0.99832580000000004</v>
      </c>
      <c r="AB982">
        <v>35</v>
      </c>
      <c r="AC982">
        <v>25.0899</v>
      </c>
      <c r="AD982">
        <v>-1.060013255404</v>
      </c>
      <c r="AE982">
        <v>-1.5996999999999799</v>
      </c>
      <c r="AF982">
        <v>1.4677604843165399</v>
      </c>
      <c r="AG982">
        <v>-1.060013255404</v>
      </c>
      <c r="AH982">
        <v>25.053273705567999</v>
      </c>
      <c r="AI982">
        <v>92.418618365430305</v>
      </c>
      <c r="AJ982">
        <v>86.6471262082311</v>
      </c>
      <c r="AK982">
        <v>25.118608088567701</v>
      </c>
      <c r="AL982">
        <v>83.074855640404607</v>
      </c>
      <c r="AM982">
        <v>88.172502755559194</v>
      </c>
      <c r="AN982">
        <v>0.99999999451546895</v>
      </c>
    </row>
    <row r="983" spans="1:40" x14ac:dyDescent="0.25">
      <c r="A983" t="str">
        <f>"20190312164010316"</f>
        <v>20190312164010316</v>
      </c>
      <c r="B983" t="str">
        <f>"1552380010306950"</f>
        <v>1552380010306950</v>
      </c>
      <c r="C983" t="s">
        <v>40</v>
      </c>
      <c r="D983">
        <v>5.1658660000000003</v>
      </c>
      <c r="E983">
        <v>0.51304269999999996</v>
      </c>
      <c r="F983" t="s">
        <v>41</v>
      </c>
      <c r="G983">
        <v>-270.99430000000001</v>
      </c>
      <c r="H983" s="1">
        <v>-4.4651319999999999E-6</v>
      </c>
      <c r="I983">
        <v>366.12450000000001</v>
      </c>
      <c r="J983">
        <v>-296.38830000000002</v>
      </c>
      <c r="K983">
        <v>1.0600020000000001</v>
      </c>
      <c r="L983">
        <v>367.74360000000001</v>
      </c>
      <c r="M983">
        <v>0.99991909999999895</v>
      </c>
      <c r="N983">
        <v>0</v>
      </c>
      <c r="O983">
        <v>-5.0675159999999898E-3</v>
      </c>
      <c r="P983">
        <v>0.99340700000000004</v>
      </c>
      <c r="Q983">
        <v>0.1086925</v>
      </c>
      <c r="R983">
        <v>-3.6450549999999998E-2</v>
      </c>
      <c r="S983">
        <v>3.0267029999999999</v>
      </c>
      <c r="T983">
        <v>-0.12547039999999901</v>
      </c>
      <c r="U983">
        <v>-0.19174189999999999</v>
      </c>
      <c r="V983">
        <v>3.1367329999999999E-2</v>
      </c>
      <c r="W983">
        <v>0.1203037</v>
      </c>
      <c r="X983">
        <v>0.99224140000000005</v>
      </c>
      <c r="Y983">
        <v>5.8119450000000003E-2</v>
      </c>
      <c r="Z983">
        <v>-9.9315839999999998E-4</v>
      </c>
      <c r="AA983">
        <v>0.99830909999999995</v>
      </c>
      <c r="AB983">
        <v>35</v>
      </c>
      <c r="AC983">
        <v>25.393999999999998</v>
      </c>
      <c r="AD983">
        <v>-1.060006465132</v>
      </c>
      <c r="AE983">
        <v>-1.6191</v>
      </c>
      <c r="AF983">
        <v>1.4878040527763801</v>
      </c>
      <c r="AG983">
        <v>-1.060006465132</v>
      </c>
      <c r="AH983">
        <v>25.357873898644801</v>
      </c>
      <c r="AI983">
        <v>92.389572289619593</v>
      </c>
      <c r="AJ983">
        <v>86.642175989639099</v>
      </c>
      <c r="AK983">
        <v>25.4235902906169</v>
      </c>
      <c r="AL983">
        <v>83.090369315802803</v>
      </c>
      <c r="AM983">
        <v>88.189334474475601</v>
      </c>
      <c r="AN983">
        <v>0.999999942749487</v>
      </c>
    </row>
    <row r="984" spans="1:40" x14ac:dyDescent="0.25">
      <c r="A984" t="str">
        <f>"20190312164010327"</f>
        <v>20190312164010327</v>
      </c>
      <c r="B984" t="str">
        <f>"1552380010316710"</f>
        <v>1552380010316710</v>
      </c>
      <c r="C984" t="s">
        <v>40</v>
      </c>
      <c r="D984">
        <v>5.3419489999999996</v>
      </c>
      <c r="E984">
        <v>0.51312669999999905</v>
      </c>
      <c r="F984" t="s">
        <v>41</v>
      </c>
      <c r="G984">
        <v>-271.18200000000002</v>
      </c>
      <c r="H984" s="1">
        <v>-4.3788899999999998E-6</v>
      </c>
      <c r="I984">
        <v>366.1567</v>
      </c>
      <c r="J984">
        <v>-296.21969999999999</v>
      </c>
      <c r="K984">
        <v>1.0599959999999999</v>
      </c>
      <c r="L984">
        <v>367.74279999999999</v>
      </c>
      <c r="M984">
        <v>0.99991920000000001</v>
      </c>
      <c r="N984">
        <v>0</v>
      </c>
      <c r="O984">
        <v>-4.9929960000000004E-3</v>
      </c>
      <c r="P984">
        <v>0.99338570000000004</v>
      </c>
      <c r="Q984">
        <v>0.10887239999999999</v>
      </c>
      <c r="R984">
        <v>-3.6493169999999998E-2</v>
      </c>
      <c r="S984">
        <v>3.0268860000000002</v>
      </c>
      <c r="T984">
        <v>-0.12728980000000001</v>
      </c>
      <c r="U984">
        <v>-0.19055179999999999</v>
      </c>
      <c r="V984">
        <v>3.1486359999999998E-2</v>
      </c>
      <c r="W984">
        <v>0.1204826</v>
      </c>
      <c r="X984">
        <v>0.99221599999999999</v>
      </c>
      <c r="Y984">
        <v>5.7797950000000001E-2</v>
      </c>
      <c r="Z984">
        <v>-1.003877E-3</v>
      </c>
      <c r="AA984">
        <v>0.99832779999999999</v>
      </c>
      <c r="AB984">
        <v>35</v>
      </c>
      <c r="AC984">
        <v>25.037699999999901</v>
      </c>
      <c r="AD984">
        <v>-1.0600003788900001</v>
      </c>
      <c r="AE984">
        <v>-1.5860999999999801</v>
      </c>
      <c r="AF984">
        <v>1.45845493177408</v>
      </c>
      <c r="AG984">
        <v>-1.0600003788900001</v>
      </c>
      <c r="AH984">
        <v>25.0006768974044</v>
      </c>
      <c r="AI984">
        <v>92.423706336799697</v>
      </c>
      <c r="AJ984">
        <v>86.661341910960701</v>
      </c>
      <c r="AK984">
        <v>25.065604658967899</v>
      </c>
      <c r="AL984">
        <v>83.080044528583699</v>
      </c>
      <c r="AM984">
        <v>88.182421622830901</v>
      </c>
      <c r="AN984">
        <v>1.0000000192123999</v>
      </c>
    </row>
    <row r="985" spans="1:40" x14ac:dyDescent="0.25">
      <c r="A985" t="str">
        <f>"20190312164010340"</f>
        <v>20190312164010340</v>
      </c>
      <c r="B985" t="str">
        <f>"1552380010327447"</f>
        <v>1552380010327447</v>
      </c>
      <c r="C985" t="s">
        <v>40</v>
      </c>
      <c r="D985">
        <v>5.1845460000000001</v>
      </c>
      <c r="E985">
        <v>0.51321309999999998</v>
      </c>
      <c r="F985" t="s">
        <v>41</v>
      </c>
      <c r="G985">
        <v>-270.8947</v>
      </c>
      <c r="H985" s="1">
        <v>-4.5047500000000004E-6</v>
      </c>
      <c r="I985">
        <v>366.14179999999999</v>
      </c>
      <c r="J985">
        <v>-296.0308</v>
      </c>
      <c r="K985">
        <v>1.0599879999999999</v>
      </c>
      <c r="L985">
        <v>367.74189999999999</v>
      </c>
      <c r="M985">
        <v>0.99991969999999997</v>
      </c>
      <c r="N985">
        <v>0</v>
      </c>
      <c r="O985">
        <v>-4.911576E-3</v>
      </c>
      <c r="P985">
        <v>0.9933999</v>
      </c>
      <c r="Q985">
        <v>0.1088325</v>
      </c>
      <c r="R985">
        <v>-3.622682E-2</v>
      </c>
      <c r="S985">
        <v>3.0268250000000001</v>
      </c>
      <c r="T985">
        <v>-0.12669030000000001</v>
      </c>
      <c r="U985">
        <v>-0.19134519999999999</v>
      </c>
      <c r="V985">
        <v>3.1303119999999997E-2</v>
      </c>
      <c r="W985">
        <v>0.12044240000000001</v>
      </c>
      <c r="X985">
        <v>0.99222670000000002</v>
      </c>
      <c r="Y985">
        <v>5.8141230000000002E-2</v>
      </c>
      <c r="Z985">
        <v>-1.0097420000000001E-3</v>
      </c>
      <c r="AA985">
        <v>0.99830790000000003</v>
      </c>
      <c r="AB985">
        <v>35</v>
      </c>
      <c r="AC985">
        <v>25.136099999999999</v>
      </c>
      <c r="AD985">
        <v>-1.0599925047499901</v>
      </c>
      <c r="AE985">
        <v>-1.6000999999999901</v>
      </c>
      <c r="AF985">
        <v>1.4740037361924401</v>
      </c>
      <c r="AG985">
        <v>-1.0599925047499901</v>
      </c>
      <c r="AH985">
        <v>25.099202059037701</v>
      </c>
      <c r="AI985">
        <v>92.4141306879213</v>
      </c>
      <c r="AJ985">
        <v>86.639044433988303</v>
      </c>
      <c r="AK985">
        <v>25.164781245320501</v>
      </c>
      <c r="AL985">
        <v>83.082364863540406</v>
      </c>
      <c r="AM985">
        <v>88.193011756503097</v>
      </c>
      <c r="AN985">
        <v>1.00000004061619</v>
      </c>
    </row>
    <row r="986" spans="1:40" x14ac:dyDescent="0.25">
      <c r="A986" t="str">
        <f>"20190312164010361"</f>
        <v>20190312164010361</v>
      </c>
      <c r="B986" t="str">
        <f>"1552380010356726"</f>
        <v>1552380010356726</v>
      </c>
      <c r="C986" t="s">
        <v>40</v>
      </c>
      <c r="D986">
        <v>5.336036</v>
      </c>
      <c r="E986">
        <v>0.51323589999999997</v>
      </c>
      <c r="F986" t="s">
        <v>41</v>
      </c>
      <c r="G986">
        <v>-270.68509999999998</v>
      </c>
      <c r="H986" s="1">
        <v>-4.5941419999999997E-6</v>
      </c>
      <c r="I986">
        <v>366.14499999999998</v>
      </c>
      <c r="J986">
        <v>-295.68779999999998</v>
      </c>
      <c r="K986">
        <v>1.0599700000000001</v>
      </c>
      <c r="L986">
        <v>367.74040000000002</v>
      </c>
      <c r="M986">
        <v>0.99992040000000004</v>
      </c>
      <c r="N986">
        <v>0</v>
      </c>
      <c r="O986">
        <v>-4.7784120000000001E-3</v>
      </c>
      <c r="P986">
        <v>0.99348939999999997</v>
      </c>
      <c r="Q986">
        <v>0.1080031</v>
      </c>
      <c r="R986">
        <v>-3.6252949999999999E-2</v>
      </c>
      <c r="S986">
        <v>3.0268549999999999</v>
      </c>
      <c r="T986">
        <v>-0.1265869</v>
      </c>
      <c r="U986">
        <v>-0.19070429999999999</v>
      </c>
      <c r="V986">
        <v>3.1465720000000003E-2</v>
      </c>
      <c r="W986">
        <v>0.11961869999999999</v>
      </c>
      <c r="X986">
        <v>0.99232109999999996</v>
      </c>
      <c r="Y986">
        <v>5.8063049999999998E-2</v>
      </c>
      <c r="Z986">
        <v>-1.0128439999999999E-3</v>
      </c>
      <c r="AA986">
        <v>0.99831239999999999</v>
      </c>
      <c r="AB986">
        <v>35</v>
      </c>
      <c r="AC986">
        <v>25.002700000000001</v>
      </c>
      <c r="AD986">
        <v>-1.059974594142</v>
      </c>
      <c r="AE986">
        <v>-1.5954000000000399</v>
      </c>
      <c r="AF986">
        <v>1.4732632975772599</v>
      </c>
      <c r="AG986">
        <v>-1.059974594142</v>
      </c>
      <c r="AH986">
        <v>24.965350598220098</v>
      </c>
      <c r="AI986">
        <v>92.426977066272599</v>
      </c>
      <c r="AJ986">
        <v>86.622759762177907</v>
      </c>
      <c r="AK986">
        <v>25.031236113629401</v>
      </c>
      <c r="AL986">
        <v>83.129902429948302</v>
      </c>
      <c r="AM986">
        <v>88.183804537718103</v>
      </c>
      <c r="AN986">
        <v>0.99999994521500701</v>
      </c>
    </row>
    <row r="987" spans="1:40" x14ac:dyDescent="0.25">
      <c r="A987" t="str">
        <f>"20190312164010373"</f>
        <v>20190312164010373</v>
      </c>
      <c r="B987" t="str">
        <f>"1552380010367462"</f>
        <v>1552380010367462</v>
      </c>
      <c r="C987" t="s">
        <v>40</v>
      </c>
      <c r="D987">
        <v>5.2606349999999997</v>
      </c>
      <c r="E987">
        <v>0.51323589999999997</v>
      </c>
      <c r="F987" t="s">
        <v>41</v>
      </c>
      <c r="G987">
        <v>-270.97770000000003</v>
      </c>
      <c r="H987" s="1">
        <v>-4.4618259999999997E-6</v>
      </c>
      <c r="I987">
        <v>366.18329999999997</v>
      </c>
      <c r="J987">
        <v>-295.50490000000002</v>
      </c>
      <c r="K987">
        <v>1.0599620000000001</v>
      </c>
      <c r="L987">
        <v>367.7396</v>
      </c>
      <c r="M987">
        <v>0.9999207</v>
      </c>
      <c r="N987">
        <v>0</v>
      </c>
      <c r="O987">
        <v>-4.7130890000000002E-3</v>
      </c>
      <c r="P987">
        <v>0.99353670000000005</v>
      </c>
      <c r="Q987">
        <v>0.1075986</v>
      </c>
      <c r="R987">
        <v>-3.6162989999999999E-2</v>
      </c>
      <c r="S987">
        <v>3.0268549999999999</v>
      </c>
      <c r="T987">
        <v>-0.12984039999999999</v>
      </c>
      <c r="U987">
        <v>-0.19073490000000001</v>
      </c>
      <c r="V987">
        <v>3.1442520000000002E-2</v>
      </c>
      <c r="W987">
        <v>0.11921859999999999</v>
      </c>
      <c r="X987">
        <v>0.99236999999999997</v>
      </c>
      <c r="Y987">
        <v>5.8135760000000002E-2</v>
      </c>
      <c r="Z987">
        <v>-1.043207E-3</v>
      </c>
      <c r="AA987">
        <v>0.99830810000000003</v>
      </c>
      <c r="AB987">
        <v>35</v>
      </c>
      <c r="AC987">
        <v>24.527200000000001</v>
      </c>
      <c r="AD987">
        <v>-1.0599664618260001</v>
      </c>
      <c r="AE987">
        <v>-1.55630000000002</v>
      </c>
      <c r="AF987">
        <v>1.4380010834686801</v>
      </c>
      <c r="AG987">
        <v>-1.0599664618260001</v>
      </c>
      <c r="AH987">
        <v>24.488710844565599</v>
      </c>
      <c r="AI987">
        <v>92.474180037289102</v>
      </c>
      <c r="AJ987">
        <v>86.639394797292994</v>
      </c>
      <c r="AK987">
        <v>24.553784532022799</v>
      </c>
      <c r="AL987">
        <v>83.152991813770996</v>
      </c>
      <c r="AM987">
        <v>88.185232110584494</v>
      </c>
      <c r="AN987">
        <v>0.99999996177495398</v>
      </c>
    </row>
    <row r="988" spans="1:40" x14ac:dyDescent="0.25">
      <c r="A988" t="str">
        <f>"20190312164010385"</f>
        <v>20190312164010385</v>
      </c>
      <c r="B988" t="str">
        <f>"1552380010377222"</f>
        <v>1552380010377222</v>
      </c>
      <c r="C988" t="s">
        <v>40</v>
      </c>
      <c r="D988">
        <v>5.0193339999999997</v>
      </c>
      <c r="E988">
        <v>0.48494399999999999</v>
      </c>
      <c r="F988" t="s">
        <v>41</v>
      </c>
      <c r="G988">
        <v>-271.02910000000003</v>
      </c>
      <c r="H988" s="1">
        <v>-4.4371859999999997E-6</v>
      </c>
      <c r="I988">
        <v>366.1977</v>
      </c>
      <c r="J988">
        <v>-295.3279</v>
      </c>
      <c r="K988">
        <v>1.0599529999999999</v>
      </c>
      <c r="L988">
        <v>367.73880000000003</v>
      </c>
      <c r="M988">
        <v>0.99992080000000005</v>
      </c>
      <c r="N988">
        <v>0</v>
      </c>
      <c r="O988">
        <v>-4.6526500000000004E-3</v>
      </c>
      <c r="P988">
        <v>0.99357470000000003</v>
      </c>
      <c r="Q988">
        <v>0.107255</v>
      </c>
      <c r="R988">
        <v>-3.6134909999999999E-2</v>
      </c>
      <c r="S988">
        <v>3.026764</v>
      </c>
      <c r="T988">
        <v>-0.1310791</v>
      </c>
      <c r="U988">
        <v>-0.1906738</v>
      </c>
      <c r="V988">
        <v>3.1476179999999999E-2</v>
      </c>
      <c r="W988">
        <v>0.1188811</v>
      </c>
      <c r="X988">
        <v>0.99240949999999994</v>
      </c>
      <c r="Y988">
        <v>5.8176899999999997E-2</v>
      </c>
      <c r="Z988">
        <v>-1.056686E-3</v>
      </c>
      <c r="AA988">
        <v>0.99830569999999996</v>
      </c>
      <c r="AB988">
        <v>35</v>
      </c>
      <c r="AC988">
        <v>24.2987999999999</v>
      </c>
      <c r="AD988">
        <v>-1.0599574371860001</v>
      </c>
      <c r="AE988">
        <v>-1.5411000000000199</v>
      </c>
      <c r="AF988">
        <v>1.4253204533607799</v>
      </c>
      <c r="AG988">
        <v>-1.0599574371860001</v>
      </c>
      <c r="AH988">
        <v>24.259729688709999</v>
      </c>
      <c r="AI988">
        <v>92.497477890974494</v>
      </c>
      <c r="AJ988">
        <v>86.637593393735898</v>
      </c>
      <c r="AK988">
        <v>24.324669221444498</v>
      </c>
      <c r="AL988">
        <v>83.1724681887994</v>
      </c>
      <c r="AM988">
        <v>88.183362917998494</v>
      </c>
      <c r="AN988">
        <v>1.0000000407674201</v>
      </c>
    </row>
    <row r="989" spans="1:40" x14ac:dyDescent="0.25">
      <c r="A989" t="str">
        <f>"20190312164010395"</f>
        <v>20190312164010395</v>
      </c>
      <c r="B989" t="str">
        <f>"1552380010386983"</f>
        <v>1552380010386983</v>
      </c>
      <c r="C989" t="s">
        <v>40</v>
      </c>
      <c r="D989">
        <v>5.2465279999999996</v>
      </c>
      <c r="E989">
        <v>0.48152489999999998</v>
      </c>
      <c r="F989" t="s">
        <v>41</v>
      </c>
      <c r="G989">
        <v>-268.70690000000002</v>
      </c>
      <c r="H989" s="1">
        <v>-8.4457040000000002E-7</v>
      </c>
      <c r="I989">
        <v>368.04349999999999</v>
      </c>
      <c r="J989">
        <v>-295.15089999999998</v>
      </c>
      <c r="K989">
        <v>1.0599499999999999</v>
      </c>
      <c r="L989">
        <v>367.738</v>
      </c>
      <c r="M989">
        <v>0.99992099999999995</v>
      </c>
      <c r="N989">
        <v>0</v>
      </c>
      <c r="O989">
        <v>-4.5944769999999996E-3</v>
      </c>
      <c r="P989">
        <v>0.99360139999999997</v>
      </c>
      <c r="Q989">
        <v>0.10693130000000001</v>
      </c>
      <c r="R989">
        <v>-3.6358460000000002E-2</v>
      </c>
      <c r="S989">
        <v>3.0336910000000001</v>
      </c>
      <c r="T989">
        <v>-0.1207907</v>
      </c>
      <c r="U989">
        <v>3.4729000000000003E-2</v>
      </c>
      <c r="V989">
        <v>3.175911E-2</v>
      </c>
      <c r="W989">
        <v>0.1185648</v>
      </c>
      <c r="X989">
        <v>0.9924383</v>
      </c>
      <c r="Y989">
        <v>-1.6025049999999999E-2</v>
      </c>
      <c r="Z989">
        <v>5.0176370000000004E-4</v>
      </c>
      <c r="AA989">
        <v>0.99987150000000002</v>
      </c>
      <c r="AB989">
        <v>35</v>
      </c>
      <c r="AC989">
        <v>26.4439999999999</v>
      </c>
      <c r="AD989">
        <v>-1.0599508445704</v>
      </c>
      <c r="AE989">
        <v>0.30549999999993799</v>
      </c>
      <c r="AF989">
        <v>-0.42631659758281998</v>
      </c>
      <c r="AG989">
        <v>-1.0599508445704</v>
      </c>
      <c r="AH989">
        <v>26.3999077965893</v>
      </c>
      <c r="AI989">
        <v>92.298879412838502</v>
      </c>
      <c r="AJ989">
        <v>90.925155462154905</v>
      </c>
      <c r="AK989">
        <v>26.424616805219699</v>
      </c>
      <c r="AL989">
        <v>83.1907197612408</v>
      </c>
      <c r="AM989">
        <v>88.167097953158901</v>
      </c>
      <c r="AN989">
        <v>1.00000001608696</v>
      </c>
    </row>
    <row r="990" spans="1:40" x14ac:dyDescent="0.25">
      <c r="A990" t="str">
        <f>"20190312164010406"</f>
        <v>20190312164010406</v>
      </c>
      <c r="B990" t="str">
        <f>"1552380010396742"</f>
        <v>1552380010396742</v>
      </c>
      <c r="C990" t="s">
        <v>40</v>
      </c>
      <c r="D990">
        <v>5.2087349999999999</v>
      </c>
      <c r="E990">
        <v>0.47898960000000002</v>
      </c>
      <c r="F990" t="s">
        <v>41</v>
      </c>
      <c r="G990">
        <v>-266.88889999999998</v>
      </c>
      <c r="H990" s="1">
        <v>-1.5497989999999999E-6</v>
      </c>
      <c r="I990">
        <v>368.30369999999999</v>
      </c>
      <c r="J990">
        <v>-294.98259999999999</v>
      </c>
      <c r="K990">
        <v>1.0599459999999901</v>
      </c>
      <c r="L990">
        <v>367.7373</v>
      </c>
      <c r="M990">
        <v>0.99992110000000001</v>
      </c>
      <c r="N990">
        <v>0</v>
      </c>
      <c r="O990">
        <v>-4.5417779999999998E-3</v>
      </c>
      <c r="P990">
        <v>0.99364759999999996</v>
      </c>
      <c r="Q990">
        <v>0.106396699999999</v>
      </c>
      <c r="R990">
        <v>-3.6665860000000002E-2</v>
      </c>
      <c r="S990">
        <v>3.0337830000000001</v>
      </c>
      <c r="T990">
        <v>-0.11378000000000001</v>
      </c>
      <c r="U990">
        <v>6.0729980000000003E-2</v>
      </c>
      <c r="V990">
        <v>3.2120000000000003E-2</v>
      </c>
      <c r="W990">
        <v>0.1180383</v>
      </c>
      <c r="X990">
        <v>0.99248950000000002</v>
      </c>
      <c r="Y990">
        <v>-2.4534440000000001E-2</v>
      </c>
      <c r="Z990">
        <v>6.3013879999999998E-4</v>
      </c>
      <c r="AA990">
        <v>0.9996988</v>
      </c>
      <c r="AB990">
        <v>35</v>
      </c>
      <c r="AC990">
        <v>28.093699999999998</v>
      </c>
      <c r="AD990">
        <v>-1.0599475497990001</v>
      </c>
      <c r="AE990">
        <v>0.56639999999998702</v>
      </c>
      <c r="AF990">
        <v>-0.69301217074883803</v>
      </c>
      <c r="AG990">
        <v>-1.0599475497990001</v>
      </c>
      <c r="AH990">
        <v>28.050923904903598</v>
      </c>
      <c r="AI990">
        <v>92.163320644700704</v>
      </c>
      <c r="AJ990">
        <v>91.415233136258095</v>
      </c>
      <c r="AK990">
        <v>28.079495839416801</v>
      </c>
      <c r="AL990">
        <v>83.221099697899703</v>
      </c>
      <c r="AM990">
        <v>88.146380050405696</v>
      </c>
      <c r="AN990">
        <v>1.0000000711385599</v>
      </c>
    </row>
    <row r="991" spans="1:40" x14ac:dyDescent="0.25">
      <c r="A991" t="str">
        <f>"20190312164010417"</f>
        <v>20190312164010417</v>
      </c>
      <c r="B991" t="str">
        <f>"1552380010407479"</f>
        <v>1552380010407479</v>
      </c>
      <c r="C991" t="s">
        <v>40</v>
      </c>
      <c r="D991">
        <v>5.1866079999999997</v>
      </c>
      <c r="E991">
        <v>0.47925109999999899</v>
      </c>
      <c r="F991" t="s">
        <v>41</v>
      </c>
      <c r="G991">
        <v>-272.60079999999999</v>
      </c>
      <c r="H991" s="1">
        <v>-3.3826699999999998E-6</v>
      </c>
      <c r="I991">
        <v>368.3415</v>
      </c>
      <c r="J991">
        <v>-294.81450000000001</v>
      </c>
      <c r="K991">
        <v>1.0599419999999999</v>
      </c>
      <c r="L991">
        <v>367.73660000000001</v>
      </c>
      <c r="M991">
        <v>0.99992130000000001</v>
      </c>
      <c r="N991">
        <v>0</v>
      </c>
      <c r="O991">
        <v>-4.4900299999999999E-3</v>
      </c>
      <c r="P991">
        <v>0.99365720000000002</v>
      </c>
      <c r="Q991">
        <v>0.10620590000000001</v>
      </c>
      <c r="R991">
        <v>-3.6959180000000001E-2</v>
      </c>
      <c r="S991">
        <v>3.037598</v>
      </c>
      <c r="T991">
        <v>-0.14385309999999901</v>
      </c>
      <c r="U991">
        <v>8.2000729999999994E-2</v>
      </c>
      <c r="V991">
        <v>3.2466059999999998E-2</v>
      </c>
      <c r="W991">
        <v>0.117856</v>
      </c>
      <c r="X991">
        <v>0.99249980000000004</v>
      </c>
      <c r="Y991">
        <v>-3.1433620000000002E-2</v>
      </c>
      <c r="Z991">
        <v>9.5625319999999997E-4</v>
      </c>
      <c r="AA991">
        <v>0.99950539999999999</v>
      </c>
      <c r="AB991">
        <v>35</v>
      </c>
      <c r="AC991">
        <v>22.213699999999999</v>
      </c>
      <c r="AD991">
        <v>-1.05994538267</v>
      </c>
      <c r="AE991">
        <v>0.604899999999986</v>
      </c>
      <c r="AF991">
        <v>-0.70304142587871499</v>
      </c>
      <c r="AG991">
        <v>-1.05994538267</v>
      </c>
      <c r="AH991">
        <v>22.160342528833599</v>
      </c>
      <c r="AI991">
        <v>92.7370370405323</v>
      </c>
      <c r="AJ991">
        <v>91.817110922463002</v>
      </c>
      <c r="AK991">
        <v>22.1968135653741</v>
      </c>
      <c r="AL991">
        <v>83.231617432336805</v>
      </c>
      <c r="AM991">
        <v>88.126442787340594</v>
      </c>
      <c r="AN991">
        <v>0.999999967393981</v>
      </c>
    </row>
    <row r="992" spans="1:40" x14ac:dyDescent="0.25">
      <c r="A992" t="str">
        <f>"20190312164010428"</f>
        <v>20190312164010428</v>
      </c>
      <c r="B992" t="str">
        <f>"1552380010417239"</f>
        <v>1552380010417239</v>
      </c>
      <c r="C992" t="s">
        <v>40</v>
      </c>
      <c r="D992">
        <v>5.168863</v>
      </c>
      <c r="E992">
        <v>0.47911540000000002</v>
      </c>
      <c r="F992" t="s">
        <v>41</v>
      </c>
      <c r="G992">
        <v>-273.35770000000002</v>
      </c>
      <c r="H992" s="1">
        <v>-3.0657609999999999E-6</v>
      </c>
      <c r="I992">
        <v>368.29750000000001</v>
      </c>
      <c r="J992">
        <v>-294.64210000000003</v>
      </c>
      <c r="K992">
        <v>1.059941</v>
      </c>
      <c r="L992">
        <v>367.73590000000002</v>
      </c>
      <c r="M992">
        <v>0.99992139999999996</v>
      </c>
      <c r="N992">
        <v>0</v>
      </c>
      <c r="O992">
        <v>-4.4387619999999997E-3</v>
      </c>
      <c r="P992">
        <v>0.993649</v>
      </c>
      <c r="Q992">
        <v>0.1061487</v>
      </c>
      <c r="R992">
        <v>-3.7335399999999998E-2</v>
      </c>
      <c r="S992">
        <v>3.0381469999999999</v>
      </c>
      <c r="T992">
        <v>-0.1500812</v>
      </c>
      <c r="U992">
        <v>7.9437259999999996E-2</v>
      </c>
      <c r="V992">
        <v>3.2894380000000001E-2</v>
      </c>
      <c r="W992">
        <v>0.117809999999999</v>
      </c>
      <c r="X992">
        <v>0.99249120000000002</v>
      </c>
      <c r="Y992">
        <v>-3.0532360000000001E-2</v>
      </c>
      <c r="Z992">
        <v>9.7266119999999995E-4</v>
      </c>
      <c r="AA992">
        <v>0.99953329999999996</v>
      </c>
      <c r="AB992">
        <v>35</v>
      </c>
      <c r="AC992">
        <v>21.284400000000002</v>
      </c>
      <c r="AD992">
        <v>-1.059944065761</v>
      </c>
      <c r="AE992">
        <v>0.56159999999999799</v>
      </c>
      <c r="AF992">
        <v>-0.65445545992492804</v>
      </c>
      <c r="AG992">
        <v>-1.059944065761</v>
      </c>
      <c r="AH992">
        <v>21.229086846404499</v>
      </c>
      <c r="AI992">
        <v>92.856984210262794</v>
      </c>
      <c r="AJ992">
        <v>91.765769003466303</v>
      </c>
      <c r="AK992">
        <v>21.265604193244801</v>
      </c>
      <c r="AL992">
        <v>83.234271812453201</v>
      </c>
      <c r="AM992">
        <v>88.101726749443003</v>
      </c>
      <c r="AN992">
        <v>1.00000000920651</v>
      </c>
    </row>
    <row r="993" spans="1:40" x14ac:dyDescent="0.25">
      <c r="A993" t="str">
        <f>"20190312164010440"</f>
        <v>20190312164010440</v>
      </c>
      <c r="B993" t="str">
        <f>"1552380010436758"</f>
        <v>1552380010436758</v>
      </c>
      <c r="C993" t="s">
        <v>40</v>
      </c>
      <c r="D993">
        <v>5.1517439999999999</v>
      </c>
      <c r="E993">
        <v>0.47904950000000002</v>
      </c>
      <c r="F993" t="s">
        <v>41</v>
      </c>
      <c r="G993">
        <v>-274.93299999999999</v>
      </c>
      <c r="H993" s="1">
        <v>-2.397449E-6</v>
      </c>
      <c r="I993">
        <v>368.25549999999998</v>
      </c>
      <c r="J993">
        <v>-294.46159999999998</v>
      </c>
      <c r="K993">
        <v>1.059939</v>
      </c>
      <c r="L993">
        <v>367.73509999999999</v>
      </c>
      <c r="M993">
        <v>0.99992139999999996</v>
      </c>
      <c r="N993">
        <v>0</v>
      </c>
      <c r="O993">
        <v>-4.3854699999999998E-3</v>
      </c>
      <c r="P993">
        <v>0.99367320000000003</v>
      </c>
      <c r="Q993">
        <v>0.1058245</v>
      </c>
      <c r="R993">
        <v>-3.761341E-2</v>
      </c>
      <c r="S993">
        <v>3.039612</v>
      </c>
      <c r="T993">
        <v>-0.1634678</v>
      </c>
      <c r="U993">
        <v>8.0139160000000001E-2</v>
      </c>
      <c r="V993">
        <v>3.322605E-2</v>
      </c>
      <c r="W993">
        <v>0.11749800000000001</v>
      </c>
      <c r="X993">
        <v>0.99251710000000004</v>
      </c>
      <c r="Y993">
        <v>-3.068912E-2</v>
      </c>
      <c r="Z993">
        <v>1.060133E-3</v>
      </c>
      <c r="AA993">
        <v>0.99952839999999998</v>
      </c>
      <c r="AB993">
        <v>35</v>
      </c>
      <c r="AC993">
        <v>19.528599999999901</v>
      </c>
      <c r="AD993">
        <v>-1.059941397449</v>
      </c>
      <c r="AE993">
        <v>0.52039999999999498</v>
      </c>
      <c r="AF993">
        <v>-0.60426413990840899</v>
      </c>
      <c r="AG993">
        <v>-1.059941397449</v>
      </c>
      <c r="AH993">
        <v>19.4688168775313</v>
      </c>
      <c r="AI993">
        <v>93.114782427849804</v>
      </c>
      <c r="AJ993">
        <v>91.777749217120103</v>
      </c>
      <c r="AK993">
        <v>19.507010061197299</v>
      </c>
      <c r="AL993">
        <v>83.252272869408102</v>
      </c>
      <c r="AM993">
        <v>88.082650906283405</v>
      </c>
      <c r="AN993">
        <v>0.99999997209750502</v>
      </c>
    </row>
    <row r="994" spans="1:40" x14ac:dyDescent="0.25">
      <c r="A994" t="str">
        <f>"20190312164010449"</f>
        <v>20190312164010449</v>
      </c>
      <c r="B994" t="str">
        <f>"1552380010447495"</f>
        <v>1552380010447495</v>
      </c>
      <c r="C994" t="s">
        <v>40</v>
      </c>
      <c r="D994">
        <v>5.3259189999999998</v>
      </c>
      <c r="E994">
        <v>0.47920380000000001</v>
      </c>
      <c r="F994" t="s">
        <v>41</v>
      </c>
      <c r="G994">
        <v>-276.81259999999997</v>
      </c>
      <c r="H994" s="1">
        <v>-1.6003660000000001E-6</v>
      </c>
      <c r="I994">
        <v>368.20319999999998</v>
      </c>
      <c r="J994">
        <v>-294.30169999999998</v>
      </c>
      <c r="K994">
        <v>1.059939</v>
      </c>
      <c r="L994">
        <v>367.73450000000003</v>
      </c>
      <c r="M994">
        <v>0.99992159999999997</v>
      </c>
      <c r="N994">
        <v>0</v>
      </c>
      <c r="O994">
        <v>-4.339435E-3</v>
      </c>
      <c r="P994">
        <v>0.99368270000000003</v>
      </c>
      <c r="Q994">
        <v>0.1057336</v>
      </c>
      <c r="R994">
        <v>-3.7617919999999999E-2</v>
      </c>
      <c r="S994">
        <v>3.041595</v>
      </c>
      <c r="T994">
        <v>-0.182667</v>
      </c>
      <c r="U994">
        <v>8.0688480000000007E-2</v>
      </c>
      <c r="V994">
        <v>3.3276890000000003E-2</v>
      </c>
      <c r="W994">
        <v>0.11741889999999899</v>
      </c>
      <c r="X994">
        <v>0.99252479999999998</v>
      </c>
      <c r="Y994">
        <v>-3.0793709999999998E-2</v>
      </c>
      <c r="Z994">
        <v>1.1840360000000001E-3</v>
      </c>
      <c r="AA994">
        <v>0.99952510000000006</v>
      </c>
      <c r="AB994">
        <v>35</v>
      </c>
      <c r="AC994">
        <v>17.489100000000001</v>
      </c>
      <c r="AD994">
        <v>-1.0599406003659999</v>
      </c>
      <c r="AE994">
        <v>0.46869999999995499</v>
      </c>
      <c r="AF994">
        <v>-0.54260205477429002</v>
      </c>
      <c r="AG994">
        <v>-1.0599406003659999</v>
      </c>
      <c r="AH994">
        <v>17.422951643550999</v>
      </c>
      <c r="AI994">
        <v>93.479665707547497</v>
      </c>
      <c r="AJ994">
        <v>91.783782870872997</v>
      </c>
      <c r="AK994">
        <v>17.463594562393698</v>
      </c>
      <c r="AL994">
        <v>83.256836840668598</v>
      </c>
      <c r="AM994">
        <v>88.079734204218695</v>
      </c>
      <c r="AN994">
        <v>1.0000000140501599</v>
      </c>
    </row>
    <row r="995" spans="1:40" x14ac:dyDescent="0.25">
      <c r="A995" t="str">
        <f>"20190312164010464"</f>
        <v>20190312164010464</v>
      </c>
      <c r="B995" t="str">
        <f>"1552380010457254"</f>
        <v>1552380010457254</v>
      </c>
      <c r="C995" t="s">
        <v>40</v>
      </c>
      <c r="D995">
        <v>5.2316529999999997</v>
      </c>
      <c r="E995">
        <v>0.47926960000000002</v>
      </c>
      <c r="F995" t="s">
        <v>41</v>
      </c>
      <c r="G995">
        <v>-277.02010000000001</v>
      </c>
      <c r="H995" s="1">
        <v>-1.514129E-6</v>
      </c>
      <c r="I995">
        <v>368.18759999999997</v>
      </c>
      <c r="J995">
        <v>-294.07960000000003</v>
      </c>
      <c r="K995">
        <v>1.059936</v>
      </c>
      <c r="L995">
        <v>367.73360000000002</v>
      </c>
      <c r="M995">
        <v>0.99992159999999997</v>
      </c>
      <c r="N995">
        <v>0</v>
      </c>
      <c r="O995">
        <v>-4.275315E-3</v>
      </c>
      <c r="P995">
        <v>0.99368619999999996</v>
      </c>
      <c r="Q995">
        <v>0.10561479999999999</v>
      </c>
      <c r="R995">
        <v>-3.7863830000000001E-2</v>
      </c>
      <c r="S995">
        <v>3.0419309999999999</v>
      </c>
      <c r="T995">
        <v>-0.18657090000000001</v>
      </c>
      <c r="U995">
        <v>7.9772949999999995E-2</v>
      </c>
      <c r="V995">
        <v>3.3586909999999998E-2</v>
      </c>
      <c r="W995">
        <v>0.11731610000000001</v>
      </c>
      <c r="X995">
        <v>0.99252649999999998</v>
      </c>
      <c r="Y995">
        <v>-3.042417E-2</v>
      </c>
      <c r="Z995">
        <v>1.1939159999999999E-3</v>
      </c>
      <c r="AA995">
        <v>0.99953630000000004</v>
      </c>
      <c r="AB995">
        <v>35</v>
      </c>
      <c r="AC995">
        <v>17.0595</v>
      </c>
      <c r="AD995">
        <v>-1.0599375141289999</v>
      </c>
      <c r="AE995">
        <v>0.45399999999995</v>
      </c>
      <c r="AF995">
        <v>-0.52491072745955303</v>
      </c>
      <c r="AG995">
        <v>-1.0599375141289999</v>
      </c>
      <c r="AH995">
        <v>16.9918546697991</v>
      </c>
      <c r="AI995">
        <v>93.567739722724198</v>
      </c>
      <c r="AJ995">
        <v>91.769412954305807</v>
      </c>
      <c r="AK995">
        <v>17.032971670417101</v>
      </c>
      <c r="AL995">
        <v>83.262767746948896</v>
      </c>
      <c r="AM995">
        <v>88.061861185448507</v>
      </c>
      <c r="AN995">
        <v>1.0000000005223999</v>
      </c>
    </row>
    <row r="996" spans="1:40" x14ac:dyDescent="0.25">
      <c r="A996" t="str">
        <f>"20190312164010476"</f>
        <v>20190312164010476</v>
      </c>
      <c r="B996" t="str">
        <f>"1552380010467015"</f>
        <v>1552380010467015</v>
      </c>
      <c r="C996" t="s">
        <v>40</v>
      </c>
      <c r="D996">
        <v>5.161276</v>
      </c>
      <c r="E996">
        <v>0.47929749999999999</v>
      </c>
      <c r="F996" t="s">
        <v>41</v>
      </c>
      <c r="G996">
        <v>-276.53590000000003</v>
      </c>
      <c r="H996" s="1">
        <v>-1.7223809999999999E-6</v>
      </c>
      <c r="I996">
        <v>368.18450000000001</v>
      </c>
      <c r="J996">
        <v>-293.87950000000001</v>
      </c>
      <c r="K996">
        <v>1.0599350000000001</v>
      </c>
      <c r="L996">
        <v>367.7328</v>
      </c>
      <c r="M996">
        <v>0.99992170000000002</v>
      </c>
      <c r="N996">
        <v>0</v>
      </c>
      <c r="O996">
        <v>-4.217854E-3</v>
      </c>
      <c r="P996">
        <v>0.99372199999999999</v>
      </c>
      <c r="Q996">
        <v>0.1052197</v>
      </c>
      <c r="R996">
        <v>-3.8022470000000003E-2</v>
      </c>
      <c r="S996">
        <v>3.041534</v>
      </c>
      <c r="T996">
        <v>-0.1837597</v>
      </c>
      <c r="U996">
        <v>7.8186039999999998E-2</v>
      </c>
      <c r="V996">
        <v>3.3803449999999999E-2</v>
      </c>
      <c r="W996">
        <v>0.11693630000000001</v>
      </c>
      <c r="X996">
        <v>0.992564</v>
      </c>
      <c r="Y996">
        <v>-2.9852070000000001E-2</v>
      </c>
      <c r="Z996">
        <v>1.1553889999999999E-3</v>
      </c>
      <c r="AA996">
        <v>0.99955369999999999</v>
      </c>
      <c r="AB996">
        <v>35</v>
      </c>
      <c r="AC996">
        <v>17.343599999999899</v>
      </c>
      <c r="AD996">
        <v>-1.0599367223809999</v>
      </c>
      <c r="AE996">
        <v>0.45170000000001598</v>
      </c>
      <c r="AF996">
        <v>-0.52290215733396905</v>
      </c>
      <c r="AG996">
        <v>-1.0599367223809999</v>
      </c>
      <c r="AH996">
        <v>17.2770556749599</v>
      </c>
      <c r="AI996">
        <v>93.509057990970504</v>
      </c>
      <c r="AJ996">
        <v>91.733567591809603</v>
      </c>
      <c r="AK996">
        <v>17.317434721033599</v>
      </c>
      <c r="AL996">
        <v>83.284679719591793</v>
      </c>
      <c r="AM996">
        <v>88.049448966593005</v>
      </c>
      <c r="AN996">
        <v>1.00000003279279</v>
      </c>
    </row>
    <row r="997" spans="1:40" x14ac:dyDescent="0.25">
      <c r="A997" t="str">
        <f>"20190312164010496"</f>
        <v>20190312164010496</v>
      </c>
      <c r="B997" t="str">
        <f>"1552380010487510"</f>
        <v>1552380010487510</v>
      </c>
      <c r="C997" t="s">
        <v>40</v>
      </c>
      <c r="D997">
        <v>5.1784379999999999</v>
      </c>
      <c r="E997">
        <v>0.47883949999999997</v>
      </c>
      <c r="F997" t="s">
        <v>41</v>
      </c>
      <c r="G997">
        <v>-276.15589999999997</v>
      </c>
      <c r="H997" s="1">
        <v>-1.88564E-6</v>
      </c>
      <c r="I997">
        <v>368.1832</v>
      </c>
      <c r="J997">
        <v>-293.57909999999998</v>
      </c>
      <c r="K997">
        <v>1.059931</v>
      </c>
      <c r="L997">
        <v>367.73160000000001</v>
      </c>
      <c r="M997">
        <v>0.99992179999999997</v>
      </c>
      <c r="N997">
        <v>0</v>
      </c>
      <c r="O997">
        <v>-4.1316060000000003E-3</v>
      </c>
      <c r="P997">
        <v>0.99374830000000003</v>
      </c>
      <c r="Q997">
        <v>0.10499650000000001</v>
      </c>
      <c r="R997">
        <v>-3.7949379999999998E-2</v>
      </c>
      <c r="S997">
        <v>3.0411679999999999</v>
      </c>
      <c r="T997">
        <v>-0.18187239999999999</v>
      </c>
      <c r="U997">
        <v>7.7301030000000007E-2</v>
      </c>
      <c r="V997">
        <v>3.3816800000000001E-2</v>
      </c>
      <c r="W997">
        <v>0.11673840000000001</v>
      </c>
      <c r="X997">
        <v>0.99258679999999999</v>
      </c>
      <c r="Y997">
        <v>-2.9480320000000001E-2</v>
      </c>
      <c r="Z997">
        <v>1.127428E-3</v>
      </c>
      <c r="AA997">
        <v>0.99956469999999997</v>
      </c>
      <c r="AB997">
        <v>35</v>
      </c>
      <c r="AC997">
        <v>17.423200000000001</v>
      </c>
      <c r="AD997">
        <v>-1.0599328856400001</v>
      </c>
      <c r="AE997">
        <v>0.45159999999998401</v>
      </c>
      <c r="AF997">
        <v>-0.52165767978711397</v>
      </c>
      <c r="AG997">
        <v>-1.0599328856400001</v>
      </c>
      <c r="AH997">
        <v>17.356992893132201</v>
      </c>
      <c r="AI997">
        <v>93.4929467616127</v>
      </c>
      <c r="AJ997">
        <v>91.7214841966195</v>
      </c>
      <c r="AK997">
        <v>17.3971488109168</v>
      </c>
      <c r="AL997">
        <v>83.296096478943198</v>
      </c>
      <c r="AM997">
        <v>88.048724018417403</v>
      </c>
      <c r="AN997">
        <v>0.99999999276551899</v>
      </c>
    </row>
    <row r="998" spans="1:40" x14ac:dyDescent="0.25">
      <c r="A998" t="str">
        <f>"20190312164010508"</f>
        <v>20190312164010508</v>
      </c>
      <c r="B998" t="str">
        <f>"1552380010497270"</f>
        <v>1552380010497270</v>
      </c>
      <c r="C998" t="s">
        <v>40</v>
      </c>
      <c r="D998">
        <v>5.2195580000000001</v>
      </c>
      <c r="E998">
        <v>0.47847800000000001</v>
      </c>
      <c r="F998" t="s">
        <v>41</v>
      </c>
      <c r="G998">
        <v>-276.44080000000002</v>
      </c>
      <c r="H998" s="1">
        <v>-1.762322E-6</v>
      </c>
      <c r="I998">
        <v>368.18950000000001</v>
      </c>
      <c r="J998">
        <v>-293.38459999999998</v>
      </c>
      <c r="K998">
        <v>1.0599339999999999</v>
      </c>
      <c r="L998">
        <v>367.73090000000002</v>
      </c>
      <c r="M998">
        <v>0.99992179999999997</v>
      </c>
      <c r="N998">
        <v>0</v>
      </c>
      <c r="O998">
        <v>-4.0748650000000004E-3</v>
      </c>
      <c r="P998">
        <v>0.99376710000000001</v>
      </c>
      <c r="Q998">
        <v>0.1048453</v>
      </c>
      <c r="R998">
        <v>-3.7876229999999997E-2</v>
      </c>
      <c r="S998">
        <v>3.0418090000000002</v>
      </c>
      <c r="T998">
        <v>-0.18812139999999999</v>
      </c>
      <c r="U998">
        <v>8.1268309999999996E-2</v>
      </c>
      <c r="V998">
        <v>3.3800129999999998E-2</v>
      </c>
      <c r="W998">
        <v>0.116604399999999</v>
      </c>
      <c r="X998">
        <v>0.99260309999999896</v>
      </c>
      <c r="Y998">
        <v>-3.0714620000000002E-2</v>
      </c>
      <c r="Z998">
        <v>1.200448E-3</v>
      </c>
      <c r="AA998">
        <v>0.99952750000000001</v>
      </c>
      <c r="AB998">
        <v>35</v>
      </c>
      <c r="AC998">
        <v>16.9437999999999</v>
      </c>
      <c r="AD998">
        <v>-1.059935762322</v>
      </c>
      <c r="AE998">
        <v>0.45859999999998902</v>
      </c>
      <c r="AF998">
        <v>-0.52558945921673295</v>
      </c>
      <c r="AG998">
        <v>-1.059935762322</v>
      </c>
      <c r="AH998">
        <v>16.875799584717601</v>
      </c>
      <c r="AI998">
        <v>93.592177113688507</v>
      </c>
      <c r="AJ998">
        <v>91.7838755765694</v>
      </c>
      <c r="AK998">
        <v>16.917219621540799</v>
      </c>
      <c r="AL998">
        <v>83.303826785058803</v>
      </c>
      <c r="AM998">
        <v>88.049717159678195</v>
      </c>
      <c r="AN998">
        <v>0.99999997450849298</v>
      </c>
    </row>
    <row r="999" spans="1:40" x14ac:dyDescent="0.25">
      <c r="A999" t="str">
        <f>"20190312164010519"</f>
        <v>20190312164010519</v>
      </c>
      <c r="B999" t="str">
        <f>"1552380010516791"</f>
        <v>1552380010516791</v>
      </c>
      <c r="C999" t="s">
        <v>40</v>
      </c>
      <c r="D999">
        <v>5.0820470000000002</v>
      </c>
      <c r="E999">
        <v>0.47853200000000001</v>
      </c>
      <c r="F999" t="s">
        <v>41</v>
      </c>
      <c r="G999">
        <v>-276.82260000000002</v>
      </c>
      <c r="H999" s="1">
        <v>-1.5980709999999901E-6</v>
      </c>
      <c r="I999">
        <v>368.19200000000001</v>
      </c>
      <c r="J999">
        <v>-293.20819999999998</v>
      </c>
      <c r="K999">
        <v>1.0599369999999999</v>
      </c>
      <c r="L999">
        <v>367.73020000000002</v>
      </c>
      <c r="M999">
        <v>0.99992190000000003</v>
      </c>
      <c r="N999">
        <v>0</v>
      </c>
      <c r="O999">
        <v>-4.0233600000000001E-3</v>
      </c>
      <c r="P999">
        <v>0.99377729999999997</v>
      </c>
      <c r="Q999">
        <v>0.10479869999999999</v>
      </c>
      <c r="R999">
        <v>-3.7738510000000003E-2</v>
      </c>
      <c r="S999">
        <v>3.0426030000000002</v>
      </c>
      <c r="T999">
        <v>-0.194719</v>
      </c>
      <c r="U999">
        <v>8.4716799999999995E-2</v>
      </c>
      <c r="V999">
        <v>3.3713939999999998E-2</v>
      </c>
      <c r="W999">
        <v>0.1165741</v>
      </c>
      <c r="X999">
        <v>0.99260959999999998</v>
      </c>
      <c r="Y999">
        <v>-3.1781400000000001E-2</v>
      </c>
      <c r="Z999">
        <v>1.272923E-3</v>
      </c>
      <c r="AA999">
        <v>0.99949399999999999</v>
      </c>
      <c r="AB999">
        <v>35</v>
      </c>
      <c r="AC999">
        <v>16.385599999999901</v>
      </c>
      <c r="AD999">
        <v>-1.0599385980709899</v>
      </c>
      <c r="AE999">
        <v>0.46179999999992499</v>
      </c>
      <c r="AF999">
        <v>-0.52552874982272102</v>
      </c>
      <c r="AG999">
        <v>-1.0599385980709899</v>
      </c>
      <c r="AH999">
        <v>16.315392743671399</v>
      </c>
      <c r="AI999">
        <v>93.715107549981894</v>
      </c>
      <c r="AJ999">
        <v>91.844894134729799</v>
      </c>
      <c r="AK999">
        <v>16.358230059478199</v>
      </c>
      <c r="AL999">
        <v>83.305574833776305</v>
      </c>
      <c r="AM999">
        <v>88.054699264795104</v>
      </c>
      <c r="AN999">
        <v>0.99999998427664605</v>
      </c>
    </row>
    <row r="1000" spans="1:40" x14ac:dyDescent="0.25">
      <c r="A1000" t="str">
        <f>"20190312164010531"</f>
        <v>20190312164010531</v>
      </c>
      <c r="B1000" t="str">
        <f>"1552380010527526"</f>
        <v>1552380010527526</v>
      </c>
      <c r="C1000" t="s">
        <v>40</v>
      </c>
      <c r="D1000">
        <v>5.1009589999999996</v>
      </c>
      <c r="E1000">
        <v>0.47857060000000001</v>
      </c>
      <c r="F1000" t="s">
        <v>41</v>
      </c>
      <c r="G1000">
        <v>-276.3503</v>
      </c>
      <c r="H1000" s="1">
        <v>-1.799314E-6</v>
      </c>
      <c r="I1000">
        <v>368.19959999999998</v>
      </c>
      <c r="J1000">
        <v>-293.02190000000002</v>
      </c>
      <c r="K1000">
        <v>1.0599379999999901</v>
      </c>
      <c r="L1000">
        <v>367.7296</v>
      </c>
      <c r="M1000">
        <v>0.99992190000000003</v>
      </c>
      <c r="N1000">
        <v>0</v>
      </c>
      <c r="O1000">
        <v>-3.9688839999999998E-3</v>
      </c>
      <c r="P1000">
        <v>0.99374739999999995</v>
      </c>
      <c r="Q1000">
        <v>0.1051455</v>
      </c>
      <c r="R1000">
        <v>-3.756338E-2</v>
      </c>
      <c r="S1000">
        <v>3.0421749999999999</v>
      </c>
      <c r="T1000">
        <v>-0.19127549999999999</v>
      </c>
      <c r="U1000">
        <v>8.4716799999999995E-2</v>
      </c>
      <c r="V1000">
        <v>3.3593129999999999E-2</v>
      </c>
      <c r="W1000">
        <v>0.11693919999999999</v>
      </c>
      <c r="X1000">
        <v>0.99257079999999998</v>
      </c>
      <c r="Y1000">
        <v>-3.1733610000000002E-2</v>
      </c>
      <c r="Z1000">
        <v>1.2457099999999999E-3</v>
      </c>
      <c r="AA1000">
        <v>0.99949560000000004</v>
      </c>
      <c r="AB1000">
        <v>35</v>
      </c>
      <c r="AC1000">
        <v>16.671600000000002</v>
      </c>
      <c r="AD1000">
        <v>-1.0599397993139901</v>
      </c>
      <c r="AE1000">
        <v>0.46999999999997</v>
      </c>
      <c r="AF1000">
        <v>-0.53401177237450703</v>
      </c>
      <c r="AG1000">
        <v>-1.0599397993139901</v>
      </c>
      <c r="AH1000">
        <v>16.6025471859029</v>
      </c>
      <c r="AI1000">
        <v>93.651036624112095</v>
      </c>
      <c r="AJ1000">
        <v>91.842252017543402</v>
      </c>
      <c r="AK1000">
        <v>16.644915560354601</v>
      </c>
      <c r="AL1000">
        <v>83.284512421775801</v>
      </c>
      <c r="AM1000">
        <v>88.061588985216204</v>
      </c>
      <c r="AN1000">
        <v>1.00000003394623</v>
      </c>
    </row>
    <row r="1001" spans="1:40" x14ac:dyDescent="0.25">
      <c r="A1001" t="str">
        <f>"20190312164010543"</f>
        <v>20190312164010543</v>
      </c>
      <c r="B1001" t="str">
        <f>"1552380010537286"</f>
        <v>1552380010537286</v>
      </c>
      <c r="C1001" t="s">
        <v>40</v>
      </c>
      <c r="D1001">
        <v>5.3646229999999999</v>
      </c>
      <c r="E1001">
        <v>0.47857719999999998</v>
      </c>
      <c r="F1001" t="s">
        <v>41</v>
      </c>
      <c r="G1001">
        <v>-275.90039999999999</v>
      </c>
      <c r="H1001" s="1">
        <v>-1.9908519999999998E-6</v>
      </c>
      <c r="I1001">
        <v>368.20800000000003</v>
      </c>
      <c r="J1001">
        <v>-292.8433</v>
      </c>
      <c r="K1001">
        <v>1.059941</v>
      </c>
      <c r="L1001">
        <v>367.72890000000001</v>
      </c>
      <c r="M1001">
        <v>0.99992179999999997</v>
      </c>
      <c r="N1001">
        <v>0</v>
      </c>
      <c r="O1001">
        <v>-3.9163119999999999E-3</v>
      </c>
      <c r="P1001">
        <v>0.99374499999999999</v>
      </c>
      <c r="Q1001">
        <v>0.10516540000000001</v>
      </c>
      <c r="R1001">
        <v>-3.75693E-2</v>
      </c>
      <c r="S1001">
        <v>3.0420229999999999</v>
      </c>
      <c r="T1001">
        <v>-0.18832099999999999</v>
      </c>
      <c r="U1001">
        <v>8.5021970000000002E-2</v>
      </c>
      <c r="V1001">
        <v>3.3651710000000001E-2</v>
      </c>
      <c r="W1001">
        <v>0.1169771</v>
      </c>
      <c r="X1001">
        <v>0.99256429999999995</v>
      </c>
      <c r="Y1001">
        <v>-3.1784800000000002E-2</v>
      </c>
      <c r="Z1001">
        <v>1.224897E-3</v>
      </c>
      <c r="AA1001">
        <v>0.99949399999999999</v>
      </c>
      <c r="AB1001">
        <v>35</v>
      </c>
      <c r="AC1001">
        <v>16.942900000000002</v>
      </c>
      <c r="AD1001">
        <v>-1.0599429908519999</v>
      </c>
      <c r="AE1001">
        <v>0.47910000000001601</v>
      </c>
      <c r="AF1001">
        <v>-0.54332994706980797</v>
      </c>
      <c r="AG1001">
        <v>-1.0599429908519999</v>
      </c>
      <c r="AH1001">
        <v>16.874902770482699</v>
      </c>
      <c r="AI1001">
        <v>93.5922725908666</v>
      </c>
      <c r="AJ1001">
        <v>91.844144674461106</v>
      </c>
      <c r="AK1001">
        <v>16.9168859453649</v>
      </c>
      <c r="AL1001">
        <v>83.282325572198701</v>
      </c>
      <c r="AM1001">
        <v>88.058198645779498</v>
      </c>
      <c r="AN1001">
        <v>0.99999998457241102</v>
      </c>
    </row>
    <row r="1002" spans="1:40" x14ac:dyDescent="0.25">
      <c r="A1002" t="str">
        <f>"20190312164010553"</f>
        <v>20190312164010553</v>
      </c>
      <c r="B1002" t="str">
        <f>"1552380010547048"</f>
        <v>1552380010547048</v>
      </c>
      <c r="C1002" t="s">
        <v>40</v>
      </c>
      <c r="D1002">
        <v>5.184018</v>
      </c>
      <c r="E1002">
        <v>0.47844510000000001</v>
      </c>
      <c r="F1002" t="s">
        <v>41</v>
      </c>
      <c r="G1002">
        <v>-275.60480000000001</v>
      </c>
      <c r="H1002" s="1">
        <v>-2.1173609999999998E-6</v>
      </c>
      <c r="I1002">
        <v>368.20960000000002</v>
      </c>
      <c r="J1002">
        <v>-292.67309999999998</v>
      </c>
      <c r="K1002">
        <v>1.0599449999999999</v>
      </c>
      <c r="L1002">
        <v>367.72829999999999</v>
      </c>
      <c r="M1002">
        <v>0.99992179999999997</v>
      </c>
      <c r="N1002">
        <v>0</v>
      </c>
      <c r="O1002">
        <v>-3.8657639999999998E-3</v>
      </c>
      <c r="P1002">
        <v>0.99375720000000001</v>
      </c>
      <c r="Q1002">
        <v>0.10515620000000001</v>
      </c>
      <c r="R1002">
        <v>-3.727345E-2</v>
      </c>
      <c r="S1002">
        <v>3.0419309999999999</v>
      </c>
      <c r="T1002">
        <v>-0.18703890000000001</v>
      </c>
      <c r="U1002">
        <v>8.4838869999999997E-2</v>
      </c>
      <c r="V1002">
        <v>3.3406020000000002E-2</v>
      </c>
      <c r="W1002">
        <v>0.1169856</v>
      </c>
      <c r="X1002">
        <v>0.9925716</v>
      </c>
      <c r="Y1002">
        <v>-3.167623E-2</v>
      </c>
      <c r="Z1002">
        <v>1.210172E-3</v>
      </c>
      <c r="AA1002">
        <v>0.99949750000000004</v>
      </c>
      <c r="AB1002">
        <v>35</v>
      </c>
      <c r="AC1002">
        <v>17.068299999999901</v>
      </c>
      <c r="AD1002">
        <v>-1.059947117361</v>
      </c>
      <c r="AE1002">
        <v>0.48130000000003198</v>
      </c>
      <c r="AF1002">
        <v>-0.54518229137462604</v>
      </c>
      <c r="AG1002">
        <v>-1.059947117361</v>
      </c>
      <c r="AH1002">
        <v>17.000801050513001</v>
      </c>
      <c r="AI1002">
        <v>93.565767777784203</v>
      </c>
      <c r="AJ1002">
        <v>91.836733656040806</v>
      </c>
      <c r="AK1002">
        <v>17.042533496565401</v>
      </c>
      <c r="AL1002">
        <v>83.281835207231197</v>
      </c>
      <c r="AM1002">
        <v>88.072379103589498</v>
      </c>
      <c r="AN1002">
        <v>0.99999998695308001</v>
      </c>
    </row>
    <row r="1003" spans="1:40" x14ac:dyDescent="0.25">
      <c r="A1003" t="str">
        <f>"20190312164010565"</f>
        <v>20190312164010565</v>
      </c>
      <c r="B1003" t="str">
        <f>"1552380010556806"</f>
        <v>1552380010556806</v>
      </c>
      <c r="C1003" t="s">
        <v>40</v>
      </c>
      <c r="D1003">
        <v>5.9292939999999996</v>
      </c>
      <c r="E1003">
        <v>0.47847770000000001</v>
      </c>
      <c r="F1003" t="s">
        <v>41</v>
      </c>
      <c r="G1003">
        <v>-275.7097</v>
      </c>
      <c r="H1003" s="1">
        <v>-2.0716269999999999E-6</v>
      </c>
      <c r="I1003">
        <v>368.21370000000002</v>
      </c>
      <c r="J1003">
        <v>-292.4948</v>
      </c>
      <c r="K1003">
        <v>1.059952</v>
      </c>
      <c r="L1003">
        <v>367.72770000000003</v>
      </c>
      <c r="M1003">
        <v>0.99992159999999997</v>
      </c>
      <c r="N1003">
        <v>0</v>
      </c>
      <c r="O1003">
        <v>-3.8127180000000001E-3</v>
      </c>
      <c r="P1003">
        <v>0.99378569999999999</v>
      </c>
      <c r="Q1003">
        <v>0.1050165</v>
      </c>
      <c r="R1003">
        <v>-3.6897840000000001E-2</v>
      </c>
      <c r="S1003">
        <v>3.0422359999999999</v>
      </c>
      <c r="T1003">
        <v>-0.1900916</v>
      </c>
      <c r="U1003">
        <v>8.7066649999999995E-2</v>
      </c>
      <c r="V1003">
        <v>3.3083340000000003E-2</v>
      </c>
      <c r="W1003">
        <v>0.1168667</v>
      </c>
      <c r="X1003">
        <v>0.99259640000000005</v>
      </c>
      <c r="Y1003">
        <v>-3.2348330000000002E-2</v>
      </c>
      <c r="Z1003">
        <v>1.247412E-3</v>
      </c>
      <c r="AA1003">
        <v>0.99947589999999997</v>
      </c>
      <c r="AB1003">
        <v>35</v>
      </c>
      <c r="AC1003">
        <v>16.7851</v>
      </c>
      <c r="AD1003">
        <v>-1.0599540716269999</v>
      </c>
      <c r="AE1003">
        <v>0.48599999999999</v>
      </c>
      <c r="AF1003">
        <v>-0.54781516091641502</v>
      </c>
      <c r="AG1003">
        <v>-1.0599540716269999</v>
      </c>
      <c r="AH1003">
        <v>16.716519665674401</v>
      </c>
      <c r="AI1003">
        <v>93.626188230392899</v>
      </c>
      <c r="AJ1003">
        <v>91.876961744081299</v>
      </c>
      <c r="AK1003">
        <v>16.7590463278007</v>
      </c>
      <c r="AL1003">
        <v>83.288694634380704</v>
      </c>
      <c r="AM1003">
        <v>88.091032460450606</v>
      </c>
      <c r="AN1003">
        <v>0.99999997312370204</v>
      </c>
    </row>
    <row r="1004" spans="1:40" x14ac:dyDescent="0.25">
      <c r="A1004" t="str">
        <f>"20190312164010577"</f>
        <v>20190312164010577</v>
      </c>
      <c r="B1004" t="str">
        <f>"1552380010567542"</f>
        <v>1552380010567542</v>
      </c>
      <c r="C1004" t="s">
        <v>40</v>
      </c>
      <c r="D1004">
        <v>5.1112460000000004</v>
      </c>
      <c r="E1004">
        <v>0.47849039999999998</v>
      </c>
      <c r="F1004" t="s">
        <v>41</v>
      </c>
      <c r="G1004">
        <v>-275.4255</v>
      </c>
      <c r="H1004" s="1">
        <v>-2.1926469999999998E-6</v>
      </c>
      <c r="I1004">
        <v>368.21890000000002</v>
      </c>
      <c r="J1004">
        <v>-292.29669999999999</v>
      </c>
      <c r="K1004">
        <v>1.059952</v>
      </c>
      <c r="L1004">
        <v>367.72699999999998</v>
      </c>
      <c r="M1004">
        <v>0.99992179999999997</v>
      </c>
      <c r="N1004">
        <v>0</v>
      </c>
      <c r="O1004">
        <v>-3.7537260000000002E-3</v>
      </c>
      <c r="P1004">
        <v>0.99377349999999998</v>
      </c>
      <c r="Q1004">
        <v>0.1051873</v>
      </c>
      <c r="R1004">
        <v>-3.6751569999999997E-2</v>
      </c>
      <c r="S1004">
        <v>3.0420229999999999</v>
      </c>
      <c r="T1004">
        <v>-0.1888996</v>
      </c>
      <c r="U1004">
        <v>8.7554930000000003E-2</v>
      </c>
      <c r="V1004">
        <v>3.2995509999999999E-2</v>
      </c>
      <c r="W1004">
        <v>0.11705989999999999</v>
      </c>
      <c r="X1004">
        <v>0.99257660000000003</v>
      </c>
      <c r="Y1004">
        <v>-3.2452460000000002E-2</v>
      </c>
      <c r="Z1004">
        <v>1.2392589999999999E-3</v>
      </c>
      <c r="AA1004">
        <v>0.99947249999999999</v>
      </c>
      <c r="AB1004">
        <v>35</v>
      </c>
      <c r="AC1004">
        <v>16.871199999999899</v>
      </c>
      <c r="AD1004">
        <v>-1.059954192647</v>
      </c>
      <c r="AE1004">
        <v>0.49190000000004303</v>
      </c>
      <c r="AF1004">
        <v>-0.55304979313948299</v>
      </c>
      <c r="AG1004">
        <v>-1.059954192647</v>
      </c>
      <c r="AH1004">
        <v>16.8029672439724</v>
      </c>
      <c r="AI1004">
        <v>93.607565222219705</v>
      </c>
      <c r="AJ1004">
        <v>91.885142275634706</v>
      </c>
      <c r="AK1004">
        <v>16.845446719105201</v>
      </c>
      <c r="AL1004">
        <v>83.277548870923297</v>
      </c>
      <c r="AM1004">
        <v>88.096058721550406</v>
      </c>
      <c r="AN1004">
        <v>1.0000000153678601</v>
      </c>
    </row>
    <row r="1005" spans="1:40" x14ac:dyDescent="0.25">
      <c r="A1005" t="str">
        <f>"20190312164010589"</f>
        <v>20190312164010589</v>
      </c>
      <c r="B1005" t="str">
        <f>"1552380010577302"</f>
        <v>1552380010577302</v>
      </c>
      <c r="C1005" t="s">
        <v>40</v>
      </c>
      <c r="D1005">
        <v>5.2976559999999999</v>
      </c>
      <c r="E1005">
        <v>0.47851579999999999</v>
      </c>
      <c r="F1005" t="s">
        <v>41</v>
      </c>
      <c r="G1005">
        <v>-275.03230000000002</v>
      </c>
      <c r="H1005" s="1">
        <v>-2.360045E-6</v>
      </c>
      <c r="I1005">
        <v>368.22609999999997</v>
      </c>
      <c r="J1005">
        <v>-292.12970000000001</v>
      </c>
      <c r="K1005">
        <v>1.0599559999999999</v>
      </c>
      <c r="L1005">
        <v>367.72640000000001</v>
      </c>
      <c r="M1005">
        <v>0.99992159999999997</v>
      </c>
      <c r="N1005">
        <v>0</v>
      </c>
      <c r="O1005">
        <v>-3.7015120000000001E-3</v>
      </c>
      <c r="P1005">
        <v>0.99379130000000004</v>
      </c>
      <c r="Q1005">
        <v>0.104995</v>
      </c>
      <c r="R1005">
        <v>-3.681222E-2</v>
      </c>
      <c r="S1005">
        <v>3.0418400000000001</v>
      </c>
      <c r="T1005">
        <v>-0.1867539</v>
      </c>
      <c r="U1005">
        <v>8.7951660000000001E-2</v>
      </c>
      <c r="V1005">
        <v>3.3107919999999999E-2</v>
      </c>
      <c r="W1005">
        <v>0.1168899</v>
      </c>
      <c r="X1005">
        <v>0.9925929</v>
      </c>
      <c r="Y1005">
        <v>-3.2533760000000002E-2</v>
      </c>
      <c r="Z1005">
        <v>1.224571E-3</v>
      </c>
      <c r="AA1005">
        <v>0.99946990000000002</v>
      </c>
      <c r="AB1005">
        <v>35</v>
      </c>
      <c r="AC1005">
        <v>17.097399999999901</v>
      </c>
      <c r="AD1005">
        <v>-1.059958360045</v>
      </c>
      <c r="AE1005">
        <v>0.49969999999996101</v>
      </c>
      <c r="AF1005">
        <v>-0.56083365816909903</v>
      </c>
      <c r="AG1005">
        <v>-1.059958360045</v>
      </c>
      <c r="AH1005">
        <v>17.030035418844999</v>
      </c>
      <c r="AI1005">
        <v>93.559600472964505</v>
      </c>
      <c r="AJ1005">
        <v>91.886184729524203</v>
      </c>
      <c r="AK1005">
        <v>17.072204089814502</v>
      </c>
      <c r="AL1005">
        <v>83.2873565427751</v>
      </c>
      <c r="AM1005">
        <v>88.089608470051104</v>
      </c>
      <c r="AN1005">
        <v>1.0000000241095699</v>
      </c>
    </row>
    <row r="1006" spans="1:40" x14ac:dyDescent="0.25">
      <c r="A1006" t="str">
        <f>"20190312164010599"</f>
        <v>20190312164010599</v>
      </c>
      <c r="B1006" t="str">
        <f>"1552380010596822"</f>
        <v>1552380010596822</v>
      </c>
      <c r="C1006" t="s">
        <v>40</v>
      </c>
      <c r="D1006">
        <v>5.3447589999999998</v>
      </c>
      <c r="E1006">
        <v>0.47859819999999997</v>
      </c>
      <c r="F1006" t="s">
        <v>41</v>
      </c>
      <c r="G1006">
        <v>-274.82810000000001</v>
      </c>
      <c r="H1006" s="1">
        <v>-2.4482469999999999E-6</v>
      </c>
      <c r="I1006">
        <v>368.2226</v>
      </c>
      <c r="J1006">
        <v>-291.95530000000002</v>
      </c>
      <c r="K1006">
        <v>1.059958</v>
      </c>
      <c r="L1006">
        <v>367.72579999999999</v>
      </c>
      <c r="M1006">
        <v>0.99992139999999996</v>
      </c>
      <c r="N1006">
        <v>0</v>
      </c>
      <c r="O1006">
        <v>-3.646921E-3</v>
      </c>
      <c r="P1006">
        <v>0.99380119999999905</v>
      </c>
      <c r="Q1006">
        <v>0.10501190000000001</v>
      </c>
      <c r="R1006">
        <v>-3.6491679999999999E-2</v>
      </c>
      <c r="S1006">
        <v>3.0416560000000001</v>
      </c>
      <c r="T1006">
        <v>-0.18634239999999999</v>
      </c>
      <c r="U1006">
        <v>8.7249759999999996E-2</v>
      </c>
      <c r="V1006">
        <v>3.284136E-2</v>
      </c>
      <c r="W1006">
        <v>0.1169306</v>
      </c>
      <c r="X1006">
        <v>0.9925969</v>
      </c>
      <c r="Y1006">
        <v>-3.22514E-2</v>
      </c>
      <c r="Z1006">
        <v>1.2099750000000001E-3</v>
      </c>
      <c r="AA1006">
        <v>0.99947909999999995</v>
      </c>
      <c r="AB1006">
        <v>35</v>
      </c>
      <c r="AC1006">
        <v>17.127199999999998</v>
      </c>
      <c r="AD1006">
        <v>-1.059960448247</v>
      </c>
      <c r="AE1006">
        <v>0.49680000000000701</v>
      </c>
      <c r="AF1006">
        <v>-0.55713068052742698</v>
      </c>
      <c r="AG1006">
        <v>-1.059960448247</v>
      </c>
      <c r="AH1006">
        <v>17.059988167055099</v>
      </c>
      <c r="AI1006">
        <v>93.553405697263699</v>
      </c>
      <c r="AJ1006">
        <v>91.870452410870101</v>
      </c>
      <c r="AK1006">
        <v>17.1019620806238</v>
      </c>
      <c r="AL1006">
        <v>83.285008090755099</v>
      </c>
      <c r="AM1006">
        <v>88.1049858727593</v>
      </c>
      <c r="AN1006">
        <v>0.999999963016309</v>
      </c>
    </row>
    <row r="1007" spans="1:40" x14ac:dyDescent="0.25">
      <c r="A1007" t="str">
        <f>"20190312164010611"</f>
        <v>20190312164010611</v>
      </c>
      <c r="B1007" t="str">
        <f>"1552380010607558"</f>
        <v>1552380010607558</v>
      </c>
      <c r="C1007" t="s">
        <v>40</v>
      </c>
      <c r="D1007">
        <v>5.1700390000000001</v>
      </c>
      <c r="E1007">
        <v>0.47869020000000001</v>
      </c>
      <c r="F1007" t="s">
        <v>41</v>
      </c>
      <c r="G1007">
        <v>-274.42079999999999</v>
      </c>
      <c r="H1007" s="1">
        <v>-2.6216550000000001E-6</v>
      </c>
      <c r="I1007">
        <v>368.23020000000002</v>
      </c>
      <c r="J1007">
        <v>-291.76870000000002</v>
      </c>
      <c r="K1007">
        <v>1.0599639999999999</v>
      </c>
      <c r="L1007">
        <v>367.72519999999997</v>
      </c>
      <c r="M1007">
        <v>0.99992130000000001</v>
      </c>
      <c r="N1007">
        <v>0</v>
      </c>
      <c r="O1007">
        <v>-3.5876979999999998E-3</v>
      </c>
      <c r="P1007">
        <v>0.99379799999999996</v>
      </c>
      <c r="Q1007">
        <v>0.1050981</v>
      </c>
      <c r="R1007">
        <v>-3.6331700000000001E-2</v>
      </c>
      <c r="S1007">
        <v>3.0413510000000001</v>
      </c>
      <c r="T1007">
        <v>-0.18384919999999999</v>
      </c>
      <c r="U1007">
        <v>8.7493899999999999E-2</v>
      </c>
      <c r="V1007">
        <v>3.2739669999999998E-2</v>
      </c>
      <c r="W1007">
        <v>0.1170448</v>
      </c>
      <c r="X1007">
        <v>0.99258690000000005</v>
      </c>
      <c r="Y1007">
        <v>-3.2277069999999998E-2</v>
      </c>
      <c r="Z1007">
        <v>1.191133E-3</v>
      </c>
      <c r="AA1007">
        <v>0.99947819999999998</v>
      </c>
      <c r="AB1007">
        <v>35</v>
      </c>
      <c r="AC1007">
        <v>17.347899999999999</v>
      </c>
      <c r="AD1007">
        <v>-1.0599666216550001</v>
      </c>
      <c r="AE1007">
        <v>0.50500000000005196</v>
      </c>
      <c r="AF1007">
        <v>-0.56513226290825302</v>
      </c>
      <c r="AG1007">
        <v>-1.0599666216550001</v>
      </c>
      <c r="AH1007">
        <v>17.281514311856601</v>
      </c>
      <c r="AI1007">
        <v>93.507985529457301</v>
      </c>
      <c r="AJ1007">
        <v>91.872993197287101</v>
      </c>
      <c r="AK1007">
        <v>17.323211036771099</v>
      </c>
      <c r="AL1007">
        <v>83.278420344828902</v>
      </c>
      <c r="AM1007">
        <v>88.110830318055903</v>
      </c>
      <c r="AN1007">
        <v>1.0000000626251699</v>
      </c>
    </row>
    <row r="1008" spans="1:40" x14ac:dyDescent="0.25">
      <c r="A1008" t="str">
        <f>"20190312164010623"</f>
        <v>20190312164010623</v>
      </c>
      <c r="B1008" t="str">
        <f>"1552380010617318"</f>
        <v>1552380010617318</v>
      </c>
      <c r="C1008" t="s">
        <v>40</v>
      </c>
      <c r="D1008">
        <v>5.3754049999999998</v>
      </c>
      <c r="E1008">
        <v>0.47874290000000003</v>
      </c>
      <c r="F1008" t="s">
        <v>41</v>
      </c>
      <c r="G1008">
        <v>-274.11009999999999</v>
      </c>
      <c r="H1008" s="1">
        <v>-2.7544260000000001E-6</v>
      </c>
      <c r="I1008">
        <v>368.233</v>
      </c>
      <c r="J1008">
        <v>-291.60340000000002</v>
      </c>
      <c r="K1008">
        <v>1.0599689999999999</v>
      </c>
      <c r="L1008">
        <v>367.72460000000001</v>
      </c>
      <c r="M1008">
        <v>0.99992130000000001</v>
      </c>
      <c r="N1008">
        <v>0</v>
      </c>
      <c r="O1008">
        <v>-3.536221E-3</v>
      </c>
      <c r="P1008">
        <v>0.99381430000000004</v>
      </c>
      <c r="Q1008">
        <v>0.1049604</v>
      </c>
      <c r="R1008">
        <v>-3.62904E-2</v>
      </c>
      <c r="S1008">
        <v>3.041229</v>
      </c>
      <c r="T1008">
        <v>-0.1825505</v>
      </c>
      <c r="U1008">
        <v>8.7463379999999993E-2</v>
      </c>
      <c r="V1008">
        <v>3.2749060000000003E-2</v>
      </c>
      <c r="W1008">
        <v>0.1169335</v>
      </c>
      <c r="X1008">
        <v>0.99259969999999997</v>
      </c>
      <c r="Y1008">
        <v>-3.2217870000000003E-2</v>
      </c>
      <c r="Z1008">
        <v>1.1779200000000001E-3</v>
      </c>
      <c r="AA1008">
        <v>0.99948020000000004</v>
      </c>
      <c r="AB1008">
        <v>35</v>
      </c>
      <c r="AC1008">
        <v>17.493300000000001</v>
      </c>
      <c r="AD1008">
        <v>-1.0599717544259999</v>
      </c>
      <c r="AE1008">
        <v>0.50839999999999397</v>
      </c>
      <c r="AF1008">
        <v>-0.56817716801656504</v>
      </c>
      <c r="AG1008">
        <v>-1.0599717544259999</v>
      </c>
      <c r="AH1008">
        <v>17.427461506079201</v>
      </c>
      <c r="AI1008">
        <v>93.478708191236393</v>
      </c>
      <c r="AJ1008">
        <v>91.867318826812195</v>
      </c>
      <c r="AK1008">
        <v>17.468908951629199</v>
      </c>
      <c r="AL1008">
        <v>83.284841401717202</v>
      </c>
      <c r="AM1008">
        <v>88.110313232795093</v>
      </c>
      <c r="AN1008">
        <v>1.0000000543966101</v>
      </c>
    </row>
    <row r="1009" spans="1:40" x14ac:dyDescent="0.25">
      <c r="A1009" t="str">
        <f>"20190312164010640"</f>
        <v>20190312164010640</v>
      </c>
      <c r="B1009" t="str">
        <f>"1552380010636839"</f>
        <v>1552380010636839</v>
      </c>
      <c r="C1009" t="s">
        <v>40</v>
      </c>
      <c r="D1009">
        <v>5.6238720000000004</v>
      </c>
      <c r="E1009">
        <v>0.47872989999999999</v>
      </c>
      <c r="F1009" t="s">
        <v>41</v>
      </c>
      <c r="G1009">
        <v>-273.88639999999998</v>
      </c>
      <c r="H1009" s="1">
        <v>-2.8504350000000002E-6</v>
      </c>
      <c r="I1009">
        <v>368.2328</v>
      </c>
      <c r="J1009">
        <v>-291.31659999999999</v>
      </c>
      <c r="K1009">
        <v>1.059985</v>
      </c>
      <c r="L1009">
        <v>367.72370000000001</v>
      </c>
      <c r="M1009">
        <v>0.99992080000000005</v>
      </c>
      <c r="N1009">
        <v>0</v>
      </c>
      <c r="O1009">
        <v>-3.4508020000000002E-3</v>
      </c>
      <c r="P1009">
        <v>0.99381940000000002</v>
      </c>
      <c r="Q1009">
        <v>0.10494240000000001</v>
      </c>
      <c r="R1009">
        <v>-3.6198340000000002E-2</v>
      </c>
      <c r="S1009">
        <v>3.041077</v>
      </c>
      <c r="T1009">
        <v>-0.18194089999999999</v>
      </c>
      <c r="U1009">
        <v>8.7249759999999996E-2</v>
      </c>
      <c r="V1009">
        <v>3.2741659999999999E-2</v>
      </c>
      <c r="W1009">
        <v>0.11696620000000001</v>
      </c>
      <c r="X1009">
        <v>0.99259600000000003</v>
      </c>
      <c r="Y1009">
        <v>-3.2064629999999997E-2</v>
      </c>
      <c r="Z1009">
        <v>1.164369E-3</v>
      </c>
      <c r="AA1009">
        <v>0.99948510000000002</v>
      </c>
      <c r="AB1009">
        <v>35</v>
      </c>
      <c r="AC1009">
        <v>17.430199999999999</v>
      </c>
      <c r="AD1009">
        <v>-1.059987850435</v>
      </c>
      <c r="AE1009">
        <v>0.50909999999998901</v>
      </c>
      <c r="AF1009">
        <v>-0.56715385068766699</v>
      </c>
      <c r="AG1009">
        <v>-1.059987850435</v>
      </c>
      <c r="AH1009">
        <v>17.3641768294186</v>
      </c>
      <c r="AI1009">
        <v>93.491401313053402</v>
      </c>
      <c r="AJ1009">
        <v>91.870746537878304</v>
      </c>
      <c r="AK1009">
        <v>17.405742578147599</v>
      </c>
      <c r="AL1009">
        <v>83.282954272386505</v>
      </c>
      <c r="AM1009">
        <v>88.110732880934904</v>
      </c>
      <c r="AN1009">
        <v>0.99999996372899702</v>
      </c>
    </row>
    <row r="1010" spans="1:40" x14ac:dyDescent="0.25">
      <c r="A1010" t="str">
        <f>"20190312164010651"</f>
        <v>20190312164010651</v>
      </c>
      <c r="B1010" t="str">
        <f>"1552380010647575"</f>
        <v>1552380010647575</v>
      </c>
      <c r="C1010" t="s">
        <v>40</v>
      </c>
      <c r="D1010">
        <v>5.228796</v>
      </c>
      <c r="E1010">
        <v>0.47880929999999999</v>
      </c>
      <c r="F1010" t="s">
        <v>41</v>
      </c>
      <c r="G1010">
        <v>-273.74669999999998</v>
      </c>
      <c r="H1010" s="1">
        <v>-2.910796E-6</v>
      </c>
      <c r="I1010">
        <v>368.2303</v>
      </c>
      <c r="J1010">
        <v>-291.14030000000002</v>
      </c>
      <c r="K1010">
        <v>1.0599909999999999</v>
      </c>
      <c r="L1010">
        <v>367.72320000000002</v>
      </c>
      <c r="M1010">
        <v>0.99992060000000005</v>
      </c>
      <c r="N1010">
        <v>0</v>
      </c>
      <c r="O1010">
        <v>-3.4019160000000001E-3</v>
      </c>
      <c r="P1010">
        <v>0.99380460000000004</v>
      </c>
      <c r="Q1010">
        <v>0.10498540000000001</v>
      </c>
      <c r="R1010">
        <v>-3.6477389999999998E-2</v>
      </c>
      <c r="S1010">
        <v>3.0412599999999999</v>
      </c>
      <c r="T1010">
        <v>-0.1834778</v>
      </c>
      <c r="U1010">
        <v>8.7707519999999997E-2</v>
      </c>
      <c r="V1010">
        <v>3.3069460000000002E-2</v>
      </c>
      <c r="W1010">
        <v>0.1170467</v>
      </c>
      <c r="X1010">
        <v>0.99257569999999995</v>
      </c>
      <c r="Y1010">
        <v>-3.2163200000000003E-2</v>
      </c>
      <c r="Z1010">
        <v>1.174137E-3</v>
      </c>
      <c r="AA1010">
        <v>0.99948190000000003</v>
      </c>
      <c r="AB1010">
        <v>35</v>
      </c>
      <c r="AC1010">
        <v>17.393599999999999</v>
      </c>
      <c r="AD1010">
        <v>-1.0599939107959999</v>
      </c>
      <c r="AE1010">
        <v>0.50709999999997901</v>
      </c>
      <c r="AF1010">
        <v>-0.56417947245940903</v>
      </c>
      <c r="AG1010">
        <v>-1.0599939107959999</v>
      </c>
      <c r="AH1010">
        <v>17.327476592998298</v>
      </c>
      <c r="AI1010">
        <v>93.4988094849855</v>
      </c>
      <c r="AJ1010">
        <v>91.864881287463604</v>
      </c>
      <c r="AK1010">
        <v>17.369033670557901</v>
      </c>
      <c r="AL1010">
        <v>83.278310439541897</v>
      </c>
      <c r="AM1010">
        <v>88.091793003838802</v>
      </c>
      <c r="AN1010">
        <v>1.0000000196980301</v>
      </c>
    </row>
    <row r="1011" spans="1:40" x14ac:dyDescent="0.25">
      <c r="A1011" t="str">
        <f>"20190312164010664"</f>
        <v>20190312164010664</v>
      </c>
      <c r="B1011" t="str">
        <f>"1552380010657335"</f>
        <v>1552380010657335</v>
      </c>
      <c r="C1011" t="s">
        <v>40</v>
      </c>
      <c r="D1011">
        <v>5.2852980000000001</v>
      </c>
      <c r="E1011">
        <v>0.47887220000000003</v>
      </c>
      <c r="F1011" t="s">
        <v>41</v>
      </c>
      <c r="G1011">
        <v>-273.5505</v>
      </c>
      <c r="H1011" s="1">
        <v>-2.9967520000000002E-6</v>
      </c>
      <c r="I1011">
        <v>368.22030000000001</v>
      </c>
      <c r="J1011">
        <v>-290.94979999999998</v>
      </c>
      <c r="K1011">
        <v>1.060001</v>
      </c>
      <c r="L1011">
        <v>367.7226</v>
      </c>
      <c r="M1011">
        <v>0.99992040000000004</v>
      </c>
      <c r="N1011">
        <v>0</v>
      </c>
      <c r="O1011">
        <v>-3.3503360000000002E-3</v>
      </c>
      <c r="P1011">
        <v>0.99384830000000002</v>
      </c>
      <c r="Q1011">
        <v>0.104587899999999</v>
      </c>
      <c r="R1011">
        <v>-3.6435830000000002E-2</v>
      </c>
      <c r="S1011">
        <v>3.041229</v>
      </c>
      <c r="T1011">
        <v>-0.18326970000000001</v>
      </c>
      <c r="U1011">
        <v>8.5968020000000006E-2</v>
      </c>
      <c r="V1011">
        <v>3.3079119999999997E-2</v>
      </c>
      <c r="W1011">
        <v>0.1166934</v>
      </c>
      <c r="X1011">
        <v>0.99261699999999997</v>
      </c>
      <c r="Y1011">
        <v>-3.1542069999999998E-2</v>
      </c>
      <c r="Z1011">
        <v>1.1510299999999999E-3</v>
      </c>
      <c r="AA1011">
        <v>0.9995018</v>
      </c>
      <c r="AB1011">
        <v>35</v>
      </c>
      <c r="AC1011">
        <v>17.399299999999901</v>
      </c>
      <c r="AD1011">
        <v>-1.0600039967520001</v>
      </c>
      <c r="AE1011">
        <v>0.49770000000000802</v>
      </c>
      <c r="AF1011">
        <v>-0.55394074114274106</v>
      </c>
      <c r="AG1011">
        <v>-1.0600039967520001</v>
      </c>
      <c r="AH1011">
        <v>17.333254674484898</v>
      </c>
      <c r="AI1011">
        <v>93.497746878351904</v>
      </c>
      <c r="AJ1011">
        <v>91.830450692823803</v>
      </c>
      <c r="AK1011">
        <v>17.374469097741699</v>
      </c>
      <c r="AL1011">
        <v>83.298692871944297</v>
      </c>
      <c r="AM1011">
        <v>88.091315364700506</v>
      </c>
      <c r="AN1011">
        <v>1.0000000432362599</v>
      </c>
    </row>
    <row r="1012" spans="1:40" x14ac:dyDescent="0.25">
      <c r="A1012" t="str">
        <f>"20190312164010686"</f>
        <v>20190312164010686</v>
      </c>
      <c r="B1012" t="str">
        <f>"1552380010676854"</f>
        <v>1552380010676854</v>
      </c>
      <c r="C1012" t="s">
        <v>40</v>
      </c>
      <c r="D1012">
        <v>6.463222</v>
      </c>
      <c r="E1012">
        <v>0.47910649999999999</v>
      </c>
      <c r="F1012" t="s">
        <v>41</v>
      </c>
      <c r="G1012">
        <v>-273.4436</v>
      </c>
      <c r="H1012" s="1">
        <v>-3.0435519999999999E-6</v>
      </c>
      <c r="I1012">
        <v>368.21510000000001</v>
      </c>
      <c r="J1012">
        <v>-290.59539999999998</v>
      </c>
      <c r="K1012">
        <v>1.060014</v>
      </c>
      <c r="L1012">
        <v>367.72149999999999</v>
      </c>
      <c r="M1012">
        <v>0.99991940000000001</v>
      </c>
      <c r="N1012">
        <v>0</v>
      </c>
      <c r="O1012">
        <v>-3.252862E-3</v>
      </c>
      <c r="P1012">
        <v>0.99385840000000003</v>
      </c>
      <c r="Q1012">
        <v>0.1043902</v>
      </c>
      <c r="R1012">
        <v>-3.6719340000000003E-2</v>
      </c>
      <c r="S1012">
        <v>3.041077</v>
      </c>
      <c r="T1012">
        <v>-0.184137</v>
      </c>
      <c r="U1012">
        <v>8.5571289999999994E-2</v>
      </c>
      <c r="V1012">
        <v>3.3460789999999997E-2</v>
      </c>
      <c r="W1012">
        <v>0.1165906</v>
      </c>
      <c r="X1012">
        <v>0.99261619999999995</v>
      </c>
      <c r="Y1012">
        <v>-3.1315759999999998E-2</v>
      </c>
      <c r="Z1012">
        <v>1.143788E-3</v>
      </c>
      <c r="AA1012">
        <v>0.99950890000000003</v>
      </c>
      <c r="AB1012">
        <v>35</v>
      </c>
      <c r="AC1012">
        <v>17.151799999999898</v>
      </c>
      <c r="AD1012">
        <v>-1.060017043552</v>
      </c>
      <c r="AE1012">
        <v>0.49360000000001403</v>
      </c>
      <c r="AF1012">
        <v>-0.54730532686096101</v>
      </c>
      <c r="AG1012">
        <v>-1.060017043552</v>
      </c>
      <c r="AH1012">
        <v>17.084901761144302</v>
      </c>
      <c r="AI1012">
        <v>93.548497473669897</v>
      </c>
      <c r="AJ1012">
        <v>91.8348109746034</v>
      </c>
      <c r="AK1012">
        <v>17.1265013193408</v>
      </c>
      <c r="AL1012">
        <v>83.304622775717604</v>
      </c>
      <c r="AM1012">
        <v>88.0693077989648</v>
      </c>
      <c r="AN1012">
        <v>0.999999956489111</v>
      </c>
    </row>
    <row r="1013" spans="1:40" x14ac:dyDescent="0.25">
      <c r="A1013" t="str">
        <f>"20190312164010700"</f>
        <v>20190312164010700</v>
      </c>
      <c r="B1013" t="str">
        <f>"1552380010697351"</f>
        <v>1552380010697351</v>
      </c>
      <c r="C1013" t="s">
        <v>40</v>
      </c>
      <c r="D1013">
        <v>5.2075649999999998</v>
      </c>
      <c r="E1013">
        <v>0.47893520000000001</v>
      </c>
      <c r="F1013" t="s">
        <v>41</v>
      </c>
      <c r="G1013">
        <v>-273.26990000000001</v>
      </c>
      <c r="H1013" s="1">
        <v>-3.1218549999999999E-6</v>
      </c>
      <c r="I1013">
        <v>368.19369999999998</v>
      </c>
      <c r="J1013">
        <v>-290.38909999999998</v>
      </c>
      <c r="K1013">
        <v>1.060017</v>
      </c>
      <c r="L1013">
        <v>367.72089999999997</v>
      </c>
      <c r="M1013">
        <v>0.9999188</v>
      </c>
      <c r="N1013">
        <v>0</v>
      </c>
      <c r="O1013">
        <v>-3.1940520000000002E-3</v>
      </c>
      <c r="P1013">
        <v>0.99385009999999996</v>
      </c>
      <c r="Q1013">
        <v>0.1044644</v>
      </c>
      <c r="R1013">
        <v>-3.672827E-2</v>
      </c>
      <c r="S1013">
        <v>3.0411069999999998</v>
      </c>
      <c r="T1013">
        <v>-0.1860617</v>
      </c>
      <c r="U1013">
        <v>8.2885739999999999E-2</v>
      </c>
      <c r="V1013">
        <v>3.3529499999999997E-2</v>
      </c>
      <c r="W1013">
        <v>0.116727</v>
      </c>
      <c r="X1013">
        <v>0.99259790000000003</v>
      </c>
      <c r="Y1013">
        <v>-3.0375249999999999E-2</v>
      </c>
      <c r="Z1013">
        <v>1.1233899999999999E-3</v>
      </c>
      <c r="AA1013">
        <v>0.99953789999999998</v>
      </c>
      <c r="AB1013">
        <v>35</v>
      </c>
      <c r="AC1013">
        <v>17.1191999999999</v>
      </c>
      <c r="AD1013">
        <v>-1.0600201218550001</v>
      </c>
      <c r="AE1013">
        <v>0.47280000000000599</v>
      </c>
      <c r="AF1013">
        <v>-0.52546821208723404</v>
      </c>
      <c r="AG1013">
        <v>-1.0600201218550001</v>
      </c>
      <c r="AH1013">
        <v>17.0522724358099</v>
      </c>
      <c r="AI1013">
        <v>93.555416125368893</v>
      </c>
      <c r="AJ1013">
        <v>91.765019103843201</v>
      </c>
      <c r="AK1013">
        <v>17.093266356250702</v>
      </c>
      <c r="AL1013">
        <v>83.296754232767896</v>
      </c>
      <c r="AM1013">
        <v>88.065310591103497</v>
      </c>
      <c r="AN1013">
        <v>1.0000000054918301</v>
      </c>
    </row>
    <row r="1014" spans="1:40" x14ac:dyDescent="0.25">
      <c r="A1014" t="str">
        <f>"20190312164010712"</f>
        <v>20190312164010712</v>
      </c>
      <c r="B1014" t="str">
        <f>"1552380010707111"</f>
        <v>1552380010707111</v>
      </c>
      <c r="C1014" t="s">
        <v>40</v>
      </c>
      <c r="D1014">
        <v>5.3170960000000003</v>
      </c>
      <c r="E1014">
        <v>0.47902050000000002</v>
      </c>
      <c r="F1014" t="s">
        <v>41</v>
      </c>
      <c r="G1014">
        <v>-273.20209999999997</v>
      </c>
      <c r="H1014" s="1">
        <v>-3.1499149999999999E-6</v>
      </c>
      <c r="I1014">
        <v>368.19959999999998</v>
      </c>
      <c r="J1014">
        <v>-290.18290000000002</v>
      </c>
      <c r="K1014">
        <v>1.0600229999999999</v>
      </c>
      <c r="L1014">
        <v>367.72030000000001</v>
      </c>
      <c r="M1014">
        <v>0.99991819999999998</v>
      </c>
      <c r="N1014">
        <v>0</v>
      </c>
      <c r="O1014">
        <v>-3.1325440000000001E-3</v>
      </c>
      <c r="P1014">
        <v>0.99383460000000001</v>
      </c>
      <c r="Q1014">
        <v>0.10456790000000001</v>
      </c>
      <c r="R1014">
        <v>-3.6858559999999999E-2</v>
      </c>
      <c r="S1014">
        <v>3.041382</v>
      </c>
      <c r="T1014">
        <v>-0.18757779999999999</v>
      </c>
      <c r="U1014">
        <v>8.4716799999999995E-2</v>
      </c>
      <c r="V1014">
        <v>3.3721729999999998E-2</v>
      </c>
      <c r="W1014">
        <v>0.1168985</v>
      </c>
      <c r="X1014">
        <v>0.99257119999999999</v>
      </c>
      <c r="Y1014">
        <v>-3.0910699999999999E-2</v>
      </c>
      <c r="Z1014">
        <v>1.145119E-3</v>
      </c>
      <c r="AA1014">
        <v>0.99952149999999995</v>
      </c>
      <c r="AB1014">
        <v>35</v>
      </c>
      <c r="AC1014">
        <v>16.980799999999999</v>
      </c>
      <c r="AD1014">
        <v>-1.0600261499150001</v>
      </c>
      <c r="AE1014">
        <v>0.47929999999996598</v>
      </c>
      <c r="AF1014">
        <v>-0.530429467956823</v>
      </c>
      <c r="AG1014">
        <v>-1.0600261499150001</v>
      </c>
      <c r="AH1014">
        <v>16.913358294738401</v>
      </c>
      <c r="AI1014">
        <v>93.584501579986593</v>
      </c>
      <c r="AJ1014">
        <v>91.796296832281897</v>
      </c>
      <c r="AK1014">
        <v>16.9548429560753</v>
      </c>
      <c r="AL1014">
        <v>83.286860239977699</v>
      </c>
      <c r="AM1014">
        <v>88.054174907640203</v>
      </c>
      <c r="AN1014">
        <v>1.0000000007229399</v>
      </c>
    </row>
    <row r="1015" spans="1:40" x14ac:dyDescent="0.25">
      <c r="A1015" t="str">
        <f>"20190312164010729"</f>
        <v>20190312164010729</v>
      </c>
      <c r="B1015" t="str">
        <f>"1552380010716870"</f>
        <v>1552380010716870</v>
      </c>
      <c r="C1015" t="s">
        <v>40</v>
      </c>
      <c r="D1015">
        <v>5.239395</v>
      </c>
      <c r="E1015">
        <v>0.47920509999999999</v>
      </c>
      <c r="F1015" t="s">
        <v>41</v>
      </c>
      <c r="G1015">
        <v>-273.13580000000002</v>
      </c>
      <c r="H1015" s="1">
        <v>-3.1799269999999999E-6</v>
      </c>
      <c r="I1015">
        <v>368.19060000000002</v>
      </c>
      <c r="J1015">
        <v>-289.92140000000001</v>
      </c>
      <c r="K1015">
        <v>1.060036</v>
      </c>
      <c r="L1015">
        <v>367.71949999999998</v>
      </c>
      <c r="M1015">
        <v>0.99991719999999895</v>
      </c>
      <c r="N1015">
        <v>0</v>
      </c>
      <c r="O1015">
        <v>-3.054743E-3</v>
      </c>
      <c r="P1015">
        <v>0.99379960000000001</v>
      </c>
      <c r="Q1015">
        <v>0.1048284</v>
      </c>
      <c r="R1015">
        <v>-3.7063829999999999E-2</v>
      </c>
      <c r="S1015">
        <v>3.0416560000000001</v>
      </c>
      <c r="T1015">
        <v>-0.18913659999999999</v>
      </c>
      <c r="U1015">
        <v>8.3923339999999999E-2</v>
      </c>
      <c r="V1015">
        <v>3.4005550000000002E-2</v>
      </c>
      <c r="W1015">
        <v>0.1172527</v>
      </c>
      <c r="X1015">
        <v>0.9925197</v>
      </c>
      <c r="Y1015">
        <v>-3.056963E-2</v>
      </c>
      <c r="Z1015">
        <v>1.1390930000000001E-3</v>
      </c>
      <c r="AA1015">
        <v>0.99953199999999998</v>
      </c>
      <c r="AB1015">
        <v>35</v>
      </c>
      <c r="AC1015">
        <v>16.785599999999899</v>
      </c>
      <c r="AD1015">
        <v>-1.0600391799269999</v>
      </c>
      <c r="AE1015">
        <v>0.47110000000003499</v>
      </c>
      <c r="AF1015">
        <v>-0.52030409147866596</v>
      </c>
      <c r="AG1015">
        <v>-1.0600391799269999</v>
      </c>
      <c r="AH1015">
        <v>16.717463405025001</v>
      </c>
      <c r="AI1015">
        <v>93.626464601647498</v>
      </c>
      <c r="AJ1015">
        <v>91.782663294861905</v>
      </c>
      <c r="AK1015">
        <v>16.759116388071899</v>
      </c>
      <c r="AL1015">
        <v>83.266425296991699</v>
      </c>
      <c r="AM1015">
        <v>88.037708823572103</v>
      </c>
      <c r="AN1015">
        <v>0.99999996398808999</v>
      </c>
    </row>
    <row r="1016" spans="1:40" x14ac:dyDescent="0.25">
      <c r="A1016" t="str">
        <f>"20190312164010741"</f>
        <v>20190312164010741</v>
      </c>
      <c r="B1016" t="str">
        <f>"1552380010737367"</f>
        <v>1552380010737367</v>
      </c>
      <c r="C1016" t="s">
        <v>40</v>
      </c>
      <c r="D1016">
        <v>5.2139699999999998</v>
      </c>
      <c r="E1016">
        <v>0.48001509999999997</v>
      </c>
      <c r="F1016" t="s">
        <v>41</v>
      </c>
      <c r="G1016">
        <v>-272.66669999999999</v>
      </c>
      <c r="H1016" s="1">
        <v>-3.3824579999999999E-6</v>
      </c>
      <c r="I1016">
        <v>368.18329999999997</v>
      </c>
      <c r="J1016">
        <v>-289.73829999999998</v>
      </c>
      <c r="K1016">
        <v>1.0600480000000001</v>
      </c>
      <c r="L1016">
        <v>367.71899999999999</v>
      </c>
      <c r="M1016">
        <v>0.99991649999999999</v>
      </c>
      <c r="N1016">
        <v>0</v>
      </c>
      <c r="O1016">
        <v>-3.0006170000000001E-3</v>
      </c>
      <c r="P1016">
        <v>0.99379099999999998</v>
      </c>
      <c r="Q1016">
        <v>0.1049131</v>
      </c>
      <c r="R1016">
        <v>-3.7051069999999998E-2</v>
      </c>
      <c r="S1016">
        <v>3.0414430000000001</v>
      </c>
      <c r="T1016">
        <v>-0.1868503</v>
      </c>
      <c r="U1016">
        <v>8.1756590000000004E-2</v>
      </c>
      <c r="V1016">
        <v>3.4047059999999997E-2</v>
      </c>
      <c r="W1016">
        <v>0.1174089</v>
      </c>
      <c r="X1016">
        <v>0.99249980000000004</v>
      </c>
      <c r="Y1016">
        <v>-2.980899E-2</v>
      </c>
      <c r="Z1016">
        <v>1.098779E-3</v>
      </c>
      <c r="AA1016">
        <v>0.99955499999999997</v>
      </c>
      <c r="AB1016">
        <v>35</v>
      </c>
      <c r="AC1016">
        <v>17.071599999999901</v>
      </c>
      <c r="AD1016">
        <v>-1.06005138245799</v>
      </c>
      <c r="AE1016">
        <v>0.46429999999998001</v>
      </c>
      <c r="AF1016">
        <v>-0.51354865388832904</v>
      </c>
      <c r="AG1016">
        <v>-1.06005138245799</v>
      </c>
      <c r="AH1016">
        <v>17.004613287851399</v>
      </c>
      <c r="AI1016">
        <v>93.565526779821695</v>
      </c>
      <c r="AJ1016">
        <v>91.729838201639396</v>
      </c>
      <c r="AK1016">
        <v>17.045360489667999</v>
      </c>
      <c r="AL1016">
        <v>83.257413372554495</v>
      </c>
      <c r="AM1016">
        <v>88.035276002171898</v>
      </c>
      <c r="AN1016">
        <v>0.99999995254694496</v>
      </c>
    </row>
    <row r="1017" spans="1:40" x14ac:dyDescent="0.25">
      <c r="A1017" t="str">
        <f>"20190312164010752"</f>
        <v>20190312164010752</v>
      </c>
      <c r="B1017" t="str">
        <f>"1552380010747126"</f>
        <v>1552380010747126</v>
      </c>
      <c r="C1017" t="s">
        <v>40</v>
      </c>
      <c r="D1017">
        <v>5.335153</v>
      </c>
      <c r="E1017">
        <v>0.48055350000000002</v>
      </c>
      <c r="F1017" t="s">
        <v>41</v>
      </c>
      <c r="G1017">
        <v>-272.4486</v>
      </c>
      <c r="H1017" s="1">
        <v>-3.4823079999999999E-6</v>
      </c>
      <c r="I1017">
        <v>368.14789999999999</v>
      </c>
      <c r="J1017">
        <v>-289.56110000000001</v>
      </c>
      <c r="K1017">
        <v>1.0600609999999999</v>
      </c>
      <c r="L1017">
        <v>367.71850000000001</v>
      </c>
      <c r="M1017">
        <v>0.99991569999999996</v>
      </c>
      <c r="N1017">
        <v>0</v>
      </c>
      <c r="O1017">
        <v>-2.9487739999999999E-3</v>
      </c>
      <c r="P1017">
        <v>0.99377939999999998</v>
      </c>
      <c r="Q1017">
        <v>0.10494630000000001</v>
      </c>
      <c r="R1017">
        <v>-3.7265649999999997E-2</v>
      </c>
      <c r="S1017">
        <v>3.041229</v>
      </c>
      <c r="T1017">
        <v>-0.18646090000000001</v>
      </c>
      <c r="U1017">
        <v>7.5439450000000005E-2</v>
      </c>
      <c r="V1017">
        <v>3.431356E-2</v>
      </c>
      <c r="W1017">
        <v>0.117517899999999</v>
      </c>
      <c r="X1017">
        <v>0.99247779999999997</v>
      </c>
      <c r="Y1017">
        <v>-2.768845E-2</v>
      </c>
      <c r="Z1017">
        <v>1.0284879999999999E-3</v>
      </c>
      <c r="AA1017">
        <v>0.99961610000000001</v>
      </c>
      <c r="AB1017">
        <v>35</v>
      </c>
      <c r="AC1017">
        <v>17.112500000000001</v>
      </c>
      <c r="AD1017">
        <v>-1.0600644823080001</v>
      </c>
      <c r="AE1017">
        <v>0.42939999999998602</v>
      </c>
      <c r="AF1017">
        <v>-0.47802982289901003</v>
      </c>
      <c r="AG1017">
        <v>-1.0600644823080001</v>
      </c>
      <c r="AH1017">
        <v>17.045788848014102</v>
      </c>
      <c r="AI1017">
        <v>93.557202575353102</v>
      </c>
      <c r="AJ1017">
        <v>91.606374151208897</v>
      </c>
      <c r="AK1017">
        <v>17.085408004180501</v>
      </c>
      <c r="AL1017">
        <v>83.2511251239915</v>
      </c>
      <c r="AM1017">
        <v>88.019865656304603</v>
      </c>
      <c r="AN1017">
        <v>1.0000000303565599</v>
      </c>
    </row>
    <row r="1018" spans="1:40" x14ac:dyDescent="0.25">
      <c r="A1018" t="str">
        <f>"20190312164010763"</f>
        <v>20190312164010763</v>
      </c>
      <c r="B1018" t="str">
        <f>"1552380010756887"</f>
        <v>1552380010756887</v>
      </c>
      <c r="C1018" t="s">
        <v>40</v>
      </c>
      <c r="D1018">
        <v>5.6252409999999999</v>
      </c>
      <c r="E1018">
        <v>0.48101169999999999</v>
      </c>
      <c r="F1018" t="s">
        <v>41</v>
      </c>
      <c r="G1018">
        <v>-272.28460000000001</v>
      </c>
      <c r="H1018" s="1">
        <v>-3.5576629999999999E-6</v>
      </c>
      <c r="I1018">
        <v>368.1198</v>
      </c>
      <c r="J1018">
        <v>-289.38740000000001</v>
      </c>
      <c r="K1018">
        <v>1.0600750000000001</v>
      </c>
      <c r="L1018">
        <v>367.71809999999999</v>
      </c>
      <c r="M1018">
        <v>0.99991479999999999</v>
      </c>
      <c r="N1018">
        <v>0</v>
      </c>
      <c r="O1018">
        <v>-2.898851E-3</v>
      </c>
      <c r="P1018">
        <v>0.99378820000000001</v>
      </c>
      <c r="Q1018">
        <v>0.1049707</v>
      </c>
      <c r="R1018">
        <v>-3.6965360000000003E-2</v>
      </c>
      <c r="S1018">
        <v>3.0411990000000002</v>
      </c>
      <c r="T1018">
        <v>-0.18660299999999999</v>
      </c>
      <c r="U1018">
        <v>7.064819E-2</v>
      </c>
      <c r="V1018">
        <v>3.4062799999999997E-2</v>
      </c>
      <c r="W1018">
        <v>0.11762110000000001</v>
      </c>
      <c r="X1018">
        <v>0.99247419999999997</v>
      </c>
      <c r="Y1018">
        <v>-2.606787E-2</v>
      </c>
      <c r="Z1018">
        <v>9.765755000000001E-4</v>
      </c>
      <c r="AA1018">
        <v>0.99965970000000004</v>
      </c>
      <c r="AB1018">
        <v>35</v>
      </c>
      <c r="AC1018">
        <v>17.102799999999998</v>
      </c>
      <c r="AD1018">
        <v>-1.0600785576629901</v>
      </c>
      <c r="AE1018">
        <v>0.401700000000005</v>
      </c>
      <c r="AF1018">
        <v>-0.449554622689049</v>
      </c>
      <c r="AG1018">
        <v>-1.0600785576629901</v>
      </c>
      <c r="AH1018">
        <v>17.036149131815201</v>
      </c>
      <c r="AI1018">
        <v>93.559417191510406</v>
      </c>
      <c r="AJ1018">
        <v>91.511586107269395</v>
      </c>
      <c r="AK1018">
        <v>17.075018100975601</v>
      </c>
      <c r="AL1018">
        <v>83.245170818518503</v>
      </c>
      <c r="AM1018">
        <v>88.034317758101693</v>
      </c>
      <c r="AN1018">
        <v>1.00000001758734</v>
      </c>
    </row>
    <row r="1019" spans="1:40" x14ac:dyDescent="0.25">
      <c r="A1019" t="str">
        <f>"20190312164010774"</f>
        <v>20190312164010774</v>
      </c>
      <c r="B1019" t="str">
        <f>"1552380010767623"</f>
        <v>1552380010767623</v>
      </c>
      <c r="C1019" t="s">
        <v>40</v>
      </c>
      <c r="D1019">
        <v>5.3379940000000001</v>
      </c>
      <c r="E1019">
        <v>0.48145250000000001</v>
      </c>
      <c r="F1019" t="s">
        <v>41</v>
      </c>
      <c r="G1019">
        <v>-272.02960000000002</v>
      </c>
      <c r="H1019" s="1">
        <v>-3.6697409999999999E-6</v>
      </c>
      <c r="I1019">
        <v>368.1046</v>
      </c>
      <c r="J1019">
        <v>-289.21190000000001</v>
      </c>
      <c r="K1019">
        <v>1.060087</v>
      </c>
      <c r="L1019">
        <v>367.7176</v>
      </c>
      <c r="M1019">
        <v>0.99991390000000002</v>
      </c>
      <c r="N1019">
        <v>0</v>
      </c>
      <c r="O1019">
        <v>-2.8487159999999998E-3</v>
      </c>
      <c r="P1019">
        <v>0.99378529999999998</v>
      </c>
      <c r="Q1019">
        <v>0.1050365</v>
      </c>
      <c r="R1019">
        <v>-3.6855720000000002E-2</v>
      </c>
      <c r="S1019">
        <v>3.0408940000000002</v>
      </c>
      <c r="T1019">
        <v>-0.18571360000000001</v>
      </c>
      <c r="U1019">
        <v>6.7718509999999996E-2</v>
      </c>
      <c r="V1019">
        <v>3.4002980000000002E-2</v>
      </c>
      <c r="W1019">
        <v>0.11777070000000001</v>
      </c>
      <c r="X1019">
        <v>0.99245850000000002</v>
      </c>
      <c r="Y1019">
        <v>-2.5059939999999999E-2</v>
      </c>
      <c r="Z1019">
        <v>9.3823319999999997E-4</v>
      </c>
      <c r="AA1019">
        <v>0.9996855</v>
      </c>
      <c r="AB1019">
        <v>35</v>
      </c>
      <c r="AC1019">
        <v>17.182299999999898</v>
      </c>
      <c r="AD1019">
        <v>-1.060090669741</v>
      </c>
      <c r="AE1019">
        <v>0.38700000000000001</v>
      </c>
      <c r="AF1019">
        <v>-0.434297631883654</v>
      </c>
      <c r="AG1019">
        <v>-1.060090669741</v>
      </c>
      <c r="AH1019">
        <v>17.116009032789599</v>
      </c>
      <c r="AI1019">
        <v>93.542985158821807</v>
      </c>
      <c r="AJ1019">
        <v>91.453497901216096</v>
      </c>
      <c r="AK1019">
        <v>17.154304762119299</v>
      </c>
      <c r="AL1019">
        <v>83.236539309080896</v>
      </c>
      <c r="AM1019">
        <v>88.037736108511396</v>
      </c>
      <c r="AN1019">
        <v>1.0000000073248101</v>
      </c>
    </row>
    <row r="1020" spans="1:40" x14ac:dyDescent="0.25">
      <c r="A1020" t="str">
        <f>"20190312164010786"</f>
        <v>20190312164010786</v>
      </c>
      <c r="B1020" t="str">
        <f>"1552380010777384"</f>
        <v>1552380010777384</v>
      </c>
      <c r="C1020" t="s">
        <v>40</v>
      </c>
      <c r="D1020">
        <v>5.3221759999999998</v>
      </c>
      <c r="E1020">
        <v>0.48184979999999999</v>
      </c>
      <c r="F1020" t="s">
        <v>41</v>
      </c>
      <c r="G1020">
        <v>-271.78070000000002</v>
      </c>
      <c r="H1020" s="1">
        <v>-3.7798179999999999E-6</v>
      </c>
      <c r="I1020">
        <v>368.08600000000001</v>
      </c>
      <c r="J1020">
        <v>-289.03339999999997</v>
      </c>
      <c r="K1020">
        <v>1.060101</v>
      </c>
      <c r="L1020">
        <v>367.71719999999999</v>
      </c>
      <c r="M1020">
        <v>0.99991280000000005</v>
      </c>
      <c r="N1020">
        <v>0</v>
      </c>
      <c r="O1020">
        <v>-2.7982459999999999E-3</v>
      </c>
      <c r="P1020">
        <v>0.99381629999999999</v>
      </c>
      <c r="Q1020">
        <v>0.1047795</v>
      </c>
      <c r="R1020">
        <v>-3.6748879999999998E-2</v>
      </c>
      <c r="S1020">
        <v>3.04068</v>
      </c>
      <c r="T1020">
        <v>-0.1849208</v>
      </c>
      <c r="U1020">
        <v>6.4270019999999997E-2</v>
      </c>
      <c r="V1020">
        <v>3.3946120000000003E-2</v>
      </c>
      <c r="W1020">
        <v>0.1176017</v>
      </c>
      <c r="X1020">
        <v>0.99248049999999999</v>
      </c>
      <c r="Y1020">
        <v>-2.3880510000000001E-2</v>
      </c>
      <c r="Z1020">
        <v>8.9541909999999998E-4</v>
      </c>
      <c r="AA1020">
        <v>0.9997144</v>
      </c>
      <c r="AB1020">
        <v>35</v>
      </c>
      <c r="AC1020">
        <v>17.252699999999901</v>
      </c>
      <c r="AD1020">
        <v>-1.0601047798180001</v>
      </c>
      <c r="AE1020">
        <v>0.368800000000021</v>
      </c>
      <c r="AF1020">
        <v>-0.41551179507520403</v>
      </c>
      <c r="AG1020">
        <v>-1.0601047798180001</v>
      </c>
      <c r="AH1020">
        <v>17.186740123976499</v>
      </c>
      <c r="AI1020">
        <v>93.528592309093398</v>
      </c>
      <c r="AJ1020">
        <v>91.384930201438195</v>
      </c>
      <c r="AK1020">
        <v>17.2244160506283</v>
      </c>
      <c r="AL1020">
        <v>83.2462901473789</v>
      </c>
      <c r="AM1020">
        <v>88.041058250282902</v>
      </c>
      <c r="AN1020">
        <v>1.0000000208930899</v>
      </c>
    </row>
    <row r="1021" spans="1:40" x14ac:dyDescent="0.25">
      <c r="A1021" t="str">
        <f>"20190312164010796"</f>
        <v>20190312164010796</v>
      </c>
      <c r="B1021" t="str">
        <f>"1552380010787144"</f>
        <v>1552380010787144</v>
      </c>
      <c r="C1021" t="s">
        <v>40</v>
      </c>
      <c r="D1021">
        <v>5.2351260000000002</v>
      </c>
      <c r="E1021">
        <v>0.4822302</v>
      </c>
      <c r="F1021" t="s">
        <v>41</v>
      </c>
      <c r="G1021">
        <v>-271.60879999999997</v>
      </c>
      <c r="H1021" s="1">
        <v>-3.8563179999999999E-6</v>
      </c>
      <c r="I1021">
        <v>368.07040000000001</v>
      </c>
      <c r="J1021">
        <v>-288.8655</v>
      </c>
      <c r="K1021">
        <v>1.0601149999999999</v>
      </c>
      <c r="L1021">
        <v>367.7167</v>
      </c>
      <c r="M1021">
        <v>0.99991180000000002</v>
      </c>
      <c r="N1021">
        <v>0</v>
      </c>
      <c r="O1021">
        <v>-2.7512090000000001E-3</v>
      </c>
      <c r="P1021">
        <v>0.99382630000000005</v>
      </c>
      <c r="Q1021">
        <v>0.1046941</v>
      </c>
      <c r="R1021">
        <v>-3.6719599999999998E-2</v>
      </c>
      <c r="S1021">
        <v>3.0404049999999998</v>
      </c>
      <c r="T1021">
        <v>-0.1849759</v>
      </c>
      <c r="U1021">
        <v>6.1645510000000001E-2</v>
      </c>
      <c r="V1021">
        <v>3.3963470000000003E-2</v>
      </c>
      <c r="W1021">
        <v>0.1175993</v>
      </c>
      <c r="X1021">
        <v>0.99248020000000003</v>
      </c>
      <c r="Y1021">
        <v>-2.297451E-2</v>
      </c>
      <c r="Z1021">
        <v>8.6538339999999998E-4</v>
      </c>
      <c r="AA1021">
        <v>0.9997357</v>
      </c>
      <c r="AB1021">
        <v>35</v>
      </c>
      <c r="AC1021">
        <v>17.256699999999999</v>
      </c>
      <c r="AD1021">
        <v>-1.060118856318</v>
      </c>
      <c r="AE1021">
        <v>0.35370000000000301</v>
      </c>
      <c r="AF1021">
        <v>-0.39967175852528303</v>
      </c>
      <c r="AG1021">
        <v>-1.060118856318</v>
      </c>
      <c r="AH1021">
        <v>17.190811850552301</v>
      </c>
      <c r="AI1021">
        <v>93.527882701853599</v>
      </c>
      <c r="AJ1021">
        <v>91.331838227765303</v>
      </c>
      <c r="AK1021">
        <v>17.228104991123502</v>
      </c>
      <c r="AL1021">
        <v>83.246428680047003</v>
      </c>
      <c r="AM1021">
        <v>88.040057215883095</v>
      </c>
      <c r="AN1021">
        <v>1.0000000300234799</v>
      </c>
    </row>
    <row r="1022" spans="1:40" x14ac:dyDescent="0.25">
      <c r="A1022" t="str">
        <f>"20190312164010808"</f>
        <v>20190312164010808</v>
      </c>
      <c r="B1022" t="str">
        <f>"1552380010796903"</f>
        <v>1552380010796903</v>
      </c>
      <c r="C1022" t="s">
        <v>40</v>
      </c>
      <c r="D1022">
        <v>5.3566200000000004</v>
      </c>
      <c r="E1022">
        <v>0.48258709999999999</v>
      </c>
      <c r="F1022" t="s">
        <v>41</v>
      </c>
      <c r="G1022">
        <v>-271.38959999999997</v>
      </c>
      <c r="H1022" s="1">
        <v>-3.9531110000000004E-6</v>
      </c>
      <c r="I1022">
        <v>368.05489999999998</v>
      </c>
      <c r="J1022">
        <v>-288.69630000000001</v>
      </c>
      <c r="K1022">
        <v>1.060127</v>
      </c>
      <c r="L1022">
        <v>367.71629999999999</v>
      </c>
      <c r="M1022">
        <v>0.99991099999999999</v>
      </c>
      <c r="N1022">
        <v>0</v>
      </c>
      <c r="O1022">
        <v>-2.7041650000000001E-3</v>
      </c>
      <c r="P1022">
        <v>0.99383960000000005</v>
      </c>
      <c r="Q1022">
        <v>0.10458720000000001</v>
      </c>
      <c r="R1022">
        <v>-3.6669779999999999E-2</v>
      </c>
      <c r="S1022">
        <v>3.0402529999999999</v>
      </c>
      <c r="T1022">
        <v>-0.18442620000000001</v>
      </c>
      <c r="U1022">
        <v>5.8837889999999997E-2</v>
      </c>
      <c r="V1022">
        <v>3.3960240000000003E-2</v>
      </c>
      <c r="W1022">
        <v>0.1175747</v>
      </c>
      <c r="X1022">
        <v>0.99248320000000001</v>
      </c>
      <c r="Y1022">
        <v>-2.200775E-2</v>
      </c>
      <c r="Z1022">
        <v>8.3072349999999996E-4</v>
      </c>
      <c r="AA1022">
        <v>0.99975749999999997</v>
      </c>
      <c r="AB1022">
        <v>35</v>
      </c>
      <c r="AC1022">
        <v>17.306699999999999</v>
      </c>
      <c r="AD1022">
        <v>-1.0601309531109999</v>
      </c>
      <c r="AE1022">
        <v>0.33859999999998502</v>
      </c>
      <c r="AF1022">
        <v>-0.38396275981404099</v>
      </c>
      <c r="AG1022">
        <v>-1.0601309531109999</v>
      </c>
      <c r="AH1022">
        <v>17.241053203199002</v>
      </c>
      <c r="AI1022">
        <v>93.517746286363803</v>
      </c>
      <c r="AJ1022">
        <v>91.275781094610494</v>
      </c>
      <c r="AK1022">
        <v>17.277882410590902</v>
      </c>
      <c r="AL1022">
        <v>83.247847833753696</v>
      </c>
      <c r="AM1022">
        <v>88.040249384538996</v>
      </c>
      <c r="AN1022">
        <v>1.00000000513159</v>
      </c>
    </row>
    <row r="1023" spans="1:40" x14ac:dyDescent="0.25">
      <c r="A1023" t="str">
        <f>"20190312164010820"</f>
        <v>20190312164010820</v>
      </c>
      <c r="B1023" t="str">
        <f>"1552380010807639"</f>
        <v>1552380010807639</v>
      </c>
      <c r="C1023" t="s">
        <v>40</v>
      </c>
      <c r="D1023">
        <v>5.3508659999999999</v>
      </c>
      <c r="E1023">
        <v>0.48294690000000001</v>
      </c>
      <c r="F1023" t="s">
        <v>41</v>
      </c>
      <c r="G1023">
        <v>-271.20780000000002</v>
      </c>
      <c r="H1023" s="1">
        <v>-4.0338269999999999E-6</v>
      </c>
      <c r="I1023">
        <v>368.03949999999998</v>
      </c>
      <c r="J1023">
        <v>-288.52069999999998</v>
      </c>
      <c r="K1023">
        <v>1.0601389999999999</v>
      </c>
      <c r="L1023">
        <v>367.71589999999998</v>
      </c>
      <c r="M1023">
        <v>0.99990999999999997</v>
      </c>
      <c r="N1023">
        <v>0</v>
      </c>
      <c r="O1023">
        <v>-2.6549960000000002E-3</v>
      </c>
      <c r="P1023">
        <v>0.99384439999999996</v>
      </c>
      <c r="Q1023">
        <v>0.1045335</v>
      </c>
      <c r="R1023">
        <v>-3.6689989999999999E-2</v>
      </c>
      <c r="S1023">
        <v>3.0400999999999998</v>
      </c>
      <c r="T1023">
        <v>-0.1842867</v>
      </c>
      <c r="U1023">
        <v>5.6182860000000001E-2</v>
      </c>
      <c r="V1023">
        <v>3.402906E-2</v>
      </c>
      <c r="W1023">
        <v>0.117605</v>
      </c>
      <c r="X1023">
        <v>0.99247719999999995</v>
      </c>
      <c r="Y1023">
        <v>-2.1088579999999999E-2</v>
      </c>
      <c r="Z1023">
        <v>7.993357E-4</v>
      </c>
      <c r="AA1023">
        <v>0.99977729999999998</v>
      </c>
      <c r="AB1023">
        <v>35</v>
      </c>
      <c r="AC1023">
        <v>17.3128999999999</v>
      </c>
      <c r="AD1023">
        <v>-1.0601430338269999</v>
      </c>
      <c r="AE1023">
        <v>0.323599999999998</v>
      </c>
      <c r="AF1023">
        <v>-0.36818842377788902</v>
      </c>
      <c r="AG1023">
        <v>-1.0601430338269999</v>
      </c>
      <c r="AH1023">
        <v>17.247331085004198</v>
      </c>
      <c r="AI1023">
        <v>93.516579594244206</v>
      </c>
      <c r="AJ1023">
        <v>91.222939303668895</v>
      </c>
      <c r="AK1023">
        <v>17.28380442852</v>
      </c>
      <c r="AL1023">
        <v>83.246099287597403</v>
      </c>
      <c r="AM1023">
        <v>88.036269218369597</v>
      </c>
      <c r="AN1023">
        <v>0.99999995273466002</v>
      </c>
    </row>
    <row r="1024" spans="1:40" x14ac:dyDescent="0.25">
      <c r="A1024" t="str">
        <f>"20190312164010831"</f>
        <v>20190312164010831</v>
      </c>
      <c r="B1024" t="str">
        <f>"1552380010827159"</f>
        <v>1552380010827159</v>
      </c>
      <c r="C1024" t="s">
        <v>40</v>
      </c>
      <c r="D1024">
        <v>5.3844370000000001</v>
      </c>
      <c r="E1024">
        <v>0.48356549999999998</v>
      </c>
      <c r="F1024" t="s">
        <v>41</v>
      </c>
      <c r="G1024">
        <v>-271.02100000000002</v>
      </c>
      <c r="H1024" s="1">
        <v>-4.1169240000000002E-6</v>
      </c>
      <c r="I1024">
        <v>368.02289999999999</v>
      </c>
      <c r="J1024">
        <v>-288.33859999999999</v>
      </c>
      <c r="K1024">
        <v>1.06014599999999</v>
      </c>
      <c r="L1024">
        <v>367.71550000000002</v>
      </c>
      <c r="M1024">
        <v>0.99990900000000005</v>
      </c>
      <c r="N1024">
        <v>0</v>
      </c>
      <c r="O1024">
        <v>-2.6035720000000002E-3</v>
      </c>
      <c r="P1024">
        <v>0.99385639999999997</v>
      </c>
      <c r="Q1024">
        <v>0.1044736</v>
      </c>
      <c r="R1024">
        <v>-3.6538580000000001E-2</v>
      </c>
      <c r="S1024">
        <v>3.039917</v>
      </c>
      <c r="T1024">
        <v>-0.18415889999999999</v>
      </c>
      <c r="U1024">
        <v>5.334473E-2</v>
      </c>
      <c r="V1024">
        <v>3.3928609999999998E-2</v>
      </c>
      <c r="W1024">
        <v>0.1176301</v>
      </c>
      <c r="X1024">
        <v>0.99247770000000002</v>
      </c>
      <c r="Y1024">
        <v>-2.0107099999999999E-2</v>
      </c>
      <c r="Z1024">
        <v>7.6602530000000003E-4</v>
      </c>
      <c r="AA1024">
        <v>0.99979750000000001</v>
      </c>
      <c r="AB1024">
        <v>35</v>
      </c>
      <c r="AC1024">
        <v>17.317599999999999</v>
      </c>
      <c r="AD1024">
        <v>-1.06015011692399</v>
      </c>
      <c r="AE1024">
        <v>0.30739999999997197</v>
      </c>
      <c r="AF1024">
        <v>-0.35117486008728499</v>
      </c>
      <c r="AG1024">
        <v>-1.06015011692399</v>
      </c>
      <c r="AH1024">
        <v>17.2521063518296</v>
      </c>
      <c r="AI1024">
        <v>93.515704612720597</v>
      </c>
      <c r="AJ1024">
        <v>91.166121900825999</v>
      </c>
      <c r="AK1024">
        <v>17.288216091534998</v>
      </c>
      <c r="AL1024">
        <v>83.244651350964602</v>
      </c>
      <c r="AM1024">
        <v>88.042062400438695</v>
      </c>
      <c r="AN1024">
        <v>0.99999998799991596</v>
      </c>
    </row>
    <row r="1025" spans="1:40" x14ac:dyDescent="0.25">
      <c r="A1025" t="str">
        <f>"20190312164010841"</f>
        <v>20190312164010841</v>
      </c>
      <c r="B1025" t="str">
        <f>"1552380010836919"</f>
        <v>1552380010836919</v>
      </c>
      <c r="C1025" t="s">
        <v>40</v>
      </c>
      <c r="D1025">
        <v>5.2278019999999996</v>
      </c>
      <c r="E1025">
        <v>0.4838712</v>
      </c>
      <c r="F1025" t="s">
        <v>41</v>
      </c>
      <c r="G1025">
        <v>-270.80410000000001</v>
      </c>
      <c r="H1025" s="1">
        <v>-4.2145110000000001E-6</v>
      </c>
      <c r="I1025">
        <v>367.9973</v>
      </c>
      <c r="J1025">
        <v>-288.1773</v>
      </c>
      <c r="K1025">
        <v>1.0601579999999999</v>
      </c>
      <c r="L1025">
        <v>367.71510000000001</v>
      </c>
      <c r="M1025">
        <v>0.99990829999999997</v>
      </c>
      <c r="N1025">
        <v>0</v>
      </c>
      <c r="O1025">
        <v>-2.55792E-3</v>
      </c>
      <c r="P1025">
        <v>0.99385109999999999</v>
      </c>
      <c r="Q1025">
        <v>0.10449890000000001</v>
      </c>
      <c r="R1025">
        <v>-3.6613050000000001E-2</v>
      </c>
      <c r="S1025">
        <v>3.0396730000000001</v>
      </c>
      <c r="T1025">
        <v>-0.18378079999999999</v>
      </c>
      <c r="U1025">
        <v>4.8858640000000002E-2</v>
      </c>
      <c r="V1025">
        <v>3.4048299999999997E-2</v>
      </c>
      <c r="W1025">
        <v>0.1177286</v>
      </c>
      <c r="X1025">
        <v>0.99246190000000001</v>
      </c>
      <c r="Y1025">
        <v>-1.859073E-2</v>
      </c>
      <c r="Z1025">
        <v>7.1597259999999895E-4</v>
      </c>
      <c r="AA1025">
        <v>0.99982689999999996</v>
      </c>
      <c r="AB1025">
        <v>35</v>
      </c>
      <c r="AC1025">
        <v>17.373199999999901</v>
      </c>
      <c r="AD1025">
        <v>-1.0601622145109999</v>
      </c>
      <c r="AE1025">
        <v>0.28219999999998802</v>
      </c>
      <c r="AF1025">
        <v>-0.32543074679047201</v>
      </c>
      <c r="AG1025">
        <v>-1.0601622145109999</v>
      </c>
      <c r="AH1025">
        <v>17.3079869633527</v>
      </c>
      <c r="AI1025">
        <v>93.504528281912002</v>
      </c>
      <c r="AJ1025">
        <v>91.077168104377506</v>
      </c>
      <c r="AK1025">
        <v>17.343478942115901</v>
      </c>
      <c r="AL1025">
        <v>83.238968082024599</v>
      </c>
      <c r="AM1025">
        <v>88.035129530124905</v>
      </c>
      <c r="AN1025">
        <v>0.99999996647122902</v>
      </c>
    </row>
    <row r="1026" spans="1:40" x14ac:dyDescent="0.25">
      <c r="A1026" t="str">
        <f>"20190312164010852"</f>
        <v>20190312164010852</v>
      </c>
      <c r="B1026" t="str">
        <f>"1552380010846679"</f>
        <v>1552380010846679</v>
      </c>
      <c r="C1026" t="s">
        <v>40</v>
      </c>
      <c r="D1026">
        <v>5.3257190000000003</v>
      </c>
      <c r="E1026">
        <v>0.4841608</v>
      </c>
      <c r="F1026" t="s">
        <v>41</v>
      </c>
      <c r="G1026">
        <v>-270.61259999999999</v>
      </c>
      <c r="H1026" s="1">
        <v>-4.299337E-6</v>
      </c>
      <c r="I1026">
        <v>367.98219999999998</v>
      </c>
      <c r="J1026">
        <v>-288.0018</v>
      </c>
      <c r="K1026">
        <v>1.060168</v>
      </c>
      <c r="L1026">
        <v>367.71469999999999</v>
      </c>
      <c r="M1026">
        <v>0.99990730000000005</v>
      </c>
      <c r="N1026">
        <v>0</v>
      </c>
      <c r="O1026">
        <v>-2.5080039999999999E-3</v>
      </c>
      <c r="P1026">
        <v>0.993838</v>
      </c>
      <c r="Q1026">
        <v>0.1045977</v>
      </c>
      <c r="R1026">
        <v>-3.6682569999999998E-2</v>
      </c>
      <c r="S1026">
        <v>3.0395509999999999</v>
      </c>
      <c r="T1026">
        <v>-0.18345880000000001</v>
      </c>
      <c r="U1026">
        <v>4.6234129999999998E-2</v>
      </c>
      <c r="V1026">
        <v>3.4167580000000003E-2</v>
      </c>
      <c r="W1026">
        <v>0.1179047</v>
      </c>
      <c r="X1026">
        <v>0.99243689999999996</v>
      </c>
      <c r="Y1026">
        <v>-1.768024E-2</v>
      </c>
      <c r="Z1026">
        <v>6.8429329999999998E-4</v>
      </c>
      <c r="AA1026">
        <v>0.9998435</v>
      </c>
      <c r="AB1026">
        <v>35</v>
      </c>
      <c r="AC1026">
        <v>17.389199999999999</v>
      </c>
      <c r="AD1026">
        <v>-1.060172299337</v>
      </c>
      <c r="AE1026">
        <v>0.26749999999998397</v>
      </c>
      <c r="AF1026">
        <v>-0.30996338338989299</v>
      </c>
      <c r="AG1026">
        <v>-1.060172299337</v>
      </c>
      <c r="AH1026">
        <v>17.324095750951699</v>
      </c>
      <c r="AI1026">
        <v>93.501369247120493</v>
      </c>
      <c r="AJ1026">
        <v>91.025028907378697</v>
      </c>
      <c r="AK1026">
        <v>17.359272340494702</v>
      </c>
      <c r="AL1026">
        <v>83.228807562150294</v>
      </c>
      <c r="AM1026">
        <v>88.028201874486101</v>
      </c>
      <c r="AN1026">
        <v>0.99999997114337702</v>
      </c>
    </row>
    <row r="1027" spans="1:40" x14ac:dyDescent="0.25">
      <c r="A1027" t="str">
        <f>"20190312164010865"</f>
        <v>20190312164010865</v>
      </c>
      <c r="B1027" t="str">
        <f>"1552380010857415"</f>
        <v>1552380010857415</v>
      </c>
      <c r="C1027" t="s">
        <v>40</v>
      </c>
      <c r="D1027">
        <v>5.4211619999999998</v>
      </c>
      <c r="E1027">
        <v>0.48444609999999999</v>
      </c>
      <c r="F1027" t="s">
        <v>41</v>
      </c>
      <c r="G1027">
        <v>-270.39100000000002</v>
      </c>
      <c r="H1027" s="1">
        <v>-4.3969089999999998E-6</v>
      </c>
      <c r="I1027">
        <v>367.96820000000002</v>
      </c>
      <c r="J1027">
        <v>-287.81819999999999</v>
      </c>
      <c r="K1027">
        <v>1.0601780000000001</v>
      </c>
      <c r="L1027">
        <v>367.71429999999998</v>
      </c>
      <c r="M1027">
        <v>0.99990639999999997</v>
      </c>
      <c r="N1027">
        <v>0</v>
      </c>
      <c r="O1027">
        <v>-2.4554759999999998E-3</v>
      </c>
      <c r="P1027">
        <v>0.99382809999999999</v>
      </c>
      <c r="Q1027">
        <v>0.1046665</v>
      </c>
      <c r="R1027">
        <v>-3.6757629999999999E-2</v>
      </c>
      <c r="S1027">
        <v>3.0394899999999998</v>
      </c>
      <c r="T1027">
        <v>-0.182976</v>
      </c>
      <c r="U1027">
        <v>4.3762210000000003E-2</v>
      </c>
      <c r="V1027">
        <v>3.4294659999999998E-2</v>
      </c>
      <c r="W1027">
        <v>0.118051</v>
      </c>
      <c r="X1027">
        <v>0.99241509999999999</v>
      </c>
      <c r="Y1027">
        <v>-1.6816899999999999E-2</v>
      </c>
      <c r="Z1027">
        <v>6.5339269999999995E-4</v>
      </c>
      <c r="AA1027">
        <v>0.99985840000000004</v>
      </c>
      <c r="AB1027">
        <v>35</v>
      </c>
      <c r="AC1027">
        <v>17.427199999999999</v>
      </c>
      <c r="AD1027">
        <v>-1.0601823969090001</v>
      </c>
      <c r="AE1027">
        <v>0.25390000000004398</v>
      </c>
      <c r="AF1027">
        <v>-0.295601426827997</v>
      </c>
      <c r="AG1027">
        <v>-1.0601823969090001</v>
      </c>
      <c r="AH1027">
        <v>17.362281726380701</v>
      </c>
      <c r="AI1027">
        <v>93.493773459304606</v>
      </c>
      <c r="AJ1027">
        <v>90.975394723996203</v>
      </c>
      <c r="AK1027">
        <v>17.397131765451199</v>
      </c>
      <c r="AL1027">
        <v>83.220366069244093</v>
      </c>
      <c r="AM1027">
        <v>88.020830517006402</v>
      </c>
      <c r="AN1027">
        <v>0.99999994650676105</v>
      </c>
    </row>
    <row r="1028" spans="1:40" x14ac:dyDescent="0.25">
      <c r="A1028" t="str">
        <f>"20190312164010877"</f>
        <v>20190312164010877</v>
      </c>
      <c r="B1028" t="str">
        <f>"1552380010867175"</f>
        <v>1552380010867175</v>
      </c>
      <c r="C1028" t="s">
        <v>40</v>
      </c>
      <c r="D1028">
        <v>5.3620989999999997</v>
      </c>
      <c r="E1028">
        <v>0.48469319999999999</v>
      </c>
      <c r="F1028" t="s">
        <v>41</v>
      </c>
      <c r="G1028">
        <v>-270.14499999999998</v>
      </c>
      <c r="H1028" s="1">
        <v>-4.5052310000000003E-6</v>
      </c>
      <c r="I1028">
        <v>367.95240000000001</v>
      </c>
      <c r="J1028">
        <v>-287.61959999999999</v>
      </c>
      <c r="K1028">
        <v>1.0601879999999999</v>
      </c>
      <c r="L1028">
        <v>367.71379999999999</v>
      </c>
      <c r="M1028">
        <v>0.9999053</v>
      </c>
      <c r="N1028">
        <v>0</v>
      </c>
      <c r="O1028">
        <v>-2.3983300000000002E-3</v>
      </c>
      <c r="P1028">
        <v>0.99383100000000002</v>
      </c>
      <c r="Q1028">
        <v>0.1046542</v>
      </c>
      <c r="R1028">
        <v>-3.6708129999999999E-2</v>
      </c>
      <c r="S1028">
        <v>3.039307</v>
      </c>
      <c r="T1028">
        <v>-0.18232139999999999</v>
      </c>
      <c r="U1028">
        <v>4.0954589999999999E-2</v>
      </c>
      <c r="V1028">
        <v>3.4302010000000001E-2</v>
      </c>
      <c r="W1028">
        <v>0.11812019999999999</v>
      </c>
      <c r="X1028">
        <v>0.99240669999999997</v>
      </c>
      <c r="Y1028">
        <v>-1.5839269999999999E-2</v>
      </c>
      <c r="Z1028">
        <v>6.1838219999999996E-4</v>
      </c>
      <c r="AA1028">
        <v>0.99987440000000005</v>
      </c>
      <c r="AB1028">
        <v>35</v>
      </c>
      <c r="AC1028">
        <v>17.474599999999999</v>
      </c>
      <c r="AD1028">
        <v>-1.0601925052309999</v>
      </c>
      <c r="AE1028">
        <v>0.23860000000001899</v>
      </c>
      <c r="AF1028">
        <v>-0.27948445492275098</v>
      </c>
      <c r="AG1028">
        <v>-1.0601925052309999</v>
      </c>
      <c r="AH1028">
        <v>17.409905124556602</v>
      </c>
      <c r="AI1028">
        <v>93.484329115939005</v>
      </c>
      <c r="AJ1028">
        <v>90.919700839168598</v>
      </c>
      <c r="AK1028">
        <v>17.4443949781801</v>
      </c>
      <c r="AL1028">
        <v>83.216373860544707</v>
      </c>
      <c r="AM1028">
        <v>88.020389938188003</v>
      </c>
      <c r="AN1028">
        <v>1.0000000338714801</v>
      </c>
    </row>
    <row r="1029" spans="1:40" x14ac:dyDescent="0.25">
      <c r="A1029" t="str">
        <f>"20190312164010899"</f>
        <v>20190312164010899</v>
      </c>
      <c r="B1029" t="str">
        <f>"1552380010887671"</f>
        <v>1552380010887671</v>
      </c>
      <c r="C1029" t="s">
        <v>40</v>
      </c>
      <c r="D1029">
        <v>5.4220839999999999</v>
      </c>
      <c r="E1029">
        <v>0.48520350000000001</v>
      </c>
      <c r="F1029" t="s">
        <v>41</v>
      </c>
      <c r="G1029">
        <v>-269.93360000000001</v>
      </c>
      <c r="H1029" s="1">
        <v>-4.5377600000000003E-7</v>
      </c>
      <c r="I1029">
        <v>367.9434</v>
      </c>
      <c r="J1029">
        <v>-287.29689999999999</v>
      </c>
      <c r="K1029">
        <v>1.0602009999999999</v>
      </c>
      <c r="L1029">
        <v>367.71319999999997</v>
      </c>
      <c r="M1029">
        <v>0.99990389999999996</v>
      </c>
      <c r="N1029">
        <v>0</v>
      </c>
      <c r="O1029">
        <v>-2.3061710000000001E-3</v>
      </c>
      <c r="P1029">
        <v>0.99386730000000001</v>
      </c>
      <c r="Q1029">
        <v>0.10432719999999999</v>
      </c>
      <c r="R1029">
        <v>-3.6661949999999999E-2</v>
      </c>
      <c r="S1029">
        <v>3.039307</v>
      </c>
      <c r="T1029">
        <v>-0.18219109999999999</v>
      </c>
      <c r="U1029">
        <v>3.9459229999999998E-2</v>
      </c>
      <c r="V1029">
        <v>3.4347240000000001E-2</v>
      </c>
      <c r="W1029">
        <v>0.1179166</v>
      </c>
      <c r="X1029">
        <v>0.99242929999999996</v>
      </c>
      <c r="Y1029">
        <v>-1.5256509999999999E-2</v>
      </c>
      <c r="Z1029">
        <v>5.9497320000000001E-4</v>
      </c>
      <c r="AA1029">
        <v>0.99988339999999998</v>
      </c>
      <c r="AB1029">
        <v>35</v>
      </c>
      <c r="AC1029">
        <v>17.363299999999899</v>
      </c>
      <c r="AD1029">
        <v>-1.0602014537760001</v>
      </c>
      <c r="AE1029">
        <v>0.230200000000024</v>
      </c>
      <c r="AF1029">
        <v>-0.26924222600209702</v>
      </c>
      <c r="AG1029">
        <v>-1.0602014537760001</v>
      </c>
      <c r="AH1029">
        <v>17.298240982399001</v>
      </c>
      <c r="AI1029">
        <v>93.506821847189499</v>
      </c>
      <c r="AJ1029">
        <v>90.891720590233206</v>
      </c>
      <c r="AK1029">
        <v>17.332791453888799</v>
      </c>
      <c r="AL1029">
        <v>83.228121057018697</v>
      </c>
      <c r="AM1029">
        <v>88.017826845563803</v>
      </c>
      <c r="AN1029">
        <v>0.99999998647483301</v>
      </c>
    </row>
    <row r="1030" spans="1:40" x14ac:dyDescent="0.25">
      <c r="A1030" t="str">
        <f>"20190312164010911"</f>
        <v>20190312164010911</v>
      </c>
      <c r="B1030" t="str">
        <f>"1552380010907191"</f>
        <v>1552380010907191</v>
      </c>
      <c r="C1030" t="s">
        <v>40</v>
      </c>
      <c r="D1030">
        <v>5.2512749999999997</v>
      </c>
      <c r="E1030">
        <v>0.4856705</v>
      </c>
      <c r="F1030" t="s">
        <v>41</v>
      </c>
      <c r="G1030">
        <v>-269.68939999999998</v>
      </c>
      <c r="H1030" s="1">
        <v>-5.4366449999999995E-7</v>
      </c>
      <c r="I1030">
        <v>367.91789999999997</v>
      </c>
      <c r="J1030">
        <v>-287.09980000000002</v>
      </c>
      <c r="K1030">
        <v>1.0602049999999901</v>
      </c>
      <c r="L1030">
        <v>367.71280000000002</v>
      </c>
      <c r="M1030">
        <v>0.99990299999999999</v>
      </c>
      <c r="N1030">
        <v>0</v>
      </c>
      <c r="O1030">
        <v>-2.2494149999999998E-3</v>
      </c>
      <c r="P1030">
        <v>0.99386379999999996</v>
      </c>
      <c r="Q1030">
        <v>0.1044047</v>
      </c>
      <c r="R1030">
        <v>-3.6528980000000003E-2</v>
      </c>
      <c r="S1030">
        <v>3.0390320000000002</v>
      </c>
      <c r="T1030">
        <v>-0.1829884</v>
      </c>
      <c r="U1030">
        <v>3.533936E-2</v>
      </c>
      <c r="V1030">
        <v>3.4270660000000001E-2</v>
      </c>
      <c r="W1030">
        <v>0.1180619</v>
      </c>
      <c r="X1030">
        <v>0.99241469999999998</v>
      </c>
      <c r="Y1030">
        <v>-1.3847999999999999E-2</v>
      </c>
      <c r="Z1030">
        <v>5.5185110000000005E-4</v>
      </c>
      <c r="AA1030">
        <v>0.99990400000000002</v>
      </c>
      <c r="AB1030">
        <v>35</v>
      </c>
      <c r="AC1030">
        <v>17.410399999999999</v>
      </c>
      <c r="AD1030">
        <v>-1.0602055436644999</v>
      </c>
      <c r="AE1030">
        <v>0.20509999999995801</v>
      </c>
      <c r="AF1030">
        <v>-0.243364079610806</v>
      </c>
      <c r="AG1030">
        <v>-1.0602055436644999</v>
      </c>
      <c r="AH1030">
        <v>17.3455826561473</v>
      </c>
      <c r="AI1030">
        <v>93.497367041622894</v>
      </c>
      <c r="AJ1030">
        <v>90.803825394071197</v>
      </c>
      <c r="AK1030">
        <v>17.3796576361935</v>
      </c>
      <c r="AL1030">
        <v>83.219737603945205</v>
      </c>
      <c r="AM1030">
        <v>88.022213677364206</v>
      </c>
      <c r="AN1030">
        <v>1.00000001357226</v>
      </c>
    </row>
    <row r="1031" spans="1:40" x14ac:dyDescent="0.25">
      <c r="A1031" t="str">
        <f>"20190312164010924"</f>
        <v>20190312164010924</v>
      </c>
      <c r="B1031" t="str">
        <f>"1552380010916951"</f>
        <v>1552380010916951</v>
      </c>
      <c r="C1031" t="s">
        <v>40</v>
      </c>
      <c r="D1031">
        <v>5.2299259999999999</v>
      </c>
      <c r="E1031">
        <v>0.48588120000000001</v>
      </c>
      <c r="F1031" t="s">
        <v>41</v>
      </c>
      <c r="G1031">
        <v>-269.43520000000001</v>
      </c>
      <c r="H1031" s="1">
        <v>-6.3496969999999899E-7</v>
      </c>
      <c r="I1031">
        <v>367.8999</v>
      </c>
      <c r="J1031">
        <v>-286.89819999999997</v>
      </c>
      <c r="K1031">
        <v>1.060211</v>
      </c>
      <c r="L1031">
        <v>367.7124</v>
      </c>
      <c r="M1031">
        <v>0.99990219999999996</v>
      </c>
      <c r="N1031">
        <v>0</v>
      </c>
      <c r="O1031">
        <v>-2.1916930000000002E-3</v>
      </c>
      <c r="P1031">
        <v>0.99386940000000001</v>
      </c>
      <c r="Q1031">
        <v>0.1043399</v>
      </c>
      <c r="R1031">
        <v>-3.6558670000000001E-2</v>
      </c>
      <c r="S1031">
        <v>3.0388790000000001</v>
      </c>
      <c r="T1031">
        <v>-0.18238879999999999</v>
      </c>
      <c r="U1031">
        <v>3.2196040000000002E-2</v>
      </c>
      <c r="V1031">
        <v>3.4357800000000001E-2</v>
      </c>
      <c r="W1031">
        <v>0.1180638</v>
      </c>
      <c r="X1031">
        <v>0.99241140000000005</v>
      </c>
      <c r="Y1031">
        <v>-1.275897E-2</v>
      </c>
      <c r="Z1031">
        <v>5.1396470000000002E-4</v>
      </c>
      <c r="AA1031">
        <v>0.99991850000000004</v>
      </c>
      <c r="AB1031">
        <v>35</v>
      </c>
      <c r="AC1031">
        <v>17.462999999999901</v>
      </c>
      <c r="AD1031">
        <v>-1.0602116349696999</v>
      </c>
      <c r="AE1031">
        <v>0.1875</v>
      </c>
      <c r="AF1031">
        <v>-0.224947689497384</v>
      </c>
      <c r="AG1031">
        <v>-1.0602116349696999</v>
      </c>
      <c r="AH1031">
        <v>17.398425033466999</v>
      </c>
      <c r="AI1031">
        <v>93.486842708973299</v>
      </c>
      <c r="AJ1031">
        <v>90.740747228472799</v>
      </c>
      <c r="AK1031">
        <v>17.432149718812902</v>
      </c>
      <c r="AL1031">
        <v>83.219627563086604</v>
      </c>
      <c r="AM1031">
        <v>88.017182181542196</v>
      </c>
      <c r="AN1031">
        <v>0.99999995307061895</v>
      </c>
    </row>
    <row r="1032" spans="1:40" x14ac:dyDescent="0.25">
      <c r="A1032" t="str">
        <f>"20190312164010942"</f>
        <v>20190312164010942</v>
      </c>
      <c r="B1032" t="str">
        <f>"1552380010937446"</f>
        <v>1552380010937446</v>
      </c>
      <c r="C1032" t="s">
        <v>40</v>
      </c>
      <c r="D1032">
        <v>5.4120049999999997</v>
      </c>
      <c r="E1032">
        <v>0.48630630000000002</v>
      </c>
      <c r="F1032" t="s">
        <v>41</v>
      </c>
      <c r="G1032">
        <v>-269.24380000000002</v>
      </c>
      <c r="H1032" s="1">
        <v>-7.0319919999999995E-7</v>
      </c>
      <c r="I1032">
        <v>367.88819999999998</v>
      </c>
      <c r="J1032">
        <v>-286.62009999999998</v>
      </c>
      <c r="K1032">
        <v>1.0602180000000001</v>
      </c>
      <c r="L1032">
        <v>367.71190000000001</v>
      </c>
      <c r="M1032">
        <v>0.99990140000000005</v>
      </c>
      <c r="N1032">
        <v>0</v>
      </c>
      <c r="O1032">
        <v>-2.1127530000000002E-3</v>
      </c>
      <c r="P1032">
        <v>0.99387170000000002</v>
      </c>
      <c r="Q1032">
        <v>0.10436529999999999</v>
      </c>
      <c r="R1032">
        <v>-3.6432579999999999E-2</v>
      </c>
      <c r="S1032">
        <v>3.0387879999999998</v>
      </c>
      <c r="T1032">
        <v>-0.18249009999999999</v>
      </c>
      <c r="U1032">
        <v>3.0273439999999999E-2</v>
      </c>
      <c r="V1032">
        <v>3.4309829999999999E-2</v>
      </c>
      <c r="W1032">
        <v>0.11817320000000001</v>
      </c>
      <c r="X1032">
        <v>0.99240010000000001</v>
      </c>
      <c r="Y1032">
        <v>-1.204916E-2</v>
      </c>
      <c r="Z1032">
        <v>4.8823669999999999E-4</v>
      </c>
      <c r="AA1032">
        <v>0.99992729999999996</v>
      </c>
      <c r="AB1032">
        <v>35</v>
      </c>
      <c r="AC1032">
        <v>17.376299999999901</v>
      </c>
      <c r="AD1032">
        <v>-1.0602187031991901</v>
      </c>
      <c r="AE1032">
        <v>0.17629999999996901</v>
      </c>
      <c r="AF1032">
        <v>-0.21222497276262201</v>
      </c>
      <c r="AG1032">
        <v>-1.0602187031991901</v>
      </c>
      <c r="AH1032">
        <v>17.311447294213099</v>
      </c>
      <c r="AI1032">
        <v>93.504370866230403</v>
      </c>
      <c r="AJ1032">
        <v>90.702366818041696</v>
      </c>
      <c r="AK1032">
        <v>17.345181191270299</v>
      </c>
      <c r="AL1032">
        <v>83.213315630792493</v>
      </c>
      <c r="AM1032">
        <v>88.019925837825099</v>
      </c>
      <c r="AN1032">
        <v>1.00000001405643</v>
      </c>
    </row>
    <row r="1033" spans="1:40" x14ac:dyDescent="0.25">
      <c r="A1033" t="str">
        <f>"20190312164010954"</f>
        <v>20190312164010954</v>
      </c>
      <c r="B1033" t="str">
        <f>"1552380010947207"</f>
        <v>1552380010947207</v>
      </c>
      <c r="C1033" t="s">
        <v>40</v>
      </c>
      <c r="D1033">
        <v>5.4984409999999997</v>
      </c>
      <c r="E1033">
        <v>0.48651899999999998</v>
      </c>
      <c r="F1033" t="s">
        <v>41</v>
      </c>
      <c r="G1033">
        <v>-268.9271</v>
      </c>
      <c r="H1033" s="1">
        <v>-8.1565510000000005E-7</v>
      </c>
      <c r="I1033">
        <v>367.8707</v>
      </c>
      <c r="J1033">
        <v>-286.44170000000003</v>
      </c>
      <c r="K1033">
        <v>1.0602199999999999</v>
      </c>
      <c r="L1033">
        <v>367.7115</v>
      </c>
      <c r="M1033">
        <v>0.99990060000000003</v>
      </c>
      <c r="N1033">
        <v>0</v>
      </c>
      <c r="O1033">
        <v>-2.0618329999999999E-3</v>
      </c>
      <c r="P1033">
        <v>0.99387340000000002</v>
      </c>
      <c r="Q1033">
        <v>0.104351</v>
      </c>
      <c r="R1033">
        <v>-3.6425800000000001E-2</v>
      </c>
      <c r="S1033">
        <v>3.038605</v>
      </c>
      <c r="T1033">
        <v>-0.18208170000000001</v>
      </c>
      <c r="U1033">
        <v>2.7282710000000002E-2</v>
      </c>
      <c r="V1033">
        <v>3.4353580000000002E-2</v>
      </c>
      <c r="W1033">
        <v>0.1182087</v>
      </c>
      <c r="X1033">
        <v>0.99239429999999995</v>
      </c>
      <c r="Y1033">
        <v>-1.101681E-2</v>
      </c>
      <c r="Z1033">
        <v>4.5322649999999999E-4</v>
      </c>
      <c r="AA1033">
        <v>0.99993920000000003</v>
      </c>
      <c r="AB1033">
        <v>35</v>
      </c>
      <c r="AC1033">
        <v>17.514600000000002</v>
      </c>
      <c r="AD1033">
        <v>-1.0602208156551001</v>
      </c>
      <c r="AE1033">
        <v>0.15919999999999801</v>
      </c>
      <c r="AF1033">
        <v>-0.19460233057541401</v>
      </c>
      <c r="AG1033">
        <v>-1.0602208156551001</v>
      </c>
      <c r="AH1033">
        <v>17.450296475188601</v>
      </c>
      <c r="AI1033">
        <v>93.476607678367401</v>
      </c>
      <c r="AJ1033">
        <v>90.638924964120406</v>
      </c>
      <c r="AK1033">
        <v>17.483557570385798</v>
      </c>
      <c r="AL1033">
        <v>83.2112668771085</v>
      </c>
      <c r="AM1033">
        <v>88.017391392377206</v>
      </c>
      <c r="AN1033">
        <v>0.999999955943497</v>
      </c>
    </row>
    <row r="1034" spans="1:40" x14ac:dyDescent="0.25">
      <c r="A1034" t="str">
        <f>"20190312164010964"</f>
        <v>20190312164010964</v>
      </c>
      <c r="B1034" t="str">
        <f>"1552380010956967"</f>
        <v>1552380010956967</v>
      </c>
      <c r="C1034" t="s">
        <v>40</v>
      </c>
      <c r="D1034">
        <v>5.5008059999999999</v>
      </c>
      <c r="E1034">
        <v>0.48671530000000002</v>
      </c>
      <c r="F1034" t="s">
        <v>41</v>
      </c>
      <c r="G1034">
        <v>-268.72609999999997</v>
      </c>
      <c r="H1034" s="1">
        <v>-8.8654510000000002E-7</v>
      </c>
      <c r="I1034">
        <v>367.86130000000003</v>
      </c>
      <c r="J1034">
        <v>-286.27289999999999</v>
      </c>
      <c r="K1034">
        <v>1.0602210000000001</v>
      </c>
      <c r="L1034">
        <v>367.71120000000002</v>
      </c>
      <c r="M1034">
        <v>0.99990009999999996</v>
      </c>
      <c r="N1034">
        <v>0</v>
      </c>
      <c r="O1034">
        <v>-2.013618E-3</v>
      </c>
      <c r="P1034">
        <v>0.99389309999999997</v>
      </c>
      <c r="Q1034">
        <v>0.1042054</v>
      </c>
      <c r="R1034">
        <v>-3.6303240000000001E-2</v>
      </c>
      <c r="S1034">
        <v>3.0385740000000001</v>
      </c>
      <c r="T1034">
        <v>-0.1818486</v>
      </c>
      <c r="U1034">
        <v>2.5695800000000001E-2</v>
      </c>
      <c r="V1034">
        <v>3.4278820000000002E-2</v>
      </c>
      <c r="W1034">
        <v>0.1181069</v>
      </c>
      <c r="X1034">
        <v>0.99240910000000004</v>
      </c>
      <c r="Y1034">
        <v>-1.0447659999999999E-2</v>
      </c>
      <c r="Z1034">
        <v>4.3275460000000003E-4</v>
      </c>
      <c r="AA1034">
        <v>0.99994530000000004</v>
      </c>
      <c r="AB1034">
        <v>35</v>
      </c>
      <c r="AC1034">
        <v>17.546800000000001</v>
      </c>
      <c r="AD1034">
        <v>-1.0602218865451001</v>
      </c>
      <c r="AE1034">
        <v>0.150100000000009</v>
      </c>
      <c r="AF1034">
        <v>-0.18476121452991301</v>
      </c>
      <c r="AG1034">
        <v>-1.0602218865451001</v>
      </c>
      <c r="AH1034">
        <v>17.4826397788805</v>
      </c>
      <c r="AI1034">
        <v>93.470217034476505</v>
      </c>
      <c r="AJ1034">
        <v>90.605494585397594</v>
      </c>
      <c r="AK1034">
        <v>17.5157329504991</v>
      </c>
      <c r="AL1034">
        <v>83.217141372966296</v>
      </c>
      <c r="AM1034">
        <v>88.021731977468903</v>
      </c>
      <c r="AN1034">
        <v>1.0000000495454999</v>
      </c>
    </row>
    <row r="1035" spans="1:40" x14ac:dyDescent="0.25">
      <c r="A1035" t="str">
        <f>"20190312164010975"</f>
        <v>20190312164010975</v>
      </c>
      <c r="B1035" t="str">
        <f>"1552380010966726"</f>
        <v>1552380010966726</v>
      </c>
      <c r="C1035" t="s">
        <v>40</v>
      </c>
      <c r="D1035">
        <v>5.2677809999999896</v>
      </c>
      <c r="E1035">
        <v>0.48687340000000001</v>
      </c>
      <c r="F1035" t="s">
        <v>41</v>
      </c>
      <c r="G1035">
        <v>-268.5926</v>
      </c>
      <c r="H1035" s="1">
        <v>-9.3422879999999996E-7</v>
      </c>
      <c r="I1035">
        <v>367.8528</v>
      </c>
      <c r="J1035">
        <v>-286.10079999999999</v>
      </c>
      <c r="K1035">
        <v>1.0602229999999999</v>
      </c>
      <c r="L1035">
        <v>367.71089999999998</v>
      </c>
      <c r="M1035">
        <v>0.9998996</v>
      </c>
      <c r="N1035">
        <v>0</v>
      </c>
      <c r="O1035">
        <v>-1.9645629999999999E-3</v>
      </c>
      <c r="P1035">
        <v>0.99389850000000002</v>
      </c>
      <c r="Q1035">
        <v>0.1040566</v>
      </c>
      <c r="R1035">
        <v>-3.6577470000000001E-2</v>
      </c>
      <c r="S1035">
        <v>3.0384220000000002</v>
      </c>
      <c r="T1035">
        <v>-0.1822019</v>
      </c>
      <c r="U1035">
        <v>2.4353030000000001E-2</v>
      </c>
      <c r="V1035">
        <v>3.4602090000000002E-2</v>
      </c>
      <c r="W1035">
        <v>0.11800090000000001</v>
      </c>
      <c r="X1035">
        <v>0.99241040000000003</v>
      </c>
      <c r="Y1035">
        <v>-9.9580320000000003E-3</v>
      </c>
      <c r="Z1035">
        <v>4.1600980000000001E-4</v>
      </c>
      <c r="AA1035">
        <v>0.99995029999999996</v>
      </c>
      <c r="AB1035">
        <v>35</v>
      </c>
      <c r="AC1035">
        <v>17.508199999999899</v>
      </c>
      <c r="AD1035">
        <v>-1.0602239342288</v>
      </c>
      <c r="AE1035">
        <v>0.14190000000002001</v>
      </c>
      <c r="AF1035">
        <v>-0.175654988871941</v>
      </c>
      <c r="AG1035">
        <v>-1.0602239342288</v>
      </c>
      <c r="AH1035">
        <v>17.443924546593099</v>
      </c>
      <c r="AI1035">
        <v>93.477924535129503</v>
      </c>
      <c r="AJ1035">
        <v>90.576931489116305</v>
      </c>
      <c r="AK1035">
        <v>17.476997255051</v>
      </c>
      <c r="AL1035">
        <v>83.223256881306398</v>
      </c>
      <c r="AM1035">
        <v>88.003093361322399</v>
      </c>
      <c r="AN1035">
        <v>0.999999959530668</v>
      </c>
    </row>
    <row r="1036" spans="1:40" x14ac:dyDescent="0.25">
      <c r="A1036" t="str">
        <f>"20190312164010987"</f>
        <v>20190312164010987</v>
      </c>
      <c r="B1036" t="str">
        <f>"1552380010977463"</f>
        <v>1552380010977463</v>
      </c>
      <c r="C1036" t="s">
        <v>40</v>
      </c>
      <c r="D1036">
        <v>5.3684399999999997</v>
      </c>
      <c r="E1036">
        <v>0.4869772</v>
      </c>
      <c r="F1036" t="s">
        <v>41</v>
      </c>
      <c r="G1036">
        <v>-268.53769999999997</v>
      </c>
      <c r="H1036" s="1">
        <v>-9.5628020000000002E-7</v>
      </c>
      <c r="I1036">
        <v>367.84010000000001</v>
      </c>
      <c r="J1036">
        <v>-285.92759999999998</v>
      </c>
      <c r="K1036">
        <v>1.060225</v>
      </c>
      <c r="L1036">
        <v>367.7106</v>
      </c>
      <c r="M1036">
        <v>0.99989930000000005</v>
      </c>
      <c r="N1036">
        <v>0</v>
      </c>
      <c r="O1036">
        <v>-1.91548E-3</v>
      </c>
      <c r="P1036">
        <v>0.99389899999999998</v>
      </c>
      <c r="Q1036">
        <v>0.1040184</v>
      </c>
      <c r="R1036">
        <v>-3.6679709999999997E-2</v>
      </c>
      <c r="S1036">
        <v>3.0384519999999999</v>
      </c>
      <c r="T1036">
        <v>-0.18341979999999999</v>
      </c>
      <c r="U1036">
        <v>2.2369380000000001E-2</v>
      </c>
      <c r="V1036">
        <v>3.475288E-2</v>
      </c>
      <c r="W1036">
        <v>0.1180013</v>
      </c>
      <c r="X1036">
        <v>0.99240510000000004</v>
      </c>
      <c r="Y1036">
        <v>-9.2571660000000007E-3</v>
      </c>
      <c r="Z1036">
        <v>3.946873E-4</v>
      </c>
      <c r="AA1036">
        <v>0.99995710000000004</v>
      </c>
      <c r="AB1036">
        <v>35</v>
      </c>
      <c r="AC1036">
        <v>17.389900000000001</v>
      </c>
      <c r="AD1036">
        <v>-1.0602259562802001</v>
      </c>
      <c r="AE1036">
        <v>0.129500000000007</v>
      </c>
      <c r="AF1036">
        <v>-0.16221014581501</v>
      </c>
      <c r="AG1036">
        <v>-1.0602259562802001</v>
      </c>
      <c r="AH1036">
        <v>17.3252242220663</v>
      </c>
      <c r="AI1036">
        <v>93.501724407979196</v>
      </c>
      <c r="AJ1036">
        <v>90.536425103486394</v>
      </c>
      <c r="AK1036">
        <v>17.3583923666522</v>
      </c>
      <c r="AL1036">
        <v>83.223233913797998</v>
      </c>
      <c r="AM1036">
        <v>87.994387572274107</v>
      </c>
      <c r="AN1036">
        <v>0.99999997598799695</v>
      </c>
    </row>
    <row r="1037" spans="1:40" x14ac:dyDescent="0.25">
      <c r="A1037" t="str">
        <f>"20190312164010999"</f>
        <v>20190312164010999</v>
      </c>
      <c r="B1037" t="str">
        <f>"1552380010987224"</f>
        <v>1552380010987224</v>
      </c>
      <c r="C1037" t="s">
        <v>40</v>
      </c>
      <c r="D1037">
        <v>5.4340109999999999</v>
      </c>
      <c r="E1037">
        <v>0.48715029999999998</v>
      </c>
      <c r="F1037" t="s">
        <v>41</v>
      </c>
      <c r="G1037">
        <v>-268.37520000000001</v>
      </c>
      <c r="H1037" s="1">
        <v>-1.0134399999999999E-6</v>
      </c>
      <c r="I1037">
        <v>367.8331</v>
      </c>
      <c r="J1037">
        <v>-285.7373</v>
      </c>
      <c r="K1037">
        <v>1.060222</v>
      </c>
      <c r="L1037">
        <v>367.71030000000002</v>
      </c>
      <c r="M1037">
        <v>0.99989870000000003</v>
      </c>
      <c r="N1037">
        <v>0</v>
      </c>
      <c r="O1037">
        <v>-1.861169E-3</v>
      </c>
      <c r="P1037">
        <v>0.99392469999999999</v>
      </c>
      <c r="Q1037">
        <v>0.10373499999999999</v>
      </c>
      <c r="R1037">
        <v>-3.6780849999999997E-2</v>
      </c>
      <c r="S1037">
        <v>3.0383909999999998</v>
      </c>
      <c r="T1037">
        <v>-0.1835299</v>
      </c>
      <c r="U1037">
        <v>2.1209720000000001E-2</v>
      </c>
      <c r="V1037">
        <v>3.490791E-2</v>
      </c>
      <c r="W1037">
        <v>0.1177598</v>
      </c>
      <c r="X1037">
        <v>0.99242839999999999</v>
      </c>
      <c r="Y1037">
        <v>-8.8222309999999998E-3</v>
      </c>
      <c r="Z1037">
        <v>3.7853049999999998E-4</v>
      </c>
      <c r="AA1037">
        <v>0.99996099999999999</v>
      </c>
      <c r="AB1037">
        <v>34</v>
      </c>
      <c r="AC1037">
        <v>17.362099999999899</v>
      </c>
      <c r="AD1037">
        <v>-1.0602230134399999</v>
      </c>
      <c r="AE1037">
        <v>0.12279999999998301</v>
      </c>
      <c r="AF1037">
        <v>-0.154540557622521</v>
      </c>
      <c r="AG1037">
        <v>-1.0602230134399999</v>
      </c>
      <c r="AH1037">
        <v>17.297343144742999</v>
      </c>
      <c r="AI1037">
        <v>93.507358652258205</v>
      </c>
      <c r="AJ1037">
        <v>90.511887060077697</v>
      </c>
      <c r="AK1037">
        <v>17.330494380979601</v>
      </c>
      <c r="AL1037">
        <v>83.237168369489197</v>
      </c>
      <c r="AM1037">
        <v>87.985495298999595</v>
      </c>
      <c r="AN1037">
        <v>1.00000003090158</v>
      </c>
    </row>
    <row r="1038" spans="1:40" x14ac:dyDescent="0.25">
      <c r="A1038" t="str">
        <f>"20190312164011010"</f>
        <v>20190312164011010</v>
      </c>
      <c r="B1038" t="str">
        <f>"1552380011006743"</f>
        <v>1552380011006743</v>
      </c>
      <c r="C1038" t="s">
        <v>40</v>
      </c>
      <c r="D1038">
        <v>5.3606309999999997</v>
      </c>
      <c r="E1038">
        <v>0.50105409999999995</v>
      </c>
      <c r="F1038" t="s">
        <v>41</v>
      </c>
      <c r="G1038">
        <v>-268.28019999999998</v>
      </c>
      <c r="H1038" s="1">
        <v>-1.048516E-6</v>
      </c>
      <c r="I1038">
        <v>367.82279999999997</v>
      </c>
      <c r="J1038">
        <v>-285.56689999999998</v>
      </c>
      <c r="K1038">
        <v>1.0602240000000001</v>
      </c>
      <c r="L1038">
        <v>367.71</v>
      </c>
      <c r="M1038">
        <v>0.99989839999999997</v>
      </c>
      <c r="N1038">
        <v>0</v>
      </c>
      <c r="O1038">
        <v>-1.8124059999999999E-3</v>
      </c>
      <c r="P1038">
        <v>0.99390919999999905</v>
      </c>
      <c r="Q1038">
        <v>0.10384210000000001</v>
      </c>
      <c r="R1038">
        <v>-3.6899899999999999E-2</v>
      </c>
      <c r="S1038">
        <v>3.0383300000000002</v>
      </c>
      <c r="T1038">
        <v>-0.18452679999999999</v>
      </c>
      <c r="U1038">
        <v>1.9592289999999998E-2</v>
      </c>
      <c r="V1038">
        <v>3.5075559999999999E-2</v>
      </c>
      <c r="W1038">
        <v>0.117899</v>
      </c>
      <c r="X1038">
        <v>0.99240600000000001</v>
      </c>
      <c r="Y1038">
        <v>-8.2422529999999997E-3</v>
      </c>
      <c r="Z1038">
        <v>3.6003679999999999E-4</v>
      </c>
      <c r="AA1038">
        <v>0.99996600000000002</v>
      </c>
      <c r="AB1038">
        <v>34</v>
      </c>
      <c r="AC1038">
        <v>17.2866999999999</v>
      </c>
      <c r="AD1038">
        <v>-1.0602250485160001</v>
      </c>
      <c r="AE1038">
        <v>0.112799999999992</v>
      </c>
      <c r="AF1038">
        <v>-0.143593348634903</v>
      </c>
      <c r="AG1038">
        <v>-1.0602250485160001</v>
      </c>
      <c r="AH1038">
        <v>17.221688897473499</v>
      </c>
      <c r="AI1038">
        <v>93.522752477108398</v>
      </c>
      <c r="AJ1038">
        <v>90.477717501623204</v>
      </c>
      <c r="AK1038">
        <v>17.2548910365912</v>
      </c>
      <c r="AL1038">
        <v>83.229137107449205</v>
      </c>
      <c r="AM1038">
        <v>87.975782743927496</v>
      </c>
      <c r="AN1038">
        <v>1.0000000689731501</v>
      </c>
    </row>
    <row r="1039" spans="1:40" x14ac:dyDescent="0.25">
      <c r="A1039" t="str">
        <f>"20190312164011022"</f>
        <v>20190312164011022</v>
      </c>
      <c r="B1039" t="str">
        <f>"1552380011017479"</f>
        <v>1552380011017479</v>
      </c>
      <c r="C1039" t="s">
        <v>40</v>
      </c>
      <c r="D1039">
        <v>5.4351010000000004</v>
      </c>
      <c r="E1039">
        <v>0.50003120000000001</v>
      </c>
      <c r="F1039" t="s">
        <v>41</v>
      </c>
      <c r="G1039">
        <v>-267.76209999999998</v>
      </c>
      <c r="H1039" s="1">
        <v>-1.3988000000000001E-6</v>
      </c>
      <c r="I1039">
        <v>367.16890000000001</v>
      </c>
      <c r="J1039">
        <v>-285.39609999999999</v>
      </c>
      <c r="K1039">
        <v>1.0602259999999999</v>
      </c>
      <c r="L1039">
        <v>367.70979999999997</v>
      </c>
      <c r="M1039">
        <v>0.99989799999999995</v>
      </c>
      <c r="N1039">
        <v>0</v>
      </c>
      <c r="O1039">
        <v>-1.7635159999999999E-3</v>
      </c>
      <c r="P1039">
        <v>0.9939017</v>
      </c>
      <c r="Q1039">
        <v>0.1038526</v>
      </c>
      <c r="R1039">
        <v>-3.707183E-2</v>
      </c>
      <c r="S1039">
        <v>3.0338440000000002</v>
      </c>
      <c r="T1039">
        <v>-0.1806566</v>
      </c>
      <c r="U1039">
        <v>-9.2193600000000001E-2</v>
      </c>
      <c r="V1039">
        <v>3.5296040000000001E-2</v>
      </c>
      <c r="W1039">
        <v>0.1179412</v>
      </c>
      <c r="X1039">
        <v>0.99239310000000003</v>
      </c>
      <c r="Y1039">
        <v>2.8563999999999999E-2</v>
      </c>
      <c r="Z1039">
        <v>-7.4459829999999996E-4</v>
      </c>
      <c r="AA1039">
        <v>0.99959169999999997</v>
      </c>
      <c r="AB1039">
        <v>34</v>
      </c>
      <c r="AC1039">
        <v>17.634</v>
      </c>
      <c r="AD1039">
        <v>-1.0602273987999999</v>
      </c>
      <c r="AE1039">
        <v>-0.54089999999996496</v>
      </c>
      <c r="AF1039">
        <v>0.50796368143159698</v>
      </c>
      <c r="AG1039">
        <v>-1.0602273987999999</v>
      </c>
      <c r="AH1039">
        <v>17.571467153580802</v>
      </c>
      <c r="AI1039">
        <v>93.451488760382702</v>
      </c>
      <c r="AJ1039">
        <v>88.344129635365107</v>
      </c>
      <c r="AK1039">
        <v>17.610751465175799</v>
      </c>
      <c r="AL1039">
        <v>83.226701775372604</v>
      </c>
      <c r="AM1039">
        <v>87.963043030487398</v>
      </c>
      <c r="AN1039">
        <v>1.00000000101236</v>
      </c>
    </row>
    <row r="1040" spans="1:40" x14ac:dyDescent="0.25">
      <c r="A1040" t="str">
        <f>"20190312164011032"</f>
        <v>20190312164011032</v>
      </c>
      <c r="B1040" t="str">
        <f>"1552380011027239"</f>
        <v>1552380011027239</v>
      </c>
      <c r="C1040" t="s">
        <v>40</v>
      </c>
      <c r="D1040">
        <v>5.4003800000000002</v>
      </c>
      <c r="E1040">
        <v>0.50051389999999996</v>
      </c>
      <c r="F1040" t="s">
        <v>41</v>
      </c>
      <c r="G1040">
        <v>-266.9941</v>
      </c>
      <c r="H1040" s="1">
        <v>-1.7010690000000001E-6</v>
      </c>
      <c r="I1040">
        <v>367.19659999999999</v>
      </c>
      <c r="J1040">
        <v>-285.23200000000003</v>
      </c>
      <c r="K1040">
        <v>1.0602339999999999</v>
      </c>
      <c r="L1040">
        <v>367.70949999999999</v>
      </c>
      <c r="M1040">
        <v>0.9998977</v>
      </c>
      <c r="N1040">
        <v>0</v>
      </c>
      <c r="O1040">
        <v>-1.716864E-3</v>
      </c>
      <c r="P1040">
        <v>0.99390449999999997</v>
      </c>
      <c r="Q1040">
        <v>0.10391839999999999</v>
      </c>
      <c r="R1040">
        <v>-3.6812730000000002E-2</v>
      </c>
      <c r="S1040">
        <v>3.0335390000000002</v>
      </c>
      <c r="T1040">
        <v>-0.1747756</v>
      </c>
      <c r="U1040">
        <v>-8.4594730000000007E-2</v>
      </c>
      <c r="V1040">
        <v>3.5083309999999999E-2</v>
      </c>
      <c r="W1040">
        <v>0.1180345</v>
      </c>
      <c r="X1040">
        <v>0.99238959999999998</v>
      </c>
      <c r="Y1040">
        <v>2.6118809999999999E-2</v>
      </c>
      <c r="Z1040">
        <v>-6.5281659999999995E-4</v>
      </c>
      <c r="AA1040">
        <v>0.99965859999999995</v>
      </c>
      <c r="AB1040">
        <v>34</v>
      </c>
      <c r="AC1040">
        <v>18.2379</v>
      </c>
      <c r="AD1040">
        <v>-1.060235701069</v>
      </c>
      <c r="AE1040">
        <v>-0.51290000000000102</v>
      </c>
      <c r="AF1040">
        <v>0.47996332815623499</v>
      </c>
      <c r="AG1040">
        <v>-1.060235701069</v>
      </c>
      <c r="AH1040">
        <v>18.177371516068199</v>
      </c>
      <c r="AI1040">
        <v>93.336961522626297</v>
      </c>
      <c r="AJ1040">
        <v>88.487488427453201</v>
      </c>
      <c r="AK1040">
        <v>18.214590299300198</v>
      </c>
      <c r="AL1040">
        <v>83.221318810711495</v>
      </c>
      <c r="AM1040">
        <v>87.975302430860197</v>
      </c>
      <c r="AN1040">
        <v>1.0000000500094799</v>
      </c>
    </row>
    <row r="1041" spans="1:40" x14ac:dyDescent="0.25">
      <c r="A1041" t="str">
        <f>"20190312164011043"</f>
        <v>20190312164011043</v>
      </c>
      <c r="B1041" t="str">
        <f>"1552380011036999"</f>
        <v>1552380011036999</v>
      </c>
      <c r="C1041" t="s">
        <v>40</v>
      </c>
      <c r="D1041">
        <v>5.5249709999999999</v>
      </c>
      <c r="E1041">
        <v>0.50051389999999996</v>
      </c>
      <c r="F1041" t="s">
        <v>41</v>
      </c>
      <c r="G1041">
        <v>-269.27910000000003</v>
      </c>
      <c r="H1041" s="1">
        <v>-8.5948709999999904E-7</v>
      </c>
      <c r="I1041">
        <v>367.25569999999999</v>
      </c>
      <c r="J1041">
        <v>-285.0675</v>
      </c>
      <c r="K1041">
        <v>1.060236</v>
      </c>
      <c r="L1041">
        <v>367.70929999999998</v>
      </c>
      <c r="M1041">
        <v>0.99989740000000005</v>
      </c>
      <c r="N1041">
        <v>0</v>
      </c>
      <c r="O1041">
        <v>-1.6696079999999999E-3</v>
      </c>
      <c r="P1041">
        <v>0.99390129999999999</v>
      </c>
      <c r="Q1041">
        <v>0.1038432</v>
      </c>
      <c r="R1041">
        <v>-3.7108809999999999E-2</v>
      </c>
      <c r="S1041">
        <v>3.0362849999999999</v>
      </c>
      <c r="T1041">
        <v>-0.2017919</v>
      </c>
      <c r="U1041">
        <v>-8.6364750000000004E-2</v>
      </c>
      <c r="V1041">
        <v>3.5426449999999998E-2</v>
      </c>
      <c r="W1041">
        <v>0.1179862</v>
      </c>
      <c r="X1041">
        <v>0.99238309999999996</v>
      </c>
      <c r="Y1041">
        <v>2.670838E-2</v>
      </c>
      <c r="Z1041">
        <v>-7.7553619999999905E-4</v>
      </c>
      <c r="AA1041">
        <v>0.99964299999999995</v>
      </c>
      <c r="AB1041">
        <v>34</v>
      </c>
      <c r="AC1041">
        <v>15.7883999999999</v>
      </c>
      <c r="AD1041">
        <v>-1.0602368594870999</v>
      </c>
      <c r="AE1041">
        <v>-0.45359999999999401</v>
      </c>
      <c r="AF1041">
        <v>0.425319857372357</v>
      </c>
      <c r="AG1041">
        <v>-1.0602368594870999</v>
      </c>
      <c r="AH1041">
        <v>15.7183119412468</v>
      </c>
      <c r="AI1041">
        <v>93.857481178112096</v>
      </c>
      <c r="AJ1041">
        <v>88.450018809633804</v>
      </c>
      <c r="AK1041">
        <v>15.7597693340236</v>
      </c>
      <c r="AL1041">
        <v>83.224105309121398</v>
      </c>
      <c r="AM1041">
        <v>87.955502777117403</v>
      </c>
      <c r="AN1041">
        <v>0.99999999695782604</v>
      </c>
    </row>
    <row r="1042" spans="1:40" x14ac:dyDescent="0.25">
      <c r="A1042" t="str">
        <f>"20190312164011054"</f>
        <v>20190312164011054</v>
      </c>
      <c r="B1042" t="str">
        <f>"1552380011046758"</f>
        <v>1552380011046758</v>
      </c>
      <c r="C1042" t="s">
        <v>40</v>
      </c>
      <c r="D1042">
        <v>5.3174869999999999</v>
      </c>
      <c r="E1042">
        <v>0.50776299999999996</v>
      </c>
      <c r="F1042" t="s">
        <v>42</v>
      </c>
      <c r="G1042">
        <v>-284.10300000000001</v>
      </c>
      <c r="H1042">
        <v>0.99612809999999896</v>
      </c>
      <c r="I1042">
        <v>367.68130000000002</v>
      </c>
      <c r="J1042">
        <v>-284.88589999999999</v>
      </c>
      <c r="K1042">
        <v>1.060236</v>
      </c>
      <c r="L1042">
        <v>367.709</v>
      </c>
      <c r="M1042">
        <v>0.99989689999999998</v>
      </c>
      <c r="N1042">
        <v>0</v>
      </c>
      <c r="O1042">
        <v>-1.6173540000000001E-3</v>
      </c>
      <c r="P1042">
        <v>0.99390040000000002</v>
      </c>
      <c r="Q1042">
        <v>0.1039214</v>
      </c>
      <c r="R1042">
        <v>-3.6908990000000003E-2</v>
      </c>
      <c r="S1042">
        <v>3.0362239999999998</v>
      </c>
      <c r="T1042">
        <v>-0.2020227</v>
      </c>
      <c r="U1042">
        <v>-8.7249759999999996E-2</v>
      </c>
      <c r="V1042">
        <v>3.5278629999999998E-2</v>
      </c>
      <c r="W1042">
        <v>0.1180908</v>
      </c>
      <c r="X1042">
        <v>0.99237589999999998</v>
      </c>
      <c r="Y1042">
        <v>2.7051329999999998E-2</v>
      </c>
      <c r="Z1042">
        <v>-7.9130080000000005E-4</v>
      </c>
      <c r="AA1042">
        <v>0.99963369999999996</v>
      </c>
      <c r="AB1042">
        <v>34</v>
      </c>
      <c r="AC1042">
        <v>0.78289999999998305</v>
      </c>
      <c r="AD1042">
        <v>-6.4107900000000106E-2</v>
      </c>
      <c r="AE1042">
        <v>-2.76999999999816E-2</v>
      </c>
      <c r="AF1042">
        <v>2.62577654641288E-2</v>
      </c>
      <c r="AG1042">
        <v>-6.4107900000000106E-2</v>
      </c>
      <c r="AH1042">
        <v>0.77773544402598804</v>
      </c>
      <c r="AI1042">
        <v>94.709505447445594</v>
      </c>
      <c r="AJ1042">
        <v>88.066324586150103</v>
      </c>
      <c r="AK1042">
        <v>0.78081477572077196</v>
      </c>
      <c r="AL1042">
        <v>83.2180698133444</v>
      </c>
      <c r="AM1042">
        <v>87.964011669188594</v>
      </c>
      <c r="AN1042">
        <v>0.99999997284006303</v>
      </c>
    </row>
    <row r="1043" spans="1:40" x14ac:dyDescent="0.25">
      <c r="A1043" t="str">
        <f>"20190312164011065"</f>
        <v>20190312164011065</v>
      </c>
      <c r="B1043" t="str">
        <f>"1552380011057495"</f>
        <v>1552380011057495</v>
      </c>
      <c r="C1043" t="s">
        <v>40</v>
      </c>
      <c r="D1043">
        <v>5.4106990000000001</v>
      </c>
      <c r="E1043">
        <v>0.51036859999999995</v>
      </c>
      <c r="F1043" t="s">
        <v>41</v>
      </c>
      <c r="G1043">
        <v>-268.32119999999998</v>
      </c>
      <c r="H1043" s="1">
        <v>-1.2755619999999999E-6</v>
      </c>
      <c r="I1043">
        <v>366.9171</v>
      </c>
      <c r="J1043">
        <v>-284.71499999999997</v>
      </c>
      <c r="K1043">
        <v>1.06023</v>
      </c>
      <c r="L1043">
        <v>367.7088</v>
      </c>
      <c r="M1043">
        <v>0.99989680000000003</v>
      </c>
      <c r="N1043">
        <v>0</v>
      </c>
      <c r="O1043">
        <v>-1.5682879999999999E-3</v>
      </c>
      <c r="P1043">
        <v>0.99394669999999896</v>
      </c>
      <c r="Q1043">
        <v>0.1034793</v>
      </c>
      <c r="R1043">
        <v>-3.6908349999999999E-2</v>
      </c>
      <c r="S1043">
        <v>3.0333559999999999</v>
      </c>
      <c r="T1043">
        <v>-0.19415209999999999</v>
      </c>
      <c r="U1043">
        <v>-0.1450195</v>
      </c>
      <c r="V1043">
        <v>3.532685E-2</v>
      </c>
      <c r="W1043">
        <v>0.1176722</v>
      </c>
      <c r="X1043">
        <v>0.99242399999999997</v>
      </c>
      <c r="Y1043">
        <v>4.6096129999999999E-2</v>
      </c>
      <c r="Z1043">
        <v>-1.3726329999999901E-3</v>
      </c>
      <c r="AA1043">
        <v>0.99893609999999999</v>
      </c>
      <c r="AB1043">
        <v>34</v>
      </c>
      <c r="AC1043">
        <v>16.393799999999999</v>
      </c>
      <c r="AD1043">
        <v>-1.060231275562</v>
      </c>
      <c r="AE1043">
        <v>-0.79169999999999097</v>
      </c>
      <c r="AF1043">
        <v>0.76280315952619104</v>
      </c>
      <c r="AG1043">
        <v>-1.060231275562</v>
      </c>
      <c r="AH1043">
        <v>16.326892293657298</v>
      </c>
      <c r="AI1043">
        <v>93.711403872292493</v>
      </c>
      <c r="AJ1043">
        <v>87.325048631559397</v>
      </c>
      <c r="AK1043">
        <v>16.379052811031102</v>
      </c>
      <c r="AL1043">
        <v>83.242222847593894</v>
      </c>
      <c r="AM1043">
        <v>87.961329889753898</v>
      </c>
      <c r="AN1043">
        <v>1.0000000643798701</v>
      </c>
    </row>
    <row r="1044" spans="1:40" x14ac:dyDescent="0.25">
      <c r="A1044" t="str">
        <f>"20190312164011078"</f>
        <v>20190312164011078</v>
      </c>
      <c r="B1044" t="str">
        <f>"1552380011066909"</f>
        <v>1552380011066909</v>
      </c>
      <c r="C1044" t="s">
        <v>40</v>
      </c>
      <c r="D1044">
        <v>5.3444000000000003</v>
      </c>
      <c r="E1044">
        <v>0.5121561</v>
      </c>
      <c r="F1044" t="s">
        <v>42</v>
      </c>
      <c r="G1044">
        <v>-283.7953</v>
      </c>
      <c r="H1044">
        <v>0.9991622</v>
      </c>
      <c r="I1044">
        <v>367.65839999999997</v>
      </c>
      <c r="J1044">
        <v>-284.52960000000002</v>
      </c>
      <c r="K1044">
        <v>1.06023</v>
      </c>
      <c r="L1044">
        <v>367.70859999999999</v>
      </c>
      <c r="M1044">
        <v>0.99989660000000002</v>
      </c>
      <c r="N1044">
        <v>0</v>
      </c>
      <c r="O1044">
        <v>-1.514938E-3</v>
      </c>
      <c r="P1044">
        <v>0.99396200000000001</v>
      </c>
      <c r="Q1044">
        <v>0.10340050000000001</v>
      </c>
      <c r="R1044">
        <v>-3.671526E-2</v>
      </c>
      <c r="S1044">
        <v>3.033112</v>
      </c>
      <c r="T1044">
        <v>-0.20146700000000001</v>
      </c>
      <c r="U1044">
        <v>-0.165741</v>
      </c>
      <c r="V1044">
        <v>3.518669E-2</v>
      </c>
      <c r="W1044">
        <v>0.11761779999999999</v>
      </c>
      <c r="X1044">
        <v>0.99243539999999997</v>
      </c>
      <c r="Y1044">
        <v>5.2936589999999999E-2</v>
      </c>
      <c r="Z1044">
        <v>-1.6544029999999901E-3</v>
      </c>
      <c r="AA1044">
        <v>0.9985965</v>
      </c>
      <c r="AB1044">
        <v>34</v>
      </c>
      <c r="AC1044">
        <v>0.73430000000001805</v>
      </c>
      <c r="AD1044">
        <v>-6.1067800000000103E-2</v>
      </c>
      <c r="AE1044">
        <v>-5.0200000000018001E-2</v>
      </c>
      <c r="AF1044">
        <v>4.8751793341016002E-2</v>
      </c>
      <c r="AG1044">
        <v>-6.1067800000000103E-2</v>
      </c>
      <c r="AH1044">
        <v>0.72935420640718995</v>
      </c>
      <c r="AI1044">
        <v>94.775524400502405</v>
      </c>
      <c r="AJ1044">
        <v>86.175900451618702</v>
      </c>
      <c r="AK1044">
        <v>0.73352816711743796</v>
      </c>
      <c r="AL1044">
        <v>83.245361345219493</v>
      </c>
      <c r="AM1044">
        <v>87.969434876098305</v>
      </c>
      <c r="AN1044">
        <v>1.00000003660157</v>
      </c>
    </row>
    <row r="1045" spans="1:40" x14ac:dyDescent="0.25">
      <c r="A1045" t="str">
        <f>"20190312164011090"</f>
        <v>20190312164011090</v>
      </c>
      <c r="B1045" t="str">
        <f>"1552380011087405"</f>
        <v>1552380011087405</v>
      </c>
      <c r="C1045" t="s">
        <v>40</v>
      </c>
      <c r="D1045">
        <v>5.3569129999999996</v>
      </c>
      <c r="E1045">
        <v>0.51454840000000002</v>
      </c>
      <c r="F1045" t="s">
        <v>42</v>
      </c>
      <c r="G1045">
        <v>-283.4966</v>
      </c>
      <c r="H1045">
        <v>0.98994179999999998</v>
      </c>
      <c r="I1045">
        <v>367.64729999999997</v>
      </c>
      <c r="J1045">
        <v>-284.3365</v>
      </c>
      <c r="K1045">
        <v>1.0602309999999999</v>
      </c>
      <c r="L1045">
        <v>367.70830000000001</v>
      </c>
      <c r="M1045">
        <v>0.99989629999999996</v>
      </c>
      <c r="N1045">
        <v>0</v>
      </c>
      <c r="O1045">
        <v>-1.4590709999999999E-3</v>
      </c>
      <c r="P1045">
        <v>0.99396910000000005</v>
      </c>
      <c r="Q1045">
        <v>0.103385199999999</v>
      </c>
      <c r="R1045">
        <v>-3.6566370000000001E-2</v>
      </c>
      <c r="S1045">
        <v>3.033112</v>
      </c>
      <c r="T1045">
        <v>-0.20665629999999999</v>
      </c>
      <c r="U1045">
        <v>-0.17898559999999999</v>
      </c>
      <c r="V1045">
        <v>3.5093279999999998E-2</v>
      </c>
      <c r="W1045">
        <v>0.1176244</v>
      </c>
      <c r="X1045">
        <v>0.99243789999999998</v>
      </c>
      <c r="Y1045">
        <v>5.7322270000000002E-2</v>
      </c>
      <c r="Z1045">
        <v>-1.849612E-3</v>
      </c>
      <c r="AA1045">
        <v>0.99835399999999996</v>
      </c>
      <c r="AB1045">
        <v>34</v>
      </c>
      <c r="AC1045">
        <v>0.83989999999999998</v>
      </c>
      <c r="AD1045">
        <v>-7.0289199999999899E-2</v>
      </c>
      <c r="AE1045">
        <v>-6.1000000000035401E-2</v>
      </c>
      <c r="AF1045">
        <v>5.93607771500076E-2</v>
      </c>
      <c r="AG1045">
        <v>-7.0289199999999899E-2</v>
      </c>
      <c r="AH1045">
        <v>0.83417652495963801</v>
      </c>
      <c r="AI1045">
        <v>94.804374962187694</v>
      </c>
      <c r="AJ1045">
        <v>85.9296404031696</v>
      </c>
      <c r="AK1045">
        <v>0.83923462052886699</v>
      </c>
      <c r="AL1045">
        <v>83.244980379914594</v>
      </c>
      <c r="AM1045">
        <v>87.974826013902202</v>
      </c>
      <c r="AN1045">
        <v>1.00000001156646</v>
      </c>
    </row>
    <row r="1046" spans="1:40" x14ac:dyDescent="0.25">
      <c r="A1046" t="str">
        <f>"20190312164011103"</f>
        <v>20190312164011103</v>
      </c>
      <c r="B1046" t="str">
        <f>"1552380011097165"</f>
        <v>1552380011097165</v>
      </c>
      <c r="C1046" t="s">
        <v>40</v>
      </c>
      <c r="D1046">
        <v>5.2550569999999999</v>
      </c>
      <c r="E1046">
        <v>0.51545799999999997</v>
      </c>
      <c r="F1046" t="s">
        <v>41</v>
      </c>
      <c r="G1046">
        <v>-268.00560000000002</v>
      </c>
      <c r="H1046" s="1">
        <v>-1.456173E-6</v>
      </c>
      <c r="I1046">
        <v>366.642</v>
      </c>
      <c r="J1046">
        <v>-284.15219999999999</v>
      </c>
      <c r="K1046">
        <v>1.0602400000000001</v>
      </c>
      <c r="L1046">
        <v>367.7081</v>
      </c>
      <c r="M1046">
        <v>0.99989600000000001</v>
      </c>
      <c r="N1046">
        <v>0</v>
      </c>
      <c r="O1046">
        <v>-1.4059299999999999E-3</v>
      </c>
      <c r="P1046">
        <v>0.99398149999999996</v>
      </c>
      <c r="Q1046">
        <v>0.10327069999999999</v>
      </c>
      <c r="R1046">
        <v>-3.6548200000000003E-2</v>
      </c>
      <c r="S1046">
        <v>3.0314030000000001</v>
      </c>
      <c r="T1046">
        <v>-0.1968037</v>
      </c>
      <c r="U1046">
        <v>-0.197937</v>
      </c>
      <c r="V1046">
        <v>3.5128090000000001E-2</v>
      </c>
      <c r="W1046">
        <v>0.1175297</v>
      </c>
      <c r="X1046">
        <v>0.99244790000000005</v>
      </c>
      <c r="Y1046">
        <v>6.3623199999999894E-2</v>
      </c>
      <c r="Z1046">
        <v>-1.969812E-3</v>
      </c>
      <c r="AA1046">
        <v>0.99797210000000003</v>
      </c>
      <c r="AB1046">
        <v>34</v>
      </c>
      <c r="AC1046">
        <v>16.1465999999999</v>
      </c>
      <c r="AD1046">
        <v>-1.060241456173</v>
      </c>
      <c r="AE1046">
        <v>-1.0661</v>
      </c>
      <c r="AF1046">
        <v>1.0389354955094099</v>
      </c>
      <c r="AG1046">
        <v>-1.060241456173</v>
      </c>
      <c r="AH1046">
        <v>16.079056092894501</v>
      </c>
      <c r="AI1046">
        <v>93.764753242266806</v>
      </c>
      <c r="AJ1046">
        <v>86.303017757847002</v>
      </c>
      <c r="AK1046">
        <v>16.1474314907252</v>
      </c>
      <c r="AL1046">
        <v>83.250444270393999</v>
      </c>
      <c r="AM1046">
        <v>87.972839271758701</v>
      </c>
      <c r="AN1046">
        <v>1.0000000236517701</v>
      </c>
    </row>
    <row r="1047" spans="1:40" x14ac:dyDescent="0.25">
      <c r="A1047" t="str">
        <f>"20190312164011122"</f>
        <v>20190312164011122</v>
      </c>
      <c r="B1047" t="str">
        <f>"1552380011117662"</f>
        <v>1552380011117662</v>
      </c>
      <c r="C1047" t="s">
        <v>40</v>
      </c>
      <c r="D1047">
        <v>5.3518610000000004</v>
      </c>
      <c r="E1047">
        <v>0.51610840000000002</v>
      </c>
      <c r="F1047" t="s">
        <v>42</v>
      </c>
      <c r="G1047">
        <v>-283.1841</v>
      </c>
      <c r="H1047">
        <v>0.99922999999999995</v>
      </c>
      <c r="I1047">
        <v>367.64240000000001</v>
      </c>
      <c r="J1047">
        <v>-283.86360000000002</v>
      </c>
      <c r="K1047">
        <v>1.0602400000000001</v>
      </c>
      <c r="L1047">
        <v>367.70780000000002</v>
      </c>
      <c r="M1047">
        <v>0.9998958</v>
      </c>
      <c r="N1047">
        <v>0</v>
      </c>
      <c r="O1047">
        <v>-1.3229239999999901E-3</v>
      </c>
      <c r="P1047">
        <v>0.99400189999999999</v>
      </c>
      <c r="Q1047">
        <v>0.1032575</v>
      </c>
      <c r="R1047">
        <v>-3.6032340000000003E-2</v>
      </c>
      <c r="S1047">
        <v>3.0304570000000002</v>
      </c>
      <c r="T1047">
        <v>-0.19095999999999999</v>
      </c>
      <c r="U1047">
        <v>-0.20556640000000001</v>
      </c>
      <c r="V1047">
        <v>3.4694879999999997E-2</v>
      </c>
      <c r="W1047">
        <v>0.11754439999999999</v>
      </c>
      <c r="X1047">
        <v>0.99246140000000005</v>
      </c>
      <c r="Y1047">
        <v>6.6229720000000006E-2</v>
      </c>
      <c r="Z1047">
        <v>-1.9990419999999999E-3</v>
      </c>
      <c r="AA1047">
        <v>0.99780239999999998</v>
      </c>
      <c r="AB1047">
        <v>34</v>
      </c>
      <c r="AC1047">
        <v>0.67950000000001798</v>
      </c>
      <c r="AD1047">
        <v>-6.1010000000000099E-2</v>
      </c>
      <c r="AE1047">
        <v>-6.5400000000010894E-2</v>
      </c>
      <c r="AF1047">
        <v>6.3989795484645104E-2</v>
      </c>
      <c r="AG1047">
        <v>-6.1010000000000099E-2</v>
      </c>
      <c r="AH1047">
        <v>0.67420066048448102</v>
      </c>
      <c r="AI1047">
        <v>95.147736978415693</v>
      </c>
      <c r="AJ1047">
        <v>84.578179218770003</v>
      </c>
      <c r="AK1047">
        <v>0.67997312051571401</v>
      </c>
      <c r="AL1047">
        <v>83.249596156738505</v>
      </c>
      <c r="AM1047">
        <v>87.997845556600794</v>
      </c>
      <c r="AN1047">
        <v>1.0000000255797601</v>
      </c>
    </row>
    <row r="1048" spans="1:40" x14ac:dyDescent="0.25">
      <c r="A1048" t="str">
        <f>"20190312164011144"</f>
        <v>20190312164011144</v>
      </c>
      <c r="B1048" t="str">
        <f>"1552380011137181"</f>
        <v>1552380011137181</v>
      </c>
      <c r="C1048" t="s">
        <v>40</v>
      </c>
      <c r="D1048">
        <v>5.2742769999999997</v>
      </c>
      <c r="E1048">
        <v>0.51717639999999998</v>
      </c>
      <c r="F1048" t="s">
        <v>42</v>
      </c>
      <c r="G1048">
        <v>-282.87990000000002</v>
      </c>
      <c r="H1048">
        <v>0.9981331</v>
      </c>
      <c r="I1048">
        <v>367.6397</v>
      </c>
      <c r="J1048">
        <v>-283.5197</v>
      </c>
      <c r="K1048">
        <v>1.060246</v>
      </c>
      <c r="L1048">
        <v>367.70740000000001</v>
      </c>
      <c r="M1048">
        <v>0.9998956</v>
      </c>
      <c r="N1048">
        <v>0</v>
      </c>
      <c r="O1048">
        <v>-1.224307E-3</v>
      </c>
      <c r="P1048">
        <v>0.99401649999999997</v>
      </c>
      <c r="Q1048">
        <v>0.1031952</v>
      </c>
      <c r="R1048">
        <v>-3.580552E-2</v>
      </c>
      <c r="S1048">
        <v>3.0303960000000001</v>
      </c>
      <c r="T1048">
        <v>-0.19140799999999999</v>
      </c>
      <c r="U1048">
        <v>-0.20938109999999999</v>
      </c>
      <c r="V1048">
        <v>3.456592E-2</v>
      </c>
      <c r="W1048">
        <v>0.1175098</v>
      </c>
      <c r="X1048">
        <v>0.99246999999999996</v>
      </c>
      <c r="Y1048">
        <v>6.7576170000000005E-2</v>
      </c>
      <c r="Z1048">
        <v>-2.052323E-3</v>
      </c>
      <c r="AA1048">
        <v>0.99771200000000004</v>
      </c>
      <c r="AB1048">
        <v>34</v>
      </c>
      <c r="AC1048">
        <v>0.63979999999997905</v>
      </c>
      <c r="AD1048">
        <v>-6.2112899999999999E-2</v>
      </c>
      <c r="AE1048">
        <v>-6.7700000000001995E-2</v>
      </c>
      <c r="AF1048">
        <v>6.6298619720834506E-2</v>
      </c>
      <c r="AG1048">
        <v>-6.2112899999999999E-2</v>
      </c>
      <c r="AH1048">
        <v>0.63397346084255402</v>
      </c>
      <c r="AI1048">
        <v>95.565479111639306</v>
      </c>
      <c r="AJ1048">
        <v>84.029917733844599</v>
      </c>
      <c r="AK1048">
        <v>0.64044973914896997</v>
      </c>
      <c r="AL1048">
        <v>83.251592444641304</v>
      </c>
      <c r="AM1048">
        <v>88.005298762234503</v>
      </c>
      <c r="AN1048">
        <v>1.00000002841074</v>
      </c>
    </row>
    <row r="1049" spans="1:40" x14ac:dyDescent="0.25">
      <c r="A1049" t="str">
        <f>"20190312164011156"</f>
        <v>20190312164011156</v>
      </c>
      <c r="B1049" t="str">
        <f>"1552380011146941"</f>
        <v>1552380011146941</v>
      </c>
      <c r="C1049" t="s">
        <v>40</v>
      </c>
      <c r="D1049">
        <v>5.2944129999999996</v>
      </c>
      <c r="E1049">
        <v>0.51749999999999996</v>
      </c>
      <c r="F1049" t="s">
        <v>42</v>
      </c>
      <c r="G1049">
        <v>-282.5727</v>
      </c>
      <c r="H1049">
        <v>1.0004679999999999</v>
      </c>
      <c r="I1049">
        <v>367.63940000000002</v>
      </c>
      <c r="J1049">
        <v>-283.33240000000001</v>
      </c>
      <c r="K1049">
        <v>1.060249</v>
      </c>
      <c r="L1049">
        <v>367.7072</v>
      </c>
      <c r="M1049">
        <v>0.99989550000000005</v>
      </c>
      <c r="N1049">
        <v>0</v>
      </c>
      <c r="O1049">
        <v>-1.1706450000000001E-3</v>
      </c>
      <c r="P1049">
        <v>0.99404170000000003</v>
      </c>
      <c r="Q1049">
        <v>0.1030345</v>
      </c>
      <c r="R1049">
        <v>-3.5571909999999998E-2</v>
      </c>
      <c r="S1049">
        <v>3.03009</v>
      </c>
      <c r="T1049">
        <v>-0.19125130000000001</v>
      </c>
      <c r="U1049">
        <v>-0.21749879999999999</v>
      </c>
      <c r="V1049">
        <v>3.4385699999999998E-2</v>
      </c>
      <c r="W1049">
        <v>0.1173635</v>
      </c>
      <c r="X1049">
        <v>0.99249359999999998</v>
      </c>
      <c r="Y1049">
        <v>7.0290790000000006E-2</v>
      </c>
      <c r="Z1049">
        <v>-2.1395139999999999E-3</v>
      </c>
      <c r="AA1049">
        <v>0.99752430000000003</v>
      </c>
      <c r="AB1049">
        <v>34</v>
      </c>
      <c r="AC1049">
        <v>0.75970000000000903</v>
      </c>
      <c r="AD1049">
        <v>-5.97809999999998E-2</v>
      </c>
      <c r="AE1049">
        <v>-6.7799999999976907E-2</v>
      </c>
      <c r="AF1049">
        <v>6.6501985242624698E-2</v>
      </c>
      <c r="AG1049">
        <v>-5.97809999999998E-2</v>
      </c>
      <c r="AH1049">
        <v>0.75513985995473998</v>
      </c>
      <c r="AI1049">
        <v>94.509028078543594</v>
      </c>
      <c r="AJ1049">
        <v>84.967186149237406</v>
      </c>
      <c r="AK1049">
        <v>0.760415998052825</v>
      </c>
      <c r="AL1049">
        <v>83.260033415988801</v>
      </c>
      <c r="AM1049">
        <v>88.015737557846094</v>
      </c>
      <c r="AN1049">
        <v>1.0000000567688401</v>
      </c>
    </row>
    <row r="1050" spans="1:40" x14ac:dyDescent="0.25">
      <c r="A1050" t="str">
        <f>"20190312164011168"</f>
        <v>20190312164011168</v>
      </c>
      <c r="B1050" t="str">
        <f>"1552380011157678"</f>
        <v>1552380011157678</v>
      </c>
      <c r="C1050" t="s">
        <v>40</v>
      </c>
      <c r="D1050">
        <v>5.2913639999999997</v>
      </c>
      <c r="E1050">
        <v>0.5177505</v>
      </c>
      <c r="F1050" t="s">
        <v>41</v>
      </c>
      <c r="G1050">
        <v>-266.49220000000003</v>
      </c>
      <c r="H1050" s="1">
        <v>-2.0422000000000001E-6</v>
      </c>
      <c r="I1050">
        <v>366.4873</v>
      </c>
      <c r="J1050">
        <v>-283.15859999999998</v>
      </c>
      <c r="K1050">
        <v>1.0602480000000001</v>
      </c>
      <c r="L1050">
        <v>367.70710000000003</v>
      </c>
      <c r="M1050">
        <v>0.99989530000000004</v>
      </c>
      <c r="N1050">
        <v>0</v>
      </c>
      <c r="O1050">
        <v>-1.1208959999999999E-3</v>
      </c>
      <c r="P1050">
        <v>0.99401309999999998</v>
      </c>
      <c r="Q1050">
        <v>0.1033734</v>
      </c>
      <c r="R1050">
        <v>-3.5383369999999997E-2</v>
      </c>
      <c r="S1050">
        <v>3.0298769999999999</v>
      </c>
      <c r="T1050">
        <v>-0.19075909999999999</v>
      </c>
      <c r="U1050">
        <v>-0.21948239999999999</v>
      </c>
      <c r="V1050">
        <v>3.4246640000000002E-2</v>
      </c>
      <c r="W1050">
        <v>0.117713</v>
      </c>
      <c r="X1050">
        <v>0.99245700000000003</v>
      </c>
      <c r="Y1050">
        <v>7.099432E-2</v>
      </c>
      <c r="Z1050">
        <v>-2.1593390000000001E-3</v>
      </c>
      <c r="AA1050">
        <v>0.99747439999999998</v>
      </c>
      <c r="AB1050">
        <v>34</v>
      </c>
      <c r="AC1050">
        <v>16.6663999999999</v>
      </c>
      <c r="AD1050">
        <v>-1.0602500422000001</v>
      </c>
      <c r="AE1050">
        <v>-1.21980000000002</v>
      </c>
      <c r="AF1050">
        <v>1.1963003585117999</v>
      </c>
      <c r="AG1050">
        <v>-1.0602500422000001</v>
      </c>
      <c r="AH1050">
        <v>16.600930967572701</v>
      </c>
      <c r="AI1050">
        <v>93.644914576251296</v>
      </c>
      <c r="AJ1050">
        <v>85.878262315397194</v>
      </c>
      <c r="AK1050">
        <v>16.6777148821376</v>
      </c>
      <c r="AL1050">
        <v>83.239868652582103</v>
      </c>
      <c r="AM1050">
        <v>88.023682960786402</v>
      </c>
      <c r="AN1050">
        <v>1.00000003978464</v>
      </c>
    </row>
    <row r="1051" spans="1:40" x14ac:dyDescent="0.25">
      <c r="A1051" t="str">
        <f>"20190312164011180"</f>
        <v>20190312164011180</v>
      </c>
      <c r="B1051" t="str">
        <f>"1552380011177414"</f>
        <v>1552380011177414</v>
      </c>
      <c r="C1051" t="s">
        <v>40</v>
      </c>
      <c r="D1051">
        <v>5.3231060000000001</v>
      </c>
      <c r="E1051">
        <v>0.51857350000000002</v>
      </c>
      <c r="F1051" t="s">
        <v>41</v>
      </c>
      <c r="G1051">
        <v>-266.15499999999997</v>
      </c>
      <c r="H1051" s="1">
        <v>-2.1905809999999999E-6</v>
      </c>
      <c r="I1051">
        <v>366.46620000000001</v>
      </c>
      <c r="J1051">
        <v>-282.96890000000002</v>
      </c>
      <c r="K1051">
        <v>1.0602510000000001</v>
      </c>
      <c r="L1051">
        <v>367.70690000000002</v>
      </c>
      <c r="M1051">
        <v>0.99989519999999998</v>
      </c>
      <c r="N1051">
        <v>0</v>
      </c>
      <c r="O1051">
        <v>-1.066741E-3</v>
      </c>
      <c r="P1051">
        <v>0.99402579999999996</v>
      </c>
      <c r="Q1051">
        <v>0.1032156</v>
      </c>
      <c r="R1051">
        <v>-3.5489470000000002E-2</v>
      </c>
      <c r="S1051">
        <v>3.0298769999999999</v>
      </c>
      <c r="T1051">
        <v>-0.18892539999999999</v>
      </c>
      <c r="U1051">
        <v>-0.22109989999999999</v>
      </c>
      <c r="V1051">
        <v>3.4406579999999999E-2</v>
      </c>
      <c r="W1051">
        <v>0.11756709999999999</v>
      </c>
      <c r="X1051">
        <v>0.99246869999999998</v>
      </c>
      <c r="Y1051">
        <v>7.1579429999999999E-2</v>
      </c>
      <c r="Z1051">
        <v>-2.1601509999999999E-3</v>
      </c>
      <c r="AA1051">
        <v>0.9974326</v>
      </c>
      <c r="AB1051">
        <v>34</v>
      </c>
      <c r="AC1051">
        <v>16.8139</v>
      </c>
      <c r="AD1051">
        <v>-1.060253190581</v>
      </c>
      <c r="AE1051">
        <v>-1.2406999999999999</v>
      </c>
      <c r="AF1051">
        <v>1.2179446267860099</v>
      </c>
      <c r="AG1051">
        <v>-1.060253190581</v>
      </c>
      <c r="AH1051">
        <v>16.748975316094601</v>
      </c>
      <c r="AI1051">
        <v>93.612623513655905</v>
      </c>
      <c r="AJ1051">
        <v>85.840911245336898</v>
      </c>
      <c r="AK1051">
        <v>16.826636624150499</v>
      </c>
      <c r="AL1051">
        <v>83.248286139561202</v>
      </c>
      <c r="AM1051">
        <v>88.014483846473397</v>
      </c>
      <c r="AN1051">
        <v>0.99999997811469699</v>
      </c>
    </row>
    <row r="1052" spans="1:40" x14ac:dyDescent="0.25">
      <c r="A1052" t="str">
        <f>"20190312164011193"</f>
        <v>20190312164011193</v>
      </c>
      <c r="B1052" t="str">
        <f>"1552380011187175"</f>
        <v>1552380011187175</v>
      </c>
      <c r="C1052" t="s">
        <v>40</v>
      </c>
      <c r="D1052">
        <v>5.4109850000000002</v>
      </c>
      <c r="E1052">
        <v>0.51893909999999999</v>
      </c>
      <c r="F1052" t="s">
        <v>42</v>
      </c>
      <c r="G1052">
        <v>-281.964</v>
      </c>
      <c r="H1052">
        <v>0.99972689999999997</v>
      </c>
      <c r="I1052">
        <v>367.63119999999998</v>
      </c>
      <c r="J1052">
        <v>-282.7799</v>
      </c>
      <c r="K1052">
        <v>1.0602529999999999</v>
      </c>
      <c r="L1052">
        <v>367.70679999999999</v>
      </c>
      <c r="M1052">
        <v>0.99989519999999998</v>
      </c>
      <c r="N1052">
        <v>0</v>
      </c>
      <c r="O1052">
        <v>-1.0125780000000001E-3</v>
      </c>
      <c r="P1052">
        <v>0.99405379999999999</v>
      </c>
      <c r="Q1052">
        <v>0.1030069</v>
      </c>
      <c r="R1052">
        <v>-3.5313310000000001E-2</v>
      </c>
      <c r="S1052">
        <v>3.0288390000000001</v>
      </c>
      <c r="T1052">
        <v>-0.18245819999999999</v>
      </c>
      <c r="U1052">
        <v>-0.2279968</v>
      </c>
      <c r="V1052">
        <v>3.4284099999999998E-2</v>
      </c>
      <c r="W1052">
        <v>0.11736870000000001</v>
      </c>
      <c r="X1052">
        <v>0.99249639999999995</v>
      </c>
      <c r="Y1052">
        <v>7.3921669999999995E-2</v>
      </c>
      <c r="Z1052">
        <v>-2.1605190000000001E-3</v>
      </c>
      <c r="AA1052">
        <v>0.99726170000000003</v>
      </c>
      <c r="AB1052">
        <v>34</v>
      </c>
      <c r="AC1052">
        <v>0.81589999999999896</v>
      </c>
      <c r="AD1052">
        <v>-6.0526100000000103E-2</v>
      </c>
      <c r="AE1052">
        <v>-7.5600000000008494E-2</v>
      </c>
      <c r="AF1052">
        <v>7.4367938409763495E-2</v>
      </c>
      <c r="AG1052">
        <v>-6.0526100000000103E-2</v>
      </c>
      <c r="AH1052">
        <v>0.81154808540012302</v>
      </c>
      <c r="AI1052">
        <v>94.2475509101602</v>
      </c>
      <c r="AJ1052">
        <v>84.764202091803696</v>
      </c>
      <c r="AK1052">
        <v>0.81719293557955697</v>
      </c>
      <c r="AL1052">
        <v>83.259732733184407</v>
      </c>
      <c r="AM1052">
        <v>88.021601402055197</v>
      </c>
      <c r="AN1052">
        <v>0.99999995763272898</v>
      </c>
    </row>
    <row r="1053" spans="1:40" x14ac:dyDescent="0.25">
      <c r="A1053" t="str">
        <f>"20190312164011204"</f>
        <v>20190312164011204</v>
      </c>
      <c r="B1053" t="str">
        <f>"1552380011196934"</f>
        <v>1552380011196934</v>
      </c>
      <c r="C1053" t="s">
        <v>40</v>
      </c>
      <c r="D1053">
        <v>5.293793</v>
      </c>
      <c r="E1053">
        <v>0.51928189999999996</v>
      </c>
      <c r="F1053" t="s">
        <v>41</v>
      </c>
      <c r="G1053">
        <v>-264.90879999999999</v>
      </c>
      <c r="H1053" s="1">
        <v>-2.7464379999999999E-6</v>
      </c>
      <c r="I1053">
        <v>366.34649999999999</v>
      </c>
      <c r="J1053">
        <v>-282.59210000000002</v>
      </c>
      <c r="K1053">
        <v>1.0602579999999999</v>
      </c>
      <c r="L1053">
        <v>367.70659999999998</v>
      </c>
      <c r="M1053">
        <v>0.99989499999999998</v>
      </c>
      <c r="N1053">
        <v>0</v>
      </c>
      <c r="O1053">
        <v>-9.5888449999999997E-4</v>
      </c>
      <c r="P1053">
        <v>0.99407690000000004</v>
      </c>
      <c r="Q1053">
        <v>0.1028259</v>
      </c>
      <c r="R1053">
        <v>-3.5184470000000002E-2</v>
      </c>
      <c r="S1053">
        <v>3.0283199999999999</v>
      </c>
      <c r="T1053">
        <v>-0.1796632</v>
      </c>
      <c r="U1053">
        <v>-0.23049929999999999</v>
      </c>
      <c r="V1053">
        <v>3.4208990000000002E-2</v>
      </c>
      <c r="W1053">
        <v>0.1171973</v>
      </c>
      <c r="X1053">
        <v>0.99251929999999999</v>
      </c>
      <c r="Y1053">
        <v>7.4809669999999995E-2</v>
      </c>
      <c r="Z1053">
        <v>-2.1572370000000002E-3</v>
      </c>
      <c r="AA1053">
        <v>0.99719550000000001</v>
      </c>
      <c r="AB1053">
        <v>34</v>
      </c>
      <c r="AC1053">
        <v>17.683299999999999</v>
      </c>
      <c r="AD1053">
        <v>-1.0602607464379901</v>
      </c>
      <c r="AE1053">
        <v>-1.3600999999999801</v>
      </c>
      <c r="AF1053">
        <v>1.3383582592965699</v>
      </c>
      <c r="AG1053">
        <v>-1.0602607464379901</v>
      </c>
      <c r="AH1053">
        <v>17.621619048038198</v>
      </c>
      <c r="AI1053">
        <v>93.4333672321047</v>
      </c>
      <c r="AJ1053">
        <v>85.656735978427093</v>
      </c>
      <c r="AK1053">
        <v>17.704146789801701</v>
      </c>
      <c r="AL1053">
        <v>83.269621841271203</v>
      </c>
      <c r="AM1053">
        <v>88.025977778219399</v>
      </c>
      <c r="AN1053">
        <v>1.0000000114983001</v>
      </c>
    </row>
    <row r="1054" spans="1:40" x14ac:dyDescent="0.25">
      <c r="A1054" t="str">
        <f>"20190312164011221"</f>
        <v>20190312164011221</v>
      </c>
      <c r="B1054" t="str">
        <f>"1552380011217430"</f>
        <v>1552380011217430</v>
      </c>
      <c r="C1054" t="s">
        <v>40</v>
      </c>
      <c r="D1054">
        <v>5.3809079999999998</v>
      </c>
      <c r="E1054">
        <v>0.51956340000000001</v>
      </c>
      <c r="F1054" t="s">
        <v>41</v>
      </c>
      <c r="G1054">
        <v>-264.49939999999998</v>
      </c>
      <c r="H1054" s="1">
        <v>-2.9278039999999998E-6</v>
      </c>
      <c r="I1054">
        <v>366.3141</v>
      </c>
      <c r="J1054">
        <v>-282.34840000000003</v>
      </c>
      <c r="K1054">
        <v>1.060263</v>
      </c>
      <c r="L1054">
        <v>367.70650000000001</v>
      </c>
      <c r="M1054">
        <v>0.99989490000000003</v>
      </c>
      <c r="N1054">
        <v>0</v>
      </c>
      <c r="O1054">
        <v>-8.8934859999999997E-4</v>
      </c>
      <c r="P1054">
        <v>0.99413549999999995</v>
      </c>
      <c r="Q1054">
        <v>0.1022791</v>
      </c>
      <c r="R1054">
        <v>-3.5121310000000003E-2</v>
      </c>
      <c r="S1054">
        <v>3.0279850000000001</v>
      </c>
      <c r="T1054">
        <v>-0.17744409999999999</v>
      </c>
      <c r="U1054">
        <v>-0.23303219999999999</v>
      </c>
      <c r="V1054">
        <v>3.4215040000000002E-2</v>
      </c>
      <c r="W1054">
        <v>0.11666260000000001</v>
      </c>
      <c r="X1054">
        <v>0.99258210000000002</v>
      </c>
      <c r="Y1054">
        <v>7.5718160000000007E-2</v>
      </c>
      <c r="Z1054">
        <v>-2.1614289999999999E-3</v>
      </c>
      <c r="AA1054">
        <v>0.99712690000000004</v>
      </c>
      <c r="AB1054">
        <v>34</v>
      </c>
      <c r="AC1054">
        <v>17.849</v>
      </c>
      <c r="AD1054">
        <v>-1.0602659278040001</v>
      </c>
      <c r="AE1054">
        <v>-1.3924000000000001</v>
      </c>
      <c r="AF1054">
        <v>1.3717128617379899</v>
      </c>
      <c r="AG1054">
        <v>-1.0602659278040001</v>
      </c>
      <c r="AH1054">
        <v>17.7878449513906</v>
      </c>
      <c r="AI1054">
        <v>93.401074090186896</v>
      </c>
      <c r="AJ1054">
        <v>85.590352866812594</v>
      </c>
      <c r="AK1054">
        <v>17.872134400441201</v>
      </c>
      <c r="AL1054">
        <v>83.3004696170388</v>
      </c>
      <c r="AM1054">
        <v>88.025753758852503</v>
      </c>
      <c r="AN1054">
        <v>1.00000002822068</v>
      </c>
    </row>
    <row r="1055" spans="1:40" x14ac:dyDescent="0.25">
      <c r="A1055" t="str">
        <f>"20190312164011233"</f>
        <v>20190312164011233</v>
      </c>
      <c r="B1055" t="str">
        <f>"1552380011227190"</f>
        <v>1552380011227190</v>
      </c>
      <c r="C1055" t="s">
        <v>40</v>
      </c>
      <c r="D1055">
        <v>5.3191639999999998</v>
      </c>
      <c r="E1055">
        <v>0.51973019999999903</v>
      </c>
      <c r="F1055" t="s">
        <v>42</v>
      </c>
      <c r="G1055">
        <v>-281.35590000000002</v>
      </c>
      <c r="H1055">
        <v>1.0001469999999999</v>
      </c>
      <c r="I1055">
        <v>367.62950000000001</v>
      </c>
      <c r="J1055">
        <v>-282.17070000000001</v>
      </c>
      <c r="K1055">
        <v>1.060263</v>
      </c>
      <c r="L1055">
        <v>367.70639999999997</v>
      </c>
      <c r="M1055">
        <v>0.99989479999999997</v>
      </c>
      <c r="N1055">
        <v>0</v>
      </c>
      <c r="O1055">
        <v>-8.3826369999999905E-4</v>
      </c>
      <c r="P1055">
        <v>0.99416550000000004</v>
      </c>
      <c r="Q1055">
        <v>0.10203189999999999</v>
      </c>
      <c r="R1055">
        <v>-3.4992450000000001E-2</v>
      </c>
      <c r="S1055">
        <v>3.0282589999999998</v>
      </c>
      <c r="T1055">
        <v>-0.1833632</v>
      </c>
      <c r="U1055">
        <v>-0.23519899999999999</v>
      </c>
      <c r="V1055">
        <v>3.413675E-2</v>
      </c>
      <c r="W1055">
        <v>0.116423</v>
      </c>
      <c r="X1055">
        <v>0.99261290000000002</v>
      </c>
      <c r="Y1055">
        <v>7.6461310000000005E-2</v>
      </c>
      <c r="Z1055">
        <v>-2.2586669999999998E-3</v>
      </c>
      <c r="AA1055">
        <v>0.99707000000000001</v>
      </c>
      <c r="AB1055">
        <v>34</v>
      </c>
      <c r="AC1055">
        <v>0.81479999999999098</v>
      </c>
      <c r="AD1055">
        <v>-6.0116000000000003E-2</v>
      </c>
      <c r="AE1055">
        <v>-7.6899999999966398E-2</v>
      </c>
      <c r="AF1055">
        <v>7.5807867350045299E-2</v>
      </c>
      <c r="AG1055">
        <v>-6.0116000000000003E-2</v>
      </c>
      <c r="AH1055">
        <v>0.81049122673435603</v>
      </c>
      <c r="AI1055">
        <v>94.223624350199799</v>
      </c>
      <c r="AJ1055">
        <v>84.656486649670697</v>
      </c>
      <c r="AK1055">
        <v>0.81624554811743</v>
      </c>
      <c r="AL1055">
        <v>83.314291691637095</v>
      </c>
      <c r="AM1055">
        <v>88.030328688336596</v>
      </c>
      <c r="AN1055">
        <v>1.0000000009379799</v>
      </c>
    </row>
    <row r="1056" spans="1:40" x14ac:dyDescent="0.25">
      <c r="A1056" t="str">
        <f>"20190312164011243"</f>
        <v>20190312164011243</v>
      </c>
      <c r="B1056" t="str">
        <f>"1552380011236952"</f>
        <v>1552380011236952</v>
      </c>
      <c r="C1056" t="s">
        <v>40</v>
      </c>
      <c r="D1056">
        <v>5.3188610000000001</v>
      </c>
      <c r="E1056">
        <v>0.51986809999999894</v>
      </c>
      <c r="F1056" t="s">
        <v>41</v>
      </c>
      <c r="G1056">
        <v>-264.68</v>
      </c>
      <c r="H1056" s="1">
        <v>-2.8450700000000001E-6</v>
      </c>
      <c r="I1056">
        <v>366.34370000000001</v>
      </c>
      <c r="J1056">
        <v>-282.00040000000001</v>
      </c>
      <c r="K1056">
        <v>1.0602640000000001</v>
      </c>
      <c r="L1056">
        <v>367.7063</v>
      </c>
      <c r="M1056">
        <v>0.99989490000000003</v>
      </c>
      <c r="N1056">
        <v>0</v>
      </c>
      <c r="O1056">
        <v>-7.8943769999999995E-4</v>
      </c>
      <c r="P1056">
        <v>0.99417100000000003</v>
      </c>
      <c r="Q1056">
        <v>0.1020549</v>
      </c>
      <c r="R1056">
        <v>-3.4771620000000003E-2</v>
      </c>
      <c r="S1056">
        <v>3.0281370000000001</v>
      </c>
      <c r="T1056">
        <v>-0.1835619</v>
      </c>
      <c r="U1056">
        <v>-0.2359009</v>
      </c>
      <c r="V1056">
        <v>3.3964679999999997E-2</v>
      </c>
      <c r="W1056">
        <v>0.1164519</v>
      </c>
      <c r="X1056">
        <v>0.99261540000000004</v>
      </c>
      <c r="Y1056">
        <v>7.6741909999999997E-2</v>
      </c>
      <c r="Z1056">
        <v>-2.2726180000000001E-3</v>
      </c>
      <c r="AA1056">
        <v>0.99704839999999995</v>
      </c>
      <c r="AB1056">
        <v>34</v>
      </c>
      <c r="AC1056">
        <v>17.320399999999999</v>
      </c>
      <c r="AD1056">
        <v>-1.0602668450699999</v>
      </c>
      <c r="AE1056">
        <v>-1.36259999999998</v>
      </c>
      <c r="AF1056">
        <v>1.34391971717738</v>
      </c>
      <c r="AG1056">
        <v>-1.0602668450699999</v>
      </c>
      <c r="AH1056">
        <v>17.257200844312798</v>
      </c>
      <c r="AI1056">
        <v>93.505195430206797</v>
      </c>
      <c r="AJ1056">
        <v>85.547028097382906</v>
      </c>
      <c r="AK1056">
        <v>17.3418934078699</v>
      </c>
      <c r="AL1056">
        <v>83.312624419273405</v>
      </c>
      <c r="AM1056">
        <v>88.040254201362899</v>
      </c>
      <c r="AN1056">
        <v>0.99999998840913595</v>
      </c>
    </row>
    <row r="1057" spans="1:40" x14ac:dyDescent="0.25">
      <c r="A1057" t="str">
        <f>"20190312164011254"</f>
        <v>20190312164011254</v>
      </c>
      <c r="B1057" t="str">
        <f>"1552380011246710"</f>
        <v>1552380011246710</v>
      </c>
      <c r="C1057" t="s">
        <v>40</v>
      </c>
      <c r="D1057">
        <v>5.3623570000000003</v>
      </c>
      <c r="E1057">
        <v>0.51996759999999997</v>
      </c>
      <c r="F1057" t="s">
        <v>42</v>
      </c>
      <c r="G1057">
        <v>-281.05029999999999</v>
      </c>
      <c r="H1057">
        <v>1.002829</v>
      </c>
      <c r="I1057">
        <v>367.63200000000001</v>
      </c>
      <c r="J1057">
        <v>-281.83600000000001</v>
      </c>
      <c r="K1057">
        <v>1.0602659999999999</v>
      </c>
      <c r="L1057">
        <v>367.70620000000002</v>
      </c>
      <c r="M1057">
        <v>0.99989479999999997</v>
      </c>
      <c r="N1057">
        <v>0</v>
      </c>
      <c r="O1057">
        <v>-7.4227570000000005E-4</v>
      </c>
      <c r="P1057">
        <v>0.99418799999999996</v>
      </c>
      <c r="Q1057">
        <v>0.10187300000000001</v>
      </c>
      <c r="R1057">
        <v>-3.4820810000000001E-2</v>
      </c>
      <c r="S1057">
        <v>3.0281370000000001</v>
      </c>
      <c r="T1057">
        <v>-0.1832461</v>
      </c>
      <c r="U1057">
        <v>-0.23626710000000001</v>
      </c>
      <c r="V1057">
        <v>3.4060699999999999E-2</v>
      </c>
      <c r="W1057">
        <v>0.1162757</v>
      </c>
      <c r="X1057">
        <v>0.99263279999999998</v>
      </c>
      <c r="Y1057">
        <v>7.6908889999999994E-2</v>
      </c>
      <c r="Z1057">
        <v>-2.276592E-3</v>
      </c>
      <c r="AA1057">
        <v>0.99703549999999996</v>
      </c>
      <c r="AB1057">
        <v>34</v>
      </c>
      <c r="AC1057">
        <v>0.78570000000001905</v>
      </c>
      <c r="AD1057">
        <v>-5.7436999999999697E-2</v>
      </c>
      <c r="AE1057">
        <v>-7.4200000000075705E-2</v>
      </c>
      <c r="AF1057">
        <v>7.3228833577777097E-2</v>
      </c>
      <c r="AG1057">
        <v>-5.7436999999999697E-2</v>
      </c>
      <c r="AH1057">
        <v>0.78161480590520904</v>
      </c>
      <c r="AI1057">
        <v>94.184568982907393</v>
      </c>
      <c r="AJ1057">
        <v>84.647630556180602</v>
      </c>
      <c r="AK1057">
        <v>0.78713605929750097</v>
      </c>
      <c r="AL1057">
        <v>83.322789216916505</v>
      </c>
      <c r="AM1057">
        <v>88.034752654387901</v>
      </c>
      <c r="AN1057">
        <v>1.0000000226654</v>
      </c>
    </row>
    <row r="1058" spans="1:40" x14ac:dyDescent="0.25">
      <c r="A1058" t="str">
        <f>"20190312164011266"</f>
        <v>20190312164011266</v>
      </c>
      <c r="B1058" t="str">
        <f>"1552380011257446"</f>
        <v>1552380011257446</v>
      </c>
      <c r="C1058" t="s">
        <v>40</v>
      </c>
      <c r="D1058">
        <v>5.3468600000000004</v>
      </c>
      <c r="E1058">
        <v>0.5200437</v>
      </c>
      <c r="F1058" t="s">
        <v>41</v>
      </c>
      <c r="G1058">
        <v>-264.49430000000001</v>
      </c>
      <c r="H1058" s="1">
        <v>-2.9240010000000001E-6</v>
      </c>
      <c r="I1058">
        <v>366.34800000000001</v>
      </c>
      <c r="J1058">
        <v>-281.65949999999998</v>
      </c>
      <c r="K1058">
        <v>1.06026</v>
      </c>
      <c r="L1058">
        <v>367.70609999999999</v>
      </c>
      <c r="M1058">
        <v>0.99989479999999997</v>
      </c>
      <c r="N1058">
        <v>0</v>
      </c>
      <c r="O1058">
        <v>-6.9129869999999896E-4</v>
      </c>
      <c r="P1058">
        <v>0.99423320000000004</v>
      </c>
      <c r="Q1058">
        <v>0.1015141</v>
      </c>
      <c r="R1058">
        <v>-3.4581639999999997E-2</v>
      </c>
      <c r="S1058">
        <v>3.0282290000000001</v>
      </c>
      <c r="T1058">
        <v>-0.1851447</v>
      </c>
      <c r="U1058">
        <v>-0.2371521</v>
      </c>
      <c r="V1058">
        <v>3.3872319999999997E-2</v>
      </c>
      <c r="W1058">
        <v>0.11592239999999999</v>
      </c>
      <c r="X1058">
        <v>0.99268049999999997</v>
      </c>
      <c r="Y1058">
        <v>7.7243400000000004E-2</v>
      </c>
      <c r="Z1058">
        <v>-2.3133509999999999E-3</v>
      </c>
      <c r="AA1058">
        <v>0.99700960000000005</v>
      </c>
      <c r="AB1058">
        <v>34</v>
      </c>
      <c r="AC1058">
        <v>17.165199999999899</v>
      </c>
      <c r="AD1058">
        <v>-1.060262924001</v>
      </c>
      <c r="AE1058">
        <v>-1.3580999999999701</v>
      </c>
      <c r="AF1058">
        <v>1.34114709415371</v>
      </c>
      <c r="AG1058">
        <v>-1.060262924001</v>
      </c>
      <c r="AH1058">
        <v>17.101294068510398</v>
      </c>
      <c r="AI1058">
        <v>93.536907184754298</v>
      </c>
      <c r="AJ1058">
        <v>85.515829780493704</v>
      </c>
      <c r="AK1058">
        <v>17.186538098577</v>
      </c>
      <c r="AL1058">
        <v>83.343169189270895</v>
      </c>
      <c r="AM1058">
        <v>88.045707262234203</v>
      </c>
      <c r="AN1058">
        <v>0.99999995598209501</v>
      </c>
    </row>
    <row r="1059" spans="1:40" x14ac:dyDescent="0.25">
      <c r="A1059" t="str">
        <f>"20190312164011279"</f>
        <v>20190312164011279</v>
      </c>
      <c r="B1059" t="str">
        <f>"1552380011266737"</f>
        <v>1552380011266737</v>
      </c>
      <c r="C1059" t="s">
        <v>40</v>
      </c>
      <c r="D1059">
        <v>5.436661</v>
      </c>
      <c r="E1059">
        <v>0.52026139999999998</v>
      </c>
      <c r="F1059" t="s">
        <v>41</v>
      </c>
      <c r="G1059">
        <v>-264.43389999999999</v>
      </c>
      <c r="H1059" s="1">
        <v>-2.9478840000000002E-6</v>
      </c>
      <c r="I1059">
        <v>366.35930000000002</v>
      </c>
      <c r="J1059">
        <v>-281.47680000000003</v>
      </c>
      <c r="K1059">
        <v>1.0602609999999999</v>
      </c>
      <c r="L1059">
        <v>367.70600000000002</v>
      </c>
      <c r="M1059">
        <v>0.99989470000000003</v>
      </c>
      <c r="N1059">
        <v>0</v>
      </c>
      <c r="O1059">
        <v>-6.3865220000000004E-4</v>
      </c>
      <c r="P1059">
        <v>0.99423150000000005</v>
      </c>
      <c r="Q1059">
        <v>0.101536399999999</v>
      </c>
      <c r="R1059">
        <v>-3.4554429999999997E-2</v>
      </c>
      <c r="S1059">
        <v>3.0281980000000002</v>
      </c>
      <c r="T1059">
        <v>-0.1863899</v>
      </c>
      <c r="U1059">
        <v>-0.2367554</v>
      </c>
      <c r="V1059">
        <v>3.3897940000000001E-2</v>
      </c>
      <c r="W1059">
        <v>0.11594939999999999</v>
      </c>
      <c r="X1059">
        <v>0.99267649999999996</v>
      </c>
      <c r="Y1059">
        <v>7.7164979999999994E-2</v>
      </c>
      <c r="Z1059">
        <v>-2.3297410000000002E-3</v>
      </c>
      <c r="AA1059">
        <v>0.9970156</v>
      </c>
      <c r="AB1059">
        <v>34</v>
      </c>
      <c r="AC1059">
        <v>17.042899999999999</v>
      </c>
      <c r="AD1059">
        <v>-1.0602639478839999</v>
      </c>
      <c r="AE1059">
        <v>-1.3466999999999401</v>
      </c>
      <c r="AF1059">
        <v>1.33069590379512</v>
      </c>
      <c r="AG1059">
        <v>-1.0602639478839999</v>
      </c>
      <c r="AH1059">
        <v>16.9784532756651</v>
      </c>
      <c r="AI1059">
        <v>93.562448157638102</v>
      </c>
      <c r="AJ1059">
        <v>85.5185718729429</v>
      </c>
      <c r="AK1059">
        <v>17.063492809548201</v>
      </c>
      <c r="AL1059">
        <v>83.341611885758198</v>
      </c>
      <c r="AM1059">
        <v>88.044222367060499</v>
      </c>
      <c r="AN1059">
        <v>0.999999983674426</v>
      </c>
    </row>
    <row r="1060" spans="1:40" x14ac:dyDescent="0.25">
      <c r="A1060" t="str">
        <f>"20190312164011292"</f>
        <v>20190312164011292</v>
      </c>
      <c r="B1060" t="str">
        <f>"1552380011287233"</f>
        <v>1552380011287233</v>
      </c>
      <c r="C1060" t="s">
        <v>40</v>
      </c>
      <c r="D1060">
        <v>6.5973519999999999</v>
      </c>
      <c r="E1060">
        <v>0.52058819999999995</v>
      </c>
      <c r="F1060" t="s">
        <v>42</v>
      </c>
      <c r="G1060">
        <v>-280.44929999999999</v>
      </c>
      <c r="H1060">
        <v>0.99739529999999998</v>
      </c>
      <c r="I1060">
        <v>367.62479999999999</v>
      </c>
      <c r="J1060">
        <v>-281.27510000000001</v>
      </c>
      <c r="K1060">
        <v>1.060262</v>
      </c>
      <c r="L1060">
        <v>367.70600000000002</v>
      </c>
      <c r="M1060">
        <v>0.99989470000000003</v>
      </c>
      <c r="N1060">
        <v>0</v>
      </c>
      <c r="O1060">
        <v>-5.807516E-4</v>
      </c>
      <c r="P1060">
        <v>0.99426289999999995</v>
      </c>
      <c r="Q1060">
        <v>0.1013495</v>
      </c>
      <c r="R1060">
        <v>-3.4206899999999998E-2</v>
      </c>
      <c r="S1060">
        <v>3.0280459999999998</v>
      </c>
      <c r="T1060">
        <v>-0.18548010000000001</v>
      </c>
      <c r="U1060">
        <v>-0.2387695</v>
      </c>
      <c r="V1060">
        <v>3.3607440000000002E-2</v>
      </c>
      <c r="W1060">
        <v>0.1157675</v>
      </c>
      <c r="X1060">
        <v>0.99270760000000002</v>
      </c>
      <c r="Y1060">
        <v>7.7885659999999995E-2</v>
      </c>
      <c r="Z1060">
        <v>-2.344002E-3</v>
      </c>
      <c r="AA1060">
        <v>0.99695959999999995</v>
      </c>
      <c r="AB1060">
        <v>34</v>
      </c>
      <c r="AC1060">
        <v>0.82580000000001497</v>
      </c>
      <c r="AD1060">
        <v>-6.28666999999999E-2</v>
      </c>
      <c r="AE1060">
        <v>-8.1199999999967007E-2</v>
      </c>
      <c r="AF1060">
        <v>8.0259659868530106E-2</v>
      </c>
      <c r="AG1060">
        <v>-6.28666999999999E-2</v>
      </c>
      <c r="AH1060">
        <v>0.82113370610320502</v>
      </c>
      <c r="AI1060">
        <v>94.357388828237006</v>
      </c>
      <c r="AJ1060">
        <v>84.417499953093198</v>
      </c>
      <c r="AK1060">
        <v>0.82743845588048903</v>
      </c>
      <c r="AL1060">
        <v>83.352104601975597</v>
      </c>
      <c r="AM1060">
        <v>88.0610309236029</v>
      </c>
      <c r="AN1060">
        <v>0.99999997658868101</v>
      </c>
    </row>
    <row r="1061" spans="1:40" x14ac:dyDescent="0.25">
      <c r="A1061" t="str">
        <f>"20190312164011311"</f>
        <v>20190312164011311</v>
      </c>
      <c r="B1061" t="str">
        <f>"1552380011306753"</f>
        <v>1552380011306753</v>
      </c>
      <c r="C1061" t="s">
        <v>40</v>
      </c>
      <c r="D1061">
        <v>5.4323739999999896</v>
      </c>
      <c r="E1061">
        <v>0.52084390000000003</v>
      </c>
      <c r="F1061" t="s">
        <v>41</v>
      </c>
      <c r="G1061">
        <v>-263.86489999999998</v>
      </c>
      <c r="H1061" s="1">
        <v>-3.198769E-6</v>
      </c>
      <c r="I1061">
        <v>366.32119999999998</v>
      </c>
      <c r="J1061">
        <v>-280.98669999999998</v>
      </c>
      <c r="K1061">
        <v>1.060422</v>
      </c>
      <c r="L1061">
        <v>367.70589999999999</v>
      </c>
      <c r="M1061">
        <v>0.99988589999999999</v>
      </c>
      <c r="N1061">
        <v>0</v>
      </c>
      <c r="O1061">
        <v>-5.0612910000000005E-4</v>
      </c>
      <c r="P1061">
        <v>0.99433369999999999</v>
      </c>
      <c r="Q1061">
        <v>0.10066319999999999</v>
      </c>
      <c r="R1061">
        <v>-3.4167799999999998E-2</v>
      </c>
      <c r="S1061">
        <v>3.0278320000000001</v>
      </c>
      <c r="T1061">
        <v>-0.18439069999999999</v>
      </c>
      <c r="U1061">
        <v>-0.24081420000000001</v>
      </c>
      <c r="V1061">
        <v>3.364375E-2</v>
      </c>
      <c r="W1061">
        <v>0.1156737</v>
      </c>
      <c r="X1061">
        <v>0.99271730000000002</v>
      </c>
      <c r="Y1061">
        <v>7.8634750000000003E-2</v>
      </c>
      <c r="Z1061">
        <v>-2.357647E-3</v>
      </c>
      <c r="AA1061">
        <v>0.99690069999999997</v>
      </c>
      <c r="AB1061">
        <v>34</v>
      </c>
      <c r="AC1061">
        <v>17.1218</v>
      </c>
      <c r="AD1061">
        <v>-1.0604251987690001</v>
      </c>
      <c r="AE1061">
        <v>-1.3847</v>
      </c>
      <c r="AF1061">
        <v>1.3708089486509101</v>
      </c>
      <c r="AG1061">
        <v>-1.0604251987690001</v>
      </c>
      <c r="AH1061">
        <v>17.057493957136899</v>
      </c>
      <c r="AI1061">
        <v>93.545965931045799</v>
      </c>
      <c r="AJ1061">
        <v>85.405354621296695</v>
      </c>
      <c r="AK1061">
        <v>17.1453118628285</v>
      </c>
      <c r="AL1061">
        <v>83.357515267394504</v>
      </c>
      <c r="AM1061">
        <v>88.0589565848897</v>
      </c>
      <c r="AN1061">
        <v>0.99999997225252102</v>
      </c>
    </row>
    <row r="1062" spans="1:40" x14ac:dyDescent="0.25">
      <c r="A1062" t="str">
        <f>"20190312164011324"</f>
        <v>20190312164011324</v>
      </c>
      <c r="B1062" t="str">
        <f>"1552380011317489"</f>
        <v>1552380011317489</v>
      </c>
      <c r="C1062" t="s">
        <v>40</v>
      </c>
      <c r="D1062">
        <v>5.3795529999999996</v>
      </c>
      <c r="E1062">
        <v>0.52101739999999996</v>
      </c>
      <c r="F1062" t="s">
        <v>41</v>
      </c>
      <c r="G1062">
        <v>-263.37329999999997</v>
      </c>
      <c r="H1062" s="1">
        <v>-3.4147830000000001E-6</v>
      </c>
      <c r="I1062">
        <v>366.29219999999998</v>
      </c>
      <c r="J1062">
        <v>-280.80020000000002</v>
      </c>
      <c r="K1062">
        <v>1.0606739999999999</v>
      </c>
      <c r="L1062">
        <v>367.70580000000001</v>
      </c>
      <c r="M1062">
        <v>0.99987630000000005</v>
      </c>
      <c r="N1062">
        <v>0</v>
      </c>
      <c r="O1062">
        <v>-4.6092859999999998E-4</v>
      </c>
      <c r="P1062">
        <v>0.99437220000000004</v>
      </c>
      <c r="Q1062">
        <v>0.1002755</v>
      </c>
      <c r="R1062">
        <v>-3.4190230000000002E-2</v>
      </c>
      <c r="S1062">
        <v>3.0272220000000001</v>
      </c>
      <c r="T1062">
        <v>-0.1822551</v>
      </c>
      <c r="U1062">
        <v>-0.24295040000000001</v>
      </c>
      <c r="V1062">
        <v>3.3711949999999997E-2</v>
      </c>
      <c r="W1062">
        <v>0.115912</v>
      </c>
      <c r="X1062">
        <v>0.99268719999999999</v>
      </c>
      <c r="Y1062">
        <v>7.9396519999999998E-2</v>
      </c>
      <c r="Z1062">
        <v>-2.3563820000000002E-3</v>
      </c>
      <c r="AA1062">
        <v>0.99684039999999996</v>
      </c>
      <c r="AB1062">
        <v>34</v>
      </c>
      <c r="AC1062">
        <v>17.4269</v>
      </c>
      <c r="AD1062">
        <v>-1.06067741478299</v>
      </c>
      <c r="AE1062">
        <v>-1.4136000000000299</v>
      </c>
      <c r="AF1062">
        <v>1.4004124225935699</v>
      </c>
      <c r="AG1062">
        <v>-1.06067741478299</v>
      </c>
      <c r="AH1062">
        <v>17.363647112845999</v>
      </c>
      <c r="AI1062">
        <v>93.484345805676</v>
      </c>
      <c r="AJ1062">
        <v>85.388962840977101</v>
      </c>
      <c r="AK1062">
        <v>17.452290181836599</v>
      </c>
      <c r="AL1062">
        <v>83.343769284709197</v>
      </c>
      <c r="AM1062">
        <v>88.054965941566195</v>
      </c>
      <c r="AN1062">
        <v>0.99999998218032105</v>
      </c>
    </row>
    <row r="1063" spans="1:40" x14ac:dyDescent="0.25">
      <c r="A1063" t="str">
        <f>"20190312164011344"</f>
        <v>20190312164011344</v>
      </c>
      <c r="B1063" t="str">
        <f>"1552380011337008"</f>
        <v>1552380011337008</v>
      </c>
      <c r="C1063" t="s">
        <v>40</v>
      </c>
      <c r="D1063">
        <v>6.028842</v>
      </c>
      <c r="E1063">
        <v>0.52100349999999995</v>
      </c>
      <c r="F1063" t="s">
        <v>41</v>
      </c>
      <c r="G1063">
        <v>-263.08749999999998</v>
      </c>
      <c r="H1063" s="1">
        <v>-3.5403389999999998E-6</v>
      </c>
      <c r="I1063">
        <v>366.27569999999997</v>
      </c>
      <c r="J1063">
        <v>-280.48820000000001</v>
      </c>
      <c r="K1063">
        <v>1.06132</v>
      </c>
      <c r="L1063">
        <v>367.70569999999998</v>
      </c>
      <c r="M1063">
        <v>0.99986319999999995</v>
      </c>
      <c r="N1063">
        <v>0</v>
      </c>
      <c r="O1063">
        <v>-3.8376030000000002E-4</v>
      </c>
      <c r="P1063">
        <v>0.9944096</v>
      </c>
      <c r="Q1063">
        <v>9.9798899999999996E-2</v>
      </c>
      <c r="R1063">
        <v>-3.4492309999999998E-2</v>
      </c>
      <c r="S1063">
        <v>3.0268549999999999</v>
      </c>
      <c r="T1063">
        <v>-0.1812539</v>
      </c>
      <c r="U1063">
        <v>-0.24438480000000001</v>
      </c>
      <c r="V1063">
        <v>3.4091860000000002E-2</v>
      </c>
      <c r="W1063">
        <v>0.1162364</v>
      </c>
      <c r="X1063">
        <v>0.99263630000000003</v>
      </c>
      <c r="Y1063">
        <v>7.9952780000000001E-2</v>
      </c>
      <c r="Z1063">
        <v>-2.3649209999999999E-3</v>
      </c>
      <c r="AA1063">
        <v>0.99679580000000001</v>
      </c>
      <c r="AB1063">
        <v>33</v>
      </c>
      <c r="AC1063">
        <v>17.400700000000001</v>
      </c>
      <c r="AD1063">
        <v>-1.061323540339</v>
      </c>
      <c r="AE1063">
        <v>-1.43</v>
      </c>
      <c r="AF1063">
        <v>1.4180811781339799</v>
      </c>
      <c r="AG1063">
        <v>-1.061323540339</v>
      </c>
      <c r="AH1063">
        <v>17.3371830653487</v>
      </c>
      <c r="AI1063">
        <v>93.491450783658095</v>
      </c>
      <c r="AJ1063">
        <v>85.323946541543407</v>
      </c>
      <c r="AK1063">
        <v>17.427428913252498</v>
      </c>
      <c r="AL1063">
        <v>83.325056093454293</v>
      </c>
      <c r="AM1063">
        <v>88.032963114753201</v>
      </c>
      <c r="AN1063">
        <v>0.99999998984045402</v>
      </c>
    </row>
    <row r="1064" spans="1:40" x14ac:dyDescent="0.25">
      <c r="A1064" t="str">
        <f>"20190312164011355"</f>
        <v>20190312164011355</v>
      </c>
      <c r="B1064" t="str">
        <f>"1552380011346769"</f>
        <v>1552380011346769</v>
      </c>
      <c r="C1064" t="s">
        <v>40</v>
      </c>
      <c r="D1064">
        <v>5.5733280000000001</v>
      </c>
      <c r="E1064">
        <v>0.52076610000000001</v>
      </c>
      <c r="F1064" t="s">
        <v>41</v>
      </c>
      <c r="G1064">
        <v>-262.72489999999999</v>
      </c>
      <c r="H1064" s="1">
        <v>-3.697786E-6</v>
      </c>
      <c r="I1064">
        <v>366.26490000000001</v>
      </c>
      <c r="J1064">
        <v>-280.32310000000001</v>
      </c>
      <c r="K1064">
        <v>1.061688</v>
      </c>
      <c r="L1064">
        <v>367.70569999999998</v>
      </c>
      <c r="M1064">
        <v>0.99986330000000001</v>
      </c>
      <c r="N1064">
        <v>0</v>
      </c>
      <c r="O1064">
        <v>-3.4048329999999998E-4</v>
      </c>
      <c r="P1064">
        <v>0.99439250000000001</v>
      </c>
      <c r="Q1064">
        <v>0.1000176</v>
      </c>
      <c r="R1064">
        <v>-3.435825E-2</v>
      </c>
      <c r="S1064">
        <v>3.0264890000000002</v>
      </c>
      <c r="T1064">
        <v>-0.18082709999999999</v>
      </c>
      <c r="U1064">
        <v>-0.24548339999999999</v>
      </c>
      <c r="V1064">
        <v>3.4000460000000003E-2</v>
      </c>
      <c r="W1064">
        <v>0.11645610000000001</v>
      </c>
      <c r="X1064">
        <v>0.99261370000000004</v>
      </c>
      <c r="Y1064">
        <v>8.0364889999999994E-2</v>
      </c>
      <c r="Z1064">
        <v>-2.3744719999999999E-3</v>
      </c>
      <c r="AA1064">
        <v>0.9967627</v>
      </c>
      <c r="AB1064">
        <v>33</v>
      </c>
      <c r="AC1064">
        <v>17.598199999999999</v>
      </c>
      <c r="AD1064">
        <v>-1.061691697786</v>
      </c>
      <c r="AE1064">
        <v>-1.4407999999999599</v>
      </c>
      <c r="AF1064">
        <v>1.42963845837045</v>
      </c>
      <c r="AG1064">
        <v>-1.061691697786</v>
      </c>
      <c r="AH1064">
        <v>17.535292137853599</v>
      </c>
      <c r="AI1064">
        <v>93.453369877954202</v>
      </c>
      <c r="AJ1064">
        <v>85.339029478525305</v>
      </c>
      <c r="AK1064">
        <v>17.625479447171699</v>
      </c>
      <c r="AL1064">
        <v>83.312382246431</v>
      </c>
      <c r="AM1064">
        <v>88.038187967551195</v>
      </c>
      <c r="AN1064">
        <v>1.00000000596755</v>
      </c>
    </row>
    <row r="1065" spans="1:40" x14ac:dyDescent="0.25">
      <c r="A1065" t="str">
        <f>"20190312164011377"</f>
        <v>20190312164011377</v>
      </c>
      <c r="B1065" t="str">
        <f>"1552380011366795"</f>
        <v>1552380011366795</v>
      </c>
      <c r="C1065" t="s">
        <v>40</v>
      </c>
      <c r="D1065">
        <v>5.3745209999999997</v>
      </c>
      <c r="E1065">
        <v>0.52030080000000001</v>
      </c>
      <c r="F1065" t="s">
        <v>41</v>
      </c>
      <c r="G1065">
        <v>-262.62130000000002</v>
      </c>
      <c r="H1065" s="1">
        <v>-3.7388230000000001E-6</v>
      </c>
      <c r="I1065">
        <v>366.28410000000002</v>
      </c>
      <c r="J1065">
        <v>-280.0052</v>
      </c>
      <c r="K1065">
        <v>1.062352</v>
      </c>
      <c r="L1065">
        <v>367.70569999999998</v>
      </c>
      <c r="M1065">
        <v>0.99988719999999998</v>
      </c>
      <c r="N1065">
        <v>0</v>
      </c>
      <c r="O1065">
        <v>-2.5548660000000001E-4</v>
      </c>
      <c r="P1065">
        <v>0.9942339</v>
      </c>
      <c r="Q1065">
        <v>0.1016344</v>
      </c>
      <c r="R1065">
        <v>-3.4194790000000003E-2</v>
      </c>
      <c r="S1065">
        <v>3.0267330000000001</v>
      </c>
      <c r="T1065">
        <v>-0.1815329</v>
      </c>
      <c r="U1065">
        <v>-0.2430725</v>
      </c>
      <c r="V1065">
        <v>3.3920350000000002E-2</v>
      </c>
      <c r="W1065">
        <v>0.1165646</v>
      </c>
      <c r="X1065">
        <v>0.99260369999999998</v>
      </c>
      <c r="Y1065">
        <v>7.9654340000000004E-2</v>
      </c>
      <c r="Z1065">
        <v>-2.3674379999999999E-3</v>
      </c>
      <c r="AA1065">
        <v>0.99681969999999998</v>
      </c>
      <c r="AB1065">
        <v>33</v>
      </c>
      <c r="AC1065">
        <v>17.383899999999901</v>
      </c>
      <c r="AD1065">
        <v>-1.0623557388230001</v>
      </c>
      <c r="AE1065">
        <v>-1.42159999999995</v>
      </c>
      <c r="AF1065">
        <v>1.4119201535109001</v>
      </c>
      <c r="AG1065">
        <v>-1.0623557388230001</v>
      </c>
      <c r="AH1065">
        <v>17.320008851708401</v>
      </c>
      <c r="AI1065">
        <v>93.498372559954007</v>
      </c>
      <c r="AJ1065">
        <v>85.339576403136206</v>
      </c>
      <c r="AK1065">
        <v>17.409905940554602</v>
      </c>
      <c r="AL1065">
        <v>83.306122990306605</v>
      </c>
      <c r="AM1065">
        <v>88.042786978771105</v>
      </c>
      <c r="AN1065">
        <v>1.0000000006854799</v>
      </c>
    </row>
    <row r="1066" spans="1:40" x14ac:dyDescent="0.25">
      <c r="A1066" t="str">
        <f>"20190312164011390"</f>
        <v>20190312164011390</v>
      </c>
      <c r="B1066" t="str">
        <f>"1552380011377531"</f>
        <v>1552380011377531</v>
      </c>
      <c r="C1066" t="s">
        <v>40</v>
      </c>
      <c r="D1066">
        <v>5.5054119999999998</v>
      </c>
      <c r="E1066">
        <v>0.51999499999999999</v>
      </c>
      <c r="F1066" t="s">
        <v>41</v>
      </c>
      <c r="G1066">
        <v>-261.74459999999999</v>
      </c>
      <c r="H1066" s="1">
        <v>-4.1183860000000003E-6</v>
      </c>
      <c r="I1066">
        <v>366.26459999999997</v>
      </c>
      <c r="J1066">
        <v>-279.83100000000002</v>
      </c>
      <c r="K1066">
        <v>1.062846</v>
      </c>
      <c r="L1066">
        <v>367.70569999999998</v>
      </c>
      <c r="M1066">
        <v>0.99990349999999995</v>
      </c>
      <c r="N1066">
        <v>0</v>
      </c>
      <c r="O1066">
        <v>-2.1136399999999999E-4</v>
      </c>
      <c r="P1066">
        <v>0.99411459999999996</v>
      </c>
      <c r="Q1066">
        <v>0.10281460000000001</v>
      </c>
      <c r="R1066">
        <v>-3.413766E-2</v>
      </c>
      <c r="S1066">
        <v>3.0271910000000002</v>
      </c>
      <c r="T1066">
        <v>-0.1761134</v>
      </c>
      <c r="U1066">
        <v>-0.23889160000000001</v>
      </c>
      <c r="V1066">
        <v>3.3906510000000001E-2</v>
      </c>
      <c r="W1066">
        <v>0.1166181</v>
      </c>
      <c r="X1066">
        <v>0.99259790000000003</v>
      </c>
      <c r="Y1066">
        <v>7.8328690000000006E-2</v>
      </c>
      <c r="Z1066">
        <v>-2.2607529999999999E-3</v>
      </c>
      <c r="AA1066">
        <v>0.99692499999999995</v>
      </c>
      <c r="AB1066">
        <v>33</v>
      </c>
      <c r="AC1066">
        <v>18.086399999999902</v>
      </c>
      <c r="AD1066">
        <v>-1.062850118386</v>
      </c>
      <c r="AE1066">
        <v>-1.4411</v>
      </c>
      <c r="AF1066">
        <v>1.43236155381567</v>
      </c>
      <c r="AG1066">
        <v>-1.062850118386</v>
      </c>
      <c r="AH1066">
        <v>18.024850906462301</v>
      </c>
      <c r="AI1066">
        <v>93.3640047659852</v>
      </c>
      <c r="AJ1066">
        <v>85.456485348371203</v>
      </c>
      <c r="AK1066">
        <v>18.112883817746901</v>
      </c>
      <c r="AL1066">
        <v>83.303036692239203</v>
      </c>
      <c r="AM1066">
        <v>88.043573506722396</v>
      </c>
      <c r="AN1066">
        <v>1.0000000118762</v>
      </c>
    </row>
    <row r="1067" spans="1:40" x14ac:dyDescent="0.25">
      <c r="A1067" t="str">
        <f>"20190312164011401"</f>
        <v>20190312164011401</v>
      </c>
      <c r="B1067" t="str">
        <f>"1552380011397050"</f>
        <v>1552380011397050</v>
      </c>
      <c r="C1067" t="s">
        <v>40</v>
      </c>
      <c r="D1067">
        <v>5.3887409999999996</v>
      </c>
      <c r="E1067">
        <v>0.51946029999999999</v>
      </c>
      <c r="F1067" t="s">
        <v>41</v>
      </c>
      <c r="G1067">
        <v>-261.13170000000002</v>
      </c>
      <c r="H1067" s="1">
        <v>-4.3848169999999998E-6</v>
      </c>
      <c r="I1067">
        <v>366.245</v>
      </c>
      <c r="J1067">
        <v>-279.6533</v>
      </c>
      <c r="K1067">
        <v>1.063402</v>
      </c>
      <c r="L1067">
        <v>367.70580000000001</v>
      </c>
      <c r="M1067">
        <v>0.99991870000000005</v>
      </c>
      <c r="N1067">
        <v>0</v>
      </c>
      <c r="O1067">
        <v>-1.6535169999999999E-4</v>
      </c>
      <c r="P1067">
        <v>0.99398059999999999</v>
      </c>
      <c r="Q1067">
        <v>0.1041677</v>
      </c>
      <c r="R1067">
        <v>-3.393442E-2</v>
      </c>
      <c r="S1067">
        <v>3.0274049999999999</v>
      </c>
      <c r="T1067">
        <v>-0.17207420000000001</v>
      </c>
      <c r="U1067">
        <v>-0.23648069999999999</v>
      </c>
      <c r="V1067">
        <v>3.3748720000000003E-2</v>
      </c>
      <c r="W1067">
        <v>0.11683689999999999</v>
      </c>
      <c r="X1067">
        <v>0.99257759999999995</v>
      </c>
      <c r="Y1067">
        <v>7.7587069999999994E-2</v>
      </c>
      <c r="Z1067">
        <v>-2.1904820000000001E-3</v>
      </c>
      <c r="AA1067">
        <v>0.99698319999999996</v>
      </c>
      <c r="AB1067">
        <v>33</v>
      </c>
      <c r="AC1067">
        <v>18.5215999999999</v>
      </c>
      <c r="AD1067">
        <v>-1.0634063848169999</v>
      </c>
      <c r="AE1067">
        <v>-1.4608000000000001</v>
      </c>
      <c r="AF1067">
        <v>1.4529771508079901</v>
      </c>
      <c r="AG1067">
        <v>-1.0634063848169999</v>
      </c>
      <c r="AH1067">
        <v>18.461361269287501</v>
      </c>
      <c r="AI1067">
        <v>93.2865524596847</v>
      </c>
      <c r="AJ1067">
        <v>85.499887391174894</v>
      </c>
      <c r="AK1067">
        <v>18.548957805094801</v>
      </c>
      <c r="AL1067">
        <v>83.290414443226695</v>
      </c>
      <c r="AM1067">
        <v>88.0526312650032</v>
      </c>
      <c r="AN1067">
        <v>1.0000000646625</v>
      </c>
    </row>
    <row r="1068" spans="1:40" x14ac:dyDescent="0.25">
      <c r="A1068" t="str">
        <f>"20190312164011411"</f>
        <v>20190312164011411</v>
      </c>
      <c r="B1068" t="str">
        <f>"1552380011406811"</f>
        <v>1552380011406811</v>
      </c>
      <c r="C1068" t="s">
        <v>40</v>
      </c>
      <c r="D1068">
        <v>5.4405199999999896</v>
      </c>
      <c r="E1068">
        <v>0.51916679999999904</v>
      </c>
      <c r="F1068" t="s">
        <v>42</v>
      </c>
      <c r="G1068">
        <v>-278.66149999999999</v>
      </c>
      <c r="H1068">
        <v>1.0083059999999999</v>
      </c>
      <c r="I1068">
        <v>367.62990000000002</v>
      </c>
      <c r="J1068">
        <v>-279.4905</v>
      </c>
      <c r="K1068">
        <v>1.064036</v>
      </c>
      <c r="L1068">
        <v>367.70580000000001</v>
      </c>
      <c r="M1068">
        <v>0.99993080000000001</v>
      </c>
      <c r="N1068">
        <v>0</v>
      </c>
      <c r="O1068">
        <v>-1.2121550000000001E-4</v>
      </c>
      <c r="P1068">
        <v>0.99386249999999998</v>
      </c>
      <c r="Q1068">
        <v>0.1053384</v>
      </c>
      <c r="R1068">
        <v>-3.3789149999999997E-2</v>
      </c>
      <c r="S1068">
        <v>3.027863</v>
      </c>
      <c r="T1068">
        <v>-0.16828290000000001</v>
      </c>
      <c r="U1068">
        <v>-0.23138429999999999</v>
      </c>
      <c r="V1068">
        <v>3.3647499999999997E-2</v>
      </c>
      <c r="W1068">
        <v>0.11703769999999999</v>
      </c>
      <c r="X1068">
        <v>0.99255729999999998</v>
      </c>
      <c r="Y1068">
        <v>7.5958970000000001E-2</v>
      </c>
      <c r="Z1068">
        <v>-2.099414E-3</v>
      </c>
      <c r="AA1068">
        <v>0.99710880000000002</v>
      </c>
      <c r="AB1068">
        <v>34</v>
      </c>
      <c r="AC1068">
        <v>0.82900000000000695</v>
      </c>
      <c r="AD1068">
        <v>-5.5730000000000002E-2</v>
      </c>
      <c r="AE1068">
        <v>-7.5899999999990003E-2</v>
      </c>
      <c r="AF1068">
        <v>7.5461309161774501E-2</v>
      </c>
      <c r="AG1068">
        <v>-5.5730000000000002E-2</v>
      </c>
      <c r="AH1068">
        <v>0.82531039324747502</v>
      </c>
      <c r="AI1068">
        <v>93.847097393096405</v>
      </c>
      <c r="AJ1068">
        <v>84.775752301689593</v>
      </c>
      <c r="AK1068">
        <v>0.83062475720550899</v>
      </c>
      <c r="AL1068">
        <v>83.278829440219397</v>
      </c>
      <c r="AM1068">
        <v>88.058427706719399</v>
      </c>
      <c r="AN1068">
        <v>0.99999998563041403</v>
      </c>
    </row>
    <row r="1069" spans="1:40" x14ac:dyDescent="0.25">
      <c r="A1069" t="str">
        <f>"20190312164011422"</f>
        <v>20190312164011422</v>
      </c>
      <c r="B1069" t="str">
        <f>"1552380011417547"</f>
        <v>1552380011417547</v>
      </c>
      <c r="C1069" t="s">
        <v>40</v>
      </c>
      <c r="D1069">
        <v>5.5021779999999998</v>
      </c>
      <c r="E1069">
        <v>0.51903239999999995</v>
      </c>
      <c r="F1069" t="s">
        <v>41</v>
      </c>
      <c r="G1069">
        <v>-260.19400000000002</v>
      </c>
      <c r="H1069" s="1">
        <v>-4.7863389999999901E-6</v>
      </c>
      <c r="I1069">
        <v>366.24919999999997</v>
      </c>
      <c r="J1069">
        <v>-279.33319999999998</v>
      </c>
      <c r="K1069">
        <v>1.064694</v>
      </c>
      <c r="L1069">
        <v>367.70589999999999</v>
      </c>
      <c r="M1069">
        <v>0.99994110000000003</v>
      </c>
      <c r="N1069">
        <v>0</v>
      </c>
      <c r="O1069" s="1">
        <v>-7.5392640000000003E-5</v>
      </c>
      <c r="P1069">
        <v>0.99376370000000003</v>
      </c>
      <c r="Q1069">
        <v>0.10626190000000001</v>
      </c>
      <c r="R1069">
        <v>-3.3797059999999997E-2</v>
      </c>
      <c r="S1069">
        <v>3.028473</v>
      </c>
      <c r="T1069">
        <v>-0.166994</v>
      </c>
      <c r="U1069">
        <v>-0.22860720000000001</v>
      </c>
      <c r="V1069">
        <v>3.3701729999999999E-2</v>
      </c>
      <c r="W1069">
        <v>0.1170547</v>
      </c>
      <c r="X1069">
        <v>0.99255349999999998</v>
      </c>
      <c r="Y1069">
        <v>7.5083319999999995E-2</v>
      </c>
      <c r="Z1069">
        <v>-2.0614449999999999E-3</v>
      </c>
      <c r="AA1069">
        <v>0.99717520000000004</v>
      </c>
      <c r="AB1069">
        <v>34</v>
      </c>
      <c r="AC1069">
        <v>19.139199999999899</v>
      </c>
      <c r="AD1069">
        <v>-1.0646987863390001</v>
      </c>
      <c r="AE1069">
        <v>-1.4567000000000101</v>
      </c>
      <c r="AF1069">
        <v>1.4507931746957401</v>
      </c>
      <c r="AG1069">
        <v>-1.0646987863390001</v>
      </c>
      <c r="AH1069">
        <v>19.0806028287139</v>
      </c>
      <c r="AI1069">
        <v>93.1846225217718</v>
      </c>
      <c r="AJ1069">
        <v>85.651883192282497</v>
      </c>
      <c r="AK1069">
        <v>19.1652755954226</v>
      </c>
      <c r="AL1069">
        <v>83.277848969427495</v>
      </c>
      <c r="AM1069">
        <v>88.055293417182099</v>
      </c>
      <c r="AN1069">
        <v>1.0000000298796601</v>
      </c>
    </row>
    <row r="1070" spans="1:40" x14ac:dyDescent="0.25">
      <c r="A1070" t="str">
        <f>"20190312164011434"</f>
        <v>20190312164011434</v>
      </c>
      <c r="B1070" t="str">
        <f>"1552380011427307"</f>
        <v>1552380011427307</v>
      </c>
      <c r="C1070" t="s">
        <v>40</v>
      </c>
      <c r="D1070">
        <v>5.3701930000000004</v>
      </c>
      <c r="E1070">
        <v>0.51884449999999904</v>
      </c>
      <c r="F1070" t="s">
        <v>42</v>
      </c>
      <c r="G1070">
        <v>-278.36259999999999</v>
      </c>
      <c r="H1070">
        <v>1.011979</v>
      </c>
      <c r="I1070">
        <v>367.63279999999997</v>
      </c>
      <c r="J1070">
        <v>-279.16129999999998</v>
      </c>
      <c r="K1070">
        <v>1.065477</v>
      </c>
      <c r="L1070">
        <v>367.70589999999999</v>
      </c>
      <c r="M1070">
        <v>0.99995089999999998</v>
      </c>
      <c r="N1070">
        <v>0</v>
      </c>
      <c r="O1070" s="1">
        <v>-2.0323389999999999E-5</v>
      </c>
      <c r="P1070">
        <v>0.99365990000000004</v>
      </c>
      <c r="Q1070">
        <v>0.1073716</v>
      </c>
      <c r="R1070">
        <v>-3.333523E-2</v>
      </c>
      <c r="S1070">
        <v>3.0286870000000001</v>
      </c>
      <c r="T1070">
        <v>-0.16454160000000001</v>
      </c>
      <c r="U1070">
        <v>-0.2276917</v>
      </c>
      <c r="V1070">
        <v>3.3295289999999998E-2</v>
      </c>
      <c r="W1070">
        <v>0.117219</v>
      </c>
      <c r="X1070">
        <v>0.99254779999999998</v>
      </c>
      <c r="Y1070">
        <v>7.4836829999999993E-2</v>
      </c>
      <c r="Z1070">
        <v>-2.0274009999999999E-3</v>
      </c>
      <c r="AA1070">
        <v>0.99719380000000002</v>
      </c>
      <c r="AB1070">
        <v>33</v>
      </c>
      <c r="AC1070">
        <v>0.79869999999999597</v>
      </c>
      <c r="AD1070">
        <v>-5.3497999999999803E-2</v>
      </c>
      <c r="AE1070">
        <v>-7.3100000000010795E-2</v>
      </c>
      <c r="AF1070">
        <v>7.2760040657641398E-2</v>
      </c>
      <c r="AG1070">
        <v>-5.3497999999999803E-2</v>
      </c>
      <c r="AH1070">
        <v>0.79516361881361997</v>
      </c>
      <c r="AI1070">
        <v>93.833050414574302</v>
      </c>
      <c r="AJ1070">
        <v>84.771810189677197</v>
      </c>
      <c r="AK1070">
        <v>0.80027572761222299</v>
      </c>
      <c r="AL1070">
        <v>83.268369834773793</v>
      </c>
      <c r="AM1070">
        <v>88.078717704098395</v>
      </c>
      <c r="AN1070">
        <v>1.0000000027910101</v>
      </c>
    </row>
    <row r="1071" spans="1:40" x14ac:dyDescent="0.25">
      <c r="A1071" t="str">
        <f>"20190312164011444"</f>
        <v>20190312164011444</v>
      </c>
      <c r="B1071" t="str">
        <f>"1552380011437067"</f>
        <v>1552380011437067</v>
      </c>
      <c r="C1071" t="s">
        <v>40</v>
      </c>
      <c r="D1071">
        <v>5.3800270000000001</v>
      </c>
      <c r="E1071">
        <v>0.51855410000000002</v>
      </c>
      <c r="F1071" t="s">
        <v>41</v>
      </c>
      <c r="G1071">
        <v>-259.07569999999998</v>
      </c>
      <c r="H1071" s="1">
        <v>-1.2052900000000001E-6</v>
      </c>
      <c r="I1071">
        <v>366.21620000000001</v>
      </c>
      <c r="J1071">
        <v>-279.00209999999998</v>
      </c>
      <c r="K1071">
        <v>1.0662290000000001</v>
      </c>
      <c r="L1071">
        <v>367.70589999999999</v>
      </c>
      <c r="M1071">
        <v>0.99995909999999999</v>
      </c>
      <c r="N1071">
        <v>0</v>
      </c>
      <c r="O1071" s="1">
        <v>3.1226699999999997E-5</v>
      </c>
      <c r="P1071">
        <v>0.99355970000000005</v>
      </c>
      <c r="Q1071">
        <v>0.1083083</v>
      </c>
      <c r="R1071">
        <v>-3.3291210000000002E-2</v>
      </c>
      <c r="S1071">
        <v>3.0289609999999998</v>
      </c>
      <c r="T1071">
        <v>-0.1606764</v>
      </c>
      <c r="U1071">
        <v>-0.2246399</v>
      </c>
      <c r="V1071">
        <v>3.3303159999999998E-2</v>
      </c>
      <c r="W1071">
        <v>0.1172996</v>
      </c>
      <c r="X1071">
        <v>0.99253800000000003</v>
      </c>
      <c r="Y1071">
        <v>7.388865E-2</v>
      </c>
      <c r="Z1071">
        <v>-1.9573709999999999E-3</v>
      </c>
      <c r="AA1071">
        <v>0.99726459999999995</v>
      </c>
      <c r="AB1071">
        <v>33</v>
      </c>
      <c r="AC1071">
        <v>19.926400000000001</v>
      </c>
      <c r="AD1071">
        <v>-1.0662302052899999</v>
      </c>
      <c r="AE1071">
        <v>-1.48969999999997</v>
      </c>
      <c r="AF1071">
        <v>1.4860910060713399</v>
      </c>
      <c r="AG1071">
        <v>-1.0662302052899999</v>
      </c>
      <c r="AH1071">
        <v>19.8697794843374</v>
      </c>
      <c r="AI1071">
        <v>93.063058295942298</v>
      </c>
      <c r="AJ1071">
        <v>85.722725075289404</v>
      </c>
      <c r="AK1071">
        <v>19.953782851509501</v>
      </c>
      <c r="AL1071">
        <v>83.263719622235598</v>
      </c>
      <c r="AM1071">
        <v>88.078244951146701</v>
      </c>
      <c r="AN1071">
        <v>0.99999998903507203</v>
      </c>
    </row>
    <row r="1072" spans="1:40" x14ac:dyDescent="0.25">
      <c r="A1072" t="str">
        <f>"20190312164011455"</f>
        <v>20190312164011455</v>
      </c>
      <c r="B1072" t="str">
        <f>"1552380011446827"</f>
        <v>1552380011446827</v>
      </c>
      <c r="C1072" t="s">
        <v>40</v>
      </c>
      <c r="D1072">
        <v>5.4850539999999999</v>
      </c>
      <c r="E1072">
        <v>0.51841289999999995</v>
      </c>
      <c r="F1072" t="s">
        <v>41</v>
      </c>
      <c r="G1072">
        <v>-258.62740000000002</v>
      </c>
      <c r="H1072" s="1">
        <v>-1.3595620000000001E-6</v>
      </c>
      <c r="I1072">
        <v>366.20979999999997</v>
      </c>
      <c r="J1072">
        <v>-278.83269999999999</v>
      </c>
      <c r="K1072">
        <v>1.067045</v>
      </c>
      <c r="L1072">
        <v>367.70600000000002</v>
      </c>
      <c r="M1072">
        <v>0.99996700000000005</v>
      </c>
      <c r="N1072">
        <v>0</v>
      </c>
      <c r="O1072" s="1">
        <v>8.6395879999999996E-5</v>
      </c>
      <c r="P1072">
        <v>0.99343139999999996</v>
      </c>
      <c r="Q1072">
        <v>0.1094765</v>
      </c>
      <c r="R1072">
        <v>-3.3308539999999998E-2</v>
      </c>
      <c r="S1072">
        <v>3.0292970000000001</v>
      </c>
      <c r="T1072">
        <v>-0.1585261</v>
      </c>
      <c r="U1072">
        <v>-0.22244259999999999</v>
      </c>
      <c r="V1072">
        <v>3.3375780000000001E-2</v>
      </c>
      <c r="W1072">
        <v>0.11756809999999999</v>
      </c>
      <c r="X1072">
        <v>0.99250380000000005</v>
      </c>
      <c r="Y1072">
        <v>7.3219670000000001E-2</v>
      </c>
      <c r="Z1072">
        <v>-1.9164620000000001E-3</v>
      </c>
      <c r="AA1072">
        <v>0.99731400000000003</v>
      </c>
      <c r="AB1072">
        <v>33</v>
      </c>
      <c r="AC1072">
        <v>20.205299999999902</v>
      </c>
      <c r="AD1072">
        <v>-1.0670463595619999</v>
      </c>
      <c r="AE1072">
        <v>-1.49619999999998</v>
      </c>
      <c r="AF1072">
        <v>1.4938023320321601</v>
      </c>
      <c r="AG1072">
        <v>-1.0670463595619999</v>
      </c>
      <c r="AH1072">
        <v>20.149282386151601</v>
      </c>
      <c r="AI1072">
        <v>93.023102198160601</v>
      </c>
      <c r="AJ1072">
        <v>85.760033688299302</v>
      </c>
      <c r="AK1072">
        <v>20.232736197003</v>
      </c>
      <c r="AL1072">
        <v>83.248228571221603</v>
      </c>
      <c r="AM1072">
        <v>88.073991260051102</v>
      </c>
      <c r="AN1072">
        <v>0.99999999692132902</v>
      </c>
    </row>
    <row r="1073" spans="1:40" x14ac:dyDescent="0.25">
      <c r="A1073" t="str">
        <f>"20190312164011467"</f>
        <v>20190312164011467</v>
      </c>
      <c r="B1073" t="str">
        <f>"1552380011457562"</f>
        <v>1552380011457562</v>
      </c>
      <c r="C1073" t="s">
        <v>40</v>
      </c>
      <c r="D1073">
        <v>5.6851200000000004</v>
      </c>
      <c r="E1073">
        <v>0.51820790000000005</v>
      </c>
      <c r="F1073" t="s">
        <v>41</v>
      </c>
      <c r="G1073">
        <v>-258.03100000000001</v>
      </c>
      <c r="H1073" s="1">
        <v>-1.5687899999999899E-6</v>
      </c>
      <c r="I1073">
        <v>366.18619999999999</v>
      </c>
      <c r="J1073">
        <v>-278.66109999999998</v>
      </c>
      <c r="K1073">
        <v>1.067984</v>
      </c>
      <c r="L1073">
        <v>367.70609999999999</v>
      </c>
      <c r="M1073">
        <v>0.99997119999999995</v>
      </c>
      <c r="N1073">
        <v>0</v>
      </c>
      <c r="O1073">
        <v>1.4414340000000001E-4</v>
      </c>
      <c r="P1073">
        <v>0.99338680000000001</v>
      </c>
      <c r="Q1073">
        <v>0.1099396</v>
      </c>
      <c r="R1073">
        <v>-3.310594E-2</v>
      </c>
      <c r="S1073">
        <v>3.029541</v>
      </c>
      <c r="T1073">
        <v>-0.15540309999999999</v>
      </c>
      <c r="U1073">
        <v>-0.22134400000000001</v>
      </c>
      <c r="V1073">
        <v>3.3231589999999998E-2</v>
      </c>
      <c r="W1073">
        <v>0.117488</v>
      </c>
      <c r="X1073">
        <v>0.99251809999999996</v>
      </c>
      <c r="Y1073">
        <v>7.2915880000000002E-2</v>
      </c>
      <c r="Z1073">
        <v>-1.8738120000000001E-3</v>
      </c>
      <c r="AA1073">
        <v>0.99733629999999995</v>
      </c>
      <c r="AB1073">
        <v>33</v>
      </c>
      <c r="AC1073">
        <v>20.630099999999899</v>
      </c>
      <c r="AD1073">
        <v>-1.06798556879</v>
      </c>
      <c r="AE1073">
        <v>-1.5199</v>
      </c>
      <c r="AF1073">
        <v>1.5188253475315401</v>
      </c>
      <c r="AG1073">
        <v>-1.06798556879</v>
      </c>
      <c r="AH1073">
        <v>20.575038120210198</v>
      </c>
      <c r="AI1073">
        <v>92.963328636766903</v>
      </c>
      <c r="AJ1073">
        <v>85.778149782152894</v>
      </c>
      <c r="AK1073">
        <v>20.6586450973812</v>
      </c>
      <c r="AL1073">
        <v>83.252849834725296</v>
      </c>
      <c r="AM1073">
        <v>88.082333383292493</v>
      </c>
      <c r="AN1073">
        <v>0.99999997377276795</v>
      </c>
    </row>
    <row r="1074" spans="1:40" x14ac:dyDescent="0.25">
      <c r="A1074" t="str">
        <f>"20190312164011478"</f>
        <v>20190312164011478</v>
      </c>
      <c r="B1074" t="str">
        <f>"1552380011466854"</f>
        <v>1552380011466854</v>
      </c>
      <c r="C1074" t="s">
        <v>40</v>
      </c>
      <c r="D1074">
        <v>5.63028</v>
      </c>
      <c r="E1074">
        <v>0.5180903</v>
      </c>
      <c r="F1074" t="s">
        <v>41</v>
      </c>
      <c r="G1074">
        <v>-257.57220000000001</v>
      </c>
      <c r="H1074" s="1">
        <v>-1.7258010000000001E-6</v>
      </c>
      <c r="I1074">
        <v>366.18299999999999</v>
      </c>
      <c r="J1074">
        <v>-278.50209999999998</v>
      </c>
      <c r="K1074">
        <v>1.0688839999999999</v>
      </c>
      <c r="L1074">
        <v>367.70620000000002</v>
      </c>
      <c r="M1074">
        <v>0.99997420000000004</v>
      </c>
      <c r="N1074">
        <v>0</v>
      </c>
      <c r="O1074">
        <v>1.982043E-4</v>
      </c>
      <c r="P1074">
        <v>0.99333070000000001</v>
      </c>
      <c r="Q1074">
        <v>0.1104821</v>
      </c>
      <c r="R1074">
        <v>-3.2975150000000002E-2</v>
      </c>
      <c r="S1074">
        <v>3.0296940000000001</v>
      </c>
      <c r="T1074">
        <v>-0.15342929999999999</v>
      </c>
      <c r="U1074">
        <v>-0.21881100000000001</v>
      </c>
      <c r="V1074">
        <v>3.3155520000000001E-2</v>
      </c>
      <c r="W1074">
        <v>0.117614</v>
      </c>
      <c r="X1074">
        <v>0.99250570000000005</v>
      </c>
      <c r="Y1074">
        <v>7.2140019999999999E-2</v>
      </c>
      <c r="Z1074">
        <v>-1.8331300000000001E-3</v>
      </c>
      <c r="AA1074">
        <v>0.99739279999999997</v>
      </c>
      <c r="AB1074">
        <v>33</v>
      </c>
      <c r="AC1074">
        <v>20.9298999999999</v>
      </c>
      <c r="AD1074">
        <v>-1.0688857258010001</v>
      </c>
      <c r="AE1074">
        <v>-1.5231999999999699</v>
      </c>
      <c r="AF1074">
        <v>1.52339619966504</v>
      </c>
      <c r="AG1074">
        <v>-1.0688857258010001</v>
      </c>
      <c r="AH1074">
        <v>20.875438788125301</v>
      </c>
      <c r="AI1074">
        <v>92.923397441249904</v>
      </c>
      <c r="AJ1074">
        <v>85.826208732741804</v>
      </c>
      <c r="AK1074">
        <v>20.958225050627298</v>
      </c>
      <c r="AL1074">
        <v>83.245580023730398</v>
      </c>
      <c r="AM1074">
        <v>88.086695936623698</v>
      </c>
      <c r="AN1074">
        <v>0.99999995301747902</v>
      </c>
    </row>
    <row r="1075" spans="1:40" x14ac:dyDescent="0.25">
      <c r="A1075" t="str">
        <f>"20190312164011491"</f>
        <v>20190312164011491</v>
      </c>
      <c r="B1075" t="str">
        <f>"1552380011487350"</f>
        <v>1552380011487350</v>
      </c>
      <c r="C1075" t="s">
        <v>40</v>
      </c>
      <c r="D1075">
        <v>5.5764209999999999</v>
      </c>
      <c r="E1075">
        <v>0.51791220000000004</v>
      </c>
      <c r="F1075" t="s">
        <v>42</v>
      </c>
      <c r="G1075">
        <v>-277.4776</v>
      </c>
      <c r="H1075">
        <v>1.017725</v>
      </c>
      <c r="I1075">
        <v>367.63240000000002</v>
      </c>
      <c r="J1075">
        <v>-278.31659999999999</v>
      </c>
      <c r="K1075">
        <v>1.0702290000000001</v>
      </c>
      <c r="L1075">
        <v>367.70620000000002</v>
      </c>
      <c r="M1075">
        <v>0.99997440000000004</v>
      </c>
      <c r="N1075">
        <v>0</v>
      </c>
      <c r="O1075">
        <v>2.6192940000000002E-4</v>
      </c>
      <c r="P1075">
        <v>0.99336869999999999</v>
      </c>
      <c r="Q1075">
        <v>0.110184199999999</v>
      </c>
      <c r="R1075">
        <v>-3.2839569999999998E-2</v>
      </c>
      <c r="S1075">
        <v>3.0297550000000002</v>
      </c>
      <c r="T1075">
        <v>-0.1514664</v>
      </c>
      <c r="U1075">
        <v>-0.2175598</v>
      </c>
      <c r="V1075">
        <v>3.308374E-2</v>
      </c>
      <c r="W1075">
        <v>0.1173086</v>
      </c>
      <c r="X1075">
        <v>0.99254430000000005</v>
      </c>
      <c r="Y1075">
        <v>7.1795049999999999E-2</v>
      </c>
      <c r="Z1075">
        <v>-1.804272E-3</v>
      </c>
      <c r="AA1075">
        <v>0.99741769999999996</v>
      </c>
      <c r="AB1075">
        <v>33</v>
      </c>
      <c r="AC1075">
        <v>0.83899999999999797</v>
      </c>
      <c r="AD1075">
        <v>-5.2504000000000099E-2</v>
      </c>
      <c r="AE1075">
        <v>-7.3800000000005597E-2</v>
      </c>
      <c r="AF1075">
        <v>7.3733227448387006E-2</v>
      </c>
      <c r="AG1075">
        <v>-5.2504000000000099E-2</v>
      </c>
      <c r="AH1075">
        <v>0.83573290199356998</v>
      </c>
      <c r="AI1075">
        <v>93.580946615388498</v>
      </c>
      <c r="AJ1075">
        <v>84.958087097432596</v>
      </c>
      <c r="AK1075">
        <v>0.84062045081032299</v>
      </c>
      <c r="AL1075">
        <v>83.263200547529394</v>
      </c>
      <c r="AM1075">
        <v>88.090909265452296</v>
      </c>
      <c r="AN1075">
        <v>1.0000000144744099</v>
      </c>
    </row>
    <row r="1076" spans="1:40" x14ac:dyDescent="0.25">
      <c r="A1076" t="str">
        <f>"20190312164011504"</f>
        <v>20190312164011504</v>
      </c>
      <c r="B1076" t="str">
        <f>"1552380011497109"</f>
        <v>1552380011497109</v>
      </c>
      <c r="C1076" t="s">
        <v>40</v>
      </c>
      <c r="D1076">
        <v>5.3646409999999998</v>
      </c>
      <c r="E1076">
        <v>0.51775950000000004</v>
      </c>
      <c r="F1076" t="s">
        <v>41</v>
      </c>
      <c r="G1076">
        <v>-257.4203</v>
      </c>
      <c r="H1076" s="1">
        <v>-1.7680109999999999E-6</v>
      </c>
      <c r="I1076">
        <v>366.21850000000001</v>
      </c>
      <c r="J1076">
        <v>-278.12900000000002</v>
      </c>
      <c r="K1076">
        <v>1.07167099999999</v>
      </c>
      <c r="L1076">
        <v>367.70639999999997</v>
      </c>
      <c r="M1076">
        <v>0.99997429999999998</v>
      </c>
      <c r="N1076">
        <v>0</v>
      </c>
      <c r="O1076">
        <v>3.2545060000000001E-4</v>
      </c>
      <c r="P1076">
        <v>0.99336530000000001</v>
      </c>
      <c r="Q1076">
        <v>0.1102453</v>
      </c>
      <c r="R1076">
        <v>-3.2732610000000002E-2</v>
      </c>
      <c r="S1076">
        <v>3.0301209999999998</v>
      </c>
      <c r="T1076">
        <v>-0.15519150000000001</v>
      </c>
      <c r="U1076">
        <v>-0.2157288</v>
      </c>
      <c r="V1076">
        <v>3.3040269999999997E-2</v>
      </c>
      <c r="W1076">
        <v>0.117372</v>
      </c>
      <c r="X1076">
        <v>0.99253820000000004</v>
      </c>
      <c r="Y1076">
        <v>7.1246309999999993E-2</v>
      </c>
      <c r="Z1076">
        <v>-1.8376270000000001E-3</v>
      </c>
      <c r="AA1076">
        <v>0.99745709999999999</v>
      </c>
      <c r="AB1076">
        <v>33</v>
      </c>
      <c r="AC1076">
        <v>20.7087</v>
      </c>
      <c r="AD1076">
        <v>-1.0716727680110001</v>
      </c>
      <c r="AE1076">
        <v>-1.48789999999996</v>
      </c>
      <c r="AF1076">
        <v>1.49066817110061</v>
      </c>
      <c r="AG1076">
        <v>-1.0716727680110001</v>
      </c>
      <c r="AH1076">
        <v>20.653188437916</v>
      </c>
      <c r="AI1076">
        <v>92.962662253517806</v>
      </c>
      <c r="AJ1076">
        <v>85.871768319198097</v>
      </c>
      <c r="AK1076">
        <v>20.734627239719</v>
      </c>
      <c r="AL1076">
        <v>83.259542371693499</v>
      </c>
      <c r="AM1076">
        <v>88.093404131801705</v>
      </c>
      <c r="AN1076">
        <v>0.99999996214245501</v>
      </c>
    </row>
    <row r="1077" spans="1:40" x14ac:dyDescent="0.25">
      <c r="A1077" t="str">
        <f>"20190312164011518"</f>
        <v>20190312164011518</v>
      </c>
      <c r="B1077" t="str">
        <f>"1552380011506869"</f>
        <v>1552380011506869</v>
      </c>
      <c r="C1077" t="s">
        <v>40</v>
      </c>
      <c r="D1077">
        <v>5.5011279999999996</v>
      </c>
      <c r="E1077">
        <v>0.51760909999999904</v>
      </c>
      <c r="F1077" t="s">
        <v>41</v>
      </c>
      <c r="G1077">
        <v>-257.12720000000002</v>
      </c>
      <c r="H1077" s="1">
        <v>-1.867044E-6</v>
      </c>
      <c r="I1077">
        <v>366.22129999999999</v>
      </c>
      <c r="J1077">
        <v>-277.92169999999999</v>
      </c>
      <c r="K1077">
        <v>1.073372</v>
      </c>
      <c r="L1077">
        <v>367.70650000000001</v>
      </c>
      <c r="M1077">
        <v>0.99997420000000004</v>
      </c>
      <c r="N1077">
        <v>0</v>
      </c>
      <c r="O1077">
        <v>3.93829E-4</v>
      </c>
      <c r="P1077">
        <v>0.99338020000000005</v>
      </c>
      <c r="Q1077">
        <v>0.1101341</v>
      </c>
      <c r="R1077">
        <v>-3.2659929999999997E-2</v>
      </c>
      <c r="S1077">
        <v>3.030151</v>
      </c>
      <c r="T1077">
        <v>-0.15462049999999999</v>
      </c>
      <c r="U1077">
        <v>-0.21426390000000001</v>
      </c>
      <c r="V1077">
        <v>3.3035040000000002E-2</v>
      </c>
      <c r="W1077">
        <v>0.1172764</v>
      </c>
      <c r="X1077">
        <v>0.99254969999999998</v>
      </c>
      <c r="Y1077">
        <v>7.0835170000000003E-2</v>
      </c>
      <c r="Z1077">
        <v>-1.823901E-3</v>
      </c>
      <c r="AA1077">
        <v>0.9974864</v>
      </c>
      <c r="AB1077">
        <v>33</v>
      </c>
      <c r="AC1077">
        <v>20.7944999999999</v>
      </c>
      <c r="AD1077">
        <v>-1.0733738670440001</v>
      </c>
      <c r="AE1077">
        <v>-1.4852000000000201</v>
      </c>
      <c r="AF1077">
        <v>1.4894411953954401</v>
      </c>
      <c r="AG1077">
        <v>-1.0733738670440001</v>
      </c>
      <c r="AH1077">
        <v>20.738936366565799</v>
      </c>
      <c r="AI1077">
        <v>92.955184989929606</v>
      </c>
      <c r="AJ1077">
        <v>85.892150777431894</v>
      </c>
      <c r="AK1077">
        <v>20.8200395808812</v>
      </c>
      <c r="AL1077">
        <v>83.265058111796293</v>
      </c>
      <c r="AM1077">
        <v>88.093727778027798</v>
      </c>
      <c r="AN1077">
        <v>0.99999998741742502</v>
      </c>
    </row>
    <row r="1078" spans="1:40" x14ac:dyDescent="0.25">
      <c r="A1078" t="str">
        <f>"20190312164011535"</f>
        <v>20190312164011535</v>
      </c>
      <c r="B1078" t="str">
        <f>"1552380011527365"</f>
        <v>1552380011527365</v>
      </c>
      <c r="C1078" t="s">
        <v>40</v>
      </c>
      <c r="D1078">
        <v>5.4502480000000002</v>
      </c>
      <c r="E1078">
        <v>0.51734859999999905</v>
      </c>
      <c r="F1078" t="s">
        <v>42</v>
      </c>
      <c r="G1078">
        <v>-276.892</v>
      </c>
      <c r="H1078">
        <v>1.02098</v>
      </c>
      <c r="I1078">
        <v>367.63389999999998</v>
      </c>
      <c r="J1078">
        <v>-277.67599999999999</v>
      </c>
      <c r="K1078">
        <v>1.075499</v>
      </c>
      <c r="L1078">
        <v>367.70659999999998</v>
      </c>
      <c r="M1078">
        <v>0.99997539999999996</v>
      </c>
      <c r="N1078">
        <v>0</v>
      </c>
      <c r="O1078">
        <v>4.7273729999999998E-4</v>
      </c>
      <c r="P1078">
        <v>0.99337120000000001</v>
      </c>
      <c r="Q1078">
        <v>0.1102301</v>
      </c>
      <c r="R1078">
        <v>-3.260557E-2</v>
      </c>
      <c r="S1078">
        <v>3.0301209999999998</v>
      </c>
      <c r="T1078">
        <v>-0.1544257</v>
      </c>
      <c r="U1078">
        <v>-0.21282960000000001</v>
      </c>
      <c r="V1078">
        <v>3.3058070000000002E-2</v>
      </c>
      <c r="W1078">
        <v>0.1171788</v>
      </c>
      <c r="X1078">
        <v>0.99256040000000001</v>
      </c>
      <c r="Y1078">
        <v>7.0445369999999993E-2</v>
      </c>
      <c r="Z1078">
        <v>-1.8157539999999999E-3</v>
      </c>
      <c r="AA1078">
        <v>0.99751400000000001</v>
      </c>
      <c r="AB1078">
        <v>33</v>
      </c>
      <c r="AC1078">
        <v>0.78399999999999104</v>
      </c>
      <c r="AD1078">
        <v>-5.4518999999999901E-2</v>
      </c>
      <c r="AE1078">
        <v>-7.2699999999997503E-2</v>
      </c>
      <c r="AF1078">
        <v>7.2721960051118001E-2</v>
      </c>
      <c r="AG1078">
        <v>-5.4518999999999901E-2</v>
      </c>
      <c r="AH1078">
        <v>0.78022473986528695</v>
      </c>
      <c r="AI1078">
        <v>93.979909590961498</v>
      </c>
      <c r="AJ1078">
        <v>84.675049622227206</v>
      </c>
      <c r="AK1078">
        <v>0.78550076354675302</v>
      </c>
      <c r="AL1078">
        <v>83.270688598823597</v>
      </c>
      <c r="AM1078">
        <v>88.092420372797605</v>
      </c>
      <c r="AN1078">
        <v>0.99999992740485899</v>
      </c>
    </row>
    <row r="1079" spans="1:40" x14ac:dyDescent="0.25">
      <c r="A1079" t="str">
        <f>"20190312164011546"</f>
        <v>20190312164011546</v>
      </c>
      <c r="B1079" t="str">
        <f>"1552380011537126"</f>
        <v>1552380011537126</v>
      </c>
      <c r="C1079" t="s">
        <v>40</v>
      </c>
      <c r="D1079">
        <v>5.7134150000000004</v>
      </c>
      <c r="E1079">
        <v>0.51724929999999902</v>
      </c>
      <c r="F1079" t="s">
        <v>41</v>
      </c>
      <c r="G1079">
        <v>-256.4787</v>
      </c>
      <c r="H1079" s="1">
        <v>-2.0929260000000002E-6</v>
      </c>
      <c r="I1079">
        <v>366.23390000000001</v>
      </c>
      <c r="J1079">
        <v>-277.50170000000003</v>
      </c>
      <c r="K1079">
        <v>1.077062</v>
      </c>
      <c r="L1079">
        <v>367.70670000000001</v>
      </c>
      <c r="M1079">
        <v>0.99997650000000005</v>
      </c>
      <c r="N1079">
        <v>0</v>
      </c>
      <c r="O1079">
        <v>5.2686170000000002E-4</v>
      </c>
      <c r="P1079">
        <v>0.99334339999999999</v>
      </c>
      <c r="Q1079">
        <v>0.1103914</v>
      </c>
      <c r="R1079">
        <v>-3.2909359999999999E-2</v>
      </c>
      <c r="S1079">
        <v>3.030151</v>
      </c>
      <c r="T1079">
        <v>-0.15374179999999901</v>
      </c>
      <c r="U1079">
        <v>-0.21051030000000001</v>
      </c>
      <c r="V1079">
        <v>3.3415090000000001E-2</v>
      </c>
      <c r="W1079">
        <v>0.1172039</v>
      </c>
      <c r="X1079">
        <v>0.99254549999999997</v>
      </c>
      <c r="Y1079">
        <v>6.9740469999999999E-2</v>
      </c>
      <c r="Z1079">
        <v>-1.792645E-3</v>
      </c>
      <c r="AA1079">
        <v>0.99756350000000005</v>
      </c>
      <c r="AB1079">
        <v>33</v>
      </c>
      <c r="AC1079">
        <v>21.023</v>
      </c>
      <c r="AD1079">
        <v>-1.077064092926</v>
      </c>
      <c r="AE1079">
        <v>-1.4728000000000001</v>
      </c>
      <c r="AF1079">
        <v>1.4800105313563101</v>
      </c>
      <c r="AG1079">
        <v>-1.077064092926</v>
      </c>
      <c r="AH1079">
        <v>20.967454832609398</v>
      </c>
      <c r="AI1079">
        <v>92.933320855673799</v>
      </c>
      <c r="AJ1079">
        <v>85.962412019085605</v>
      </c>
      <c r="AK1079">
        <v>21.047200773278799</v>
      </c>
      <c r="AL1079">
        <v>83.269240621977104</v>
      </c>
      <c r="AM1079">
        <v>88.071805469940799</v>
      </c>
      <c r="AN1079">
        <v>0.99999994599258202</v>
      </c>
    </row>
    <row r="1080" spans="1:40" x14ac:dyDescent="0.25">
      <c r="A1080" t="str">
        <f>"20190312164011557"</f>
        <v>20190312164011557</v>
      </c>
      <c r="B1080" t="str">
        <f>"1552380011546886"</f>
        <v>1552380011546886</v>
      </c>
      <c r="C1080" t="s">
        <v>40</v>
      </c>
      <c r="D1080">
        <v>5.4876269999999998</v>
      </c>
      <c r="E1080">
        <v>0.51713869999999995</v>
      </c>
      <c r="F1080" t="s">
        <v>41</v>
      </c>
      <c r="G1080">
        <v>-256.15390000000002</v>
      </c>
      <c r="H1080" s="1">
        <v>-2.234649E-6</v>
      </c>
      <c r="I1080">
        <v>366.22059999999999</v>
      </c>
      <c r="J1080">
        <v>-277.33440000000002</v>
      </c>
      <c r="K1080">
        <v>1.078584</v>
      </c>
      <c r="L1080">
        <v>367.70679999999999</v>
      </c>
      <c r="M1080">
        <v>0.99997729999999996</v>
      </c>
      <c r="N1080">
        <v>0</v>
      </c>
      <c r="O1080">
        <v>5.7821290000000002E-4</v>
      </c>
      <c r="P1080">
        <v>0.99332830000000005</v>
      </c>
      <c r="Q1080">
        <v>0.11058709999999999</v>
      </c>
      <c r="R1080">
        <v>-3.2702839999999997E-2</v>
      </c>
      <c r="S1080">
        <v>3.0301209999999998</v>
      </c>
      <c r="T1080">
        <v>-0.15287800000000001</v>
      </c>
      <c r="U1080">
        <v>-0.2109375</v>
      </c>
      <c r="V1080">
        <v>3.3259049999999998E-2</v>
      </c>
      <c r="W1080">
        <v>0.11726930000000001</v>
      </c>
      <c r="X1080">
        <v>0.99254310000000001</v>
      </c>
      <c r="Y1080">
        <v>6.9933060000000005E-2</v>
      </c>
      <c r="Z1080">
        <v>-1.7900310000000001E-3</v>
      </c>
      <c r="AA1080">
        <v>0.9975501</v>
      </c>
      <c r="AB1080">
        <v>33</v>
      </c>
      <c r="AC1080">
        <v>21.180499999999899</v>
      </c>
      <c r="AD1080">
        <v>-1.0785862346490001</v>
      </c>
      <c r="AE1080">
        <v>-1.48619999999999</v>
      </c>
      <c r="AF1080">
        <v>1.4945900723840699</v>
      </c>
      <c r="AG1080">
        <v>-1.0785862346490001</v>
      </c>
      <c r="AH1080">
        <v>21.125123664881102</v>
      </c>
      <c r="AI1080">
        <v>92.915539676554999</v>
      </c>
      <c r="AJ1080">
        <v>85.953100538334795</v>
      </c>
      <c r="AK1080">
        <v>21.205376620248</v>
      </c>
      <c r="AL1080">
        <v>83.265468021352405</v>
      </c>
      <c r="AM1080">
        <v>88.080798263007594</v>
      </c>
      <c r="AN1080">
        <v>1.0000000292435001</v>
      </c>
    </row>
    <row r="1081" spans="1:40" x14ac:dyDescent="0.25">
      <c r="A1081" t="str">
        <f>"20190312164011569"</f>
        <v>20190312164011569</v>
      </c>
      <c r="B1081" t="str">
        <f>"1552380011557621"</f>
        <v>1552380011557621</v>
      </c>
      <c r="C1081" t="s">
        <v>40</v>
      </c>
      <c r="D1081">
        <v>5.4605079999999999</v>
      </c>
      <c r="E1081">
        <v>0.51705270000000003</v>
      </c>
      <c r="F1081" t="s">
        <v>41</v>
      </c>
      <c r="G1081">
        <v>-255.83590000000001</v>
      </c>
      <c r="H1081" s="1">
        <v>-2.3703610000000002E-6</v>
      </c>
      <c r="I1081">
        <v>366.22460000000001</v>
      </c>
      <c r="J1081">
        <v>-277.1678</v>
      </c>
      <c r="K1081">
        <v>1.0801480000000001</v>
      </c>
      <c r="L1081">
        <v>367.70699999999999</v>
      </c>
      <c r="M1081">
        <v>0.99997760000000002</v>
      </c>
      <c r="N1081">
        <v>0</v>
      </c>
      <c r="O1081">
        <v>6.2704089999999905E-4</v>
      </c>
      <c r="P1081">
        <v>0.99332259999999994</v>
      </c>
      <c r="Q1081">
        <v>0.11062139999999999</v>
      </c>
      <c r="R1081">
        <v>-3.2765950000000002E-2</v>
      </c>
      <c r="S1081">
        <v>3.0302120000000001</v>
      </c>
      <c r="T1081">
        <v>-0.1520261</v>
      </c>
      <c r="U1081">
        <v>-0.20892330000000001</v>
      </c>
      <c r="V1081">
        <v>3.3370370000000003E-2</v>
      </c>
      <c r="W1081">
        <v>0.11726739999999999</v>
      </c>
      <c r="X1081">
        <v>0.99253959999999997</v>
      </c>
      <c r="Y1081">
        <v>6.9321480000000005E-2</v>
      </c>
      <c r="Z1081">
        <v>-1.767186E-3</v>
      </c>
      <c r="AA1081">
        <v>0.99759279999999995</v>
      </c>
      <c r="AB1081">
        <v>33</v>
      </c>
      <c r="AC1081">
        <v>21.331899999999901</v>
      </c>
      <c r="AD1081">
        <v>-1.08015037036099</v>
      </c>
      <c r="AE1081">
        <v>-1.48239999999998</v>
      </c>
      <c r="AF1081">
        <v>1.4919690313963601</v>
      </c>
      <c r="AG1081">
        <v>-1.08015037036099</v>
      </c>
      <c r="AH1081">
        <v>21.276676126312399</v>
      </c>
      <c r="AI1081">
        <v>92.899125938866405</v>
      </c>
      <c r="AJ1081">
        <v>85.988855178617101</v>
      </c>
      <c r="AK1081">
        <v>21.3562553692643</v>
      </c>
      <c r="AL1081">
        <v>83.265577720103494</v>
      </c>
      <c r="AM1081">
        <v>88.074372624488007</v>
      </c>
      <c r="AN1081">
        <v>1.0000000411324199</v>
      </c>
    </row>
    <row r="1082" spans="1:40" x14ac:dyDescent="0.25">
      <c r="A1082" t="str">
        <f>"20190312164011581"</f>
        <v>20190312164011581</v>
      </c>
      <c r="B1082" t="str">
        <f>"1552380011577141"</f>
        <v>1552380011577141</v>
      </c>
      <c r="C1082" t="s">
        <v>40</v>
      </c>
      <c r="D1082">
        <v>5.4781370000000003</v>
      </c>
      <c r="E1082">
        <v>0.51685919999999996</v>
      </c>
      <c r="F1082" t="s">
        <v>41</v>
      </c>
      <c r="G1082">
        <v>-255.56960000000001</v>
      </c>
      <c r="H1082" s="1">
        <v>-2.4856220000000002E-6</v>
      </c>
      <c r="I1082">
        <v>366.21870000000001</v>
      </c>
      <c r="J1082">
        <v>-276.99250000000001</v>
      </c>
      <c r="K1082">
        <v>1.0818000000000001</v>
      </c>
      <c r="L1082">
        <v>367.70710000000003</v>
      </c>
      <c r="M1082">
        <v>0.99997760000000002</v>
      </c>
      <c r="N1082">
        <v>0</v>
      </c>
      <c r="O1082">
        <v>6.7845489999999997E-4</v>
      </c>
      <c r="P1082">
        <v>0.99332120000000002</v>
      </c>
      <c r="Q1082">
        <v>0.11061319999999999</v>
      </c>
      <c r="R1082">
        <v>-3.283407E-2</v>
      </c>
      <c r="S1082">
        <v>3.030151</v>
      </c>
      <c r="T1082">
        <v>-0.1515406</v>
      </c>
      <c r="U1082">
        <v>-0.2088013</v>
      </c>
      <c r="V1082">
        <v>3.3489140000000001E-2</v>
      </c>
      <c r="W1082">
        <v>0.1172508</v>
      </c>
      <c r="X1082">
        <v>0.99253749999999996</v>
      </c>
      <c r="Y1082">
        <v>6.9334610000000005E-2</v>
      </c>
      <c r="Z1082">
        <v>-1.7644830000000001E-3</v>
      </c>
      <c r="AA1082">
        <v>0.99759189999999998</v>
      </c>
      <c r="AB1082">
        <v>33</v>
      </c>
      <c r="AC1082">
        <v>21.422899999999998</v>
      </c>
      <c r="AD1082">
        <v>-1.0818024856219901</v>
      </c>
      <c r="AE1082">
        <v>-1.4884000000000099</v>
      </c>
      <c r="AF1082">
        <v>1.49913004027707</v>
      </c>
      <c r="AG1082">
        <v>-1.0818024856219901</v>
      </c>
      <c r="AH1082">
        <v>21.3676595477855</v>
      </c>
      <c r="AI1082">
        <v>92.891202978111394</v>
      </c>
      <c r="AJ1082">
        <v>85.986771120628404</v>
      </c>
      <c r="AK1082">
        <v>21.447483816187599</v>
      </c>
      <c r="AL1082">
        <v>83.266535028502403</v>
      </c>
      <c r="AM1082">
        <v>88.067520138291201</v>
      </c>
      <c r="AN1082">
        <v>0.99999998075241403</v>
      </c>
    </row>
    <row r="1083" spans="1:40" x14ac:dyDescent="0.25">
      <c r="A1083" t="str">
        <f>"20190312164011592"</f>
        <v>20190312164011592</v>
      </c>
      <c r="B1083" t="str">
        <f>"1552380011586902"</f>
        <v>1552380011586902</v>
      </c>
      <c r="C1083" t="s">
        <v>40</v>
      </c>
      <c r="D1083">
        <v>5.4879829999999998</v>
      </c>
      <c r="E1083">
        <v>0.51676889999999998</v>
      </c>
      <c r="F1083" t="s">
        <v>42</v>
      </c>
      <c r="G1083">
        <v>-276.00220000000002</v>
      </c>
      <c r="H1083">
        <v>1.0324599999999999</v>
      </c>
      <c r="I1083">
        <v>367.63920000000002</v>
      </c>
      <c r="J1083">
        <v>-276.82119999999998</v>
      </c>
      <c r="K1083">
        <v>1.0834170000000001</v>
      </c>
      <c r="L1083">
        <v>367.70729999999998</v>
      </c>
      <c r="M1083">
        <v>0.999977</v>
      </c>
      <c r="N1083">
        <v>0</v>
      </c>
      <c r="O1083">
        <v>7.2844990000000003E-4</v>
      </c>
      <c r="P1083">
        <v>0.99335399999999996</v>
      </c>
      <c r="Q1083">
        <v>0.1103157</v>
      </c>
      <c r="R1083">
        <v>-3.2837789999999999E-2</v>
      </c>
      <c r="S1083">
        <v>3.03009</v>
      </c>
      <c r="T1083">
        <v>-0.1509027</v>
      </c>
      <c r="U1083">
        <v>-0.2075806</v>
      </c>
      <c r="V1083">
        <v>3.3542469999999998E-2</v>
      </c>
      <c r="W1083">
        <v>0.1170311</v>
      </c>
      <c r="X1083">
        <v>0.99256160000000004</v>
      </c>
      <c r="Y1083">
        <v>6.898696E-2</v>
      </c>
      <c r="Z1083">
        <v>-1.7509680000000001E-3</v>
      </c>
      <c r="AA1083">
        <v>0.99761610000000001</v>
      </c>
      <c r="AB1083">
        <v>33</v>
      </c>
      <c r="AC1083">
        <v>0.81899999999995898</v>
      </c>
      <c r="AD1083">
        <v>-5.0957000000000099E-2</v>
      </c>
      <c r="AE1083">
        <v>-6.8099999999958499E-2</v>
      </c>
      <c r="AF1083">
        <v>6.8433498726930206E-2</v>
      </c>
      <c r="AG1083">
        <v>-5.0957000000000099E-2</v>
      </c>
      <c r="AH1083">
        <v>0.81581372283584497</v>
      </c>
      <c r="AI1083">
        <v>93.561664188786196</v>
      </c>
      <c r="AJ1083">
        <v>85.205041771616393</v>
      </c>
      <c r="AK1083">
        <v>0.82026324430897801</v>
      </c>
      <c r="AL1083">
        <v>83.279209986914196</v>
      </c>
      <c r="AM1083">
        <v>88.064492047710701</v>
      </c>
      <c r="AN1083">
        <v>0.99999995272773401</v>
      </c>
    </row>
    <row r="1084" spans="1:40" x14ac:dyDescent="0.25">
      <c r="A1084" t="str">
        <f>"20190312164011602"</f>
        <v>20190312164011602</v>
      </c>
      <c r="B1084" t="str">
        <f>"1552380011597637"</f>
        <v>1552380011597637</v>
      </c>
      <c r="C1084" t="s">
        <v>40</v>
      </c>
      <c r="D1084">
        <v>5.3907889999999998</v>
      </c>
      <c r="E1084">
        <v>0.51664359999999998</v>
      </c>
      <c r="F1084" t="s">
        <v>41</v>
      </c>
      <c r="G1084">
        <v>-255.14689999999999</v>
      </c>
      <c r="H1084" s="1">
        <v>-2.6651889999999998E-6</v>
      </c>
      <c r="I1084">
        <v>366.22879999999998</v>
      </c>
      <c r="J1084">
        <v>-276.6737</v>
      </c>
      <c r="K1084">
        <v>1.084795</v>
      </c>
      <c r="L1084">
        <v>367.70740000000001</v>
      </c>
      <c r="M1084">
        <v>0.99997630000000004</v>
      </c>
      <c r="N1084">
        <v>0</v>
      </c>
      <c r="O1084">
        <v>7.7138509999999903E-4</v>
      </c>
      <c r="P1084">
        <v>0.99336049999999998</v>
      </c>
      <c r="Q1084">
        <v>0.1102302</v>
      </c>
      <c r="R1084">
        <v>-3.2934959999999999E-2</v>
      </c>
      <c r="S1084">
        <v>3.03009</v>
      </c>
      <c r="T1084">
        <v>-0.15146270000000001</v>
      </c>
      <c r="U1084">
        <v>-0.20669560000000001</v>
      </c>
      <c r="V1084">
        <v>3.368227E-2</v>
      </c>
      <c r="W1084">
        <v>0.1170476</v>
      </c>
      <c r="X1084">
        <v>0.99255499999999997</v>
      </c>
      <c r="Y1084">
        <v>6.8739380000000003E-2</v>
      </c>
      <c r="Z1084">
        <v>-1.75344E-3</v>
      </c>
      <c r="AA1084">
        <v>0.99763310000000005</v>
      </c>
      <c r="AB1084">
        <v>33</v>
      </c>
      <c r="AC1084">
        <v>21.526800000000001</v>
      </c>
      <c r="AD1084">
        <v>-1.0847976651889999</v>
      </c>
      <c r="AE1084">
        <v>-1.4786000000000199</v>
      </c>
      <c r="AF1084">
        <v>1.49143576927889</v>
      </c>
      <c r="AG1084">
        <v>-1.0847976651889999</v>
      </c>
      <c r="AH1084">
        <v>21.471383669147102</v>
      </c>
      <c r="AI1084">
        <v>92.885351996825193</v>
      </c>
      <c r="AJ1084">
        <v>86.026528212729204</v>
      </c>
      <c r="AK1084">
        <v>21.550440443202099</v>
      </c>
      <c r="AL1084">
        <v>83.278258599523198</v>
      </c>
      <c r="AM1084">
        <v>88.056418400123903</v>
      </c>
      <c r="AN1084">
        <v>1.0000000320015501</v>
      </c>
    </row>
    <row r="1085" spans="1:40" x14ac:dyDescent="0.25">
      <c r="A1085" t="str">
        <f>"20190312164011613"</f>
        <v>20190312164011613</v>
      </c>
      <c r="B1085" t="str">
        <f>"1552380011607397"</f>
        <v>1552380011607397</v>
      </c>
      <c r="C1085" t="s">
        <v>40</v>
      </c>
      <c r="D1085">
        <v>5.4596289999999996</v>
      </c>
      <c r="E1085">
        <v>0.51655799999999996</v>
      </c>
      <c r="F1085" t="s">
        <v>42</v>
      </c>
      <c r="G1085">
        <v>-275.69799999999998</v>
      </c>
      <c r="H1085">
        <v>1.0358000000000001</v>
      </c>
      <c r="I1085">
        <v>367.64089999999999</v>
      </c>
      <c r="J1085">
        <v>-276.5172</v>
      </c>
      <c r="K1085">
        <v>1.08623799999999</v>
      </c>
      <c r="L1085">
        <v>367.70760000000001</v>
      </c>
      <c r="M1085">
        <v>0.99997519999999995</v>
      </c>
      <c r="N1085">
        <v>0</v>
      </c>
      <c r="O1085">
        <v>8.1706289999999902E-4</v>
      </c>
      <c r="P1085">
        <v>0.99340830000000002</v>
      </c>
      <c r="Q1085">
        <v>0.1098456</v>
      </c>
      <c r="R1085">
        <v>-3.2775690000000003E-2</v>
      </c>
      <c r="S1085">
        <v>3.03009</v>
      </c>
      <c r="T1085">
        <v>-0.15229229999999899</v>
      </c>
      <c r="U1085">
        <v>-0.20593259999999999</v>
      </c>
      <c r="V1085">
        <v>3.3568399999999998E-2</v>
      </c>
      <c r="W1085">
        <v>0.11681510000000001</v>
      </c>
      <c r="X1085">
        <v>0.99258619999999997</v>
      </c>
      <c r="Y1085">
        <v>6.8534159999999997E-2</v>
      </c>
      <c r="Z1085">
        <v>-1.7601909999999999E-3</v>
      </c>
      <c r="AA1085">
        <v>0.99764719999999996</v>
      </c>
      <c r="AB1085">
        <v>33</v>
      </c>
      <c r="AC1085">
        <v>0.81920000000002302</v>
      </c>
      <c r="AD1085">
        <v>-5.0437999999999698E-2</v>
      </c>
      <c r="AE1085">
        <v>-6.6700000000025697E-2</v>
      </c>
      <c r="AF1085">
        <v>6.7116579197733506E-2</v>
      </c>
      <c r="AG1085">
        <v>-5.0437999999999698E-2</v>
      </c>
      <c r="AH1085">
        <v>0.81607199961711596</v>
      </c>
      <c r="AI1085">
        <v>93.524843160732203</v>
      </c>
      <c r="AJ1085">
        <v>85.298378759797302</v>
      </c>
      <c r="AK1085">
        <v>0.82037926327174104</v>
      </c>
      <c r="AL1085">
        <v>83.291671564539996</v>
      </c>
      <c r="AM1085">
        <v>88.063044912631099</v>
      </c>
      <c r="AN1085">
        <v>0.99999998474850404</v>
      </c>
    </row>
    <row r="1086" spans="1:40" x14ac:dyDescent="0.25">
      <c r="A1086" t="str">
        <f>"20190312164011623"</f>
        <v>20190312164011623</v>
      </c>
      <c r="B1086" t="str">
        <f>"1552380011617158"</f>
        <v>1552380011617158</v>
      </c>
      <c r="C1086" t="s">
        <v>40</v>
      </c>
      <c r="D1086">
        <v>5.6206940000000003</v>
      </c>
      <c r="E1086">
        <v>0.51648349999999998</v>
      </c>
      <c r="F1086" t="s">
        <v>41</v>
      </c>
      <c r="G1086">
        <v>-255.13929999999999</v>
      </c>
      <c r="H1086" s="1">
        <v>-2.6625389999999999E-6</v>
      </c>
      <c r="I1086">
        <v>366.26209999999998</v>
      </c>
      <c r="J1086">
        <v>-276.36399999999998</v>
      </c>
      <c r="K1086">
        <v>1.087607</v>
      </c>
      <c r="L1086">
        <v>367.70780000000002</v>
      </c>
      <c r="M1086">
        <v>0.99997389999999997</v>
      </c>
      <c r="N1086">
        <v>0</v>
      </c>
      <c r="O1086">
        <v>8.6210949999999996E-4</v>
      </c>
      <c r="P1086">
        <v>0.99341919999999995</v>
      </c>
      <c r="Q1086">
        <v>0.10971599999999999</v>
      </c>
      <c r="R1086">
        <v>-3.2877040000000003E-2</v>
      </c>
      <c r="S1086">
        <v>3.0301819999999999</v>
      </c>
      <c r="T1086">
        <v>-0.15396750000000001</v>
      </c>
      <c r="U1086">
        <v>-0.20489499999999999</v>
      </c>
      <c r="V1086">
        <v>3.3714429999999997E-2</v>
      </c>
      <c r="W1086">
        <v>0.1168606</v>
      </c>
      <c r="X1086">
        <v>0.99257589999999996</v>
      </c>
      <c r="Y1086">
        <v>6.8235409999999996E-2</v>
      </c>
      <c r="Z1086">
        <v>-1.7742039999999999E-3</v>
      </c>
      <c r="AA1086">
        <v>0.99766770000000005</v>
      </c>
      <c r="AB1086">
        <v>33</v>
      </c>
      <c r="AC1086">
        <v>21.224699999999999</v>
      </c>
      <c r="AD1086">
        <v>-1.0876096625389999</v>
      </c>
      <c r="AE1086">
        <v>-1.44570000000004</v>
      </c>
      <c r="AF1086">
        <v>1.46018149902913</v>
      </c>
      <c r="AG1086">
        <v>-1.0876096625389999</v>
      </c>
      <c r="AH1086">
        <v>21.168118998347001</v>
      </c>
      <c r="AI1086">
        <v>92.934287808473002</v>
      </c>
      <c r="AJ1086">
        <v>86.053975370923794</v>
      </c>
      <c r="AK1086">
        <v>21.2462770083687</v>
      </c>
      <c r="AL1086">
        <v>83.289046663365795</v>
      </c>
      <c r="AM1086">
        <v>88.054605016241197</v>
      </c>
      <c r="AN1086">
        <v>0.99999998994169703</v>
      </c>
    </row>
    <row r="1087" spans="1:40" x14ac:dyDescent="0.25">
      <c r="A1087" t="str">
        <f>"20190312164011633"</f>
        <v>20190312164011633</v>
      </c>
      <c r="B1087" t="str">
        <f>"1552380011626917"</f>
        <v>1552380011626917</v>
      </c>
      <c r="C1087" t="s">
        <v>40</v>
      </c>
      <c r="D1087">
        <v>5.4205259999999997</v>
      </c>
      <c r="E1087">
        <v>0.51639849999999998</v>
      </c>
      <c r="F1087" t="s">
        <v>41</v>
      </c>
      <c r="G1087">
        <v>-254.98419999999999</v>
      </c>
      <c r="H1087" s="1">
        <v>-2.7286349999999999E-6</v>
      </c>
      <c r="I1087">
        <v>366.26440000000002</v>
      </c>
      <c r="J1087">
        <v>-276.19940000000003</v>
      </c>
      <c r="K1087">
        <v>1.089054</v>
      </c>
      <c r="L1087">
        <v>367.7079</v>
      </c>
      <c r="M1087">
        <v>0.99997219999999998</v>
      </c>
      <c r="N1087">
        <v>0</v>
      </c>
      <c r="O1087">
        <v>9.1075599999999998E-4</v>
      </c>
      <c r="P1087">
        <v>0.99344180000000004</v>
      </c>
      <c r="Q1087">
        <v>0.109462</v>
      </c>
      <c r="R1087">
        <v>-3.3039220000000001E-2</v>
      </c>
      <c r="S1087">
        <v>3.030151</v>
      </c>
      <c r="T1087">
        <v>-0.15414630000000001</v>
      </c>
      <c r="U1087">
        <v>-0.2045593</v>
      </c>
      <c r="V1087">
        <v>3.3924889999999999E-2</v>
      </c>
      <c r="W1087">
        <v>0.1168203</v>
      </c>
      <c r="X1087">
        <v>0.9925735</v>
      </c>
      <c r="Y1087">
        <v>6.8174410000000005E-2</v>
      </c>
      <c r="Z1087">
        <v>-1.777208E-3</v>
      </c>
      <c r="AA1087">
        <v>0.9976718</v>
      </c>
      <c r="AB1087">
        <v>33</v>
      </c>
      <c r="AC1087">
        <v>21.215199999999999</v>
      </c>
      <c r="AD1087">
        <v>-1.0890567286349999</v>
      </c>
      <c r="AE1087">
        <v>-1.44349999999997</v>
      </c>
      <c r="AF1087">
        <v>1.4589948356199101</v>
      </c>
      <c r="AG1087">
        <v>-1.0890567286349999</v>
      </c>
      <c r="AH1087">
        <v>21.158377743755299</v>
      </c>
      <c r="AI1087">
        <v>92.939540305578802</v>
      </c>
      <c r="AJ1087">
        <v>86.055362579000402</v>
      </c>
      <c r="AK1087">
        <v>21.236564205068301</v>
      </c>
      <c r="AL1087">
        <v>83.291371788409904</v>
      </c>
      <c r="AM1087">
        <v>88.042465711658096</v>
      </c>
      <c r="AN1087">
        <v>1.0000000167779199</v>
      </c>
    </row>
    <row r="1088" spans="1:40" x14ac:dyDescent="0.25">
      <c r="A1088" t="str">
        <f>"20190312164011645"</f>
        <v>20190312164011645</v>
      </c>
      <c r="B1088" t="str">
        <f>"1552380011637654"</f>
        <v>1552380011637654</v>
      </c>
      <c r="C1088" t="s">
        <v>40</v>
      </c>
      <c r="D1088">
        <v>5.4218539999999997</v>
      </c>
      <c r="E1088">
        <v>0.51632509999999998</v>
      </c>
      <c r="F1088" t="s">
        <v>41</v>
      </c>
      <c r="G1088">
        <v>-254.87039999999999</v>
      </c>
      <c r="H1088" s="1">
        <v>-2.776992E-6</v>
      </c>
      <c r="I1088">
        <v>366.26710000000003</v>
      </c>
      <c r="J1088">
        <v>-276.03590000000003</v>
      </c>
      <c r="K1088">
        <v>1.09043</v>
      </c>
      <c r="L1088">
        <v>367.7081</v>
      </c>
      <c r="M1088">
        <v>0.99997040000000004</v>
      </c>
      <c r="N1088">
        <v>0</v>
      </c>
      <c r="O1088">
        <v>9.5906729999999996E-4</v>
      </c>
      <c r="P1088">
        <v>0.9934887</v>
      </c>
      <c r="Q1088">
        <v>0.10904700000000001</v>
      </c>
      <c r="R1088">
        <v>-3.3000389999999998E-2</v>
      </c>
      <c r="S1088">
        <v>3.0300289999999999</v>
      </c>
      <c r="T1088">
        <v>-0.15471270000000001</v>
      </c>
      <c r="U1088">
        <v>-0.20468140000000001</v>
      </c>
      <c r="V1088">
        <v>3.3933999999999999E-2</v>
      </c>
      <c r="W1088">
        <v>0.1166389</v>
      </c>
      <c r="X1088">
        <v>0.99259450000000005</v>
      </c>
      <c r="Y1088">
        <v>6.8264480000000002E-2</v>
      </c>
      <c r="Z1088">
        <v>-1.788556E-3</v>
      </c>
      <c r="AA1088">
        <v>0.99766560000000004</v>
      </c>
      <c r="AB1088">
        <v>33</v>
      </c>
      <c r="AC1088">
        <v>21.165500000000002</v>
      </c>
      <c r="AD1088">
        <v>-1.0904327769919999</v>
      </c>
      <c r="AE1088">
        <v>-1.4409999999999701</v>
      </c>
      <c r="AF1088">
        <v>1.4574484930960601</v>
      </c>
      <c r="AG1088">
        <v>-1.0904327769919999</v>
      </c>
      <c r="AH1088">
        <v>21.108340036998399</v>
      </c>
      <c r="AI1088">
        <v>92.950194425130803</v>
      </c>
      <c r="AJ1088">
        <v>86.050218772998505</v>
      </c>
      <c r="AK1088">
        <v>21.186675502983402</v>
      </c>
      <c r="AL1088">
        <v>83.301836640239401</v>
      </c>
      <c r="AM1088">
        <v>88.041981849279907</v>
      </c>
      <c r="AN1088">
        <v>0.99999999538972995</v>
      </c>
    </row>
    <row r="1089" spans="1:40" x14ac:dyDescent="0.25">
      <c r="A1089" t="str">
        <f>"20190312164011657"</f>
        <v>20190312164011657</v>
      </c>
      <c r="B1089" t="str">
        <f>"1552380011647414"</f>
        <v>1552380011647414</v>
      </c>
      <c r="C1089" t="s">
        <v>40</v>
      </c>
      <c r="D1089">
        <v>5.457446</v>
      </c>
      <c r="E1089">
        <v>0.51627309999999904</v>
      </c>
      <c r="F1089" t="s">
        <v>41</v>
      </c>
      <c r="G1089">
        <v>-254.82749999999999</v>
      </c>
      <c r="H1089" s="1">
        <v>-2.7928000000000002E-6</v>
      </c>
      <c r="I1089">
        <v>366.28190000000001</v>
      </c>
      <c r="J1089">
        <v>-275.8639</v>
      </c>
      <c r="K1089">
        <v>1.0918509999999999</v>
      </c>
      <c r="L1089">
        <v>367.70830000000001</v>
      </c>
      <c r="M1089">
        <v>0.99996839999999998</v>
      </c>
      <c r="N1089">
        <v>0</v>
      </c>
      <c r="O1089">
        <v>1.0096510000000001E-3</v>
      </c>
      <c r="P1089">
        <v>0.99349560000000003</v>
      </c>
      <c r="Q1089">
        <v>0.1089638</v>
      </c>
      <c r="R1089">
        <v>-3.3073720000000001E-2</v>
      </c>
      <c r="S1089">
        <v>3.0299990000000001</v>
      </c>
      <c r="T1089">
        <v>-0.15578719999999999</v>
      </c>
      <c r="U1089">
        <v>-0.2037659</v>
      </c>
      <c r="V1089">
        <v>3.4057259999999999E-2</v>
      </c>
      <c r="W1089">
        <v>0.11680989999999999</v>
      </c>
      <c r="X1089">
        <v>0.99257019999999996</v>
      </c>
      <c r="Y1089">
        <v>6.8014549999999993E-2</v>
      </c>
      <c r="Z1089">
        <v>-1.7971809999999999E-3</v>
      </c>
      <c r="AA1089">
        <v>0.99768270000000003</v>
      </c>
      <c r="AB1089">
        <v>33</v>
      </c>
      <c r="AC1089">
        <v>21.0364</v>
      </c>
      <c r="AD1089">
        <v>-1.0918537928000001</v>
      </c>
      <c r="AE1089">
        <v>-1.4263999999999999</v>
      </c>
      <c r="AF1089">
        <v>1.44376774833247</v>
      </c>
      <c r="AG1089">
        <v>-1.0918537928000001</v>
      </c>
      <c r="AH1089">
        <v>20.978692609117999</v>
      </c>
      <c r="AI1089">
        <v>92.972301260973694</v>
      </c>
      <c r="AJ1089">
        <v>86.063073519982495</v>
      </c>
      <c r="AK1089">
        <v>21.0566415556669</v>
      </c>
      <c r="AL1089">
        <v>83.291971833069297</v>
      </c>
      <c r="AM1089">
        <v>88.034827145519202</v>
      </c>
      <c r="AN1089">
        <v>1.00000002581237</v>
      </c>
    </row>
    <row r="1090" spans="1:40" x14ac:dyDescent="0.25">
      <c r="A1090" t="str">
        <f>"20190312164011668"</f>
        <v>20190312164011668</v>
      </c>
      <c r="B1090" t="str">
        <f>"1552380011657175"</f>
        <v>1552380011657175</v>
      </c>
      <c r="C1090" t="s">
        <v>40</v>
      </c>
      <c r="D1090">
        <v>5.5723449999999897</v>
      </c>
      <c r="E1090">
        <v>0.51620080000000002</v>
      </c>
      <c r="F1090" t="s">
        <v>41</v>
      </c>
      <c r="G1090">
        <v>-254.64</v>
      </c>
      <c r="H1090" s="1">
        <v>-2.872981E-6</v>
      </c>
      <c r="I1090">
        <v>366.28320000000002</v>
      </c>
      <c r="J1090">
        <v>-275.71069999999997</v>
      </c>
      <c r="K1090">
        <v>1.093019</v>
      </c>
      <c r="L1090">
        <v>367.70850000000002</v>
      </c>
      <c r="M1090">
        <v>0.99996640000000003</v>
      </c>
      <c r="N1090">
        <v>0</v>
      </c>
      <c r="O1090">
        <v>1.0538870000000001E-3</v>
      </c>
      <c r="P1090">
        <v>0.99350700000000003</v>
      </c>
      <c r="Q1090">
        <v>0.10892739999999999</v>
      </c>
      <c r="R1090">
        <v>-3.2849120000000002E-2</v>
      </c>
      <c r="S1090">
        <v>3.0300289999999999</v>
      </c>
      <c r="T1090">
        <v>-0.15587779999999901</v>
      </c>
      <c r="U1090">
        <v>-0.20346069999999999</v>
      </c>
      <c r="V1090">
        <v>3.387652E-2</v>
      </c>
      <c r="W1090">
        <v>0.11701400000000001</v>
      </c>
      <c r="X1090">
        <v>0.99255230000000005</v>
      </c>
      <c r="Y1090">
        <v>6.7957890000000007E-2</v>
      </c>
      <c r="Z1090">
        <v>-1.799031E-3</v>
      </c>
      <c r="AA1090">
        <v>0.99768659999999998</v>
      </c>
      <c r="AB1090">
        <v>33</v>
      </c>
      <c r="AC1090">
        <v>21.070699999999899</v>
      </c>
      <c r="AD1090">
        <v>-1.093021872981</v>
      </c>
      <c r="AE1090">
        <v>-1.42529999999999</v>
      </c>
      <c r="AF1090">
        <v>1.4436390650156701</v>
      </c>
      <c r="AG1090">
        <v>-1.093021872981</v>
      </c>
      <c r="AH1090">
        <v>21.012899789779699</v>
      </c>
      <c r="AI1090">
        <v>92.970664204733396</v>
      </c>
      <c r="AJ1090">
        <v>86.069811622171798</v>
      </c>
      <c r="AK1090">
        <v>21.090774005241698</v>
      </c>
      <c r="AL1090">
        <v>83.280196717391703</v>
      </c>
      <c r="AM1090">
        <v>88.045212871838302</v>
      </c>
      <c r="AN1090">
        <v>0.99999998151930003</v>
      </c>
    </row>
    <row r="1091" spans="1:40" x14ac:dyDescent="0.25">
      <c r="A1091" t="str">
        <f>"20190312164011680"</f>
        <v>20190312164011680</v>
      </c>
      <c r="B1091" t="str">
        <f>"1552380011667440"</f>
        <v>1552380011667440</v>
      </c>
      <c r="C1091" t="s">
        <v>40</v>
      </c>
      <c r="D1091">
        <v>5.4286719999999997</v>
      </c>
      <c r="E1091">
        <v>0.51615009999999995</v>
      </c>
      <c r="F1091" t="s">
        <v>41</v>
      </c>
      <c r="G1091">
        <v>-254.43559999999999</v>
      </c>
      <c r="H1091" s="1">
        <v>-2.960145E-6</v>
      </c>
      <c r="I1091">
        <v>366.28609999999998</v>
      </c>
      <c r="J1091">
        <v>-275.53129999999999</v>
      </c>
      <c r="K1091">
        <v>1.0943620000000001</v>
      </c>
      <c r="L1091">
        <v>367.70870000000002</v>
      </c>
      <c r="M1091">
        <v>0.99996390000000002</v>
      </c>
      <c r="N1091">
        <v>0</v>
      </c>
      <c r="O1091">
        <v>1.105785E-3</v>
      </c>
      <c r="P1091">
        <v>0.99353639999999999</v>
      </c>
      <c r="Q1091">
        <v>0.10858379999999999</v>
      </c>
      <c r="R1091">
        <v>-3.3092000000000003E-2</v>
      </c>
      <c r="S1091">
        <v>3.0299680000000002</v>
      </c>
      <c r="T1091">
        <v>-0.1556662</v>
      </c>
      <c r="U1091">
        <v>-0.2025757</v>
      </c>
      <c r="V1091">
        <v>3.4170880000000001E-2</v>
      </c>
      <c r="W1091">
        <v>0.1169529</v>
      </c>
      <c r="X1091">
        <v>0.99254940000000003</v>
      </c>
      <c r="Y1091">
        <v>6.7721390000000006E-2</v>
      </c>
      <c r="Z1091">
        <v>-1.7932429999999999E-3</v>
      </c>
      <c r="AA1091">
        <v>0.99770270000000005</v>
      </c>
      <c r="AB1091">
        <v>33</v>
      </c>
      <c r="AC1091">
        <v>21.095699999999901</v>
      </c>
      <c r="AD1091">
        <v>-1.0943649601450001</v>
      </c>
      <c r="AE1091">
        <v>-1.4226000000000401</v>
      </c>
      <c r="AF1091">
        <v>1.4420640370667901</v>
      </c>
      <c r="AG1091">
        <v>-1.0943649601450001</v>
      </c>
      <c r="AH1091">
        <v>21.037754685456601</v>
      </c>
      <c r="AI1091">
        <v>92.970831887284405</v>
      </c>
      <c r="AJ1091">
        <v>86.078709852882895</v>
      </c>
      <c r="AK1091">
        <v>21.115499178528701</v>
      </c>
      <c r="AL1091">
        <v>83.283721619202197</v>
      </c>
      <c r="AM1091">
        <v>88.028234920655095</v>
      </c>
      <c r="AN1091">
        <v>0.99999997064937096</v>
      </c>
    </row>
    <row r="1092" spans="1:40" x14ac:dyDescent="0.25">
      <c r="A1092" t="str">
        <f>"20190312164011691"</f>
        <v>20190312164011691</v>
      </c>
      <c r="B1092" t="str">
        <f>"1552380011687442"</f>
        <v>1552380011687442</v>
      </c>
      <c r="C1092" t="s">
        <v>40</v>
      </c>
      <c r="D1092">
        <v>5.3601260000000002</v>
      </c>
      <c r="E1092">
        <v>0.51590459999999905</v>
      </c>
      <c r="F1092" t="s">
        <v>42</v>
      </c>
      <c r="G1092">
        <v>-274.52550000000002</v>
      </c>
      <c r="H1092">
        <v>1.042179</v>
      </c>
      <c r="I1092">
        <v>367.6413</v>
      </c>
      <c r="J1092">
        <v>-275.35680000000002</v>
      </c>
      <c r="K1092">
        <v>1.0955680000000001</v>
      </c>
      <c r="L1092">
        <v>367.709</v>
      </c>
      <c r="M1092">
        <v>0.99996160000000001</v>
      </c>
      <c r="N1092">
        <v>0</v>
      </c>
      <c r="O1092">
        <v>1.1559929999999999E-3</v>
      </c>
      <c r="P1092">
        <v>0.99359120000000001</v>
      </c>
      <c r="Q1092">
        <v>0.1081515</v>
      </c>
      <c r="R1092">
        <v>-3.2864640000000001E-2</v>
      </c>
      <c r="S1092">
        <v>3.0299070000000001</v>
      </c>
      <c r="T1092">
        <v>-0.15729109999999999</v>
      </c>
      <c r="U1092">
        <v>-0.20300289999999999</v>
      </c>
      <c r="V1092">
        <v>3.3993210000000003E-2</v>
      </c>
      <c r="W1092">
        <v>0.116799</v>
      </c>
      <c r="X1092">
        <v>0.9925737</v>
      </c>
      <c r="Y1092">
        <v>6.7910659999999998E-2</v>
      </c>
      <c r="Z1092">
        <v>-1.819469E-3</v>
      </c>
      <c r="AA1092">
        <v>0.99768970000000001</v>
      </c>
      <c r="AB1092">
        <v>33</v>
      </c>
      <c r="AC1092">
        <v>0.83129999999999804</v>
      </c>
      <c r="AD1092">
        <v>-5.3388999999999902E-2</v>
      </c>
      <c r="AE1092">
        <v>-6.7700000000001995E-2</v>
      </c>
      <c r="AF1092">
        <v>6.8380778921088806E-2</v>
      </c>
      <c r="AG1092">
        <v>-5.3388999999999902E-2</v>
      </c>
      <c r="AH1092">
        <v>0.82782916486420399</v>
      </c>
      <c r="AI1092">
        <v>93.677562982942803</v>
      </c>
      <c r="AJ1092">
        <v>85.2779443013453</v>
      </c>
      <c r="AK1092">
        <v>0.83236256670192699</v>
      </c>
      <c r="AL1092">
        <v>83.292600806408203</v>
      </c>
      <c r="AM1092">
        <v>88.0385269816678</v>
      </c>
      <c r="AN1092">
        <v>1.00000004732939</v>
      </c>
    </row>
    <row r="1093" spans="1:40" x14ac:dyDescent="0.25">
      <c r="A1093" t="str">
        <f>"20190312164011703"</f>
        <v>20190312164011703</v>
      </c>
      <c r="B1093" t="str">
        <f>"1552380011697696"</f>
        <v>1552380011697696</v>
      </c>
      <c r="C1093" t="s">
        <v>40</v>
      </c>
      <c r="D1093">
        <v>5.5421659999999999</v>
      </c>
      <c r="E1093">
        <v>0.51578020000000002</v>
      </c>
      <c r="F1093" t="s">
        <v>41</v>
      </c>
      <c r="G1093">
        <v>-254.50880000000001</v>
      </c>
      <c r="H1093" s="1">
        <v>-2.9205709999999999E-6</v>
      </c>
      <c r="I1093">
        <v>366.3322</v>
      </c>
      <c r="J1093">
        <v>-275.18380000000002</v>
      </c>
      <c r="K1093">
        <v>1.0967129999999901</v>
      </c>
      <c r="L1093">
        <v>367.70920000000001</v>
      </c>
      <c r="M1093">
        <v>0.99995909999999999</v>
      </c>
      <c r="N1093">
        <v>0</v>
      </c>
      <c r="O1093">
        <v>1.2058850000000001E-3</v>
      </c>
      <c r="P1093">
        <v>0.99364339999999995</v>
      </c>
      <c r="Q1093">
        <v>0.1077332</v>
      </c>
      <c r="R1093">
        <v>-3.2662650000000001E-2</v>
      </c>
      <c r="S1093">
        <v>3.0300600000000002</v>
      </c>
      <c r="T1093">
        <v>-0.1592307</v>
      </c>
      <c r="U1093">
        <v>-0.2001038</v>
      </c>
      <c r="V1093">
        <v>3.3840660000000002E-2</v>
      </c>
      <c r="W1093">
        <v>0.1166541</v>
      </c>
      <c r="X1093">
        <v>0.99259589999999998</v>
      </c>
      <c r="Y1093">
        <v>6.7005560000000006E-2</v>
      </c>
      <c r="Z1093">
        <v>-1.8207189999999999E-3</v>
      </c>
      <c r="AA1093">
        <v>0.9977509</v>
      </c>
      <c r="AB1093">
        <v>33</v>
      </c>
      <c r="AC1093">
        <v>20.675000000000001</v>
      </c>
      <c r="AD1093">
        <v>-1.09671592057099</v>
      </c>
      <c r="AE1093">
        <v>-1.377</v>
      </c>
      <c r="AF1093">
        <v>1.3980152733659199</v>
      </c>
      <c r="AG1093">
        <v>-1.09671592057099</v>
      </c>
      <c r="AH1093">
        <v>20.615571942105898</v>
      </c>
      <c r="AI1093">
        <v>93.038209858295303</v>
      </c>
      <c r="AJ1093">
        <v>86.120508930252697</v>
      </c>
      <c r="AK1093">
        <v>20.692004229052898</v>
      </c>
      <c r="AL1093">
        <v>83.300959755769796</v>
      </c>
      <c r="AM1093">
        <v>88.0473662167485</v>
      </c>
      <c r="AN1093">
        <v>0.999999995006427</v>
      </c>
    </row>
    <row r="1094" spans="1:40" x14ac:dyDescent="0.25">
      <c r="A1094" t="str">
        <f>"20190312164011715"</f>
        <v>20190312164011715</v>
      </c>
      <c r="B1094" t="str">
        <f>"1552380011707456"</f>
        <v>1552380011707456</v>
      </c>
      <c r="C1094" t="s">
        <v>40</v>
      </c>
      <c r="D1094">
        <v>5.445862</v>
      </c>
      <c r="E1094">
        <v>0.51578020000000002</v>
      </c>
      <c r="F1094" t="s">
        <v>41</v>
      </c>
      <c r="G1094">
        <v>-254.52160000000001</v>
      </c>
      <c r="H1094" s="1">
        <v>-2.9109349999999999E-6</v>
      </c>
      <c r="I1094">
        <v>366.35550000000001</v>
      </c>
      <c r="J1094">
        <v>-274.99860000000001</v>
      </c>
      <c r="K1094">
        <v>1.097866</v>
      </c>
      <c r="L1094">
        <v>367.70949999999999</v>
      </c>
      <c r="M1094">
        <v>0.99995639999999997</v>
      </c>
      <c r="N1094">
        <v>0</v>
      </c>
      <c r="O1094">
        <v>1.2588219999999999E-3</v>
      </c>
      <c r="P1094">
        <v>0.99368239999999997</v>
      </c>
      <c r="Q1094">
        <v>0.1074321</v>
      </c>
      <c r="R1094">
        <v>-3.2465630000000002E-2</v>
      </c>
      <c r="S1094">
        <v>3.0300600000000002</v>
      </c>
      <c r="T1094">
        <v>-0.1608301</v>
      </c>
      <c r="U1094">
        <v>-0.19851679999999999</v>
      </c>
      <c r="V1094">
        <v>3.3696329999999997E-2</v>
      </c>
      <c r="W1094">
        <v>0.1166437</v>
      </c>
      <c r="X1094">
        <v>0.99260210000000004</v>
      </c>
      <c r="Y1094">
        <v>6.653676E-2</v>
      </c>
      <c r="Z1094">
        <v>-1.8293999999999999E-3</v>
      </c>
      <c r="AA1094">
        <v>0.99778230000000001</v>
      </c>
      <c r="AB1094">
        <v>33</v>
      </c>
      <c r="AC1094">
        <v>20.477</v>
      </c>
      <c r="AD1094">
        <v>-1.0978689109349999</v>
      </c>
      <c r="AE1094">
        <v>-1.3539999999999801</v>
      </c>
      <c r="AF1094">
        <v>1.37583924070354</v>
      </c>
      <c r="AG1094">
        <v>-1.0978689109349999</v>
      </c>
      <c r="AH1094">
        <v>20.416845708402299</v>
      </c>
      <c r="AI1094">
        <v>93.0710327466373</v>
      </c>
      <c r="AJ1094">
        <v>86.1448118310946</v>
      </c>
      <c r="AK1094">
        <v>20.492580082619298</v>
      </c>
      <c r="AL1094">
        <v>83.301560179676798</v>
      </c>
      <c r="AM1094">
        <v>88.055699905520598</v>
      </c>
      <c r="AN1094">
        <v>1.00000006216478</v>
      </c>
    </row>
    <row r="1095" spans="1:40" x14ac:dyDescent="0.25">
      <c r="A1095" t="str">
        <f>"20190312164011728"</f>
        <v>20190312164011728</v>
      </c>
      <c r="B1095" t="str">
        <f>"1552380011717215"</f>
        <v>1552380011717215</v>
      </c>
      <c r="C1095" t="s">
        <v>40</v>
      </c>
      <c r="D1095">
        <v>5.5297650000000003</v>
      </c>
      <c r="E1095">
        <v>0.49720140000000002</v>
      </c>
      <c r="F1095" t="s">
        <v>41</v>
      </c>
      <c r="G1095">
        <v>-254.43100000000001</v>
      </c>
      <c r="H1095" s="1">
        <v>-2.9484879999999999E-6</v>
      </c>
      <c r="I1095">
        <v>366.363</v>
      </c>
      <c r="J1095">
        <v>-274.81630000000001</v>
      </c>
      <c r="K1095">
        <v>1.0989009999999999</v>
      </c>
      <c r="L1095">
        <v>367.70979999999997</v>
      </c>
      <c r="M1095">
        <v>0.99995369999999995</v>
      </c>
      <c r="N1095">
        <v>0</v>
      </c>
      <c r="O1095">
        <v>1.311481E-3</v>
      </c>
      <c r="P1095">
        <v>0.99375500000000005</v>
      </c>
      <c r="Q1095">
        <v>0.10689510000000001</v>
      </c>
      <c r="R1095">
        <v>-3.2012310000000002E-2</v>
      </c>
      <c r="S1095">
        <v>3.03009</v>
      </c>
      <c r="T1095">
        <v>-0.16174149999999901</v>
      </c>
      <c r="U1095">
        <v>-0.19836429999999999</v>
      </c>
      <c r="V1095">
        <v>3.3295329999999998E-2</v>
      </c>
      <c r="W1095">
        <v>0.11638270000000001</v>
      </c>
      <c r="X1095">
        <v>0.99264620000000003</v>
      </c>
      <c r="Y1095">
        <v>6.6537479999999996E-2</v>
      </c>
      <c r="Z1095">
        <v>-1.8425609999999999E-3</v>
      </c>
      <c r="AA1095">
        <v>0.99778219999999995</v>
      </c>
      <c r="AB1095">
        <v>33</v>
      </c>
      <c r="AC1095">
        <v>20.385300000000001</v>
      </c>
      <c r="AD1095">
        <v>-1.0989039484880001</v>
      </c>
      <c r="AE1095">
        <v>-1.3467999999999101</v>
      </c>
      <c r="AF1095">
        <v>1.3695724038810699</v>
      </c>
      <c r="AG1095">
        <v>-1.0989039484880001</v>
      </c>
      <c r="AH1095">
        <v>20.3247105627694</v>
      </c>
      <c r="AI1095">
        <v>93.087830738615494</v>
      </c>
      <c r="AJ1095">
        <v>86.144974830876194</v>
      </c>
      <c r="AK1095">
        <v>20.400421023052999</v>
      </c>
      <c r="AL1095">
        <v>83.316616476427598</v>
      </c>
      <c r="AM1095">
        <v>88.078905709910501</v>
      </c>
      <c r="AN1095">
        <v>0.99999999511676896</v>
      </c>
    </row>
    <row r="1096" spans="1:40" x14ac:dyDescent="0.25">
      <c r="A1096" t="str">
        <f>"20190312164011746"</f>
        <v>20190312164011746</v>
      </c>
      <c r="B1096" t="str">
        <f>"1552380011737712"</f>
        <v>1552380011737712</v>
      </c>
      <c r="C1096" t="s">
        <v>40</v>
      </c>
      <c r="D1096">
        <v>5.5345750000000002</v>
      </c>
      <c r="E1096">
        <v>0.4973901</v>
      </c>
      <c r="F1096" t="s">
        <v>41</v>
      </c>
      <c r="G1096">
        <v>-256.60629999999998</v>
      </c>
      <c r="H1096" s="1">
        <v>-1.8268879999999999E-6</v>
      </c>
      <c r="I1096">
        <v>367.42509999999999</v>
      </c>
      <c r="J1096">
        <v>-274.5573</v>
      </c>
      <c r="K1096">
        <v>1.1002689999999999</v>
      </c>
      <c r="L1096">
        <v>367.71019999999999</v>
      </c>
      <c r="M1096">
        <v>0.9999498</v>
      </c>
      <c r="N1096">
        <v>0</v>
      </c>
      <c r="O1096">
        <v>1.38612E-3</v>
      </c>
      <c r="P1096">
        <v>0.99382800000000004</v>
      </c>
      <c r="Q1096">
        <v>0.1063398</v>
      </c>
      <c r="R1096">
        <v>-3.1592759999999998E-2</v>
      </c>
      <c r="S1096">
        <v>3.037048</v>
      </c>
      <c r="T1096">
        <v>-0.18327389999999999</v>
      </c>
      <c r="U1096">
        <v>-4.7485350000000003E-2</v>
      </c>
      <c r="V1096">
        <v>3.295008E-2</v>
      </c>
      <c r="W1096">
        <v>0.11620750000000001</v>
      </c>
      <c r="X1096">
        <v>0.99267819999999996</v>
      </c>
      <c r="Y1096">
        <v>1.6986040000000001E-2</v>
      </c>
      <c r="Z1096">
        <v>-5.9559360000000004E-4</v>
      </c>
      <c r="AA1096">
        <v>0.99985559999999996</v>
      </c>
      <c r="AB1096">
        <v>33</v>
      </c>
      <c r="AC1096">
        <v>17.951000000000001</v>
      </c>
      <c r="AD1096">
        <v>-1.1002708268879999</v>
      </c>
      <c r="AE1096">
        <v>-0.28509999999999902</v>
      </c>
      <c r="AF1096">
        <v>0.30882328648200802</v>
      </c>
      <c r="AG1096">
        <v>-1.1002708268879999</v>
      </c>
      <c r="AH1096">
        <v>17.883419471440501</v>
      </c>
      <c r="AI1096">
        <v>93.5201405637427</v>
      </c>
      <c r="AJ1096">
        <v>89.010675088323296</v>
      </c>
      <c r="AK1096">
        <v>17.919895638821998</v>
      </c>
      <c r="AL1096">
        <v>83.326722970830204</v>
      </c>
      <c r="AM1096">
        <v>88.098872701624202</v>
      </c>
      <c r="AN1096">
        <v>0.999999949791746</v>
      </c>
    </row>
    <row r="1097" spans="1:40" x14ac:dyDescent="0.25">
      <c r="A1097" t="str">
        <f>"20190312164011757"</f>
        <v>20190312164011757</v>
      </c>
      <c r="B1097" t="str">
        <f>"1552380011747472"</f>
        <v>1552380011747472</v>
      </c>
      <c r="C1097" t="s">
        <v>40</v>
      </c>
      <c r="D1097">
        <v>5.3348879999999896</v>
      </c>
      <c r="E1097">
        <v>0.49741390000000002</v>
      </c>
      <c r="F1097" t="s">
        <v>41</v>
      </c>
      <c r="G1097">
        <v>-256.11700000000002</v>
      </c>
      <c r="H1097" s="1">
        <v>-2.0382299999999998E-6</v>
      </c>
      <c r="I1097">
        <v>367.41699999999997</v>
      </c>
      <c r="J1097">
        <v>-274.38499999999999</v>
      </c>
      <c r="K1097">
        <v>1.1011150000000001</v>
      </c>
      <c r="L1097">
        <v>367.71050000000002</v>
      </c>
      <c r="M1097">
        <v>0.99994729999999998</v>
      </c>
      <c r="N1097">
        <v>0</v>
      </c>
      <c r="O1097">
        <v>1.435916E-3</v>
      </c>
      <c r="P1097">
        <v>0.99386010000000002</v>
      </c>
      <c r="Q1097">
        <v>0.1061412</v>
      </c>
      <c r="R1097">
        <v>-3.1244439999999998E-2</v>
      </c>
      <c r="S1097">
        <v>3.0364689999999999</v>
      </c>
      <c r="T1097">
        <v>-0.18117559999999999</v>
      </c>
      <c r="U1097">
        <v>-4.8278809999999998E-2</v>
      </c>
      <c r="V1097">
        <v>3.2651670000000001E-2</v>
      </c>
      <c r="W1097">
        <v>0.11625389999999999</v>
      </c>
      <c r="X1097">
        <v>0.99268270000000003</v>
      </c>
      <c r="Y1097">
        <v>1.730013E-2</v>
      </c>
      <c r="Z1097">
        <v>-6.0122759999999996E-4</v>
      </c>
      <c r="AA1097">
        <v>0.99985020000000002</v>
      </c>
      <c r="AB1097">
        <v>33</v>
      </c>
      <c r="AC1097">
        <v>18.267999999999901</v>
      </c>
      <c r="AD1097">
        <v>-1.10111703823</v>
      </c>
      <c r="AE1097">
        <v>-0.293500000000051</v>
      </c>
      <c r="AF1097">
        <v>0.31857522904451602</v>
      </c>
      <c r="AG1097">
        <v>-1.10111703823</v>
      </c>
      <c r="AH1097">
        <v>18.201447928320398</v>
      </c>
      <c r="AI1097">
        <v>93.461424459196905</v>
      </c>
      <c r="AJ1097">
        <v>88.997269196187403</v>
      </c>
      <c r="AK1097">
        <v>18.2375068360728</v>
      </c>
      <c r="AL1097">
        <v>83.324046787974098</v>
      </c>
      <c r="AM1097">
        <v>88.116086193004193</v>
      </c>
      <c r="AN1097">
        <v>1.0000000218491401</v>
      </c>
    </row>
    <row r="1098" spans="1:40" x14ac:dyDescent="0.25">
      <c r="A1098" t="str">
        <f>"20190312164011768"</f>
        <v>20190312164011768</v>
      </c>
      <c r="B1098" t="str">
        <f>"1552380011757232"</f>
        <v>1552380011757232</v>
      </c>
      <c r="C1098" t="s">
        <v>40</v>
      </c>
      <c r="D1098">
        <v>5.7008000000000001</v>
      </c>
      <c r="E1098">
        <v>0.49774360000000001</v>
      </c>
      <c r="F1098" t="s">
        <v>41</v>
      </c>
      <c r="G1098">
        <v>-255.6952</v>
      </c>
      <c r="H1098" s="1">
        <v>-2.2189259999999999E-6</v>
      </c>
      <c r="I1098">
        <v>367.41849999999999</v>
      </c>
      <c r="J1098">
        <v>-274.22469999999998</v>
      </c>
      <c r="K1098">
        <v>1.1018159999999999</v>
      </c>
      <c r="L1098">
        <v>367.71080000000001</v>
      </c>
      <c r="M1098">
        <v>0.99994490000000003</v>
      </c>
      <c r="N1098">
        <v>0</v>
      </c>
      <c r="O1098">
        <v>1.482328E-3</v>
      </c>
      <c r="P1098">
        <v>0.99389209999999995</v>
      </c>
      <c r="Q1098">
        <v>0.105915</v>
      </c>
      <c r="R1098">
        <v>-3.0997190000000001E-2</v>
      </c>
      <c r="S1098">
        <v>3.0361020000000001</v>
      </c>
      <c r="T1098">
        <v>-0.178872</v>
      </c>
      <c r="U1098">
        <v>-4.7424319999999999E-2</v>
      </c>
      <c r="V1098">
        <v>3.2450359999999998E-2</v>
      </c>
      <c r="W1098">
        <v>0.1162426</v>
      </c>
      <c r="X1098">
        <v>0.99269059999999998</v>
      </c>
      <c r="Y1098">
        <v>1.7068280000000002E-2</v>
      </c>
      <c r="Z1098">
        <v>-5.8957809999999895E-4</v>
      </c>
      <c r="AA1098">
        <v>0.99985409999999997</v>
      </c>
      <c r="AB1098">
        <v>33</v>
      </c>
      <c r="AC1098">
        <v>18.529499999999899</v>
      </c>
      <c r="AD1098">
        <v>-1.101818218926</v>
      </c>
      <c r="AE1098">
        <v>-0.292300000000011</v>
      </c>
      <c r="AF1098">
        <v>0.318641573780166</v>
      </c>
      <c r="AG1098">
        <v>-1.101818218926</v>
      </c>
      <c r="AH1098">
        <v>18.463777626943099</v>
      </c>
      <c r="AI1098">
        <v>93.414544596181798</v>
      </c>
      <c r="AJ1098">
        <v>89.011307133824602</v>
      </c>
      <c r="AK1098">
        <v>18.4993680999461</v>
      </c>
      <c r="AL1098">
        <v>83.324698487319495</v>
      </c>
      <c r="AM1098">
        <v>88.127707837171101</v>
      </c>
      <c r="AN1098">
        <v>0.99999999762362402</v>
      </c>
    </row>
    <row r="1099" spans="1:40" x14ac:dyDescent="0.25">
      <c r="A1099" t="str">
        <f>"20190312164011791"</f>
        <v>20190312164011791</v>
      </c>
      <c r="B1099" t="str">
        <f>"1552380011787487"</f>
        <v>1552380011787487</v>
      </c>
      <c r="C1099" t="s">
        <v>40</v>
      </c>
      <c r="D1099">
        <v>5.5383230000000001</v>
      </c>
      <c r="E1099">
        <v>0.4982665</v>
      </c>
      <c r="F1099" t="s">
        <v>41</v>
      </c>
      <c r="G1099">
        <v>-255.59970000000001</v>
      </c>
      <c r="H1099" s="1">
        <v>-2.2619249999999999E-6</v>
      </c>
      <c r="I1099">
        <v>367.40710000000001</v>
      </c>
      <c r="J1099">
        <v>-273.89839999999998</v>
      </c>
      <c r="K1099">
        <v>1.1031359999999999</v>
      </c>
      <c r="L1099">
        <v>367.71140000000003</v>
      </c>
      <c r="M1099">
        <v>0.9999403</v>
      </c>
      <c r="N1099">
        <v>0</v>
      </c>
      <c r="O1099">
        <v>1.5771629999999999E-3</v>
      </c>
      <c r="P1099">
        <v>0.99393759999999998</v>
      </c>
      <c r="Q1099">
        <v>0.1055847</v>
      </c>
      <c r="R1099">
        <v>-3.065942E-2</v>
      </c>
      <c r="S1099">
        <v>3.036041</v>
      </c>
      <c r="T1099">
        <v>-0.17960479999999901</v>
      </c>
      <c r="U1099">
        <v>-4.9499509999999997E-2</v>
      </c>
      <c r="V1099">
        <v>3.2207060000000003E-2</v>
      </c>
      <c r="W1099">
        <v>0.11632919999999999</v>
      </c>
      <c r="X1099">
        <v>0.99268840000000003</v>
      </c>
      <c r="Y1099">
        <v>1.7844869999999999E-2</v>
      </c>
      <c r="Z1099">
        <v>-6.2055269999999896E-4</v>
      </c>
      <c r="AA1099">
        <v>0.99984059999999997</v>
      </c>
      <c r="AB1099">
        <v>33</v>
      </c>
      <c r="AC1099">
        <v>18.298699999999901</v>
      </c>
      <c r="AD1099">
        <v>-1.1031382619249901</v>
      </c>
      <c r="AE1099">
        <v>-0.30430000000001101</v>
      </c>
      <c r="AF1099">
        <v>0.33195525353907301</v>
      </c>
      <c r="AG1099">
        <v>-1.1031382619249901</v>
      </c>
      <c r="AH1099">
        <v>18.231955409558701</v>
      </c>
      <c r="AI1099">
        <v>93.461930893868498</v>
      </c>
      <c r="AJ1099">
        <v>88.956912010137799</v>
      </c>
      <c r="AK1099">
        <v>18.2683142728444</v>
      </c>
      <c r="AL1099">
        <v>83.31970292087</v>
      </c>
      <c r="AM1099">
        <v>88.141731550789899</v>
      </c>
      <c r="AN1099">
        <v>1.00000001849052</v>
      </c>
    </row>
    <row r="1100" spans="1:40" x14ac:dyDescent="0.25">
      <c r="A1100" t="str">
        <f>"20190312164011803"</f>
        <v>20190312164011803</v>
      </c>
      <c r="B1100" t="str">
        <f>"1552380011797248"</f>
        <v>1552380011797248</v>
      </c>
      <c r="C1100" t="s">
        <v>40</v>
      </c>
      <c r="D1100">
        <v>5.4444910000000002</v>
      </c>
      <c r="E1100">
        <v>0.49831890000000001</v>
      </c>
      <c r="F1100" t="s">
        <v>41</v>
      </c>
      <c r="G1100">
        <v>-255.5033</v>
      </c>
      <c r="H1100" s="1">
        <v>-2.3058340000000001E-6</v>
      </c>
      <c r="I1100">
        <v>367.39280000000002</v>
      </c>
      <c r="J1100">
        <v>-273.73469999999998</v>
      </c>
      <c r="K1100">
        <v>1.103734</v>
      </c>
      <c r="L1100">
        <v>367.71170000000001</v>
      </c>
      <c r="M1100">
        <v>0.99993810000000005</v>
      </c>
      <c r="N1100">
        <v>0</v>
      </c>
      <c r="O1100">
        <v>1.6246089999999999E-3</v>
      </c>
      <c r="P1100">
        <v>0.99397720000000001</v>
      </c>
      <c r="Q1100">
        <v>0.10525959999999999</v>
      </c>
      <c r="R1100">
        <v>-3.0491040000000001E-2</v>
      </c>
      <c r="S1100">
        <v>3.0360109999999998</v>
      </c>
      <c r="T1100">
        <v>-0.18206520000000001</v>
      </c>
      <c r="U1100">
        <v>-5.2581790000000003E-2</v>
      </c>
      <c r="V1100">
        <v>3.2086089999999998E-2</v>
      </c>
      <c r="W1100">
        <v>0.11620179999999999</v>
      </c>
      <c r="X1100">
        <v>0.99270720000000001</v>
      </c>
      <c r="Y1100">
        <v>1.890435E-2</v>
      </c>
      <c r="Z1100">
        <v>-6.6361939999999998E-4</v>
      </c>
      <c r="AA1100">
        <v>0.99982110000000002</v>
      </c>
      <c r="AB1100">
        <v>33</v>
      </c>
      <c r="AC1100">
        <v>18.231399999999901</v>
      </c>
      <c r="AD1100">
        <v>-1.103736305834</v>
      </c>
      <c r="AE1100">
        <v>-0.31889999999998497</v>
      </c>
      <c r="AF1100">
        <v>0.34724794685559002</v>
      </c>
      <c r="AG1100">
        <v>-1.103736305834</v>
      </c>
      <c r="AH1100">
        <v>18.164303458811101</v>
      </c>
      <c r="AI1100">
        <v>93.476613441178699</v>
      </c>
      <c r="AJ1100">
        <v>88.9048069664167</v>
      </c>
      <c r="AK1100">
        <v>18.201119062112301</v>
      </c>
      <c r="AL1100">
        <v>83.327051988330396</v>
      </c>
      <c r="AM1100">
        <v>88.148741392964993</v>
      </c>
      <c r="AN1100">
        <v>0.99999998021328396</v>
      </c>
    </row>
    <row r="1101" spans="1:40" x14ac:dyDescent="0.25">
      <c r="A1101" t="str">
        <f>"20190312164011812"</f>
        <v>20190312164011812</v>
      </c>
      <c r="B1101" t="str">
        <f>"1552380011807009"</f>
        <v>1552380011807009</v>
      </c>
      <c r="C1101" t="s">
        <v>40</v>
      </c>
      <c r="D1101">
        <v>5.4248949999999896</v>
      </c>
      <c r="E1101">
        <v>0.49845780000000001</v>
      </c>
      <c r="F1101" t="s">
        <v>41</v>
      </c>
      <c r="G1101">
        <v>-255.43</v>
      </c>
      <c r="H1101" s="1">
        <v>-2.3367859999999998E-6</v>
      </c>
      <c r="I1101">
        <v>367.39550000000003</v>
      </c>
      <c r="J1101">
        <v>-273.56619999999998</v>
      </c>
      <c r="K1101">
        <v>1.1042970000000001</v>
      </c>
      <c r="L1101">
        <v>367.71199999999999</v>
      </c>
      <c r="M1101">
        <v>0.99993589999999999</v>
      </c>
      <c r="N1101">
        <v>0</v>
      </c>
      <c r="O1101">
        <v>1.673077E-3</v>
      </c>
      <c r="P1101">
        <v>0.99400040000000001</v>
      </c>
      <c r="Q1101">
        <v>0.1050513</v>
      </c>
      <c r="R1101">
        <v>-3.04538E-2</v>
      </c>
      <c r="S1101">
        <v>3.0359500000000001</v>
      </c>
      <c r="T1101">
        <v>-0.1830599</v>
      </c>
      <c r="U1101">
        <v>-5.2429199999999898E-2</v>
      </c>
      <c r="V1101">
        <v>3.2097050000000002E-2</v>
      </c>
      <c r="W1101">
        <v>0.1161867</v>
      </c>
      <c r="X1101">
        <v>0.99270860000000005</v>
      </c>
      <c r="Y1101">
        <v>1.8902430000000001E-2</v>
      </c>
      <c r="Z1101">
        <v>-6.7011459999999996E-4</v>
      </c>
      <c r="AA1101">
        <v>0.99982110000000002</v>
      </c>
      <c r="AB1101">
        <v>33</v>
      </c>
      <c r="AC1101">
        <v>18.136199999999899</v>
      </c>
      <c r="AD1101">
        <v>-1.1042993367859999</v>
      </c>
      <c r="AE1101">
        <v>-0.31649999999996198</v>
      </c>
      <c r="AF1101">
        <v>0.34556393088128101</v>
      </c>
      <c r="AG1101">
        <v>-1.1042993367859999</v>
      </c>
      <c r="AH1101">
        <v>18.068675851020298</v>
      </c>
      <c r="AI1101">
        <v>93.496745640725393</v>
      </c>
      <c r="AJ1101">
        <v>88.904350185769403</v>
      </c>
      <c r="AK1101">
        <v>18.105688014123999</v>
      </c>
      <c r="AL1101">
        <v>83.327922967524799</v>
      </c>
      <c r="AM1101">
        <v>88.148112088235905</v>
      </c>
      <c r="AN1101">
        <v>0.99999996719477502</v>
      </c>
    </row>
    <row r="1102" spans="1:40" x14ac:dyDescent="0.25">
      <c r="A1102" t="str">
        <f>"20190312164011824"</f>
        <v>20190312164011824</v>
      </c>
      <c r="B1102" t="str">
        <f>"1552380011817744"</f>
        <v>1552380011817744</v>
      </c>
      <c r="C1102" t="s">
        <v>40</v>
      </c>
      <c r="D1102">
        <v>5.5009439999999996</v>
      </c>
      <c r="E1102">
        <v>0.49851499999999999</v>
      </c>
      <c r="F1102" t="s">
        <v>41</v>
      </c>
      <c r="G1102">
        <v>-255.35650000000001</v>
      </c>
      <c r="H1102" s="1">
        <v>-2.3692239999999999E-6</v>
      </c>
      <c r="I1102">
        <v>367.39019999999999</v>
      </c>
      <c r="J1102">
        <v>-273.40600000000001</v>
      </c>
      <c r="K1102">
        <v>1.1047929999999999</v>
      </c>
      <c r="L1102">
        <v>367.71230000000003</v>
      </c>
      <c r="M1102">
        <v>0.99993379999999998</v>
      </c>
      <c r="N1102">
        <v>0</v>
      </c>
      <c r="O1102">
        <v>1.7192450000000001E-3</v>
      </c>
      <c r="P1102">
        <v>0.99404760000000003</v>
      </c>
      <c r="Q1102">
        <v>0.1046223</v>
      </c>
      <c r="R1102">
        <v>-3.0394899999999999E-2</v>
      </c>
      <c r="S1102">
        <v>3.0359500000000001</v>
      </c>
      <c r="T1102">
        <v>-0.1841102</v>
      </c>
      <c r="U1102">
        <v>-5.36499E-2</v>
      </c>
      <c r="V1102">
        <v>3.2084059999999998E-2</v>
      </c>
      <c r="W1102">
        <v>0.1159323</v>
      </c>
      <c r="X1102">
        <v>0.99273880000000003</v>
      </c>
      <c r="Y1102">
        <v>1.9349149999999999E-2</v>
      </c>
      <c r="Z1102">
        <v>-6.9027869999999905E-4</v>
      </c>
      <c r="AA1102">
        <v>0.99981249999999999</v>
      </c>
      <c r="AB1102">
        <v>33</v>
      </c>
      <c r="AC1102">
        <v>18.049499999999899</v>
      </c>
      <c r="AD1102">
        <v>-1.104795369224</v>
      </c>
      <c r="AE1102">
        <v>-0.32210000000003403</v>
      </c>
      <c r="AF1102">
        <v>0.35181536537117503</v>
      </c>
      <c r="AG1102">
        <v>-1.104795369224</v>
      </c>
      <c r="AH1102">
        <v>17.9815718257613</v>
      </c>
      <c r="AI1102">
        <v>93.515186250596102</v>
      </c>
      <c r="AJ1102">
        <v>88.879132243058095</v>
      </c>
      <c r="AK1102">
        <v>18.018914289828398</v>
      </c>
      <c r="AL1102">
        <v>83.342598438834798</v>
      </c>
      <c r="AM1102">
        <v>88.148917318528504</v>
      </c>
      <c r="AN1102">
        <v>1.0000000050574001</v>
      </c>
    </row>
    <row r="1103" spans="1:40" x14ac:dyDescent="0.25">
      <c r="A1103" t="str">
        <f>"20190312164011836"</f>
        <v>20190312164011836</v>
      </c>
      <c r="B1103" t="str">
        <f>"1552380011827505"</f>
        <v>1552380011827505</v>
      </c>
      <c r="C1103" t="s">
        <v>40</v>
      </c>
      <c r="D1103">
        <v>5.7079370000000003</v>
      </c>
      <c r="E1103">
        <v>0.49858750000000002</v>
      </c>
      <c r="F1103" t="s">
        <v>41</v>
      </c>
      <c r="G1103">
        <v>-255.3201</v>
      </c>
      <c r="H1103" s="1">
        <v>-2.3844960000000001E-6</v>
      </c>
      <c r="I1103">
        <v>367.3922</v>
      </c>
      <c r="J1103">
        <v>-273.23540000000003</v>
      </c>
      <c r="K1103">
        <v>1.1052879999999901</v>
      </c>
      <c r="L1103">
        <v>367.71269999999998</v>
      </c>
      <c r="M1103">
        <v>0.99993169999999998</v>
      </c>
      <c r="N1103">
        <v>0</v>
      </c>
      <c r="O1103">
        <v>1.768588E-3</v>
      </c>
      <c r="P1103">
        <v>0.99404970000000004</v>
      </c>
      <c r="Q1103">
        <v>0.10464909999999999</v>
      </c>
      <c r="R1103">
        <v>-3.0230699999999999E-2</v>
      </c>
      <c r="S1103">
        <v>3.0357970000000001</v>
      </c>
      <c r="T1103">
        <v>-0.18544459999999999</v>
      </c>
      <c r="U1103">
        <v>-5.3741459999999998E-2</v>
      </c>
      <c r="V1103">
        <v>3.1968839999999998E-2</v>
      </c>
      <c r="W1103">
        <v>0.1161384</v>
      </c>
      <c r="X1103">
        <v>0.9927184</v>
      </c>
      <c r="Y1103">
        <v>1.942872E-2</v>
      </c>
      <c r="Z1103">
        <v>-7.0074639999999995E-4</v>
      </c>
      <c r="AA1103">
        <v>0.99981100000000001</v>
      </c>
      <c r="AB1103">
        <v>33</v>
      </c>
      <c r="AC1103">
        <v>17.915299999999998</v>
      </c>
      <c r="AD1103">
        <v>-1.10529038449599</v>
      </c>
      <c r="AE1103">
        <v>-0.32049999999998102</v>
      </c>
      <c r="AF1103">
        <v>0.35085137469838401</v>
      </c>
      <c r="AG1103">
        <v>-1.10529038449599</v>
      </c>
      <c r="AH1103">
        <v>17.846796330054101</v>
      </c>
      <c r="AI1103">
        <v>93.543241273029395</v>
      </c>
      <c r="AJ1103">
        <v>88.873763473866703</v>
      </c>
      <c r="AK1103">
        <v>17.8844318547618</v>
      </c>
      <c r="AL1103">
        <v>83.3307092897453</v>
      </c>
      <c r="AM1103">
        <v>88.155522434440897</v>
      </c>
      <c r="AN1103">
        <v>0.99999997819203201</v>
      </c>
    </row>
    <row r="1104" spans="1:40" x14ac:dyDescent="0.25">
      <c r="A1104" t="str">
        <f>"20190312164011848"</f>
        <v>20190312164011848</v>
      </c>
      <c r="B1104" t="str">
        <f>"1552380011837264"</f>
        <v>1552380011837264</v>
      </c>
      <c r="C1104" t="s">
        <v>40</v>
      </c>
      <c r="D1104">
        <v>5.8966329999999996</v>
      </c>
      <c r="E1104">
        <v>0.49871270000000001</v>
      </c>
      <c r="F1104" t="s">
        <v>41</v>
      </c>
      <c r="G1104">
        <v>-255.12780000000001</v>
      </c>
      <c r="H1104" s="1">
        <v>-2.467296E-6</v>
      </c>
      <c r="I1104">
        <v>367.39049999999997</v>
      </c>
      <c r="J1104">
        <v>-273.07100000000003</v>
      </c>
      <c r="K1104">
        <v>1.1057110000000001</v>
      </c>
      <c r="L1104">
        <v>367.71300000000002</v>
      </c>
      <c r="M1104">
        <v>0.99992970000000003</v>
      </c>
      <c r="N1104">
        <v>0</v>
      </c>
      <c r="O1104">
        <v>1.8158180000000001E-3</v>
      </c>
      <c r="P1104">
        <v>0.99407239999999997</v>
      </c>
      <c r="Q1104">
        <v>0.1044617</v>
      </c>
      <c r="R1104">
        <v>-3.0135829999999999E-2</v>
      </c>
      <c r="S1104">
        <v>3.035828</v>
      </c>
      <c r="T1104">
        <v>-0.1853069</v>
      </c>
      <c r="U1104">
        <v>-5.4016109999999999E-2</v>
      </c>
      <c r="V1104">
        <v>3.1920940000000002E-2</v>
      </c>
      <c r="W1104">
        <v>0.1161118</v>
      </c>
      <c r="X1104">
        <v>0.99272300000000002</v>
      </c>
      <c r="Y1104">
        <v>1.9565900000000001E-2</v>
      </c>
      <c r="Z1104">
        <v>-7.0728269999999996E-4</v>
      </c>
      <c r="AA1104">
        <v>0.99980829999999998</v>
      </c>
      <c r="AB1104">
        <v>33</v>
      </c>
      <c r="AC1104">
        <v>17.943199999999901</v>
      </c>
      <c r="AD1104">
        <v>-1.1057134672960001</v>
      </c>
      <c r="AE1104">
        <v>-0.32250000000004703</v>
      </c>
      <c r="AF1104">
        <v>0.35374043350883999</v>
      </c>
      <c r="AG1104">
        <v>-1.1057134672960001</v>
      </c>
      <c r="AH1104">
        <v>17.874729343725701</v>
      </c>
      <c r="AI1104">
        <v>93.5390599032133</v>
      </c>
      <c r="AJ1104">
        <v>88.866265989481406</v>
      </c>
      <c r="AK1104">
        <v>17.912389111380602</v>
      </c>
      <c r="AL1104">
        <v>83.332243386549393</v>
      </c>
      <c r="AM1104">
        <v>88.158292701313201</v>
      </c>
      <c r="AN1104">
        <v>0.99999992561935902</v>
      </c>
    </row>
    <row r="1105" spans="1:40" x14ac:dyDescent="0.25">
      <c r="A1105" t="str">
        <f>"20190312164011858"</f>
        <v>20190312164011858</v>
      </c>
      <c r="B1105" t="str">
        <f>"1552380011847024"</f>
        <v>1552380011847024</v>
      </c>
      <c r="C1105" t="s">
        <v>40</v>
      </c>
      <c r="D1105">
        <v>6.5476999999999999</v>
      </c>
      <c r="E1105">
        <v>0.4988069</v>
      </c>
      <c r="F1105" t="s">
        <v>41</v>
      </c>
      <c r="G1105">
        <v>-255.0266</v>
      </c>
      <c r="H1105" s="1">
        <v>-2.511369E-6</v>
      </c>
      <c r="I1105">
        <v>367.38690000000003</v>
      </c>
      <c r="J1105">
        <v>-272.91359999999997</v>
      </c>
      <c r="K1105">
        <v>1.106109</v>
      </c>
      <c r="L1105">
        <v>367.7133</v>
      </c>
      <c r="M1105">
        <v>0.99992780000000003</v>
      </c>
      <c r="N1105">
        <v>0</v>
      </c>
      <c r="O1105">
        <v>1.8611229999999999E-3</v>
      </c>
      <c r="P1105">
        <v>0.99408479999999999</v>
      </c>
      <c r="Q1105">
        <v>0.1043366</v>
      </c>
      <c r="R1105">
        <v>-3.0155649999999999E-2</v>
      </c>
      <c r="S1105">
        <v>3.0357970000000001</v>
      </c>
      <c r="T1105">
        <v>-0.18602450000000001</v>
      </c>
      <c r="U1105">
        <v>-5.487061E-2</v>
      </c>
      <c r="V1105">
        <v>3.1985960000000001E-2</v>
      </c>
      <c r="W1105">
        <v>0.1161383</v>
      </c>
      <c r="X1105">
        <v>0.99271790000000004</v>
      </c>
      <c r="Y1105">
        <v>1.989171E-2</v>
      </c>
      <c r="Z1105">
        <v>-7.2276800000000004E-4</v>
      </c>
      <c r="AA1105">
        <v>0.99980190000000002</v>
      </c>
      <c r="AB1105">
        <v>33</v>
      </c>
      <c r="AC1105">
        <v>17.886999999999901</v>
      </c>
      <c r="AD1105">
        <v>-1.1061115113689901</v>
      </c>
      <c r="AE1105">
        <v>-0.32639999999997799</v>
      </c>
      <c r="AF1105">
        <v>0.358321905377947</v>
      </c>
      <c r="AG1105">
        <v>-1.1061115113689901</v>
      </c>
      <c r="AH1105">
        <v>17.818246437951899</v>
      </c>
      <c r="AI1105">
        <v>93.551502071481494</v>
      </c>
      <c r="AJ1105">
        <v>88.847946900769003</v>
      </c>
      <c r="AK1105">
        <v>17.8561413353234</v>
      </c>
      <c r="AL1105">
        <v>83.330715322859604</v>
      </c>
      <c r="AM1105">
        <v>88.154534431096394</v>
      </c>
      <c r="AN1105">
        <v>1.0000000176722099</v>
      </c>
    </row>
    <row r="1106" spans="1:40" x14ac:dyDescent="0.25">
      <c r="A1106" t="str">
        <f>"20190312164011880"</f>
        <v>20190312164011880</v>
      </c>
      <c r="B1106" t="str">
        <f>"1552380011877280"</f>
        <v>1552380011877280</v>
      </c>
      <c r="C1106" t="s">
        <v>40</v>
      </c>
      <c r="D1106">
        <v>5.5059699999999996</v>
      </c>
      <c r="E1106">
        <v>0.4989922</v>
      </c>
      <c r="F1106" t="s">
        <v>42</v>
      </c>
      <c r="G1106">
        <v>-271.88929999999999</v>
      </c>
      <c r="H1106">
        <v>1.043377</v>
      </c>
      <c r="I1106">
        <v>367.69450000000001</v>
      </c>
      <c r="J1106">
        <v>-272.5915</v>
      </c>
      <c r="K1106">
        <v>1.1067940000000001</v>
      </c>
      <c r="L1106">
        <v>367.71409999999997</v>
      </c>
      <c r="M1106">
        <v>0.99992429999999999</v>
      </c>
      <c r="N1106">
        <v>0</v>
      </c>
      <c r="O1106">
        <v>1.9537389999999999E-3</v>
      </c>
      <c r="P1106">
        <v>0.99407849999999998</v>
      </c>
      <c r="Q1106">
        <v>0.10432909999999999</v>
      </c>
      <c r="R1106">
        <v>-3.039354E-2</v>
      </c>
      <c r="S1106">
        <v>3.0356450000000001</v>
      </c>
      <c r="T1106">
        <v>-0.1859701</v>
      </c>
      <c r="U1106">
        <v>-5.569458E-2</v>
      </c>
      <c r="V1106">
        <v>3.2315749999999997E-2</v>
      </c>
      <c r="W1106">
        <v>0.11641070000000001</v>
      </c>
      <c r="X1106">
        <v>0.99267530000000004</v>
      </c>
      <c r="Y1106">
        <v>2.0255680000000002E-2</v>
      </c>
      <c r="Z1106">
        <v>-7.3939749999999999E-4</v>
      </c>
      <c r="AA1106">
        <v>0.99979450000000003</v>
      </c>
      <c r="AB1106">
        <v>33</v>
      </c>
      <c r="AC1106">
        <v>0.70220000000000404</v>
      </c>
      <c r="AD1106">
        <v>-6.3417000000000001E-2</v>
      </c>
      <c r="AE1106">
        <v>-1.95999999999685E-2</v>
      </c>
      <c r="AF1106">
        <v>2.0802441834772999E-2</v>
      </c>
      <c r="AG1106">
        <v>-6.3417000000000001E-2</v>
      </c>
      <c r="AH1106">
        <v>0.69648409780036702</v>
      </c>
      <c r="AI1106">
        <v>95.200303012903504</v>
      </c>
      <c r="AJ1106">
        <v>88.289210204467494</v>
      </c>
      <c r="AK1106">
        <v>0.69967460720257701</v>
      </c>
      <c r="AL1106">
        <v>83.3150012817255</v>
      </c>
      <c r="AM1106">
        <v>88.135440234883106</v>
      </c>
      <c r="AN1106">
        <v>1.00000000500132</v>
      </c>
    </row>
    <row r="1107" spans="1:40" x14ac:dyDescent="0.25">
      <c r="A1107" t="str">
        <f>"20190312164011891"</f>
        <v>20190312164011891</v>
      </c>
      <c r="B1107" t="str">
        <f>"1552380011887042"</f>
        <v>1552380011887042</v>
      </c>
      <c r="C1107" t="s">
        <v>40</v>
      </c>
      <c r="D1107">
        <v>5.4428109999999998</v>
      </c>
      <c r="E1107">
        <v>0.49901780000000001</v>
      </c>
      <c r="F1107" t="s">
        <v>42</v>
      </c>
      <c r="G1107">
        <v>-271.58929999999998</v>
      </c>
      <c r="H1107">
        <v>1.0457639999999999</v>
      </c>
      <c r="I1107">
        <v>367.69470000000001</v>
      </c>
      <c r="J1107">
        <v>-272.42579999999998</v>
      </c>
      <c r="K1107">
        <v>1.107102</v>
      </c>
      <c r="L1107">
        <v>367.71440000000001</v>
      </c>
      <c r="M1107">
        <v>0.99992259999999999</v>
      </c>
      <c r="N1107">
        <v>0</v>
      </c>
      <c r="O1107">
        <v>2.001629E-3</v>
      </c>
      <c r="P1107">
        <v>0.99410799999999999</v>
      </c>
      <c r="Q1107">
        <v>0.1039991</v>
      </c>
      <c r="R1107">
        <v>-3.0554729999999999E-2</v>
      </c>
      <c r="S1107">
        <v>3.0355530000000002</v>
      </c>
      <c r="T1107">
        <v>-0.1850059</v>
      </c>
      <c r="U1107">
        <v>-5.7830810000000003E-2</v>
      </c>
      <c r="V1107">
        <v>3.2524699999999997E-2</v>
      </c>
      <c r="W1107">
        <v>0.1162132</v>
      </c>
      <c r="X1107">
        <v>0.99269160000000001</v>
      </c>
      <c r="Y1107">
        <v>2.100641E-2</v>
      </c>
      <c r="Z1107">
        <v>-7.6135850000000002E-4</v>
      </c>
      <c r="AA1107">
        <v>0.99977899999999997</v>
      </c>
      <c r="AB1107">
        <v>33</v>
      </c>
      <c r="AC1107">
        <v>0.83650000000000002</v>
      </c>
      <c r="AD1107">
        <v>-6.1338000000000101E-2</v>
      </c>
      <c r="AE1107">
        <v>-1.97000000000002E-2</v>
      </c>
      <c r="AF1107">
        <v>2.1260200053212101E-2</v>
      </c>
      <c r="AG1107">
        <v>-6.1338000000000101E-2</v>
      </c>
      <c r="AH1107">
        <v>0.83198790060871897</v>
      </c>
      <c r="AI1107">
        <v>94.215110858256296</v>
      </c>
      <c r="AJ1107">
        <v>88.536211042053296</v>
      </c>
      <c r="AK1107">
        <v>0.83451675424140304</v>
      </c>
      <c r="AL1107">
        <v>83.326394415441797</v>
      </c>
      <c r="AM1107">
        <v>88.1234235859244</v>
      </c>
      <c r="AN1107">
        <v>0.99999998833744397</v>
      </c>
    </row>
    <row r="1108" spans="1:40" x14ac:dyDescent="0.25">
      <c r="A1108" t="str">
        <f>"20190312164011906"</f>
        <v>20190312164011906</v>
      </c>
      <c r="B1108" t="str">
        <f>"1552380011897776"</f>
        <v>1552380011897776</v>
      </c>
      <c r="C1108" t="s">
        <v>40</v>
      </c>
      <c r="D1108">
        <v>5.5354570000000001</v>
      </c>
      <c r="E1108">
        <v>0.49907049999999997</v>
      </c>
      <c r="F1108" t="s">
        <v>41</v>
      </c>
      <c r="G1108">
        <v>-254.316</v>
      </c>
      <c r="H1108" s="1">
        <v>-2.819789E-6</v>
      </c>
      <c r="I1108">
        <v>367.36660000000001</v>
      </c>
      <c r="J1108">
        <v>-272.20830000000001</v>
      </c>
      <c r="K1108">
        <v>1.1074740000000001</v>
      </c>
      <c r="L1108">
        <v>367.7149</v>
      </c>
      <c r="M1108">
        <v>0.99992029999999998</v>
      </c>
      <c r="N1108">
        <v>0</v>
      </c>
      <c r="O1108">
        <v>2.064092E-3</v>
      </c>
      <c r="P1108">
        <v>0.99413280000000004</v>
      </c>
      <c r="Q1108">
        <v>0.10374559999999999</v>
      </c>
      <c r="R1108">
        <v>-3.0616279999999999E-2</v>
      </c>
      <c r="S1108">
        <v>3.035431</v>
      </c>
      <c r="T1108">
        <v>-0.18556439999999999</v>
      </c>
      <c r="U1108">
        <v>-5.8288569999999998E-2</v>
      </c>
      <c r="V1108">
        <v>3.264831E-2</v>
      </c>
      <c r="W1108">
        <v>0.11612509999999999</v>
      </c>
      <c r="X1108">
        <v>0.99269790000000002</v>
      </c>
      <c r="Y1108">
        <v>2.1219579999999998E-2</v>
      </c>
      <c r="Z1108">
        <v>-7.7400649999999902E-4</v>
      </c>
      <c r="AA1108">
        <v>0.99977450000000001</v>
      </c>
      <c r="AB1108">
        <v>33</v>
      </c>
      <c r="AC1108">
        <v>17.892299999999999</v>
      </c>
      <c r="AD1108">
        <v>-1.1074768197889999</v>
      </c>
      <c r="AE1108">
        <v>-0.348299999999994</v>
      </c>
      <c r="AF1108">
        <v>0.38376375026190301</v>
      </c>
      <c r="AG1108">
        <v>-1.1074768197889999</v>
      </c>
      <c r="AH1108">
        <v>17.823283867534698</v>
      </c>
      <c r="AI1108">
        <v>93.554767220658306</v>
      </c>
      <c r="AJ1108">
        <v>88.766521008576106</v>
      </c>
      <c r="AK1108">
        <v>17.861781191838201</v>
      </c>
      <c r="AL1108">
        <v>83.331476900920407</v>
      </c>
      <c r="AM1108">
        <v>88.116308738700894</v>
      </c>
      <c r="AN1108">
        <v>1.00000003583013</v>
      </c>
    </row>
    <row r="1109" spans="1:40" x14ac:dyDescent="0.25">
      <c r="A1109" t="str">
        <f>"20190312164011926"</f>
        <v>20190312164011926</v>
      </c>
      <c r="B1109" t="str">
        <f>"1552380011917296"</f>
        <v>1552380011917296</v>
      </c>
      <c r="C1109" t="s">
        <v>40</v>
      </c>
      <c r="D1109">
        <v>5.2894410000000001</v>
      </c>
      <c r="E1109">
        <v>0.49918790000000002</v>
      </c>
      <c r="F1109" t="s">
        <v>41</v>
      </c>
      <c r="G1109">
        <v>-254.23169999999999</v>
      </c>
      <c r="H1109" s="1">
        <v>-2.8562010000000001E-6</v>
      </c>
      <c r="I1109">
        <v>367.36529999999999</v>
      </c>
      <c r="J1109">
        <v>-271.93150000000003</v>
      </c>
      <c r="K1109">
        <v>1.107893</v>
      </c>
      <c r="L1109">
        <v>367.71559999999999</v>
      </c>
      <c r="M1109">
        <v>0.99991770000000002</v>
      </c>
      <c r="N1109">
        <v>0</v>
      </c>
      <c r="O1109">
        <v>2.143884E-3</v>
      </c>
      <c r="P1109">
        <v>0.99415640000000005</v>
      </c>
      <c r="Q1109">
        <v>0.10348839999999999</v>
      </c>
      <c r="R1109">
        <v>-3.0713899999999999E-2</v>
      </c>
      <c r="S1109">
        <v>3.0354000000000001</v>
      </c>
      <c r="T1109">
        <v>-0.18699959999999999</v>
      </c>
      <c r="U1109">
        <v>-5.9020999999999997E-2</v>
      </c>
      <c r="V1109">
        <v>3.2825460000000001E-2</v>
      </c>
      <c r="W1109">
        <v>0.1160616</v>
      </c>
      <c r="X1109">
        <v>0.99269940000000001</v>
      </c>
      <c r="Y1109">
        <v>2.1539269999999999E-2</v>
      </c>
      <c r="Z1109">
        <v>-7.9473599999999999E-4</v>
      </c>
      <c r="AA1109">
        <v>0.99976770000000004</v>
      </c>
      <c r="AB1109">
        <v>33</v>
      </c>
      <c r="AC1109">
        <v>17.6998</v>
      </c>
      <c r="AD1109">
        <v>-1.107895856201</v>
      </c>
      <c r="AE1109">
        <v>-0.350300000000004</v>
      </c>
      <c r="AF1109">
        <v>0.38673393002141898</v>
      </c>
      <c r="AG1109">
        <v>-1.107895856201</v>
      </c>
      <c r="AH1109">
        <v>17.6299616304963</v>
      </c>
      <c r="AI1109">
        <v>93.594970253924998</v>
      </c>
      <c r="AJ1109">
        <v>88.743351271706899</v>
      </c>
      <c r="AK1109">
        <v>17.668971205296302</v>
      </c>
      <c r="AL1109">
        <v>83.335139391899006</v>
      </c>
      <c r="AM1109">
        <v>88.106098097408903</v>
      </c>
      <c r="AN1109">
        <v>0.99999995228956395</v>
      </c>
    </row>
    <row r="1110" spans="1:40" x14ac:dyDescent="0.25">
      <c r="A1110" t="str">
        <f>"20190312164011937"</f>
        <v>20190312164011937</v>
      </c>
      <c r="B1110" t="str">
        <f>"1552380011927056"</f>
        <v>1552380011927056</v>
      </c>
      <c r="C1110" t="s">
        <v>40</v>
      </c>
      <c r="D1110">
        <v>5.5579830000000001</v>
      </c>
      <c r="E1110">
        <v>0.49924360000000001</v>
      </c>
      <c r="F1110" t="s">
        <v>41</v>
      </c>
      <c r="G1110">
        <v>-254.01759999999999</v>
      </c>
      <c r="H1110" s="1">
        <v>-2.9491899999999998E-6</v>
      </c>
      <c r="I1110">
        <v>367.35890000000001</v>
      </c>
      <c r="J1110">
        <v>-271.75119999999998</v>
      </c>
      <c r="K1110">
        <v>1.1081399999999999</v>
      </c>
      <c r="L1110">
        <v>367.71600000000001</v>
      </c>
      <c r="M1110">
        <v>0.99991609999999997</v>
      </c>
      <c r="N1110">
        <v>0</v>
      </c>
      <c r="O1110">
        <v>2.196E-3</v>
      </c>
      <c r="P1110">
        <v>0.99416850000000001</v>
      </c>
      <c r="Q1110">
        <v>0.103328</v>
      </c>
      <c r="R1110">
        <v>-3.086436E-2</v>
      </c>
      <c r="S1110">
        <v>3.035339</v>
      </c>
      <c r="T1110">
        <v>-0.18772169999999999</v>
      </c>
      <c r="U1110">
        <v>-6.0424800000000001E-2</v>
      </c>
      <c r="V1110">
        <v>3.3027649999999999E-2</v>
      </c>
      <c r="W1110">
        <v>0.116019899999999</v>
      </c>
      <c r="X1110">
        <v>0.99269759999999996</v>
      </c>
      <c r="Y1110">
        <v>2.2052539999999999E-2</v>
      </c>
      <c r="Z1110">
        <v>-8.1688699999999997E-4</v>
      </c>
      <c r="AA1110">
        <v>0.99975650000000005</v>
      </c>
      <c r="AB1110">
        <v>33</v>
      </c>
      <c r="AC1110">
        <v>17.7335999999999</v>
      </c>
      <c r="AD1110">
        <v>-1.1081429491899999</v>
      </c>
      <c r="AE1110">
        <v>-0.35710000000000203</v>
      </c>
      <c r="AF1110">
        <v>0.394505461231003</v>
      </c>
      <c r="AG1110">
        <v>-1.1081429491899999</v>
      </c>
      <c r="AH1110">
        <v>17.6638273865744</v>
      </c>
      <c r="AI1110">
        <v>93.588862510998098</v>
      </c>
      <c r="AJ1110">
        <v>88.720563768051207</v>
      </c>
      <c r="AK1110">
        <v>17.702949282463599</v>
      </c>
      <c r="AL1110">
        <v>83.337545088295997</v>
      </c>
      <c r="AM1110">
        <v>88.094437638942594</v>
      </c>
      <c r="AN1110">
        <v>0.99999998395314604</v>
      </c>
    </row>
    <row r="1111" spans="1:40" x14ac:dyDescent="0.25">
      <c r="A1111" t="str">
        <f>"20190312164011950"</f>
        <v>20190312164011950</v>
      </c>
      <c r="B1111" t="str">
        <f>"1552380011937793"</f>
        <v>1552380011937793</v>
      </c>
      <c r="C1111" t="s">
        <v>40</v>
      </c>
      <c r="D1111">
        <v>5.553064</v>
      </c>
      <c r="E1111">
        <v>0.49925819999999999</v>
      </c>
      <c r="F1111" t="s">
        <v>41</v>
      </c>
      <c r="G1111">
        <v>-253.90289999999999</v>
      </c>
      <c r="H1111" s="1">
        <v>-2.9990380000000002E-6</v>
      </c>
      <c r="I1111">
        <v>367.3553</v>
      </c>
      <c r="J1111">
        <v>-271.57709999999997</v>
      </c>
      <c r="K1111">
        <v>1.1083430000000001</v>
      </c>
      <c r="L1111">
        <v>367.7165</v>
      </c>
      <c r="M1111">
        <v>0.99991470000000005</v>
      </c>
      <c r="N1111">
        <v>0</v>
      </c>
      <c r="O1111">
        <v>2.2465319999999999E-3</v>
      </c>
      <c r="P1111">
        <v>0.99417849999999997</v>
      </c>
      <c r="Q1111">
        <v>0.1032425</v>
      </c>
      <c r="R1111">
        <v>-3.0830509999999998E-2</v>
      </c>
      <c r="S1111">
        <v>3.0352779999999999</v>
      </c>
      <c r="T1111">
        <v>-0.18845000000000001</v>
      </c>
      <c r="U1111">
        <v>-6.1340329999999998E-2</v>
      </c>
      <c r="V1111">
        <v>3.3043969999999999E-2</v>
      </c>
      <c r="W1111">
        <v>0.1160379</v>
      </c>
      <c r="X1111">
        <v>0.99269499999999999</v>
      </c>
      <c r="Y1111">
        <v>2.240377E-2</v>
      </c>
      <c r="Z1111">
        <v>-8.3408989999999997E-4</v>
      </c>
      <c r="AA1111">
        <v>0.99974859999999999</v>
      </c>
      <c r="AB1111">
        <v>33</v>
      </c>
      <c r="AC1111">
        <v>17.6741999999999</v>
      </c>
      <c r="AD1111">
        <v>-1.108345999038</v>
      </c>
      <c r="AE1111">
        <v>-0.36119999999999602</v>
      </c>
      <c r="AF1111">
        <v>0.39933828016251699</v>
      </c>
      <c r="AG1111">
        <v>-1.108345999038</v>
      </c>
      <c r="AH1111">
        <v>17.604144091683299</v>
      </c>
      <c r="AI1111">
        <v>93.601627647174396</v>
      </c>
      <c r="AJ1111">
        <v>88.700506281209897</v>
      </c>
      <c r="AK1111">
        <v>17.643519805195801</v>
      </c>
      <c r="AL1111">
        <v>83.336507063439896</v>
      </c>
      <c r="AM1111">
        <v>88.093491745689406</v>
      </c>
      <c r="AN1111">
        <v>1.00000003060738</v>
      </c>
    </row>
    <row r="1112" spans="1:40" x14ac:dyDescent="0.25">
      <c r="A1112" t="str">
        <f>"20190312164011970"</f>
        <v>20190312164011970</v>
      </c>
      <c r="B1112" t="str">
        <f>"1552380011957312"</f>
        <v>1552380011957312</v>
      </c>
      <c r="C1112" t="s">
        <v>40</v>
      </c>
      <c r="D1112">
        <v>5.3373739999999996</v>
      </c>
      <c r="E1112">
        <v>0.499251</v>
      </c>
      <c r="F1112" t="s">
        <v>41</v>
      </c>
      <c r="G1112">
        <v>-253.73519999999999</v>
      </c>
      <c r="H1112" s="1">
        <v>-3.0711729999999998E-6</v>
      </c>
      <c r="I1112">
        <v>367.35419999999999</v>
      </c>
      <c r="J1112">
        <v>-271.29599999999999</v>
      </c>
      <c r="K1112">
        <v>1.1086419999999999</v>
      </c>
      <c r="L1112">
        <v>367.71719999999999</v>
      </c>
      <c r="M1112">
        <v>0.99991240000000003</v>
      </c>
      <c r="N1112">
        <v>0</v>
      </c>
      <c r="O1112">
        <v>2.3281780000000002E-3</v>
      </c>
      <c r="P1112">
        <v>0.99421610000000005</v>
      </c>
      <c r="Q1112">
        <v>0.10295559999999999</v>
      </c>
      <c r="R1112">
        <v>-3.0573960000000001E-2</v>
      </c>
      <c r="S1112">
        <v>3.0352169999999998</v>
      </c>
      <c r="T1112">
        <v>-0.18854750000000001</v>
      </c>
      <c r="U1112">
        <v>-6.1614990000000001E-2</v>
      </c>
      <c r="V1112">
        <v>3.2868990000000001E-2</v>
      </c>
      <c r="W1112">
        <v>0.1159091</v>
      </c>
      <c r="X1112">
        <v>0.99271580000000004</v>
      </c>
      <c r="Y1112">
        <v>2.2575700000000001E-2</v>
      </c>
      <c r="Z1112">
        <v>-8.4493839999999997E-4</v>
      </c>
      <c r="AA1112">
        <v>0.99974479999999999</v>
      </c>
      <c r="AB1112">
        <v>33</v>
      </c>
      <c r="AC1112">
        <v>17.5608</v>
      </c>
      <c r="AD1112">
        <v>-1.10864507117299</v>
      </c>
      <c r="AE1112">
        <v>-0.36299999999999899</v>
      </c>
      <c r="AF1112">
        <v>0.40228448481069901</v>
      </c>
      <c r="AG1112">
        <v>-1.10864507117299</v>
      </c>
      <c r="AH1112">
        <v>17.490227478443899</v>
      </c>
      <c r="AI1112">
        <v>93.625972716445006</v>
      </c>
      <c r="AJ1112">
        <v>88.682399075054207</v>
      </c>
      <c r="AK1112">
        <v>17.529945349266502</v>
      </c>
      <c r="AL1112">
        <v>83.343936520473605</v>
      </c>
      <c r="AM1112">
        <v>88.103619724151002</v>
      </c>
      <c r="AN1112">
        <v>0.99999997476803404</v>
      </c>
    </row>
    <row r="1113" spans="1:40" x14ac:dyDescent="0.25">
      <c r="A1113" t="str">
        <f>"20190312164011982"</f>
        <v>20190312164011982</v>
      </c>
      <c r="B1113" t="str">
        <f>"1552380011977808"</f>
        <v>1552380011977808</v>
      </c>
      <c r="C1113" t="s">
        <v>40</v>
      </c>
      <c r="D1113">
        <v>5.4694260000000003</v>
      </c>
      <c r="E1113">
        <v>0.49925380000000003</v>
      </c>
      <c r="F1113" t="s">
        <v>41</v>
      </c>
      <c r="G1113">
        <v>-253.59289999999999</v>
      </c>
      <c r="H1113" s="1">
        <v>-3.1305700000000002E-6</v>
      </c>
      <c r="I1113">
        <v>367.36349999999999</v>
      </c>
      <c r="J1113">
        <v>-271.10289999999998</v>
      </c>
      <c r="K1113">
        <v>1.1088209999999901</v>
      </c>
      <c r="L1113">
        <v>367.71769999999998</v>
      </c>
      <c r="M1113">
        <v>0.99991099999999999</v>
      </c>
      <c r="N1113">
        <v>0</v>
      </c>
      <c r="O1113">
        <v>2.3840860000000001E-3</v>
      </c>
      <c r="P1113">
        <v>0.99421400000000004</v>
      </c>
      <c r="Q1113">
        <v>0.1030711</v>
      </c>
      <c r="R1113">
        <v>-3.0254509999999998E-2</v>
      </c>
      <c r="S1113">
        <v>3.0353089999999998</v>
      </c>
      <c r="T1113">
        <v>-0.190083</v>
      </c>
      <c r="U1113">
        <v>-6.063843E-2</v>
      </c>
      <c r="V1113">
        <v>3.2604950000000001E-2</v>
      </c>
      <c r="W1113">
        <v>0.11612509999999999</v>
      </c>
      <c r="X1113">
        <v>0.99269929999999995</v>
      </c>
      <c r="Y1113">
        <v>2.2309099999999998E-2</v>
      </c>
      <c r="Z1113">
        <v>-8.4694269999999996E-4</v>
      </c>
      <c r="AA1113">
        <v>0.99975069999999999</v>
      </c>
      <c r="AB1113">
        <v>32</v>
      </c>
      <c r="AC1113">
        <v>17.509999999999899</v>
      </c>
      <c r="AD1113">
        <v>-1.10882413056999</v>
      </c>
      <c r="AE1113">
        <v>-0.35419999999999102</v>
      </c>
      <c r="AF1113">
        <v>0.39436713910879401</v>
      </c>
      <c r="AG1113">
        <v>-1.10882413056999</v>
      </c>
      <c r="AH1113">
        <v>17.4392017217065</v>
      </c>
      <c r="AI1113">
        <v>93.637171349706804</v>
      </c>
      <c r="AJ1113">
        <v>88.704543791036201</v>
      </c>
      <c r="AK1113">
        <v>17.478866470206601</v>
      </c>
      <c r="AL1113">
        <v>83.331476734035704</v>
      </c>
      <c r="AM1113">
        <v>88.118811308757699</v>
      </c>
      <c r="AN1113">
        <v>1.0000000109175</v>
      </c>
    </row>
    <row r="1114" spans="1:40" x14ac:dyDescent="0.25">
      <c r="A1114" t="str">
        <f>"20190312164011997"</f>
        <v>20190312164011997</v>
      </c>
      <c r="B1114" t="str">
        <f>"1552380011987568"</f>
        <v>1552380011987568</v>
      </c>
      <c r="C1114" t="s">
        <v>40</v>
      </c>
      <c r="D1114">
        <v>5.3334010000000003</v>
      </c>
      <c r="E1114">
        <v>0.49925380000000003</v>
      </c>
      <c r="F1114" t="s">
        <v>41</v>
      </c>
      <c r="G1114">
        <v>-253.37729999999999</v>
      </c>
      <c r="H1114" s="1">
        <v>-3.2219890000000001E-6</v>
      </c>
      <c r="I1114">
        <v>367.36939999999998</v>
      </c>
      <c r="J1114">
        <v>-270.89139999999998</v>
      </c>
      <c r="K1114">
        <v>1.108994</v>
      </c>
      <c r="L1114">
        <v>367.71820000000002</v>
      </c>
      <c r="M1114">
        <v>0.99990959999999995</v>
      </c>
      <c r="N1114">
        <v>0</v>
      </c>
      <c r="O1114">
        <v>2.4453980000000001E-3</v>
      </c>
      <c r="P1114">
        <v>0.99425969999999997</v>
      </c>
      <c r="Q1114">
        <v>0.10266840000000001</v>
      </c>
      <c r="R1114">
        <v>-3.0116609999999999E-2</v>
      </c>
      <c r="S1114">
        <v>3.035339</v>
      </c>
      <c r="T1114">
        <v>-0.18987509999999999</v>
      </c>
      <c r="U1114">
        <v>-5.963135E-2</v>
      </c>
      <c r="V1114">
        <v>3.2528389999999997E-2</v>
      </c>
      <c r="W1114">
        <v>0.11582530000000001</v>
      </c>
      <c r="X1114">
        <v>0.99273679999999997</v>
      </c>
      <c r="Y1114">
        <v>2.203915E-2</v>
      </c>
      <c r="Z1114">
        <v>-8.4140970000000002E-4</v>
      </c>
      <c r="AA1114">
        <v>0.9997568</v>
      </c>
      <c r="AB1114">
        <v>32</v>
      </c>
      <c r="AC1114">
        <v>17.5140999999999</v>
      </c>
      <c r="AD1114">
        <v>-1.1089972219890001</v>
      </c>
      <c r="AE1114">
        <v>-0.34880000000003902</v>
      </c>
      <c r="AF1114">
        <v>0.39006830503358902</v>
      </c>
      <c r="AG1114">
        <v>-1.1089972219890001</v>
      </c>
      <c r="AH1114">
        <v>17.443284271564</v>
      </c>
      <c r="AI1114">
        <v>93.636909007411802</v>
      </c>
      <c r="AJ1114">
        <v>88.718960086776605</v>
      </c>
      <c r="AK1114">
        <v>17.482854294981799</v>
      </c>
      <c r="AL1114">
        <v>83.348770467639795</v>
      </c>
      <c r="AM1114">
        <v>88.123296226794807</v>
      </c>
      <c r="AN1114">
        <v>0.99999997517516004</v>
      </c>
    </row>
    <row r="1115" spans="1:40" x14ac:dyDescent="0.25">
      <c r="A1115" t="str">
        <f>"20190312164012021"</f>
        <v>20190312164012021</v>
      </c>
      <c r="B1115" t="str">
        <f>"1552380012016849"</f>
        <v>1552380012016849</v>
      </c>
      <c r="C1115" t="s">
        <v>40</v>
      </c>
      <c r="D1115">
        <v>5.4010170000000004</v>
      </c>
      <c r="E1115">
        <v>0.50124639999999998</v>
      </c>
      <c r="F1115" t="s">
        <v>41</v>
      </c>
      <c r="G1115">
        <v>-253.2784</v>
      </c>
      <c r="H1115" s="1">
        <v>-3.263554E-6</v>
      </c>
      <c r="I1115">
        <v>367.37430000000001</v>
      </c>
      <c r="J1115">
        <v>-270.54259999999999</v>
      </c>
      <c r="K1115">
        <v>1.1092439999999999</v>
      </c>
      <c r="L1115">
        <v>367.7192</v>
      </c>
      <c r="M1115">
        <v>0.99990710000000005</v>
      </c>
      <c r="N1115">
        <v>0</v>
      </c>
      <c r="O1115">
        <v>2.5465589999999999E-3</v>
      </c>
      <c r="P1115">
        <v>0.99430940000000001</v>
      </c>
      <c r="Q1115">
        <v>0.10231129999999999</v>
      </c>
      <c r="R1115">
        <v>-2.9688289999999999E-2</v>
      </c>
      <c r="S1115">
        <v>3.0352480000000002</v>
      </c>
      <c r="T1115">
        <v>-0.19111259999999999</v>
      </c>
      <c r="U1115">
        <v>-5.9265140000000001E-2</v>
      </c>
      <c r="V1115">
        <v>3.220079E-2</v>
      </c>
      <c r="W1115">
        <v>0.11561920000000001</v>
      </c>
      <c r="X1115">
        <v>0.99277150000000003</v>
      </c>
      <c r="Y1115">
        <v>2.2019520000000001E-2</v>
      </c>
      <c r="Z1115">
        <v>-8.5265570000000004E-4</v>
      </c>
      <c r="AA1115">
        <v>0.99975720000000001</v>
      </c>
      <c r="AB1115">
        <v>32</v>
      </c>
      <c r="AC1115">
        <v>17.264199999999899</v>
      </c>
      <c r="AD1115">
        <v>-1.1092472635540001</v>
      </c>
      <c r="AE1115">
        <v>-0.34489999999999499</v>
      </c>
      <c r="AF1115">
        <v>0.38726902987501399</v>
      </c>
      <c r="AG1115">
        <v>-1.1092472635540001</v>
      </c>
      <c r="AH1115">
        <v>17.192320099126601</v>
      </c>
      <c r="AI1115">
        <v>93.690669148918502</v>
      </c>
      <c r="AJ1115">
        <v>88.709590734111103</v>
      </c>
      <c r="AK1115">
        <v>17.232419365371602</v>
      </c>
      <c r="AL1115">
        <v>83.360658970367695</v>
      </c>
      <c r="AM1115">
        <v>88.142248468100505</v>
      </c>
      <c r="AN1115">
        <v>0.99999997074875602</v>
      </c>
    </row>
    <row r="1116" spans="1:40" x14ac:dyDescent="0.25">
      <c r="A1116" t="str">
        <f>"20190312164012035"</f>
        <v>20190312164012035</v>
      </c>
      <c r="B1116" t="str">
        <f>"1552380012027588"</f>
        <v>1552380012027588</v>
      </c>
      <c r="C1116" t="s">
        <v>40</v>
      </c>
      <c r="D1116">
        <v>5.4421010000000001</v>
      </c>
      <c r="E1116">
        <v>0.50492680000000001</v>
      </c>
      <c r="F1116" t="s">
        <v>42</v>
      </c>
      <c r="G1116">
        <v>-269.57769999999999</v>
      </c>
      <c r="H1116">
        <v>1.030805</v>
      </c>
      <c r="I1116">
        <v>367.69659999999999</v>
      </c>
      <c r="J1116">
        <v>-270.3295</v>
      </c>
      <c r="K1116">
        <v>1.1093710000000001</v>
      </c>
      <c r="L1116">
        <v>367.71980000000002</v>
      </c>
      <c r="M1116">
        <v>0.99990590000000001</v>
      </c>
      <c r="N1116">
        <v>0</v>
      </c>
      <c r="O1116">
        <v>2.6079889999999998E-3</v>
      </c>
      <c r="P1116">
        <v>0.99432679999999996</v>
      </c>
      <c r="Q1116">
        <v>0.1021687</v>
      </c>
      <c r="R1116">
        <v>-2.9593990000000001E-2</v>
      </c>
      <c r="S1116">
        <v>3.0404360000000001</v>
      </c>
      <c r="T1116">
        <v>-0.24720130000000001</v>
      </c>
      <c r="U1116">
        <v>-7.1228029999999998E-2</v>
      </c>
      <c r="V1116">
        <v>3.2167639999999997E-2</v>
      </c>
      <c r="W1116">
        <v>0.1155605</v>
      </c>
      <c r="X1116">
        <v>0.99277939999999998</v>
      </c>
      <c r="Y1116">
        <v>2.5933790000000002E-2</v>
      </c>
      <c r="Z1116">
        <v>-1.2640710000000001E-3</v>
      </c>
      <c r="AA1116">
        <v>0.99966290000000002</v>
      </c>
      <c r="AB1116">
        <v>32</v>
      </c>
      <c r="AC1116">
        <v>0.75180000000000202</v>
      </c>
      <c r="AD1116">
        <v>-7.85659999999999E-2</v>
      </c>
      <c r="AE1116">
        <v>-2.3200000000031199E-2</v>
      </c>
      <c r="AF1116">
        <v>2.4889227021174999E-2</v>
      </c>
      <c r="AG1116">
        <v>-7.85659999999999E-2</v>
      </c>
      <c r="AH1116">
        <v>0.74362350425676405</v>
      </c>
      <c r="AI1116">
        <v>96.027741977901897</v>
      </c>
      <c r="AJ1116">
        <v>88.083014454017899</v>
      </c>
      <c r="AK1116">
        <v>0.74817645382678299</v>
      </c>
      <c r="AL1116">
        <v>83.364044868016904</v>
      </c>
      <c r="AM1116">
        <v>88.144174401515599</v>
      </c>
      <c r="AN1116">
        <v>0.99999996164388905</v>
      </c>
    </row>
    <row r="1117" spans="1:40" x14ac:dyDescent="0.25">
      <c r="A1117" t="str">
        <f>"20190312164012049"</f>
        <v>20190312164012049</v>
      </c>
      <c r="B1117" t="str">
        <f>"1552380012037345"</f>
        <v>1552380012037345</v>
      </c>
      <c r="C1117" t="s">
        <v>40</v>
      </c>
      <c r="D1117">
        <v>5.340014</v>
      </c>
      <c r="E1117">
        <v>0.50384910000000005</v>
      </c>
      <c r="F1117" t="s">
        <v>41</v>
      </c>
      <c r="G1117">
        <v>-255.01990000000001</v>
      </c>
      <c r="H1117" s="1">
        <v>-2.5454229999999998E-6</v>
      </c>
      <c r="I1117">
        <v>367.21109999999999</v>
      </c>
      <c r="J1117">
        <v>-270.14909999999998</v>
      </c>
      <c r="K1117">
        <v>1.109467</v>
      </c>
      <c r="L1117">
        <v>367.72030000000001</v>
      </c>
      <c r="M1117">
        <v>0.99990489999999999</v>
      </c>
      <c r="N1117">
        <v>0</v>
      </c>
      <c r="O1117">
        <v>2.6604200000000001E-3</v>
      </c>
      <c r="P1117">
        <v>0.99433720000000003</v>
      </c>
      <c r="Q1117">
        <v>0.1021083</v>
      </c>
      <c r="R1117">
        <v>-2.9455459999999999E-2</v>
      </c>
      <c r="S1117">
        <v>3.0367130000000002</v>
      </c>
      <c r="T1117">
        <v>-0.22004660000000001</v>
      </c>
      <c r="U1117">
        <v>-0.1008911</v>
      </c>
      <c r="V1117">
        <v>3.2081169999999999E-2</v>
      </c>
      <c r="W1117">
        <v>0.1155648</v>
      </c>
      <c r="X1117">
        <v>0.99278180000000005</v>
      </c>
      <c r="Y1117">
        <v>3.5763919999999998E-2</v>
      </c>
      <c r="Z1117">
        <v>-1.486207E-3</v>
      </c>
      <c r="AA1117">
        <v>0.9993592</v>
      </c>
      <c r="AB1117">
        <v>32</v>
      </c>
      <c r="AC1117">
        <v>15.1291999999999</v>
      </c>
      <c r="AD1117">
        <v>-1.1094695454229999</v>
      </c>
      <c r="AE1117">
        <v>-0.50920000000002097</v>
      </c>
      <c r="AF1117">
        <v>0.54651621941266704</v>
      </c>
      <c r="AG1117">
        <v>-1.1094695454229999</v>
      </c>
      <c r="AH1117">
        <v>15.0469647127524</v>
      </c>
      <c r="AI1117">
        <v>94.214234387533295</v>
      </c>
      <c r="AJ1117">
        <v>87.919891820982798</v>
      </c>
      <c r="AK1117">
        <v>15.097706770139499</v>
      </c>
      <c r="AL1117">
        <v>83.363797512950796</v>
      </c>
      <c r="AM1117">
        <v>88.1491640527491</v>
      </c>
      <c r="AN1117">
        <v>1.0000000634394199</v>
      </c>
    </row>
    <row r="1118" spans="1:40" x14ac:dyDescent="0.25">
      <c r="A1118" t="str">
        <f>"20190312164012060"</f>
        <v>20190312164012060</v>
      </c>
      <c r="B1118" t="str">
        <f>"1552380012056864"</f>
        <v>1552380012056864</v>
      </c>
      <c r="C1118" t="s">
        <v>40</v>
      </c>
      <c r="D1118">
        <v>5.3376159999999997</v>
      </c>
      <c r="E1118">
        <v>0.50545839999999997</v>
      </c>
      <c r="F1118" t="s">
        <v>42</v>
      </c>
      <c r="G1118">
        <v>-269.279</v>
      </c>
      <c r="H1118">
        <v>1.0460959999999999</v>
      </c>
      <c r="I1118">
        <v>367.69369999999998</v>
      </c>
      <c r="J1118">
        <v>-269.97669999999999</v>
      </c>
      <c r="K1118">
        <v>1.10955</v>
      </c>
      <c r="L1118">
        <v>367.7208</v>
      </c>
      <c r="M1118">
        <v>0.99990389999999996</v>
      </c>
      <c r="N1118">
        <v>0</v>
      </c>
      <c r="O1118">
        <v>2.71068E-3</v>
      </c>
      <c r="P1118">
        <v>0.99434009999999995</v>
      </c>
      <c r="Q1118">
        <v>0.10200330000000001</v>
      </c>
      <c r="R1118">
        <v>-2.9721500000000001E-2</v>
      </c>
      <c r="S1118">
        <v>3.0370789999999999</v>
      </c>
      <c r="T1118">
        <v>-0.22149379999999999</v>
      </c>
      <c r="U1118">
        <v>-9.1857910000000001E-2</v>
      </c>
      <c r="V1118">
        <v>3.2397330000000002E-2</v>
      </c>
      <c r="W1118">
        <v>0.1155188</v>
      </c>
      <c r="X1118">
        <v>0.99277680000000001</v>
      </c>
      <c r="Y1118">
        <v>3.2846889999999997E-2</v>
      </c>
      <c r="Z1118">
        <v>-1.3933019999999999E-3</v>
      </c>
      <c r="AA1118">
        <v>0.9994594</v>
      </c>
      <c r="AB1118">
        <v>32</v>
      </c>
      <c r="AC1118">
        <v>0.69769999999999699</v>
      </c>
      <c r="AD1118">
        <v>-6.3454000000000094E-2</v>
      </c>
      <c r="AE1118">
        <v>-2.7100000000018502E-2</v>
      </c>
      <c r="AF1118">
        <v>2.8753839599052401E-2</v>
      </c>
      <c r="AG1118">
        <v>-6.3454000000000094E-2</v>
      </c>
      <c r="AH1118">
        <v>0.69190951078958896</v>
      </c>
      <c r="AI1118">
        <v>95.235360675316898</v>
      </c>
      <c r="AJ1118">
        <v>87.620315644813701</v>
      </c>
      <c r="AK1118">
        <v>0.69540776852777297</v>
      </c>
      <c r="AL1118">
        <v>83.366450315877699</v>
      </c>
      <c r="AM1118">
        <v>88.130927528081102</v>
      </c>
      <c r="AN1118">
        <v>0.999999977381404</v>
      </c>
    </row>
    <row r="1119" spans="1:40" x14ac:dyDescent="0.25">
      <c r="A1119" t="str">
        <f>"20190312164012071"</f>
        <v>20190312164012071</v>
      </c>
      <c r="B1119" t="str">
        <f>"1552380012067600"</f>
        <v>1552380012067600</v>
      </c>
      <c r="C1119" t="s">
        <v>40</v>
      </c>
      <c r="D1119">
        <v>5.5528579999999996</v>
      </c>
      <c r="E1119">
        <v>0.50554089999999996</v>
      </c>
      <c r="F1119" t="s">
        <v>42</v>
      </c>
      <c r="G1119">
        <v>-268.9973</v>
      </c>
      <c r="H1119">
        <v>1.0380290000000001</v>
      </c>
      <c r="I1119">
        <v>367.6866</v>
      </c>
      <c r="J1119">
        <v>-269.8184</v>
      </c>
      <c r="K1119">
        <v>1.1096189999999999</v>
      </c>
      <c r="L1119">
        <v>367.72129999999999</v>
      </c>
      <c r="M1119">
        <v>0.99990319999999999</v>
      </c>
      <c r="N1119">
        <v>0</v>
      </c>
      <c r="O1119">
        <v>2.7561180000000001E-3</v>
      </c>
      <c r="P1119">
        <v>0.99436210000000003</v>
      </c>
      <c r="Q1119">
        <v>0.10172340000000001</v>
      </c>
      <c r="R1119">
        <v>-2.9948269999999999E-2</v>
      </c>
      <c r="S1119">
        <v>3.0366520000000001</v>
      </c>
      <c r="T1119">
        <v>-0.22190770000000001</v>
      </c>
      <c r="U1119">
        <v>-0.1055908</v>
      </c>
      <c r="V1119">
        <v>3.2669249999999997E-2</v>
      </c>
      <c r="W1119">
        <v>0.11528910000000001</v>
      </c>
      <c r="X1119">
        <v>0.99279459999999997</v>
      </c>
      <c r="Y1119">
        <v>3.7398750000000001E-2</v>
      </c>
      <c r="Z1119">
        <v>-1.56535299999999E-3</v>
      </c>
      <c r="AA1119">
        <v>0.99929920000000005</v>
      </c>
      <c r="AB1119">
        <v>32</v>
      </c>
      <c r="AC1119">
        <v>0.82110000000000105</v>
      </c>
      <c r="AD1119">
        <v>-7.1590000000000001E-2</v>
      </c>
      <c r="AE1119">
        <v>-3.4699999999986603E-2</v>
      </c>
      <c r="AF1119">
        <v>3.6684756580413702E-2</v>
      </c>
      <c r="AG1119">
        <v>-7.1590000000000001E-2</v>
      </c>
      <c r="AH1119">
        <v>0.81481824617610499</v>
      </c>
      <c r="AI1119">
        <v>95.016063324885494</v>
      </c>
      <c r="AJ1119">
        <v>87.422169544455599</v>
      </c>
      <c r="AK1119">
        <v>0.81877938039918197</v>
      </c>
      <c r="AL1119">
        <v>83.379699745326207</v>
      </c>
      <c r="AM1119">
        <v>88.115284906607201</v>
      </c>
      <c r="AN1119">
        <v>0.99999998713176597</v>
      </c>
    </row>
    <row r="1120" spans="1:40" x14ac:dyDescent="0.25">
      <c r="A1120" t="str">
        <f>"20190312164012082"</f>
        <v>20190312164012082</v>
      </c>
      <c r="B1120" t="str">
        <f>"1552380012077360"</f>
        <v>1552380012077360</v>
      </c>
      <c r="C1120" t="s">
        <v>40</v>
      </c>
      <c r="D1120">
        <v>5.3942920000000001</v>
      </c>
      <c r="E1120">
        <v>0.50548570000000004</v>
      </c>
      <c r="F1120" t="s">
        <v>42</v>
      </c>
      <c r="G1120">
        <v>-268.98020000000002</v>
      </c>
      <c r="H1120">
        <v>1.0500210000000001</v>
      </c>
      <c r="I1120">
        <v>367.69150000000002</v>
      </c>
      <c r="J1120">
        <v>-269.66719999999998</v>
      </c>
      <c r="K1120">
        <v>1.1096779999999999</v>
      </c>
      <c r="L1120">
        <v>367.7217</v>
      </c>
      <c r="M1120">
        <v>0.99990219999999996</v>
      </c>
      <c r="N1120">
        <v>0</v>
      </c>
      <c r="O1120">
        <v>2.8000920000000001E-3</v>
      </c>
      <c r="P1120">
        <v>0.99438349999999998</v>
      </c>
      <c r="Q1120">
        <v>0.1014206</v>
      </c>
      <c r="R1120">
        <v>-3.0251009999999998E-2</v>
      </c>
      <c r="S1120">
        <v>3.035828</v>
      </c>
      <c r="T1120">
        <v>-0.21598700000000001</v>
      </c>
      <c r="U1120">
        <v>-0.107666</v>
      </c>
      <c r="V1120">
        <v>3.3015870000000003E-2</v>
      </c>
      <c r="W1120">
        <v>0.11503190000000001</v>
      </c>
      <c r="X1120">
        <v>0.99281299999999995</v>
      </c>
      <c r="Y1120">
        <v>3.8137959999999999E-2</v>
      </c>
      <c r="Z1120">
        <v>-1.5534679999999999E-3</v>
      </c>
      <c r="AA1120">
        <v>0.99927129999999997</v>
      </c>
      <c r="AB1120">
        <v>32</v>
      </c>
      <c r="AC1120">
        <v>0.68699999999995498</v>
      </c>
      <c r="AD1120">
        <v>-5.9657000000000203E-2</v>
      </c>
      <c r="AE1120">
        <v>-3.0199999999979299E-2</v>
      </c>
      <c r="AF1120">
        <v>3.18837644830407E-2</v>
      </c>
      <c r="AG1120">
        <v>-5.9657000000000203E-2</v>
      </c>
      <c r="AH1120">
        <v>0.68178156825820602</v>
      </c>
      <c r="AI1120">
        <v>94.995305688878403</v>
      </c>
      <c r="AJ1120">
        <v>87.322492673560504</v>
      </c>
      <c r="AK1120">
        <v>0.68512892137409398</v>
      </c>
      <c r="AL1120">
        <v>83.394535133612607</v>
      </c>
      <c r="AM1120">
        <v>88.095338048417503</v>
      </c>
      <c r="AN1120">
        <v>1.00000001932923</v>
      </c>
    </row>
    <row r="1121" spans="1:40" x14ac:dyDescent="0.25">
      <c r="A1121" t="str">
        <f>"20190312164012092"</f>
        <v>20190312164012092</v>
      </c>
      <c r="B1121" t="str">
        <f>"1552380012087121"</f>
        <v>1552380012087121</v>
      </c>
      <c r="C1121" t="s">
        <v>40</v>
      </c>
      <c r="D1121">
        <v>5.4294060000000002</v>
      </c>
      <c r="E1121">
        <v>0.50546089999999999</v>
      </c>
      <c r="F1121" t="s">
        <v>42</v>
      </c>
      <c r="G1121">
        <v>-268.70639999999997</v>
      </c>
      <c r="H1121">
        <v>1.0428280000000001</v>
      </c>
      <c r="I1121">
        <v>367.68729999999999</v>
      </c>
      <c r="J1121">
        <v>-269.50310000000002</v>
      </c>
      <c r="K1121">
        <v>1.109737</v>
      </c>
      <c r="L1121">
        <v>367.72230000000002</v>
      </c>
      <c r="M1121">
        <v>0.99990159999999995</v>
      </c>
      <c r="N1121">
        <v>0</v>
      </c>
      <c r="O1121">
        <v>2.847577E-3</v>
      </c>
      <c r="P1121">
        <v>0.9943902</v>
      </c>
      <c r="Q1121">
        <v>0.1013254</v>
      </c>
      <c r="R1121">
        <v>-3.0356109999999999E-2</v>
      </c>
      <c r="S1121">
        <v>3.0352169999999998</v>
      </c>
      <c r="T1121">
        <v>-0.21141670000000001</v>
      </c>
      <c r="U1121">
        <v>-0.1081848</v>
      </c>
      <c r="V1121">
        <v>3.3168339999999998E-2</v>
      </c>
      <c r="W1121">
        <v>0.11498269999999999</v>
      </c>
      <c r="X1121">
        <v>0.99281359999999996</v>
      </c>
      <c r="Y1121">
        <v>3.8366730000000002E-2</v>
      </c>
      <c r="Z1121">
        <v>-1.5322350000000001E-3</v>
      </c>
      <c r="AA1121">
        <v>0.9992626</v>
      </c>
      <c r="AB1121">
        <v>32</v>
      </c>
      <c r="AC1121">
        <v>0.79670000000004304</v>
      </c>
      <c r="AD1121">
        <v>-6.6908999999999802E-2</v>
      </c>
      <c r="AE1121">
        <v>-3.5000000000024997E-2</v>
      </c>
      <c r="AF1121">
        <v>3.7008217216997798E-2</v>
      </c>
      <c r="AG1121">
        <v>-6.6908999999999802E-2</v>
      </c>
      <c r="AH1121">
        <v>0.79102864506511505</v>
      </c>
      <c r="AI1121">
        <v>94.829585895706401</v>
      </c>
      <c r="AJ1121">
        <v>87.321374364425097</v>
      </c>
      <c r="AK1121">
        <v>0.79471550867976104</v>
      </c>
      <c r="AL1121">
        <v>83.397372802069995</v>
      </c>
      <c r="AM1121">
        <v>88.086549842106095</v>
      </c>
      <c r="AN1121">
        <v>1.0000000022113</v>
      </c>
    </row>
    <row r="1122" spans="1:40" x14ac:dyDescent="0.25">
      <c r="A1122" t="str">
        <f>"20190312164012104"</f>
        <v>20190312164012104</v>
      </c>
      <c r="B1122" t="str">
        <f>"1552380012096881"</f>
        <v>1552380012096881</v>
      </c>
      <c r="C1122" t="s">
        <v>40</v>
      </c>
      <c r="D1122">
        <v>5.2428689999999998</v>
      </c>
      <c r="E1122">
        <v>0.50552759999999997</v>
      </c>
      <c r="F1122" t="s">
        <v>41</v>
      </c>
      <c r="G1122">
        <v>-253.2347</v>
      </c>
      <c r="H1122" s="1">
        <v>-3.3237020000000001E-6</v>
      </c>
      <c r="I1122">
        <v>367.14100000000002</v>
      </c>
      <c r="J1122">
        <v>-269.3467</v>
      </c>
      <c r="K1122">
        <v>1.1097870000000001</v>
      </c>
      <c r="L1122">
        <v>367.72269999999997</v>
      </c>
      <c r="M1122">
        <v>0.99990089999999998</v>
      </c>
      <c r="N1122">
        <v>0</v>
      </c>
      <c r="O1122">
        <v>2.8931270000000001E-3</v>
      </c>
      <c r="P1122">
        <v>0.99445240000000001</v>
      </c>
      <c r="Q1122">
        <v>0.10062690000000001</v>
      </c>
      <c r="R1122">
        <v>-3.0641959999999999E-2</v>
      </c>
      <c r="S1122">
        <v>3.0346679999999999</v>
      </c>
      <c r="T1122">
        <v>-0.20700740000000001</v>
      </c>
      <c r="U1122">
        <v>-0.108429</v>
      </c>
      <c r="V1122">
        <v>3.3499580000000001E-2</v>
      </c>
      <c r="W1122">
        <v>0.1143266</v>
      </c>
      <c r="X1122">
        <v>0.99287829999999999</v>
      </c>
      <c r="Y1122">
        <v>3.8502630000000003E-2</v>
      </c>
      <c r="Z1122">
        <v>-1.5083529999999901E-3</v>
      </c>
      <c r="AA1122">
        <v>0.99925739999999996</v>
      </c>
      <c r="AB1122">
        <v>32</v>
      </c>
      <c r="AC1122">
        <v>16.111999999999899</v>
      </c>
      <c r="AD1122">
        <v>-1.1097903237019999</v>
      </c>
      <c r="AE1122">
        <v>-0.58170000000001199</v>
      </c>
      <c r="AF1122">
        <v>0.62535297828231595</v>
      </c>
      <c r="AG1122">
        <v>-1.1097903237019999</v>
      </c>
      <c r="AH1122">
        <v>16.034275188214501</v>
      </c>
      <c r="AI1122">
        <v>93.956336027570202</v>
      </c>
      <c r="AJ1122">
        <v>87.766538511697306</v>
      </c>
      <c r="AK1122">
        <v>16.084796601804499</v>
      </c>
      <c r="AL1122">
        <v>83.435214465968102</v>
      </c>
      <c r="AM1122">
        <v>88.067581175032998</v>
      </c>
      <c r="AN1122">
        <v>1.0000000559693101</v>
      </c>
    </row>
    <row r="1123" spans="1:40" x14ac:dyDescent="0.25">
      <c r="A1123" t="str">
        <f>"20190312164012127"</f>
        <v>20190312164012127</v>
      </c>
      <c r="B1123" t="str">
        <f>"1552380012117376"</f>
        <v>1552380012117376</v>
      </c>
      <c r="C1123" t="s">
        <v>40</v>
      </c>
      <c r="D1123">
        <v>5.3255869999999996</v>
      </c>
      <c r="E1123">
        <v>0.50567620000000002</v>
      </c>
      <c r="F1123" t="s">
        <v>42</v>
      </c>
      <c r="G1123">
        <v>-268.41539999999998</v>
      </c>
      <c r="H1123">
        <v>1.0465329999999999</v>
      </c>
      <c r="I1123">
        <v>367.68900000000002</v>
      </c>
      <c r="J1123">
        <v>-269.02030000000002</v>
      </c>
      <c r="K1123">
        <v>1.1098790000000001</v>
      </c>
      <c r="L1123">
        <v>367.72379999999998</v>
      </c>
      <c r="M1123">
        <v>0.9998996</v>
      </c>
      <c r="N1123">
        <v>0</v>
      </c>
      <c r="O1123">
        <v>2.9880060000000001E-3</v>
      </c>
      <c r="P1123">
        <v>0.99447229999999998</v>
      </c>
      <c r="Q1123">
        <v>0.1002656</v>
      </c>
      <c r="R1123">
        <v>-3.1173989999999999E-2</v>
      </c>
      <c r="S1123">
        <v>3.0342099999999999</v>
      </c>
      <c r="T1123">
        <v>-0.20613790000000001</v>
      </c>
      <c r="U1123">
        <v>-0.1097412</v>
      </c>
      <c r="V1123">
        <v>3.412639E-2</v>
      </c>
      <c r="W1123">
        <v>0.1140443</v>
      </c>
      <c r="X1123">
        <v>0.99288929999999997</v>
      </c>
      <c r="Y1123">
        <v>3.9033770000000002E-2</v>
      </c>
      <c r="Z1123">
        <v>-1.5267E-3</v>
      </c>
      <c r="AA1123">
        <v>0.99923669999999998</v>
      </c>
      <c r="AB1123">
        <v>32</v>
      </c>
      <c r="AC1123">
        <v>0.60490000000004296</v>
      </c>
      <c r="AD1123">
        <v>-6.3346000000000097E-2</v>
      </c>
      <c r="AE1123">
        <v>-3.4799999999961501E-2</v>
      </c>
      <c r="AF1123">
        <v>3.62116548558684E-2</v>
      </c>
      <c r="AG1123">
        <v>-6.3346000000000097E-2</v>
      </c>
      <c r="AH1123">
        <v>0.59825414719372805</v>
      </c>
      <c r="AI1123">
        <v>96.033268440562793</v>
      </c>
      <c r="AJ1123">
        <v>86.536176570351003</v>
      </c>
      <c r="AK1123">
        <v>0.60268733543844699</v>
      </c>
      <c r="AL1123">
        <v>83.451494771395403</v>
      </c>
      <c r="AM1123">
        <v>88.031473702351406</v>
      </c>
      <c r="AN1123">
        <v>0.99999993745570404</v>
      </c>
    </row>
    <row r="1124" spans="1:40" x14ac:dyDescent="0.25">
      <c r="A1124" t="str">
        <f>"20190312164012149"</f>
        <v>20190312164012149</v>
      </c>
      <c r="B1124" t="str">
        <f>"1552380012136896"</f>
        <v>1552380012136896</v>
      </c>
      <c r="C1124" t="s">
        <v>40</v>
      </c>
      <c r="D1124">
        <v>5.3196389999999996</v>
      </c>
      <c r="E1124">
        <v>0.50600979999999995</v>
      </c>
      <c r="F1124" t="s">
        <v>42</v>
      </c>
      <c r="G1124">
        <v>-268.12479999999999</v>
      </c>
      <c r="H1124">
        <v>1.0502009999999999</v>
      </c>
      <c r="I1124">
        <v>367.69029999999998</v>
      </c>
      <c r="J1124">
        <v>-268.70499999999998</v>
      </c>
      <c r="K1124">
        <v>1.1099509999999999</v>
      </c>
      <c r="L1124">
        <v>367.72480000000002</v>
      </c>
      <c r="M1124">
        <v>0.99989839999999997</v>
      </c>
      <c r="N1124">
        <v>0</v>
      </c>
      <c r="O1124">
        <v>3.0796259999999998E-3</v>
      </c>
      <c r="P1124">
        <v>0.99453469999999999</v>
      </c>
      <c r="Q1124">
        <v>9.9387970000000006E-2</v>
      </c>
      <c r="R1124">
        <v>-3.1985319999999998E-2</v>
      </c>
      <c r="S1124">
        <v>3.0335079999999999</v>
      </c>
      <c r="T1124">
        <v>-0.20239280000000001</v>
      </c>
      <c r="U1124">
        <v>-0.112854</v>
      </c>
      <c r="V1124">
        <v>3.5029060000000001E-2</v>
      </c>
      <c r="W1124">
        <v>0.11323419999999999</v>
      </c>
      <c r="X1124">
        <v>0.99295069999999996</v>
      </c>
      <c r="Y1124">
        <v>4.015838E-2</v>
      </c>
      <c r="Z1124">
        <v>-1.5429090000000001E-3</v>
      </c>
      <c r="AA1124">
        <v>0.99919210000000003</v>
      </c>
      <c r="AB1124">
        <v>32</v>
      </c>
      <c r="AC1124">
        <v>0.58019999999998995</v>
      </c>
      <c r="AD1124">
        <v>-5.9750000000000102E-2</v>
      </c>
      <c r="AE1124">
        <v>-3.45000000000368E-2</v>
      </c>
      <c r="AF1124">
        <v>3.5907344259439998E-2</v>
      </c>
      <c r="AG1124">
        <v>-5.9750000000000102E-2</v>
      </c>
      <c r="AH1124">
        <v>0.57402477080546699</v>
      </c>
      <c r="AI1124">
        <v>95.9309843104094</v>
      </c>
      <c r="AJ1124">
        <v>86.420603711721697</v>
      </c>
      <c r="AK1124">
        <v>0.57824202317890605</v>
      </c>
      <c r="AL1124">
        <v>83.498213495038797</v>
      </c>
      <c r="AM1124">
        <v>87.979572068425497</v>
      </c>
      <c r="AN1124">
        <v>1.0000000558622999</v>
      </c>
    </row>
    <row r="1125" spans="1:40" x14ac:dyDescent="0.25">
      <c r="A1125" t="str">
        <f>"20190312164012164"</f>
        <v>20190312164012164</v>
      </c>
      <c r="B1125" t="str">
        <f>"1552380012157393"</f>
        <v>1552380012157393</v>
      </c>
      <c r="C1125" t="s">
        <v>40</v>
      </c>
      <c r="D1125">
        <v>5.1963869999999996</v>
      </c>
      <c r="E1125">
        <v>0.50620750000000003</v>
      </c>
      <c r="F1125" t="s">
        <v>42</v>
      </c>
      <c r="G1125">
        <v>-267.83350000000002</v>
      </c>
      <c r="H1125">
        <v>1.050475</v>
      </c>
      <c r="I1125">
        <v>367.6909</v>
      </c>
      <c r="J1125">
        <v>-268.495</v>
      </c>
      <c r="K1125">
        <v>1.1099950000000001</v>
      </c>
      <c r="L1125">
        <v>367.72550000000001</v>
      </c>
      <c r="M1125">
        <v>0.99989760000000005</v>
      </c>
      <c r="N1125">
        <v>0</v>
      </c>
      <c r="O1125">
        <v>3.140735E-3</v>
      </c>
      <c r="P1125">
        <v>0.99455760000000004</v>
      </c>
      <c r="Q1125">
        <v>9.8988519999999997E-2</v>
      </c>
      <c r="R1125">
        <v>-3.250289E-2</v>
      </c>
      <c r="S1125">
        <v>3.0333860000000001</v>
      </c>
      <c r="T1125">
        <v>-0.20704220000000001</v>
      </c>
      <c r="U1125">
        <v>-0.1178589</v>
      </c>
      <c r="V1125">
        <v>3.5607720000000002E-2</v>
      </c>
      <c r="W1125">
        <v>0.11287460000000001</v>
      </c>
      <c r="X1125">
        <v>0.99297100000000005</v>
      </c>
      <c r="Y1125">
        <v>4.1858550000000001E-2</v>
      </c>
      <c r="Z1125">
        <v>-1.6403839999999999E-3</v>
      </c>
      <c r="AA1125">
        <v>0.99912219999999996</v>
      </c>
      <c r="AB1125">
        <v>32</v>
      </c>
      <c r="AC1125">
        <v>0.66149999999998899</v>
      </c>
      <c r="AD1125">
        <v>-5.9520000000000003E-2</v>
      </c>
      <c r="AE1125">
        <v>-3.4600000000011698E-2</v>
      </c>
      <c r="AF1125">
        <v>3.6383870844574499E-2</v>
      </c>
      <c r="AG1125">
        <v>-5.9520000000000003E-2</v>
      </c>
      <c r="AH1125">
        <v>0.65609089037503598</v>
      </c>
      <c r="AI1125">
        <v>95.175725333109597</v>
      </c>
      <c r="AJ1125">
        <v>86.825883077011397</v>
      </c>
      <c r="AK1125">
        <v>0.65978911243725602</v>
      </c>
      <c r="AL1125">
        <v>83.518949612213703</v>
      </c>
      <c r="AM1125">
        <v>87.946266057808103</v>
      </c>
      <c r="AN1125">
        <v>0.99999999594487898</v>
      </c>
    </row>
    <row r="1126" spans="1:40" x14ac:dyDescent="0.25">
      <c r="A1126" t="str">
        <f>"20190312164012178"</f>
        <v>20190312164012178</v>
      </c>
      <c r="B1126" t="str">
        <f>"1552380012167153"</f>
        <v>1552380012167153</v>
      </c>
      <c r="C1126" t="s">
        <v>40</v>
      </c>
      <c r="D1126">
        <v>5.2876029999999998</v>
      </c>
      <c r="E1126">
        <v>0.50636409999999998</v>
      </c>
      <c r="F1126" t="s">
        <v>42</v>
      </c>
      <c r="G1126">
        <v>-267.55579999999998</v>
      </c>
      <c r="H1126">
        <v>1.0453629999999901</v>
      </c>
      <c r="I1126">
        <v>367.68799999999999</v>
      </c>
      <c r="J1126">
        <v>-268.28469999999999</v>
      </c>
      <c r="K1126">
        <v>1.110031</v>
      </c>
      <c r="L1126">
        <v>367.72629999999998</v>
      </c>
      <c r="M1126">
        <v>0.99989680000000003</v>
      </c>
      <c r="N1126">
        <v>0</v>
      </c>
      <c r="O1126">
        <v>3.2017450000000002E-3</v>
      </c>
      <c r="P1126">
        <v>0.99456420000000001</v>
      </c>
      <c r="Q1126">
        <v>9.8793629999999993E-2</v>
      </c>
      <c r="R1126">
        <v>-3.2890969999999999E-2</v>
      </c>
      <c r="S1126">
        <v>3.0332949999999999</v>
      </c>
      <c r="T1126">
        <v>-0.20886060000000001</v>
      </c>
      <c r="U1126">
        <v>-0.1207886</v>
      </c>
      <c r="V1126">
        <v>3.6056489999999997E-2</v>
      </c>
      <c r="W1126">
        <v>0.11271680000000001</v>
      </c>
      <c r="X1126">
        <v>0.99297270000000004</v>
      </c>
      <c r="Y1126">
        <v>4.2879769999999998E-2</v>
      </c>
      <c r="Z1126">
        <v>-1.6940739999999901E-3</v>
      </c>
      <c r="AA1126">
        <v>0.99907880000000004</v>
      </c>
      <c r="AB1126">
        <v>32</v>
      </c>
      <c r="AC1126">
        <v>0.72890000000000998</v>
      </c>
      <c r="AD1126">
        <v>-6.46680000000001E-2</v>
      </c>
      <c r="AE1126">
        <v>-3.8299999999935601E-2</v>
      </c>
      <c r="AF1126">
        <v>4.03173111680123E-2</v>
      </c>
      <c r="AG1126">
        <v>-6.46680000000001E-2</v>
      </c>
      <c r="AH1126">
        <v>0.72309762325348204</v>
      </c>
      <c r="AI1126">
        <v>95.102591856252104</v>
      </c>
      <c r="AJ1126">
        <v>86.808698599724295</v>
      </c>
      <c r="AK1126">
        <v>0.72710219952813504</v>
      </c>
      <c r="AL1126">
        <v>83.528048756681201</v>
      </c>
      <c r="AM1126">
        <v>87.920408650720105</v>
      </c>
      <c r="AN1126">
        <v>0.99999996520932399</v>
      </c>
    </row>
    <row r="1127" spans="1:40" x14ac:dyDescent="0.25">
      <c r="A1127" t="str">
        <f>"20190312164012193"</f>
        <v>20190312164012193</v>
      </c>
      <c r="B1127" t="str">
        <f>"1552380012187648"</f>
        <v>1552380012187648</v>
      </c>
      <c r="C1127" t="s">
        <v>40</v>
      </c>
      <c r="D1127">
        <v>5.0770039999999996</v>
      </c>
      <c r="E1127">
        <v>0.52735350000000003</v>
      </c>
      <c r="F1127" t="s">
        <v>42</v>
      </c>
      <c r="G1127">
        <v>-267.27370000000002</v>
      </c>
      <c r="H1127">
        <v>1.040114</v>
      </c>
      <c r="I1127">
        <v>367.68490000000003</v>
      </c>
      <c r="J1127">
        <v>-268.06459999999998</v>
      </c>
      <c r="K1127">
        <v>1.110061</v>
      </c>
      <c r="L1127">
        <v>367.72699999999998</v>
      </c>
      <c r="M1127">
        <v>0.99989620000000001</v>
      </c>
      <c r="N1127">
        <v>0</v>
      </c>
      <c r="O1127">
        <v>3.2654580000000002E-3</v>
      </c>
      <c r="P1127">
        <v>0.9945967</v>
      </c>
      <c r="Q1127">
        <v>9.8001640000000001E-2</v>
      </c>
      <c r="R1127">
        <v>-3.4256019999999998E-2</v>
      </c>
      <c r="S1127">
        <v>3.0331730000000001</v>
      </c>
      <c r="T1127">
        <v>-0.20995739999999999</v>
      </c>
      <c r="U1127">
        <v>-0.1233826</v>
      </c>
      <c r="V1127">
        <v>3.7485079999999997E-2</v>
      </c>
      <c r="W1127">
        <v>0.11196010000000001</v>
      </c>
      <c r="X1127">
        <v>0.99300549999999999</v>
      </c>
      <c r="Y1127">
        <v>4.3794550000000002E-2</v>
      </c>
      <c r="Z1127">
        <v>-1.7390019999999999E-3</v>
      </c>
      <c r="AA1127">
        <v>0.99903909999999996</v>
      </c>
      <c r="AB1127">
        <v>32</v>
      </c>
      <c r="AC1127">
        <v>0.79089999999996496</v>
      </c>
      <c r="AD1127">
        <v>-6.9946999999999898E-2</v>
      </c>
      <c r="AE1127">
        <v>-4.2099999999947998E-2</v>
      </c>
      <c r="AF1127">
        <v>4.4336875541383498E-2</v>
      </c>
      <c r="AG1127">
        <v>-6.9946999999999898E-2</v>
      </c>
      <c r="AH1127">
        <v>0.78463851281803498</v>
      </c>
      <c r="AI1127">
        <v>95.086124823282006</v>
      </c>
      <c r="AJ1127">
        <v>86.765877179571802</v>
      </c>
      <c r="AK1127">
        <v>0.78899679158984504</v>
      </c>
      <c r="AL1127">
        <v>83.571681271804295</v>
      </c>
      <c r="AM1127">
        <v>87.838161442130598</v>
      </c>
      <c r="AN1127">
        <v>1.0000000591224301</v>
      </c>
    </row>
    <row r="1128" spans="1:40" x14ac:dyDescent="0.25">
      <c r="A1128" t="str">
        <f>"20190312164012205"</f>
        <v>20190312164012205</v>
      </c>
      <c r="B1128" t="str">
        <f>"1552380012197408"</f>
        <v>1552380012197408</v>
      </c>
      <c r="C1128" t="s">
        <v>40</v>
      </c>
      <c r="D1128">
        <v>5.1456949999999999</v>
      </c>
      <c r="E1128">
        <v>0.52735350000000003</v>
      </c>
      <c r="F1128" t="s">
        <v>41</v>
      </c>
      <c r="G1128">
        <v>-244.4306</v>
      </c>
      <c r="H1128" s="1">
        <v>-3.3623130000000001E-6</v>
      </c>
      <c r="I1128">
        <v>365.3929</v>
      </c>
      <c r="J1128">
        <v>-267.90449999999998</v>
      </c>
      <c r="K1128">
        <v>1.110082</v>
      </c>
      <c r="L1128">
        <v>367.7276</v>
      </c>
      <c r="M1128">
        <v>0.9998956</v>
      </c>
      <c r="N1128">
        <v>0</v>
      </c>
      <c r="O1128">
        <v>3.3119009999999999E-3</v>
      </c>
      <c r="P1128">
        <v>0.99457300000000004</v>
      </c>
      <c r="Q1128">
        <v>9.7962640000000004E-2</v>
      </c>
      <c r="R1128">
        <v>-3.5042450000000003E-2</v>
      </c>
      <c r="S1128">
        <v>3.0199889999999998</v>
      </c>
      <c r="T1128">
        <v>-0.1418459</v>
      </c>
      <c r="U1128">
        <v>-0.29824830000000002</v>
      </c>
      <c r="V1128">
        <v>3.8317589999999999E-2</v>
      </c>
      <c r="W1128">
        <v>0.111944</v>
      </c>
      <c r="X1128">
        <v>0.99297550000000001</v>
      </c>
      <c r="Y1128">
        <v>0.1014612</v>
      </c>
      <c r="Z1128">
        <v>-2.5308010000000001E-3</v>
      </c>
      <c r="AA1128">
        <v>0.99483630000000001</v>
      </c>
      <c r="AB1128">
        <v>32</v>
      </c>
      <c r="AC1128">
        <v>23.473899999999901</v>
      </c>
      <c r="AD1128">
        <v>-1.110085362313</v>
      </c>
      <c r="AE1128">
        <v>-2.33469999999999</v>
      </c>
      <c r="AF1128">
        <v>2.4071076803753</v>
      </c>
      <c r="AG1128">
        <v>-1.110085362313</v>
      </c>
      <c r="AH1128">
        <v>23.414188462194399</v>
      </c>
      <c r="AI1128">
        <v>92.700195639515499</v>
      </c>
      <c r="AJ1128">
        <v>84.130298880383805</v>
      </c>
      <c r="AK1128">
        <v>23.563757727487001</v>
      </c>
      <c r="AL1128">
        <v>83.572609318343893</v>
      </c>
      <c r="AM1128">
        <v>87.790129332705902</v>
      </c>
      <c r="AN1128">
        <v>1.00000002021982</v>
      </c>
    </row>
    <row r="1129" spans="1:40" x14ac:dyDescent="0.25">
      <c r="A1129" t="str">
        <f>"20190312164012215"</f>
        <v>20190312164012215</v>
      </c>
      <c r="B1129" t="str">
        <f>"1552380012207169"</f>
        <v>1552380012207169</v>
      </c>
      <c r="C1129" t="s">
        <v>40</v>
      </c>
      <c r="D1129">
        <v>6.5890750000000002</v>
      </c>
      <c r="E1129">
        <v>0.59039869999999905</v>
      </c>
      <c r="F1129" t="s">
        <v>41</v>
      </c>
      <c r="G1129">
        <v>-244.2938</v>
      </c>
      <c r="H1129" s="1">
        <v>-3.4300569999999999E-6</v>
      </c>
      <c r="I1129">
        <v>365.37580000000003</v>
      </c>
      <c r="J1129">
        <v>-267.74400000000003</v>
      </c>
      <c r="K1129">
        <v>1.110104</v>
      </c>
      <c r="L1129">
        <v>367.72809999999998</v>
      </c>
      <c r="M1129">
        <v>0.99989519999999998</v>
      </c>
      <c r="N1129">
        <v>0</v>
      </c>
      <c r="O1129">
        <v>3.3587059999999999E-3</v>
      </c>
      <c r="P1129">
        <v>0.99456460000000002</v>
      </c>
      <c r="Q1129">
        <v>9.7647399999999995E-2</v>
      </c>
      <c r="R1129">
        <v>-3.6144759999999998E-2</v>
      </c>
      <c r="S1129">
        <v>3.0197449999999999</v>
      </c>
      <c r="T1129">
        <v>-0.14197650000000001</v>
      </c>
      <c r="U1129">
        <v>-0.30078129999999997</v>
      </c>
      <c r="V1129">
        <v>3.9466580000000001E-2</v>
      </c>
      <c r="W1129">
        <v>0.1116516</v>
      </c>
      <c r="X1129">
        <v>0.99296340000000005</v>
      </c>
      <c r="Y1129">
        <v>0.10234070000000001</v>
      </c>
      <c r="Z1129">
        <v>-2.5560349999999999E-3</v>
      </c>
      <c r="AA1129">
        <v>0.99474609999999997</v>
      </c>
      <c r="AB1129">
        <v>32</v>
      </c>
      <c r="AC1129">
        <v>23.450199999999999</v>
      </c>
      <c r="AD1129">
        <v>-1.110107430057</v>
      </c>
      <c r="AE1129">
        <v>-2.3522999999999499</v>
      </c>
      <c r="AF1129">
        <v>2.4256751432405301</v>
      </c>
      <c r="AG1129">
        <v>-1.110107430057</v>
      </c>
      <c r="AH1129">
        <v>23.390271409357101</v>
      </c>
      <c r="AI1129">
        <v>92.702758343228993</v>
      </c>
      <c r="AJ1129">
        <v>84.079337196056102</v>
      </c>
      <c r="AK1129">
        <v>23.5418995624863</v>
      </c>
      <c r="AL1129">
        <v>83.589468177507101</v>
      </c>
      <c r="AM1129">
        <v>87.723905195729202</v>
      </c>
      <c r="AN1129">
        <v>1.0000000022294999</v>
      </c>
    </row>
    <row r="1130" spans="1:40" x14ac:dyDescent="0.25">
      <c r="A1130" t="str">
        <f>"20190312164012227"</f>
        <v>20190312164012227</v>
      </c>
      <c r="B1130" t="str">
        <f>"1552380012207169"</f>
        <v>1552380012207169</v>
      </c>
      <c r="C1130" t="s">
        <v>40</v>
      </c>
      <c r="D1130">
        <v>6.5890750000000002</v>
      </c>
      <c r="E1130">
        <v>0.59039869999999905</v>
      </c>
      <c r="F1130" t="s">
        <v>41</v>
      </c>
      <c r="G1130">
        <v>-254.7261</v>
      </c>
      <c r="H1130" s="1">
        <v>-3.2042920000000002E-6</v>
      </c>
      <c r="I1130">
        <v>364.2663</v>
      </c>
      <c r="J1130">
        <v>-267.58749999999998</v>
      </c>
      <c r="K1130">
        <v>1.110128</v>
      </c>
      <c r="L1130">
        <v>367.7287</v>
      </c>
      <c r="M1130">
        <v>0.99989490000000003</v>
      </c>
      <c r="N1130">
        <v>0</v>
      </c>
      <c r="O1130">
        <v>3.4040450000000001E-3</v>
      </c>
      <c r="P1130">
        <v>0.99453879999999995</v>
      </c>
      <c r="Q1130">
        <v>9.7355510000000006E-2</v>
      </c>
      <c r="R1130">
        <v>-3.7615040000000002E-2</v>
      </c>
      <c r="S1130">
        <v>3.0124819999999999</v>
      </c>
      <c r="T1130">
        <v>-0.25688919999999998</v>
      </c>
      <c r="U1130">
        <v>-0.80108639999999998</v>
      </c>
      <c r="V1130">
        <v>4.0981869999999997E-2</v>
      </c>
      <c r="W1130">
        <v>0.1113787</v>
      </c>
      <c r="X1130">
        <v>0.9929327</v>
      </c>
      <c r="Y1130">
        <v>0.25938860000000002</v>
      </c>
      <c r="Z1130">
        <v>-1.113696E-2</v>
      </c>
      <c r="AA1130">
        <v>0.96570889999999998</v>
      </c>
      <c r="AB1130">
        <v>32</v>
      </c>
      <c r="AC1130">
        <v>12.8613999999999</v>
      </c>
      <c r="AD1130">
        <v>-1.110131204292</v>
      </c>
      <c r="AE1130">
        <v>-3.4624000000000001</v>
      </c>
      <c r="AF1130">
        <v>3.4819764270039002</v>
      </c>
      <c r="AG1130">
        <v>-1.110131204292</v>
      </c>
      <c r="AH1130">
        <v>12.760890605070101</v>
      </c>
      <c r="AI1130">
        <v>94.797394251754696</v>
      </c>
      <c r="AJ1130">
        <v>74.737636916845702</v>
      </c>
      <c r="AK1130">
        <v>13.273917287806199</v>
      </c>
      <c r="AL1130">
        <v>83.605202561040301</v>
      </c>
      <c r="AM1130">
        <v>87.636540502193895</v>
      </c>
      <c r="AN1130">
        <v>1.00000003760583</v>
      </c>
    </row>
    <row r="1131" spans="1:40" x14ac:dyDescent="0.25">
      <c r="A1131" t="str">
        <f>"20190312164012330"</f>
        <v>20190312164012330</v>
      </c>
      <c r="B1131" t="str">
        <f>"1552380012326839"</f>
        <v>1552380012326839</v>
      </c>
      <c r="C1131" t="s">
        <v>40</v>
      </c>
      <c r="D1131">
        <v>5.3650180000000001</v>
      </c>
      <c r="E1131">
        <v>0.59279499999999996</v>
      </c>
      <c r="F1131" t="s">
        <v>41</v>
      </c>
      <c r="G1131">
        <v>-254.61519999999999</v>
      </c>
      <c r="H1131" s="1">
        <v>-3.244728E-6</v>
      </c>
      <c r="I1131">
        <v>364.25630000000001</v>
      </c>
      <c r="J1131">
        <v>-266.10939999999999</v>
      </c>
      <c r="K1131">
        <v>1.110223</v>
      </c>
      <c r="L1131">
        <v>367.73439999999999</v>
      </c>
      <c r="M1131">
        <v>0.99989130000000004</v>
      </c>
      <c r="N1131">
        <v>0</v>
      </c>
      <c r="O1131">
        <v>3.834484E-3</v>
      </c>
      <c r="P1131">
        <v>0.9941316</v>
      </c>
      <c r="Q1131">
        <v>9.3342540000000002E-2</v>
      </c>
      <c r="R1131">
        <v>-5.467462E-2</v>
      </c>
      <c r="S1131">
        <v>3.0112299999999999</v>
      </c>
      <c r="T1131">
        <v>-0.25768940000000001</v>
      </c>
      <c r="U1131">
        <v>-0.80603029999999998</v>
      </c>
      <c r="V1131">
        <v>5.8468930000000002E-2</v>
      </c>
      <c r="W1131">
        <v>0.1074949</v>
      </c>
      <c r="X1131">
        <v>0.9924849</v>
      </c>
      <c r="Y1131">
        <v>0.26136939999999997</v>
      </c>
      <c r="Z1131">
        <v>-1.1292979999999999E-2</v>
      </c>
      <c r="AA1131">
        <v>0.96517280000000005</v>
      </c>
      <c r="AB1131">
        <v>32</v>
      </c>
      <c r="AC1131">
        <v>11.494199999999999</v>
      </c>
      <c r="AD1131">
        <v>-1.110226244728</v>
      </c>
      <c r="AE1131">
        <v>-3.47809999999998</v>
      </c>
      <c r="AF1131">
        <v>3.49230432724785</v>
      </c>
      <c r="AG1131">
        <v>-1.110226244728</v>
      </c>
      <c r="AH1131">
        <v>11.3834822471505</v>
      </c>
      <c r="AI1131">
        <v>95.326881273114694</v>
      </c>
      <c r="AJ1131">
        <v>72.944667498089302</v>
      </c>
      <c r="AK1131">
        <v>11.9587817063356</v>
      </c>
      <c r="AL1131">
        <v>83.829072575846396</v>
      </c>
      <c r="AM1131">
        <v>86.6285074355999</v>
      </c>
      <c r="AN1131">
        <v>1.0000000230146799</v>
      </c>
    </row>
    <row r="1132" spans="1:40" x14ac:dyDescent="0.25">
      <c r="A1132" t="str">
        <f>"20190312164012350"</f>
        <v>20190312164012350</v>
      </c>
      <c r="B1132" t="str">
        <f>"1552380012347335"</f>
        <v>1552380012347335</v>
      </c>
      <c r="C1132" t="s">
        <v>40</v>
      </c>
      <c r="D1132">
        <v>4.9703369999999998</v>
      </c>
      <c r="E1132">
        <v>0.59111819999999904</v>
      </c>
      <c r="F1132" t="s">
        <v>41</v>
      </c>
      <c r="G1132">
        <v>-247.9469</v>
      </c>
      <c r="H1132" s="1">
        <v>-2.6971599999999999E-6</v>
      </c>
      <c r="I1132">
        <v>362.38330000000002</v>
      </c>
      <c r="J1132">
        <v>-265.84730000000002</v>
      </c>
      <c r="K1132">
        <v>1.110225</v>
      </c>
      <c r="L1132">
        <v>367.73540000000003</v>
      </c>
      <c r="M1132">
        <v>0.99989079999999997</v>
      </c>
      <c r="N1132">
        <v>0</v>
      </c>
      <c r="O1132">
        <v>3.9109599999999998E-3</v>
      </c>
      <c r="P1132">
        <v>0.99407179999999995</v>
      </c>
      <c r="Q1132">
        <v>9.1851790000000003E-2</v>
      </c>
      <c r="R1132">
        <v>-5.8180910000000002E-2</v>
      </c>
      <c r="S1132">
        <v>2.98645</v>
      </c>
      <c r="T1132">
        <v>-0.18255460000000001</v>
      </c>
      <c r="U1132">
        <v>-0.87988279999999996</v>
      </c>
      <c r="V1132">
        <v>6.2050950000000001E-2</v>
      </c>
      <c r="W1132">
        <v>0.106019</v>
      </c>
      <c r="X1132">
        <v>0.99242620000000004</v>
      </c>
      <c r="Y1132">
        <v>0.28586610000000001</v>
      </c>
      <c r="Z1132">
        <v>-8.7818140000000006E-3</v>
      </c>
      <c r="AA1132">
        <v>0.95822929999999995</v>
      </c>
      <c r="AB1132">
        <v>32</v>
      </c>
      <c r="AC1132">
        <v>17.900400000000001</v>
      </c>
      <c r="AD1132">
        <v>-1.11022769716</v>
      </c>
      <c r="AE1132">
        <v>-5.3521000000000001</v>
      </c>
      <c r="AF1132">
        <v>5.4029952938965398</v>
      </c>
      <c r="AG1132">
        <v>-1.11022769716</v>
      </c>
      <c r="AH1132">
        <v>17.816417192373201</v>
      </c>
      <c r="AI1132">
        <v>93.412681071632605</v>
      </c>
      <c r="AJ1132">
        <v>73.129581728508796</v>
      </c>
      <c r="AK1132">
        <v>18.650728813054499</v>
      </c>
      <c r="AL1132">
        <v>83.914121663857401</v>
      </c>
      <c r="AM1132">
        <v>86.422267454261799</v>
      </c>
      <c r="AN1132">
        <v>1.0000000556016599</v>
      </c>
    </row>
    <row r="1133" spans="1:40" x14ac:dyDescent="0.25">
      <c r="A1133" t="str">
        <f>"20190312164012362"</f>
        <v>20190312164012362</v>
      </c>
      <c r="B1133" t="str">
        <f>"1552380012357096"</f>
        <v>1552380012357096</v>
      </c>
      <c r="C1133" t="s">
        <v>40</v>
      </c>
      <c r="D1133">
        <v>4.9730629999999998</v>
      </c>
      <c r="E1133">
        <v>0.58942469999999902</v>
      </c>
      <c r="F1133" t="s">
        <v>41</v>
      </c>
      <c r="G1133">
        <v>-239.9853</v>
      </c>
      <c r="H1133" s="1">
        <v>-6.4038950000000003E-6</v>
      </c>
      <c r="I1133">
        <v>360.09230000000002</v>
      </c>
      <c r="J1133">
        <v>-265.66390000000001</v>
      </c>
      <c r="K1133">
        <v>1.110223</v>
      </c>
      <c r="L1133">
        <v>367.7362</v>
      </c>
      <c r="M1133">
        <v>0.99989039999999996</v>
      </c>
      <c r="N1133">
        <v>0</v>
      </c>
      <c r="O1133">
        <v>3.9647079999999999E-3</v>
      </c>
      <c r="P1133">
        <v>0.99407239999999997</v>
      </c>
      <c r="Q1133">
        <v>9.08722E-2</v>
      </c>
      <c r="R1133">
        <v>-5.9686339999999997E-2</v>
      </c>
      <c r="S1133">
        <v>2.97818</v>
      </c>
      <c r="T1133">
        <v>-0.12785079999999999</v>
      </c>
      <c r="U1133">
        <v>-0.88015750000000004</v>
      </c>
      <c r="V1133">
        <v>6.3610249999999993E-2</v>
      </c>
      <c r="W1133">
        <v>0.1050493</v>
      </c>
      <c r="X1133">
        <v>0.99243060000000005</v>
      </c>
      <c r="Y1133">
        <v>0.28697119999999998</v>
      </c>
      <c r="Z1133">
        <v>-6.1947900000000004E-3</v>
      </c>
      <c r="AA1133">
        <v>0.95791919999999997</v>
      </c>
      <c r="AB1133">
        <v>32</v>
      </c>
      <c r="AC1133">
        <v>25.678599999999999</v>
      </c>
      <c r="AD1133">
        <v>-1.110229403895</v>
      </c>
      <c r="AE1133">
        <v>-7.6438999999999702</v>
      </c>
      <c r="AF1133">
        <v>7.7323807066982804</v>
      </c>
      <c r="AG1133">
        <v>-1.110229403895</v>
      </c>
      <c r="AH1133">
        <v>25.6041229172857</v>
      </c>
      <c r="AI1133">
        <v>92.376969064486701</v>
      </c>
      <c r="AJ1133">
        <v>73.195815946898406</v>
      </c>
      <c r="AK1133">
        <v>26.769262804307299</v>
      </c>
      <c r="AL1133">
        <v>83.969993397968196</v>
      </c>
      <c r="AM1133">
        <v>86.332619948812393</v>
      </c>
      <c r="AN1133">
        <v>1.00000005757595</v>
      </c>
    </row>
    <row r="1134" spans="1:40" x14ac:dyDescent="0.25">
      <c r="A1134" t="str">
        <f>"20190312164012373"</f>
        <v>20190312164012373</v>
      </c>
      <c r="B1134" t="str">
        <f>"1552380012366855"</f>
        <v>1552380012366855</v>
      </c>
      <c r="C1134" t="s">
        <v>40</v>
      </c>
      <c r="D1134">
        <v>5.0515040000000004</v>
      </c>
      <c r="E1134">
        <v>0.58800229999999998</v>
      </c>
      <c r="F1134" t="s">
        <v>41</v>
      </c>
      <c r="G1134">
        <v>-238.8409</v>
      </c>
      <c r="H1134" s="1">
        <v>-2.9695379999999999E-6</v>
      </c>
      <c r="I1134">
        <v>359.88600000000002</v>
      </c>
      <c r="J1134">
        <v>-265.49759999999998</v>
      </c>
      <c r="K1134">
        <v>1.110225</v>
      </c>
      <c r="L1134">
        <v>367.73689999999999</v>
      </c>
      <c r="M1134">
        <v>0.99989030000000001</v>
      </c>
      <c r="N1134">
        <v>0</v>
      </c>
      <c r="O1134">
        <v>4.013282E-3</v>
      </c>
      <c r="P1134">
        <v>0.994085</v>
      </c>
      <c r="Q1134">
        <v>9.0016100000000002E-2</v>
      </c>
      <c r="R1134">
        <v>-6.07655E-2</v>
      </c>
      <c r="S1134">
        <v>2.9768370000000002</v>
      </c>
      <c r="T1134">
        <v>-0.1232133</v>
      </c>
      <c r="U1134">
        <v>-0.87121579999999998</v>
      </c>
      <c r="V1134">
        <v>6.4737859999999994E-2</v>
      </c>
      <c r="W1134">
        <v>0.1042019</v>
      </c>
      <c r="X1134">
        <v>0.99244699999999997</v>
      </c>
      <c r="Y1134">
        <v>0.28450510000000001</v>
      </c>
      <c r="Z1134">
        <v>-5.9273299999999998E-3</v>
      </c>
      <c r="AA1134">
        <v>0.95865619999999996</v>
      </c>
      <c r="AB1134">
        <v>32</v>
      </c>
      <c r="AC1134">
        <v>26.656699999999901</v>
      </c>
      <c r="AD1134">
        <v>-1.110227969538</v>
      </c>
      <c r="AE1134">
        <v>-7.8509000000000198</v>
      </c>
      <c r="AF1134">
        <v>7.9451465051016701</v>
      </c>
      <c r="AG1134">
        <v>-1.110227969538</v>
      </c>
      <c r="AH1134">
        <v>26.582543338032799</v>
      </c>
      <c r="AI1134">
        <v>92.291534147273495</v>
      </c>
      <c r="AJ1134">
        <v>73.3593380534289</v>
      </c>
      <c r="AK1134">
        <v>27.766698929657899</v>
      </c>
      <c r="AL1134">
        <v>84.018813659408707</v>
      </c>
      <c r="AM1134">
        <v>86.267852467069005</v>
      </c>
      <c r="AN1134">
        <v>1.00000003714499</v>
      </c>
    </row>
    <row r="1135" spans="1:40" x14ac:dyDescent="0.25">
      <c r="A1135" t="str">
        <f>"20190312164012384"</f>
        <v>20190312164012384</v>
      </c>
      <c r="B1135" t="str">
        <f>"1552380012377591"</f>
        <v>1552380012377591</v>
      </c>
      <c r="C1135" t="s">
        <v>40</v>
      </c>
      <c r="D1135">
        <v>5.1740490000000001</v>
      </c>
      <c r="E1135">
        <v>0.58661569999999996</v>
      </c>
      <c r="F1135" t="s">
        <v>41</v>
      </c>
      <c r="G1135">
        <v>-237.90719999999999</v>
      </c>
      <c r="H1135" s="1">
        <v>-3.328008E-6</v>
      </c>
      <c r="I1135">
        <v>359.7328</v>
      </c>
      <c r="J1135">
        <v>-265.35329999999999</v>
      </c>
      <c r="K1135">
        <v>1.1102240000000001</v>
      </c>
      <c r="L1135">
        <v>367.73750000000001</v>
      </c>
      <c r="M1135">
        <v>0.9998899</v>
      </c>
      <c r="N1135">
        <v>0</v>
      </c>
      <c r="O1135">
        <v>4.0554340000000001E-3</v>
      </c>
      <c r="P1135">
        <v>0.99408819999999998</v>
      </c>
      <c r="Q1135">
        <v>8.9178160000000006E-2</v>
      </c>
      <c r="R1135">
        <v>-6.1937449999999998E-2</v>
      </c>
      <c r="S1135">
        <v>2.9758909999999998</v>
      </c>
      <c r="T1135">
        <v>-0.11974849999999999</v>
      </c>
      <c r="U1135">
        <v>-0.86331179999999996</v>
      </c>
      <c r="V1135">
        <v>6.5951979999999993E-2</v>
      </c>
      <c r="W1135">
        <v>0.10337010000000001</v>
      </c>
      <c r="X1135">
        <v>0.99245399999999995</v>
      </c>
      <c r="Y1135">
        <v>0.28229389999999999</v>
      </c>
      <c r="Z1135">
        <v>-5.7227190000000002E-3</v>
      </c>
      <c r="AA1135">
        <v>0.95931089999999997</v>
      </c>
      <c r="AB1135">
        <v>32</v>
      </c>
      <c r="AC1135">
        <v>27.446100000000001</v>
      </c>
      <c r="AD1135">
        <v>-1.1102273280079999</v>
      </c>
      <c r="AE1135">
        <v>-8.0047000000000104</v>
      </c>
      <c r="AF1135">
        <v>8.1037307212429894</v>
      </c>
      <c r="AG1135">
        <v>-1.1102273280079999</v>
      </c>
      <c r="AH1135">
        <v>27.372130561255499</v>
      </c>
      <c r="AI1135">
        <v>92.227216835796895</v>
      </c>
      <c r="AJ1135">
        <v>73.508205343609603</v>
      </c>
      <c r="AK1135">
        <v>28.568104378566801</v>
      </c>
      <c r="AL1135">
        <v>84.066730788387005</v>
      </c>
      <c r="AM1135">
        <v>86.198088402870695</v>
      </c>
      <c r="AN1135">
        <v>0.99999999167796505</v>
      </c>
    </row>
    <row r="1136" spans="1:40" x14ac:dyDescent="0.25">
      <c r="A1136" t="str">
        <f>"20190312164012395"</f>
        <v>20190312164012395</v>
      </c>
      <c r="B1136" t="str">
        <f>"1552380012387351"</f>
        <v>1552380012387351</v>
      </c>
      <c r="C1136" t="s">
        <v>40</v>
      </c>
      <c r="D1136">
        <v>5.1435370000000002</v>
      </c>
      <c r="E1136">
        <v>0.58521060000000003</v>
      </c>
      <c r="F1136" t="s">
        <v>41</v>
      </c>
      <c r="G1136">
        <v>-241.2945</v>
      </c>
      <c r="H1136" s="1">
        <v>-5.6655460000000002E-6</v>
      </c>
      <c r="I1136">
        <v>360.82830000000001</v>
      </c>
      <c r="J1136">
        <v>-265.19510000000002</v>
      </c>
      <c r="K1136">
        <v>1.1102270000000001</v>
      </c>
      <c r="L1136">
        <v>367.73820000000001</v>
      </c>
      <c r="M1136">
        <v>0.99988969999999999</v>
      </c>
      <c r="N1136">
        <v>0</v>
      </c>
      <c r="O1136">
        <v>4.101342E-3</v>
      </c>
      <c r="P1136">
        <v>0.99415450000000005</v>
      </c>
      <c r="Q1136">
        <v>8.8047329999999993E-2</v>
      </c>
      <c r="R1136">
        <v>-6.2487649999999999E-2</v>
      </c>
      <c r="S1136">
        <v>2.9769290000000002</v>
      </c>
      <c r="T1136">
        <v>-0.1373751</v>
      </c>
      <c r="U1136">
        <v>-0.8549194</v>
      </c>
      <c r="V1136">
        <v>6.6548200000000002E-2</v>
      </c>
      <c r="W1136">
        <v>0.1022469</v>
      </c>
      <c r="X1136">
        <v>0.99253060000000004</v>
      </c>
      <c r="Y1136">
        <v>0.27968579999999998</v>
      </c>
      <c r="Z1136">
        <v>-6.5077329999999999E-3</v>
      </c>
      <c r="AA1136">
        <v>0.96006950000000002</v>
      </c>
      <c r="AB1136">
        <v>32</v>
      </c>
      <c r="AC1136">
        <v>23.900600000000001</v>
      </c>
      <c r="AD1136">
        <v>-1.110232665546</v>
      </c>
      <c r="AE1136">
        <v>-6.9098999999999897</v>
      </c>
      <c r="AF1136">
        <v>6.9939489950660896</v>
      </c>
      <c r="AG1136">
        <v>-1.110232665546</v>
      </c>
      <c r="AH1136">
        <v>23.824613048086501</v>
      </c>
      <c r="AI1136">
        <v>92.560184285087601</v>
      </c>
      <c r="AJ1136">
        <v>73.639880837891397</v>
      </c>
      <c r="AK1136">
        <v>24.854780747540001</v>
      </c>
      <c r="AL1136">
        <v>84.131428527582898</v>
      </c>
      <c r="AM1136">
        <v>86.164115655360206</v>
      </c>
      <c r="AN1136">
        <v>1.0000000417096</v>
      </c>
    </row>
    <row r="1137" spans="1:40" x14ac:dyDescent="0.25">
      <c r="A1137" t="str">
        <f>"20190312164012404"</f>
        <v>20190312164012404</v>
      </c>
      <c r="B1137" t="str">
        <f>"1552380012397112"</f>
        <v>1552380012397112</v>
      </c>
      <c r="C1137" t="s">
        <v>40</v>
      </c>
      <c r="D1137">
        <v>5.1128749999999998</v>
      </c>
      <c r="E1137">
        <v>0.58408839999999995</v>
      </c>
      <c r="F1137" t="s">
        <v>41</v>
      </c>
      <c r="G1137">
        <v>-243.23429999999999</v>
      </c>
      <c r="H1137" s="1">
        <v>-4.7393469999999999E-6</v>
      </c>
      <c r="I1137">
        <v>361.50959999999998</v>
      </c>
      <c r="J1137">
        <v>-265.05470000000003</v>
      </c>
      <c r="K1137">
        <v>1.1102240000000001</v>
      </c>
      <c r="L1137">
        <v>367.73880000000003</v>
      </c>
      <c r="M1137">
        <v>0.99988940000000004</v>
      </c>
      <c r="N1137">
        <v>0</v>
      </c>
      <c r="O1137">
        <v>4.1423700000000003E-3</v>
      </c>
      <c r="P1137">
        <v>0.99418589999999996</v>
      </c>
      <c r="Q1137">
        <v>8.731179E-2</v>
      </c>
      <c r="R1137">
        <v>-6.3016470000000005E-2</v>
      </c>
      <c r="S1137">
        <v>2.977875</v>
      </c>
      <c r="T1137">
        <v>-0.1505474</v>
      </c>
      <c r="U1137">
        <v>-0.84460449999999998</v>
      </c>
      <c r="V1137">
        <v>6.7117899999999994E-2</v>
      </c>
      <c r="W1137">
        <v>0.1015173</v>
      </c>
      <c r="X1137">
        <v>0.99256710000000004</v>
      </c>
      <c r="Y1137">
        <v>0.27651510000000001</v>
      </c>
      <c r="Z1137">
        <v>-7.0556380000000004E-3</v>
      </c>
      <c r="AA1137">
        <v>0.96098360000000005</v>
      </c>
      <c r="AB1137">
        <v>32</v>
      </c>
      <c r="AC1137">
        <v>21.820399999999999</v>
      </c>
      <c r="AD1137">
        <v>-1.1102287393469901</v>
      </c>
      <c r="AE1137">
        <v>-6.2292000000000396</v>
      </c>
      <c r="AF1137">
        <v>6.3044528066227397</v>
      </c>
      <c r="AG1137">
        <v>-1.1102287393469901</v>
      </c>
      <c r="AH1137">
        <v>21.742361217456001</v>
      </c>
      <c r="AI1137">
        <v>92.8076976468315</v>
      </c>
      <c r="AJ1137">
        <v>73.829863287998904</v>
      </c>
      <c r="AK1137">
        <v>22.665149555097599</v>
      </c>
      <c r="AL1137">
        <v>84.173450010550098</v>
      </c>
      <c r="AM1137">
        <v>86.131518875684193</v>
      </c>
      <c r="AN1137">
        <v>1.0000000113510501</v>
      </c>
    </row>
    <row r="1138" spans="1:40" x14ac:dyDescent="0.25">
      <c r="A1138" t="str">
        <f>"20190312164012417"</f>
        <v>20190312164012417</v>
      </c>
      <c r="B1138" t="str">
        <f>"1552380012406872"</f>
        <v>1552380012406872</v>
      </c>
      <c r="C1138" t="s">
        <v>40</v>
      </c>
      <c r="D1138">
        <v>5.2187199999999896</v>
      </c>
      <c r="E1138">
        <v>0.583269699999999</v>
      </c>
      <c r="F1138" t="s">
        <v>41</v>
      </c>
      <c r="G1138">
        <v>-244.3931</v>
      </c>
      <c r="H1138" s="1">
        <v>-4.1807779999999997E-6</v>
      </c>
      <c r="I1138">
        <v>361.93650000000002</v>
      </c>
      <c r="J1138">
        <v>-264.88049999999998</v>
      </c>
      <c r="K1138">
        <v>1.1102240000000001</v>
      </c>
      <c r="L1138">
        <v>367.7396</v>
      </c>
      <c r="M1138">
        <v>0.99988909999999998</v>
      </c>
      <c r="N1138">
        <v>0</v>
      </c>
      <c r="O1138">
        <v>4.1931049999999999E-3</v>
      </c>
      <c r="P1138">
        <v>0.99424080000000004</v>
      </c>
      <c r="Q1138">
        <v>8.6465539999999994E-2</v>
      </c>
      <c r="R1138">
        <v>-6.3319379999999995E-2</v>
      </c>
      <c r="S1138">
        <v>2.978577</v>
      </c>
      <c r="T1138">
        <v>-0.16004979999999999</v>
      </c>
      <c r="U1138">
        <v>-0.83645630000000004</v>
      </c>
      <c r="V1138">
        <v>6.7471710000000004E-2</v>
      </c>
      <c r="W1138">
        <v>0.10067760000000001</v>
      </c>
      <c r="X1138">
        <v>0.99262859999999997</v>
      </c>
      <c r="Y1138">
        <v>0.27402850000000001</v>
      </c>
      <c r="Z1138">
        <v>-7.43860099999999E-3</v>
      </c>
      <c r="AA1138">
        <v>0.96169280000000001</v>
      </c>
      <c r="AB1138">
        <v>32</v>
      </c>
      <c r="AC1138">
        <v>20.487399999999901</v>
      </c>
      <c r="AD1138">
        <v>-1.1102281807779999</v>
      </c>
      <c r="AE1138">
        <v>-5.8030999999999704</v>
      </c>
      <c r="AF1138">
        <v>5.87299765581042</v>
      </c>
      <c r="AG1138">
        <v>-1.1102281807779999</v>
      </c>
      <c r="AH1138">
        <v>20.407406253401799</v>
      </c>
      <c r="AI1138">
        <v>92.992770234425095</v>
      </c>
      <c r="AJ1138">
        <v>73.944839742342296</v>
      </c>
      <c r="AK1138">
        <v>21.264687584583299</v>
      </c>
      <c r="AL1138">
        <v>84.221808828089394</v>
      </c>
      <c r="AM1138">
        <v>86.111428899223597</v>
      </c>
      <c r="AN1138">
        <v>0.99999997416502096</v>
      </c>
    </row>
    <row r="1139" spans="1:40" x14ac:dyDescent="0.25">
      <c r="A1139" t="str">
        <f>"20190312164012428"</f>
        <v>20190312164012428</v>
      </c>
      <c r="B1139" t="str">
        <f>"1552380012417607"</f>
        <v>1552380012417607</v>
      </c>
      <c r="C1139" t="s">
        <v>40</v>
      </c>
      <c r="D1139">
        <v>5.1214899999999997</v>
      </c>
      <c r="E1139">
        <v>0.58228760000000002</v>
      </c>
      <c r="F1139" t="s">
        <v>41</v>
      </c>
      <c r="G1139">
        <v>-245.30850000000001</v>
      </c>
      <c r="H1139" s="1">
        <v>-3.7370960000000001E-6</v>
      </c>
      <c r="I1139">
        <v>362.28269999999998</v>
      </c>
      <c r="J1139">
        <v>-264.7278</v>
      </c>
      <c r="K1139">
        <v>1.1102259999999999</v>
      </c>
      <c r="L1139">
        <v>367.74029999999999</v>
      </c>
      <c r="M1139">
        <v>0.99988880000000002</v>
      </c>
      <c r="N1139">
        <v>0</v>
      </c>
      <c r="O1139">
        <v>4.2380079999999997E-3</v>
      </c>
      <c r="P1139">
        <v>0.9943263</v>
      </c>
      <c r="Q1139">
        <v>8.5685819999999996E-2</v>
      </c>
      <c r="R1139">
        <v>-6.3036759999999997E-2</v>
      </c>
      <c r="S1139">
        <v>2.979187</v>
      </c>
      <c r="T1139">
        <v>-0.16899549999999999</v>
      </c>
      <c r="U1139">
        <v>-0.83062739999999902</v>
      </c>
      <c r="V1139">
        <v>6.7234160000000001E-2</v>
      </c>
      <c r="W1139">
        <v>9.9903370000000005E-2</v>
      </c>
      <c r="X1139">
        <v>0.99272300000000002</v>
      </c>
      <c r="Y1139">
        <v>0.2722347</v>
      </c>
      <c r="Z1139">
        <v>-7.8068479999999999E-3</v>
      </c>
      <c r="AA1139">
        <v>0.96219920000000003</v>
      </c>
      <c r="AB1139">
        <v>32</v>
      </c>
      <c r="AC1139">
        <v>19.4193</v>
      </c>
      <c r="AD1139">
        <v>-1.1102297370959999</v>
      </c>
      <c r="AE1139">
        <v>-5.45760000000001</v>
      </c>
      <c r="AF1139">
        <v>5.52312727387549</v>
      </c>
      <c r="AG1139">
        <v>-1.1102297370959999</v>
      </c>
      <c r="AH1139">
        <v>19.337414822803801</v>
      </c>
      <c r="AI1139">
        <v>93.159857709704198</v>
      </c>
      <c r="AJ1139">
        <v>74.059667577374796</v>
      </c>
      <c r="AK1139">
        <v>20.1413295733363</v>
      </c>
      <c r="AL1139">
        <v>84.266394080899204</v>
      </c>
      <c r="AM1139">
        <v>86.125445097690104</v>
      </c>
      <c r="AN1139">
        <v>1.00000003516863</v>
      </c>
    </row>
    <row r="1140" spans="1:40" x14ac:dyDescent="0.25">
      <c r="A1140" t="str">
        <f>"20190312164012440"</f>
        <v>20190312164012440</v>
      </c>
      <c r="B1140" t="str">
        <f>"1552380012427366"</f>
        <v>1552380012427366</v>
      </c>
      <c r="C1140" t="s">
        <v>40</v>
      </c>
      <c r="D1140">
        <v>5.1577010000000003</v>
      </c>
      <c r="E1140">
        <v>0.58154989999999995</v>
      </c>
      <c r="F1140" t="s">
        <v>41</v>
      </c>
      <c r="G1140">
        <v>-246.05330000000001</v>
      </c>
      <c r="H1140" s="1">
        <v>-3.3681980000000002E-6</v>
      </c>
      <c r="I1140">
        <v>362.59440000000001</v>
      </c>
      <c r="J1140">
        <v>-264.572</v>
      </c>
      <c r="K1140">
        <v>1.1102259999999999</v>
      </c>
      <c r="L1140">
        <v>367.74099999999999</v>
      </c>
      <c r="M1140">
        <v>0.99988860000000002</v>
      </c>
      <c r="N1140">
        <v>0</v>
      </c>
      <c r="O1140">
        <v>4.2835069999999998E-3</v>
      </c>
      <c r="P1140">
        <v>0.99437560000000003</v>
      </c>
      <c r="Q1140">
        <v>8.5376980000000005E-2</v>
      </c>
      <c r="R1140">
        <v>-6.2673640000000003E-2</v>
      </c>
      <c r="S1140">
        <v>2.9803470000000001</v>
      </c>
      <c r="T1140">
        <v>-0.17718629999999999</v>
      </c>
      <c r="U1140">
        <v>-0.821258499999999</v>
      </c>
      <c r="V1140">
        <v>6.6916820000000002E-2</v>
      </c>
      <c r="W1140">
        <v>9.9599729999999997E-2</v>
      </c>
      <c r="X1140">
        <v>0.99277490000000002</v>
      </c>
      <c r="Y1140">
        <v>0.26933499999999999</v>
      </c>
      <c r="Z1140">
        <v>-8.1030140000000004E-3</v>
      </c>
      <c r="AA1140">
        <v>0.96301250000000005</v>
      </c>
      <c r="AB1140">
        <v>32</v>
      </c>
      <c r="AC1140">
        <v>18.5186999999999</v>
      </c>
      <c r="AD1140">
        <v>-1.110229368198</v>
      </c>
      <c r="AE1140">
        <v>-5.1465999999999701</v>
      </c>
      <c r="AF1140">
        <v>5.2085075819114204</v>
      </c>
      <c r="AG1140">
        <v>-1.110229368198</v>
      </c>
      <c r="AH1140">
        <v>18.434973684041601</v>
      </c>
      <c r="AI1140">
        <v>93.316885674647295</v>
      </c>
      <c r="AJ1140">
        <v>74.223207888299896</v>
      </c>
      <c r="AK1140">
        <v>19.188783578229799</v>
      </c>
      <c r="AL1140">
        <v>84.283878286586202</v>
      </c>
      <c r="AM1140">
        <v>86.1438783774759</v>
      </c>
      <c r="AN1140">
        <v>0.99999998454249694</v>
      </c>
    </row>
    <row r="1141" spans="1:40" x14ac:dyDescent="0.25">
      <c r="A1141" t="str">
        <f>"20190312164012449"</f>
        <v>20190312164012449</v>
      </c>
      <c r="B1141" t="str">
        <f>"1552380012446887"</f>
        <v>1552380012446887</v>
      </c>
      <c r="C1141" t="s">
        <v>40</v>
      </c>
      <c r="D1141">
        <v>5.1458969999999997</v>
      </c>
      <c r="E1141">
        <v>0.58012030000000003</v>
      </c>
      <c r="F1141" t="s">
        <v>41</v>
      </c>
      <c r="G1141">
        <v>-246.24279999999999</v>
      </c>
      <c r="H1141" s="1">
        <v>-3.2575210000000001E-6</v>
      </c>
      <c r="I1141">
        <v>362.73680000000002</v>
      </c>
      <c r="J1141">
        <v>-264.42009999999999</v>
      </c>
      <c r="K1141">
        <v>1.110228</v>
      </c>
      <c r="L1141">
        <v>367.74169999999998</v>
      </c>
      <c r="M1141">
        <v>0.99988840000000001</v>
      </c>
      <c r="N1141">
        <v>0</v>
      </c>
      <c r="O1141">
        <v>4.3275859999999996E-3</v>
      </c>
      <c r="P1141">
        <v>0.99446179999999995</v>
      </c>
      <c r="Q1141">
        <v>8.4790279999999996E-2</v>
      </c>
      <c r="R1141">
        <v>-6.2101770000000001E-2</v>
      </c>
      <c r="S1141">
        <v>2.9811399999999999</v>
      </c>
      <c r="T1141">
        <v>-0.1805727</v>
      </c>
      <c r="U1141">
        <v>-0.81390379999999996</v>
      </c>
      <c r="V1141">
        <v>6.6389110000000001E-2</v>
      </c>
      <c r="W1141">
        <v>9.9018480000000006E-2</v>
      </c>
      <c r="X1141">
        <v>0.99286850000000004</v>
      </c>
      <c r="Y1141">
        <v>0.26708779999999999</v>
      </c>
      <c r="Z1141">
        <v>-8.1939819999999903E-3</v>
      </c>
      <c r="AA1141">
        <v>0.96363739999999998</v>
      </c>
      <c r="AB1141">
        <v>32</v>
      </c>
      <c r="AC1141">
        <v>18.177299999999999</v>
      </c>
      <c r="AD1141">
        <v>-1.110231257521</v>
      </c>
      <c r="AE1141">
        <v>-5.0048999999999602</v>
      </c>
      <c r="AF1141">
        <v>5.0659581509052298</v>
      </c>
      <c r="AG1141">
        <v>-1.110231257521</v>
      </c>
      <c r="AH1141">
        <v>18.092729592801099</v>
      </c>
      <c r="AI1141">
        <v>93.381717885721699</v>
      </c>
      <c r="AJ1141">
        <v>74.357771558811606</v>
      </c>
      <c r="AK1141">
        <v>18.8213551464851</v>
      </c>
      <c r="AL1141">
        <v>84.317347085341694</v>
      </c>
      <c r="AM1141">
        <v>86.174556910505302</v>
      </c>
      <c r="AN1141">
        <v>1.0000000158001701</v>
      </c>
    </row>
    <row r="1142" spans="1:40" x14ac:dyDescent="0.25">
      <c r="A1142" t="str">
        <f>"20190312164012462"</f>
        <v>20190312164012462</v>
      </c>
      <c r="B1142" t="str">
        <f>"1552380012457623"</f>
        <v>1552380012457623</v>
      </c>
      <c r="C1142" t="s">
        <v>40</v>
      </c>
      <c r="D1142">
        <v>5.1535510000000002</v>
      </c>
      <c r="E1142">
        <v>0.57972939999999995</v>
      </c>
      <c r="F1142" t="s">
        <v>41</v>
      </c>
      <c r="G1142">
        <v>-246.19470000000001</v>
      </c>
      <c r="H1142" s="1">
        <v>-3.246094E-6</v>
      </c>
      <c r="I1142">
        <v>362.84910000000002</v>
      </c>
      <c r="J1142">
        <v>-264.25</v>
      </c>
      <c r="K1142">
        <v>1.1102299999999901</v>
      </c>
      <c r="L1142">
        <v>367.74250000000001</v>
      </c>
      <c r="M1142">
        <v>0.99988809999999995</v>
      </c>
      <c r="N1142">
        <v>0</v>
      </c>
      <c r="O1142">
        <v>4.3771460000000002E-3</v>
      </c>
      <c r="P1142">
        <v>0.99452839999999998</v>
      </c>
      <c r="Q1142">
        <v>8.4403339999999993E-2</v>
      </c>
      <c r="R1142">
        <v>-6.1560520000000001E-2</v>
      </c>
      <c r="S1142">
        <v>2.982208</v>
      </c>
      <c r="T1142">
        <v>-0.18166640000000001</v>
      </c>
      <c r="U1142">
        <v>-0.80056759999999905</v>
      </c>
      <c r="V1142">
        <v>6.5897430000000007E-2</v>
      </c>
      <c r="W1142">
        <v>9.8636500000000002E-2</v>
      </c>
      <c r="X1142">
        <v>0.99293920000000002</v>
      </c>
      <c r="Y1142">
        <v>0.26303130000000002</v>
      </c>
      <c r="Z1142">
        <v>-8.1270639999999998E-3</v>
      </c>
      <c r="AA1142">
        <v>0.96475310000000003</v>
      </c>
      <c r="AB1142">
        <v>32</v>
      </c>
      <c r="AC1142">
        <v>18.0552999999999</v>
      </c>
      <c r="AD1142">
        <v>-1.1102332460940001</v>
      </c>
      <c r="AE1142">
        <v>-4.8933999999999802</v>
      </c>
      <c r="AF1142">
        <v>4.9549387221025398</v>
      </c>
      <c r="AG1142">
        <v>-1.1102332460940001</v>
      </c>
      <c r="AH1142">
        <v>17.9704071327908</v>
      </c>
      <c r="AI1142">
        <v>93.408433959152802</v>
      </c>
      <c r="AJ1142">
        <v>74.584994161366595</v>
      </c>
      <c r="AK1142">
        <v>18.674034596700899</v>
      </c>
      <c r="AL1142">
        <v>84.339340179026706</v>
      </c>
      <c r="AM1142">
        <v>86.203074658953</v>
      </c>
      <c r="AN1142">
        <v>0.99999994265474501</v>
      </c>
    </row>
    <row r="1143" spans="1:40" x14ac:dyDescent="0.25">
      <c r="A1143" t="str">
        <f>"20190312164012473"</f>
        <v>20190312164012473</v>
      </c>
      <c r="B1143" t="str">
        <f>"1552380012467383"</f>
        <v>1552380012467383</v>
      </c>
      <c r="C1143" t="s">
        <v>40</v>
      </c>
      <c r="D1143">
        <v>5.0963209999999997</v>
      </c>
      <c r="E1143">
        <v>0.5793663</v>
      </c>
      <c r="F1143" t="s">
        <v>41</v>
      </c>
      <c r="G1143">
        <v>-246.24950000000001</v>
      </c>
      <c r="H1143" s="1">
        <v>-3.2009180000000002E-6</v>
      </c>
      <c r="I1143">
        <v>362.93979999999999</v>
      </c>
      <c r="J1143">
        <v>-264.1001</v>
      </c>
      <c r="K1143">
        <v>1.110231</v>
      </c>
      <c r="L1143">
        <v>367.7432</v>
      </c>
      <c r="M1143">
        <v>0.99988779999999999</v>
      </c>
      <c r="N1143">
        <v>0</v>
      </c>
      <c r="O1143">
        <v>4.4208709999999998E-3</v>
      </c>
      <c r="P1143">
        <v>0.99460950000000004</v>
      </c>
      <c r="Q1143">
        <v>8.3946160000000006E-2</v>
      </c>
      <c r="R1143">
        <v>-6.087211E-2</v>
      </c>
      <c r="S1143">
        <v>2.9828190000000001</v>
      </c>
      <c r="T1143">
        <v>-0.1839739</v>
      </c>
      <c r="U1143">
        <v>-0.79583740000000003</v>
      </c>
      <c r="V1143">
        <v>6.5252959999999999E-2</v>
      </c>
      <c r="W1143">
        <v>9.8183329999999999E-2</v>
      </c>
      <c r="X1143">
        <v>0.99302670000000004</v>
      </c>
      <c r="Y1143">
        <v>0.26158670000000001</v>
      </c>
      <c r="Z1143">
        <v>-8.1890419999999901E-3</v>
      </c>
      <c r="AA1143">
        <v>0.96514520000000004</v>
      </c>
      <c r="AB1143">
        <v>32</v>
      </c>
      <c r="AC1143">
        <v>17.850599999999901</v>
      </c>
      <c r="AD1143">
        <v>-1.110234200918</v>
      </c>
      <c r="AE1143">
        <v>-4.8034000000000097</v>
      </c>
      <c r="AF1143">
        <v>4.86472857118014</v>
      </c>
      <c r="AG1143">
        <v>-1.110234200918</v>
      </c>
      <c r="AH1143">
        <v>17.7651068875407</v>
      </c>
      <c r="AI1143">
        <v>93.449394143400596</v>
      </c>
      <c r="AJ1143">
        <v>74.685762187767907</v>
      </c>
      <c r="AK1143">
        <v>18.452566942783101</v>
      </c>
      <c r="AL1143">
        <v>84.365431717874102</v>
      </c>
      <c r="AM1143">
        <v>86.240431506555595</v>
      </c>
      <c r="AN1143">
        <v>0.99999997099576898</v>
      </c>
    </row>
    <row r="1144" spans="1:40" x14ac:dyDescent="0.25">
      <c r="A1144" t="str">
        <f>"20190312164012484"</f>
        <v>20190312164012484</v>
      </c>
      <c r="B1144" t="str">
        <f>"1552380012477143"</f>
        <v>1552380012477143</v>
      </c>
      <c r="C1144" t="s">
        <v>40</v>
      </c>
      <c r="D1144">
        <v>5.1224850000000002</v>
      </c>
      <c r="E1144">
        <v>0.57901480000000005</v>
      </c>
      <c r="F1144" t="s">
        <v>41</v>
      </c>
      <c r="G1144">
        <v>-246.38929999999999</v>
      </c>
      <c r="H1144" s="1">
        <v>-3.118069E-6</v>
      </c>
      <c r="I1144">
        <v>363.04950000000002</v>
      </c>
      <c r="J1144">
        <v>-263.93889999999999</v>
      </c>
      <c r="K1144">
        <v>1.1102339999999999</v>
      </c>
      <c r="L1144">
        <v>367.74400000000003</v>
      </c>
      <c r="M1144">
        <v>0.99988750000000004</v>
      </c>
      <c r="N1144">
        <v>0</v>
      </c>
      <c r="O1144">
        <v>4.4679330000000003E-3</v>
      </c>
      <c r="P1144">
        <v>0.99472110000000002</v>
      </c>
      <c r="Q1144">
        <v>8.3253859999999999E-2</v>
      </c>
      <c r="R1144">
        <v>-5.9990630000000003E-2</v>
      </c>
      <c r="S1144">
        <v>2.9836429999999998</v>
      </c>
      <c r="T1144">
        <v>-0.1870347</v>
      </c>
      <c r="U1144">
        <v>-0.79071040000000004</v>
      </c>
      <c r="V1144">
        <v>6.4418920000000005E-2</v>
      </c>
      <c r="W1144">
        <v>9.7495719999999994E-2</v>
      </c>
      <c r="X1144">
        <v>0.9931489</v>
      </c>
      <c r="Y1144">
        <v>0.2600034</v>
      </c>
      <c r="Z1144">
        <v>-8.2787799999999995E-3</v>
      </c>
      <c r="AA1144">
        <v>0.96557219999999999</v>
      </c>
      <c r="AB1144">
        <v>32</v>
      </c>
      <c r="AC1144">
        <v>17.549599999999899</v>
      </c>
      <c r="AD1144">
        <v>-1.1102371180690001</v>
      </c>
      <c r="AE1144">
        <v>-4.6944999999999997</v>
      </c>
      <c r="AF1144">
        <v>4.7551116078492202</v>
      </c>
      <c r="AG1144">
        <v>-1.1102371180690001</v>
      </c>
      <c r="AH1144">
        <v>17.4632240421364</v>
      </c>
      <c r="AI1144">
        <v>93.510257436339799</v>
      </c>
      <c r="AJ1144">
        <v>74.768049524607804</v>
      </c>
      <c r="AK1144">
        <v>18.133061153795602</v>
      </c>
      <c r="AL1144">
        <v>84.4050188246852</v>
      </c>
      <c r="AM1144">
        <v>86.288805191840098</v>
      </c>
      <c r="AN1144">
        <v>0.99999997512174699</v>
      </c>
    </row>
    <row r="1145" spans="1:40" x14ac:dyDescent="0.25">
      <c r="A1145" t="str">
        <f>"20190312164012494"</f>
        <v>20190312164012494</v>
      </c>
      <c r="B1145" t="str">
        <f>"1552380012486903"</f>
        <v>1552380012486903</v>
      </c>
      <c r="C1145" t="s">
        <v>40</v>
      </c>
      <c r="D1145">
        <v>5.1536379999999999</v>
      </c>
      <c r="E1145">
        <v>0.57873409999999903</v>
      </c>
      <c r="F1145" t="s">
        <v>41</v>
      </c>
      <c r="G1145">
        <v>-246.51159999999999</v>
      </c>
      <c r="H1145" s="1">
        <v>-3.0422529999999998E-6</v>
      </c>
      <c r="I1145">
        <v>363.15789999999998</v>
      </c>
      <c r="J1145">
        <v>-263.7919</v>
      </c>
      <c r="K1145">
        <v>1.110233</v>
      </c>
      <c r="L1145">
        <v>367.74470000000002</v>
      </c>
      <c r="M1145">
        <v>0.99988739999999998</v>
      </c>
      <c r="N1145">
        <v>0</v>
      </c>
      <c r="O1145">
        <v>4.5108270000000002E-3</v>
      </c>
      <c r="P1145">
        <v>0.99480210000000002</v>
      </c>
      <c r="Q1145">
        <v>8.2705310000000004E-2</v>
      </c>
      <c r="R1145">
        <v>-5.9404190000000003E-2</v>
      </c>
      <c r="S1145">
        <v>2.984467</v>
      </c>
      <c r="T1145">
        <v>-0.19013050000000001</v>
      </c>
      <c r="U1145">
        <v>-0.78536989999999995</v>
      </c>
      <c r="V1145">
        <v>6.3875710000000002E-2</v>
      </c>
      <c r="W1145">
        <v>9.6950419999999995E-2</v>
      </c>
      <c r="X1145">
        <v>0.99323740000000005</v>
      </c>
      <c r="Y1145">
        <v>0.25835010000000003</v>
      </c>
      <c r="Z1145">
        <v>-8.3661410000000005E-3</v>
      </c>
      <c r="AA1145">
        <v>0.96601519999999996</v>
      </c>
      <c r="AB1145">
        <v>31</v>
      </c>
      <c r="AC1145">
        <v>17.2803</v>
      </c>
      <c r="AD1145">
        <v>-1.110236042253</v>
      </c>
      <c r="AE1145">
        <v>-4.5868000000000304</v>
      </c>
      <c r="AF1145">
        <v>4.6467908080417004</v>
      </c>
      <c r="AG1145">
        <v>-1.110236042253</v>
      </c>
      <c r="AH1145">
        <v>17.193131655949198</v>
      </c>
      <c r="AI1145">
        <v>93.567074591789606</v>
      </c>
      <c r="AJ1145">
        <v>74.875997447659202</v>
      </c>
      <c r="AK1145">
        <v>17.844580830661702</v>
      </c>
      <c r="AL1145">
        <v>84.436411134006207</v>
      </c>
      <c r="AM1145">
        <v>86.320340333364697</v>
      </c>
      <c r="AN1145">
        <v>1.0000000115124701</v>
      </c>
    </row>
    <row r="1146" spans="1:40" x14ac:dyDescent="0.25">
      <c r="A1146" t="str">
        <f>"20190312164012506"</f>
        <v>20190312164012506</v>
      </c>
      <c r="B1146" t="str">
        <f>"1552380012497640"</f>
        <v>1552380012497640</v>
      </c>
      <c r="C1146" t="s">
        <v>40</v>
      </c>
      <c r="D1146">
        <v>5.0652080000000002</v>
      </c>
      <c r="E1146">
        <v>0.57855299999999998</v>
      </c>
      <c r="F1146" t="s">
        <v>41</v>
      </c>
      <c r="G1146">
        <v>-246.57169999999999</v>
      </c>
      <c r="H1146" s="1">
        <v>-2.997758E-6</v>
      </c>
      <c r="I1146">
        <v>363.23829999999998</v>
      </c>
      <c r="J1146">
        <v>-263.63869999999997</v>
      </c>
      <c r="K1146">
        <v>1.1102339999999999</v>
      </c>
      <c r="L1146">
        <v>367.74540000000002</v>
      </c>
      <c r="M1146">
        <v>0.99988719999999998</v>
      </c>
      <c r="N1146">
        <v>0</v>
      </c>
      <c r="O1146">
        <v>4.5555689999999998E-3</v>
      </c>
      <c r="P1146">
        <v>0.99486359999999996</v>
      </c>
      <c r="Q1146">
        <v>8.2453269999999995E-2</v>
      </c>
      <c r="R1146">
        <v>-5.8720250000000002E-2</v>
      </c>
      <c r="S1146">
        <v>2.9850460000000001</v>
      </c>
      <c r="T1146">
        <v>-0.19245480000000001</v>
      </c>
      <c r="U1146">
        <v>-0.78115840000000003</v>
      </c>
      <c r="V1146">
        <v>6.3236539999999994E-2</v>
      </c>
      <c r="W1146">
        <v>9.6701259999999997E-2</v>
      </c>
      <c r="X1146">
        <v>0.99330260000000004</v>
      </c>
      <c r="Y1146">
        <v>0.25706190000000001</v>
      </c>
      <c r="Z1146">
        <v>-8.4301519999999998E-3</v>
      </c>
      <c r="AA1146">
        <v>0.96635819999999995</v>
      </c>
      <c r="AB1146">
        <v>31</v>
      </c>
      <c r="AC1146">
        <v>17.066999999999901</v>
      </c>
      <c r="AD1146">
        <v>-1.110236997758</v>
      </c>
      <c r="AE1146">
        <v>-4.5071000000000296</v>
      </c>
      <c r="AF1146">
        <v>4.5667457586981701</v>
      </c>
      <c r="AG1146">
        <v>-1.110236997758</v>
      </c>
      <c r="AH1146">
        <v>16.979121639505699</v>
      </c>
      <c r="AI1146">
        <v>93.613104182470096</v>
      </c>
      <c r="AJ1146">
        <v>74.945848571850505</v>
      </c>
      <c r="AK1146">
        <v>17.617558419511798</v>
      </c>
      <c r="AL1146">
        <v>84.450754416036702</v>
      </c>
      <c r="AM1146">
        <v>86.357299541437797</v>
      </c>
      <c r="AN1146">
        <v>1.00000002442175</v>
      </c>
    </row>
    <row r="1147" spans="1:40" x14ac:dyDescent="0.25">
      <c r="A1147" t="str">
        <f>"20190312164012518"</f>
        <v>20190312164012518</v>
      </c>
      <c r="B1147" t="str">
        <f>"1552380012507399"</f>
        <v>1552380012507399</v>
      </c>
      <c r="C1147" t="s">
        <v>40</v>
      </c>
      <c r="D1147">
        <v>5.0975539999999997</v>
      </c>
      <c r="E1147">
        <v>0.57827779999999995</v>
      </c>
      <c r="F1147" t="s">
        <v>41</v>
      </c>
      <c r="G1147">
        <v>-246.42089999999999</v>
      </c>
      <c r="H1147" s="1">
        <v>-3.0501569999999999E-6</v>
      </c>
      <c r="I1147">
        <v>363.25900000000001</v>
      </c>
      <c r="J1147">
        <v>-263.47359999999998</v>
      </c>
      <c r="K1147">
        <v>1.110233</v>
      </c>
      <c r="L1147">
        <v>367.74619999999999</v>
      </c>
      <c r="M1147">
        <v>0.99988679999999996</v>
      </c>
      <c r="N1147">
        <v>0</v>
      </c>
      <c r="O1147">
        <v>4.6037689999999997E-3</v>
      </c>
      <c r="P1147">
        <v>0.99493940000000003</v>
      </c>
      <c r="Q1147">
        <v>8.2200239999999994E-2</v>
      </c>
      <c r="R1147">
        <v>-5.778134E-2</v>
      </c>
      <c r="S1147">
        <v>2.985535</v>
      </c>
      <c r="T1147">
        <v>-0.19251309999999999</v>
      </c>
      <c r="U1147">
        <v>-0.77792359999999905</v>
      </c>
      <c r="V1147">
        <v>6.2346279999999997E-2</v>
      </c>
      <c r="W1147">
        <v>9.6451629999999997E-2</v>
      </c>
      <c r="X1147">
        <v>0.99338309999999996</v>
      </c>
      <c r="Y1147">
        <v>0.25609090000000001</v>
      </c>
      <c r="Z1147">
        <v>-8.4047930000000007E-3</v>
      </c>
      <c r="AA1147">
        <v>0.96661620000000004</v>
      </c>
      <c r="AB1147">
        <v>31</v>
      </c>
      <c r="AC1147">
        <v>17.052699999999898</v>
      </c>
      <c r="AD1147">
        <v>-1.1102360501569899</v>
      </c>
      <c r="AE1147">
        <v>-4.4871999999999703</v>
      </c>
      <c r="AF1147">
        <v>4.5476388907645804</v>
      </c>
      <c r="AG1147">
        <v>-1.1102360501569899</v>
      </c>
      <c r="AH1147">
        <v>16.9646059759141</v>
      </c>
      <c r="AI1147">
        <v>93.616994004695997</v>
      </c>
      <c r="AJ1147">
        <v>74.993740715525206</v>
      </c>
      <c r="AK1147">
        <v>17.598622090546801</v>
      </c>
      <c r="AL1147">
        <v>84.465124082709906</v>
      </c>
      <c r="AM1147">
        <v>86.408737496496499</v>
      </c>
      <c r="AN1147">
        <v>0.99999997946255204</v>
      </c>
    </row>
    <row r="1148" spans="1:40" x14ac:dyDescent="0.25">
      <c r="A1148" t="str">
        <f>"20190312164012531"</f>
        <v>20190312164012531</v>
      </c>
      <c r="B1148" t="str">
        <f>"1552380012526919"</f>
        <v>1552380012526919</v>
      </c>
      <c r="C1148" t="s">
        <v>40</v>
      </c>
      <c r="D1148">
        <v>5.1107079999999998</v>
      </c>
      <c r="E1148">
        <v>0.5780187</v>
      </c>
      <c r="F1148" t="s">
        <v>41</v>
      </c>
      <c r="G1148">
        <v>-246.30619999999999</v>
      </c>
      <c r="H1148" s="1">
        <v>-3.0825539999999999E-6</v>
      </c>
      <c r="I1148">
        <v>363.30290000000002</v>
      </c>
      <c r="J1148">
        <v>-263.28829999999999</v>
      </c>
      <c r="K1148">
        <v>1.1102259999999999</v>
      </c>
      <c r="L1148">
        <v>367.74709999999999</v>
      </c>
      <c r="M1148">
        <v>0.99988650000000001</v>
      </c>
      <c r="N1148">
        <v>0</v>
      </c>
      <c r="O1148">
        <v>4.6579300000000002E-3</v>
      </c>
      <c r="P1148">
        <v>0.99502409999999997</v>
      </c>
      <c r="Q1148">
        <v>8.1738699999999997E-2</v>
      </c>
      <c r="R1148">
        <v>-5.6971800000000003E-2</v>
      </c>
      <c r="S1148">
        <v>2.986389</v>
      </c>
      <c r="T1148">
        <v>-0.1931331</v>
      </c>
      <c r="U1148">
        <v>-0.772949199999999</v>
      </c>
      <c r="V1148">
        <v>6.1591090000000001E-2</v>
      </c>
      <c r="W1148">
        <v>9.5993609999999993E-2</v>
      </c>
      <c r="X1148">
        <v>0.99347459999999999</v>
      </c>
      <c r="Y1148">
        <v>0.25456669999999998</v>
      </c>
      <c r="Z1148">
        <v>-8.386213E-3</v>
      </c>
      <c r="AA1148">
        <v>0.96701879999999996</v>
      </c>
      <c r="AB1148">
        <v>31</v>
      </c>
      <c r="AC1148">
        <v>16.982099999999999</v>
      </c>
      <c r="AD1148">
        <v>-1.110229082554</v>
      </c>
      <c r="AE1148">
        <v>-4.4441999999999604</v>
      </c>
      <c r="AF1148">
        <v>4.5052398161544804</v>
      </c>
      <c r="AG1148">
        <v>-1.110229082554</v>
      </c>
      <c r="AH1148">
        <v>16.893636206529202</v>
      </c>
      <c r="AI1148">
        <v>93.6333764843301</v>
      </c>
      <c r="AJ1148">
        <v>75.067727388813395</v>
      </c>
      <c r="AK1148">
        <v>17.5192676415245</v>
      </c>
      <c r="AL1148">
        <v>84.491489192782495</v>
      </c>
      <c r="AM1148">
        <v>86.452451993146795</v>
      </c>
      <c r="AN1148">
        <v>1.00000000818669</v>
      </c>
    </row>
    <row r="1149" spans="1:40" x14ac:dyDescent="0.25">
      <c r="A1149" t="str">
        <f>"20190312164012544"</f>
        <v>20190312164012544</v>
      </c>
      <c r="B1149" t="str">
        <f>"1552380012537656"</f>
        <v>1552380012537656</v>
      </c>
      <c r="C1149" t="s">
        <v>40</v>
      </c>
      <c r="D1149">
        <v>5.0557420000000004</v>
      </c>
      <c r="E1149">
        <v>0.57792659999999996</v>
      </c>
      <c r="F1149" t="s">
        <v>41</v>
      </c>
      <c r="G1149">
        <v>-246.19370000000001</v>
      </c>
      <c r="H1149" s="1">
        <v>-3.1133529999999999E-6</v>
      </c>
      <c r="I1149">
        <v>363.34949999999998</v>
      </c>
      <c r="J1149">
        <v>-263.10379999999998</v>
      </c>
      <c r="K1149">
        <v>1.1102270000000001</v>
      </c>
      <c r="L1149">
        <v>367.74799999999999</v>
      </c>
      <c r="M1149">
        <v>0.99988630000000001</v>
      </c>
      <c r="N1149">
        <v>0</v>
      </c>
      <c r="O1149">
        <v>4.7119140000000002E-3</v>
      </c>
      <c r="P1149">
        <v>0.99508600000000003</v>
      </c>
      <c r="Q1149">
        <v>8.1321820000000003E-2</v>
      </c>
      <c r="R1149">
        <v>-5.6487500000000003E-2</v>
      </c>
      <c r="S1149">
        <v>2.9868769999999998</v>
      </c>
      <c r="T1149">
        <v>-0.19398650000000001</v>
      </c>
      <c r="U1149">
        <v>-0.76837159999999904</v>
      </c>
      <c r="V1149">
        <v>6.1160739999999998E-2</v>
      </c>
      <c r="W1149">
        <v>9.5579730000000002E-2</v>
      </c>
      <c r="X1149">
        <v>0.99354109999999995</v>
      </c>
      <c r="Y1149">
        <v>0.25318879999999999</v>
      </c>
      <c r="Z1149">
        <v>-8.382914E-3</v>
      </c>
      <c r="AA1149">
        <v>0.96738060000000003</v>
      </c>
      <c r="AB1149">
        <v>31</v>
      </c>
      <c r="AC1149">
        <v>16.9100999999999</v>
      </c>
      <c r="AD1149">
        <v>-1.1102301133529999</v>
      </c>
      <c r="AE1149">
        <v>-4.3985000000000696</v>
      </c>
      <c r="AF1149">
        <v>4.4601309473000903</v>
      </c>
      <c r="AG1149">
        <v>-1.1102301133529999</v>
      </c>
      <c r="AH1149">
        <v>16.821270583500901</v>
      </c>
      <c r="AI1149">
        <v>93.650355634049404</v>
      </c>
      <c r="AJ1149">
        <v>75.149834934659907</v>
      </c>
      <c r="AK1149">
        <v>17.437904777094399</v>
      </c>
      <c r="AL1149">
        <v>84.515312371708504</v>
      </c>
      <c r="AM1149">
        <v>86.477412017560297</v>
      </c>
      <c r="AN1149">
        <v>1.00000001914671</v>
      </c>
    </row>
    <row r="1150" spans="1:40" x14ac:dyDescent="0.25">
      <c r="A1150" t="str">
        <f>"20190312164012562"</f>
        <v>20190312164012562</v>
      </c>
      <c r="B1150" t="str">
        <f>"1552380012557176"</f>
        <v>1552380012557176</v>
      </c>
      <c r="C1150" t="s">
        <v>40</v>
      </c>
      <c r="D1150">
        <v>5.078856</v>
      </c>
      <c r="E1150">
        <v>0.57779689999999995</v>
      </c>
      <c r="F1150" t="s">
        <v>41</v>
      </c>
      <c r="G1150">
        <v>-246.119</v>
      </c>
      <c r="H1150" s="1">
        <v>-3.1311470000000002E-6</v>
      </c>
      <c r="I1150">
        <v>363.3904</v>
      </c>
      <c r="J1150">
        <v>-262.8501</v>
      </c>
      <c r="K1150">
        <v>1.110228</v>
      </c>
      <c r="L1150">
        <v>367.74930000000001</v>
      </c>
      <c r="M1150">
        <v>0.99988580000000005</v>
      </c>
      <c r="N1150">
        <v>0</v>
      </c>
      <c r="O1150">
        <v>4.7860410000000004E-3</v>
      </c>
      <c r="P1150">
        <v>0.99517670000000003</v>
      </c>
      <c r="Q1150">
        <v>8.0943619999999994E-2</v>
      </c>
      <c r="R1150">
        <v>-5.5419540000000003E-2</v>
      </c>
      <c r="S1150">
        <v>2.9872740000000002</v>
      </c>
      <c r="T1150">
        <v>-0.19526660000000001</v>
      </c>
      <c r="U1150">
        <v>-0.7664185</v>
      </c>
      <c r="V1150">
        <v>6.016705E-2</v>
      </c>
      <c r="W1150">
        <v>9.5204259999999999E-2</v>
      </c>
      <c r="X1150">
        <v>0.99363780000000002</v>
      </c>
      <c r="Y1150">
        <v>0.25263039999999998</v>
      </c>
      <c r="Z1150">
        <v>-8.424529E-3</v>
      </c>
      <c r="AA1150">
        <v>0.9675262</v>
      </c>
      <c r="AB1150">
        <v>31</v>
      </c>
      <c r="AC1150">
        <v>16.731099999999898</v>
      </c>
      <c r="AD1150">
        <v>-1.1102311311469999</v>
      </c>
      <c r="AE1150">
        <v>-4.3589000000000002</v>
      </c>
      <c r="AF1150">
        <v>4.4207055937403901</v>
      </c>
      <c r="AG1150">
        <v>-1.1102311311469999</v>
      </c>
      <c r="AH1150">
        <v>16.641424713465799</v>
      </c>
      <c r="AI1150">
        <v>93.689247636019303</v>
      </c>
      <c r="AJ1150">
        <v>75.123265859905501</v>
      </c>
      <c r="AK1150">
        <v>17.254340543905101</v>
      </c>
      <c r="AL1150">
        <v>84.536923672614407</v>
      </c>
      <c r="AM1150">
        <v>86.534839973033101</v>
      </c>
      <c r="AN1150">
        <v>1.0000000013083401</v>
      </c>
    </row>
    <row r="1151" spans="1:40" x14ac:dyDescent="0.25">
      <c r="A1151" t="str">
        <f>"20190312164012574"</f>
        <v>20190312164012574</v>
      </c>
      <c r="B1151" t="str">
        <f>"1552380012566936"</f>
        <v>1552380012566936</v>
      </c>
      <c r="C1151" t="s">
        <v>40</v>
      </c>
      <c r="D1151">
        <v>5.1344289999999999</v>
      </c>
      <c r="E1151">
        <v>0.57783969999999996</v>
      </c>
      <c r="F1151" t="s">
        <v>41</v>
      </c>
      <c r="G1151">
        <v>-246.04679999999999</v>
      </c>
      <c r="H1151" s="1">
        <v>-3.1400570000000001E-6</v>
      </c>
      <c r="I1151">
        <v>363.46109999999999</v>
      </c>
      <c r="J1151">
        <v>-262.66539999999998</v>
      </c>
      <c r="K1151">
        <v>1.110228</v>
      </c>
      <c r="L1151">
        <v>367.75020000000001</v>
      </c>
      <c r="M1151">
        <v>0.99988560000000004</v>
      </c>
      <c r="N1151">
        <v>0</v>
      </c>
      <c r="O1151">
        <v>4.8400300000000004E-3</v>
      </c>
      <c r="P1151">
        <v>0.99522690000000003</v>
      </c>
      <c r="Q1151">
        <v>8.0758559999999993E-2</v>
      </c>
      <c r="R1151">
        <v>-5.4785689999999998E-2</v>
      </c>
      <c r="S1151">
        <v>2.9880680000000002</v>
      </c>
      <c r="T1151">
        <v>-0.1974282</v>
      </c>
      <c r="U1151">
        <v>-0.76254270000000002</v>
      </c>
      <c r="V1151">
        <v>5.9587260000000003E-2</v>
      </c>
      <c r="W1151">
        <v>9.502149E-2</v>
      </c>
      <c r="X1151">
        <v>0.99369030000000003</v>
      </c>
      <c r="Y1151">
        <v>0.25143369999999998</v>
      </c>
      <c r="Z1151">
        <v>-8.4813930000000003E-3</v>
      </c>
      <c r="AA1151">
        <v>0.96783730000000001</v>
      </c>
      <c r="AB1151">
        <v>31</v>
      </c>
      <c r="AC1151">
        <v>16.618599999999901</v>
      </c>
      <c r="AD1151">
        <v>-1.110231140057</v>
      </c>
      <c r="AE1151">
        <v>-4.2891000000000101</v>
      </c>
      <c r="AF1151">
        <v>4.35128506558413</v>
      </c>
      <c r="AG1151">
        <v>-1.110231140057</v>
      </c>
      <c r="AH1151">
        <v>16.5284822049498</v>
      </c>
      <c r="AI1151">
        <v>93.716570689029695</v>
      </c>
      <c r="AJ1151">
        <v>75.250976242516302</v>
      </c>
      <c r="AK1151">
        <v>17.127668227335199</v>
      </c>
      <c r="AL1151">
        <v>84.547443681741498</v>
      </c>
      <c r="AM1151">
        <v>86.568332113104802</v>
      </c>
      <c r="AN1151">
        <v>1.0000000687151001</v>
      </c>
    </row>
    <row r="1152" spans="1:40" x14ac:dyDescent="0.25">
      <c r="A1152" t="str">
        <f>"20190312164012586"</f>
        <v>20190312164012586</v>
      </c>
      <c r="B1152" t="str">
        <f>"1552380012577669"</f>
        <v>1552380012577669</v>
      </c>
      <c r="C1152" t="s">
        <v>40</v>
      </c>
      <c r="D1152">
        <v>5.0603800000000003</v>
      </c>
      <c r="E1152">
        <v>0.57764890000000002</v>
      </c>
      <c r="F1152" t="s">
        <v>41</v>
      </c>
      <c r="G1152">
        <v>-245.9348</v>
      </c>
      <c r="H1152" s="1">
        <v>-3.1750169999999999E-6</v>
      </c>
      <c r="I1152">
        <v>363.49130000000002</v>
      </c>
      <c r="J1152">
        <v>-262.51159999999999</v>
      </c>
      <c r="K1152">
        <v>1.1102299999999901</v>
      </c>
      <c r="L1152">
        <v>367.75099999999998</v>
      </c>
      <c r="M1152">
        <v>0.99988549999999998</v>
      </c>
      <c r="N1152">
        <v>0</v>
      </c>
      <c r="O1152">
        <v>4.8849030000000003E-3</v>
      </c>
      <c r="P1152">
        <v>0.99528490000000003</v>
      </c>
      <c r="Q1152">
        <v>8.0338419999999994E-2</v>
      </c>
      <c r="R1152">
        <v>-5.4352570000000003E-2</v>
      </c>
      <c r="S1152">
        <v>2.9886170000000001</v>
      </c>
      <c r="T1152">
        <v>-0.19832269999999999</v>
      </c>
      <c r="U1152">
        <v>-0.76077269999999997</v>
      </c>
      <c r="V1152">
        <v>5.9199080000000001E-2</v>
      </c>
      <c r="W1152">
        <v>9.4602350000000002E-2</v>
      </c>
      <c r="X1152">
        <v>0.99375340000000001</v>
      </c>
      <c r="Y1152">
        <v>0.25089250000000002</v>
      </c>
      <c r="Z1152">
        <v>-8.5041079999999998E-3</v>
      </c>
      <c r="AA1152">
        <v>0.96797759999999999</v>
      </c>
      <c r="AB1152">
        <v>31</v>
      </c>
      <c r="AC1152">
        <v>16.576799999999899</v>
      </c>
      <c r="AD1152">
        <v>-1.11023317501699</v>
      </c>
      <c r="AE1152">
        <v>-4.2596999999999499</v>
      </c>
      <c r="AF1152">
        <v>4.32244548204448</v>
      </c>
      <c r="AG1152">
        <v>-1.11023317501699</v>
      </c>
      <c r="AH1152">
        <v>16.486420018299601</v>
      </c>
      <c r="AI1152">
        <v>93.727017135486903</v>
      </c>
      <c r="AJ1152">
        <v>75.308733487540906</v>
      </c>
      <c r="AK1152">
        <v>17.079759883205199</v>
      </c>
      <c r="AL1152">
        <v>84.571566810593794</v>
      </c>
      <c r="AM1152">
        <v>86.590850710864402</v>
      </c>
      <c r="AN1152">
        <v>0.99999997785496397</v>
      </c>
    </row>
    <row r="1153" spans="1:40" x14ac:dyDescent="0.25">
      <c r="A1153" t="str">
        <f>"20190312164012598"</f>
        <v>20190312164012598</v>
      </c>
      <c r="B1153" t="str">
        <f>"1552380012587430"</f>
        <v>1552380012587430</v>
      </c>
      <c r="C1153" t="s">
        <v>40</v>
      </c>
      <c r="D1153">
        <v>5.1817209999999996</v>
      </c>
      <c r="E1153">
        <v>0.57764890000000002</v>
      </c>
      <c r="F1153" t="s">
        <v>41</v>
      </c>
      <c r="G1153">
        <v>-245.9581</v>
      </c>
      <c r="H1153" s="1">
        <v>-3.1492299999999998E-6</v>
      </c>
      <c r="I1153">
        <v>363.55470000000003</v>
      </c>
      <c r="J1153">
        <v>-262.34460000000001</v>
      </c>
      <c r="K1153">
        <v>1.1102320000000001</v>
      </c>
      <c r="L1153">
        <v>367.75189999999998</v>
      </c>
      <c r="M1153">
        <v>0.99988500000000002</v>
      </c>
      <c r="N1153">
        <v>0</v>
      </c>
      <c r="O1153">
        <v>4.9338289999999998E-3</v>
      </c>
      <c r="P1153">
        <v>0.99533839999999996</v>
      </c>
      <c r="Q1153">
        <v>8.0296599999999996E-2</v>
      </c>
      <c r="R1153">
        <v>-5.3422989999999997E-2</v>
      </c>
      <c r="S1153">
        <v>2.9889830000000002</v>
      </c>
      <c r="T1153">
        <v>-0.20046949999999999</v>
      </c>
      <c r="U1153">
        <v>-0.75772090000000003</v>
      </c>
      <c r="V1153">
        <v>5.8318410000000001E-2</v>
      </c>
      <c r="W1153">
        <v>9.4561989999999999E-2</v>
      </c>
      <c r="X1153">
        <v>0.99380930000000001</v>
      </c>
      <c r="Y1153">
        <v>0.24997330000000001</v>
      </c>
      <c r="Z1153">
        <v>-8.5689249999999998E-3</v>
      </c>
      <c r="AA1153">
        <v>0.96821480000000004</v>
      </c>
      <c r="AB1153">
        <v>31</v>
      </c>
      <c r="AC1153">
        <v>16.386500000000002</v>
      </c>
      <c r="AD1153">
        <v>-1.11023514923</v>
      </c>
      <c r="AE1153">
        <v>-4.1971999999999499</v>
      </c>
      <c r="AF1153">
        <v>4.2596554457312497</v>
      </c>
      <c r="AG1153">
        <v>-1.11023514923</v>
      </c>
      <c r="AH1153">
        <v>16.295391994354699</v>
      </c>
      <c r="AI1153">
        <v>93.771307976611197</v>
      </c>
      <c r="AJ1153">
        <v>75.350542909842702</v>
      </c>
      <c r="AK1153">
        <v>16.879487162014598</v>
      </c>
      <c r="AL1153">
        <v>84.573889616169197</v>
      </c>
      <c r="AM1153">
        <v>86.641638137653601</v>
      </c>
      <c r="AN1153">
        <v>0.99999996583208794</v>
      </c>
    </row>
    <row r="1154" spans="1:40" x14ac:dyDescent="0.25">
      <c r="A1154" t="str">
        <f>"20190312164012609"</f>
        <v>20190312164012609</v>
      </c>
      <c r="B1154" t="str">
        <f>"1552380012597189"</f>
        <v>1552380012597189</v>
      </c>
      <c r="C1154" t="s">
        <v>40</v>
      </c>
      <c r="D1154">
        <v>4.9636209999999998</v>
      </c>
      <c r="E1154">
        <v>0.54734209999999905</v>
      </c>
      <c r="F1154" t="s">
        <v>41</v>
      </c>
      <c r="G1154">
        <v>-245.80289999999999</v>
      </c>
      <c r="H1154" s="1">
        <v>-3.2036480000000002E-6</v>
      </c>
      <c r="I1154">
        <v>363.57420000000002</v>
      </c>
      <c r="J1154">
        <v>-262.18099999999998</v>
      </c>
      <c r="K1154">
        <v>1.110233</v>
      </c>
      <c r="L1154">
        <v>367.75279999999998</v>
      </c>
      <c r="M1154">
        <v>0.99988480000000002</v>
      </c>
      <c r="N1154">
        <v>0</v>
      </c>
      <c r="O1154">
        <v>4.9817439999999998E-3</v>
      </c>
      <c r="P1154">
        <v>0.99539569999999999</v>
      </c>
      <c r="Q1154">
        <v>7.9732999999999998E-2</v>
      </c>
      <c r="R1154">
        <v>-5.3200400000000002E-2</v>
      </c>
      <c r="S1154">
        <v>2.989716</v>
      </c>
      <c r="T1154">
        <v>-0.20066149999999999</v>
      </c>
      <c r="U1154">
        <v>-0.75506589999999996</v>
      </c>
      <c r="V1154">
        <v>5.814395E-2</v>
      </c>
      <c r="W1154">
        <v>9.3999479999999996E-2</v>
      </c>
      <c r="X1154">
        <v>0.99387289999999995</v>
      </c>
      <c r="Y1154">
        <v>0.24915580000000001</v>
      </c>
      <c r="Z1154">
        <v>-8.5521799999999995E-3</v>
      </c>
      <c r="AA1154">
        <v>0.96842569999999994</v>
      </c>
      <c r="AB1154">
        <v>31</v>
      </c>
      <c r="AC1154">
        <v>16.3780999999999</v>
      </c>
      <c r="AD1154">
        <v>-1.110236203648</v>
      </c>
      <c r="AE1154">
        <v>-4.1785999999999603</v>
      </c>
      <c r="AF1154">
        <v>4.2418471786945799</v>
      </c>
      <c r="AG1154">
        <v>-1.110236203648</v>
      </c>
      <c r="AH1154">
        <v>16.286810734268901</v>
      </c>
      <c r="AI1154">
        <v>93.7741713510257</v>
      </c>
      <c r="AJ1154">
        <v>75.401809466487805</v>
      </c>
      <c r="AK1154">
        <v>16.866715620095899</v>
      </c>
      <c r="AL1154">
        <v>84.6062633536622</v>
      </c>
      <c r="AM1154">
        <v>86.651875591861696</v>
      </c>
      <c r="AN1154">
        <v>0.99999998125814105</v>
      </c>
    </row>
    <row r="1155" spans="1:40" x14ac:dyDescent="0.25">
      <c r="A1155" t="str">
        <f>"20190312164012628"</f>
        <v>20190312164012628</v>
      </c>
      <c r="B1155" t="str">
        <f>"1552380012617685"</f>
        <v>1552380012617685</v>
      </c>
      <c r="C1155" t="s">
        <v>40</v>
      </c>
      <c r="D1155">
        <v>5.0943740000000002</v>
      </c>
      <c r="E1155">
        <v>0.53645010000000004</v>
      </c>
      <c r="F1155" t="s">
        <v>41</v>
      </c>
      <c r="G1155">
        <v>-236.8595</v>
      </c>
      <c r="H1155" s="1">
        <v>-2.7120099999999901E-6</v>
      </c>
      <c r="I1155">
        <v>363.3879</v>
      </c>
      <c r="J1155">
        <v>-261.92360000000002</v>
      </c>
      <c r="K1155">
        <v>1.1102289999999999</v>
      </c>
      <c r="L1155">
        <v>367.75409999999999</v>
      </c>
      <c r="M1155">
        <v>0.99988449999999995</v>
      </c>
      <c r="N1155">
        <v>0</v>
      </c>
      <c r="O1155">
        <v>5.056896E-3</v>
      </c>
      <c r="P1155">
        <v>0.9955077</v>
      </c>
      <c r="Q1155">
        <v>7.8924320000000006E-2</v>
      </c>
      <c r="R1155">
        <v>-5.230419E-2</v>
      </c>
      <c r="S1155">
        <v>2.9967959999999998</v>
      </c>
      <c r="T1155">
        <v>-0.13139579999999901</v>
      </c>
      <c r="U1155">
        <v>-0.516571</v>
      </c>
      <c r="V1155">
        <v>5.7323270000000003E-2</v>
      </c>
      <c r="W1155">
        <v>9.3192880000000006E-2</v>
      </c>
      <c r="X1155">
        <v>0.99399660000000001</v>
      </c>
      <c r="Y1155">
        <v>0.17468330000000001</v>
      </c>
      <c r="Z1155">
        <v>-4.019758E-3</v>
      </c>
      <c r="AA1155">
        <v>0.98461650000000001</v>
      </c>
      <c r="AB1155">
        <v>31</v>
      </c>
      <c r="AC1155">
        <v>25.0641</v>
      </c>
      <c r="AD1155">
        <v>-1.11023171201</v>
      </c>
      <c r="AE1155">
        <v>-4.3661999999999903</v>
      </c>
      <c r="AF1155">
        <v>4.4843640648910901</v>
      </c>
      <c r="AG1155">
        <v>-1.11023171201</v>
      </c>
      <c r="AH1155">
        <v>24.994101010313599</v>
      </c>
      <c r="AI1155">
        <v>92.503469626705197</v>
      </c>
      <c r="AJ1155">
        <v>79.828390373836797</v>
      </c>
      <c r="AK1155">
        <v>25.417458976746701</v>
      </c>
      <c r="AL1155">
        <v>84.652682295829706</v>
      </c>
      <c r="AM1155">
        <v>86.699437748986099</v>
      </c>
      <c r="AN1155">
        <v>1.0000000554888699</v>
      </c>
    </row>
    <row r="1156" spans="1:40" x14ac:dyDescent="0.25">
      <c r="A1156" t="str">
        <f>"20190312164012641"</f>
        <v>20190312164012641</v>
      </c>
      <c r="B1156" t="str">
        <f>"1552380012637205"</f>
        <v>1552380012637205</v>
      </c>
      <c r="C1156" t="s">
        <v>40</v>
      </c>
      <c r="D1156">
        <v>5.3128520000000004</v>
      </c>
      <c r="E1156">
        <v>0.53220900000000004</v>
      </c>
      <c r="F1156" t="s">
        <v>41</v>
      </c>
      <c r="G1156">
        <v>-235.45439999999999</v>
      </c>
      <c r="H1156" s="1">
        <v>-3.03148E-6</v>
      </c>
      <c r="I1156">
        <v>363.98439999999999</v>
      </c>
      <c r="J1156">
        <v>-261.75490000000002</v>
      </c>
      <c r="K1156">
        <v>1.110228</v>
      </c>
      <c r="L1156">
        <v>367.755</v>
      </c>
      <c r="M1156">
        <v>0.9998842</v>
      </c>
      <c r="N1156">
        <v>0</v>
      </c>
      <c r="O1156">
        <v>5.1061850000000001E-3</v>
      </c>
      <c r="P1156">
        <v>0.99554540000000002</v>
      </c>
      <c r="Q1156">
        <v>7.8685340000000006E-2</v>
      </c>
      <c r="R1156">
        <v>-5.1942269999999999E-2</v>
      </c>
      <c r="S1156">
        <v>3.0010680000000001</v>
      </c>
      <c r="T1156">
        <v>-0.1258775</v>
      </c>
      <c r="U1156">
        <v>-0.42739870000000002</v>
      </c>
      <c r="V1156">
        <v>5.7010770000000002E-2</v>
      </c>
      <c r="W1156">
        <v>9.2955040000000003E-2</v>
      </c>
      <c r="X1156">
        <v>0.99403680000000005</v>
      </c>
      <c r="Y1156">
        <v>0.14591660000000001</v>
      </c>
      <c r="Z1156">
        <v>-3.2565480000000002E-3</v>
      </c>
      <c r="AA1156">
        <v>0.98929149999999999</v>
      </c>
      <c r="AB1156">
        <v>31</v>
      </c>
      <c r="AC1156">
        <v>26.3005</v>
      </c>
      <c r="AD1156">
        <v>-1.1102310314799999</v>
      </c>
      <c r="AE1156">
        <v>-3.7706</v>
      </c>
      <c r="AF1156">
        <v>3.8980535620699199</v>
      </c>
      <c r="AG1156">
        <v>-1.1102310314799999</v>
      </c>
      <c r="AH1156">
        <v>26.2350932693987</v>
      </c>
      <c r="AI1156">
        <v>92.396945819387994</v>
      </c>
      <c r="AJ1156">
        <v>81.5487278622671</v>
      </c>
      <c r="AK1156">
        <v>26.546328434833999</v>
      </c>
      <c r="AL1156">
        <v>84.666368709987495</v>
      </c>
      <c r="AM1156">
        <v>86.717523897060502</v>
      </c>
      <c r="AN1156">
        <v>1.00000001355581</v>
      </c>
    </row>
    <row r="1157" spans="1:40" x14ac:dyDescent="0.25">
      <c r="A1157" t="str">
        <f>"20190312164012650"</f>
        <v>20190312164012650</v>
      </c>
      <c r="B1157" t="str">
        <f>"1552380012646965"</f>
        <v>1552380012646965</v>
      </c>
      <c r="C1157" t="s">
        <v>40</v>
      </c>
      <c r="D1157">
        <v>5.275156</v>
      </c>
      <c r="E1157">
        <v>0.53085459999999995</v>
      </c>
      <c r="F1157" t="s">
        <v>41</v>
      </c>
      <c r="G1157">
        <v>-236.92320000000001</v>
      </c>
      <c r="H1157" s="1">
        <v>-2.3906130000000002E-6</v>
      </c>
      <c r="I1157">
        <v>364.51440000000002</v>
      </c>
      <c r="J1157">
        <v>-261.60539999999997</v>
      </c>
      <c r="K1157">
        <v>1.110228</v>
      </c>
      <c r="L1157">
        <v>367.75580000000002</v>
      </c>
      <c r="M1157">
        <v>0.99988410000000005</v>
      </c>
      <c r="N1157">
        <v>0</v>
      </c>
      <c r="O1157">
        <v>5.1498710000000003E-3</v>
      </c>
      <c r="P1157">
        <v>0.99559929999999996</v>
      </c>
      <c r="Q1157">
        <v>7.8221730000000003E-2</v>
      </c>
      <c r="R1157">
        <v>-5.1610620000000003E-2</v>
      </c>
      <c r="S1157">
        <v>3.0036010000000002</v>
      </c>
      <c r="T1157">
        <v>-0.1342912</v>
      </c>
      <c r="U1157">
        <v>-0.39196779999999998</v>
      </c>
      <c r="V1157">
        <v>5.6722950000000001E-2</v>
      </c>
      <c r="W1157">
        <v>9.2492099999999994E-2</v>
      </c>
      <c r="X1157">
        <v>0.99409650000000005</v>
      </c>
      <c r="Y1157">
        <v>0.1343704</v>
      </c>
      <c r="Z1157">
        <v>-3.2189060000000001E-3</v>
      </c>
      <c r="AA1157">
        <v>0.99092599999999997</v>
      </c>
      <c r="AB1157">
        <v>31</v>
      </c>
      <c r="AC1157">
        <v>24.682199999999899</v>
      </c>
      <c r="AD1157">
        <v>-1.110230390613</v>
      </c>
      <c r="AE1157">
        <v>-3.2413999999999898</v>
      </c>
      <c r="AF1157">
        <v>3.3617936317333501</v>
      </c>
      <c r="AG1157">
        <v>-1.110230390613</v>
      </c>
      <c r="AH1157">
        <v>24.616216744900498</v>
      </c>
      <c r="AI1157">
        <v>92.558662006180398</v>
      </c>
      <c r="AJ1157">
        <v>82.223324842965795</v>
      </c>
      <c r="AK1157">
        <v>24.869507328745399</v>
      </c>
      <c r="AL1157">
        <v>84.693008264557307</v>
      </c>
      <c r="AM1157">
        <v>86.734255289241403</v>
      </c>
      <c r="AN1157">
        <v>1.0000000664656701</v>
      </c>
    </row>
    <row r="1158" spans="1:40" x14ac:dyDescent="0.25">
      <c r="A1158" t="str">
        <f>"20190312164012662"</f>
        <v>20190312164012662</v>
      </c>
      <c r="B1158" t="str">
        <f>"1552380012657702"</f>
        <v>1552380012657702</v>
      </c>
      <c r="C1158" t="s">
        <v>40</v>
      </c>
      <c r="D1158">
        <v>5.2085239999999997</v>
      </c>
      <c r="E1158">
        <v>0.53048869999999904</v>
      </c>
      <c r="F1158" t="s">
        <v>41</v>
      </c>
      <c r="G1158">
        <v>-237.93260000000001</v>
      </c>
      <c r="H1158" s="1">
        <v>-1.9807220000000001E-6</v>
      </c>
      <c r="I1158">
        <v>364.76389999999998</v>
      </c>
      <c r="J1158">
        <v>-261.45510000000002</v>
      </c>
      <c r="K1158">
        <v>1.1102289999999999</v>
      </c>
      <c r="L1158">
        <v>367.75659999999999</v>
      </c>
      <c r="M1158">
        <v>0.99988379999999999</v>
      </c>
      <c r="N1158">
        <v>0</v>
      </c>
      <c r="O1158">
        <v>5.1939760000000003E-3</v>
      </c>
      <c r="P1158">
        <v>0.9956391</v>
      </c>
      <c r="Q1158">
        <v>7.7925839999999996E-2</v>
      </c>
      <c r="R1158">
        <v>-5.128837E-2</v>
      </c>
      <c r="S1158">
        <v>3.0046390000000001</v>
      </c>
      <c r="T1158">
        <v>-0.14091400000000001</v>
      </c>
      <c r="U1158">
        <v>-0.37973020000000002</v>
      </c>
      <c r="V1158">
        <v>5.6444979999999999E-2</v>
      </c>
      <c r="W1158">
        <v>9.2196310000000004E-2</v>
      </c>
      <c r="X1158">
        <v>0.99413969999999896</v>
      </c>
      <c r="Y1158">
        <v>0.13038910000000001</v>
      </c>
      <c r="Z1158">
        <v>-3.2863200000000001E-3</v>
      </c>
      <c r="AA1158">
        <v>0.99145749999999999</v>
      </c>
      <c r="AB1158">
        <v>31</v>
      </c>
      <c r="AC1158">
        <v>23.522500000000001</v>
      </c>
      <c r="AD1158">
        <v>-1.1102309807220001</v>
      </c>
      <c r="AE1158">
        <v>-2.9927000000000099</v>
      </c>
      <c r="AF1158">
        <v>3.1080339475163199</v>
      </c>
      <c r="AG1158">
        <v>-1.1102309807220001</v>
      </c>
      <c r="AH1158">
        <v>23.455217793568799</v>
      </c>
      <c r="AI1158">
        <v>92.686570982787202</v>
      </c>
      <c r="AJ1158">
        <v>82.451751874614601</v>
      </c>
      <c r="AK1158">
        <v>23.686277242175802</v>
      </c>
      <c r="AL1158">
        <v>84.710027991293302</v>
      </c>
      <c r="AM1158">
        <v>86.750365553818099</v>
      </c>
      <c r="AN1158">
        <v>0.99999996923045198</v>
      </c>
    </row>
    <row r="1159" spans="1:40" x14ac:dyDescent="0.25">
      <c r="A1159" t="str">
        <f>"20190312164012673"</f>
        <v>20190312164012673</v>
      </c>
      <c r="B1159" t="str">
        <f>"1552380012667462"</f>
        <v>1552380012667462</v>
      </c>
      <c r="C1159" t="s">
        <v>40</v>
      </c>
      <c r="D1159">
        <v>5.2092660000000004</v>
      </c>
      <c r="E1159">
        <v>0.53027829999999998</v>
      </c>
      <c r="F1159" t="s">
        <v>41</v>
      </c>
      <c r="G1159">
        <v>-237.74100000000001</v>
      </c>
      <c r="H1159" s="1">
        <v>-2.0389099999999999E-6</v>
      </c>
      <c r="I1159">
        <v>364.7903</v>
      </c>
      <c r="J1159">
        <v>-261.2885</v>
      </c>
      <c r="K1159">
        <v>1.1102320000000001</v>
      </c>
      <c r="L1159">
        <v>367.75749999999999</v>
      </c>
      <c r="M1159">
        <v>0.99988370000000004</v>
      </c>
      <c r="N1159">
        <v>0</v>
      </c>
      <c r="O1159">
        <v>5.2427300000000001E-3</v>
      </c>
      <c r="P1159">
        <v>0.99564430000000004</v>
      </c>
      <c r="Q1159">
        <v>7.7693960000000006E-2</v>
      </c>
      <c r="R1159">
        <v>-5.1539599999999998E-2</v>
      </c>
      <c r="S1159">
        <v>3.0048219999999999</v>
      </c>
      <c r="T1159">
        <v>-0.14067750000000001</v>
      </c>
      <c r="U1159">
        <v>-0.37585449999999998</v>
      </c>
      <c r="V1159">
        <v>5.6744669999999997E-2</v>
      </c>
      <c r="W1159">
        <v>9.1964130000000005E-2</v>
      </c>
      <c r="X1159">
        <v>0.99414420000000003</v>
      </c>
      <c r="Y1159">
        <v>0.1291726</v>
      </c>
      <c r="Z1159">
        <v>-3.2547969999999998E-3</v>
      </c>
      <c r="AA1159">
        <v>0.99161679999999996</v>
      </c>
      <c r="AB1159">
        <v>31</v>
      </c>
      <c r="AC1159">
        <v>23.547499999999999</v>
      </c>
      <c r="AD1159">
        <v>-1.1102340389099901</v>
      </c>
      <c r="AE1159">
        <v>-2.9671999999999898</v>
      </c>
      <c r="AF1159">
        <v>3.0838767531378002</v>
      </c>
      <c r="AG1159">
        <v>-1.1102340389099901</v>
      </c>
      <c r="AH1159">
        <v>23.4802377613508</v>
      </c>
      <c r="AI1159">
        <v>92.684126402951193</v>
      </c>
      <c r="AJ1159">
        <v>82.517642855848393</v>
      </c>
      <c r="AK1159">
        <v>23.707899122007099</v>
      </c>
      <c r="AL1159">
        <v>84.723387976168596</v>
      </c>
      <c r="AM1159">
        <v>86.733163912665802</v>
      </c>
      <c r="AN1159">
        <v>1.0000000245868499</v>
      </c>
    </row>
    <row r="1160" spans="1:40" x14ac:dyDescent="0.25">
      <c r="A1160" t="str">
        <f>"20190312164012685"</f>
        <v>20190312164012685</v>
      </c>
      <c r="B1160" t="str">
        <f>"1552380012677221"</f>
        <v>1552380012677221</v>
      </c>
      <c r="C1160" t="s">
        <v>40</v>
      </c>
      <c r="D1160">
        <v>5.1960309999999996</v>
      </c>
      <c r="E1160">
        <v>0.53019749999999999</v>
      </c>
      <c r="F1160" t="s">
        <v>41</v>
      </c>
      <c r="G1160">
        <v>-237.607</v>
      </c>
      <c r="H1160" s="1">
        <v>-2.0813849999999999E-6</v>
      </c>
      <c r="I1160">
        <v>364.8021</v>
      </c>
      <c r="J1160">
        <v>-261.13479999999998</v>
      </c>
      <c r="K1160">
        <v>1.1102320000000001</v>
      </c>
      <c r="L1160">
        <v>367.75839999999999</v>
      </c>
      <c r="M1160">
        <v>0.99988339999999998</v>
      </c>
      <c r="N1160">
        <v>0</v>
      </c>
      <c r="O1160">
        <v>5.2874330000000002E-3</v>
      </c>
      <c r="P1160">
        <v>0.99566049999999995</v>
      </c>
      <c r="Q1160">
        <v>7.7602110000000002E-2</v>
      </c>
      <c r="R1160">
        <v>-5.1365479999999998E-2</v>
      </c>
      <c r="S1160">
        <v>3.0046689999999998</v>
      </c>
      <c r="T1160">
        <v>-0.14086409999999999</v>
      </c>
      <c r="U1160">
        <v>-0.37496950000000001</v>
      </c>
      <c r="V1160">
        <v>5.6615070000000003E-2</v>
      </c>
      <c r="W1160">
        <v>9.1872480000000006E-2</v>
      </c>
      <c r="X1160">
        <v>0.99416009999999999</v>
      </c>
      <c r="Y1160">
        <v>0.12893540000000001</v>
      </c>
      <c r="Z1160">
        <v>-3.2558840000000001E-3</v>
      </c>
      <c r="AA1160">
        <v>0.99164770000000002</v>
      </c>
      <c r="AB1160">
        <v>31</v>
      </c>
      <c r="AC1160">
        <v>23.5277999999999</v>
      </c>
      <c r="AD1160">
        <v>-1.11023408138499</v>
      </c>
      <c r="AE1160">
        <v>-2.9562999999999899</v>
      </c>
      <c r="AF1160">
        <v>3.07393468272448</v>
      </c>
      <c r="AG1160">
        <v>-1.11023408138499</v>
      </c>
      <c r="AH1160">
        <v>23.4604102941293</v>
      </c>
      <c r="AI1160">
        <v>92.686499866977201</v>
      </c>
      <c r="AJ1160">
        <v>82.535260642885603</v>
      </c>
      <c r="AK1160">
        <v>23.6869699480118</v>
      </c>
      <c r="AL1160">
        <v>84.728661654818694</v>
      </c>
      <c r="AM1160">
        <v>86.740660999905302</v>
      </c>
      <c r="AN1160">
        <v>1.00000006158223</v>
      </c>
    </row>
    <row r="1161" spans="1:40" x14ac:dyDescent="0.25">
      <c r="A1161" t="str">
        <f>"20190312164012695"</f>
        <v>20190312164012695</v>
      </c>
      <c r="B1161" t="str">
        <f>"1552380012686982"</f>
        <v>1552380012686982</v>
      </c>
      <c r="C1161" t="s">
        <v>40</v>
      </c>
      <c r="D1161">
        <v>5.2026510000000004</v>
      </c>
      <c r="E1161">
        <v>0.53005609999999903</v>
      </c>
      <c r="F1161" t="s">
        <v>41</v>
      </c>
      <c r="G1161">
        <v>-237.68430000000001</v>
      </c>
      <c r="H1161" s="1">
        <v>-2.0446910000000001E-6</v>
      </c>
      <c r="I1161">
        <v>364.84109999999998</v>
      </c>
      <c r="J1161">
        <v>-260.97519999999997</v>
      </c>
      <c r="K1161">
        <v>1.110233</v>
      </c>
      <c r="L1161">
        <v>367.7593</v>
      </c>
      <c r="M1161">
        <v>0.99988310000000002</v>
      </c>
      <c r="N1161">
        <v>0</v>
      </c>
      <c r="O1161">
        <v>5.3339839999999999E-3</v>
      </c>
      <c r="P1161">
        <v>0.99566299999999996</v>
      </c>
      <c r="Q1161">
        <v>7.7420660000000002E-2</v>
      </c>
      <c r="R1161">
        <v>-5.1584680000000001E-2</v>
      </c>
      <c r="S1161">
        <v>3.0049130000000002</v>
      </c>
      <c r="T1161">
        <v>-0.14226340000000001</v>
      </c>
      <c r="U1161">
        <v>-0.37380980000000003</v>
      </c>
      <c r="V1161">
        <v>5.688087E-2</v>
      </c>
      <c r="W1161">
        <v>9.169062E-2</v>
      </c>
      <c r="X1161">
        <v>0.99416170000000004</v>
      </c>
      <c r="Y1161">
        <v>0.12859219999999999</v>
      </c>
      <c r="Z1161">
        <v>-3.2821130000000001E-3</v>
      </c>
      <c r="AA1161">
        <v>0.99169209999999997</v>
      </c>
      <c r="AB1161">
        <v>31</v>
      </c>
      <c r="AC1161">
        <v>23.290899999999901</v>
      </c>
      <c r="AD1161">
        <v>-1.1102350446910001</v>
      </c>
      <c r="AE1161">
        <v>-2.9182000000000099</v>
      </c>
      <c r="AF1161">
        <v>3.0356134401922201</v>
      </c>
      <c r="AG1161">
        <v>-1.1102350446910001</v>
      </c>
      <c r="AH1161">
        <v>23.223048236748198</v>
      </c>
      <c r="AI1161">
        <v>92.714028415940504</v>
      </c>
      <c r="AJ1161">
        <v>82.552775122788702</v>
      </c>
      <c r="AK1161">
        <v>23.4469089693944</v>
      </c>
      <c r="AL1161">
        <v>84.739125541012896</v>
      </c>
      <c r="AM1161">
        <v>86.725397331321403</v>
      </c>
      <c r="AN1161">
        <v>1.00000004445741</v>
      </c>
    </row>
    <row r="1162" spans="1:40" x14ac:dyDescent="0.25">
      <c r="A1162" t="str">
        <f>"20190312164012707"</f>
        <v>20190312164012707</v>
      </c>
      <c r="B1162" t="str">
        <f>"1552380012697717"</f>
        <v>1552380012697717</v>
      </c>
      <c r="C1162" t="s">
        <v>40</v>
      </c>
      <c r="D1162">
        <v>5.2814870000000003</v>
      </c>
      <c r="E1162">
        <v>0.5303369</v>
      </c>
      <c r="F1162" t="s">
        <v>41</v>
      </c>
      <c r="G1162">
        <v>-237.86869999999999</v>
      </c>
      <c r="H1162" s="1">
        <v>-1.9695139999999999E-6</v>
      </c>
      <c r="I1162">
        <v>364.88780000000003</v>
      </c>
      <c r="J1162">
        <v>-260.82690000000002</v>
      </c>
      <c r="K1162">
        <v>1.1102339999999999</v>
      </c>
      <c r="L1162">
        <v>367.76010000000002</v>
      </c>
      <c r="M1162">
        <v>0.99988290000000002</v>
      </c>
      <c r="N1162">
        <v>0</v>
      </c>
      <c r="O1162">
        <v>5.3773739999999999E-3</v>
      </c>
      <c r="P1162">
        <v>0.99566220000000005</v>
      </c>
      <c r="Q1162">
        <v>7.7355530000000006E-2</v>
      </c>
      <c r="R1162">
        <v>-5.1705609999999999E-2</v>
      </c>
      <c r="S1162">
        <v>3.0049440000000001</v>
      </c>
      <c r="T1162">
        <v>-0.14438280000000001</v>
      </c>
      <c r="U1162">
        <v>-0.3734131</v>
      </c>
      <c r="V1162">
        <v>5.7044919999999999E-2</v>
      </c>
      <c r="W1162">
        <v>9.1624629999999999E-2</v>
      </c>
      <c r="X1162">
        <v>0.99415830000000005</v>
      </c>
      <c r="Y1162">
        <v>0.1285007</v>
      </c>
      <c r="Z1162">
        <v>-3.330834E-3</v>
      </c>
      <c r="AA1162">
        <v>0.99170380000000002</v>
      </c>
      <c r="AB1162">
        <v>31</v>
      </c>
      <c r="AC1162">
        <v>22.958200000000001</v>
      </c>
      <c r="AD1162">
        <v>-1.1102359695140001</v>
      </c>
      <c r="AE1162">
        <v>-2.8722999999999899</v>
      </c>
      <c r="AF1162">
        <v>2.98884398989652</v>
      </c>
      <c r="AG1162">
        <v>-1.1102359695140001</v>
      </c>
      <c r="AH1162">
        <v>22.8897161800036</v>
      </c>
      <c r="AI1162">
        <v>92.753542759185194</v>
      </c>
      <c r="AJ1162">
        <v>82.560645202061906</v>
      </c>
      <c r="AK1162">
        <v>23.1107100519448</v>
      </c>
      <c r="AL1162">
        <v>84.742922030070503</v>
      </c>
      <c r="AM1162">
        <v>86.715962491102502</v>
      </c>
      <c r="AN1162">
        <v>0.999999960589665</v>
      </c>
    </row>
    <row r="1163" spans="1:40" x14ac:dyDescent="0.25">
      <c r="A1163" t="str">
        <f>"20190312164012719"</f>
        <v>20190312164012719</v>
      </c>
      <c r="B1163" t="str">
        <f>"1552380012707477"</f>
        <v>1552380012707477</v>
      </c>
      <c r="C1163" t="s">
        <v>40</v>
      </c>
      <c r="D1163">
        <v>5.2037659999999999</v>
      </c>
      <c r="E1163">
        <v>0.53013719999999998</v>
      </c>
      <c r="F1163" t="s">
        <v>41</v>
      </c>
      <c r="G1163">
        <v>-237.90969999999999</v>
      </c>
      <c r="H1163" s="1">
        <v>-1.95399E-6</v>
      </c>
      <c r="I1163">
        <v>364.89370000000002</v>
      </c>
      <c r="J1163">
        <v>-260.66969999999998</v>
      </c>
      <c r="K1163">
        <v>1.1102339999999999</v>
      </c>
      <c r="L1163">
        <v>367.76100000000002</v>
      </c>
      <c r="M1163">
        <v>0.99988259999999995</v>
      </c>
      <c r="N1163">
        <v>0</v>
      </c>
      <c r="O1163">
        <v>5.4236240000000002E-3</v>
      </c>
      <c r="P1163">
        <v>0.9956431</v>
      </c>
      <c r="Q1163">
        <v>7.7381510000000001E-2</v>
      </c>
      <c r="R1163">
        <v>-5.202859E-2</v>
      </c>
      <c r="S1163">
        <v>3.0048520000000001</v>
      </c>
      <c r="T1163">
        <v>-0.145570799999999</v>
      </c>
      <c r="U1163">
        <v>-0.37582399999999999</v>
      </c>
      <c r="V1163">
        <v>5.741404E-2</v>
      </c>
      <c r="W1163">
        <v>9.1650259999999997E-2</v>
      </c>
      <c r="X1163">
        <v>0.99413470000000004</v>
      </c>
      <c r="Y1163">
        <v>0.12933019999999901</v>
      </c>
      <c r="Z1163">
        <v>-3.3803769999999999E-3</v>
      </c>
      <c r="AA1163">
        <v>0.99159580000000003</v>
      </c>
      <c r="AB1163">
        <v>31</v>
      </c>
      <c r="AC1163">
        <v>22.759999999999899</v>
      </c>
      <c r="AD1163">
        <v>-1.11023595399</v>
      </c>
      <c r="AE1163">
        <v>-2.8672999999999398</v>
      </c>
      <c r="AF1163">
        <v>2.9837233231556199</v>
      </c>
      <c r="AG1163">
        <v>-1.11023595399</v>
      </c>
      <c r="AH1163">
        <v>22.690962767727701</v>
      </c>
      <c r="AI1163">
        <v>92.777295821663401</v>
      </c>
      <c r="AJ1163">
        <v>82.508932007330998</v>
      </c>
      <c r="AK1163">
        <v>22.913206237213501</v>
      </c>
      <c r="AL1163">
        <v>84.741447394192903</v>
      </c>
      <c r="AM1163">
        <v>86.694681174055205</v>
      </c>
      <c r="AN1163">
        <v>0.99999997194563905</v>
      </c>
    </row>
    <row r="1164" spans="1:40" x14ac:dyDescent="0.25">
      <c r="A1164" t="str">
        <f>"20190312164012732"</f>
        <v>20190312164012732</v>
      </c>
      <c r="B1164" t="str">
        <f>"1552380012726996"</f>
        <v>1552380012726996</v>
      </c>
      <c r="C1164" t="s">
        <v>40</v>
      </c>
      <c r="D1164">
        <v>5.1050250000000004</v>
      </c>
      <c r="E1164">
        <v>0.52988849999999998</v>
      </c>
      <c r="F1164" t="s">
        <v>41</v>
      </c>
      <c r="G1164">
        <v>-237.93</v>
      </c>
      <c r="H1164" s="1">
        <v>-1.9395659999999999E-6</v>
      </c>
      <c r="I1164">
        <v>364.92200000000003</v>
      </c>
      <c r="J1164">
        <v>-260.47140000000002</v>
      </c>
      <c r="K1164">
        <v>1.1102369999999999</v>
      </c>
      <c r="L1164">
        <v>367.76209999999998</v>
      </c>
      <c r="M1164">
        <v>0.9998823</v>
      </c>
      <c r="N1164">
        <v>0</v>
      </c>
      <c r="O1164">
        <v>5.4817989999999999E-3</v>
      </c>
      <c r="P1164">
        <v>0.99564989999999998</v>
      </c>
      <c r="Q1164">
        <v>7.7126719999999996E-2</v>
      </c>
      <c r="R1164">
        <v>-5.2276900000000001E-2</v>
      </c>
      <c r="S1164">
        <v>3.0049130000000002</v>
      </c>
      <c r="T1164">
        <v>-0.14670999999999901</v>
      </c>
      <c r="U1164">
        <v>-0.3751526</v>
      </c>
      <c r="V1164">
        <v>5.7720250000000001E-2</v>
      </c>
      <c r="W1164">
        <v>9.1394340000000004E-2</v>
      </c>
      <c r="X1164">
        <v>0.99414060000000004</v>
      </c>
      <c r="Y1164">
        <v>0.129165</v>
      </c>
      <c r="Z1164">
        <v>-3.4055940000000001E-3</v>
      </c>
      <c r="AA1164">
        <v>0.99161730000000003</v>
      </c>
      <c r="AB1164">
        <v>31</v>
      </c>
      <c r="AC1164">
        <v>22.541399999999999</v>
      </c>
      <c r="AD1164">
        <v>-1.1102389395659999</v>
      </c>
      <c r="AE1164">
        <v>-2.8401000000000001</v>
      </c>
      <c r="AF1164">
        <v>2.9565771783833399</v>
      </c>
      <c r="AG1164">
        <v>-1.1102389395659999</v>
      </c>
      <c r="AH1164">
        <v>22.471828470715799</v>
      </c>
      <c r="AI1164">
        <v>92.804316278013999</v>
      </c>
      <c r="AJ1164">
        <v>82.504749776256006</v>
      </c>
      <c r="AK1164">
        <v>22.6926652011601</v>
      </c>
      <c r="AL1164">
        <v>84.756172702272906</v>
      </c>
      <c r="AM1164">
        <v>86.677111778550497</v>
      </c>
      <c r="AN1164">
        <v>1.0000000426062201</v>
      </c>
    </row>
    <row r="1165" spans="1:40" x14ac:dyDescent="0.25">
      <c r="A1165" t="str">
        <f>"20190312164012753"</f>
        <v>20190312164012753</v>
      </c>
      <c r="B1165" t="str">
        <f>"1552380012747493"</f>
        <v>1552380012747493</v>
      </c>
      <c r="C1165" t="s">
        <v>40</v>
      </c>
      <c r="D1165">
        <v>5.2613209999999997</v>
      </c>
      <c r="E1165">
        <v>0.52959299999999998</v>
      </c>
      <c r="F1165" t="s">
        <v>41</v>
      </c>
      <c r="G1165">
        <v>-238.3931</v>
      </c>
      <c r="H1165" s="1">
        <v>-1.756997E-6</v>
      </c>
      <c r="I1165">
        <v>365.01580000000001</v>
      </c>
      <c r="J1165">
        <v>-260.19349999999997</v>
      </c>
      <c r="K1165">
        <v>1.110239</v>
      </c>
      <c r="L1165">
        <v>367.7638</v>
      </c>
      <c r="M1165">
        <v>0.99988189999999999</v>
      </c>
      <c r="N1165">
        <v>0</v>
      </c>
      <c r="O1165">
        <v>5.5628079999999998E-3</v>
      </c>
      <c r="P1165">
        <v>0.99560519999999997</v>
      </c>
      <c r="Q1165">
        <v>7.7475920000000004E-2</v>
      </c>
      <c r="R1165">
        <v>-5.2613939999999998E-2</v>
      </c>
      <c r="S1165">
        <v>3.0051570000000001</v>
      </c>
      <c r="T1165">
        <v>-0.15111849999999999</v>
      </c>
      <c r="U1165">
        <v>-0.37380980000000003</v>
      </c>
      <c r="V1165">
        <v>5.8137609999999999E-2</v>
      </c>
      <c r="W1165">
        <v>9.1741439999999994E-2</v>
      </c>
      <c r="X1165">
        <v>0.99408419999999997</v>
      </c>
      <c r="Y1165">
        <v>0.12878989999999901</v>
      </c>
      <c r="Z1165">
        <v>-3.5022830000000001E-3</v>
      </c>
      <c r="AA1165">
        <v>0.99166569999999998</v>
      </c>
      <c r="AB1165">
        <v>31</v>
      </c>
      <c r="AC1165">
        <v>21.8003999999999</v>
      </c>
      <c r="AD1165">
        <v>-1.1102407569970001</v>
      </c>
      <c r="AE1165">
        <v>-2.74799999999999</v>
      </c>
      <c r="AF1165">
        <v>2.8619347016982499</v>
      </c>
      <c r="AG1165">
        <v>-1.1102407569970001</v>
      </c>
      <c r="AH1165">
        <v>21.7292985100155</v>
      </c>
      <c r="AI1165">
        <v>92.8999361663314</v>
      </c>
      <c r="AJ1165">
        <v>82.496842388127007</v>
      </c>
      <c r="AK1165">
        <v>21.945061369534699</v>
      </c>
      <c r="AL1165">
        <v>84.736200867894894</v>
      </c>
      <c r="AM1165">
        <v>86.652949813404007</v>
      </c>
      <c r="AN1165">
        <v>0.99999993509970997</v>
      </c>
    </row>
    <row r="1166" spans="1:40" x14ac:dyDescent="0.25">
      <c r="A1166" t="str">
        <f>"20190312164012774"</f>
        <v>20190312164012774</v>
      </c>
      <c r="B1166" t="str">
        <f>"1552380012767013"</f>
        <v>1552380012767013</v>
      </c>
      <c r="C1166" t="s">
        <v>40</v>
      </c>
      <c r="D1166">
        <v>5.0792900000000003</v>
      </c>
      <c r="E1166">
        <v>0.52939740000000002</v>
      </c>
      <c r="F1166" t="s">
        <v>41</v>
      </c>
      <c r="G1166">
        <v>-238.41079999999999</v>
      </c>
      <c r="H1166" s="1">
        <v>-1.7375009999999999E-6</v>
      </c>
      <c r="I1166">
        <v>365.06639999999999</v>
      </c>
      <c r="J1166">
        <v>-259.89299999999997</v>
      </c>
      <c r="K1166">
        <v>1.110244</v>
      </c>
      <c r="L1166">
        <v>367.76560000000001</v>
      </c>
      <c r="M1166">
        <v>0.99988140000000003</v>
      </c>
      <c r="N1166">
        <v>0</v>
      </c>
      <c r="O1166">
        <v>5.6510859999999996E-3</v>
      </c>
      <c r="P1166">
        <v>0.99558610000000003</v>
      </c>
      <c r="Q1166">
        <v>7.7592480000000005E-2</v>
      </c>
      <c r="R1166">
        <v>-5.2797509999999999E-2</v>
      </c>
      <c r="S1166">
        <v>3.005493</v>
      </c>
      <c r="T1166">
        <v>-0.15318660000000001</v>
      </c>
      <c r="U1166">
        <v>-0.37216189999999999</v>
      </c>
      <c r="V1166">
        <v>5.8409269999999999E-2</v>
      </c>
      <c r="W1166">
        <v>9.1855389999999995E-2</v>
      </c>
      <c r="X1166">
        <v>0.99405779999999999</v>
      </c>
      <c r="Y1166">
        <v>0.1283242</v>
      </c>
      <c r="Z1166">
        <v>-3.542543E-3</v>
      </c>
      <c r="AA1166">
        <v>0.99172590000000005</v>
      </c>
      <c r="AB1166">
        <v>31</v>
      </c>
      <c r="AC1166">
        <v>21.482199999999899</v>
      </c>
      <c r="AD1166">
        <v>-1.110245737501</v>
      </c>
      <c r="AE1166">
        <v>-2.69920000000001</v>
      </c>
      <c r="AF1166">
        <v>2.81316980186222</v>
      </c>
      <c r="AG1166">
        <v>-1.110245737501</v>
      </c>
      <c r="AH1166">
        <v>21.4103029357365</v>
      </c>
      <c r="AI1166">
        <v>92.943200344783406</v>
      </c>
      <c r="AJ1166">
        <v>82.514599860286296</v>
      </c>
      <c r="AK1166">
        <v>21.6228499909645</v>
      </c>
      <c r="AL1166">
        <v>84.729644580276599</v>
      </c>
      <c r="AM1166">
        <v>86.637256735446897</v>
      </c>
      <c r="AN1166">
        <v>0.99999998261741196</v>
      </c>
    </row>
    <row r="1167" spans="1:40" x14ac:dyDescent="0.25">
      <c r="A1167" t="str">
        <f>"20190312164012787"</f>
        <v>20190312164012787</v>
      </c>
      <c r="B1167" t="str">
        <f>"1552380012777750"</f>
        <v>1552380012777750</v>
      </c>
      <c r="C1167" t="s">
        <v>40</v>
      </c>
      <c r="D1167">
        <v>5.409948</v>
      </c>
      <c r="E1167">
        <v>0.5292675</v>
      </c>
      <c r="F1167" t="s">
        <v>41</v>
      </c>
      <c r="G1167">
        <v>-238.4409</v>
      </c>
      <c r="H1167" s="1">
        <v>-1.7139950000000001E-6</v>
      </c>
      <c r="I1167">
        <v>365.11630000000002</v>
      </c>
      <c r="J1167">
        <v>-259.72210000000001</v>
      </c>
      <c r="K1167">
        <v>1.1102459999999901</v>
      </c>
      <c r="L1167">
        <v>367.76650000000001</v>
      </c>
      <c r="M1167">
        <v>0.99988120000000003</v>
      </c>
      <c r="N1167">
        <v>0</v>
      </c>
      <c r="O1167">
        <v>5.7013350000000001E-3</v>
      </c>
      <c r="P1167">
        <v>0.9955794</v>
      </c>
      <c r="Q1167">
        <v>7.7719440000000001E-2</v>
      </c>
      <c r="R1167">
        <v>-5.2739429999999997E-2</v>
      </c>
      <c r="S1167">
        <v>3.0057369999999999</v>
      </c>
      <c r="T1167">
        <v>-0.1555599</v>
      </c>
      <c r="U1167">
        <v>-0.3711853</v>
      </c>
      <c r="V1167">
        <v>5.8401069999999999E-2</v>
      </c>
      <c r="W1167">
        <v>9.1981209999999994E-2</v>
      </c>
      <c r="X1167">
        <v>0.99404669999999895</v>
      </c>
      <c r="Y1167">
        <v>0.12804189999999999</v>
      </c>
      <c r="Z1167">
        <v>-3.5924529999999998E-3</v>
      </c>
      <c r="AA1167">
        <v>0.99176229999999999</v>
      </c>
      <c r="AB1167">
        <v>31</v>
      </c>
      <c r="AC1167">
        <v>21.281199999999998</v>
      </c>
      <c r="AD1167">
        <v>-1.11024771399499</v>
      </c>
      <c r="AE1167">
        <v>-2.6501999999999799</v>
      </c>
      <c r="AF1167">
        <v>2.7640923451508002</v>
      </c>
      <c r="AG1167">
        <v>-1.11024771399499</v>
      </c>
      <c r="AH1167">
        <v>21.208899143715399</v>
      </c>
      <c r="AI1167">
        <v>92.971511861999701</v>
      </c>
      <c r="AJ1167">
        <v>82.5746639048768</v>
      </c>
      <c r="AK1167">
        <v>21.417055338380301</v>
      </c>
      <c r="AL1167">
        <v>84.722405253261797</v>
      </c>
      <c r="AM1167">
        <v>86.637690284771793</v>
      </c>
      <c r="AN1167">
        <v>1.00000003487554</v>
      </c>
    </row>
    <row r="1168" spans="1:40" x14ac:dyDescent="0.25">
      <c r="A1168" t="str">
        <f>"20190312164012798"</f>
        <v>20190312164012798</v>
      </c>
      <c r="B1168" t="str">
        <f>"1552380012787510"</f>
        <v>1552380012787510</v>
      </c>
      <c r="C1168" t="s">
        <v>40</v>
      </c>
      <c r="D1168">
        <v>5.310727</v>
      </c>
      <c r="E1168">
        <v>0.52912029999999999</v>
      </c>
      <c r="F1168" t="s">
        <v>41</v>
      </c>
      <c r="G1168">
        <v>-238.35380000000001</v>
      </c>
      <c r="H1168" s="1">
        <v>-1.737756E-6</v>
      </c>
      <c r="I1168">
        <v>365.13839999999999</v>
      </c>
      <c r="J1168">
        <v>-259.5652</v>
      </c>
      <c r="K1168">
        <v>1.110244</v>
      </c>
      <c r="L1168">
        <v>367.76749999999998</v>
      </c>
      <c r="M1168">
        <v>0.99988100000000002</v>
      </c>
      <c r="N1168">
        <v>0</v>
      </c>
      <c r="O1168">
        <v>5.747233E-3</v>
      </c>
      <c r="P1168">
        <v>0.99557709999999999</v>
      </c>
      <c r="Q1168">
        <v>7.7879260000000006E-2</v>
      </c>
      <c r="R1168">
        <v>-5.2547610000000002E-2</v>
      </c>
      <c r="S1168">
        <v>3.0059200000000001</v>
      </c>
      <c r="T1168">
        <v>-0.15617979999999901</v>
      </c>
      <c r="U1168">
        <v>-0.36968990000000002</v>
      </c>
      <c r="V1168">
        <v>5.8254800000000002E-2</v>
      </c>
      <c r="W1168">
        <v>9.2139799999999994E-2</v>
      </c>
      <c r="X1168">
        <v>0.99404049999999999</v>
      </c>
      <c r="Y1168">
        <v>0.12759319999999999</v>
      </c>
      <c r="Z1168">
        <v>-3.5974119999999999E-3</v>
      </c>
      <c r="AA1168">
        <v>0.99182000000000003</v>
      </c>
      <c r="AB1168">
        <v>31</v>
      </c>
      <c r="AC1168">
        <v>21.211400000000001</v>
      </c>
      <c r="AD1168">
        <v>-1.110245737756</v>
      </c>
      <c r="AE1168">
        <v>-2.62909999999999</v>
      </c>
      <c r="AF1168">
        <v>2.7435731440494999</v>
      </c>
      <c r="AG1168">
        <v>-1.110245737756</v>
      </c>
      <c r="AH1168">
        <v>21.138900493355798</v>
      </c>
      <c r="AI1168">
        <v>92.981533808963107</v>
      </c>
      <c r="AJ1168">
        <v>82.605039624942904</v>
      </c>
      <c r="AK1168">
        <v>21.3450920181421</v>
      </c>
      <c r="AL1168">
        <v>84.713279461859898</v>
      </c>
      <c r="AM1168">
        <v>86.646071330661798</v>
      </c>
      <c r="AN1168">
        <v>0.99999994005366299</v>
      </c>
    </row>
    <row r="1169" spans="1:40" x14ac:dyDescent="0.25">
      <c r="A1169" t="str">
        <f>"20190312164012809"</f>
        <v>20190312164012809</v>
      </c>
      <c r="B1169" t="str">
        <f>"1552380012807029"</f>
        <v>1552380012807029</v>
      </c>
      <c r="C1169" t="s">
        <v>40</v>
      </c>
      <c r="D1169">
        <v>5.3413490000000001</v>
      </c>
      <c r="E1169">
        <v>0.52887390000000001</v>
      </c>
      <c r="F1169" t="s">
        <v>41</v>
      </c>
      <c r="G1169">
        <v>-238.3192</v>
      </c>
      <c r="H1169" s="1">
        <v>-1.7422550000000001E-6</v>
      </c>
      <c r="I1169">
        <v>365.16570000000002</v>
      </c>
      <c r="J1169">
        <v>-259.3972</v>
      </c>
      <c r="K1169">
        <v>1.110247</v>
      </c>
      <c r="L1169">
        <v>367.76850000000002</v>
      </c>
      <c r="M1169">
        <v>0.99988060000000001</v>
      </c>
      <c r="N1169">
        <v>0</v>
      </c>
      <c r="O1169">
        <v>5.7965339999999999E-3</v>
      </c>
      <c r="P1169">
        <v>0.99560110000000002</v>
      </c>
      <c r="Q1169">
        <v>7.7824740000000003E-2</v>
      </c>
      <c r="R1169">
        <v>-5.2170229999999998E-2</v>
      </c>
      <c r="S1169">
        <v>3.006195</v>
      </c>
      <c r="T1169">
        <v>-0.15709300000000001</v>
      </c>
      <c r="U1169">
        <v>-0.3681335</v>
      </c>
      <c r="V1169">
        <v>5.792663E-2</v>
      </c>
      <c r="W1169">
        <v>9.2084739999999998E-2</v>
      </c>
      <c r="X1169">
        <v>0.99406490000000003</v>
      </c>
      <c r="Y1169">
        <v>0.12712370000000001</v>
      </c>
      <c r="Z1169">
        <v>-3.6085570000000001E-3</v>
      </c>
      <c r="AA1169">
        <v>0.99188030000000005</v>
      </c>
      <c r="AB1169">
        <v>31</v>
      </c>
      <c r="AC1169">
        <v>21.077999999999999</v>
      </c>
      <c r="AD1169">
        <v>-1.110248742255</v>
      </c>
      <c r="AE1169">
        <v>-2.6027999999999998</v>
      </c>
      <c r="AF1169">
        <v>2.7175216729410598</v>
      </c>
      <c r="AG1169">
        <v>-1.110248742255</v>
      </c>
      <c r="AH1169">
        <v>21.005153947890602</v>
      </c>
      <c r="AI1169">
        <v>93.0006496762675</v>
      </c>
      <c r="AJ1169">
        <v>82.628359389518195</v>
      </c>
      <c r="AK1169">
        <v>21.209292036444001</v>
      </c>
      <c r="AL1169">
        <v>84.716448270230003</v>
      </c>
      <c r="AM1169">
        <v>86.665004111568507</v>
      </c>
      <c r="AN1169">
        <v>1.0000000596080101</v>
      </c>
    </row>
    <row r="1170" spans="1:40" x14ac:dyDescent="0.25">
      <c r="A1170" t="str">
        <f>"20190312164012821"</f>
        <v>20190312164012821</v>
      </c>
      <c r="B1170" t="str">
        <f>"1552380012817766"</f>
        <v>1552380012817766</v>
      </c>
      <c r="C1170" t="s">
        <v>40</v>
      </c>
      <c r="D1170">
        <v>5.2955439999999996</v>
      </c>
      <c r="E1170">
        <v>0.52884049999999905</v>
      </c>
      <c r="F1170" t="s">
        <v>41</v>
      </c>
      <c r="G1170">
        <v>-238.49799999999999</v>
      </c>
      <c r="H1170" s="1">
        <v>-1.6631630000000001E-6</v>
      </c>
      <c r="I1170">
        <v>365.23430000000002</v>
      </c>
      <c r="J1170">
        <v>-259.2432</v>
      </c>
      <c r="K1170">
        <v>1.110247</v>
      </c>
      <c r="L1170">
        <v>367.76949999999999</v>
      </c>
      <c r="M1170">
        <v>0.9998804</v>
      </c>
      <c r="N1170">
        <v>0</v>
      </c>
      <c r="O1170">
        <v>5.8415400000000001E-3</v>
      </c>
      <c r="P1170">
        <v>0.99558069999999999</v>
      </c>
      <c r="Q1170">
        <v>7.8148949999999995E-2</v>
      </c>
      <c r="R1170">
        <v>-5.2076409999999997E-2</v>
      </c>
      <c r="S1170">
        <v>3.0065919999999999</v>
      </c>
      <c r="T1170">
        <v>-0.15972169999999999</v>
      </c>
      <c r="U1170">
        <v>-0.36456300000000003</v>
      </c>
      <c r="V1170">
        <v>5.7877570000000003E-2</v>
      </c>
      <c r="W1170">
        <v>9.2407110000000001E-2</v>
      </c>
      <c r="X1170">
        <v>0.99403779999999997</v>
      </c>
      <c r="Y1170">
        <v>0.1259873</v>
      </c>
      <c r="Z1170">
        <v>-3.6409659999999998E-3</v>
      </c>
      <c r="AA1170">
        <v>0.99202520000000005</v>
      </c>
      <c r="AB1170">
        <v>31</v>
      </c>
      <c r="AC1170">
        <v>20.745200000000001</v>
      </c>
      <c r="AD1170">
        <v>-1.110248663163</v>
      </c>
      <c r="AE1170">
        <v>-2.5351999999999699</v>
      </c>
      <c r="AF1170">
        <v>2.6488777686242102</v>
      </c>
      <c r="AG1170">
        <v>-1.110248663163</v>
      </c>
      <c r="AH1170">
        <v>20.671698072688599</v>
      </c>
      <c r="AI1170">
        <v>93.049438012000806</v>
      </c>
      <c r="AJ1170">
        <v>82.697894334553496</v>
      </c>
      <c r="AK1170">
        <v>20.870273278890298</v>
      </c>
      <c r="AL1170">
        <v>84.697898516226502</v>
      </c>
      <c r="AM1170">
        <v>86.667731624892895</v>
      </c>
      <c r="AN1170">
        <v>1.00000001745824</v>
      </c>
    </row>
    <row r="1171" spans="1:40" x14ac:dyDescent="0.25">
      <c r="A1171" t="str">
        <f>"20190312164012832"</f>
        <v>20190312164012832</v>
      </c>
      <c r="B1171" t="str">
        <f>"1552380012827527"</f>
        <v>1552380012827527</v>
      </c>
      <c r="C1171" t="s">
        <v>40</v>
      </c>
      <c r="D1171">
        <v>5.2598760000000002</v>
      </c>
      <c r="E1171">
        <v>0.52885470000000001</v>
      </c>
      <c r="F1171" t="s">
        <v>41</v>
      </c>
      <c r="G1171">
        <v>-238.25210000000001</v>
      </c>
      <c r="H1171" s="1">
        <v>-1.7490670000000001E-6</v>
      </c>
      <c r="I1171">
        <v>365.226</v>
      </c>
      <c r="J1171">
        <v>-259.08999999999997</v>
      </c>
      <c r="K1171">
        <v>1.1102510000000001</v>
      </c>
      <c r="L1171">
        <v>367.7704</v>
      </c>
      <c r="M1171">
        <v>0.99988010000000005</v>
      </c>
      <c r="N1171">
        <v>0</v>
      </c>
      <c r="O1171">
        <v>5.8866020000000003E-3</v>
      </c>
      <c r="P1171">
        <v>0.99556770000000006</v>
      </c>
      <c r="Q1171">
        <v>7.8525230000000001E-2</v>
      </c>
      <c r="R1171">
        <v>-5.1755799999999998E-2</v>
      </c>
      <c r="S1171">
        <v>3.0067439999999999</v>
      </c>
      <c r="T1171">
        <v>-0.15903059999999999</v>
      </c>
      <c r="U1171">
        <v>-0.3643188</v>
      </c>
      <c r="V1171">
        <v>5.7601619999999999E-2</v>
      </c>
      <c r="W1171">
        <v>9.2782210000000004E-2</v>
      </c>
      <c r="X1171">
        <v>0.99401890000000004</v>
      </c>
      <c r="Y1171">
        <v>0.12594820000000001</v>
      </c>
      <c r="Z1171">
        <v>-3.6264100000000001E-3</v>
      </c>
      <c r="AA1171">
        <v>0.99203019999999997</v>
      </c>
      <c r="AB1171">
        <v>31</v>
      </c>
      <c r="AC1171">
        <v>20.837899999999902</v>
      </c>
      <c r="AD1171">
        <v>-1.110252749067</v>
      </c>
      <c r="AE1171">
        <v>-2.5443999999999898</v>
      </c>
      <c r="AF1171">
        <v>2.6595937548561901</v>
      </c>
      <c r="AG1171">
        <v>-1.110252749067</v>
      </c>
      <c r="AH1171">
        <v>20.764479085576699</v>
      </c>
      <c r="AI1171">
        <v>93.035870613844807</v>
      </c>
      <c r="AJ1171">
        <v>82.701078752282498</v>
      </c>
      <c r="AK1171">
        <v>20.963532426645799</v>
      </c>
      <c r="AL1171">
        <v>84.676314204072398</v>
      </c>
      <c r="AM1171">
        <v>86.683520826241093</v>
      </c>
      <c r="AN1171">
        <v>1.0000000293381499</v>
      </c>
    </row>
    <row r="1172" spans="1:40" x14ac:dyDescent="0.25">
      <c r="A1172" t="str">
        <f>"20190312164012844"</f>
        <v>20190312164012844</v>
      </c>
      <c r="B1172" t="str">
        <f>"1552380012837285"</f>
        <v>1552380012837285</v>
      </c>
      <c r="C1172" t="s">
        <v>40</v>
      </c>
      <c r="D1172">
        <v>5.0590849999999996</v>
      </c>
      <c r="E1172">
        <v>0.52862569999999998</v>
      </c>
      <c r="F1172" t="s">
        <v>41</v>
      </c>
      <c r="G1172">
        <v>-237.92400000000001</v>
      </c>
      <c r="H1172" s="1">
        <v>-1.8651069999999999E-6</v>
      </c>
      <c r="I1172">
        <v>365.20949999999999</v>
      </c>
      <c r="J1172">
        <v>-258.94130000000001</v>
      </c>
      <c r="K1172">
        <v>1.11025</v>
      </c>
      <c r="L1172">
        <v>367.7713</v>
      </c>
      <c r="M1172">
        <v>0.99987990000000004</v>
      </c>
      <c r="N1172">
        <v>0</v>
      </c>
      <c r="O1172">
        <v>5.9302959999999998E-3</v>
      </c>
      <c r="P1172">
        <v>0.99555000000000005</v>
      </c>
      <c r="Q1172">
        <v>7.8850519999999993E-2</v>
      </c>
      <c r="R1172">
        <v>-5.1605430000000001E-2</v>
      </c>
      <c r="S1172">
        <v>3.0068969999999999</v>
      </c>
      <c r="T1172">
        <v>-0.1577249</v>
      </c>
      <c r="U1172">
        <v>-0.36380000000000001</v>
      </c>
      <c r="V1172">
        <v>5.7494549999999998E-2</v>
      </c>
      <c r="W1172">
        <v>9.3105519999999997E-2</v>
      </c>
      <c r="X1172">
        <v>0.99399479999999996</v>
      </c>
      <c r="Y1172">
        <v>0.12581989999999901</v>
      </c>
      <c r="Z1172">
        <v>-3.5954659999999999E-3</v>
      </c>
      <c r="AA1172">
        <v>0.9920466</v>
      </c>
      <c r="AB1172">
        <v>31</v>
      </c>
      <c r="AC1172">
        <v>21.017299999999999</v>
      </c>
      <c r="AD1172">
        <v>-1.1102518651069999</v>
      </c>
      <c r="AE1172">
        <v>-2.5617999999999999</v>
      </c>
      <c r="AF1172">
        <v>2.6790399936501301</v>
      </c>
      <c r="AG1172">
        <v>-1.1102518651069999</v>
      </c>
      <c r="AH1172">
        <v>20.944146580526201</v>
      </c>
      <c r="AI1172">
        <v>93.009937793762305</v>
      </c>
      <c r="AJ1172">
        <v>82.710677515437197</v>
      </c>
      <c r="AK1172">
        <v>21.143963452440001</v>
      </c>
      <c r="AL1172">
        <v>84.657709010302796</v>
      </c>
      <c r="AM1172">
        <v>86.689591699237297</v>
      </c>
      <c r="AN1172">
        <v>0.99999996178060502</v>
      </c>
    </row>
    <row r="1173" spans="1:40" x14ac:dyDescent="0.25">
      <c r="A1173" t="str">
        <f>"20190312164012854"</f>
        <v>20190312164012854</v>
      </c>
      <c r="B1173" t="str">
        <f>"1552380012847045"</f>
        <v>1552380012847045</v>
      </c>
      <c r="C1173" t="s">
        <v>40</v>
      </c>
      <c r="D1173">
        <v>5.3265229999999999</v>
      </c>
      <c r="E1173">
        <v>0.52874790000000005</v>
      </c>
      <c r="F1173" t="s">
        <v>41</v>
      </c>
      <c r="G1173">
        <v>-237.83179999999999</v>
      </c>
      <c r="H1173" s="1">
        <v>-1.8896869999999999E-6</v>
      </c>
      <c r="I1173">
        <v>365.23500000000001</v>
      </c>
      <c r="J1173">
        <v>-258.78919999999999</v>
      </c>
      <c r="K1173">
        <v>1.1102529999999999</v>
      </c>
      <c r="L1173">
        <v>367.77229999999997</v>
      </c>
      <c r="M1173">
        <v>0.99987959999999998</v>
      </c>
      <c r="N1173">
        <v>0</v>
      </c>
      <c r="O1173">
        <v>5.9750030000000004E-3</v>
      </c>
      <c r="P1173">
        <v>0.99554500000000001</v>
      </c>
      <c r="Q1173">
        <v>7.9124120000000006E-2</v>
      </c>
      <c r="R1173">
        <v>-5.127893E-2</v>
      </c>
      <c r="S1173">
        <v>3.0071720000000002</v>
      </c>
      <c r="T1173">
        <v>-0.15816069999999999</v>
      </c>
      <c r="U1173">
        <v>-0.3612976</v>
      </c>
      <c r="V1173">
        <v>5.721275E-2</v>
      </c>
      <c r="W1173">
        <v>9.3378039999999995E-2</v>
      </c>
      <c r="X1173">
        <v>0.99398549999999997</v>
      </c>
      <c r="Y1173">
        <v>0.12503980000000001</v>
      </c>
      <c r="Z1173">
        <v>-3.587153E-3</v>
      </c>
      <c r="AA1173">
        <v>0.99214519999999995</v>
      </c>
      <c r="AB1173">
        <v>31</v>
      </c>
      <c r="AC1173">
        <v>20.9574</v>
      </c>
      <c r="AD1173">
        <v>-1.1102548896869999</v>
      </c>
      <c r="AE1173">
        <v>-2.5372999999999601</v>
      </c>
      <c r="AF1173">
        <v>2.6551439608652898</v>
      </c>
      <c r="AG1173">
        <v>-1.1102548896869999</v>
      </c>
      <c r="AH1173">
        <v>20.884098635028302</v>
      </c>
      <c r="AI1173">
        <v>93.018878050410805</v>
      </c>
      <c r="AJ1173">
        <v>82.7544519130916</v>
      </c>
      <c r="AK1173">
        <v>21.081461789225699</v>
      </c>
      <c r="AL1173">
        <v>84.642026463509396</v>
      </c>
      <c r="AM1173">
        <v>86.705750541367905</v>
      </c>
      <c r="AN1173">
        <v>0.999999965663526</v>
      </c>
    </row>
    <row r="1174" spans="1:40" x14ac:dyDescent="0.25">
      <c r="A1174" t="str">
        <f>"20190312164012866"</f>
        <v>20190312164012866</v>
      </c>
      <c r="B1174" t="str">
        <f>"1552380012857782"</f>
        <v>1552380012857782</v>
      </c>
      <c r="C1174" t="s">
        <v>40</v>
      </c>
      <c r="D1174">
        <v>5.0894690000000002</v>
      </c>
      <c r="E1174">
        <v>0.52859230000000001</v>
      </c>
      <c r="F1174" t="s">
        <v>41</v>
      </c>
      <c r="G1174">
        <v>-237.6644</v>
      </c>
      <c r="H1174" s="1">
        <v>-1.9470090000000002E-6</v>
      </c>
      <c r="I1174">
        <v>365.2337</v>
      </c>
      <c r="J1174">
        <v>-258.63209999999998</v>
      </c>
      <c r="K1174">
        <v>1.110257</v>
      </c>
      <c r="L1174">
        <v>367.77330000000001</v>
      </c>
      <c r="M1174">
        <v>0.99987950000000003</v>
      </c>
      <c r="N1174">
        <v>0</v>
      </c>
      <c r="O1174">
        <v>6.0207269999999896E-3</v>
      </c>
      <c r="P1174">
        <v>0.99553599999999998</v>
      </c>
      <c r="Q1174">
        <v>7.93267E-2</v>
      </c>
      <c r="R1174">
        <v>-5.1142409999999999E-2</v>
      </c>
      <c r="S1174">
        <v>3.0073699999999999</v>
      </c>
      <c r="T1174">
        <v>-0.1580578</v>
      </c>
      <c r="U1174">
        <v>-0.36138920000000002</v>
      </c>
      <c r="V1174">
        <v>5.7121619999999998E-2</v>
      </c>
      <c r="W1174">
        <v>9.3578839999999996E-2</v>
      </c>
      <c r="X1174">
        <v>0.99397190000000002</v>
      </c>
      <c r="Y1174">
        <v>0.1251072</v>
      </c>
      <c r="Z1174">
        <v>-3.5887409999999999E-3</v>
      </c>
      <c r="AA1174">
        <v>0.99213669999999998</v>
      </c>
      <c r="AB1174">
        <v>31</v>
      </c>
      <c r="AC1174">
        <v>20.967699999999901</v>
      </c>
      <c r="AD1174">
        <v>-1.1102589470090001</v>
      </c>
      <c r="AE1174">
        <v>-2.5396000000000001</v>
      </c>
      <c r="AF1174">
        <v>2.6584616556685101</v>
      </c>
      <c r="AG1174">
        <v>-1.1102589470090001</v>
      </c>
      <c r="AH1174">
        <v>20.894291668085401</v>
      </c>
      <c r="AI1174">
        <v>93.017382579290597</v>
      </c>
      <c r="AJ1174">
        <v>82.748996089566006</v>
      </c>
      <c r="AK1174">
        <v>21.091977565299501</v>
      </c>
      <c r="AL1174">
        <v>84.630471102177097</v>
      </c>
      <c r="AM1174">
        <v>86.710941278381398</v>
      </c>
      <c r="AN1174">
        <v>1.00000000837839</v>
      </c>
    </row>
    <row r="1175" spans="1:40" x14ac:dyDescent="0.25">
      <c r="A1175" t="str">
        <f>"20190312164012886"</f>
        <v>20190312164012886</v>
      </c>
      <c r="B1175" t="str">
        <f>"1552380012877305"</f>
        <v>1552380012877305</v>
      </c>
      <c r="C1175" t="s">
        <v>40</v>
      </c>
      <c r="D1175">
        <v>5.2356129999999999</v>
      </c>
      <c r="E1175">
        <v>0.51416170000000005</v>
      </c>
      <c r="F1175" t="s">
        <v>41</v>
      </c>
      <c r="G1175">
        <v>-237.48910000000001</v>
      </c>
      <c r="H1175" s="1">
        <v>-2.003164E-6</v>
      </c>
      <c r="I1175">
        <v>365.24689999999998</v>
      </c>
      <c r="J1175">
        <v>-258.3639</v>
      </c>
      <c r="K1175">
        <v>1.11026</v>
      </c>
      <c r="L1175">
        <v>367.77499999999998</v>
      </c>
      <c r="M1175">
        <v>0.99987890000000001</v>
      </c>
      <c r="N1175">
        <v>0</v>
      </c>
      <c r="O1175">
        <v>6.0992360000000001E-3</v>
      </c>
      <c r="P1175">
        <v>0.99560309999999996</v>
      </c>
      <c r="Q1175">
        <v>7.8863619999999995E-2</v>
      </c>
      <c r="R1175">
        <v>-5.0548950000000002E-2</v>
      </c>
      <c r="S1175">
        <v>3.0075989999999999</v>
      </c>
      <c r="T1175">
        <v>-0.15793409999999999</v>
      </c>
      <c r="U1175">
        <v>-0.359375</v>
      </c>
      <c r="V1175">
        <v>5.6606650000000001E-2</v>
      </c>
      <c r="W1175">
        <v>9.3114539999999996E-2</v>
      </c>
      <c r="X1175">
        <v>0.99404499999999996</v>
      </c>
      <c r="Y1175">
        <v>0.1245221</v>
      </c>
      <c r="Z1175">
        <v>-3.5746150000000002E-3</v>
      </c>
      <c r="AA1175">
        <v>0.99221040000000005</v>
      </c>
      <c r="AB1175">
        <v>31</v>
      </c>
      <c r="AC1175">
        <v>20.8748</v>
      </c>
      <c r="AD1175">
        <v>-1.110262003164</v>
      </c>
      <c r="AE1175">
        <v>-2.52809999999999</v>
      </c>
      <c r="AF1175">
        <v>2.6480038851673302</v>
      </c>
      <c r="AG1175">
        <v>-1.110262003164</v>
      </c>
      <c r="AH1175">
        <v>20.8009987347498</v>
      </c>
      <c r="AI1175">
        <v>93.030873034025902</v>
      </c>
      <c r="AJ1175">
        <v>82.7451680862373</v>
      </c>
      <c r="AK1175">
        <v>20.998241703880701</v>
      </c>
      <c r="AL1175">
        <v>84.657190399823705</v>
      </c>
      <c r="AM1175">
        <v>86.740768167976</v>
      </c>
      <c r="AN1175">
        <v>1.0000000462043099</v>
      </c>
    </row>
    <row r="1176" spans="1:40" x14ac:dyDescent="0.25">
      <c r="A1176" t="str">
        <f>"20190312164012899"</f>
        <v>20190312164012899</v>
      </c>
      <c r="B1176" t="str">
        <f>"1552380012887065"</f>
        <v>1552380012887065</v>
      </c>
      <c r="C1176" t="s">
        <v>40</v>
      </c>
      <c r="D1176">
        <v>5.2429600000000001</v>
      </c>
      <c r="E1176">
        <v>0.51366080000000003</v>
      </c>
      <c r="F1176" t="s">
        <v>41</v>
      </c>
      <c r="G1176">
        <v>-234.47239999999999</v>
      </c>
      <c r="H1176" s="1">
        <v>-3.0229400000000001E-6</v>
      </c>
      <c r="I1176">
        <v>365.84320000000002</v>
      </c>
      <c r="J1176">
        <v>-258.17020000000002</v>
      </c>
      <c r="K1176">
        <v>1.1102590000000001</v>
      </c>
      <c r="L1176">
        <v>367.77620000000002</v>
      </c>
      <c r="M1176">
        <v>0.99987859999999995</v>
      </c>
      <c r="N1176">
        <v>0</v>
      </c>
      <c r="O1176">
        <v>6.1562219999999898E-3</v>
      </c>
      <c r="P1176">
        <v>0.99564109999999995</v>
      </c>
      <c r="Q1176">
        <v>7.8677330000000004E-2</v>
      </c>
      <c r="R1176">
        <v>-5.0089639999999998E-2</v>
      </c>
      <c r="S1176">
        <v>3.011978</v>
      </c>
      <c r="T1176">
        <v>-0.13996910000000001</v>
      </c>
      <c r="U1176">
        <v>-0.24353030000000001</v>
      </c>
      <c r="V1176">
        <v>5.6204520000000001E-2</v>
      </c>
      <c r="W1176">
        <v>9.2927490000000001E-2</v>
      </c>
      <c r="X1176">
        <v>0.99408529999999995</v>
      </c>
      <c r="Y1176">
        <v>8.6626750000000002E-2</v>
      </c>
      <c r="Z1176">
        <v>-2.2939620000000001E-3</v>
      </c>
      <c r="AA1176">
        <v>0.99623819999999996</v>
      </c>
      <c r="AB1176">
        <v>31</v>
      </c>
      <c r="AC1176">
        <v>23.697800000000001</v>
      </c>
      <c r="AD1176">
        <v>-1.11026202294</v>
      </c>
      <c r="AE1176">
        <v>-1.9329999999999901</v>
      </c>
      <c r="AF1176">
        <v>2.0743441328455798</v>
      </c>
      <c r="AG1176">
        <v>-1.11026202294</v>
      </c>
      <c r="AH1176">
        <v>23.633916030265599</v>
      </c>
      <c r="AI1176">
        <v>92.679349088317196</v>
      </c>
      <c r="AJ1176">
        <v>84.984014695571403</v>
      </c>
      <c r="AK1176">
        <v>23.7507383520323</v>
      </c>
      <c r="AL1176">
        <v>84.667954132356101</v>
      </c>
      <c r="AM1176">
        <v>86.764003069050702</v>
      </c>
      <c r="AN1176">
        <v>1.0000000250711001</v>
      </c>
    </row>
    <row r="1177" spans="1:40" x14ac:dyDescent="0.25">
      <c r="A1177" t="str">
        <f>"20190312164012912"</f>
        <v>20190312164012912</v>
      </c>
      <c r="B1177" t="str">
        <f>"1552380012907561"</f>
        <v>1552380012907561</v>
      </c>
      <c r="C1177" t="s">
        <v>40</v>
      </c>
      <c r="D1177">
        <v>5.2318540000000002</v>
      </c>
      <c r="E1177">
        <v>0.51332079999999902</v>
      </c>
      <c r="F1177" t="s">
        <v>41</v>
      </c>
      <c r="G1177">
        <v>-235.31950000000001</v>
      </c>
      <c r="H1177" s="1">
        <v>-2.6376099999999998E-6</v>
      </c>
      <c r="I1177">
        <v>365.9667</v>
      </c>
      <c r="J1177">
        <v>-257.99619999999999</v>
      </c>
      <c r="K1177">
        <v>1.110263</v>
      </c>
      <c r="L1177">
        <v>367.7774</v>
      </c>
      <c r="M1177">
        <v>0.9998783</v>
      </c>
      <c r="N1177">
        <v>0</v>
      </c>
      <c r="O1177">
        <v>6.2073099999999997E-3</v>
      </c>
      <c r="P1177">
        <v>0.99567229999999995</v>
      </c>
      <c r="Q1177">
        <v>7.8422729999999996E-2</v>
      </c>
      <c r="R1177">
        <v>-4.9868320000000001E-2</v>
      </c>
      <c r="S1177">
        <v>3.0126650000000001</v>
      </c>
      <c r="T1177">
        <v>-0.146377799999999</v>
      </c>
      <c r="U1177">
        <v>-0.23855589999999999</v>
      </c>
      <c r="V1177">
        <v>5.6034199999999999E-2</v>
      </c>
      <c r="W1177">
        <v>9.2671110000000001E-2</v>
      </c>
      <c r="X1177">
        <v>0.99411879999999997</v>
      </c>
      <c r="Y1177">
        <v>8.5017380000000004E-2</v>
      </c>
      <c r="Z1177">
        <v>-2.3619499999999998E-3</v>
      </c>
      <c r="AA1177">
        <v>0.9963767</v>
      </c>
      <c r="AB1177">
        <v>31</v>
      </c>
      <c r="AC1177">
        <v>22.676699999999901</v>
      </c>
      <c r="AD1177">
        <v>-1.11026563761</v>
      </c>
      <c r="AE1177">
        <v>-1.81069999999999</v>
      </c>
      <c r="AF1177">
        <v>1.94680363294726</v>
      </c>
      <c r="AG1177">
        <v>-1.11026563761</v>
      </c>
      <c r="AH1177">
        <v>22.611163485589</v>
      </c>
      <c r="AI1177">
        <v>92.800765316801105</v>
      </c>
      <c r="AJ1177">
        <v>85.079013774860201</v>
      </c>
      <c r="AK1177">
        <v>22.721959606146399</v>
      </c>
      <c r="AL1177">
        <v>84.682707031829807</v>
      </c>
      <c r="AM1177">
        <v>86.773897050655506</v>
      </c>
      <c r="AN1177">
        <v>0.999999977355855</v>
      </c>
    </row>
    <row r="1178" spans="1:40" x14ac:dyDescent="0.25">
      <c r="A1178" t="str">
        <f>"20190312164012933"</f>
        <v>20190312164012933</v>
      </c>
      <c r="B1178" t="str">
        <f>"1552380012927082"</f>
        <v>1552380012927082</v>
      </c>
      <c r="C1178" t="s">
        <v>40</v>
      </c>
      <c r="D1178">
        <v>5.2642949999999997</v>
      </c>
      <c r="E1178">
        <v>0.51363559999999997</v>
      </c>
      <c r="F1178" t="s">
        <v>41</v>
      </c>
      <c r="G1178">
        <v>-235.65690000000001</v>
      </c>
      <c r="H1178" s="1">
        <v>-2.4805499999999999E-6</v>
      </c>
      <c r="I1178">
        <v>366.03629999999998</v>
      </c>
      <c r="J1178">
        <v>-257.72629999999998</v>
      </c>
      <c r="K1178">
        <v>1.110263</v>
      </c>
      <c r="L1178">
        <v>367.77910000000003</v>
      </c>
      <c r="M1178">
        <v>0.99987800000000004</v>
      </c>
      <c r="N1178">
        <v>0</v>
      </c>
      <c r="O1178">
        <v>6.2861799999999997E-3</v>
      </c>
      <c r="P1178">
        <v>0.99567539999999999</v>
      </c>
      <c r="Q1178">
        <v>7.8652479999999997E-2</v>
      </c>
      <c r="R1178">
        <v>-4.9446940000000002E-2</v>
      </c>
      <c r="S1178">
        <v>3.013077</v>
      </c>
      <c r="T1178">
        <v>-0.14974960000000001</v>
      </c>
      <c r="U1178">
        <v>-0.23483280000000001</v>
      </c>
      <c r="V1178">
        <v>5.5691379999999999E-2</v>
      </c>
      <c r="W1178">
        <v>9.2898530000000007E-2</v>
      </c>
      <c r="X1178">
        <v>0.99411680000000002</v>
      </c>
      <c r="Y1178">
        <v>8.3857899999999999E-2</v>
      </c>
      <c r="Z1178">
        <v>-2.3912400000000002E-3</v>
      </c>
      <c r="AA1178">
        <v>0.99647490000000005</v>
      </c>
      <c r="AB1178">
        <v>31</v>
      </c>
      <c r="AC1178">
        <v>22.069399999999899</v>
      </c>
      <c r="AD1178">
        <v>-1.1102654805500001</v>
      </c>
      <c r="AE1178">
        <v>-1.7428000000000401</v>
      </c>
      <c r="AF1178">
        <v>1.8767914565938899</v>
      </c>
      <c r="AG1178">
        <v>-1.1102654805500001</v>
      </c>
      <c r="AH1178">
        <v>22.002666053097698</v>
      </c>
      <c r="AI1178">
        <v>92.8782891039981</v>
      </c>
      <c r="AJ1178">
        <v>85.124565036374307</v>
      </c>
      <c r="AK1178">
        <v>22.110457911427002</v>
      </c>
      <c r="AL1178">
        <v>84.669620168778195</v>
      </c>
      <c r="AM1178">
        <v>86.793586760840498</v>
      </c>
      <c r="AN1178">
        <v>0.99999993936234999</v>
      </c>
    </row>
    <row r="1179" spans="1:40" x14ac:dyDescent="0.25">
      <c r="A1179" t="str">
        <f>"20190312164012948"</f>
        <v>20190312164012948</v>
      </c>
      <c r="B1179" t="str">
        <f>"1552380012936843"</f>
        <v>1552380012936843</v>
      </c>
      <c r="C1179" t="s">
        <v>40</v>
      </c>
      <c r="D1179">
        <v>5.1992419999999999</v>
      </c>
      <c r="E1179">
        <v>0.5133839</v>
      </c>
      <c r="F1179" t="s">
        <v>41</v>
      </c>
      <c r="G1179">
        <v>-235.7159</v>
      </c>
      <c r="H1179" s="1">
        <v>-2.4520820000000001E-6</v>
      </c>
      <c r="I1179">
        <v>366.05399999999997</v>
      </c>
      <c r="J1179">
        <v>-257.50409999999999</v>
      </c>
      <c r="K1179">
        <v>1.1102639999999999</v>
      </c>
      <c r="L1179">
        <v>367.78059999999999</v>
      </c>
      <c r="M1179">
        <v>0.99987749999999997</v>
      </c>
      <c r="N1179">
        <v>0</v>
      </c>
      <c r="O1179">
        <v>6.3516939999999997E-3</v>
      </c>
      <c r="P1179">
        <v>0.99566969999999999</v>
      </c>
      <c r="Q1179">
        <v>7.8721330000000006E-2</v>
      </c>
      <c r="R1179">
        <v>-4.9450189999999998E-2</v>
      </c>
      <c r="S1179">
        <v>3.013306</v>
      </c>
      <c r="T1179">
        <v>-0.151999</v>
      </c>
      <c r="U1179">
        <v>-0.23617550000000001</v>
      </c>
      <c r="V1179">
        <v>5.575977E-2</v>
      </c>
      <c r="W1179">
        <v>9.2964980000000003E-2</v>
      </c>
      <c r="X1179">
        <v>0.99410679999999996</v>
      </c>
      <c r="Y1179">
        <v>8.435463E-2</v>
      </c>
      <c r="Z1179">
        <v>-2.4426869999999998E-3</v>
      </c>
      <c r="AA1179">
        <v>0.99643280000000001</v>
      </c>
      <c r="AB1179">
        <v>31</v>
      </c>
      <c r="AC1179">
        <v>21.7881999999999</v>
      </c>
      <c r="AD1179">
        <v>-1.11026645208199</v>
      </c>
      <c r="AE1179">
        <v>-1.7265999999999599</v>
      </c>
      <c r="AF1179">
        <v>1.8601712533433401</v>
      </c>
      <c r="AG1179">
        <v>-1.11026645208199</v>
      </c>
      <c r="AH1179">
        <v>21.720743459553301</v>
      </c>
      <c r="AI1179">
        <v>92.9155016741217</v>
      </c>
      <c r="AJ1179">
        <v>85.105115025019501</v>
      </c>
      <c r="AK1179">
        <v>21.828504876012701</v>
      </c>
      <c r="AL1179">
        <v>84.665796558375504</v>
      </c>
      <c r="AM1179">
        <v>86.789625233452</v>
      </c>
      <c r="AN1179">
        <v>0.99999998463154605</v>
      </c>
    </row>
    <row r="1180" spans="1:40" x14ac:dyDescent="0.25">
      <c r="A1180" t="str">
        <f>"20190312164012963"</f>
        <v>20190312164012963</v>
      </c>
      <c r="B1180" t="str">
        <f>"1552380012957336"</f>
        <v>1552380012957336</v>
      </c>
      <c r="C1180" t="s">
        <v>40</v>
      </c>
      <c r="D1180">
        <v>5.2639389999999997</v>
      </c>
      <c r="E1180">
        <v>0.51261559999999995</v>
      </c>
      <c r="F1180" t="s">
        <v>41</v>
      </c>
      <c r="G1180">
        <v>-235.9049</v>
      </c>
      <c r="H1180" s="1">
        <v>-2.3620110000000001E-6</v>
      </c>
      <c r="I1180">
        <v>366.10469999999998</v>
      </c>
      <c r="J1180">
        <v>-257.31079999999997</v>
      </c>
      <c r="K1180">
        <v>1.1102650000000001</v>
      </c>
      <c r="L1180">
        <v>367.78190000000001</v>
      </c>
      <c r="M1180">
        <v>0.99987720000000002</v>
      </c>
      <c r="N1180">
        <v>0</v>
      </c>
      <c r="O1180">
        <v>6.4085019999999999E-3</v>
      </c>
      <c r="P1180">
        <v>0.995645</v>
      </c>
      <c r="Q1180">
        <v>7.9078969999999998E-2</v>
      </c>
      <c r="R1180">
        <v>-4.9372890000000003E-2</v>
      </c>
      <c r="S1180">
        <v>3.0137179999999999</v>
      </c>
      <c r="T1180">
        <v>-0.154914</v>
      </c>
      <c r="U1180">
        <v>-0.2338257</v>
      </c>
      <c r="V1180">
        <v>5.573898E-2</v>
      </c>
      <c r="W1180">
        <v>9.3320120000000006E-2</v>
      </c>
      <c r="X1180">
        <v>0.99407469999999998</v>
      </c>
      <c r="Y1180">
        <v>8.3624859999999995E-2</v>
      </c>
      <c r="Z1180">
        <v>-2.4734069999999999E-3</v>
      </c>
      <c r="AA1180">
        <v>0.9964942</v>
      </c>
      <c r="AB1180">
        <v>31</v>
      </c>
      <c r="AC1180">
        <v>21.4058999999999</v>
      </c>
      <c r="AD1180">
        <v>-1.110267362011</v>
      </c>
      <c r="AE1180">
        <v>-1.67720000000002</v>
      </c>
      <c r="AF1180">
        <v>1.80952102406492</v>
      </c>
      <c r="AG1180">
        <v>-1.110267362011</v>
      </c>
      <c r="AH1180">
        <v>21.3376581167153</v>
      </c>
      <c r="AI1180">
        <v>92.967964369608694</v>
      </c>
      <c r="AJ1180">
        <v>85.152680644582901</v>
      </c>
      <c r="AK1180">
        <v>21.443010839373901</v>
      </c>
      <c r="AL1180">
        <v>84.6453597412861</v>
      </c>
      <c r="AM1180">
        <v>86.790716305478497</v>
      </c>
      <c r="AN1180">
        <v>0.99999999393417205</v>
      </c>
    </row>
    <row r="1181" spans="1:40" x14ac:dyDescent="0.25">
      <c r="A1181" t="str">
        <f>"20190312164012975"</f>
        <v>20190312164012975</v>
      </c>
      <c r="B1181" t="str">
        <f>"1552380012967096"</f>
        <v>1552380012967096</v>
      </c>
      <c r="C1181" t="s">
        <v>40</v>
      </c>
      <c r="D1181">
        <v>5.2570800000000002</v>
      </c>
      <c r="E1181">
        <v>0.51217959999999996</v>
      </c>
      <c r="F1181" t="s">
        <v>41</v>
      </c>
      <c r="G1181">
        <v>-235.09119999999999</v>
      </c>
      <c r="H1181" s="1">
        <v>-2.711655E-6</v>
      </c>
      <c r="I1181">
        <v>366.10160000000002</v>
      </c>
      <c r="J1181">
        <v>-257.12110000000001</v>
      </c>
      <c r="K1181">
        <v>1.110266</v>
      </c>
      <c r="L1181">
        <v>367.78320000000002</v>
      </c>
      <c r="M1181">
        <v>0.99987689999999996</v>
      </c>
      <c r="N1181">
        <v>0</v>
      </c>
      <c r="O1181">
        <v>6.4643000000000001E-3</v>
      </c>
      <c r="P1181">
        <v>0.99564140000000001</v>
      </c>
      <c r="Q1181">
        <v>7.9149079999999997E-2</v>
      </c>
      <c r="R1181">
        <v>-4.9337569999999997E-2</v>
      </c>
      <c r="S1181">
        <v>3.0138090000000002</v>
      </c>
      <c r="T1181">
        <v>-0.150593</v>
      </c>
      <c r="U1181">
        <v>-0.22790530000000001</v>
      </c>
      <c r="V1181">
        <v>5.5759009999999998E-2</v>
      </c>
      <c r="W1181">
        <v>9.3388479999999996E-2</v>
      </c>
      <c r="X1181">
        <v>0.99406719999999904</v>
      </c>
      <c r="Y1181">
        <v>8.1740610000000005E-2</v>
      </c>
      <c r="Z1181">
        <v>-2.3604139999999999E-3</v>
      </c>
      <c r="AA1181">
        <v>0.99665079999999995</v>
      </c>
      <c r="AB1181">
        <v>31</v>
      </c>
      <c r="AC1181">
        <v>22.029900000000001</v>
      </c>
      <c r="AD1181">
        <v>-1.1102687116550001</v>
      </c>
      <c r="AE1181">
        <v>-1.6816</v>
      </c>
      <c r="AF1181">
        <v>1.8193928364105301</v>
      </c>
      <c r="AG1181">
        <v>-1.1102687116550001</v>
      </c>
      <c r="AH1181">
        <v>21.963105344812099</v>
      </c>
      <c r="AI1181">
        <v>92.884064360381501</v>
      </c>
      <c r="AJ1181">
        <v>85.264510261713795</v>
      </c>
      <c r="AK1181">
        <v>22.0662838577903</v>
      </c>
      <c r="AL1181">
        <v>84.641426052285794</v>
      </c>
      <c r="AM1181">
        <v>86.789541278677305</v>
      </c>
      <c r="AN1181">
        <v>1.00000003675436</v>
      </c>
    </row>
    <row r="1182" spans="1:40" x14ac:dyDescent="0.25">
      <c r="A1182" t="str">
        <f>"20190312164012997"</f>
        <v>20190312164012997</v>
      </c>
      <c r="B1182" t="str">
        <f>"1552380012987592"</f>
        <v>1552380012987592</v>
      </c>
      <c r="C1182" t="s">
        <v>40</v>
      </c>
      <c r="D1182">
        <v>5.1213069999999998</v>
      </c>
      <c r="E1182">
        <v>0.51170909999999903</v>
      </c>
      <c r="F1182" t="s">
        <v>41</v>
      </c>
      <c r="G1182">
        <v>-234.5823</v>
      </c>
      <c r="H1182" s="1">
        <v>-2.9293820000000002E-6</v>
      </c>
      <c r="I1182">
        <v>366.10500000000002</v>
      </c>
      <c r="J1182">
        <v>-256.83800000000002</v>
      </c>
      <c r="K1182">
        <v>1.110274</v>
      </c>
      <c r="L1182">
        <v>367.7851</v>
      </c>
      <c r="M1182">
        <v>0.99987630000000005</v>
      </c>
      <c r="N1182">
        <v>0</v>
      </c>
      <c r="O1182">
        <v>6.5471679999999999E-3</v>
      </c>
      <c r="P1182">
        <v>0.99559350000000002</v>
      </c>
      <c r="Q1182">
        <v>7.9756250000000001E-2</v>
      </c>
      <c r="R1182">
        <v>-4.9321419999999998E-2</v>
      </c>
      <c r="S1182">
        <v>3.0138240000000001</v>
      </c>
      <c r="T1182">
        <v>-0.14846099999999901</v>
      </c>
      <c r="U1182">
        <v>-0.22439580000000001</v>
      </c>
      <c r="V1182">
        <v>5.5825079999999999E-2</v>
      </c>
      <c r="W1182">
        <v>9.3992839999999994E-2</v>
      </c>
      <c r="X1182">
        <v>0.99400650000000002</v>
      </c>
      <c r="Y1182">
        <v>8.0672939999999999E-2</v>
      </c>
      <c r="Z1182">
        <v>-2.304955E-3</v>
      </c>
      <c r="AA1182">
        <v>0.99673800000000001</v>
      </c>
      <c r="AB1182">
        <v>31</v>
      </c>
      <c r="AC1182">
        <v>22.255699999999901</v>
      </c>
      <c r="AD1182">
        <v>-1.1102769293820001</v>
      </c>
      <c r="AE1182">
        <v>-1.6800999999999799</v>
      </c>
      <c r="AF1182">
        <v>1.82128366998076</v>
      </c>
      <c r="AG1182">
        <v>-1.1102769293820001</v>
      </c>
      <c r="AH1182">
        <v>22.1893113018441</v>
      </c>
      <c r="AI1182">
        <v>92.854910367484507</v>
      </c>
      <c r="AJ1182">
        <v>85.307719611495102</v>
      </c>
      <c r="AK1182">
        <v>22.291597634907301</v>
      </c>
      <c r="AL1182">
        <v>84.606645633023305</v>
      </c>
      <c r="AM1182">
        <v>86.785549241586693</v>
      </c>
      <c r="AN1182">
        <v>1.00000000778526</v>
      </c>
    </row>
    <row r="1183" spans="1:40" x14ac:dyDescent="0.25">
      <c r="A1183" t="str">
        <f>"20190312164013010"</f>
        <v>20190312164013010</v>
      </c>
      <c r="B1183" t="str">
        <f>"1552380012997352"</f>
        <v>1552380012997352</v>
      </c>
      <c r="C1183" t="s">
        <v>40</v>
      </c>
      <c r="D1183">
        <v>5.2322369999999996</v>
      </c>
      <c r="E1183">
        <v>0.51157870000000005</v>
      </c>
      <c r="F1183" t="s">
        <v>41</v>
      </c>
      <c r="G1183">
        <v>-233.5095</v>
      </c>
      <c r="H1183" s="1">
        <v>-3.395081E-6</v>
      </c>
      <c r="I1183">
        <v>366.07409999999999</v>
      </c>
      <c r="J1183">
        <v>-256.66669999999999</v>
      </c>
      <c r="K1183">
        <v>1.110279</v>
      </c>
      <c r="L1183">
        <v>367.78629999999998</v>
      </c>
      <c r="M1183">
        <v>0.99987610000000005</v>
      </c>
      <c r="N1183">
        <v>0</v>
      </c>
      <c r="O1183">
        <v>6.597599E-3</v>
      </c>
      <c r="P1183">
        <v>0.9955851</v>
      </c>
      <c r="Q1183">
        <v>7.9829830000000004E-2</v>
      </c>
      <c r="R1183">
        <v>-4.9375469999999998E-2</v>
      </c>
      <c r="S1183">
        <v>3.0138240000000001</v>
      </c>
      <c r="T1183">
        <v>-0.1434367</v>
      </c>
      <c r="U1183">
        <v>-0.22103880000000001</v>
      </c>
      <c r="V1183">
        <v>5.5929279999999998E-2</v>
      </c>
      <c r="W1183">
        <v>9.4064030000000007E-2</v>
      </c>
      <c r="X1183">
        <v>0.99399389999999999</v>
      </c>
      <c r="Y1183">
        <v>7.9627110000000001E-2</v>
      </c>
      <c r="Z1183">
        <v>-2.204686E-3</v>
      </c>
      <c r="AA1183">
        <v>0.99682230000000005</v>
      </c>
      <c r="AB1183">
        <v>31</v>
      </c>
      <c r="AC1183">
        <v>23.1571999999999</v>
      </c>
      <c r="AD1183">
        <v>-1.1102823950809999</v>
      </c>
      <c r="AE1183">
        <v>-1.71219999999999</v>
      </c>
      <c r="AF1183">
        <v>1.8607061804571701</v>
      </c>
      <c r="AG1183">
        <v>-1.1102823950809999</v>
      </c>
      <c r="AH1183">
        <v>23.092602463282098</v>
      </c>
      <c r="AI1183">
        <v>92.743757888494599</v>
      </c>
      <c r="AJ1183">
        <v>85.3932960200991</v>
      </c>
      <c r="AK1183">
        <v>23.1940346428559</v>
      </c>
      <c r="AL1183">
        <v>84.602548550695701</v>
      </c>
      <c r="AM1183">
        <v>86.779521206330998</v>
      </c>
      <c r="AN1183">
        <v>0.99999999966918396</v>
      </c>
    </row>
    <row r="1184" spans="1:40" x14ac:dyDescent="0.25">
      <c r="A1184" t="str">
        <f>"20190312164013021"</f>
        <v>20190312164013021</v>
      </c>
      <c r="B1184" t="str">
        <f>"1552380013016873"</f>
        <v>1552380013016873</v>
      </c>
      <c r="C1184" t="s">
        <v>40</v>
      </c>
      <c r="D1184">
        <v>5.3051380000000004</v>
      </c>
      <c r="E1184">
        <v>0.5112852</v>
      </c>
      <c r="F1184" t="s">
        <v>41</v>
      </c>
      <c r="G1184">
        <v>-233.16380000000001</v>
      </c>
      <c r="H1184" s="1">
        <v>-3.5445320000000002E-6</v>
      </c>
      <c r="I1184">
        <v>366.0675</v>
      </c>
      <c r="J1184">
        <v>-256.50130000000001</v>
      </c>
      <c r="K1184">
        <v>1.1102829999999999</v>
      </c>
      <c r="L1184">
        <v>367.78739999999999</v>
      </c>
      <c r="M1184">
        <v>0.99987570000000003</v>
      </c>
      <c r="N1184">
        <v>0</v>
      </c>
      <c r="O1184">
        <v>6.6464799999999997E-3</v>
      </c>
      <c r="P1184">
        <v>0.99555119999999997</v>
      </c>
      <c r="Q1184">
        <v>8.0129119999999998E-2</v>
      </c>
      <c r="R1184">
        <v>-4.9570790000000003E-2</v>
      </c>
      <c r="S1184">
        <v>3.0137939999999999</v>
      </c>
      <c r="T1184">
        <v>-0.1423721</v>
      </c>
      <c r="U1184">
        <v>-0.22039790000000001</v>
      </c>
      <c r="V1184">
        <v>5.6173069999999999E-2</v>
      </c>
      <c r="W1184">
        <v>9.4361189999999998E-2</v>
      </c>
      <c r="X1184">
        <v>0.99395199999999995</v>
      </c>
      <c r="Y1184">
        <v>7.9467289999999996E-2</v>
      </c>
      <c r="Z1184">
        <v>-2.1869179999999999E-3</v>
      </c>
      <c r="AA1184">
        <v>0.99683509999999997</v>
      </c>
      <c r="AB1184">
        <v>31</v>
      </c>
      <c r="AC1184">
        <v>23.337499999999999</v>
      </c>
      <c r="AD1184">
        <v>-1.11028654453199</v>
      </c>
      <c r="AE1184">
        <v>-1.71989999999999</v>
      </c>
      <c r="AF1184">
        <v>1.8707786367129</v>
      </c>
      <c r="AG1184">
        <v>-1.11028654453199</v>
      </c>
      <c r="AH1184">
        <v>23.273160024454899</v>
      </c>
      <c r="AI1184">
        <v>92.722555415664104</v>
      </c>
      <c r="AJ1184">
        <v>85.404244794192095</v>
      </c>
      <c r="AK1184">
        <v>23.374612861872901</v>
      </c>
      <c r="AL1184">
        <v>84.585446541579898</v>
      </c>
      <c r="AM1184">
        <v>86.765377150090799</v>
      </c>
      <c r="AN1184">
        <v>1.00000001313772</v>
      </c>
    </row>
    <row r="1185" spans="1:40" x14ac:dyDescent="0.25">
      <c r="A1185" t="str">
        <f>"20190312164013033"</f>
        <v>20190312164013033</v>
      </c>
      <c r="B1185" t="str">
        <f>"1552380013027609"</f>
        <v>1552380013027609</v>
      </c>
      <c r="C1185" t="s">
        <v>40</v>
      </c>
      <c r="D1185">
        <v>5.3740220000000001</v>
      </c>
      <c r="E1185">
        <v>0.51118809999999903</v>
      </c>
      <c r="F1185" t="s">
        <v>41</v>
      </c>
      <c r="G1185">
        <v>-232.4366</v>
      </c>
      <c r="H1185" s="1">
        <v>-3.8612169999999901E-6</v>
      </c>
      <c r="I1185">
        <v>366.04109999999997</v>
      </c>
      <c r="J1185">
        <v>-256.34190000000001</v>
      </c>
      <c r="K1185">
        <v>1.110285</v>
      </c>
      <c r="L1185">
        <v>367.7885</v>
      </c>
      <c r="M1185">
        <v>0.99987530000000002</v>
      </c>
      <c r="N1185">
        <v>0</v>
      </c>
      <c r="O1185">
        <v>6.6933369999999997E-3</v>
      </c>
      <c r="P1185">
        <v>0.99551679999999998</v>
      </c>
      <c r="Q1185">
        <v>8.0518720000000002E-2</v>
      </c>
      <c r="R1185">
        <v>-4.9632500000000003E-2</v>
      </c>
      <c r="S1185">
        <v>3.0137019999999999</v>
      </c>
      <c r="T1185">
        <v>-0.13904430000000001</v>
      </c>
      <c r="U1185">
        <v>-0.21868899999999999</v>
      </c>
      <c r="V1185">
        <v>5.6281119999999997E-2</v>
      </c>
      <c r="W1185">
        <v>9.4749029999999998E-2</v>
      </c>
      <c r="X1185">
        <v>0.99390900000000004</v>
      </c>
      <c r="Y1185">
        <v>7.8958799999999996E-2</v>
      </c>
      <c r="Z1185">
        <v>-2.1264140000000001E-3</v>
      </c>
      <c r="AA1185">
        <v>0.99687559999999997</v>
      </c>
      <c r="AB1185">
        <v>31</v>
      </c>
      <c r="AC1185">
        <v>23.9053</v>
      </c>
      <c r="AD1185">
        <v>-1.1102888612170001</v>
      </c>
      <c r="AE1185">
        <v>-1.74740000000002</v>
      </c>
      <c r="AF1185">
        <v>1.9032995357867499</v>
      </c>
      <c r="AG1185">
        <v>-1.1102888612170001</v>
      </c>
      <c r="AH1185">
        <v>23.841909647902501</v>
      </c>
      <c r="AI1185">
        <v>92.657825480332306</v>
      </c>
      <c r="AJ1185">
        <v>85.435757477959896</v>
      </c>
      <c r="AK1185">
        <v>23.943515743036102</v>
      </c>
      <c r="AL1185">
        <v>84.563124984318904</v>
      </c>
      <c r="AM1185">
        <v>86.759028628429903</v>
      </c>
      <c r="AN1185">
        <v>1.0000000217176901</v>
      </c>
    </row>
    <row r="1186" spans="1:40" x14ac:dyDescent="0.25">
      <c r="A1186" t="str">
        <f>"20190312164013044"</f>
        <v>20190312164013044</v>
      </c>
      <c r="B1186" t="str">
        <f>"1552380013037369"</f>
        <v>1552380013037369</v>
      </c>
      <c r="C1186" t="s">
        <v>40</v>
      </c>
      <c r="D1186">
        <v>5.1127949999999904</v>
      </c>
      <c r="E1186">
        <v>0.51107269999999905</v>
      </c>
      <c r="F1186" t="s">
        <v>41</v>
      </c>
      <c r="G1186">
        <v>-232.0067</v>
      </c>
      <c r="H1186" s="1">
        <v>-4.04821999999999E-6</v>
      </c>
      <c r="I1186">
        <v>366.02629999999999</v>
      </c>
      <c r="J1186">
        <v>-256.20170000000002</v>
      </c>
      <c r="K1186">
        <v>1.1102890000000001</v>
      </c>
      <c r="L1186">
        <v>367.78949999999998</v>
      </c>
      <c r="M1186">
        <v>0.99987510000000002</v>
      </c>
      <c r="N1186">
        <v>0</v>
      </c>
      <c r="O1186">
        <v>6.7343519999999999E-3</v>
      </c>
      <c r="P1186">
        <v>0.99549609999999999</v>
      </c>
      <c r="Q1186">
        <v>8.0635849999999995E-2</v>
      </c>
      <c r="R1186">
        <v>-4.9852210000000001E-2</v>
      </c>
      <c r="S1186">
        <v>3.0137480000000001</v>
      </c>
      <c r="T1186">
        <v>-0.1375017</v>
      </c>
      <c r="U1186">
        <v>-0.21823119999999999</v>
      </c>
      <c r="V1186">
        <v>5.6541670000000002E-2</v>
      </c>
      <c r="W1186">
        <v>9.4864390000000007E-2</v>
      </c>
      <c r="X1186">
        <v>0.99388319999999997</v>
      </c>
      <c r="Y1186">
        <v>7.8850050000000005E-2</v>
      </c>
      <c r="Z1186">
        <v>-2.1022189999999998E-3</v>
      </c>
      <c r="AA1186">
        <v>0.99688429999999995</v>
      </c>
      <c r="AB1186">
        <v>31</v>
      </c>
      <c r="AC1186">
        <v>24.195</v>
      </c>
      <c r="AD1186">
        <v>-1.11029304822</v>
      </c>
      <c r="AE1186">
        <v>-1.7631999999999799</v>
      </c>
      <c r="AF1186">
        <v>1.9220880985034601</v>
      </c>
      <c r="AG1186">
        <v>-1.11029304822</v>
      </c>
      <c r="AH1186">
        <v>24.132026447386199</v>
      </c>
      <c r="AI1186">
        <v>92.625965452089204</v>
      </c>
      <c r="AJ1186">
        <v>85.446070897509202</v>
      </c>
      <c r="AK1186">
        <v>24.233899268765601</v>
      </c>
      <c r="AL1186">
        <v>84.556485395167797</v>
      </c>
      <c r="AM1186">
        <v>86.743972617744006</v>
      </c>
      <c r="AN1186">
        <v>1.0000000140893499</v>
      </c>
    </row>
    <row r="1187" spans="1:40" x14ac:dyDescent="0.25">
      <c r="A1187" t="str">
        <f>"20190312164013053"</f>
        <v>20190312164013053</v>
      </c>
      <c r="B1187" t="str">
        <f>"1552380013047129"</f>
        <v>1552380013047129</v>
      </c>
      <c r="C1187" t="s">
        <v>40</v>
      </c>
      <c r="D1187">
        <v>5.2508869999999996</v>
      </c>
      <c r="E1187">
        <v>0.51100579999999995</v>
      </c>
      <c r="F1187" t="s">
        <v>41</v>
      </c>
      <c r="G1187">
        <v>-232.11439999999999</v>
      </c>
      <c r="H1187" s="1">
        <v>-3.9984770000000003E-6</v>
      </c>
      <c r="I1187">
        <v>366.04640000000001</v>
      </c>
      <c r="J1187">
        <v>-256.0548</v>
      </c>
      <c r="K1187">
        <v>1.1102920000000001</v>
      </c>
      <c r="L1187">
        <v>367.79059999999998</v>
      </c>
      <c r="M1187">
        <v>0.99987479999999995</v>
      </c>
      <c r="N1187">
        <v>0</v>
      </c>
      <c r="O1187">
        <v>6.7773959999999998E-3</v>
      </c>
      <c r="P1187">
        <v>0.99546840000000003</v>
      </c>
      <c r="Q1187">
        <v>8.1114749999999999E-2</v>
      </c>
      <c r="R1187">
        <v>-4.9628829999999999E-2</v>
      </c>
      <c r="S1187">
        <v>3.0139309999999999</v>
      </c>
      <c r="T1187">
        <v>-0.1389253</v>
      </c>
      <c r="U1187">
        <v>-0.2181091</v>
      </c>
      <c r="V1187">
        <v>5.6360760000000003E-2</v>
      </c>
      <c r="W1187">
        <v>9.5340939999999999E-2</v>
      </c>
      <c r="X1187">
        <v>0.99384779999999995</v>
      </c>
      <c r="Y1187">
        <v>7.8846550000000001E-2</v>
      </c>
      <c r="Z1187">
        <v>-2.125736E-3</v>
      </c>
      <c r="AA1187">
        <v>0.99688449999999995</v>
      </c>
      <c r="AB1187">
        <v>30</v>
      </c>
      <c r="AC1187">
        <v>23.9404</v>
      </c>
      <c r="AD1187">
        <v>-1.110295998477</v>
      </c>
      <c r="AE1187">
        <v>-1.74419999999997</v>
      </c>
      <c r="AF1187">
        <v>1.9023599630418599</v>
      </c>
      <c r="AG1187">
        <v>-1.110295998477</v>
      </c>
      <c r="AH1187">
        <v>23.8769426008324</v>
      </c>
      <c r="AI1187">
        <v>92.653981319789693</v>
      </c>
      <c r="AJ1187">
        <v>85.444666431692198</v>
      </c>
      <c r="AK1187">
        <v>23.9783260173988</v>
      </c>
      <c r="AL1187">
        <v>84.529056363014007</v>
      </c>
      <c r="AM1187">
        <v>86.754252893708198</v>
      </c>
      <c r="AN1187">
        <v>0.99999993983634805</v>
      </c>
    </row>
    <row r="1188" spans="1:40" x14ac:dyDescent="0.25">
      <c r="A1188" t="str">
        <f>"20190312164013065"</f>
        <v>20190312164013065</v>
      </c>
      <c r="B1188" t="str">
        <f>"1552380013056889"</f>
        <v>1552380013056889</v>
      </c>
      <c r="C1188" t="s">
        <v>40</v>
      </c>
      <c r="D1188">
        <v>5.3547979999999997</v>
      </c>
      <c r="E1188">
        <v>0.51088009999999995</v>
      </c>
      <c r="F1188" t="s">
        <v>41</v>
      </c>
      <c r="G1188">
        <v>-231.70140000000001</v>
      </c>
      <c r="H1188" s="1">
        <v>-4.1769260000000001E-6</v>
      </c>
      <c r="I1188">
        <v>366.03930000000003</v>
      </c>
      <c r="J1188">
        <v>-255.9075</v>
      </c>
      <c r="K1188">
        <v>1.1102939999999999</v>
      </c>
      <c r="L1188">
        <v>367.79160000000002</v>
      </c>
      <c r="M1188">
        <v>0.99987470000000001</v>
      </c>
      <c r="N1188">
        <v>0</v>
      </c>
      <c r="O1188">
        <v>6.8207349999999996E-3</v>
      </c>
      <c r="P1188">
        <v>0.99544219999999894</v>
      </c>
      <c r="Q1188">
        <v>8.1427879999999994E-2</v>
      </c>
      <c r="R1188">
        <v>-4.9642020000000002E-2</v>
      </c>
      <c r="S1188">
        <v>3.0140530000000001</v>
      </c>
      <c r="T1188">
        <v>-0.13741310000000001</v>
      </c>
      <c r="U1188">
        <v>-0.21673580000000001</v>
      </c>
      <c r="V1188">
        <v>5.6416910000000001E-2</v>
      </c>
      <c r="W1188">
        <v>9.5652329999999994E-2</v>
      </c>
      <c r="X1188">
        <v>0.9938148</v>
      </c>
      <c r="Y1188">
        <v>7.8437309999999996E-2</v>
      </c>
      <c r="Z1188">
        <v>-2.0952319999999998E-3</v>
      </c>
      <c r="AA1188">
        <v>0.99691680000000005</v>
      </c>
      <c r="AB1188">
        <v>30</v>
      </c>
      <c r="AC1188">
        <v>24.2060999999999</v>
      </c>
      <c r="AD1188">
        <v>-1.1102981769260001</v>
      </c>
      <c r="AE1188">
        <v>-1.75229999999999</v>
      </c>
      <c r="AF1188">
        <v>1.9133748669497599</v>
      </c>
      <c r="AG1188">
        <v>-1.1102981769260001</v>
      </c>
      <c r="AH1188">
        <v>24.143053324581199</v>
      </c>
      <c r="AI1188">
        <v>92.624862092405905</v>
      </c>
      <c r="AJ1188">
        <v>85.468690480982204</v>
      </c>
      <c r="AK1188">
        <v>24.2441908352647</v>
      </c>
      <c r="AL1188">
        <v>84.511133701745294</v>
      </c>
      <c r="AM1188">
        <v>86.750918555592193</v>
      </c>
      <c r="AN1188">
        <v>1.0000000463337</v>
      </c>
    </row>
    <row r="1189" spans="1:40" x14ac:dyDescent="0.25">
      <c r="A1189" t="str">
        <f>"20190312164013077"</f>
        <v>20190312164013077</v>
      </c>
      <c r="B1189" t="str">
        <f>"1552380013067625"</f>
        <v>1552380013067625</v>
      </c>
      <c r="C1189" t="s">
        <v>40</v>
      </c>
      <c r="D1189">
        <v>5.5297359999999998</v>
      </c>
      <c r="E1189">
        <v>0.51075009999999998</v>
      </c>
      <c r="F1189" t="s">
        <v>41</v>
      </c>
      <c r="G1189">
        <v>-231.20230000000001</v>
      </c>
      <c r="H1189" s="1">
        <v>-4.3943969999999999E-6</v>
      </c>
      <c r="I1189">
        <v>366.02030000000002</v>
      </c>
      <c r="J1189">
        <v>-255.7457</v>
      </c>
      <c r="K1189">
        <v>1.1102959999999999</v>
      </c>
      <c r="L1189">
        <v>367.7928</v>
      </c>
      <c r="M1189">
        <v>0.99987429999999999</v>
      </c>
      <c r="N1189">
        <v>0</v>
      </c>
      <c r="O1189">
        <v>6.8686019999999997E-3</v>
      </c>
      <c r="P1189">
        <v>0.99542240000000004</v>
      </c>
      <c r="Q1189">
        <v>8.1826259999999998E-2</v>
      </c>
      <c r="R1189">
        <v>-4.938559E-2</v>
      </c>
      <c r="S1189">
        <v>3.0140229999999999</v>
      </c>
      <c r="T1189">
        <v>-0.1354553</v>
      </c>
      <c r="U1189">
        <v>-0.21609500000000001</v>
      </c>
      <c r="V1189">
        <v>5.6207920000000001E-2</v>
      </c>
      <c r="W1189">
        <v>9.6048659999999994E-2</v>
      </c>
      <c r="X1189">
        <v>0.99378840000000002</v>
      </c>
      <c r="Y1189">
        <v>7.8277479999999997E-2</v>
      </c>
      <c r="Z1189">
        <v>-2.064008E-3</v>
      </c>
      <c r="AA1189">
        <v>0.99692950000000002</v>
      </c>
      <c r="AB1189">
        <v>30</v>
      </c>
      <c r="AC1189">
        <v>24.543399999999899</v>
      </c>
      <c r="AD1189">
        <v>-1.110300394397</v>
      </c>
      <c r="AE1189">
        <v>-1.77249999999997</v>
      </c>
      <c r="AF1189">
        <v>1.9371105152486501</v>
      </c>
      <c r="AG1189">
        <v>-1.110300394397</v>
      </c>
      <c r="AH1189">
        <v>24.48080508568</v>
      </c>
      <c r="AI1189">
        <v>92.588727897598005</v>
      </c>
      <c r="AJ1189">
        <v>85.475741785490399</v>
      </c>
      <c r="AK1189">
        <v>24.582412041074001</v>
      </c>
      <c r="AL1189">
        <v>84.488320536931099</v>
      </c>
      <c r="AM1189">
        <v>86.762842953636195</v>
      </c>
      <c r="AN1189">
        <v>1.0000000296665399</v>
      </c>
    </row>
    <row r="1190" spans="1:40" x14ac:dyDescent="0.25">
      <c r="A1190" t="str">
        <f>"20190312164013089"</f>
        <v>20190312164013089</v>
      </c>
      <c r="B1190" t="str">
        <f>"1552380013077385"</f>
        <v>1552380013077385</v>
      </c>
      <c r="C1190" t="s">
        <v>40</v>
      </c>
      <c r="D1190">
        <v>5.4087249999999996</v>
      </c>
      <c r="E1190">
        <v>0.51072379999999995</v>
      </c>
      <c r="F1190" t="s">
        <v>41</v>
      </c>
      <c r="G1190">
        <v>-230.73259999999999</v>
      </c>
      <c r="H1190" s="1">
        <v>-4.5968090000000002E-6</v>
      </c>
      <c r="I1190">
        <v>366.01519999999999</v>
      </c>
      <c r="J1190">
        <v>-255.58629999999999</v>
      </c>
      <c r="K1190">
        <v>1.110298</v>
      </c>
      <c r="L1190">
        <v>367.79390000000001</v>
      </c>
      <c r="M1190">
        <v>0.99987409999999999</v>
      </c>
      <c r="N1190">
        <v>0</v>
      </c>
      <c r="O1190">
        <v>6.9155179999999998E-3</v>
      </c>
      <c r="P1190">
        <v>0.99540580000000001</v>
      </c>
      <c r="Q1190">
        <v>8.2140669999999999E-2</v>
      </c>
      <c r="R1190">
        <v>-4.9199640000000003E-2</v>
      </c>
      <c r="S1190">
        <v>3.01416</v>
      </c>
      <c r="T1190">
        <v>-0.1337942</v>
      </c>
      <c r="U1190">
        <v>-0.2142029</v>
      </c>
      <c r="V1190">
        <v>5.6068649999999998E-2</v>
      </c>
      <c r="W1190">
        <v>9.6360959999999996E-2</v>
      </c>
      <c r="X1190">
        <v>0.99376600000000004</v>
      </c>
      <c r="Y1190">
        <v>7.7700969999999994E-2</v>
      </c>
      <c r="Z1190">
        <v>-2.0279809999999999E-3</v>
      </c>
      <c r="AA1190">
        <v>0.99697460000000004</v>
      </c>
      <c r="AB1190">
        <v>30</v>
      </c>
      <c r="AC1190">
        <v>24.8537</v>
      </c>
      <c r="AD1190">
        <v>-1.1103025968089999</v>
      </c>
      <c r="AE1190">
        <v>-1.7787000000000099</v>
      </c>
      <c r="AF1190">
        <v>1.94668594658245</v>
      </c>
      <c r="AG1190">
        <v>-1.1103025968089999</v>
      </c>
      <c r="AH1190">
        <v>24.791578636885799</v>
      </c>
      <c r="AI1190">
        <v>92.556446548081595</v>
      </c>
      <c r="AJ1190">
        <v>85.510229507742196</v>
      </c>
      <c r="AK1190">
        <v>24.892664167179699</v>
      </c>
      <c r="AL1190">
        <v>84.470343491027705</v>
      </c>
      <c r="AM1190">
        <v>86.770774239163401</v>
      </c>
      <c r="AN1190">
        <v>0.99999999544047202</v>
      </c>
    </row>
    <row r="1191" spans="1:40" x14ac:dyDescent="0.25">
      <c r="A1191" t="str">
        <f>"20190312164013102"</f>
        <v>20190312164013102</v>
      </c>
      <c r="B1191" t="str">
        <f>"1552380013096905"</f>
        <v>1552380013096905</v>
      </c>
      <c r="C1191" t="s">
        <v>40</v>
      </c>
      <c r="D1191">
        <v>5.3743930000000004</v>
      </c>
      <c r="E1191">
        <v>0.51074540000000002</v>
      </c>
      <c r="F1191" t="s">
        <v>41</v>
      </c>
      <c r="G1191">
        <v>-230.44739999999999</v>
      </c>
      <c r="H1191" s="1">
        <v>-4.7192870000000001E-6</v>
      </c>
      <c r="I1191">
        <v>366.01429999999999</v>
      </c>
      <c r="J1191">
        <v>-255.41669999999999</v>
      </c>
      <c r="K1191">
        <v>1.110303</v>
      </c>
      <c r="L1191">
        <v>367.79509999999999</v>
      </c>
      <c r="M1191">
        <v>0.99987369999999998</v>
      </c>
      <c r="N1191">
        <v>0</v>
      </c>
      <c r="O1191">
        <v>6.965593E-3</v>
      </c>
      <c r="P1191">
        <v>0.99540079999999997</v>
      </c>
      <c r="Q1191">
        <v>8.2220940000000006E-2</v>
      </c>
      <c r="R1191">
        <v>-4.9164430000000002E-2</v>
      </c>
      <c r="S1191">
        <v>3.0142669999999998</v>
      </c>
      <c r="T1191">
        <v>-0.1331301</v>
      </c>
      <c r="U1191">
        <v>-0.21337890000000001</v>
      </c>
      <c r="V1191">
        <v>5.608308E-2</v>
      </c>
      <c r="W1191">
        <v>9.6440219999999993E-2</v>
      </c>
      <c r="X1191">
        <v>0.99375749999999996</v>
      </c>
      <c r="Y1191">
        <v>7.7478229999999995E-2</v>
      </c>
      <c r="Z1191">
        <v>-2.0151710000000001E-3</v>
      </c>
      <c r="AA1191">
        <v>0.99699199999999999</v>
      </c>
      <c r="AB1191">
        <v>30</v>
      </c>
      <c r="AC1191">
        <v>24.9693</v>
      </c>
      <c r="AD1191">
        <v>-1.1103077192869999</v>
      </c>
      <c r="AE1191">
        <v>-1.7807999999999899</v>
      </c>
      <c r="AF1191">
        <v>1.9508625873724501</v>
      </c>
      <c r="AG1191">
        <v>-1.1103077192869999</v>
      </c>
      <c r="AH1191">
        <v>24.9072884224048</v>
      </c>
      <c r="AI1191">
        <v>92.544636681071793</v>
      </c>
      <c r="AJ1191">
        <v>85.521453256062301</v>
      </c>
      <c r="AK1191">
        <v>25.0082319371678</v>
      </c>
      <c r="AL1191">
        <v>84.465780994312098</v>
      </c>
      <c r="AM1191">
        <v>86.769917345795093</v>
      </c>
      <c r="AN1191">
        <v>0.99999999835109199</v>
      </c>
    </row>
    <row r="1192" spans="1:40" x14ac:dyDescent="0.25">
      <c r="A1192" t="str">
        <f>"20190312164013115"</f>
        <v>20190312164013115</v>
      </c>
      <c r="B1192" t="str">
        <f>"1552380013107640"</f>
        <v>1552380013107640</v>
      </c>
      <c r="C1192" t="s">
        <v>40</v>
      </c>
      <c r="D1192">
        <v>6.0453580000000002</v>
      </c>
      <c r="E1192">
        <v>0.5107313</v>
      </c>
      <c r="F1192" t="s">
        <v>41</v>
      </c>
      <c r="G1192">
        <v>-230.21860000000001</v>
      </c>
      <c r="H1192" s="1">
        <v>-4.8181109999999998E-6</v>
      </c>
      <c r="I1192">
        <v>366.01049999999998</v>
      </c>
      <c r="J1192">
        <v>-255.22810000000001</v>
      </c>
      <c r="K1192">
        <v>1.110306</v>
      </c>
      <c r="L1192">
        <v>367.79649999999998</v>
      </c>
      <c r="M1192">
        <v>0.99987329999999996</v>
      </c>
      <c r="N1192">
        <v>0</v>
      </c>
      <c r="O1192">
        <v>7.0212130000000001E-3</v>
      </c>
      <c r="P1192">
        <v>0.99539359999999999</v>
      </c>
      <c r="Q1192">
        <v>8.2435759999999997E-2</v>
      </c>
      <c r="R1192">
        <v>-4.8953370000000003E-2</v>
      </c>
      <c r="S1192">
        <v>3.0142669999999998</v>
      </c>
      <c r="T1192">
        <v>-0.13281760000000001</v>
      </c>
      <c r="U1192">
        <v>-0.21347050000000001</v>
      </c>
      <c r="V1192">
        <v>5.592718E-2</v>
      </c>
      <c r="W1192">
        <v>9.6652849999999998E-2</v>
      </c>
      <c r="X1192">
        <v>0.99374560000000001</v>
      </c>
      <c r="Y1192">
        <v>7.7564069999999999E-2</v>
      </c>
      <c r="Z1192">
        <v>-2.014779E-3</v>
      </c>
      <c r="AA1192">
        <v>0.99698529999999996</v>
      </c>
      <c r="AB1192">
        <v>30</v>
      </c>
      <c r="AC1192">
        <v>25.009499999999999</v>
      </c>
      <c r="AD1192">
        <v>-1.110310818111</v>
      </c>
      <c r="AE1192">
        <v>-1.786</v>
      </c>
      <c r="AF1192">
        <v>1.95773187109113</v>
      </c>
      <c r="AG1192">
        <v>-1.110310818111</v>
      </c>
      <c r="AH1192">
        <v>24.9474212175496</v>
      </c>
      <c r="AI1192">
        <v>92.540526058909293</v>
      </c>
      <c r="AJ1192">
        <v>85.512948437465894</v>
      </c>
      <c r="AK1192">
        <v>25.048739081992601</v>
      </c>
      <c r="AL1192">
        <v>84.453540856610601</v>
      </c>
      <c r="AM1192">
        <v>86.778838919173097</v>
      </c>
      <c r="AN1192">
        <v>0.99999997019761599</v>
      </c>
    </row>
    <row r="1193" spans="1:40" x14ac:dyDescent="0.25">
      <c r="A1193" t="str">
        <f>"20190312164013129"</f>
        <v>20190312164013129</v>
      </c>
      <c r="B1193" t="str">
        <f>"1552380013117401"</f>
        <v>1552380013117401</v>
      </c>
      <c r="C1193" t="s">
        <v>40</v>
      </c>
      <c r="D1193">
        <v>5.1553809999999904</v>
      </c>
      <c r="E1193">
        <v>0.5107313</v>
      </c>
      <c r="F1193" t="s">
        <v>41</v>
      </c>
      <c r="G1193">
        <v>-229.9425</v>
      </c>
      <c r="H1193" s="1">
        <v>-9.6461169999999993E-7</v>
      </c>
      <c r="I1193">
        <v>366.01220000000001</v>
      </c>
      <c r="J1193">
        <v>-255.0575</v>
      </c>
      <c r="K1193">
        <v>1.1103069999999999</v>
      </c>
      <c r="L1193">
        <v>367.7978</v>
      </c>
      <c r="M1193">
        <v>0.99987300000000001</v>
      </c>
      <c r="N1193">
        <v>0</v>
      </c>
      <c r="O1193">
        <v>7.0712290000000001E-3</v>
      </c>
      <c r="P1193">
        <v>0.99537410000000004</v>
      </c>
      <c r="Q1193">
        <v>8.2795930000000004E-2</v>
      </c>
      <c r="R1193">
        <v>-4.8739829999999998E-2</v>
      </c>
      <c r="S1193">
        <v>3.0144199999999999</v>
      </c>
      <c r="T1193">
        <v>-0.13236500000000001</v>
      </c>
      <c r="U1193">
        <v>-0.21270749999999999</v>
      </c>
      <c r="V1193">
        <v>5.576354E-2</v>
      </c>
      <c r="W1193">
        <v>9.7010689999999997E-2</v>
      </c>
      <c r="X1193">
        <v>0.99371989999999999</v>
      </c>
      <c r="Y1193">
        <v>7.7360010000000007E-2</v>
      </c>
      <c r="Z1193">
        <v>-2.0055559999999999E-3</v>
      </c>
      <c r="AA1193">
        <v>0.99700120000000003</v>
      </c>
      <c r="AB1193">
        <v>30</v>
      </c>
      <c r="AC1193">
        <v>25.114999999999998</v>
      </c>
      <c r="AD1193">
        <v>-1.11030796461169</v>
      </c>
      <c r="AE1193">
        <v>-1.7855999999999801</v>
      </c>
      <c r="AF1193">
        <v>1.95935720965366</v>
      </c>
      <c r="AG1193">
        <v>-1.11030796461169</v>
      </c>
      <c r="AH1193">
        <v>25.053026111698699</v>
      </c>
      <c r="AI1193">
        <v>92.529876855318193</v>
      </c>
      <c r="AJ1193">
        <v>85.528091211894207</v>
      </c>
      <c r="AK1193">
        <v>25.154045038616701</v>
      </c>
      <c r="AL1193">
        <v>84.4329411802631</v>
      </c>
      <c r="AM1193">
        <v>86.788161217839502</v>
      </c>
      <c r="AN1193">
        <v>0.99999994301180695</v>
      </c>
    </row>
    <row r="1194" spans="1:40" x14ac:dyDescent="0.25">
      <c r="A1194" t="str">
        <f>"20190312164013145"</f>
        <v>20190312164013145</v>
      </c>
      <c r="B1194" t="str">
        <f>"1552380013136921"</f>
        <v>1552380013136921</v>
      </c>
      <c r="C1194" t="s">
        <v>40</v>
      </c>
      <c r="D1194">
        <v>5.4294949999999904</v>
      </c>
      <c r="E1194">
        <v>0.51082529999999904</v>
      </c>
      <c r="F1194" t="s">
        <v>41</v>
      </c>
      <c r="G1194">
        <v>-229.5652</v>
      </c>
      <c r="H1194" s="1">
        <v>-1.0949690000000001E-6</v>
      </c>
      <c r="I1194">
        <v>366.00490000000002</v>
      </c>
      <c r="J1194">
        <v>-254.82839999999999</v>
      </c>
      <c r="K1194">
        <v>1.110311</v>
      </c>
      <c r="L1194">
        <v>367.79939999999999</v>
      </c>
      <c r="M1194">
        <v>0.99987250000000005</v>
      </c>
      <c r="N1194">
        <v>0</v>
      </c>
      <c r="O1194">
        <v>7.1389499999999998E-3</v>
      </c>
      <c r="P1194">
        <v>0.99541380000000002</v>
      </c>
      <c r="Q1194">
        <v>8.2727110000000006E-2</v>
      </c>
      <c r="R1194">
        <v>-4.8039470000000001E-2</v>
      </c>
      <c r="S1194">
        <v>3.0144959999999998</v>
      </c>
      <c r="T1194">
        <v>-0.131295</v>
      </c>
      <c r="U1194">
        <v>-0.21200559999999999</v>
      </c>
      <c r="V1194">
        <v>5.5130899999999997E-2</v>
      </c>
      <c r="W1194">
        <v>9.693997E-2</v>
      </c>
      <c r="X1194">
        <v>0.99376209999999998</v>
      </c>
      <c r="Y1194">
        <v>7.7196169999999995E-2</v>
      </c>
      <c r="Z1194">
        <v>-1.9887080000000001E-3</v>
      </c>
      <c r="AA1194">
        <v>0.99701390000000001</v>
      </c>
      <c r="AB1194">
        <v>30</v>
      </c>
      <c r="AC1194">
        <v>25.263199999999902</v>
      </c>
      <c r="AD1194">
        <v>-1.110312094969</v>
      </c>
      <c r="AE1194">
        <v>-1.79449999999997</v>
      </c>
      <c r="AF1194">
        <v>1.97103727492009</v>
      </c>
      <c r="AG1194">
        <v>-1.110312094969</v>
      </c>
      <c r="AH1194">
        <v>25.201309893481799</v>
      </c>
      <c r="AI1194">
        <v>92.515019003508101</v>
      </c>
      <c r="AJ1194">
        <v>85.527903595136806</v>
      </c>
      <c r="AK1194">
        <v>25.302644155002099</v>
      </c>
      <c r="AL1194">
        <v>84.437012324230594</v>
      </c>
      <c r="AM1194">
        <v>86.824659252899195</v>
      </c>
      <c r="AN1194">
        <v>0.99999994265740799</v>
      </c>
    </row>
    <row r="1195" spans="1:40" x14ac:dyDescent="0.25">
      <c r="A1195" t="str">
        <f>"20190312164013160"</f>
        <v>20190312164013160</v>
      </c>
      <c r="B1195" t="str">
        <f>"1552380013147656"</f>
        <v>1552380013147656</v>
      </c>
      <c r="C1195" t="s">
        <v>40</v>
      </c>
      <c r="D1195">
        <v>5.3277950000000001</v>
      </c>
      <c r="E1195">
        <v>0.50355079999999997</v>
      </c>
      <c r="F1195" t="s">
        <v>41</v>
      </c>
      <c r="G1195">
        <v>-229.31989999999999</v>
      </c>
      <c r="H1195" s="1">
        <v>-1.176244E-6</v>
      </c>
      <c r="I1195">
        <v>366.01319999999998</v>
      </c>
      <c r="J1195">
        <v>-254.6344</v>
      </c>
      <c r="K1195">
        <v>1.110314</v>
      </c>
      <c r="L1195">
        <v>367.80090000000001</v>
      </c>
      <c r="M1195">
        <v>0.99987210000000004</v>
      </c>
      <c r="N1195">
        <v>0</v>
      </c>
      <c r="O1195">
        <v>7.1959420000000003E-3</v>
      </c>
      <c r="P1195">
        <v>0.99539250000000001</v>
      </c>
      <c r="Q1195">
        <v>8.3026020000000006E-2</v>
      </c>
      <c r="R1195">
        <v>-4.7960990000000002E-2</v>
      </c>
      <c r="S1195">
        <v>3.0145569999999999</v>
      </c>
      <c r="T1195">
        <v>-0.13121459999999999</v>
      </c>
      <c r="U1195">
        <v>-0.2110901</v>
      </c>
      <c r="V1195">
        <v>5.510897E-2</v>
      </c>
      <c r="W1195">
        <v>9.7236600000000006E-2</v>
      </c>
      <c r="X1195">
        <v>0.99373440000000002</v>
      </c>
      <c r="Y1195">
        <v>7.6950560000000001E-2</v>
      </c>
      <c r="Z1195">
        <v>-1.984614E-3</v>
      </c>
      <c r="AA1195">
        <v>0.9970329</v>
      </c>
      <c r="AB1195">
        <v>30</v>
      </c>
      <c r="AC1195">
        <v>25.314499999999999</v>
      </c>
      <c r="AD1195">
        <v>-1.110315176244</v>
      </c>
      <c r="AE1195">
        <v>-1.7877000000000201</v>
      </c>
      <c r="AF1195">
        <v>1.96607045792151</v>
      </c>
      <c r="AG1195">
        <v>-1.110315176244</v>
      </c>
      <c r="AH1195">
        <v>25.252639673143801</v>
      </c>
      <c r="AI1195">
        <v>92.509989501010907</v>
      </c>
      <c r="AJ1195">
        <v>85.548158194900594</v>
      </c>
      <c r="AK1195">
        <v>25.353383271227202</v>
      </c>
      <c r="AL1195">
        <v>84.419936360224995</v>
      </c>
      <c r="AM1195">
        <v>86.825831463071694</v>
      </c>
      <c r="AN1195">
        <v>1.00000000634869</v>
      </c>
    </row>
    <row r="1196" spans="1:40" x14ac:dyDescent="0.25">
      <c r="A1196" t="str">
        <f>"20190312164013176"</f>
        <v>20190312164013176</v>
      </c>
      <c r="B1196" t="str">
        <f>"1552380013167177"</f>
        <v>1552380013167177</v>
      </c>
      <c r="C1196" t="s">
        <v>40</v>
      </c>
      <c r="D1196">
        <v>5.3303370000000001</v>
      </c>
      <c r="E1196">
        <v>0.50220410000000004</v>
      </c>
      <c r="F1196" t="s">
        <v>42</v>
      </c>
      <c r="G1196">
        <v>-253.65100000000001</v>
      </c>
      <c r="H1196">
        <v>1.0406799999999901</v>
      </c>
      <c r="I1196">
        <v>367.75240000000002</v>
      </c>
      <c r="J1196">
        <v>-254.3948</v>
      </c>
      <c r="K1196">
        <v>1.110325</v>
      </c>
      <c r="L1196">
        <v>367.80270000000002</v>
      </c>
      <c r="M1196">
        <v>0.99987170000000003</v>
      </c>
      <c r="N1196">
        <v>0</v>
      </c>
      <c r="O1196">
        <v>7.2662859999999899E-3</v>
      </c>
      <c r="P1196">
        <v>0.99538439999999995</v>
      </c>
      <c r="Q1196">
        <v>8.3153019999999994E-2</v>
      </c>
      <c r="R1196">
        <v>-4.7913049999999999E-2</v>
      </c>
      <c r="S1196">
        <v>3.0246430000000002</v>
      </c>
      <c r="T1196">
        <v>-0.21439610000000001</v>
      </c>
      <c r="U1196">
        <v>-0.14825439999999901</v>
      </c>
      <c r="V1196">
        <v>5.5130909999999998E-2</v>
      </c>
      <c r="W1196">
        <v>9.7360940000000007E-2</v>
      </c>
      <c r="X1196">
        <v>0.99372099999999997</v>
      </c>
      <c r="Y1196">
        <v>5.6055239999999999E-2</v>
      </c>
      <c r="Z1196">
        <v>-2.4971860000000002E-3</v>
      </c>
      <c r="AA1196">
        <v>0.99842450000000005</v>
      </c>
      <c r="AB1196">
        <v>30</v>
      </c>
      <c r="AC1196">
        <v>0.743800000000021</v>
      </c>
      <c r="AD1196">
        <v>-6.9645000000000096E-2</v>
      </c>
      <c r="AE1196">
        <v>-5.0299999999992899E-2</v>
      </c>
      <c r="AF1196">
        <v>5.5221940987909099E-2</v>
      </c>
      <c r="AG1196">
        <v>-6.9645000000000096E-2</v>
      </c>
      <c r="AH1196">
        <v>0.73698286851419603</v>
      </c>
      <c r="AI1196">
        <v>95.383426324361395</v>
      </c>
      <c r="AJ1196">
        <v>85.714849291873193</v>
      </c>
      <c r="AK1196">
        <v>0.74232313534934702</v>
      </c>
      <c r="AL1196">
        <v>84.412778191729501</v>
      </c>
      <c r="AM1196">
        <v>86.824527615721905</v>
      </c>
      <c r="AN1196">
        <v>0.99999999785805505</v>
      </c>
    </row>
    <row r="1197" spans="1:40" x14ac:dyDescent="0.25">
      <c r="A1197" t="str">
        <f>"20190312164013199"</f>
        <v>20190312164013199</v>
      </c>
      <c r="B1197" t="str">
        <f>"1552380013187673"</f>
        <v>1552380013187673</v>
      </c>
      <c r="C1197" t="s">
        <v>40</v>
      </c>
      <c r="D1197">
        <v>5.328112</v>
      </c>
      <c r="E1197">
        <v>0.50017400000000001</v>
      </c>
      <c r="F1197" t="s">
        <v>41</v>
      </c>
      <c r="G1197">
        <v>-238.8237</v>
      </c>
      <c r="H1197" s="1">
        <v>-1.057659E-6</v>
      </c>
      <c r="I1197">
        <v>367.09339999999997</v>
      </c>
      <c r="J1197">
        <v>-254.1044</v>
      </c>
      <c r="K1197">
        <v>1.11032999999999</v>
      </c>
      <c r="L1197">
        <v>367.80489999999998</v>
      </c>
      <c r="M1197">
        <v>0.99987110000000001</v>
      </c>
      <c r="N1197">
        <v>0</v>
      </c>
      <c r="O1197">
        <v>7.3492509999999898E-3</v>
      </c>
      <c r="P1197">
        <v>0.9953554</v>
      </c>
      <c r="Q1197">
        <v>8.3489569999999999E-2</v>
      </c>
      <c r="R1197">
        <v>-4.7928470000000001E-2</v>
      </c>
      <c r="S1197">
        <v>3.0252840000000001</v>
      </c>
      <c r="T1197">
        <v>-0.21572240000000001</v>
      </c>
      <c r="U1197">
        <v>-0.13778689999999999</v>
      </c>
      <c r="V1197">
        <v>5.5229130000000001E-2</v>
      </c>
      <c r="W1197">
        <v>9.7694080000000003E-2</v>
      </c>
      <c r="X1197">
        <v>0.99368290000000004</v>
      </c>
      <c r="Y1197">
        <v>5.268697E-2</v>
      </c>
      <c r="Z1197">
        <v>-2.398299E-3</v>
      </c>
      <c r="AA1197">
        <v>0.99860819999999995</v>
      </c>
      <c r="AB1197">
        <v>30</v>
      </c>
      <c r="AC1197">
        <v>15.2806999999999</v>
      </c>
      <c r="AD1197">
        <v>-1.11033105765899</v>
      </c>
      <c r="AE1197">
        <v>-0.71150000000000002</v>
      </c>
      <c r="AF1197">
        <v>0.81947660217085405</v>
      </c>
      <c r="AG1197">
        <v>-1.11033105765899</v>
      </c>
      <c r="AH1197">
        <v>15.195004505218501</v>
      </c>
      <c r="AI1197">
        <v>94.173252526823802</v>
      </c>
      <c r="AJ1197">
        <v>86.912991422642193</v>
      </c>
      <c r="AK1197">
        <v>15.2575403939403</v>
      </c>
      <c r="AL1197">
        <v>84.393599527815795</v>
      </c>
      <c r="AM1197">
        <v>86.818760153031903</v>
      </c>
      <c r="AN1197">
        <v>1.00000004791</v>
      </c>
    </row>
    <row r="1198" spans="1:40" x14ac:dyDescent="0.25">
      <c r="A1198" t="str">
        <f>"20190312164013220"</f>
        <v>20190312164013220</v>
      </c>
      <c r="B1198" t="str">
        <f>"1552380013216953"</f>
        <v>1552380013216953</v>
      </c>
      <c r="C1198" t="s">
        <v>40</v>
      </c>
      <c r="D1198">
        <v>5.2488650000000003</v>
      </c>
      <c r="E1198">
        <v>0.4986274</v>
      </c>
      <c r="F1198" t="s">
        <v>42</v>
      </c>
      <c r="G1198">
        <v>-253.10820000000001</v>
      </c>
      <c r="H1198">
        <v>1.04514</v>
      </c>
      <c r="I1198">
        <v>367.76409999999998</v>
      </c>
      <c r="J1198">
        <v>-253.8082</v>
      </c>
      <c r="K1198">
        <v>1.1103270000000001</v>
      </c>
      <c r="L1198">
        <v>367.80720000000002</v>
      </c>
      <c r="M1198">
        <v>0.9998707</v>
      </c>
      <c r="N1198">
        <v>0</v>
      </c>
      <c r="O1198">
        <v>7.4212159999999996E-3</v>
      </c>
      <c r="P1198">
        <v>0.99530390000000002</v>
      </c>
      <c r="Q1198">
        <v>8.4003209999999995E-2</v>
      </c>
      <c r="R1198">
        <v>-4.8099929999999999E-2</v>
      </c>
      <c r="S1198">
        <v>3.024734</v>
      </c>
      <c r="T1198">
        <v>-0.1982592</v>
      </c>
      <c r="U1198">
        <v>-0.12298580000000001</v>
      </c>
      <c r="V1198">
        <v>5.5473309999999998E-2</v>
      </c>
      <c r="W1198">
        <v>9.8202780000000003E-2</v>
      </c>
      <c r="X1198">
        <v>0.99361909999999998</v>
      </c>
      <c r="Y1198">
        <v>4.7922630000000001E-2</v>
      </c>
      <c r="Z1198">
        <v>-2.0540129999999999E-3</v>
      </c>
      <c r="AA1198">
        <v>0.99884890000000004</v>
      </c>
      <c r="AB1198">
        <v>30</v>
      </c>
      <c r="AC1198">
        <v>0.69999999999998797</v>
      </c>
      <c r="AD1198">
        <v>-6.5187000000000106E-2</v>
      </c>
      <c r="AE1198">
        <v>-4.3100000000038101E-2</v>
      </c>
      <c r="AF1198">
        <v>4.7880534617779302E-2</v>
      </c>
      <c r="AG1198">
        <v>-6.5187000000000106E-2</v>
      </c>
      <c r="AH1198">
        <v>0.69366797135466995</v>
      </c>
      <c r="AI1198">
        <v>95.355897883019907</v>
      </c>
      <c r="AJ1198">
        <v>86.051413348211597</v>
      </c>
      <c r="AK1198">
        <v>0.69836748567468998</v>
      </c>
      <c r="AL1198">
        <v>84.3643120390349</v>
      </c>
      <c r="AM1198">
        <v>86.804519536957201</v>
      </c>
      <c r="AN1198">
        <v>0.99999999500344705</v>
      </c>
    </row>
    <row r="1199" spans="1:40" x14ac:dyDescent="0.25">
      <c r="A1199" t="str">
        <f>"20190312164013232"</f>
        <v>20190312164013232</v>
      </c>
      <c r="B1199" t="str">
        <f>"1552380013227689"</f>
        <v>1552380013227689</v>
      </c>
      <c r="C1199" t="s">
        <v>40</v>
      </c>
      <c r="D1199">
        <v>5.3725259999999997</v>
      </c>
      <c r="E1199">
        <v>0.49840180000000001</v>
      </c>
      <c r="F1199" t="s">
        <v>42</v>
      </c>
      <c r="G1199">
        <v>-252.83410000000001</v>
      </c>
      <c r="H1199">
        <v>1.050316</v>
      </c>
      <c r="I1199">
        <v>367.77109999999999</v>
      </c>
      <c r="J1199">
        <v>-253.6379</v>
      </c>
      <c r="K1199">
        <v>1.110322</v>
      </c>
      <c r="L1199">
        <v>367.80849999999998</v>
      </c>
      <c r="M1199">
        <v>0.99987040000000005</v>
      </c>
      <c r="N1199">
        <v>0</v>
      </c>
      <c r="O1199">
        <v>7.4570690000000002E-3</v>
      </c>
      <c r="P1199">
        <v>0.9952839</v>
      </c>
      <c r="Q1199">
        <v>8.4267969999999998E-2</v>
      </c>
      <c r="R1199">
        <v>-4.8049719999999997E-2</v>
      </c>
      <c r="S1199">
        <v>3.0244450000000001</v>
      </c>
      <c r="T1199">
        <v>-0.1863823</v>
      </c>
      <c r="U1199">
        <v>-0.111969</v>
      </c>
      <c r="V1199">
        <v>5.5459950000000001E-2</v>
      </c>
      <c r="W1199">
        <v>9.846473E-2</v>
      </c>
      <c r="X1199">
        <v>0.99359390000000003</v>
      </c>
      <c r="Y1199">
        <v>4.434954E-2</v>
      </c>
      <c r="Z1199">
        <v>-1.823777E-3</v>
      </c>
      <c r="AA1199">
        <v>0.99901439999999997</v>
      </c>
      <c r="AB1199">
        <v>30</v>
      </c>
      <c r="AC1199">
        <v>0.80379999999999496</v>
      </c>
      <c r="AD1199">
        <v>-6.0005999999999997E-2</v>
      </c>
      <c r="AE1199">
        <v>-3.7399999999991003E-2</v>
      </c>
      <c r="AF1199">
        <v>4.3153584403566703E-2</v>
      </c>
      <c r="AG1199">
        <v>-6.0005999999999997E-2</v>
      </c>
      <c r="AH1199">
        <v>0.799055165013135</v>
      </c>
      <c r="AI1199">
        <v>94.2884079340959</v>
      </c>
      <c r="AJ1199">
        <v>86.908700722574494</v>
      </c>
      <c r="AK1199">
        <v>0.80246626634210905</v>
      </c>
      <c r="AL1199">
        <v>84.349230194510397</v>
      </c>
      <c r="AM1199">
        <v>86.805206673148803</v>
      </c>
      <c r="AN1199">
        <v>0.99999997361259196</v>
      </c>
    </row>
    <row r="1200" spans="1:40" x14ac:dyDescent="0.25">
      <c r="A1200" t="str">
        <f>"20190312164013245"</f>
        <v>20190312164013245</v>
      </c>
      <c r="B1200" t="str">
        <f>"1552380013237483"</f>
        <v>1552380013237483</v>
      </c>
      <c r="C1200" t="s">
        <v>40</v>
      </c>
      <c r="D1200">
        <v>5.439095</v>
      </c>
      <c r="E1200">
        <v>0.49814419999999998</v>
      </c>
      <c r="F1200" t="s">
        <v>41</v>
      </c>
      <c r="G1200">
        <v>-235.27510000000001</v>
      </c>
      <c r="H1200" s="1">
        <v>-2.449194E-6</v>
      </c>
      <c r="I1200">
        <v>367.13659999999999</v>
      </c>
      <c r="J1200">
        <v>-253.48150000000001</v>
      </c>
      <c r="K1200">
        <v>1.1103160000000001</v>
      </c>
      <c r="L1200">
        <v>367.80970000000002</v>
      </c>
      <c r="M1200">
        <v>0.99987020000000004</v>
      </c>
      <c r="N1200">
        <v>0</v>
      </c>
      <c r="O1200">
        <v>7.4850389999999998E-3</v>
      </c>
      <c r="P1200">
        <v>0.99525300000000005</v>
      </c>
      <c r="Q1200">
        <v>8.4725330000000001E-2</v>
      </c>
      <c r="R1200">
        <v>-4.789094E-2</v>
      </c>
      <c r="S1200">
        <v>3.0243530000000001</v>
      </c>
      <c r="T1200">
        <v>-0.1828687</v>
      </c>
      <c r="U1200">
        <v>-0.1106567</v>
      </c>
      <c r="V1200">
        <v>5.533006E-2</v>
      </c>
      <c r="W1200">
        <v>9.8918850000000003E-2</v>
      </c>
      <c r="X1200">
        <v>0.99355610000000005</v>
      </c>
      <c r="Y1200">
        <v>4.3950049999999997E-2</v>
      </c>
      <c r="Z1200">
        <v>-1.779154E-3</v>
      </c>
      <c r="AA1200">
        <v>0.99903209999999998</v>
      </c>
      <c r="AB1200">
        <v>30</v>
      </c>
      <c r="AC1200">
        <v>18.206399999999999</v>
      </c>
      <c r="AD1200">
        <v>-1.1103184491939999</v>
      </c>
      <c r="AE1200">
        <v>-0.67310000000003301</v>
      </c>
      <c r="AF1200">
        <v>0.80637566554705298</v>
      </c>
      <c r="AG1200">
        <v>-1.1103184491939999</v>
      </c>
      <c r="AH1200">
        <v>18.133501519021301</v>
      </c>
      <c r="AI1200">
        <v>93.500408578726095</v>
      </c>
      <c r="AJ1200">
        <v>87.453800968525499</v>
      </c>
      <c r="AK1200">
        <v>18.185349216139802</v>
      </c>
      <c r="AL1200">
        <v>84.323083759939806</v>
      </c>
      <c r="AM1200">
        <v>86.812552582705393</v>
      </c>
      <c r="AN1200">
        <v>1.0000000391360599</v>
      </c>
    </row>
    <row r="1201" spans="1:40" x14ac:dyDescent="0.25">
      <c r="A1201" t="str">
        <f>"20190312164013255"</f>
        <v>20190312164013255</v>
      </c>
      <c r="B1201" t="str">
        <f>"1552380013247209"</f>
        <v>1552380013247209</v>
      </c>
      <c r="C1201" t="s">
        <v>40</v>
      </c>
      <c r="D1201">
        <v>5.1701269999999999</v>
      </c>
      <c r="E1201">
        <v>0.4980755</v>
      </c>
      <c r="F1201" t="s">
        <v>41</v>
      </c>
      <c r="G1201">
        <v>-234.84030000000001</v>
      </c>
      <c r="H1201" s="1">
        <v>-2.6342519999999999E-6</v>
      </c>
      <c r="I1201">
        <v>367.1447</v>
      </c>
      <c r="J1201">
        <v>-253.32640000000001</v>
      </c>
      <c r="K1201">
        <v>1.110312</v>
      </c>
      <c r="L1201">
        <v>367.8109</v>
      </c>
      <c r="M1201">
        <v>0.99987009999999998</v>
      </c>
      <c r="N1201">
        <v>0</v>
      </c>
      <c r="O1201">
        <v>7.5092980000000002E-3</v>
      </c>
      <c r="P1201">
        <v>0.99524749999999995</v>
      </c>
      <c r="Q1201">
        <v>8.4802080000000002E-2</v>
      </c>
      <c r="R1201">
        <v>-4.786953E-2</v>
      </c>
      <c r="S1201">
        <v>3.0244900000000001</v>
      </c>
      <c r="T1201">
        <v>-0.18014559999999999</v>
      </c>
      <c r="U1201">
        <v>-0.10787960000000001</v>
      </c>
      <c r="V1201">
        <v>5.5334439999999999E-2</v>
      </c>
      <c r="W1201">
        <v>9.8992849999999993E-2</v>
      </c>
      <c r="X1201">
        <v>0.99354849999999995</v>
      </c>
      <c r="Y1201">
        <v>4.3060800000000003E-2</v>
      </c>
      <c r="Z1201">
        <v>-1.7276489999999999E-3</v>
      </c>
      <c r="AA1201">
        <v>0.99907089999999998</v>
      </c>
      <c r="AB1201">
        <v>30</v>
      </c>
      <c r="AC1201">
        <v>18.4861</v>
      </c>
      <c r="AD1201">
        <v>-1.1103146342520001</v>
      </c>
      <c r="AE1201">
        <v>-0.66620000000000301</v>
      </c>
      <c r="AF1201">
        <v>0.80212309191527098</v>
      </c>
      <c r="AG1201">
        <v>-1.1103146342520001</v>
      </c>
      <c r="AH1201">
        <v>18.414233022620799</v>
      </c>
      <c r="AI1201">
        <v>93.447298777158693</v>
      </c>
      <c r="AJ1201">
        <v>87.505775414364393</v>
      </c>
      <c r="AK1201">
        <v>18.465107036055802</v>
      </c>
      <c r="AL1201">
        <v>84.318823039983101</v>
      </c>
      <c r="AM1201">
        <v>86.812276446995895</v>
      </c>
      <c r="AN1201">
        <v>1.0000000532267399</v>
      </c>
    </row>
    <row r="1202" spans="1:40" x14ac:dyDescent="0.25">
      <c r="A1202" t="str">
        <f>"20190312164013267"</f>
        <v>20190312164013267</v>
      </c>
      <c r="B1202" t="str">
        <f>"1552380013256969"</f>
        <v>1552380013256969</v>
      </c>
      <c r="C1202" t="s">
        <v>40</v>
      </c>
      <c r="D1202">
        <v>5.2352100000000004</v>
      </c>
      <c r="E1202">
        <v>0.49789070000000002</v>
      </c>
      <c r="F1202" t="s">
        <v>41</v>
      </c>
      <c r="G1202">
        <v>-234.5703</v>
      </c>
      <c r="H1202" s="1">
        <v>-2.749834E-6</v>
      </c>
      <c r="I1202">
        <v>367.14620000000002</v>
      </c>
      <c r="J1202">
        <v>-253.17830000000001</v>
      </c>
      <c r="K1202">
        <v>1.110304</v>
      </c>
      <c r="L1202">
        <v>367.81200000000001</v>
      </c>
      <c r="M1202">
        <v>0.99987000000000004</v>
      </c>
      <c r="N1202">
        <v>0</v>
      </c>
      <c r="O1202">
        <v>7.5259280000000003E-3</v>
      </c>
      <c r="P1202">
        <v>0.99523700000000004</v>
      </c>
      <c r="Q1202">
        <v>8.4960019999999997E-2</v>
      </c>
      <c r="R1202">
        <v>-4.780591E-2</v>
      </c>
      <c r="S1202">
        <v>3.0244140000000002</v>
      </c>
      <c r="T1202">
        <v>-0.17903629999999901</v>
      </c>
      <c r="U1202">
        <v>-0.1071777</v>
      </c>
      <c r="V1202">
        <v>5.52893E-2</v>
      </c>
      <c r="W1202">
        <v>9.9148490000000006E-2</v>
      </c>
      <c r="X1202">
        <v>0.99353550000000002</v>
      </c>
      <c r="Y1202">
        <v>4.2848169999999998E-2</v>
      </c>
      <c r="Z1202">
        <v>-1.7117759999999999E-3</v>
      </c>
      <c r="AA1202">
        <v>0.99908010000000003</v>
      </c>
      <c r="AB1202">
        <v>30</v>
      </c>
      <c r="AC1202">
        <v>18.608000000000001</v>
      </c>
      <c r="AD1202">
        <v>-1.110306749834</v>
      </c>
      <c r="AE1202">
        <v>-0.665799999999933</v>
      </c>
      <c r="AF1202">
        <v>0.80298264573325995</v>
      </c>
      <c r="AG1202">
        <v>-1.110306749834</v>
      </c>
      <c r="AH1202">
        <v>18.5365503440708</v>
      </c>
      <c r="AI1202">
        <v>93.424616819165905</v>
      </c>
      <c r="AJ1202">
        <v>87.519561621027805</v>
      </c>
      <c r="AK1202">
        <v>18.587126213224799</v>
      </c>
      <c r="AL1202">
        <v>84.309861475140494</v>
      </c>
      <c r="AM1202">
        <v>86.814829939427497</v>
      </c>
      <c r="AN1202">
        <v>1.000000059762</v>
      </c>
    </row>
    <row r="1203" spans="1:40" x14ac:dyDescent="0.25">
      <c r="A1203" t="str">
        <f>"20190312164013279"</f>
        <v>20190312164013279</v>
      </c>
      <c r="B1203" t="str">
        <f>"1552380013267706"</f>
        <v>1552380013267706</v>
      </c>
      <c r="C1203" t="s">
        <v>40</v>
      </c>
      <c r="D1203">
        <v>5.3247280000000003</v>
      </c>
      <c r="E1203">
        <v>0.49783189999999999</v>
      </c>
      <c r="F1203" t="s">
        <v>41</v>
      </c>
      <c r="G1203">
        <v>-234.29599999999999</v>
      </c>
      <c r="H1203" s="1">
        <v>-2.8669200000000002E-6</v>
      </c>
      <c r="I1203">
        <v>367.14949999999999</v>
      </c>
      <c r="J1203">
        <v>-253.02430000000001</v>
      </c>
      <c r="K1203">
        <v>1.1103000000000001</v>
      </c>
      <c r="L1203">
        <v>367.81319999999999</v>
      </c>
      <c r="M1203">
        <v>0.99986980000000003</v>
      </c>
      <c r="N1203">
        <v>0</v>
      </c>
      <c r="O1203">
        <v>7.5417779999999998E-3</v>
      </c>
      <c r="P1203">
        <v>0.99525189999999997</v>
      </c>
      <c r="Q1203">
        <v>8.4887270000000001E-2</v>
      </c>
      <c r="R1203">
        <v>-4.7624670000000001E-2</v>
      </c>
      <c r="S1203">
        <v>3.0244599999999999</v>
      </c>
      <c r="T1203">
        <v>-0.17784129999999901</v>
      </c>
      <c r="U1203">
        <v>-0.1061096</v>
      </c>
      <c r="V1203">
        <v>5.5125849999999997E-2</v>
      </c>
      <c r="W1203">
        <v>9.9073040000000001E-2</v>
      </c>
      <c r="X1203">
        <v>0.99355199999999999</v>
      </c>
      <c r="Y1203">
        <v>4.2512800000000003E-2</v>
      </c>
      <c r="Z1203">
        <v>-1.6914390000000001E-3</v>
      </c>
      <c r="AA1203">
        <v>0.9990945</v>
      </c>
      <c r="AB1203">
        <v>30</v>
      </c>
      <c r="AC1203">
        <v>18.728300000000001</v>
      </c>
      <c r="AD1203">
        <v>-1.1103028669199999</v>
      </c>
      <c r="AE1203">
        <v>-0.66370000000000495</v>
      </c>
      <c r="AF1203">
        <v>0.80212449837424304</v>
      </c>
      <c r="AG1203">
        <v>-1.1103028669199999</v>
      </c>
      <c r="AH1203">
        <v>18.657269134887699</v>
      </c>
      <c r="AI1203">
        <v>93.402546465460802</v>
      </c>
      <c r="AJ1203">
        <v>87.538221509405503</v>
      </c>
      <c r="AK1203">
        <v>18.707481597981499</v>
      </c>
      <c r="AL1203">
        <v>84.314205214548593</v>
      </c>
      <c r="AM1203">
        <v>86.824279486311895</v>
      </c>
      <c r="AN1203">
        <v>0.99999995164852995</v>
      </c>
    </row>
    <row r="1204" spans="1:40" x14ac:dyDescent="0.25">
      <c r="A1204" t="str">
        <f>"20190312164013291"</f>
        <v>20190312164013291</v>
      </c>
      <c r="B1204" t="str">
        <f>"1552380013287225"</f>
        <v>1552380013287225</v>
      </c>
      <c r="C1204" t="s">
        <v>40</v>
      </c>
      <c r="D1204">
        <v>5.4556209999999998</v>
      </c>
      <c r="E1204">
        <v>0.4977259</v>
      </c>
      <c r="F1204" t="s">
        <v>42</v>
      </c>
      <c r="G1204">
        <v>-252.01990000000001</v>
      </c>
      <c r="H1204">
        <v>1.051385</v>
      </c>
      <c r="I1204">
        <v>367.77820000000003</v>
      </c>
      <c r="J1204">
        <v>-252.85749999999999</v>
      </c>
      <c r="K1204">
        <v>1.110295</v>
      </c>
      <c r="L1204">
        <v>367.81450000000001</v>
      </c>
      <c r="M1204">
        <v>0.99986980000000003</v>
      </c>
      <c r="N1204">
        <v>0</v>
      </c>
      <c r="O1204">
        <v>7.5503509999999899E-3</v>
      </c>
      <c r="P1204">
        <v>0.99522699999999997</v>
      </c>
      <c r="Q1204">
        <v>8.5164169999999997E-2</v>
      </c>
      <c r="R1204">
        <v>-4.764844E-2</v>
      </c>
      <c r="S1204">
        <v>3.0244140000000002</v>
      </c>
      <c r="T1204">
        <v>-0.17755960000000001</v>
      </c>
      <c r="U1204">
        <v>-0.1049194</v>
      </c>
      <c r="V1204">
        <v>5.5159800000000002E-2</v>
      </c>
      <c r="W1204">
        <v>9.934635E-2</v>
      </c>
      <c r="X1204">
        <v>0.99352289999999999</v>
      </c>
      <c r="Y1204">
        <v>4.213012E-2</v>
      </c>
      <c r="Z1204">
        <v>-1.678084E-3</v>
      </c>
      <c r="AA1204">
        <v>0.99911070000000002</v>
      </c>
      <c r="AB1204">
        <v>30</v>
      </c>
      <c r="AC1204">
        <v>0.83759999999998003</v>
      </c>
      <c r="AD1204">
        <v>-5.8909999999999997E-2</v>
      </c>
      <c r="AE1204">
        <v>-3.6299999999982901E-2</v>
      </c>
      <c r="AF1204">
        <v>4.2414369672364297E-2</v>
      </c>
      <c r="AG1204">
        <v>-5.8909999999999997E-2</v>
      </c>
      <c r="AH1204">
        <v>0.83318831113054104</v>
      </c>
      <c r="AI1204">
        <v>94.039115052798195</v>
      </c>
      <c r="AJ1204">
        <v>87.085810737978093</v>
      </c>
      <c r="AK1204">
        <v>0.83634450357449497</v>
      </c>
      <c r="AL1204">
        <v>84.298468495730106</v>
      </c>
      <c r="AM1204">
        <v>86.822234800433705</v>
      </c>
      <c r="AN1204">
        <v>1.00000002680938</v>
      </c>
    </row>
    <row r="1205" spans="1:40" x14ac:dyDescent="0.25">
      <c r="A1205" t="str">
        <f>"20190312164013303"</f>
        <v>20190312164013303</v>
      </c>
      <c r="B1205" t="str">
        <f>"1552380013296985"</f>
        <v>1552380013296985</v>
      </c>
      <c r="C1205" t="s">
        <v>40</v>
      </c>
      <c r="D1205">
        <v>5.3673699999999904</v>
      </c>
      <c r="E1205">
        <v>0.49770239999999999</v>
      </c>
      <c r="F1205" t="s">
        <v>41</v>
      </c>
      <c r="G1205">
        <v>-233.73089999999999</v>
      </c>
      <c r="H1205" s="1">
        <v>-3.1086639999999998E-6</v>
      </c>
      <c r="I1205">
        <v>367.15339999999998</v>
      </c>
      <c r="J1205">
        <v>-252.6994</v>
      </c>
      <c r="K1205">
        <v>1.1102890000000001</v>
      </c>
      <c r="L1205">
        <v>367.81569999999999</v>
      </c>
      <c r="M1205">
        <v>0.99986989999999998</v>
      </c>
      <c r="N1205">
        <v>0</v>
      </c>
      <c r="O1205">
        <v>7.5539219999999898E-3</v>
      </c>
      <c r="P1205">
        <v>0.99520589999999998</v>
      </c>
      <c r="Q1205">
        <v>8.5381299999999993E-2</v>
      </c>
      <c r="R1205">
        <v>-4.7700670000000001E-2</v>
      </c>
      <c r="S1205">
        <v>3.024384</v>
      </c>
      <c r="T1205">
        <v>-0.17556369999999999</v>
      </c>
      <c r="U1205">
        <v>-0.104522699999999</v>
      </c>
      <c r="V1205">
        <v>5.5217479999999999E-2</v>
      </c>
      <c r="W1205">
        <v>9.956081E-2</v>
      </c>
      <c r="X1205">
        <v>0.9934982</v>
      </c>
      <c r="Y1205">
        <v>4.2005239999999999E-2</v>
      </c>
      <c r="Z1205">
        <v>-1.655859E-3</v>
      </c>
      <c r="AA1205">
        <v>0.999116</v>
      </c>
      <c r="AB1205">
        <v>30</v>
      </c>
      <c r="AC1205">
        <v>18.968499999999999</v>
      </c>
      <c r="AD1205">
        <v>-1.1102921086640001</v>
      </c>
      <c r="AE1205">
        <v>-0.66230000000001599</v>
      </c>
      <c r="AF1205">
        <v>0.802834926577499</v>
      </c>
      <c r="AG1205">
        <v>-1.1102921086640001</v>
      </c>
      <c r="AH1205">
        <v>18.8982853817588</v>
      </c>
      <c r="AI1205">
        <v>93.359293194116404</v>
      </c>
      <c r="AJ1205">
        <v>87.5674295171994</v>
      </c>
      <c r="AK1205">
        <v>18.947888612093301</v>
      </c>
      <c r="AL1205">
        <v>84.286119461628203</v>
      </c>
      <c r="AM1205">
        <v>86.818839742537605</v>
      </c>
      <c r="AN1205">
        <v>0.99999999919432303</v>
      </c>
    </row>
    <row r="1206" spans="1:40" x14ac:dyDescent="0.25">
      <c r="A1206" t="str">
        <f>"20190312164013315"</f>
        <v>20190312164013315</v>
      </c>
      <c r="B1206" t="str">
        <f>"1552380013307721"</f>
        <v>1552380013307721</v>
      </c>
      <c r="C1206" t="s">
        <v>40</v>
      </c>
      <c r="D1206">
        <v>5.2779879999999997</v>
      </c>
      <c r="E1206">
        <v>0.49759219999999998</v>
      </c>
      <c r="F1206" t="s">
        <v>41</v>
      </c>
      <c r="G1206">
        <v>-233.4975</v>
      </c>
      <c r="H1206" s="1">
        <v>-3.2085229999999999E-6</v>
      </c>
      <c r="I1206">
        <v>367.15480000000002</v>
      </c>
      <c r="J1206">
        <v>-252.52760000000001</v>
      </c>
      <c r="K1206">
        <v>1.1102810000000001</v>
      </c>
      <c r="L1206">
        <v>367.81700000000001</v>
      </c>
      <c r="M1206">
        <v>0.99986989999999998</v>
      </c>
      <c r="N1206">
        <v>0</v>
      </c>
      <c r="O1206">
        <v>7.5512790000000002E-3</v>
      </c>
      <c r="P1206">
        <v>0.99520450000000005</v>
      </c>
      <c r="Q1206">
        <v>8.5540450000000004E-2</v>
      </c>
      <c r="R1206">
        <v>-4.7444630000000002E-2</v>
      </c>
      <c r="S1206">
        <v>3.0244450000000001</v>
      </c>
      <c r="T1206">
        <v>-0.174878799999999</v>
      </c>
      <c r="U1206">
        <v>-0.10409549999999999</v>
      </c>
      <c r="V1206">
        <v>5.4960910000000002E-2</v>
      </c>
      <c r="W1206">
        <v>9.9716910000000006E-2</v>
      </c>
      <c r="X1206">
        <v>0.99349679999999996</v>
      </c>
      <c r="Y1206">
        <v>4.1861820000000001E-2</v>
      </c>
      <c r="Z1206">
        <v>-1.6450869999999999E-3</v>
      </c>
      <c r="AA1206">
        <v>0.99912210000000001</v>
      </c>
      <c r="AB1206">
        <v>30</v>
      </c>
      <c r="AC1206">
        <v>19.030100000000001</v>
      </c>
      <c r="AD1206">
        <v>-1.11028420852299</v>
      </c>
      <c r="AE1206">
        <v>-0.66219999999992696</v>
      </c>
      <c r="AF1206">
        <v>0.80316665833400303</v>
      </c>
      <c r="AG1206">
        <v>-1.11028420852299</v>
      </c>
      <c r="AH1206">
        <v>18.9600947437802</v>
      </c>
      <c r="AI1206">
        <v>93.348360298269895</v>
      </c>
      <c r="AJ1206">
        <v>87.574349477140004</v>
      </c>
      <c r="AK1206">
        <v>19.009550241862001</v>
      </c>
      <c r="AL1206">
        <v>84.277131023770394</v>
      </c>
      <c r="AM1206">
        <v>86.833586516942404</v>
      </c>
      <c r="AN1206">
        <v>1.0000000276890999</v>
      </c>
    </row>
    <row r="1207" spans="1:40" x14ac:dyDescent="0.25">
      <c r="A1207" t="str">
        <f>"20190312164013327"</f>
        <v>20190312164013327</v>
      </c>
      <c r="B1207" t="str">
        <f>"1552380013317482"</f>
        <v>1552380013317482</v>
      </c>
      <c r="C1207" t="s">
        <v>40</v>
      </c>
      <c r="D1207">
        <v>5.4106379999999996</v>
      </c>
      <c r="E1207">
        <v>0.49760189999999999</v>
      </c>
      <c r="F1207" t="s">
        <v>41</v>
      </c>
      <c r="G1207">
        <v>-233.19829999999999</v>
      </c>
      <c r="H1207" s="1">
        <v>-3.3354880000000002E-6</v>
      </c>
      <c r="I1207">
        <v>367.1626</v>
      </c>
      <c r="J1207">
        <v>-252.37569999999999</v>
      </c>
      <c r="K1207">
        <v>1.1102749999999999</v>
      </c>
      <c r="L1207">
        <v>367.81810000000002</v>
      </c>
      <c r="M1207">
        <v>0.99986989999999998</v>
      </c>
      <c r="N1207">
        <v>0</v>
      </c>
      <c r="O1207">
        <v>7.537724E-3</v>
      </c>
      <c r="P1207">
        <v>0.9951913</v>
      </c>
      <c r="Q1207">
        <v>8.5744630000000002E-2</v>
      </c>
      <c r="R1207">
        <v>-4.7352680000000001E-2</v>
      </c>
      <c r="S1207">
        <v>3.024521</v>
      </c>
      <c r="T1207">
        <v>-0.17372969999999999</v>
      </c>
      <c r="U1207">
        <v>-0.10238650000000001</v>
      </c>
      <c r="V1207">
        <v>5.4857580000000003E-2</v>
      </c>
      <c r="W1207">
        <v>9.991854E-2</v>
      </c>
      <c r="X1207">
        <v>0.99348219999999998</v>
      </c>
      <c r="Y1207">
        <v>4.1285570000000001E-2</v>
      </c>
      <c r="Z1207">
        <v>-1.6169589999999901E-3</v>
      </c>
      <c r="AA1207">
        <v>0.99914610000000004</v>
      </c>
      <c r="AB1207">
        <v>30</v>
      </c>
      <c r="AC1207">
        <v>19.177399999999999</v>
      </c>
      <c r="AD1207">
        <v>-1.1102783354879999</v>
      </c>
      <c r="AE1207">
        <v>-0.65550000000001696</v>
      </c>
      <c r="AF1207">
        <v>0.79738044436689604</v>
      </c>
      <c r="AG1207">
        <v>-1.1102783354879999</v>
      </c>
      <c r="AH1207">
        <v>19.1079414280489</v>
      </c>
      <c r="AI1207">
        <v>93.322581007349896</v>
      </c>
      <c r="AJ1207">
        <v>87.610415430103899</v>
      </c>
      <c r="AK1207">
        <v>19.156773193130899</v>
      </c>
      <c r="AL1207">
        <v>84.265520188117407</v>
      </c>
      <c r="AM1207">
        <v>86.839481144293998</v>
      </c>
      <c r="AN1207">
        <v>0.99999997521801298</v>
      </c>
    </row>
    <row r="1208" spans="1:40" x14ac:dyDescent="0.25">
      <c r="A1208" t="str">
        <f>"20190312164013339"</f>
        <v>20190312164013339</v>
      </c>
      <c r="B1208" t="str">
        <f>"1552380013327242"</f>
        <v>1552380013327242</v>
      </c>
      <c r="C1208" t="s">
        <v>40</v>
      </c>
      <c r="D1208">
        <v>5.4143030000000003</v>
      </c>
      <c r="E1208">
        <v>0.49758649999999999</v>
      </c>
      <c r="F1208" t="s">
        <v>41</v>
      </c>
      <c r="G1208">
        <v>-233.00040000000001</v>
      </c>
      <c r="H1208" s="1">
        <v>-3.4199719999999999E-6</v>
      </c>
      <c r="I1208">
        <v>367.16489999999999</v>
      </c>
      <c r="J1208">
        <v>-252.20490000000001</v>
      </c>
      <c r="K1208">
        <v>1.110269</v>
      </c>
      <c r="L1208">
        <v>367.81939999999997</v>
      </c>
      <c r="M1208">
        <v>0.99987029999999999</v>
      </c>
      <c r="N1208">
        <v>0</v>
      </c>
      <c r="O1208">
        <v>7.5170469999999998E-3</v>
      </c>
      <c r="P1208">
        <v>0.995174</v>
      </c>
      <c r="Q1208">
        <v>8.5997959999999998E-2</v>
      </c>
      <c r="R1208">
        <v>-4.7260110000000001E-2</v>
      </c>
      <c r="S1208">
        <v>3.024597</v>
      </c>
      <c r="T1208">
        <v>-0.17332020000000001</v>
      </c>
      <c r="U1208">
        <v>-0.1019592</v>
      </c>
      <c r="V1208">
        <v>5.4746940000000001E-2</v>
      </c>
      <c r="W1208">
        <v>0.1001681</v>
      </c>
      <c r="X1208">
        <v>0.99346319999999999</v>
      </c>
      <c r="Y1208">
        <v>4.1123760000000002E-2</v>
      </c>
      <c r="Z1208">
        <v>-1.6073029999999901E-3</v>
      </c>
      <c r="AA1208">
        <v>0.99915279999999995</v>
      </c>
      <c r="AB1208">
        <v>30</v>
      </c>
      <c r="AC1208">
        <v>19.204499999999999</v>
      </c>
      <c r="AD1208">
        <v>-1.110272419972</v>
      </c>
      <c r="AE1208">
        <v>-0.65449999999998398</v>
      </c>
      <c r="AF1208">
        <v>0.79619918336465101</v>
      </c>
      <c r="AG1208">
        <v>-1.110272419972</v>
      </c>
      <c r="AH1208">
        <v>19.135154533635099</v>
      </c>
      <c r="AI1208">
        <v>93.3178653900912</v>
      </c>
      <c r="AJ1208">
        <v>87.617340742246398</v>
      </c>
      <c r="AK1208">
        <v>19.183867623923899</v>
      </c>
      <c r="AL1208">
        <v>84.251149514372401</v>
      </c>
      <c r="AM1208">
        <v>86.845782379833096</v>
      </c>
      <c r="AN1208">
        <v>1.0000000027256</v>
      </c>
    </row>
    <row r="1209" spans="1:40" x14ac:dyDescent="0.25">
      <c r="A1209" t="str">
        <f>"20190312164013356"</f>
        <v>20190312164013356</v>
      </c>
      <c r="B1209" t="str">
        <f>"1552380013347736"</f>
        <v>1552380013347736</v>
      </c>
      <c r="C1209" t="s">
        <v>40</v>
      </c>
      <c r="D1209">
        <v>5.1917559999999998</v>
      </c>
      <c r="E1209">
        <v>0.49749539999999998</v>
      </c>
      <c r="F1209" t="s">
        <v>41</v>
      </c>
      <c r="G1209">
        <v>-232.76300000000001</v>
      </c>
      <c r="H1209" s="1">
        <v>-3.5215230000000001E-6</v>
      </c>
      <c r="I1209">
        <v>367.16649999999998</v>
      </c>
      <c r="J1209">
        <v>-251.98570000000001</v>
      </c>
      <c r="K1209">
        <v>1.110258</v>
      </c>
      <c r="L1209">
        <v>367.82100000000003</v>
      </c>
      <c r="M1209">
        <v>0.9998705</v>
      </c>
      <c r="N1209">
        <v>0</v>
      </c>
      <c r="O1209">
        <v>7.4749500000000002E-3</v>
      </c>
      <c r="P1209">
        <v>0.99515399999999998</v>
      </c>
      <c r="Q1209">
        <v>8.6328329999999995E-2</v>
      </c>
      <c r="R1209">
        <v>-4.7080579999999997E-2</v>
      </c>
      <c r="S1209">
        <v>3.0246580000000001</v>
      </c>
      <c r="T1209">
        <v>-0.1727293</v>
      </c>
      <c r="U1209">
        <v>-0.1015625</v>
      </c>
      <c r="V1209">
        <v>5.4529090000000002E-2</v>
      </c>
      <c r="W1209">
        <v>0.1004941</v>
      </c>
      <c r="X1209">
        <v>0.99344219999999905</v>
      </c>
      <c r="Y1209">
        <v>4.0951000000000001E-2</v>
      </c>
      <c r="Z1209">
        <v>-1.5944729999999999E-3</v>
      </c>
      <c r="AA1209">
        <v>0.99915989999999999</v>
      </c>
      <c r="AB1209">
        <v>30</v>
      </c>
      <c r="AC1209">
        <v>19.2227</v>
      </c>
      <c r="AD1209">
        <v>-1.1102615215230001</v>
      </c>
      <c r="AE1209">
        <v>-0.65449999999998398</v>
      </c>
      <c r="AF1209">
        <v>0.79553422353849901</v>
      </c>
      <c r="AG1209">
        <v>-1.1102615215230001</v>
      </c>
      <c r="AH1209">
        <v>19.153448704892099</v>
      </c>
      <c r="AI1209">
        <v>93.314681198288099</v>
      </c>
      <c r="AJ1209">
        <v>87.621599627280801</v>
      </c>
      <c r="AK1209">
        <v>19.202087194832</v>
      </c>
      <c r="AL1209">
        <v>84.232376030328894</v>
      </c>
      <c r="AM1209">
        <v>86.858242227688393</v>
      </c>
      <c r="AN1209">
        <v>0.99999994526593705</v>
      </c>
    </row>
    <row r="1210" spans="1:40" x14ac:dyDescent="0.25">
      <c r="A1210" t="str">
        <f>"20190312164013377"</f>
        <v>20190312164013377</v>
      </c>
      <c r="B1210" t="str">
        <f>"1552380013367257"</f>
        <v>1552380013367257</v>
      </c>
      <c r="C1210" t="s">
        <v>40</v>
      </c>
      <c r="D1210">
        <v>5.2682190000000002</v>
      </c>
      <c r="E1210">
        <v>0.49739240000000001</v>
      </c>
      <c r="F1210" t="s">
        <v>41</v>
      </c>
      <c r="G1210">
        <v>-232.4923</v>
      </c>
      <c r="H1210" s="1">
        <v>-3.6359939999999998E-6</v>
      </c>
      <c r="I1210">
        <v>367.17590000000001</v>
      </c>
      <c r="J1210">
        <v>-251.70410000000001</v>
      </c>
      <c r="K1210">
        <v>1.1102339999999999</v>
      </c>
      <c r="L1210">
        <v>367.82299999999998</v>
      </c>
      <c r="M1210">
        <v>0.99987110000000001</v>
      </c>
      <c r="N1210">
        <v>0</v>
      </c>
      <c r="O1210">
        <v>7.4032769999999998E-3</v>
      </c>
      <c r="P1210">
        <v>0.99512929999999999</v>
      </c>
      <c r="Q1210">
        <v>8.6381289999999999E-2</v>
      </c>
      <c r="R1210">
        <v>-4.7498169999999999E-2</v>
      </c>
      <c r="S1210">
        <v>3.0248409999999999</v>
      </c>
      <c r="T1210">
        <v>-0.172281399999999</v>
      </c>
      <c r="U1210">
        <v>-0.1000977</v>
      </c>
      <c r="V1210">
        <v>5.4880190000000002E-2</v>
      </c>
      <c r="W1210">
        <v>0.10054100000000001</v>
      </c>
      <c r="X1210">
        <v>0.99341820000000003</v>
      </c>
      <c r="Y1210">
        <v>4.0395449999999999E-2</v>
      </c>
      <c r="Z1210">
        <v>-1.570381E-3</v>
      </c>
      <c r="AA1210">
        <v>0.99918249999999997</v>
      </c>
      <c r="AB1210">
        <v>30</v>
      </c>
      <c r="AC1210">
        <v>19.2118</v>
      </c>
      <c r="AD1210">
        <v>-1.110237635994</v>
      </c>
      <c r="AE1210">
        <v>-0.64710000000002299</v>
      </c>
      <c r="AF1210">
        <v>0.78670267373958502</v>
      </c>
      <c r="AG1210">
        <v>-1.110237635994</v>
      </c>
      <c r="AH1210">
        <v>19.142625791445099</v>
      </c>
      <c r="AI1210">
        <v>93.316539652259806</v>
      </c>
      <c r="AJ1210">
        <v>87.646645099823104</v>
      </c>
      <c r="AK1210">
        <v>19.190926264684201</v>
      </c>
      <c r="AL1210">
        <v>84.229675635020797</v>
      </c>
      <c r="AM1210">
        <v>86.837977869292104</v>
      </c>
      <c r="AN1210">
        <v>1.00000002401333</v>
      </c>
    </row>
    <row r="1211" spans="1:40" x14ac:dyDescent="0.25">
      <c r="A1211" t="str">
        <f>"20190312164013389"</f>
        <v>20190312164013389</v>
      </c>
      <c r="B1211" t="str">
        <f>"1552380013377018"</f>
        <v>1552380013377018</v>
      </c>
      <c r="C1211" t="s">
        <v>40</v>
      </c>
      <c r="D1211">
        <v>5.3740129999999997</v>
      </c>
      <c r="E1211">
        <v>0.49735829999999998</v>
      </c>
      <c r="F1211" t="s">
        <v>41</v>
      </c>
      <c r="G1211">
        <v>-232.2166</v>
      </c>
      <c r="H1211" s="1">
        <v>-3.7540349999999999E-6</v>
      </c>
      <c r="I1211">
        <v>367.1771</v>
      </c>
      <c r="J1211">
        <v>-251.53530000000001</v>
      </c>
      <c r="K1211">
        <v>1.110225</v>
      </c>
      <c r="L1211">
        <v>367.82420000000002</v>
      </c>
      <c r="M1211">
        <v>0.99987150000000002</v>
      </c>
      <c r="N1211">
        <v>0</v>
      </c>
      <c r="O1211">
        <v>7.3507219999999996E-3</v>
      </c>
      <c r="P1211">
        <v>0.99512639999999997</v>
      </c>
      <c r="Q1211">
        <v>8.640312E-2</v>
      </c>
      <c r="R1211">
        <v>-4.7519270000000002E-2</v>
      </c>
      <c r="S1211">
        <v>3.0248569999999999</v>
      </c>
      <c r="T1211">
        <v>-0.17233099999999901</v>
      </c>
      <c r="U1211">
        <v>-0.1002502</v>
      </c>
      <c r="V1211">
        <v>5.4851480000000001E-2</v>
      </c>
      <c r="W1211">
        <v>0.1005595</v>
      </c>
      <c r="X1211">
        <v>0.99341789999999996</v>
      </c>
      <c r="Y1211">
        <v>4.0393169999999999E-2</v>
      </c>
      <c r="Z1211">
        <v>-1.567766E-3</v>
      </c>
      <c r="AA1211">
        <v>0.99918260000000003</v>
      </c>
      <c r="AB1211">
        <v>30</v>
      </c>
      <c r="AC1211">
        <v>19.3187</v>
      </c>
      <c r="AD1211">
        <v>-1.110228754035</v>
      </c>
      <c r="AE1211">
        <v>-0.64710000000002299</v>
      </c>
      <c r="AF1211">
        <v>0.78650862826622303</v>
      </c>
      <c r="AG1211">
        <v>-1.110228754035</v>
      </c>
      <c r="AH1211">
        <v>19.2499153811433</v>
      </c>
      <c r="AI1211">
        <v>93.298101671750999</v>
      </c>
      <c r="AJ1211">
        <v>87.660323519390602</v>
      </c>
      <c r="AK1211">
        <v>19.297938902634201</v>
      </c>
      <c r="AL1211">
        <v>84.228610188266998</v>
      </c>
      <c r="AM1211">
        <v>86.839627741726204</v>
      </c>
      <c r="AN1211">
        <v>1.00000001096942</v>
      </c>
    </row>
    <row r="1212" spans="1:40" x14ac:dyDescent="0.25">
      <c r="A1212" t="str">
        <f>"20190312164013401"</f>
        <v>20190312164013401</v>
      </c>
      <c r="B1212" t="str">
        <f>"1552380013397513"</f>
        <v>1552380013397513</v>
      </c>
      <c r="C1212" t="s">
        <v>40</v>
      </c>
      <c r="D1212">
        <v>5.2349639999999997</v>
      </c>
      <c r="E1212">
        <v>0.49733110000000003</v>
      </c>
      <c r="F1212" t="s">
        <v>41</v>
      </c>
      <c r="G1212">
        <v>-232.04920000000001</v>
      </c>
      <c r="H1212" s="1">
        <v>-3.8249600000000004E-6</v>
      </c>
      <c r="I1212">
        <v>367.1823</v>
      </c>
      <c r="J1212">
        <v>-251.386</v>
      </c>
      <c r="K1212">
        <v>1.1102209999999999</v>
      </c>
      <c r="L1212">
        <v>367.82530000000003</v>
      </c>
      <c r="M1212">
        <v>0.99987190000000004</v>
      </c>
      <c r="N1212">
        <v>0</v>
      </c>
      <c r="O1212">
        <v>7.3020139999999999E-3</v>
      </c>
      <c r="P1212">
        <v>0.99510790000000005</v>
      </c>
      <c r="Q1212">
        <v>8.6389359999999998E-2</v>
      </c>
      <c r="R1212">
        <v>-4.7929190000000003E-2</v>
      </c>
      <c r="S1212">
        <v>3.0248870000000001</v>
      </c>
      <c r="T1212">
        <v>-0.17234349999999901</v>
      </c>
      <c r="U1212">
        <v>-9.9639889999999995E-2</v>
      </c>
      <c r="V1212">
        <v>5.5214859999999998E-2</v>
      </c>
      <c r="W1212">
        <v>0.1005434</v>
      </c>
      <c r="X1212">
        <v>0.99339940000000004</v>
      </c>
      <c r="Y1212">
        <v>4.0143239999999997E-2</v>
      </c>
      <c r="Z1212">
        <v>-1.557985E-3</v>
      </c>
      <c r="AA1212">
        <v>0.99919270000000004</v>
      </c>
      <c r="AB1212">
        <v>30</v>
      </c>
      <c r="AC1212">
        <v>19.336799999999901</v>
      </c>
      <c r="AD1212">
        <v>-1.11022482496</v>
      </c>
      <c r="AE1212">
        <v>-0.64300000000002899</v>
      </c>
      <c r="AF1212">
        <v>0.78162099736731006</v>
      </c>
      <c r="AG1212">
        <v>-1.11022482496</v>
      </c>
      <c r="AH1212">
        <v>19.268141493295701</v>
      </c>
      <c r="AI1212">
        <v>93.295016235707294</v>
      </c>
      <c r="AJ1212">
        <v>87.677044050664193</v>
      </c>
      <c r="AK1212">
        <v>19.315921079543301</v>
      </c>
      <c r="AL1212">
        <v>84.229537355165405</v>
      </c>
      <c r="AM1212">
        <v>86.8186746524201</v>
      </c>
      <c r="AN1212">
        <v>1.0000000119843599</v>
      </c>
    </row>
    <row r="1213" spans="1:40" x14ac:dyDescent="0.25">
      <c r="A1213" t="str">
        <f>"20190312164013413"</f>
        <v>20190312164013413</v>
      </c>
      <c r="B1213" t="str">
        <f>"1552380013407273"</f>
        <v>1552380013407273</v>
      </c>
      <c r="C1213" t="s">
        <v>40</v>
      </c>
      <c r="D1213">
        <v>5.3770369999999996</v>
      </c>
      <c r="E1213">
        <v>0.49730950000000002</v>
      </c>
      <c r="F1213" t="s">
        <v>41</v>
      </c>
      <c r="G1213">
        <v>-232.0352</v>
      </c>
      <c r="H1213" s="1">
        <v>-3.8311329999999999E-6</v>
      </c>
      <c r="I1213">
        <v>367.1814</v>
      </c>
      <c r="J1213">
        <v>-251.2285</v>
      </c>
      <c r="K1213">
        <v>1.110214</v>
      </c>
      <c r="L1213">
        <v>367.82639999999998</v>
      </c>
      <c r="M1213">
        <v>0.99987239999999999</v>
      </c>
      <c r="N1213">
        <v>0</v>
      </c>
      <c r="O1213">
        <v>7.2464719999999899E-3</v>
      </c>
      <c r="P1213">
        <v>0.99509890000000001</v>
      </c>
      <c r="Q1213">
        <v>8.6336339999999998E-2</v>
      </c>
      <c r="R1213">
        <v>-4.821404E-2</v>
      </c>
      <c r="S1213">
        <v>3.0249480000000002</v>
      </c>
      <c r="T1213">
        <v>-0.17355100000000001</v>
      </c>
      <c r="U1213">
        <v>-0.100647</v>
      </c>
      <c r="V1213">
        <v>5.5445830000000002E-2</v>
      </c>
      <c r="W1213">
        <v>0.1004874</v>
      </c>
      <c r="X1213">
        <v>0.99339219999999895</v>
      </c>
      <c r="Y1213">
        <v>4.0417920000000003E-2</v>
      </c>
      <c r="Z1213">
        <v>-1.5735300000000001E-3</v>
      </c>
      <c r="AA1213">
        <v>0.9991816</v>
      </c>
      <c r="AB1213">
        <v>30</v>
      </c>
      <c r="AC1213">
        <v>19.193299999999901</v>
      </c>
      <c r="AD1213">
        <v>-1.110217831133</v>
      </c>
      <c r="AE1213">
        <v>-0.64499999999998103</v>
      </c>
      <c r="AF1213">
        <v>0.78146907611007199</v>
      </c>
      <c r="AG1213">
        <v>-1.110217831133</v>
      </c>
      <c r="AH1213">
        <v>19.124205403911301</v>
      </c>
      <c r="AI1213">
        <v>93.319699627427497</v>
      </c>
      <c r="AJ1213">
        <v>87.660034358792302</v>
      </c>
      <c r="AK1213">
        <v>19.172337100115701</v>
      </c>
      <c r="AL1213">
        <v>84.232762241637801</v>
      </c>
      <c r="AM1213">
        <v>86.805371209083802</v>
      </c>
      <c r="AN1213">
        <v>1.0000000103219899</v>
      </c>
    </row>
    <row r="1214" spans="1:40" x14ac:dyDescent="0.25">
      <c r="A1214" t="str">
        <f>"20190312164013424"</f>
        <v>20190312164013424</v>
      </c>
      <c r="B1214" t="str">
        <f>"1552380013417034"</f>
        <v>1552380013417034</v>
      </c>
      <c r="C1214" t="s">
        <v>40</v>
      </c>
      <c r="D1214">
        <v>5.41899</v>
      </c>
      <c r="E1214">
        <v>0.49726769999999998</v>
      </c>
      <c r="F1214" t="s">
        <v>41</v>
      </c>
      <c r="G1214">
        <v>-231.90430000000001</v>
      </c>
      <c r="H1214" s="1">
        <v>-3.8873850000000001E-6</v>
      </c>
      <c r="I1214">
        <v>367.1807</v>
      </c>
      <c r="J1214">
        <v>-251.0668</v>
      </c>
      <c r="K1214">
        <v>1.110209</v>
      </c>
      <c r="L1214">
        <v>367.82749999999999</v>
      </c>
      <c r="M1214">
        <v>0.99987269999999995</v>
      </c>
      <c r="N1214">
        <v>0</v>
      </c>
      <c r="O1214">
        <v>7.1864290000000003E-3</v>
      </c>
      <c r="P1214">
        <v>0.99508379999999996</v>
      </c>
      <c r="Q1214">
        <v>8.6304690000000003E-2</v>
      </c>
      <c r="R1214">
        <v>-4.8578429999999999E-2</v>
      </c>
      <c r="S1214">
        <v>3.0249630000000001</v>
      </c>
      <c r="T1214">
        <v>-0.17379069999999999</v>
      </c>
      <c r="U1214">
        <v>-0.1010742</v>
      </c>
      <c r="V1214">
        <v>5.575186E-2</v>
      </c>
      <c r="W1214">
        <v>0.1004533</v>
      </c>
      <c r="X1214">
        <v>0.99337850000000005</v>
      </c>
      <c r="Y1214">
        <v>4.0498470000000002E-2</v>
      </c>
      <c r="Z1214">
        <v>-1.57455299999999E-3</v>
      </c>
      <c r="AA1214">
        <v>0.99917829999999996</v>
      </c>
      <c r="AB1214">
        <v>30</v>
      </c>
      <c r="AC1214">
        <v>19.162499999999898</v>
      </c>
      <c r="AD1214">
        <v>-1.1102128873849999</v>
      </c>
      <c r="AE1214">
        <v>-0.64679999999998405</v>
      </c>
      <c r="AF1214">
        <v>0.78188567294932199</v>
      </c>
      <c r="AG1214">
        <v>-1.1102128873849999</v>
      </c>
      <c r="AH1214">
        <v>19.093339379533798</v>
      </c>
      <c r="AI1214">
        <v>93.325027496735402</v>
      </c>
      <c r="AJ1214">
        <v>87.655007775569999</v>
      </c>
      <c r="AK1214">
        <v>19.1415654146398</v>
      </c>
      <c r="AL1214">
        <v>84.2347258454204</v>
      </c>
      <c r="AM1214">
        <v>86.787731258949705</v>
      </c>
      <c r="AN1214">
        <v>0.99999998981829896</v>
      </c>
    </row>
    <row r="1215" spans="1:40" x14ac:dyDescent="0.25">
      <c r="A1215" t="str">
        <f>"20190312164013435"</f>
        <v>20190312164013435</v>
      </c>
      <c r="B1215" t="str">
        <f>"1552380013427770"</f>
        <v>1552380013427770</v>
      </c>
      <c r="C1215" t="s">
        <v>40</v>
      </c>
      <c r="D1215">
        <v>5.3166370000000001</v>
      </c>
      <c r="E1215">
        <v>0.4972124</v>
      </c>
      <c r="F1215" t="s">
        <v>41</v>
      </c>
      <c r="G1215">
        <v>-231.76840000000001</v>
      </c>
      <c r="H1215" s="1">
        <v>-3.946354E-6</v>
      </c>
      <c r="I1215">
        <v>367.17700000000002</v>
      </c>
      <c r="J1215">
        <v>-250.92320000000001</v>
      </c>
      <c r="K1215">
        <v>1.110201</v>
      </c>
      <c r="L1215">
        <v>367.82850000000002</v>
      </c>
      <c r="M1215">
        <v>0.99987320000000002</v>
      </c>
      <c r="N1215">
        <v>0</v>
      </c>
      <c r="O1215">
        <v>7.1311229999999996E-3</v>
      </c>
      <c r="P1215">
        <v>0.99507330000000005</v>
      </c>
      <c r="Q1215">
        <v>8.6229009999999995E-2</v>
      </c>
      <c r="R1215">
        <v>-4.8928659999999999E-2</v>
      </c>
      <c r="S1215">
        <v>3.0249329999999999</v>
      </c>
      <c r="T1215">
        <v>-0.17402010000000001</v>
      </c>
      <c r="U1215">
        <v>-0.1019592</v>
      </c>
      <c r="V1215">
        <v>5.6047810000000003E-2</v>
      </c>
      <c r="W1215">
        <v>0.10037500000000001</v>
      </c>
      <c r="X1215">
        <v>0.99336979999999997</v>
      </c>
      <c r="Y1215">
        <v>4.073504E-2</v>
      </c>
      <c r="Z1215">
        <v>-1.5802539999999999E-3</v>
      </c>
      <c r="AA1215">
        <v>0.99916879999999997</v>
      </c>
      <c r="AB1215">
        <v>30</v>
      </c>
      <c r="AC1215">
        <v>19.154799999999899</v>
      </c>
      <c r="AD1215">
        <v>-1.110204946354</v>
      </c>
      <c r="AE1215">
        <v>-0.65150000000005504</v>
      </c>
      <c r="AF1215">
        <v>0.78545696355185401</v>
      </c>
      <c r="AG1215">
        <v>-1.110204946354</v>
      </c>
      <c r="AH1215">
        <v>19.085625863556899</v>
      </c>
      <c r="AI1215">
        <v>93.326316858203697</v>
      </c>
      <c r="AJ1215">
        <v>87.643357992455194</v>
      </c>
      <c r="AK1215">
        <v>19.1340171492599</v>
      </c>
      <c r="AL1215">
        <v>84.239235119092299</v>
      </c>
      <c r="AM1215">
        <v>86.770687205709706</v>
      </c>
      <c r="AN1215">
        <v>1.0000000285914099</v>
      </c>
    </row>
    <row r="1216" spans="1:40" x14ac:dyDescent="0.25">
      <c r="A1216" t="str">
        <f>"20190312164013455"</f>
        <v>20190312164013455</v>
      </c>
      <c r="B1216" t="str">
        <f>"1552380013447292"</f>
        <v>1552380013447292</v>
      </c>
      <c r="C1216" t="s">
        <v>40</v>
      </c>
      <c r="D1216">
        <v>5.4109990000000003</v>
      </c>
      <c r="E1216">
        <v>0.49713269999999998</v>
      </c>
      <c r="F1216" t="s">
        <v>41</v>
      </c>
      <c r="G1216">
        <v>-231.6352</v>
      </c>
      <c r="H1216" s="1">
        <v>-4.0036979999999998E-6</v>
      </c>
      <c r="I1216">
        <v>367.17599999999999</v>
      </c>
      <c r="J1216">
        <v>-250.66730000000001</v>
      </c>
      <c r="K1216">
        <v>1.1101939999999999</v>
      </c>
      <c r="L1216">
        <v>367.83010000000002</v>
      </c>
      <c r="M1216">
        <v>0.99987409999999999</v>
      </c>
      <c r="N1216">
        <v>0</v>
      </c>
      <c r="O1216">
        <v>7.02909E-3</v>
      </c>
      <c r="P1216">
        <v>0.9950523</v>
      </c>
      <c r="Q1216">
        <v>8.6000350000000003E-2</v>
      </c>
      <c r="R1216">
        <v>-4.9750000000000003E-2</v>
      </c>
      <c r="S1216">
        <v>3.024902</v>
      </c>
      <c r="T1216">
        <v>-0.1741105</v>
      </c>
      <c r="U1216">
        <v>-0.1023254</v>
      </c>
      <c r="V1216">
        <v>5.6768539999999999E-2</v>
      </c>
      <c r="W1216">
        <v>0.100143</v>
      </c>
      <c r="X1216">
        <v>0.99335229999999997</v>
      </c>
      <c r="Y1216">
        <v>4.0754289999999999E-2</v>
      </c>
      <c r="Z1216">
        <v>-1.5757739999999901E-3</v>
      </c>
      <c r="AA1216">
        <v>0.99916799999999995</v>
      </c>
      <c r="AB1216">
        <v>30</v>
      </c>
      <c r="AC1216">
        <v>19.0321</v>
      </c>
      <c r="AD1216">
        <v>-1.1101980036979999</v>
      </c>
      <c r="AE1216">
        <v>-0.65410000000002799</v>
      </c>
      <c r="AF1216">
        <v>0.785207025089252</v>
      </c>
      <c r="AG1216">
        <v>-1.1101980036979999</v>
      </c>
      <c r="AH1216">
        <v>18.962583114596299</v>
      </c>
      <c r="AI1216">
        <v>93.3477956037203</v>
      </c>
      <c r="AJ1216">
        <v>87.628837729216102</v>
      </c>
      <c r="AK1216">
        <v>19.0112768655247</v>
      </c>
      <c r="AL1216">
        <v>84.252595119670701</v>
      </c>
      <c r="AM1216">
        <v>86.729192917038205</v>
      </c>
      <c r="AN1216">
        <v>1.0000000397490101</v>
      </c>
    </row>
    <row r="1217" spans="1:40" x14ac:dyDescent="0.25">
      <c r="A1217" t="str">
        <f>"20190312164013467"</f>
        <v>20190312164013467</v>
      </c>
      <c r="B1217" t="str">
        <f>"1552380013457049"</f>
        <v>1552380013457049</v>
      </c>
      <c r="C1217" t="s">
        <v>40</v>
      </c>
      <c r="D1217">
        <v>5.4717500000000001</v>
      </c>
      <c r="E1217">
        <v>0.49708659999999999</v>
      </c>
      <c r="F1217" t="s">
        <v>41</v>
      </c>
      <c r="G1217">
        <v>-231.38810000000001</v>
      </c>
      <c r="H1217" s="1">
        <v>-4.1119450000000002E-6</v>
      </c>
      <c r="I1217">
        <v>367.16329999999999</v>
      </c>
      <c r="J1217">
        <v>-250.50380000000001</v>
      </c>
      <c r="K1217">
        <v>1.110195</v>
      </c>
      <c r="L1217">
        <v>367.83120000000002</v>
      </c>
      <c r="M1217">
        <v>0.99987440000000005</v>
      </c>
      <c r="N1217">
        <v>0</v>
      </c>
      <c r="O1217">
        <v>6.96292E-3</v>
      </c>
      <c r="P1217">
        <v>0.99503960000000002</v>
      </c>
      <c r="Q1217">
        <v>8.5965319999999998E-2</v>
      </c>
      <c r="R1217">
        <v>-5.0060319999999998E-2</v>
      </c>
      <c r="S1217">
        <v>3.02475</v>
      </c>
      <c r="T1217">
        <v>-0.174179799999999</v>
      </c>
      <c r="U1217">
        <v>-0.10461429999999999</v>
      </c>
      <c r="V1217">
        <v>5.7013170000000002E-2</v>
      </c>
      <c r="W1217">
        <v>0.100106</v>
      </c>
      <c r="X1217">
        <v>0.99334199999999995</v>
      </c>
      <c r="Y1217">
        <v>4.144395E-2</v>
      </c>
      <c r="Z1217">
        <v>-1.5924870000000001E-3</v>
      </c>
      <c r="AA1217">
        <v>0.99913949999999996</v>
      </c>
      <c r="AB1217">
        <v>30</v>
      </c>
      <c r="AC1217">
        <v>19.1157</v>
      </c>
      <c r="AD1217">
        <v>-1.1101991119450001</v>
      </c>
      <c r="AE1217">
        <v>-0.66790000000003102</v>
      </c>
      <c r="AF1217">
        <v>0.79830894389649099</v>
      </c>
      <c r="AG1217">
        <v>-1.1101991119450001</v>
      </c>
      <c r="AH1217">
        <v>19.0464195297162</v>
      </c>
      <c r="AI1217">
        <v>93.333026333657699</v>
      </c>
      <c r="AJ1217">
        <v>87.599917580076905</v>
      </c>
      <c r="AK1217">
        <v>19.095442810786601</v>
      </c>
      <c r="AL1217">
        <v>84.254725661332799</v>
      </c>
      <c r="AM1217">
        <v>86.715094994905002</v>
      </c>
      <c r="AN1217">
        <v>1.0000000208767199</v>
      </c>
    </row>
    <row r="1218" spans="1:40" x14ac:dyDescent="0.25">
      <c r="A1218" t="str">
        <f>"20190312164013479"</f>
        <v>20190312164013479</v>
      </c>
      <c r="B1218" t="str">
        <f>"1552380013466809"</f>
        <v>1552380013466809</v>
      </c>
      <c r="C1218" t="s">
        <v>40</v>
      </c>
      <c r="D1218">
        <v>5.3875060000000001</v>
      </c>
      <c r="E1218">
        <v>0.49707440000000003</v>
      </c>
      <c r="F1218" t="s">
        <v>41</v>
      </c>
      <c r="G1218">
        <v>-231.28710000000001</v>
      </c>
      <c r="H1218" s="1">
        <v>-4.1554400000000003E-6</v>
      </c>
      <c r="I1218">
        <v>367.16230000000002</v>
      </c>
      <c r="J1218">
        <v>-250.35149999999999</v>
      </c>
      <c r="K1218">
        <v>1.1101909999999999</v>
      </c>
      <c r="L1218">
        <v>367.8322</v>
      </c>
      <c r="M1218">
        <v>0.99987499999999996</v>
      </c>
      <c r="N1218">
        <v>0</v>
      </c>
      <c r="O1218">
        <v>6.9009279999999997E-3</v>
      </c>
      <c r="P1218">
        <v>0.99504769999999998</v>
      </c>
      <c r="Q1218">
        <v>8.5809869999999996E-2</v>
      </c>
      <c r="R1218">
        <v>-5.0169720000000001E-2</v>
      </c>
      <c r="S1218">
        <v>3.0247799999999998</v>
      </c>
      <c r="T1218">
        <v>-0.17474909999999999</v>
      </c>
      <c r="U1218">
        <v>-0.10528559999999999</v>
      </c>
      <c r="V1218">
        <v>5.7061319999999999E-2</v>
      </c>
      <c r="W1218">
        <v>9.994844E-2</v>
      </c>
      <c r="X1218">
        <v>0.99335510000000005</v>
      </c>
      <c r="Y1218">
        <v>4.1602460000000001E-2</v>
      </c>
      <c r="Z1218">
        <v>-1.5986570000000001E-3</v>
      </c>
      <c r="AA1218">
        <v>0.99913300000000005</v>
      </c>
      <c r="AB1218">
        <v>30</v>
      </c>
      <c r="AC1218">
        <v>19.0643999999999</v>
      </c>
      <c r="AD1218">
        <v>-1.11019515544</v>
      </c>
      <c r="AE1218">
        <v>-0.66989999999998395</v>
      </c>
      <c r="AF1218">
        <v>0.79875402288186903</v>
      </c>
      <c r="AG1218">
        <v>-1.11019515544</v>
      </c>
      <c r="AH1218">
        <v>18.994986346472299</v>
      </c>
      <c r="AI1218">
        <v>93.341999803580606</v>
      </c>
      <c r="AJ1218">
        <v>87.592086297969999</v>
      </c>
      <c r="AK1218">
        <v>19.044160458652399</v>
      </c>
      <c r="AL1218">
        <v>84.263798681901605</v>
      </c>
      <c r="AM1218">
        <v>86.712370100109098</v>
      </c>
      <c r="AN1218">
        <v>1.00000001979729</v>
      </c>
    </row>
    <row r="1219" spans="1:40" x14ac:dyDescent="0.25">
      <c r="A1219" t="str">
        <f>"20190312164013499"</f>
        <v>20190312164013499</v>
      </c>
      <c r="B1219" t="str">
        <f>"1552380013487305"</f>
        <v>1552380013487305</v>
      </c>
      <c r="C1219" t="s">
        <v>40</v>
      </c>
      <c r="D1219">
        <v>5.4546289999999997</v>
      </c>
      <c r="E1219">
        <v>0.49694700000000003</v>
      </c>
      <c r="F1219" t="s">
        <v>41</v>
      </c>
      <c r="G1219">
        <v>-231.2079</v>
      </c>
      <c r="H1219" s="1">
        <v>-4.188706E-6</v>
      </c>
      <c r="I1219">
        <v>367.16640000000001</v>
      </c>
      <c r="J1219">
        <v>-250.08109999999999</v>
      </c>
      <c r="K1219">
        <v>1.11019</v>
      </c>
      <c r="L1219">
        <v>367.834</v>
      </c>
      <c r="M1219">
        <v>0.99987570000000003</v>
      </c>
      <c r="N1219">
        <v>0</v>
      </c>
      <c r="O1219">
        <v>6.7930439999999998E-3</v>
      </c>
      <c r="P1219">
        <v>0.99507230000000002</v>
      </c>
      <c r="Q1219">
        <v>8.5461990000000002E-2</v>
      </c>
      <c r="R1219">
        <v>-5.0275750000000001E-2</v>
      </c>
      <c r="S1219">
        <v>3.0247799999999998</v>
      </c>
      <c r="T1219">
        <v>-0.17541479999999901</v>
      </c>
      <c r="U1219">
        <v>-0.1051941</v>
      </c>
      <c r="V1219">
        <v>5.7060369999999999E-2</v>
      </c>
      <c r="W1219">
        <v>9.9598279999999997E-2</v>
      </c>
      <c r="X1219">
        <v>0.99339029999999995</v>
      </c>
      <c r="Y1219">
        <v>4.1464260000000003E-2</v>
      </c>
      <c r="Z1219">
        <v>-1.594484E-3</v>
      </c>
      <c r="AA1219">
        <v>0.99913870000000005</v>
      </c>
      <c r="AB1219">
        <v>30</v>
      </c>
      <c r="AC1219">
        <v>18.873200000000001</v>
      </c>
      <c r="AD1219">
        <v>-1.1101941887060001</v>
      </c>
      <c r="AE1219">
        <v>-0.66759999999999298</v>
      </c>
      <c r="AF1219">
        <v>0.793063286654487</v>
      </c>
      <c r="AG1219">
        <v>-1.1101941887060001</v>
      </c>
      <c r="AH1219">
        <v>18.803246430071201</v>
      </c>
      <c r="AI1219">
        <v>93.375979524296994</v>
      </c>
      <c r="AJ1219">
        <v>87.584871087115403</v>
      </c>
      <c r="AK1219">
        <v>18.852680361775199</v>
      </c>
      <c r="AL1219">
        <v>84.283961844439006</v>
      </c>
      <c r="AM1219">
        <v>86.712540952121202</v>
      </c>
      <c r="AN1219">
        <v>0.99999999566879205</v>
      </c>
    </row>
    <row r="1220" spans="1:40" x14ac:dyDescent="0.25">
      <c r="A1220" t="str">
        <f>"20190312164013510"</f>
        <v>20190312164013510</v>
      </c>
      <c r="B1220" t="str">
        <f>"1552380013507802"</f>
        <v>1552380013507802</v>
      </c>
      <c r="C1220" t="s">
        <v>40</v>
      </c>
      <c r="D1220">
        <v>5.240672</v>
      </c>
      <c r="E1220">
        <v>0.49692520000000001</v>
      </c>
      <c r="F1220" t="s">
        <v>41</v>
      </c>
      <c r="G1220">
        <v>-231.00700000000001</v>
      </c>
      <c r="H1220" s="1">
        <v>-4.2731389999999998E-6</v>
      </c>
      <c r="I1220">
        <v>367.17630000000003</v>
      </c>
      <c r="J1220">
        <v>-249.93389999999999</v>
      </c>
      <c r="K1220">
        <v>1.11019</v>
      </c>
      <c r="L1220">
        <v>367.8349</v>
      </c>
      <c r="M1220">
        <v>0.99987610000000005</v>
      </c>
      <c r="N1220">
        <v>0</v>
      </c>
      <c r="O1220">
        <v>6.7354090000000004E-3</v>
      </c>
      <c r="P1220">
        <v>0.99507000000000001</v>
      </c>
      <c r="Q1220">
        <v>8.5595580000000004E-2</v>
      </c>
      <c r="R1220">
        <v>-5.0090540000000003E-2</v>
      </c>
      <c r="S1220">
        <v>3.024734</v>
      </c>
      <c r="T1220">
        <v>-0.1760514</v>
      </c>
      <c r="U1220">
        <v>-0.1042786</v>
      </c>
      <c r="V1220">
        <v>5.6818140000000003E-2</v>
      </c>
      <c r="W1220">
        <v>9.9730189999999996E-2</v>
      </c>
      <c r="X1220">
        <v>0.99339100000000002</v>
      </c>
      <c r="Y1220">
        <v>4.1105240000000001E-2</v>
      </c>
      <c r="Z1220">
        <v>-1.5865059999999999E-3</v>
      </c>
      <c r="AA1220">
        <v>0.99915359999999998</v>
      </c>
      <c r="AB1220">
        <v>30</v>
      </c>
      <c r="AC1220">
        <v>18.9268999999999</v>
      </c>
      <c r="AD1220">
        <v>-1.110194273139</v>
      </c>
      <c r="AE1220">
        <v>-0.65859999999997798</v>
      </c>
      <c r="AF1220">
        <v>0.783386285648488</v>
      </c>
      <c r="AG1220">
        <v>-1.110194273139</v>
      </c>
      <c r="AH1220">
        <v>18.8572317579622</v>
      </c>
      <c r="AI1220">
        <v>93.366426101101993</v>
      </c>
      <c r="AJ1220">
        <v>87.621128373640005</v>
      </c>
      <c r="AK1220">
        <v>18.906121097944698</v>
      </c>
      <c r="AL1220">
        <v>84.276366425405797</v>
      </c>
      <c r="AM1220">
        <v>86.726468605342504</v>
      </c>
      <c r="AN1220">
        <v>1.0000000453557401</v>
      </c>
    </row>
    <row r="1221" spans="1:40" x14ac:dyDescent="0.25">
      <c r="A1221" t="str">
        <f>"20190312164013522"</f>
        <v>20190312164013522</v>
      </c>
      <c r="B1221" t="str">
        <f>"1552380013517561"</f>
        <v>1552380013517561</v>
      </c>
      <c r="C1221" t="s">
        <v>40</v>
      </c>
      <c r="D1221">
        <v>5.4484349999999999</v>
      </c>
      <c r="E1221">
        <v>0.49688749999999998</v>
      </c>
      <c r="F1221" t="s">
        <v>41</v>
      </c>
      <c r="G1221">
        <v>-230.80940000000001</v>
      </c>
      <c r="H1221" s="1">
        <v>-4.3572899999999999E-6</v>
      </c>
      <c r="I1221">
        <v>367.17970000000003</v>
      </c>
      <c r="J1221">
        <v>-249.77950000000001</v>
      </c>
      <c r="K1221">
        <v>1.11019</v>
      </c>
      <c r="L1221">
        <v>367.83580000000001</v>
      </c>
      <c r="M1221">
        <v>0.9998764</v>
      </c>
      <c r="N1221">
        <v>0</v>
      </c>
      <c r="O1221">
        <v>6.6754509999999998E-3</v>
      </c>
      <c r="P1221">
        <v>0.99507860000000004</v>
      </c>
      <c r="Q1221">
        <v>8.5609240000000003E-2</v>
      </c>
      <c r="R1221">
        <v>-4.9895549999999997E-2</v>
      </c>
      <c r="S1221">
        <v>3.0247649999999999</v>
      </c>
      <c r="T1221">
        <v>-0.17558879999999999</v>
      </c>
      <c r="U1221">
        <v>-0.103607199999999</v>
      </c>
      <c r="V1221">
        <v>5.6563679999999998E-2</v>
      </c>
      <c r="W1221">
        <v>9.9742540000000005E-2</v>
      </c>
      <c r="X1221">
        <v>0.99340419999999996</v>
      </c>
      <c r="Y1221">
        <v>4.082446E-2</v>
      </c>
      <c r="Z1221">
        <v>-1.5707169999999999E-3</v>
      </c>
      <c r="AA1221">
        <v>0.99916510000000003</v>
      </c>
      <c r="AB1221">
        <v>30</v>
      </c>
      <c r="AC1221">
        <v>18.970099999999999</v>
      </c>
      <c r="AD1221">
        <v>-1.1101943572899999</v>
      </c>
      <c r="AE1221">
        <v>-0.65609999999998003</v>
      </c>
      <c r="AF1221">
        <v>0.78006366784907899</v>
      </c>
      <c r="AG1221">
        <v>-1.1101943572899999</v>
      </c>
      <c r="AH1221">
        <v>18.9006399495231</v>
      </c>
      <c r="AI1221">
        <v>93.358750133681298</v>
      </c>
      <c r="AJ1221">
        <v>87.636640608679699</v>
      </c>
      <c r="AK1221">
        <v>18.949280232725599</v>
      </c>
      <c r="AL1221">
        <v>84.275654811615297</v>
      </c>
      <c r="AM1221">
        <v>86.741140653292902</v>
      </c>
      <c r="AN1221">
        <v>0.99999996437921601</v>
      </c>
    </row>
    <row r="1222" spans="1:40" x14ac:dyDescent="0.25">
      <c r="A1222" t="str">
        <f>"20190312164013533"</f>
        <v>20190312164013533</v>
      </c>
      <c r="B1222" t="str">
        <f>"1552380013527321"</f>
        <v>1552380013527321</v>
      </c>
      <c r="C1222" t="s">
        <v>40</v>
      </c>
      <c r="D1222">
        <v>5.3463129999999897</v>
      </c>
      <c r="E1222">
        <v>0.4968438</v>
      </c>
      <c r="F1222" t="s">
        <v>41</v>
      </c>
      <c r="G1222">
        <v>-230.65549999999999</v>
      </c>
      <c r="H1222" s="1">
        <v>-4.4219650000000003E-6</v>
      </c>
      <c r="I1222">
        <v>367.18729999999999</v>
      </c>
      <c r="J1222">
        <v>-249.62780000000001</v>
      </c>
      <c r="K1222">
        <v>1.1101890000000001</v>
      </c>
      <c r="L1222">
        <v>367.83679999999998</v>
      </c>
      <c r="M1222">
        <v>0.99987689999999996</v>
      </c>
      <c r="N1222">
        <v>0</v>
      </c>
      <c r="O1222">
        <v>6.6173419999999896E-3</v>
      </c>
      <c r="P1222">
        <v>0.9950852</v>
      </c>
      <c r="Q1222">
        <v>8.5718329999999995E-2</v>
      </c>
      <c r="R1222">
        <v>-4.9577889999999999E-2</v>
      </c>
      <c r="S1222">
        <v>3.0247959999999998</v>
      </c>
      <c r="T1222">
        <v>-0.1755958</v>
      </c>
      <c r="U1222">
        <v>-0.1025696</v>
      </c>
      <c r="V1222">
        <v>5.6188370000000001E-2</v>
      </c>
      <c r="W1222">
        <v>9.9850240000000007E-2</v>
      </c>
      <c r="X1222">
        <v>0.99341469999999998</v>
      </c>
      <c r="Y1222">
        <v>4.0424460000000002E-2</v>
      </c>
      <c r="Z1222">
        <v>-1.5558049999999999E-3</v>
      </c>
      <c r="AA1222">
        <v>0.9991814</v>
      </c>
      <c r="AB1222">
        <v>30</v>
      </c>
      <c r="AC1222">
        <v>18.972300000000001</v>
      </c>
      <c r="AD1222">
        <v>-1.11019342196499</v>
      </c>
      <c r="AE1222">
        <v>-0.64949999999998898</v>
      </c>
      <c r="AF1222">
        <v>0.77240292584817205</v>
      </c>
      <c r="AG1222">
        <v>-1.11019342196499</v>
      </c>
      <c r="AH1222">
        <v>18.9029347291664</v>
      </c>
      <c r="AI1222">
        <v>93.358396858068303</v>
      </c>
      <c r="AJ1222">
        <v>87.660108208917194</v>
      </c>
      <c r="AK1222">
        <v>18.951255290591199</v>
      </c>
      <c r="AL1222">
        <v>84.2694532134323</v>
      </c>
      <c r="AM1222">
        <v>86.7627517609629</v>
      </c>
      <c r="AN1222">
        <v>0.999999984763702</v>
      </c>
    </row>
    <row r="1223" spans="1:40" x14ac:dyDescent="0.25">
      <c r="A1223" t="str">
        <f>"20190312164013546"</f>
        <v>20190312164013546</v>
      </c>
      <c r="B1223" t="str">
        <f>"1552380013537081"</f>
        <v>1552380013537081</v>
      </c>
      <c r="C1223" t="s">
        <v>40</v>
      </c>
      <c r="D1223">
        <v>5.1128589999999896</v>
      </c>
      <c r="E1223">
        <v>0.49679570000000001</v>
      </c>
      <c r="F1223" t="s">
        <v>41</v>
      </c>
      <c r="G1223">
        <v>-230.4984</v>
      </c>
      <c r="H1223" s="1">
        <v>-4.4874550000000001E-6</v>
      </c>
      <c r="I1223">
        <v>367.19799999999998</v>
      </c>
      <c r="J1223">
        <v>-249.45750000000001</v>
      </c>
      <c r="K1223">
        <v>1.110188</v>
      </c>
      <c r="L1223">
        <v>367.83789999999999</v>
      </c>
      <c r="M1223">
        <v>0.99987749999999997</v>
      </c>
      <c r="N1223">
        <v>0</v>
      </c>
      <c r="O1223">
        <v>6.5525019999999896E-3</v>
      </c>
      <c r="P1223">
        <v>0.99511430000000001</v>
      </c>
      <c r="Q1223">
        <v>8.5420010000000005E-2</v>
      </c>
      <c r="R1223">
        <v>-4.9508339999999998E-2</v>
      </c>
      <c r="S1223">
        <v>3.0248870000000001</v>
      </c>
      <c r="T1223">
        <v>-0.1755515</v>
      </c>
      <c r="U1223">
        <v>-0.1010132</v>
      </c>
      <c r="V1223">
        <v>5.6054479999999997E-2</v>
      </c>
      <c r="W1223">
        <v>9.9549899999999997E-2</v>
      </c>
      <c r="X1223">
        <v>0.99345240000000001</v>
      </c>
      <c r="Y1223">
        <v>3.9846239999999998E-2</v>
      </c>
      <c r="Z1223">
        <v>-1.5348600000000001E-3</v>
      </c>
      <c r="AA1223">
        <v>0.9992046</v>
      </c>
      <c r="AB1223">
        <v>30</v>
      </c>
      <c r="AC1223">
        <v>18.959099999999999</v>
      </c>
      <c r="AD1223">
        <v>-1.110192487455</v>
      </c>
      <c r="AE1223">
        <v>-0.63989999999995395</v>
      </c>
      <c r="AF1223">
        <v>0.76152010973967799</v>
      </c>
      <c r="AG1223">
        <v>-1.110192487455</v>
      </c>
      <c r="AH1223">
        <v>18.889801058570601</v>
      </c>
      <c r="AI1223">
        <v>93.360798123170994</v>
      </c>
      <c r="AJ1223">
        <v>87.691438132283395</v>
      </c>
      <c r="AK1223">
        <v>18.937714335925399</v>
      </c>
      <c r="AL1223">
        <v>84.286747564894995</v>
      </c>
      <c r="AM1223">
        <v>86.770571675851002</v>
      </c>
      <c r="AN1223">
        <v>0.99999997919191996</v>
      </c>
    </row>
    <row r="1224" spans="1:40" x14ac:dyDescent="0.25">
      <c r="A1224" t="str">
        <f>"20190312164013562"</f>
        <v>20190312164013562</v>
      </c>
      <c r="B1224" t="str">
        <f>"1552380013557108"</f>
        <v>1552380013557108</v>
      </c>
      <c r="C1224" t="s">
        <v>40</v>
      </c>
      <c r="D1224">
        <v>5.436077</v>
      </c>
      <c r="E1224">
        <v>0.4967356</v>
      </c>
      <c r="F1224" t="s">
        <v>41</v>
      </c>
      <c r="G1224">
        <v>-230.43610000000001</v>
      </c>
      <c r="H1224" s="1">
        <v>-4.513015E-6</v>
      </c>
      <c r="I1224">
        <v>367.20460000000003</v>
      </c>
      <c r="J1224">
        <v>-249.2473</v>
      </c>
      <c r="K1224">
        <v>1.1101859999999999</v>
      </c>
      <c r="L1224">
        <v>367.83920000000001</v>
      </c>
      <c r="M1224">
        <v>0.99987800000000004</v>
      </c>
      <c r="N1224">
        <v>0</v>
      </c>
      <c r="O1224">
        <v>6.4731830000000004E-3</v>
      </c>
      <c r="P1224">
        <v>0.99511150000000004</v>
      </c>
      <c r="Q1224">
        <v>8.5485690000000003E-2</v>
      </c>
      <c r="R1224">
        <v>-4.945314E-2</v>
      </c>
      <c r="S1224">
        <v>3.0248870000000001</v>
      </c>
      <c r="T1224">
        <v>-0.17654839999999999</v>
      </c>
      <c r="U1224">
        <v>-0.10070800000000001</v>
      </c>
      <c r="V1224">
        <v>5.5920530000000003E-2</v>
      </c>
      <c r="W1224">
        <v>9.9613480000000004E-2</v>
      </c>
      <c r="X1224">
        <v>0.99345360000000005</v>
      </c>
      <c r="Y1224">
        <v>3.9665829999999999E-2</v>
      </c>
      <c r="Z1224">
        <v>-1.5336799999999999E-3</v>
      </c>
      <c r="AA1224">
        <v>0.99921179999999998</v>
      </c>
      <c r="AB1224">
        <v>30</v>
      </c>
      <c r="AC1224">
        <v>18.8111999999999</v>
      </c>
      <c r="AD1224">
        <v>-1.1101905130149901</v>
      </c>
      <c r="AE1224">
        <v>-0.63459999999997696</v>
      </c>
      <c r="AF1224">
        <v>0.75374498617049301</v>
      </c>
      <c r="AG1224">
        <v>-1.1101905130149901</v>
      </c>
      <c r="AH1224">
        <v>18.741493803183101</v>
      </c>
      <c r="AI1224">
        <v>93.387338488257001</v>
      </c>
      <c r="AJ1224">
        <v>87.696920795349996</v>
      </c>
      <c r="AK1224">
        <v>18.789471638503201</v>
      </c>
      <c r="AL1224">
        <v>84.283086639222205</v>
      </c>
      <c r="AM1224">
        <v>86.778276452905203</v>
      </c>
      <c r="AN1224">
        <v>1.00000000321307</v>
      </c>
    </row>
    <row r="1225" spans="1:40" x14ac:dyDescent="0.25">
      <c r="A1225" t="str">
        <f>"20190312164013578"</f>
        <v>20190312164013578</v>
      </c>
      <c r="B1225" t="str">
        <f>"1552380013566868"</f>
        <v>1552380013566868</v>
      </c>
      <c r="C1225" t="s">
        <v>40</v>
      </c>
      <c r="D1225">
        <v>5.5049140000000003</v>
      </c>
      <c r="E1225">
        <v>0.49670700000000001</v>
      </c>
      <c r="F1225" t="s">
        <v>41</v>
      </c>
      <c r="G1225">
        <v>-230.22540000000001</v>
      </c>
      <c r="H1225" s="1">
        <v>-4.6025189999999999E-6</v>
      </c>
      <c r="I1225">
        <v>367.20949999999999</v>
      </c>
      <c r="J1225">
        <v>-249.03639999999999</v>
      </c>
      <c r="K1225">
        <v>1.110185</v>
      </c>
      <c r="L1225">
        <v>367.84050000000002</v>
      </c>
      <c r="M1225">
        <v>0.9998785</v>
      </c>
      <c r="N1225">
        <v>0</v>
      </c>
      <c r="O1225">
        <v>6.3944020000000004E-3</v>
      </c>
      <c r="P1225">
        <v>0.99514769999999997</v>
      </c>
      <c r="Q1225">
        <v>8.5217699999999993E-2</v>
      </c>
      <c r="R1225">
        <v>-4.918496E-2</v>
      </c>
      <c r="S1225">
        <v>3.0249329999999999</v>
      </c>
      <c r="T1225">
        <v>-0.17654629999999999</v>
      </c>
      <c r="U1225">
        <v>-0.1001282</v>
      </c>
      <c r="V1225">
        <v>5.5574190000000002E-2</v>
      </c>
      <c r="W1225">
        <v>9.9343979999999998E-2</v>
      </c>
      <c r="X1225">
        <v>0.99350000000000005</v>
      </c>
      <c r="Y1225">
        <v>3.939587E-2</v>
      </c>
      <c r="Z1225">
        <v>-1.5211809999999999E-3</v>
      </c>
      <c r="AA1225">
        <v>0.99922250000000001</v>
      </c>
      <c r="AB1225">
        <v>30</v>
      </c>
      <c r="AC1225">
        <v>18.8109999999999</v>
      </c>
      <c r="AD1225">
        <v>-1.1101896025189999</v>
      </c>
      <c r="AE1225">
        <v>-0.63100000000002798</v>
      </c>
      <c r="AF1225">
        <v>0.748679527154824</v>
      </c>
      <c r="AG1225">
        <v>-1.1101896025189999</v>
      </c>
      <c r="AH1225">
        <v>18.7413746635774</v>
      </c>
      <c r="AI1225">
        <v>93.387393719041299</v>
      </c>
      <c r="AJ1225">
        <v>87.712367355886997</v>
      </c>
      <c r="AK1225">
        <v>18.789150227418599</v>
      </c>
      <c r="AL1225">
        <v>84.298604713950297</v>
      </c>
      <c r="AM1225">
        <v>86.798337559790994</v>
      </c>
      <c r="AN1225">
        <v>0.99999998347819796</v>
      </c>
    </row>
    <row r="1226" spans="1:40" x14ac:dyDescent="0.25">
      <c r="A1226" t="str">
        <f>"20190312164013600"</f>
        <v>20190312164013600</v>
      </c>
      <c r="B1226" t="str">
        <f>"1552380013587366"</f>
        <v>1552380013587366</v>
      </c>
      <c r="C1226" t="s">
        <v>40</v>
      </c>
      <c r="D1226">
        <v>5.2689599999999999</v>
      </c>
      <c r="E1226">
        <v>0.4966853</v>
      </c>
      <c r="F1226" t="s">
        <v>42</v>
      </c>
      <c r="G1226">
        <v>-248.0292</v>
      </c>
      <c r="H1226">
        <v>1.0512079999999999</v>
      </c>
      <c r="I1226">
        <v>367.80759999999998</v>
      </c>
      <c r="J1226">
        <v>-248.7534</v>
      </c>
      <c r="K1226">
        <v>1.110187</v>
      </c>
      <c r="L1226">
        <v>367.84210000000002</v>
      </c>
      <c r="M1226">
        <v>0.99987919999999997</v>
      </c>
      <c r="N1226">
        <v>0</v>
      </c>
      <c r="O1226">
        <v>6.2882179999999999E-3</v>
      </c>
      <c r="P1226">
        <v>0.99512480000000003</v>
      </c>
      <c r="Q1226">
        <v>8.5294990000000001E-2</v>
      </c>
      <c r="R1226">
        <v>-4.9516570000000003E-2</v>
      </c>
      <c r="S1226">
        <v>3.0249790000000001</v>
      </c>
      <c r="T1226">
        <v>-0.17726710000000001</v>
      </c>
      <c r="U1226">
        <v>-9.8449709999999996E-2</v>
      </c>
      <c r="V1226">
        <v>5.579982E-2</v>
      </c>
      <c r="W1226">
        <v>9.9417530000000004E-2</v>
      </c>
      <c r="X1226">
        <v>0.99348000000000003</v>
      </c>
      <c r="Y1226">
        <v>3.8736079999999999E-2</v>
      </c>
      <c r="Z1226">
        <v>-1.5018449999999999E-3</v>
      </c>
      <c r="AA1226">
        <v>0.99924829999999998</v>
      </c>
      <c r="AB1226">
        <v>30</v>
      </c>
      <c r="AC1226">
        <v>0.72419999999999596</v>
      </c>
      <c r="AD1226">
        <v>-5.8979000000000101E-2</v>
      </c>
      <c r="AE1226">
        <v>-3.45000000000368E-2</v>
      </c>
      <c r="AF1226">
        <v>3.8796966824339203E-2</v>
      </c>
      <c r="AG1226">
        <v>-5.8979000000000101E-2</v>
      </c>
      <c r="AH1226">
        <v>0.71920935299030997</v>
      </c>
      <c r="AI1226">
        <v>94.681293276477902</v>
      </c>
      <c r="AJ1226">
        <v>86.912234206461704</v>
      </c>
      <c r="AK1226">
        <v>0.72266577371874297</v>
      </c>
      <c r="AL1226">
        <v>84.294369668182995</v>
      </c>
      <c r="AM1226">
        <v>86.785301507912905</v>
      </c>
      <c r="AN1226">
        <v>0.99999998779166599</v>
      </c>
    </row>
    <row r="1227" spans="1:40" x14ac:dyDescent="0.25">
      <c r="A1227" t="str">
        <f>"20190312164013612"</f>
        <v>20190312164013612</v>
      </c>
      <c r="B1227" t="str">
        <f>"1552380013606885"</f>
        <v>1552380013606885</v>
      </c>
      <c r="C1227" t="s">
        <v>40</v>
      </c>
      <c r="D1227">
        <v>5.4884620000000002</v>
      </c>
      <c r="E1227">
        <v>0.49528800000000001</v>
      </c>
      <c r="F1227" t="s">
        <v>41</v>
      </c>
      <c r="G1227">
        <v>-229.78720000000001</v>
      </c>
      <c r="H1227" s="1">
        <v>-6.9549939999999999E-7</v>
      </c>
      <c r="I1227">
        <v>367.22230000000002</v>
      </c>
      <c r="J1227">
        <v>-248.58420000000001</v>
      </c>
      <c r="K1227">
        <v>1.1101920000000001</v>
      </c>
      <c r="L1227">
        <v>367.84309999999999</v>
      </c>
      <c r="M1227">
        <v>0.99987969999999904</v>
      </c>
      <c r="N1227">
        <v>0</v>
      </c>
      <c r="O1227">
        <v>6.2250530000000004E-3</v>
      </c>
      <c r="P1227">
        <v>0.99512210000000001</v>
      </c>
      <c r="Q1227">
        <v>8.5165249999999998E-2</v>
      </c>
      <c r="R1227">
        <v>-4.9792900000000001E-2</v>
      </c>
      <c r="S1227">
        <v>3.0249480000000002</v>
      </c>
      <c r="T1227">
        <v>-0.1770642</v>
      </c>
      <c r="U1227">
        <v>-9.8846439999999994E-2</v>
      </c>
      <c r="V1227">
        <v>5.6013340000000002E-2</v>
      </c>
      <c r="W1227">
        <v>9.9286089999999994E-2</v>
      </c>
      <c r="X1227">
        <v>0.99348119999999995</v>
      </c>
      <c r="Y1227">
        <v>3.8804369999999998E-2</v>
      </c>
      <c r="Z1227">
        <v>-1.4984429999999999E-3</v>
      </c>
      <c r="AA1227">
        <v>0.99924570000000001</v>
      </c>
      <c r="AB1227">
        <v>29</v>
      </c>
      <c r="AC1227">
        <v>18.797000000000001</v>
      </c>
      <c r="AD1227">
        <v>-1.1101926954993999</v>
      </c>
      <c r="AE1227">
        <v>-0.62079999999997404</v>
      </c>
      <c r="AF1227">
        <v>0.73525008789992297</v>
      </c>
      <c r="AG1227">
        <v>-1.1101926954993999</v>
      </c>
      <c r="AH1227">
        <v>18.727513932806598</v>
      </c>
      <c r="AI1227">
        <v>93.3899963426272</v>
      </c>
      <c r="AJ1227">
        <v>87.751698243094296</v>
      </c>
      <c r="AK1227">
        <v>18.774794236325501</v>
      </c>
      <c r="AL1227">
        <v>84.301938474519105</v>
      </c>
      <c r="AM1227">
        <v>86.773030186808498</v>
      </c>
      <c r="AN1227">
        <v>1.0000000583394399</v>
      </c>
    </row>
    <row r="1228" spans="1:40" x14ac:dyDescent="0.25">
      <c r="A1228" t="str">
        <f>"20190312164013623"</f>
        <v>20190312164013623</v>
      </c>
      <c r="B1228" t="str">
        <f>"1552380013617621"</f>
        <v>1552380013617621</v>
      </c>
      <c r="C1228" t="s">
        <v>40</v>
      </c>
      <c r="D1228">
        <v>5.6498589999999904</v>
      </c>
      <c r="E1228">
        <v>0.49540129999999999</v>
      </c>
      <c r="F1228" t="s">
        <v>41</v>
      </c>
      <c r="G1228">
        <v>-232.4324</v>
      </c>
      <c r="H1228" s="1">
        <v>-3.6255280000000002E-6</v>
      </c>
      <c r="I1228">
        <v>367.37979999999999</v>
      </c>
      <c r="J1228">
        <v>-248.44030000000001</v>
      </c>
      <c r="K1228">
        <v>1.110196</v>
      </c>
      <c r="L1228">
        <v>367.84399999999999</v>
      </c>
      <c r="M1228">
        <v>0.99987999999999999</v>
      </c>
      <c r="N1228">
        <v>0</v>
      </c>
      <c r="O1228">
        <v>6.1713039999999999E-3</v>
      </c>
      <c r="P1228">
        <v>0.99509389999999998</v>
      </c>
      <c r="Q1228">
        <v>8.5313840000000002E-2</v>
      </c>
      <c r="R1228">
        <v>-5.0102479999999998E-2</v>
      </c>
      <c r="S1228">
        <v>3.028152</v>
      </c>
      <c r="T1228">
        <v>-0.20813889999999999</v>
      </c>
      <c r="U1228">
        <v>-8.6853029999999998E-2</v>
      </c>
      <c r="V1228">
        <v>5.6269239999999998E-2</v>
      </c>
      <c r="W1228">
        <v>9.9432709999999994E-2</v>
      </c>
      <c r="X1228">
        <v>0.993452</v>
      </c>
      <c r="Y1228">
        <v>3.4742460000000003E-2</v>
      </c>
      <c r="Z1228">
        <v>-1.616E-3</v>
      </c>
      <c r="AA1228">
        <v>0.99939500000000003</v>
      </c>
      <c r="AB1228">
        <v>29</v>
      </c>
      <c r="AC1228">
        <v>16.007899999999999</v>
      </c>
      <c r="AD1228">
        <v>-1.110199625528</v>
      </c>
      <c r="AE1228">
        <v>-0.464200000000005</v>
      </c>
      <c r="AF1228">
        <v>0.56029805318135395</v>
      </c>
      <c r="AG1228">
        <v>-1.110199625528</v>
      </c>
      <c r="AH1228">
        <v>15.9281819651838</v>
      </c>
      <c r="AI1228">
        <v>93.984630230853</v>
      </c>
      <c r="AJ1228">
        <v>87.985364403755398</v>
      </c>
      <c r="AK1228">
        <v>15.976653524218699</v>
      </c>
      <c r="AL1228">
        <v>84.293495564046196</v>
      </c>
      <c r="AM1228">
        <v>86.758223891365304</v>
      </c>
      <c r="AN1228">
        <v>0.99999998374606003</v>
      </c>
    </row>
    <row r="1229" spans="1:40" x14ac:dyDescent="0.25">
      <c r="A1229" t="str">
        <f>"20190312164013645"</f>
        <v>20190312164013645</v>
      </c>
      <c r="B1229" t="str">
        <f>"1552380013637140"</f>
        <v>1552380013637140</v>
      </c>
      <c r="C1229" t="s">
        <v>40</v>
      </c>
      <c r="D1229">
        <v>5.4414939999999996</v>
      </c>
      <c r="E1229">
        <v>0.49535750000000001</v>
      </c>
      <c r="F1229" t="s">
        <v>42</v>
      </c>
      <c r="G1229">
        <v>-247.5153</v>
      </c>
      <c r="H1229">
        <v>1.048889</v>
      </c>
      <c r="I1229">
        <v>367.8168</v>
      </c>
      <c r="J1229">
        <v>-248.15309999999999</v>
      </c>
      <c r="K1229">
        <v>1.1102160000000001</v>
      </c>
      <c r="L1229">
        <v>367.84559999999999</v>
      </c>
      <c r="M1229">
        <v>0.99988069999999896</v>
      </c>
      <c r="N1229">
        <v>0</v>
      </c>
      <c r="O1229">
        <v>6.0644109999999996E-3</v>
      </c>
      <c r="P1229">
        <v>0.99504110000000001</v>
      </c>
      <c r="Q1229">
        <v>8.5746050000000004E-2</v>
      </c>
      <c r="R1229">
        <v>-5.0409919999999997E-2</v>
      </c>
      <c r="S1229">
        <v>3.0275270000000001</v>
      </c>
      <c r="T1229">
        <v>-0.20075309999999999</v>
      </c>
      <c r="U1229">
        <v>-8.8867189999999999E-2</v>
      </c>
      <c r="V1229">
        <v>5.6469999999999999E-2</v>
      </c>
      <c r="W1229">
        <v>9.9861149999999996E-2</v>
      </c>
      <c r="X1229">
        <v>0.99339770000000005</v>
      </c>
      <c r="Y1229">
        <v>3.5311519999999999E-2</v>
      </c>
      <c r="Z1229">
        <v>-1.5708530000000001E-3</v>
      </c>
      <c r="AA1229">
        <v>0.99937509999999996</v>
      </c>
      <c r="AB1229">
        <v>29</v>
      </c>
      <c r="AC1229">
        <v>0.63779999999999804</v>
      </c>
      <c r="AD1229">
        <v>-6.1327000000000097E-2</v>
      </c>
      <c r="AE1229">
        <v>-2.8799999999989698E-2</v>
      </c>
      <c r="AF1229">
        <v>3.2369079859736097E-2</v>
      </c>
      <c r="AG1229">
        <v>-6.1327000000000097E-2</v>
      </c>
      <c r="AH1229">
        <v>0.63178426726909698</v>
      </c>
      <c r="AI1229">
        <v>95.5370866982217</v>
      </c>
      <c r="AJ1229">
        <v>87.067050340241494</v>
      </c>
      <c r="AK1229">
        <v>0.63557856998856999</v>
      </c>
      <c r="AL1229">
        <v>84.268825353194302</v>
      </c>
      <c r="AM1229">
        <v>86.7465050854602</v>
      </c>
      <c r="AN1229">
        <v>1.0000000502723001</v>
      </c>
    </row>
    <row r="1230" spans="1:40" x14ac:dyDescent="0.25">
      <c r="A1230" t="str">
        <f>"20190312164013656"</f>
        <v>20190312164013656</v>
      </c>
      <c r="B1230" t="str">
        <f>"1552380013646900"</f>
        <v>1552380013646900</v>
      </c>
      <c r="C1230" t="s">
        <v>40</v>
      </c>
      <c r="D1230">
        <v>5.4960950000000004</v>
      </c>
      <c r="E1230">
        <v>0.49541459999999998</v>
      </c>
      <c r="F1230" t="s">
        <v>41</v>
      </c>
      <c r="G1230">
        <v>-230.68600000000001</v>
      </c>
      <c r="H1230" s="1">
        <v>-4.3837309999999999E-6</v>
      </c>
      <c r="I1230">
        <v>367.32909999999998</v>
      </c>
      <c r="J1230">
        <v>-248.00239999999999</v>
      </c>
      <c r="K1230">
        <v>1.110225</v>
      </c>
      <c r="L1230">
        <v>367.84649999999999</v>
      </c>
      <c r="M1230">
        <v>0.99988109999999997</v>
      </c>
      <c r="N1230">
        <v>0</v>
      </c>
      <c r="O1230">
        <v>6.0090090000000001E-3</v>
      </c>
      <c r="P1230">
        <v>0.99497630000000004</v>
      </c>
      <c r="Q1230">
        <v>8.6253629999999998E-2</v>
      </c>
      <c r="R1230">
        <v>-5.08225E-2</v>
      </c>
      <c r="S1230">
        <v>3.0270079999999999</v>
      </c>
      <c r="T1230">
        <v>-0.1923977</v>
      </c>
      <c r="U1230">
        <v>-8.950806E-2</v>
      </c>
      <c r="V1230">
        <v>5.6826990000000001E-2</v>
      </c>
      <c r="W1230">
        <v>0.100366</v>
      </c>
      <c r="X1230">
        <v>0.99332640000000005</v>
      </c>
      <c r="Y1230">
        <v>3.5479690000000001E-2</v>
      </c>
      <c r="Z1230">
        <v>-1.5076810000000001E-3</v>
      </c>
      <c r="AA1230">
        <v>0.99936930000000002</v>
      </c>
      <c r="AB1230">
        <v>29</v>
      </c>
      <c r="AC1230">
        <v>17.316400000000002</v>
      </c>
      <c r="AD1230">
        <v>-1.110229383731</v>
      </c>
      <c r="AE1230">
        <v>-0.51740000000000896</v>
      </c>
      <c r="AF1230">
        <v>0.61891368800853896</v>
      </c>
      <c r="AG1230">
        <v>-1.110229383731</v>
      </c>
      <c r="AH1230">
        <v>17.242164689135802</v>
      </c>
      <c r="AI1230">
        <v>93.681845705347897</v>
      </c>
      <c r="AJ1230">
        <v>87.944230070749299</v>
      </c>
      <c r="AK1230">
        <v>17.288953311435201</v>
      </c>
      <c r="AL1230">
        <v>84.239753168598497</v>
      </c>
      <c r="AM1230">
        <v>86.725747368143303</v>
      </c>
      <c r="AN1230">
        <v>0.99999998884271002</v>
      </c>
    </row>
    <row r="1231" spans="1:40" x14ac:dyDescent="0.25">
      <c r="A1231" t="str">
        <f>"20190312164013667"</f>
        <v>20190312164013667</v>
      </c>
      <c r="B1231" t="str">
        <f>"1552380013657637"</f>
        <v>1552380013657637</v>
      </c>
      <c r="C1231" t="s">
        <v>40</v>
      </c>
      <c r="D1231">
        <v>5.3849390000000001</v>
      </c>
      <c r="E1231">
        <v>0.4954537</v>
      </c>
      <c r="F1231" t="s">
        <v>41</v>
      </c>
      <c r="G1231">
        <v>-230.36449999999999</v>
      </c>
      <c r="H1231" s="1">
        <v>-4.5242690000000002E-6</v>
      </c>
      <c r="I1231">
        <v>367.31420000000003</v>
      </c>
      <c r="J1231">
        <v>-247.86420000000001</v>
      </c>
      <c r="K1231">
        <v>1.110236</v>
      </c>
      <c r="L1231">
        <v>367.84730000000002</v>
      </c>
      <c r="M1231">
        <v>0.99988129999999997</v>
      </c>
      <c r="N1231">
        <v>0</v>
      </c>
      <c r="O1231">
        <v>5.9594510000000002E-3</v>
      </c>
      <c r="P1231">
        <v>0.99492199999999997</v>
      </c>
      <c r="Q1231">
        <v>8.6657079999999997E-2</v>
      </c>
      <c r="R1231">
        <v>-5.1187900000000001E-2</v>
      </c>
      <c r="S1231">
        <v>3.026993</v>
      </c>
      <c r="T1231">
        <v>-0.1905357</v>
      </c>
      <c r="U1231">
        <v>-9.1339110000000001E-2</v>
      </c>
      <c r="V1231">
        <v>5.7142940000000003E-2</v>
      </c>
      <c r="W1231">
        <v>0.1007673</v>
      </c>
      <c r="X1231">
        <v>0.99326769999999998</v>
      </c>
      <c r="Y1231">
        <v>3.6034910000000003E-2</v>
      </c>
      <c r="Z1231">
        <v>-1.50745E-3</v>
      </c>
      <c r="AA1231">
        <v>0.99934940000000005</v>
      </c>
      <c r="AB1231">
        <v>29</v>
      </c>
      <c r="AC1231">
        <v>17.499700000000001</v>
      </c>
      <c r="AD1231">
        <v>-1.1102405242689899</v>
      </c>
      <c r="AE1231">
        <v>-0.53309999999999003</v>
      </c>
      <c r="AF1231">
        <v>0.63483677372216296</v>
      </c>
      <c r="AG1231">
        <v>-1.1102405242689899</v>
      </c>
      <c r="AH1231">
        <v>17.4261355753784</v>
      </c>
      <c r="AI1231">
        <v>93.6430473094196</v>
      </c>
      <c r="AJ1231">
        <v>87.913628677503795</v>
      </c>
      <c r="AK1231">
        <v>17.473003543823499</v>
      </c>
      <c r="AL1231">
        <v>84.216643532534107</v>
      </c>
      <c r="AM1231">
        <v>86.707388779233995</v>
      </c>
      <c r="AN1231">
        <v>1.0000000441022101</v>
      </c>
    </row>
    <row r="1232" spans="1:40" x14ac:dyDescent="0.25">
      <c r="A1232" t="str">
        <f>"20190312164013679"</f>
        <v>20190312164013679</v>
      </c>
      <c r="B1232" t="str">
        <f>"1552380013667398"</f>
        <v>1552380013667398</v>
      </c>
      <c r="C1232" t="s">
        <v>40</v>
      </c>
      <c r="D1232">
        <v>5.4942919999999997</v>
      </c>
      <c r="E1232">
        <v>0.49545070000000002</v>
      </c>
      <c r="F1232" t="s">
        <v>41</v>
      </c>
      <c r="G1232">
        <v>-230.06880000000001</v>
      </c>
      <c r="H1232" s="1">
        <v>-4.6528130000000003E-6</v>
      </c>
      <c r="I1232">
        <v>367.30489999999998</v>
      </c>
      <c r="J1232">
        <v>-247.72059999999999</v>
      </c>
      <c r="K1232">
        <v>1.110247</v>
      </c>
      <c r="L1232">
        <v>367.84809999999999</v>
      </c>
      <c r="M1232">
        <v>0.99988160000000004</v>
      </c>
      <c r="N1232">
        <v>0</v>
      </c>
      <c r="O1232">
        <v>5.9082269999999899E-3</v>
      </c>
      <c r="P1232">
        <v>0.99489470000000002</v>
      </c>
      <c r="Q1232">
        <v>8.6834869999999995E-2</v>
      </c>
      <c r="R1232">
        <v>-5.1422040000000002E-2</v>
      </c>
      <c r="S1232">
        <v>3.0270229999999998</v>
      </c>
      <c r="T1232">
        <v>-0.18885199999999999</v>
      </c>
      <c r="U1232">
        <v>-9.2254639999999999E-2</v>
      </c>
      <c r="V1232">
        <v>5.7325420000000002E-2</v>
      </c>
      <c r="W1232">
        <v>0.1009433</v>
      </c>
      <c r="X1232">
        <v>0.99323930000000005</v>
      </c>
      <c r="Y1232">
        <v>3.628646E-2</v>
      </c>
      <c r="Z1232">
        <v>-1.4987780000000001E-3</v>
      </c>
      <c r="AA1232">
        <v>0.99934029999999996</v>
      </c>
      <c r="AB1232">
        <v>29</v>
      </c>
      <c r="AC1232">
        <v>17.651799999999898</v>
      </c>
      <c r="AD1232">
        <v>-1.110251652813</v>
      </c>
      <c r="AE1232">
        <v>-0.54320000000001301</v>
      </c>
      <c r="AF1232">
        <v>0.64494285678284602</v>
      </c>
      <c r="AG1232">
        <v>-1.110251652813</v>
      </c>
      <c r="AH1232">
        <v>17.578804843500102</v>
      </c>
      <c r="AI1232">
        <v>93.611494203101799</v>
      </c>
      <c r="AJ1232">
        <v>87.898836846083896</v>
      </c>
      <c r="AK1232">
        <v>17.625634449487301</v>
      </c>
      <c r="AL1232">
        <v>84.206507714641901</v>
      </c>
      <c r="AM1232">
        <v>86.696803176937394</v>
      </c>
      <c r="AN1232">
        <v>1.0000000303287699</v>
      </c>
    </row>
    <row r="1233" spans="1:40" x14ac:dyDescent="0.25">
      <c r="A1233" t="str">
        <f>"20190312164013689"</f>
        <v>20190312164013689</v>
      </c>
      <c r="B1233" t="str">
        <f>"1552380013677156"</f>
        <v>1552380013677156</v>
      </c>
      <c r="C1233" t="s">
        <v>40</v>
      </c>
      <c r="D1233">
        <v>5.6914470000000001</v>
      </c>
      <c r="E1233">
        <v>0.49550240000000001</v>
      </c>
      <c r="F1233" t="s">
        <v>42</v>
      </c>
      <c r="G1233">
        <v>-246.72819999999999</v>
      </c>
      <c r="H1233">
        <v>1.049072</v>
      </c>
      <c r="I1233">
        <v>367.81729999999999</v>
      </c>
      <c r="J1233">
        <v>-247.56739999999999</v>
      </c>
      <c r="K1233">
        <v>1.1102559999999999</v>
      </c>
      <c r="L1233">
        <v>367.84890000000001</v>
      </c>
      <c r="M1233">
        <v>0.99988189999999999</v>
      </c>
      <c r="N1233">
        <v>0</v>
      </c>
      <c r="O1233">
        <v>5.857335E-3</v>
      </c>
      <c r="P1233">
        <v>0.9948456</v>
      </c>
      <c r="Q1233">
        <v>8.6970930000000002E-2</v>
      </c>
      <c r="R1233">
        <v>-5.2138490000000003E-2</v>
      </c>
      <c r="S1233">
        <v>3.026932</v>
      </c>
      <c r="T1233">
        <v>-0.18694830000000001</v>
      </c>
      <c r="U1233">
        <v>-9.2681879999999994E-2</v>
      </c>
      <c r="V1233">
        <v>5.799021E-2</v>
      </c>
      <c r="W1233">
        <v>0.1010776</v>
      </c>
      <c r="X1233">
        <v>0.99318700000000004</v>
      </c>
      <c r="Y1233">
        <v>3.637899E-2</v>
      </c>
      <c r="Z1233">
        <v>-1.4834550000000001E-3</v>
      </c>
      <c r="AA1233">
        <v>0.99933700000000003</v>
      </c>
      <c r="AB1233">
        <v>29</v>
      </c>
      <c r="AC1233">
        <v>0.83920000000000505</v>
      </c>
      <c r="AD1233">
        <v>-6.1183999999999898E-2</v>
      </c>
      <c r="AE1233">
        <v>-3.1600000000025802E-2</v>
      </c>
      <c r="AF1233">
        <v>3.6322629721028697E-2</v>
      </c>
      <c r="AG1233">
        <v>-6.1183999999999898E-2</v>
      </c>
      <c r="AH1233">
        <v>0.83457060501569202</v>
      </c>
      <c r="AI1233">
        <v>94.189012845908096</v>
      </c>
      <c r="AJ1233">
        <v>87.507915055518893</v>
      </c>
      <c r="AK1233">
        <v>0.83759829873401104</v>
      </c>
      <c r="AL1233">
        <v>84.198773047875406</v>
      </c>
      <c r="AM1233">
        <v>86.658407490834605</v>
      </c>
      <c r="AN1233">
        <v>0.99999998132330103</v>
      </c>
    </row>
    <row r="1234" spans="1:40" x14ac:dyDescent="0.25">
      <c r="A1234" t="str">
        <f>"20190312164013700"</f>
        <v>20190312164013700</v>
      </c>
      <c r="B1234" t="str">
        <f>"1552380013697652"</f>
        <v>1552380013697652</v>
      </c>
      <c r="C1234" t="s">
        <v>40</v>
      </c>
      <c r="D1234">
        <v>5.4936439999999997</v>
      </c>
      <c r="E1234">
        <v>0.49562479999999998</v>
      </c>
      <c r="F1234" t="s">
        <v>41</v>
      </c>
      <c r="G1234">
        <v>-229.571</v>
      </c>
      <c r="H1234" s="1">
        <v>-7.5282829999999997E-7</v>
      </c>
      <c r="I1234">
        <v>367.2833</v>
      </c>
      <c r="J1234">
        <v>-247.43119999999999</v>
      </c>
      <c r="K1234">
        <v>1.110269</v>
      </c>
      <c r="L1234">
        <v>367.84960000000001</v>
      </c>
      <c r="M1234">
        <v>0.9998823</v>
      </c>
      <c r="N1234">
        <v>0</v>
      </c>
      <c r="O1234">
        <v>5.8133530000000003E-3</v>
      </c>
      <c r="P1234">
        <v>0.9948108</v>
      </c>
      <c r="Q1234">
        <v>8.7092459999999997E-2</v>
      </c>
      <c r="R1234">
        <v>-5.260008E-2</v>
      </c>
      <c r="S1234">
        <v>3.0268709999999999</v>
      </c>
      <c r="T1234">
        <v>-0.1867374</v>
      </c>
      <c r="U1234">
        <v>-9.5123289999999999E-2</v>
      </c>
      <c r="V1234">
        <v>5.8407180000000003E-2</v>
      </c>
      <c r="W1234">
        <v>0.1011971</v>
      </c>
      <c r="X1234">
        <v>0.99315039999999999</v>
      </c>
      <c r="Y1234">
        <v>3.7139730000000003E-2</v>
      </c>
      <c r="Z1234">
        <v>-1.5025240000000001E-3</v>
      </c>
      <c r="AA1234">
        <v>0.99930890000000006</v>
      </c>
      <c r="AB1234">
        <v>29</v>
      </c>
      <c r="AC1234">
        <v>17.860199999999899</v>
      </c>
      <c r="AD1234">
        <v>-1.1102697528283001</v>
      </c>
      <c r="AE1234">
        <v>-0.56630000000001202</v>
      </c>
      <c r="AF1234">
        <v>0.66755143455473198</v>
      </c>
      <c r="AG1234">
        <v>-1.1102697528283001</v>
      </c>
      <c r="AH1234">
        <v>17.787934688368999</v>
      </c>
      <c r="AI1234">
        <v>93.569092128535601</v>
      </c>
      <c r="AJ1234">
        <v>87.850793819229096</v>
      </c>
      <c r="AK1234">
        <v>17.835048200649801</v>
      </c>
      <c r="AL1234">
        <v>84.191890931526302</v>
      </c>
      <c r="AM1234">
        <v>86.634311556267306</v>
      </c>
      <c r="AN1234">
        <v>0.99999998437206095</v>
      </c>
    </row>
    <row r="1235" spans="1:40" x14ac:dyDescent="0.25">
      <c r="A1235" t="str">
        <f>"20190312164013712"</f>
        <v>20190312164013712</v>
      </c>
      <c r="B1235" t="str">
        <f>"1552380013707412"</f>
        <v>1552380013707412</v>
      </c>
      <c r="C1235" t="s">
        <v>40</v>
      </c>
      <c r="D1235">
        <v>5.3991439999999997</v>
      </c>
      <c r="E1235">
        <v>0.49555389999999999</v>
      </c>
      <c r="F1235" t="s">
        <v>42</v>
      </c>
      <c r="G1235">
        <v>-246.46250000000001</v>
      </c>
      <c r="H1235">
        <v>1.0506599999999999</v>
      </c>
      <c r="I1235">
        <v>367.81830000000002</v>
      </c>
      <c r="J1235">
        <v>-247.27760000000001</v>
      </c>
      <c r="K1235">
        <v>1.110282</v>
      </c>
      <c r="L1235">
        <v>367.85050000000001</v>
      </c>
      <c r="M1235">
        <v>0.99988259999999995</v>
      </c>
      <c r="N1235">
        <v>0</v>
      </c>
      <c r="O1235">
        <v>5.7677219999999899E-3</v>
      </c>
      <c r="P1235">
        <v>0.99476310000000001</v>
      </c>
      <c r="Q1235">
        <v>8.7170910000000004E-2</v>
      </c>
      <c r="R1235">
        <v>-5.3369149999999997E-2</v>
      </c>
      <c r="S1235">
        <v>3.0268250000000001</v>
      </c>
      <c r="T1235">
        <v>-0.18635879999999999</v>
      </c>
      <c r="U1235">
        <v>-9.747314E-2</v>
      </c>
      <c r="V1235">
        <v>5.9129439999999998E-2</v>
      </c>
      <c r="W1235">
        <v>0.101274</v>
      </c>
      <c r="X1235">
        <v>0.99309990000000004</v>
      </c>
      <c r="Y1235">
        <v>3.7868649999999997E-2</v>
      </c>
      <c r="Z1235">
        <v>-1.5190939999999999E-3</v>
      </c>
      <c r="AA1235">
        <v>0.99928159999999999</v>
      </c>
      <c r="AB1235">
        <v>29</v>
      </c>
      <c r="AC1235">
        <v>0.81510000000000105</v>
      </c>
      <c r="AD1235">
        <v>-5.9622000000000001E-2</v>
      </c>
      <c r="AE1235">
        <v>-3.2199999999988897E-2</v>
      </c>
      <c r="AF1235">
        <v>3.67051248939015E-2</v>
      </c>
      <c r="AG1235">
        <v>-5.9622000000000001E-2</v>
      </c>
      <c r="AH1235">
        <v>0.81057053069253404</v>
      </c>
      <c r="AI1235">
        <v>94.202558151863201</v>
      </c>
      <c r="AJ1235">
        <v>87.407242237737705</v>
      </c>
      <c r="AK1235">
        <v>0.81358873781822605</v>
      </c>
      <c r="AL1235">
        <v>84.187462589057802</v>
      </c>
      <c r="AM1235">
        <v>86.592616240408105</v>
      </c>
      <c r="AN1235">
        <v>1.00000006256535</v>
      </c>
    </row>
    <row r="1236" spans="1:40" x14ac:dyDescent="0.25">
      <c r="A1236" t="str">
        <f>"20190312164013724"</f>
        <v>20190312164013724</v>
      </c>
      <c r="B1236" t="str">
        <f>"1552380013717172"</f>
        <v>1552380013717172</v>
      </c>
      <c r="C1236" t="s">
        <v>40</v>
      </c>
      <c r="D1236">
        <v>5.3659270000000001</v>
      </c>
      <c r="E1236">
        <v>0.49553540000000001</v>
      </c>
      <c r="F1236" t="s">
        <v>41</v>
      </c>
      <c r="G1236">
        <v>-229.20849999999999</v>
      </c>
      <c r="H1236" s="1">
        <v>-8.8299209999999999E-7</v>
      </c>
      <c r="I1236">
        <v>367.25779999999997</v>
      </c>
      <c r="J1236">
        <v>-247.12649999999999</v>
      </c>
      <c r="K1236">
        <v>1.1102970000000001</v>
      </c>
      <c r="L1236">
        <v>367.85129999999998</v>
      </c>
      <c r="M1236">
        <v>0.99988279999999996</v>
      </c>
      <c r="N1236">
        <v>0</v>
      </c>
      <c r="O1236">
        <v>5.7253180000000001E-3</v>
      </c>
      <c r="P1236">
        <v>0.99469830000000004</v>
      </c>
      <c r="Q1236">
        <v>8.7517120000000004E-2</v>
      </c>
      <c r="R1236">
        <v>-5.4000989999999999E-2</v>
      </c>
      <c r="S1236">
        <v>3.0267490000000001</v>
      </c>
      <c r="T1236">
        <v>-0.1859816</v>
      </c>
      <c r="U1236">
        <v>-9.9273680000000003E-2</v>
      </c>
      <c r="V1236">
        <v>5.9717630000000001E-2</v>
      </c>
      <c r="W1236">
        <v>0.1016179</v>
      </c>
      <c r="X1236">
        <v>0.99302950000000001</v>
      </c>
      <c r="Y1236">
        <v>3.8420259999999998E-2</v>
      </c>
      <c r="Z1236">
        <v>-1.5303719999999999E-3</v>
      </c>
      <c r="AA1236">
        <v>0.9992605</v>
      </c>
      <c r="AB1236">
        <v>29</v>
      </c>
      <c r="AC1236">
        <v>17.917999999999999</v>
      </c>
      <c r="AD1236">
        <v>-1.1102978829921</v>
      </c>
      <c r="AE1236">
        <v>-0.59350000000000502</v>
      </c>
      <c r="AF1236">
        <v>0.69342721046394096</v>
      </c>
      <c r="AG1236">
        <v>-1.1102978829921</v>
      </c>
      <c r="AH1236">
        <v>17.845859878600599</v>
      </c>
      <c r="AI1236">
        <v>93.557447322359593</v>
      </c>
      <c r="AJ1236">
        <v>87.774807402322097</v>
      </c>
      <c r="AK1236">
        <v>17.893806679737999</v>
      </c>
      <c r="AL1236">
        <v>84.1676559701516</v>
      </c>
      <c r="AM1236">
        <v>86.558558974824507</v>
      </c>
      <c r="AN1236">
        <v>0.99999999040173804</v>
      </c>
    </row>
    <row r="1237" spans="1:40" x14ac:dyDescent="0.25">
      <c r="A1237" t="str">
        <f>"20190312164013735"</f>
        <v>20190312164013735</v>
      </c>
      <c r="B1237" t="str">
        <f>"1552380013726933"</f>
        <v>1552380013726933</v>
      </c>
      <c r="C1237" t="s">
        <v>40</v>
      </c>
      <c r="D1237">
        <v>5.4431669999999999</v>
      </c>
      <c r="E1237">
        <v>0.4955504</v>
      </c>
      <c r="F1237" t="s">
        <v>41</v>
      </c>
      <c r="G1237">
        <v>-228.89099999999999</v>
      </c>
      <c r="H1237" s="1">
        <v>-9.9506349999999996E-7</v>
      </c>
      <c r="I1237">
        <v>367.24259999999998</v>
      </c>
      <c r="J1237">
        <v>-246.97329999999999</v>
      </c>
      <c r="K1237">
        <v>1.110314</v>
      </c>
      <c r="L1237">
        <v>367.85210000000001</v>
      </c>
      <c r="M1237">
        <v>0.99988310000000002</v>
      </c>
      <c r="N1237">
        <v>0</v>
      </c>
      <c r="O1237">
        <v>5.6842350000000002E-3</v>
      </c>
      <c r="P1237">
        <v>0.99463060000000003</v>
      </c>
      <c r="Q1237">
        <v>8.7715799999999997E-2</v>
      </c>
      <c r="R1237">
        <v>-5.4919210000000003E-2</v>
      </c>
      <c r="S1237">
        <v>3.0267179999999998</v>
      </c>
      <c r="T1237">
        <v>-0.18428600000000001</v>
      </c>
      <c r="U1237">
        <v>-0.1010132</v>
      </c>
      <c r="V1237">
        <v>6.059349E-2</v>
      </c>
      <c r="W1237">
        <v>0.1018143</v>
      </c>
      <c r="X1237">
        <v>0.99295630000000001</v>
      </c>
      <c r="Y1237">
        <v>3.8953790000000002E-2</v>
      </c>
      <c r="Z1237">
        <v>-1.5301710000000001E-3</v>
      </c>
      <c r="AA1237">
        <v>0.99923989999999996</v>
      </c>
      <c r="AB1237">
        <v>29</v>
      </c>
      <c r="AC1237">
        <v>18.0823</v>
      </c>
      <c r="AD1237">
        <v>-1.1103149950635001</v>
      </c>
      <c r="AE1237">
        <v>-0.60950000000002502</v>
      </c>
      <c r="AF1237">
        <v>0.70961207915316404</v>
      </c>
      <c r="AG1237">
        <v>-1.1103149950635001</v>
      </c>
      <c r="AH1237">
        <v>18.0107127673046</v>
      </c>
      <c r="AI1237">
        <v>93.524947925007197</v>
      </c>
      <c r="AJ1237">
        <v>87.743745102394499</v>
      </c>
      <c r="AK1237">
        <v>18.058851654451701</v>
      </c>
      <c r="AL1237">
        <v>84.156344281039196</v>
      </c>
      <c r="AM1237">
        <v>86.507951634764694</v>
      </c>
      <c r="AN1237">
        <v>0.99999996821227899</v>
      </c>
    </row>
    <row r="1238" spans="1:40" x14ac:dyDescent="0.25">
      <c r="A1238" t="str">
        <f>"20190312164013748"</f>
        <v>20190312164013748</v>
      </c>
      <c r="B1238" t="str">
        <f>"1552380013737669"</f>
        <v>1552380013737669</v>
      </c>
      <c r="C1238" t="s">
        <v>40</v>
      </c>
      <c r="D1238">
        <v>5.4921709999999999</v>
      </c>
      <c r="E1238">
        <v>0.4955504</v>
      </c>
      <c r="F1238" t="s">
        <v>41</v>
      </c>
      <c r="G1238">
        <v>-228.69929999999999</v>
      </c>
      <c r="H1238" s="1">
        <v>-1.064824E-6</v>
      </c>
      <c r="I1238">
        <v>367.22559999999999</v>
      </c>
      <c r="J1238">
        <v>-246.8141</v>
      </c>
      <c r="K1238">
        <v>1.110328</v>
      </c>
      <c r="L1238">
        <v>367.85300000000001</v>
      </c>
      <c r="M1238">
        <v>0.99988339999999998</v>
      </c>
      <c r="N1238">
        <v>0</v>
      </c>
      <c r="O1238">
        <v>5.6456529999999996E-3</v>
      </c>
      <c r="P1238">
        <v>0.99455769999999999</v>
      </c>
      <c r="Q1238">
        <v>8.7953219999999999E-2</v>
      </c>
      <c r="R1238">
        <v>-5.5852739999999998E-2</v>
      </c>
      <c r="S1238">
        <v>3.026672</v>
      </c>
      <c r="T1238">
        <v>-0.18389739999999999</v>
      </c>
      <c r="U1238">
        <v>-0.1037598</v>
      </c>
      <c r="V1238">
        <v>6.148704E-2</v>
      </c>
      <c r="W1238">
        <v>0.1020496</v>
      </c>
      <c r="X1238">
        <v>0.99287720000000002</v>
      </c>
      <c r="Y1238">
        <v>3.982028E-2</v>
      </c>
      <c r="Z1238">
        <v>-1.5509E-3</v>
      </c>
      <c r="AA1238">
        <v>0.99920560000000003</v>
      </c>
      <c r="AB1238">
        <v>29</v>
      </c>
      <c r="AC1238">
        <v>18.114799999999999</v>
      </c>
      <c r="AD1238">
        <v>-1.1103290648240001</v>
      </c>
      <c r="AE1238">
        <v>-0.62740000000002205</v>
      </c>
      <c r="AF1238">
        <v>0.72694235023796705</v>
      </c>
      <c r="AG1238">
        <v>-1.1103290648240001</v>
      </c>
      <c r="AH1238">
        <v>18.043262251379598</v>
      </c>
      <c r="AI1238">
        <v>93.518525313479699</v>
      </c>
      <c r="AJ1238">
        <v>87.692866497504596</v>
      </c>
      <c r="AK1238">
        <v>18.092003440327499</v>
      </c>
      <c r="AL1238">
        <v>84.142791920813707</v>
      </c>
      <c r="AM1238">
        <v>86.456304356123198</v>
      </c>
      <c r="AN1238">
        <v>0.99999995561397903</v>
      </c>
    </row>
    <row r="1239" spans="1:40" x14ac:dyDescent="0.25">
      <c r="A1239" t="str">
        <f>"20190312164013768"</f>
        <v>20190312164013768</v>
      </c>
      <c r="B1239" t="str">
        <f>"1552380013757188"</f>
        <v>1552380013757188</v>
      </c>
      <c r="C1239" t="s">
        <v>40</v>
      </c>
      <c r="D1239">
        <v>5.3400970000000001</v>
      </c>
      <c r="E1239">
        <v>0.4960792</v>
      </c>
      <c r="F1239" t="s">
        <v>41</v>
      </c>
      <c r="G1239">
        <v>-228.46549999999999</v>
      </c>
      <c r="H1239" s="1">
        <v>-1.1493360000000001E-6</v>
      </c>
      <c r="I1239">
        <v>367.20710000000003</v>
      </c>
      <c r="J1239">
        <v>-246.54900000000001</v>
      </c>
      <c r="K1239">
        <v>1.110347</v>
      </c>
      <c r="L1239">
        <v>367.8544</v>
      </c>
      <c r="M1239">
        <v>0.99988370000000004</v>
      </c>
      <c r="N1239">
        <v>0</v>
      </c>
      <c r="O1239">
        <v>5.5866179999999998E-3</v>
      </c>
      <c r="P1239">
        <v>0.99443329999999996</v>
      </c>
      <c r="Q1239">
        <v>8.821358E-2</v>
      </c>
      <c r="R1239">
        <v>-5.7628579999999999E-2</v>
      </c>
      <c r="S1239">
        <v>3.0266419999999998</v>
      </c>
      <c r="T1239">
        <v>-0.18315039999999999</v>
      </c>
      <c r="U1239">
        <v>-0.1065369</v>
      </c>
      <c r="V1239">
        <v>6.32017E-2</v>
      </c>
      <c r="W1239">
        <v>0.1023062</v>
      </c>
      <c r="X1239">
        <v>0.99274320000000005</v>
      </c>
      <c r="Y1239">
        <v>4.067656E-2</v>
      </c>
      <c r="Z1239">
        <v>-1.5669099999999999E-3</v>
      </c>
      <c r="AA1239">
        <v>0.99917109999999998</v>
      </c>
      <c r="AB1239">
        <v>29</v>
      </c>
      <c r="AC1239">
        <v>18.083500000000001</v>
      </c>
      <c r="AD1239">
        <v>-1.1103481493359999</v>
      </c>
      <c r="AE1239">
        <v>-0.64729999999997201</v>
      </c>
      <c r="AF1239">
        <v>0.74551859072444604</v>
      </c>
      <c r="AG1239">
        <v>-1.1103481493359999</v>
      </c>
      <c r="AH1239">
        <v>18.0117817634322</v>
      </c>
      <c r="AI1239">
        <v>93.524561904564194</v>
      </c>
      <c r="AJ1239">
        <v>87.629845758764404</v>
      </c>
      <c r="AK1239">
        <v>18.061366318065701</v>
      </c>
      <c r="AL1239">
        <v>84.128012950845005</v>
      </c>
      <c r="AM1239">
        <v>86.357255106114295</v>
      </c>
      <c r="AN1239">
        <v>1.0000000372937801</v>
      </c>
    </row>
    <row r="1240" spans="1:40" x14ac:dyDescent="0.25">
      <c r="A1240" t="str">
        <f>"20190312164013790"</f>
        <v>20190312164013790</v>
      </c>
      <c r="B1240" t="str">
        <f>"1552380013777685"</f>
        <v>1552380013777685</v>
      </c>
      <c r="C1240" t="s">
        <v>40</v>
      </c>
      <c r="D1240">
        <v>5.3692979999999997</v>
      </c>
      <c r="E1240">
        <v>0.49610090000000001</v>
      </c>
      <c r="F1240" t="s">
        <v>41</v>
      </c>
      <c r="G1240">
        <v>-228.97229999999999</v>
      </c>
      <c r="H1240" s="1">
        <v>-9.8281079999999993E-7</v>
      </c>
      <c r="I1240">
        <v>367.18470000000002</v>
      </c>
      <c r="J1240">
        <v>-246.2646</v>
      </c>
      <c r="K1240">
        <v>1.110355</v>
      </c>
      <c r="L1240">
        <v>367.85590000000002</v>
      </c>
      <c r="M1240">
        <v>0.99988410000000005</v>
      </c>
      <c r="N1240">
        <v>0</v>
      </c>
      <c r="O1240">
        <v>5.5295830000000002E-3</v>
      </c>
      <c r="P1240">
        <v>0.9943092</v>
      </c>
      <c r="Q1240">
        <v>8.8733140000000002E-2</v>
      </c>
      <c r="R1240">
        <v>-5.8957629999999997E-2</v>
      </c>
      <c r="S1240">
        <v>3.027069</v>
      </c>
      <c r="T1240">
        <v>-0.19122400000000001</v>
      </c>
      <c r="U1240">
        <v>-0.1153259</v>
      </c>
      <c r="V1240">
        <v>6.4472009999999996E-2</v>
      </c>
      <c r="W1240">
        <v>0.1028218</v>
      </c>
      <c r="X1240">
        <v>0.99260820000000005</v>
      </c>
      <c r="Y1240">
        <v>4.3498559999999999E-2</v>
      </c>
      <c r="Z1240">
        <v>-1.720947E-3</v>
      </c>
      <c r="AA1240">
        <v>0.99905200000000005</v>
      </c>
      <c r="AB1240">
        <v>29</v>
      </c>
      <c r="AC1240">
        <v>17.292300000000001</v>
      </c>
      <c r="AD1240">
        <v>-1.1103559828108001</v>
      </c>
      <c r="AE1240">
        <v>-0.67119999999999802</v>
      </c>
      <c r="AF1240">
        <v>0.76367463123373502</v>
      </c>
      <c r="AG1240">
        <v>-1.1103559828108001</v>
      </c>
      <c r="AH1240">
        <v>17.217442106594799</v>
      </c>
      <c r="AI1240">
        <v>93.686291211882505</v>
      </c>
      <c r="AJ1240">
        <v>87.460326977275002</v>
      </c>
      <c r="AK1240">
        <v>17.270101390695402</v>
      </c>
      <c r="AL1240">
        <v>84.098314413942802</v>
      </c>
      <c r="AM1240">
        <v>86.283737638384196</v>
      </c>
      <c r="AN1240">
        <v>1.0000000006679599</v>
      </c>
    </row>
    <row r="1241" spans="1:40" x14ac:dyDescent="0.25">
      <c r="A1241" t="str">
        <f>"20190312164013802"</f>
        <v>20190312164013802</v>
      </c>
      <c r="B1241" t="str">
        <f>"1552380013797205"</f>
        <v>1552380013797205</v>
      </c>
      <c r="C1241" t="s">
        <v>40</v>
      </c>
      <c r="D1241">
        <v>5.4353939999999996</v>
      </c>
      <c r="E1241">
        <v>0.49653760000000002</v>
      </c>
      <c r="F1241" t="s">
        <v>41</v>
      </c>
      <c r="G1241">
        <v>-229.1326</v>
      </c>
      <c r="H1241" s="1">
        <v>-9.2888220000000003E-7</v>
      </c>
      <c r="I1241">
        <v>367.18239999999997</v>
      </c>
      <c r="J1241">
        <v>-246.10579999999999</v>
      </c>
      <c r="K1241">
        <v>1.11036</v>
      </c>
      <c r="L1241">
        <v>367.85680000000002</v>
      </c>
      <c r="M1241">
        <v>0.99988410000000005</v>
      </c>
      <c r="N1241">
        <v>0</v>
      </c>
      <c r="O1241">
        <v>5.5002519999999997E-3</v>
      </c>
      <c r="P1241">
        <v>0.99424599999999996</v>
      </c>
      <c r="Q1241">
        <v>8.8956670000000002E-2</v>
      </c>
      <c r="R1241">
        <v>-5.9679790000000003E-2</v>
      </c>
      <c r="S1241">
        <v>3.0276179999999999</v>
      </c>
      <c r="T1241">
        <v>-0.19622390000000001</v>
      </c>
      <c r="U1241">
        <v>-0.1190186</v>
      </c>
      <c r="V1241">
        <v>6.5164029999999998E-2</v>
      </c>
      <c r="W1241">
        <v>0.1030433</v>
      </c>
      <c r="X1241">
        <v>0.99254010000000004</v>
      </c>
      <c r="Y1241">
        <v>4.4671469999999998E-2</v>
      </c>
      <c r="Z1241">
        <v>-1.801546E-3</v>
      </c>
      <c r="AA1241">
        <v>0.99900009999999995</v>
      </c>
      <c r="AB1241">
        <v>29</v>
      </c>
      <c r="AC1241">
        <v>16.973199999999899</v>
      </c>
      <c r="AD1241">
        <v>-1.1103609288822001</v>
      </c>
      <c r="AE1241">
        <v>-0.67440000000004796</v>
      </c>
      <c r="AF1241">
        <v>0.76448954736610197</v>
      </c>
      <c r="AG1241">
        <v>-1.1103609288822001</v>
      </c>
      <c r="AH1241">
        <v>16.897035270411401</v>
      </c>
      <c r="AI1241">
        <v>93.755861351710905</v>
      </c>
      <c r="AJ1241">
        <v>87.409476122449703</v>
      </c>
      <c r="AK1241">
        <v>16.950727022459802</v>
      </c>
      <c r="AL1241">
        <v>84.085555988259003</v>
      </c>
      <c r="AM1241">
        <v>86.243705187532399</v>
      </c>
      <c r="AN1241">
        <v>1.00000006129436</v>
      </c>
    </row>
    <row r="1242" spans="1:40" x14ac:dyDescent="0.25">
      <c r="A1242" t="str">
        <f>"20190312164013812"</f>
        <v>20190312164013812</v>
      </c>
      <c r="B1242" t="str">
        <f>"1552380013806965"</f>
        <v>1552380013806965</v>
      </c>
      <c r="C1242" t="s">
        <v>40</v>
      </c>
      <c r="D1242">
        <v>5.1132289999999996</v>
      </c>
      <c r="E1242">
        <v>0.49674790000000002</v>
      </c>
      <c r="F1242" t="s">
        <v>42</v>
      </c>
      <c r="G1242">
        <v>-245.16419999999999</v>
      </c>
      <c r="H1242">
        <v>1.047544</v>
      </c>
      <c r="I1242">
        <v>367.81810000000002</v>
      </c>
      <c r="J1242">
        <v>-245.96090000000001</v>
      </c>
      <c r="K1242">
        <v>1.1103639999999999</v>
      </c>
      <c r="L1242">
        <v>367.85750000000002</v>
      </c>
      <c r="M1242">
        <v>0.99988440000000001</v>
      </c>
      <c r="N1242">
        <v>0</v>
      </c>
      <c r="O1242">
        <v>5.4745410000000003E-3</v>
      </c>
      <c r="P1242">
        <v>0.99420929999999996</v>
      </c>
      <c r="Q1242">
        <v>8.9055819999999994E-2</v>
      </c>
      <c r="R1242">
        <v>-6.0140249999999999E-2</v>
      </c>
      <c r="S1242">
        <v>3.0280149999999999</v>
      </c>
      <c r="T1242">
        <v>-0.2021</v>
      </c>
      <c r="U1242">
        <v>-0.1242065</v>
      </c>
      <c r="V1242">
        <v>6.5598310000000007E-2</v>
      </c>
      <c r="W1242">
        <v>0.10314</v>
      </c>
      <c r="X1242">
        <v>0.99250139999999998</v>
      </c>
      <c r="Y1242">
        <v>4.6339449999999997E-2</v>
      </c>
      <c r="Z1242">
        <v>-1.9089370000000001E-3</v>
      </c>
      <c r="AA1242">
        <v>0.99892389999999998</v>
      </c>
      <c r="AB1242">
        <v>29</v>
      </c>
      <c r="AC1242">
        <v>0.79670000000001495</v>
      </c>
      <c r="AD1242">
        <v>-6.2819999999999807E-2</v>
      </c>
      <c r="AE1242">
        <v>-3.9400000000000497E-2</v>
      </c>
      <c r="AF1242">
        <v>4.3491671345688099E-2</v>
      </c>
      <c r="AG1242">
        <v>-6.2819999999999807E-2</v>
      </c>
      <c r="AH1242">
        <v>0.79156291304592996</v>
      </c>
      <c r="AI1242">
        <v>94.530790818597794</v>
      </c>
      <c r="AJ1242">
        <v>86.855100007996199</v>
      </c>
      <c r="AK1242">
        <v>0.79524192745742395</v>
      </c>
      <c r="AL1242">
        <v>84.079985523707904</v>
      </c>
      <c r="AM1242">
        <v>86.2185970601072</v>
      </c>
      <c r="AN1242">
        <v>1.0000000134383999</v>
      </c>
    </row>
    <row r="1243" spans="1:40" x14ac:dyDescent="0.25">
      <c r="A1243" t="str">
        <f>"20190312164013825"</f>
        <v>20190312164013825</v>
      </c>
      <c r="B1243" t="str">
        <f>"1552380013817701"</f>
        <v>1552380013817701</v>
      </c>
      <c r="C1243" t="s">
        <v>40</v>
      </c>
      <c r="D1243">
        <v>5.4750829999999997</v>
      </c>
      <c r="E1243">
        <v>0.49668879999999999</v>
      </c>
      <c r="F1243" t="s">
        <v>41</v>
      </c>
      <c r="G1243">
        <v>-229.34829999999999</v>
      </c>
      <c r="H1243" s="1">
        <v>-8.6197719999999995E-7</v>
      </c>
      <c r="I1243">
        <v>367.15800000000002</v>
      </c>
      <c r="J1243">
        <v>-245.80950000000001</v>
      </c>
      <c r="K1243">
        <v>1.110368</v>
      </c>
      <c r="L1243">
        <v>367.85829999999999</v>
      </c>
      <c r="M1243">
        <v>0.99988469999999996</v>
      </c>
      <c r="N1243">
        <v>0</v>
      </c>
      <c r="O1243">
        <v>5.4480509999999998E-3</v>
      </c>
      <c r="P1243">
        <v>0.99418569999999995</v>
      </c>
      <c r="Q1243">
        <v>8.9062420000000003E-2</v>
      </c>
      <c r="R1243">
        <v>-6.0523599999999997E-2</v>
      </c>
      <c r="S1243">
        <v>3.0279240000000001</v>
      </c>
      <c r="T1243">
        <v>-0.20238129999999999</v>
      </c>
      <c r="U1243">
        <v>-0.12750239999999999</v>
      </c>
      <c r="V1243">
        <v>6.5954890000000002E-2</v>
      </c>
      <c r="W1243">
        <v>0.10314479999999999</v>
      </c>
      <c r="X1243">
        <v>0.99247719999999995</v>
      </c>
      <c r="Y1243">
        <v>4.739703E-2</v>
      </c>
      <c r="Z1243">
        <v>-1.945123E-3</v>
      </c>
      <c r="AA1243">
        <v>0.99887420000000005</v>
      </c>
      <c r="AB1243">
        <v>29</v>
      </c>
      <c r="AC1243">
        <v>16.461200000000002</v>
      </c>
      <c r="AD1243">
        <v>-1.1103688619771901</v>
      </c>
      <c r="AE1243">
        <v>-0.70029999999996995</v>
      </c>
      <c r="AF1243">
        <v>0.78640837693160004</v>
      </c>
      <c r="AG1243">
        <v>-1.1103688619771901</v>
      </c>
      <c r="AH1243">
        <v>16.382733201988501</v>
      </c>
      <c r="AI1243">
        <v>93.872947473446203</v>
      </c>
      <c r="AJ1243">
        <v>87.251782076942604</v>
      </c>
      <c r="AK1243">
        <v>16.439139403037299</v>
      </c>
      <c r="AL1243">
        <v>84.079708622102501</v>
      </c>
      <c r="AM1243">
        <v>86.198009759256607</v>
      </c>
      <c r="AN1243">
        <v>0.99999994490089406</v>
      </c>
    </row>
    <row r="1244" spans="1:40" x14ac:dyDescent="0.25">
      <c r="A1244" t="str">
        <f>"20190312164013835"</f>
        <v>20190312164013835</v>
      </c>
      <c r="B1244" t="str">
        <f>"1552380013827461"</f>
        <v>1552380013827461</v>
      </c>
      <c r="C1244" t="s">
        <v>40</v>
      </c>
      <c r="D1244">
        <v>5.4959769999999999</v>
      </c>
      <c r="E1244">
        <v>0.49665710000000002</v>
      </c>
      <c r="F1244" t="s">
        <v>42</v>
      </c>
      <c r="G1244">
        <v>-244.90219999999999</v>
      </c>
      <c r="H1244">
        <v>1.0498590000000001</v>
      </c>
      <c r="I1244">
        <v>367.81990000000002</v>
      </c>
      <c r="J1244">
        <v>-245.66470000000001</v>
      </c>
      <c r="K1244">
        <v>1.1103730000000001</v>
      </c>
      <c r="L1244">
        <v>367.85910000000001</v>
      </c>
      <c r="M1244">
        <v>0.99988480000000002</v>
      </c>
      <c r="N1244">
        <v>0</v>
      </c>
      <c r="O1244">
        <v>5.4231660000000001E-3</v>
      </c>
      <c r="P1244">
        <v>0.99416789999999999</v>
      </c>
      <c r="Q1244">
        <v>8.9006630000000003E-2</v>
      </c>
      <c r="R1244">
        <v>-6.0897590000000001E-2</v>
      </c>
      <c r="S1244">
        <v>3.027847</v>
      </c>
      <c r="T1244">
        <v>-0.20194960000000001</v>
      </c>
      <c r="U1244">
        <v>-0.12814329999999999</v>
      </c>
      <c r="V1244">
        <v>6.6303799999999996E-2</v>
      </c>
      <c r="W1244">
        <v>0.1030874</v>
      </c>
      <c r="X1244">
        <v>0.99246000000000001</v>
      </c>
      <c r="Y1244">
        <v>4.7584410000000001E-2</v>
      </c>
      <c r="Z1244">
        <v>-1.945605E-3</v>
      </c>
      <c r="AA1244">
        <v>0.99886529999999996</v>
      </c>
      <c r="AB1244">
        <v>29</v>
      </c>
      <c r="AC1244">
        <v>0.76250000000001705</v>
      </c>
      <c r="AD1244">
        <v>-6.0513999999999901E-2</v>
      </c>
      <c r="AE1244">
        <v>-3.9199999999993899E-2</v>
      </c>
      <c r="AF1244">
        <v>4.3064479652344903E-2</v>
      </c>
      <c r="AG1244">
        <v>-6.0513999999999901E-2</v>
      </c>
      <c r="AH1244">
        <v>0.75751758378485701</v>
      </c>
      <c r="AI1244">
        <v>94.560020517027297</v>
      </c>
      <c r="AJ1244">
        <v>86.746267000796493</v>
      </c>
      <c r="AK1244">
        <v>0.76115003997042197</v>
      </c>
      <c r="AL1244">
        <v>84.083015523388795</v>
      </c>
      <c r="AM1244">
        <v>86.177890148568295</v>
      </c>
      <c r="AN1244">
        <v>1.00000002876659</v>
      </c>
    </row>
    <row r="1245" spans="1:40" x14ac:dyDescent="0.25">
      <c r="A1245" t="str">
        <f>"20190312164013846"</f>
        <v>20190312164013846</v>
      </c>
      <c r="B1245" t="str">
        <f>"1552380013837221"</f>
        <v>1552380013837221</v>
      </c>
      <c r="C1245" t="s">
        <v>40</v>
      </c>
      <c r="D1245">
        <v>5.3606439999999997</v>
      </c>
      <c r="E1245">
        <v>0.49662089999999998</v>
      </c>
      <c r="F1245" t="s">
        <v>41</v>
      </c>
      <c r="G1245">
        <v>-228.98349999999999</v>
      </c>
      <c r="H1245" s="1">
        <v>-9.889463E-7</v>
      </c>
      <c r="I1245">
        <v>367.14729999999997</v>
      </c>
      <c r="J1245">
        <v>-245.5189</v>
      </c>
      <c r="K1245">
        <v>1.1103769999999999</v>
      </c>
      <c r="L1245">
        <v>367.85980000000001</v>
      </c>
      <c r="M1245">
        <v>0.99988500000000002</v>
      </c>
      <c r="N1245">
        <v>0</v>
      </c>
      <c r="O1245">
        <v>5.3983340000000003E-3</v>
      </c>
      <c r="P1245">
        <v>0.9941586</v>
      </c>
      <c r="Q1245">
        <v>8.899493E-2</v>
      </c>
      <c r="R1245">
        <v>-6.1065969999999997E-2</v>
      </c>
      <c r="S1245">
        <v>3.0277250000000002</v>
      </c>
      <c r="T1245">
        <v>-0.20153760000000001</v>
      </c>
      <c r="U1245">
        <v>-0.12918089999999999</v>
      </c>
      <c r="V1245">
        <v>6.6447409999999998E-2</v>
      </c>
      <c r="W1245">
        <v>0.1030746</v>
      </c>
      <c r="X1245">
        <v>0.99245170000000005</v>
      </c>
      <c r="Y1245">
        <v>4.7902819999999999E-2</v>
      </c>
      <c r="Z1245">
        <v>-1.9506390000000001E-3</v>
      </c>
      <c r="AA1245">
        <v>0.99885009999999996</v>
      </c>
      <c r="AB1245">
        <v>29</v>
      </c>
      <c r="AC1245">
        <v>16.535399999999999</v>
      </c>
      <c r="AD1245">
        <v>-1.1103779889462999</v>
      </c>
      <c r="AE1245">
        <v>-0.712500000000034</v>
      </c>
      <c r="AF1245">
        <v>0.79816965118737604</v>
      </c>
      <c r="AG1245">
        <v>-1.1103779889462999</v>
      </c>
      <c r="AH1245">
        <v>16.4572386808467</v>
      </c>
      <c r="AI1245">
        <v>93.8554063719141</v>
      </c>
      <c r="AJ1245">
        <v>87.223352785478099</v>
      </c>
      <c r="AK1245">
        <v>16.513955282389801</v>
      </c>
      <c r="AL1245">
        <v>84.0837526908646</v>
      </c>
      <c r="AM1245">
        <v>86.169604369656795</v>
      </c>
      <c r="AN1245">
        <v>1.00000000414687</v>
      </c>
    </row>
    <row r="1246" spans="1:40" x14ac:dyDescent="0.25">
      <c r="A1246" t="str">
        <f>"20190312164013858"</f>
        <v>20190312164013858</v>
      </c>
      <c r="B1246" t="str">
        <f>"1552380013846981"</f>
        <v>1552380013846981</v>
      </c>
      <c r="C1246" t="s">
        <v>40</v>
      </c>
      <c r="D1246">
        <v>5.4989470000000003</v>
      </c>
      <c r="E1246">
        <v>0.49662460000000003</v>
      </c>
      <c r="F1246" t="s">
        <v>42</v>
      </c>
      <c r="G1246">
        <v>-244.6318</v>
      </c>
      <c r="H1246">
        <v>1.0515099999999999</v>
      </c>
      <c r="I1246">
        <v>367.82190000000003</v>
      </c>
      <c r="J1246">
        <v>-245.37569999999999</v>
      </c>
      <c r="K1246">
        <v>1.1103809999999901</v>
      </c>
      <c r="L1246">
        <v>367.86059999999998</v>
      </c>
      <c r="M1246">
        <v>0.99988500000000002</v>
      </c>
      <c r="N1246">
        <v>0</v>
      </c>
      <c r="O1246">
        <v>5.3739759999999999E-3</v>
      </c>
      <c r="P1246">
        <v>0.99418139999999999</v>
      </c>
      <c r="Q1246">
        <v>8.8669029999999996E-2</v>
      </c>
      <c r="R1246">
        <v>-6.1165339999999999E-2</v>
      </c>
      <c r="S1246">
        <v>3.0277250000000002</v>
      </c>
      <c r="T1246">
        <v>-0.20104469999999999</v>
      </c>
      <c r="U1246">
        <v>-0.1289978</v>
      </c>
      <c r="V1246">
        <v>6.6522600000000001E-2</v>
      </c>
      <c r="W1246">
        <v>0.1027473</v>
      </c>
      <c r="X1246">
        <v>0.99248060000000005</v>
      </c>
      <c r="Y1246">
        <v>4.7819E-2</v>
      </c>
      <c r="Z1246">
        <v>-1.941487E-3</v>
      </c>
      <c r="AA1246">
        <v>0.99885409999999997</v>
      </c>
      <c r="AB1246">
        <v>29</v>
      </c>
      <c r="AC1246">
        <v>0.74389999999999601</v>
      </c>
      <c r="AD1246">
        <v>-5.8870999999999903E-2</v>
      </c>
      <c r="AE1246">
        <v>-3.8699999999948803E-2</v>
      </c>
      <c r="AF1246">
        <v>4.24325116428508E-2</v>
      </c>
      <c r="AG1246">
        <v>-5.8870999999999903E-2</v>
      </c>
      <c r="AH1246">
        <v>0.73906508359161704</v>
      </c>
      <c r="AI1246">
        <v>94.546882363154197</v>
      </c>
      <c r="AJ1246">
        <v>86.714040755812505</v>
      </c>
      <c r="AK1246">
        <v>0.74261935772615395</v>
      </c>
      <c r="AL1246">
        <v>84.102605689443095</v>
      </c>
      <c r="AM1246">
        <v>86.165394257437697</v>
      </c>
      <c r="AN1246">
        <v>1.0000000026722</v>
      </c>
    </row>
    <row r="1247" spans="1:40" x14ac:dyDescent="0.25">
      <c r="A1247" t="str">
        <f>"20190312164013870"</f>
        <v>20190312164013870</v>
      </c>
      <c r="B1247" t="str">
        <f>"1552380013857717"</f>
        <v>1552380013857717</v>
      </c>
      <c r="C1247" t="s">
        <v>40</v>
      </c>
      <c r="D1247">
        <v>5.65754</v>
      </c>
      <c r="E1247">
        <v>0.49668760000000001</v>
      </c>
      <c r="F1247" t="s">
        <v>42</v>
      </c>
      <c r="G1247">
        <v>-244.38829999999999</v>
      </c>
      <c r="H1247">
        <v>1.044662</v>
      </c>
      <c r="I1247">
        <v>367.81810000000002</v>
      </c>
      <c r="J1247">
        <v>-245.21729999999999</v>
      </c>
      <c r="K1247">
        <v>1.1103860000000001</v>
      </c>
      <c r="L1247">
        <v>367.8614</v>
      </c>
      <c r="M1247">
        <v>0.99988520000000003</v>
      </c>
      <c r="N1247">
        <v>0</v>
      </c>
      <c r="O1247">
        <v>5.3463979999999996E-3</v>
      </c>
      <c r="P1247">
        <v>0.99423910000000004</v>
      </c>
      <c r="Q1247">
        <v>8.8283940000000005E-2</v>
      </c>
      <c r="R1247">
        <v>-6.0783770000000001E-2</v>
      </c>
      <c r="S1247">
        <v>3.027542</v>
      </c>
      <c r="T1247">
        <v>-0.2015826</v>
      </c>
      <c r="U1247">
        <v>-0.12991330000000001</v>
      </c>
      <c r="V1247">
        <v>6.6113729999999996E-2</v>
      </c>
      <c r="W1247">
        <v>0.1023617</v>
      </c>
      <c r="X1247">
        <v>0.99254779999999998</v>
      </c>
      <c r="Y1247">
        <v>4.8094329999999998E-2</v>
      </c>
      <c r="Z1247">
        <v>-1.9540930000000001E-3</v>
      </c>
      <c r="AA1247">
        <v>0.99884090000000003</v>
      </c>
      <c r="AB1247">
        <v>29</v>
      </c>
      <c r="AC1247">
        <v>0.82900000000000695</v>
      </c>
      <c r="AD1247">
        <v>-6.5724000000000102E-2</v>
      </c>
      <c r="AE1247">
        <v>-4.3299999999987897E-2</v>
      </c>
      <c r="AF1247">
        <v>4.7434651784188701E-2</v>
      </c>
      <c r="AG1247">
        <v>-6.5724000000000102E-2</v>
      </c>
      <c r="AH1247">
        <v>0.82359402220021205</v>
      </c>
      <c r="AI1247">
        <v>94.555100669039405</v>
      </c>
      <c r="AJ1247">
        <v>86.703708233278604</v>
      </c>
      <c r="AK1247">
        <v>0.82757283895123801</v>
      </c>
      <c r="AL1247">
        <v>84.124816263526299</v>
      </c>
      <c r="AM1247">
        <v>86.189150616102694</v>
      </c>
      <c r="AN1247">
        <v>1.0000000391031201</v>
      </c>
    </row>
    <row r="1248" spans="1:40" x14ac:dyDescent="0.25">
      <c r="A1248" t="str">
        <f>"20190312164013884"</f>
        <v>20190312164013884</v>
      </c>
      <c r="B1248" t="str">
        <f>"1552380013877237"</f>
        <v>1552380013877237</v>
      </c>
      <c r="C1248" t="s">
        <v>40</v>
      </c>
      <c r="D1248">
        <v>5.5440909999999999</v>
      </c>
      <c r="E1248">
        <v>0.49755349999999998</v>
      </c>
      <c r="F1248" t="s">
        <v>41</v>
      </c>
      <c r="G1248">
        <v>-228.64179999999999</v>
      </c>
      <c r="H1248" s="1">
        <v>-1.10341E-6</v>
      </c>
      <c r="I1248">
        <v>367.15410000000003</v>
      </c>
      <c r="J1248">
        <v>-245.05170000000001</v>
      </c>
      <c r="K1248">
        <v>1.11039</v>
      </c>
      <c r="L1248">
        <v>367.8623</v>
      </c>
      <c r="M1248">
        <v>0.99988529999999998</v>
      </c>
      <c r="N1248">
        <v>0</v>
      </c>
      <c r="O1248">
        <v>5.3175080000000003E-3</v>
      </c>
      <c r="P1248">
        <v>0.99427149999999997</v>
      </c>
      <c r="Q1248">
        <v>8.798541E-2</v>
      </c>
      <c r="R1248">
        <v>-6.0685790000000003E-2</v>
      </c>
      <c r="S1248">
        <v>3.0274960000000002</v>
      </c>
      <c r="T1248">
        <v>-0.20281080000000001</v>
      </c>
      <c r="U1248">
        <v>-0.12918089999999999</v>
      </c>
      <c r="V1248">
        <v>6.5987000000000004E-2</v>
      </c>
      <c r="W1248">
        <v>0.1020619</v>
      </c>
      <c r="X1248">
        <v>0.99258710000000006</v>
      </c>
      <c r="Y1248">
        <v>4.7824140000000001E-2</v>
      </c>
      <c r="Z1248">
        <v>-1.955044E-3</v>
      </c>
      <c r="AA1248">
        <v>0.99885389999999996</v>
      </c>
      <c r="AB1248">
        <v>29</v>
      </c>
      <c r="AC1248">
        <v>16.4099</v>
      </c>
      <c r="AD1248">
        <v>-1.11039110341</v>
      </c>
      <c r="AE1248">
        <v>-0.70819999999997596</v>
      </c>
      <c r="AF1248">
        <v>0.79183969707107404</v>
      </c>
      <c r="AG1248">
        <v>-1.11039110341</v>
      </c>
      <c r="AH1248">
        <v>16.3312651232233</v>
      </c>
      <c r="AI1248">
        <v>93.885103149173602</v>
      </c>
      <c r="AJ1248">
        <v>87.224123811684706</v>
      </c>
      <c r="AK1248">
        <v>16.3881115151625</v>
      </c>
      <c r="AL1248">
        <v>84.142083940644198</v>
      </c>
      <c r="AM1248">
        <v>86.196584128425798</v>
      </c>
      <c r="AN1248">
        <v>1.0000000333435</v>
      </c>
    </row>
    <row r="1249" spans="1:40" x14ac:dyDescent="0.25">
      <c r="A1249" t="str">
        <f>"20190312164013902"</f>
        <v>20190312164013902</v>
      </c>
      <c r="B1249" t="str">
        <f>"1552380013897733"</f>
        <v>1552380013897733</v>
      </c>
      <c r="C1249" t="s">
        <v>40</v>
      </c>
      <c r="D1249">
        <v>5.4252859999999998</v>
      </c>
      <c r="E1249">
        <v>0.49828440000000002</v>
      </c>
      <c r="F1249" t="s">
        <v>42</v>
      </c>
      <c r="G1249">
        <v>-244.12559999999999</v>
      </c>
      <c r="H1249">
        <v>1.0487390000000001</v>
      </c>
      <c r="I1249">
        <v>367.82049999999998</v>
      </c>
      <c r="J1249">
        <v>-244.80670000000001</v>
      </c>
      <c r="K1249">
        <v>1.1103889999999901</v>
      </c>
      <c r="L1249">
        <v>367.86360000000002</v>
      </c>
      <c r="M1249">
        <v>0.99988560000000004</v>
      </c>
      <c r="N1249">
        <v>0</v>
      </c>
      <c r="O1249">
        <v>5.2741400000000001E-3</v>
      </c>
      <c r="P1249">
        <v>0.99443760000000003</v>
      </c>
      <c r="Q1249">
        <v>8.6424180000000003E-2</v>
      </c>
      <c r="R1249">
        <v>-6.0208739999999997E-2</v>
      </c>
      <c r="S1249">
        <v>3.0268549999999999</v>
      </c>
      <c r="T1249">
        <v>-0.2017198</v>
      </c>
      <c r="U1249">
        <v>-0.13598629999999901</v>
      </c>
      <c r="V1249">
        <v>6.5467269999999994E-2</v>
      </c>
      <c r="W1249">
        <v>0.1005007</v>
      </c>
      <c r="X1249">
        <v>0.99278069999999896</v>
      </c>
      <c r="Y1249">
        <v>5.0027629999999997E-2</v>
      </c>
      <c r="Z1249">
        <v>-2.0152859999999998E-3</v>
      </c>
      <c r="AA1249">
        <v>0.99874580000000002</v>
      </c>
      <c r="AB1249">
        <v>29</v>
      </c>
      <c r="AC1249">
        <v>0.68110000000001403</v>
      </c>
      <c r="AD1249">
        <v>-6.1649999999999899E-2</v>
      </c>
      <c r="AE1249">
        <v>-4.3100000000038101E-2</v>
      </c>
      <c r="AF1249">
        <v>4.6314039414712099E-2</v>
      </c>
      <c r="AG1249">
        <v>-6.1649999999999899E-2</v>
      </c>
      <c r="AH1249">
        <v>0.67535207727565205</v>
      </c>
      <c r="AI1249">
        <v>95.203676031353993</v>
      </c>
      <c r="AJ1249">
        <v>86.076933917930504</v>
      </c>
      <c r="AK1249">
        <v>0.67973975978123102</v>
      </c>
      <c r="AL1249">
        <v>84.231995901587894</v>
      </c>
      <c r="AM1249">
        <v>86.227187627531407</v>
      </c>
      <c r="AN1249">
        <v>0.99999993621711403</v>
      </c>
    </row>
    <row r="1250" spans="1:40" x14ac:dyDescent="0.25">
      <c r="A1250" t="str">
        <f>"20190312164013913"</f>
        <v>20190312164013913</v>
      </c>
      <c r="B1250" t="str">
        <f>"1552380013907492"</f>
        <v>1552380013907492</v>
      </c>
      <c r="C1250" t="s">
        <v>40</v>
      </c>
      <c r="D1250">
        <v>5.5213010000000002</v>
      </c>
      <c r="E1250">
        <v>0.49863360000000001</v>
      </c>
      <c r="F1250" t="s">
        <v>42</v>
      </c>
      <c r="G1250">
        <v>-243.86879999999999</v>
      </c>
      <c r="H1250">
        <v>1.0467839999999999</v>
      </c>
      <c r="I1250">
        <v>367.81990000000002</v>
      </c>
      <c r="J1250">
        <v>-244.6533</v>
      </c>
      <c r="K1250">
        <v>1.1103909999999999</v>
      </c>
      <c r="L1250">
        <v>367.86430000000001</v>
      </c>
      <c r="M1250">
        <v>0.99988589999999999</v>
      </c>
      <c r="N1250">
        <v>0</v>
      </c>
      <c r="O1250">
        <v>5.2460850000000002E-3</v>
      </c>
      <c r="P1250">
        <v>0.99448840000000005</v>
      </c>
      <c r="Q1250">
        <v>8.5980390000000004E-2</v>
      </c>
      <c r="R1250">
        <v>-6.0001819999999997E-2</v>
      </c>
      <c r="S1250">
        <v>3.0260929999999999</v>
      </c>
      <c r="T1250">
        <v>-0.20517589999999999</v>
      </c>
      <c r="U1250">
        <v>-0.14089969999999999</v>
      </c>
      <c r="V1250">
        <v>6.5232979999999996E-2</v>
      </c>
      <c r="W1250">
        <v>0.1000561</v>
      </c>
      <c r="X1250">
        <v>0.99284110000000003</v>
      </c>
      <c r="Y1250">
        <v>5.1621189999999997E-2</v>
      </c>
      <c r="Z1250">
        <v>-2.1022089999999998E-3</v>
      </c>
      <c r="AA1250">
        <v>0.99866449999999996</v>
      </c>
      <c r="AB1250">
        <v>29</v>
      </c>
      <c r="AC1250">
        <v>0.78450000000000797</v>
      </c>
      <c r="AD1250">
        <v>-6.36069999999999E-2</v>
      </c>
      <c r="AE1250">
        <v>-4.4399999999995998E-2</v>
      </c>
      <c r="AF1250">
        <v>4.8199507926146599E-2</v>
      </c>
      <c r="AG1250">
        <v>-6.36069999999999E-2</v>
      </c>
      <c r="AH1250">
        <v>0.77915053981312599</v>
      </c>
      <c r="AI1250">
        <v>94.658203004333302</v>
      </c>
      <c r="AJ1250">
        <v>86.460101717085905</v>
      </c>
      <c r="AK1250">
        <v>0.78322704671404697</v>
      </c>
      <c r="AL1250">
        <v>84.257599069611899</v>
      </c>
      <c r="AM1250">
        <v>86.240878781886394</v>
      </c>
      <c r="AN1250">
        <v>1.0000000073380499</v>
      </c>
    </row>
    <row r="1251" spans="1:40" x14ac:dyDescent="0.25">
      <c r="A1251" t="str">
        <f>"20190312164013925"</f>
        <v>20190312164013925</v>
      </c>
      <c r="B1251" t="str">
        <f>"1552380013917253"</f>
        <v>1552380013917253</v>
      </c>
      <c r="C1251" t="s">
        <v>40</v>
      </c>
      <c r="D1251">
        <v>5.5260020000000001</v>
      </c>
      <c r="E1251">
        <v>0.49896079999999998</v>
      </c>
      <c r="F1251" t="s">
        <v>41</v>
      </c>
      <c r="G1251">
        <v>-228.32570000000001</v>
      </c>
      <c r="H1251" s="1">
        <v>-1.227214E-6</v>
      </c>
      <c r="I1251">
        <v>367.09309999999999</v>
      </c>
      <c r="J1251">
        <v>-244.51609999999999</v>
      </c>
      <c r="K1251">
        <v>1.110395</v>
      </c>
      <c r="L1251">
        <v>367.86509999999998</v>
      </c>
      <c r="M1251">
        <v>0.99988589999999999</v>
      </c>
      <c r="N1251">
        <v>0</v>
      </c>
      <c r="O1251">
        <v>5.2212420000000001E-3</v>
      </c>
      <c r="P1251">
        <v>0.99458150000000001</v>
      </c>
      <c r="Q1251">
        <v>8.5385150000000007E-2</v>
      </c>
      <c r="R1251">
        <v>-5.9309269999999997E-2</v>
      </c>
      <c r="S1251">
        <v>3.0257719999999999</v>
      </c>
      <c r="T1251">
        <v>-0.2057736</v>
      </c>
      <c r="U1251">
        <v>-0.14291379999999901</v>
      </c>
      <c r="V1251">
        <v>6.4515740000000002E-2</v>
      </c>
      <c r="W1251">
        <v>9.9461179999999996E-2</v>
      </c>
      <c r="X1251">
        <v>0.99294780000000005</v>
      </c>
      <c r="Y1251">
        <v>5.2262410000000002E-2</v>
      </c>
      <c r="Z1251">
        <v>-2.1285879999999998E-3</v>
      </c>
      <c r="AA1251">
        <v>0.99863109999999999</v>
      </c>
      <c r="AB1251">
        <v>29</v>
      </c>
      <c r="AC1251">
        <v>16.190399999999901</v>
      </c>
      <c r="AD1251">
        <v>-1.110396227214</v>
      </c>
      <c r="AE1251">
        <v>-0.77199999999999103</v>
      </c>
      <c r="AF1251">
        <v>0.852531000917086</v>
      </c>
      <c r="AG1251">
        <v>-1.110396227214</v>
      </c>
      <c r="AH1251">
        <v>16.110540611021001</v>
      </c>
      <c r="AI1251">
        <v>93.9373035547071</v>
      </c>
      <c r="AJ1251">
        <v>86.970870719454496</v>
      </c>
      <c r="AK1251">
        <v>16.171249415808699</v>
      </c>
      <c r="AL1251">
        <v>84.291856722349607</v>
      </c>
      <c r="AM1251">
        <v>86.282492345675607</v>
      </c>
      <c r="AN1251">
        <v>1.00000007027978</v>
      </c>
    </row>
    <row r="1252" spans="1:40" x14ac:dyDescent="0.25">
      <c r="A1252" t="str">
        <f>"20190312164013936"</f>
        <v>20190312164013936</v>
      </c>
      <c r="B1252" t="str">
        <f>"1552380013927013"</f>
        <v>1552380013927013</v>
      </c>
      <c r="C1252" t="s">
        <v>40</v>
      </c>
      <c r="D1252">
        <v>5.4824830000000002</v>
      </c>
      <c r="E1252">
        <v>0.49927660000000001</v>
      </c>
      <c r="F1252" t="s">
        <v>42</v>
      </c>
      <c r="G1252">
        <v>-243.60900000000001</v>
      </c>
      <c r="H1252">
        <v>1.0483709999999999</v>
      </c>
      <c r="I1252">
        <v>367.8218</v>
      </c>
      <c r="J1252">
        <v>-244.3553</v>
      </c>
      <c r="K1252">
        <v>1.110395</v>
      </c>
      <c r="L1252">
        <v>367.86579999999998</v>
      </c>
      <c r="M1252">
        <v>0.99988619999999995</v>
      </c>
      <c r="N1252">
        <v>0</v>
      </c>
      <c r="O1252">
        <v>5.1921069999999996E-3</v>
      </c>
      <c r="P1252">
        <v>0.99461409999999995</v>
      </c>
      <c r="Q1252">
        <v>8.5371669999999997E-2</v>
      </c>
      <c r="R1252">
        <v>-5.8780350000000002E-2</v>
      </c>
      <c r="S1252">
        <v>3.0255130000000001</v>
      </c>
      <c r="T1252">
        <v>-0.20704649999999999</v>
      </c>
      <c r="U1252">
        <v>-0.14385990000000001</v>
      </c>
      <c r="V1252">
        <v>6.3958280000000006E-2</v>
      </c>
      <c r="W1252">
        <v>9.944646E-2</v>
      </c>
      <c r="X1252">
        <v>0.99298520000000001</v>
      </c>
      <c r="Y1252">
        <v>5.254665E-2</v>
      </c>
      <c r="Z1252">
        <v>-2.1496110000000001E-3</v>
      </c>
      <c r="AA1252">
        <v>0.99861619999999995</v>
      </c>
      <c r="AB1252">
        <v>29</v>
      </c>
      <c r="AC1252">
        <v>0.74629999999998997</v>
      </c>
      <c r="AD1252">
        <v>-6.2024000000000003E-2</v>
      </c>
      <c r="AE1252">
        <v>-4.3999999999982699E-2</v>
      </c>
      <c r="AF1252">
        <v>4.7547390375944798E-2</v>
      </c>
      <c r="AG1252">
        <v>-6.2024000000000003E-2</v>
      </c>
      <c r="AH1252">
        <v>0.74096133324444602</v>
      </c>
      <c r="AI1252">
        <v>94.775153912821295</v>
      </c>
      <c r="AJ1252">
        <v>86.328371556649898</v>
      </c>
      <c r="AK1252">
        <v>0.74507142494592404</v>
      </c>
      <c r="AL1252">
        <v>84.292703536321596</v>
      </c>
      <c r="AM1252">
        <v>86.314663661284996</v>
      </c>
      <c r="AN1252">
        <v>0.99999993370306195</v>
      </c>
    </row>
    <row r="1253" spans="1:40" x14ac:dyDescent="0.25">
      <c r="A1253" t="str">
        <f>"20190312164013949"</f>
        <v>20190312164013949</v>
      </c>
      <c r="B1253" t="str">
        <f>"1552380013937749"</f>
        <v>1552380013937749</v>
      </c>
      <c r="C1253" t="s">
        <v>40</v>
      </c>
      <c r="D1253">
        <v>6.2001400000000002</v>
      </c>
      <c r="E1253">
        <v>0.49956210000000001</v>
      </c>
      <c r="F1253" t="s">
        <v>41</v>
      </c>
      <c r="G1253">
        <v>-228.07560000000001</v>
      </c>
      <c r="H1253" s="1">
        <v>-1.314335E-6</v>
      </c>
      <c r="I1253">
        <v>367.0856</v>
      </c>
      <c r="J1253">
        <v>-244.20959999999999</v>
      </c>
      <c r="K1253">
        <v>1.110395</v>
      </c>
      <c r="L1253">
        <v>367.86660000000001</v>
      </c>
      <c r="M1253">
        <v>0.99988630000000001</v>
      </c>
      <c r="N1253">
        <v>0</v>
      </c>
      <c r="O1253">
        <v>5.1654149999999996E-3</v>
      </c>
      <c r="P1253">
        <v>0.99464730000000001</v>
      </c>
      <c r="Q1253">
        <v>8.5280110000000006E-2</v>
      </c>
      <c r="R1253">
        <v>-5.834429E-2</v>
      </c>
      <c r="S1253">
        <v>3.0254059999999998</v>
      </c>
      <c r="T1253">
        <v>-0.2063535</v>
      </c>
      <c r="U1253">
        <v>-0.14498900000000001</v>
      </c>
      <c r="V1253">
        <v>6.3495969999999999E-2</v>
      </c>
      <c r="W1253">
        <v>9.9353940000000002E-2</v>
      </c>
      <c r="X1253">
        <v>0.99302420000000002</v>
      </c>
      <c r="Y1253">
        <v>5.2893669999999997E-2</v>
      </c>
      <c r="Z1253">
        <v>-2.1524859999999999E-3</v>
      </c>
      <c r="AA1253">
        <v>0.99859779999999998</v>
      </c>
      <c r="AB1253">
        <v>29</v>
      </c>
      <c r="AC1253">
        <v>16.133999999999901</v>
      </c>
      <c r="AD1253">
        <v>-1.110396314335</v>
      </c>
      <c r="AE1253">
        <v>-0.78100000000000502</v>
      </c>
      <c r="AF1253">
        <v>0.86027146414726097</v>
      </c>
      <c r="AG1253">
        <v>-1.110396314335</v>
      </c>
      <c r="AH1253">
        <v>16.053886140729102</v>
      </c>
      <c r="AI1253">
        <v>93.951014853260801</v>
      </c>
      <c r="AJ1253">
        <v>86.9326538170329</v>
      </c>
      <c r="AK1253">
        <v>16.115219737453401</v>
      </c>
      <c r="AL1253">
        <v>84.298031320581202</v>
      </c>
      <c r="AM1253">
        <v>86.341373081707403</v>
      </c>
      <c r="AN1253">
        <v>1.0000000026927001</v>
      </c>
    </row>
    <row r="1254" spans="1:40" x14ac:dyDescent="0.25">
      <c r="A1254" t="str">
        <f>"20190312164013969"</f>
        <v>20190312164013969</v>
      </c>
      <c r="B1254" t="str">
        <f>"1552380013957268"</f>
        <v>1552380013957268</v>
      </c>
      <c r="C1254" t="s">
        <v>40</v>
      </c>
      <c r="D1254">
        <v>5.4217060000000004</v>
      </c>
      <c r="E1254">
        <v>0.50002519999999995</v>
      </c>
      <c r="F1254" t="s">
        <v>42</v>
      </c>
      <c r="G1254">
        <v>-243.345</v>
      </c>
      <c r="H1254">
        <v>1.051609</v>
      </c>
      <c r="I1254">
        <v>367.82470000000001</v>
      </c>
      <c r="J1254">
        <v>-243.94120000000001</v>
      </c>
      <c r="K1254">
        <v>1.110401</v>
      </c>
      <c r="L1254">
        <v>367.86790000000002</v>
      </c>
      <c r="M1254">
        <v>0.99988650000000001</v>
      </c>
      <c r="N1254">
        <v>0</v>
      </c>
      <c r="O1254">
        <v>5.1163199999999997E-3</v>
      </c>
      <c r="P1254">
        <v>0.99471189999999998</v>
      </c>
      <c r="Q1254">
        <v>8.5114419999999996E-2</v>
      </c>
      <c r="R1254">
        <v>-5.74794E-2</v>
      </c>
      <c r="S1254">
        <v>3.0252080000000001</v>
      </c>
      <c r="T1254">
        <v>-0.20585100000000001</v>
      </c>
      <c r="U1254">
        <v>-0.1460571</v>
      </c>
      <c r="V1254">
        <v>6.2582490000000005E-2</v>
      </c>
      <c r="W1254">
        <v>9.9186910000000003E-2</v>
      </c>
      <c r="X1254">
        <v>0.99309890000000001</v>
      </c>
      <c r="Y1254">
        <v>5.3199570000000002E-2</v>
      </c>
      <c r="Z1254">
        <v>-2.154432E-3</v>
      </c>
      <c r="AA1254">
        <v>0.99858159999999896</v>
      </c>
      <c r="AB1254">
        <v>29</v>
      </c>
      <c r="AC1254">
        <v>0.59620000000001006</v>
      </c>
      <c r="AD1254">
        <v>-5.87919999999999E-2</v>
      </c>
      <c r="AE1254">
        <v>-4.3200000000012999E-2</v>
      </c>
      <c r="AF1254">
        <v>4.5806982349761598E-2</v>
      </c>
      <c r="AG1254">
        <v>-5.87919999999999E-2</v>
      </c>
      <c r="AH1254">
        <v>0.59026132488453098</v>
      </c>
      <c r="AI1254">
        <v>95.671150500224599</v>
      </c>
      <c r="AJ1254">
        <v>85.562479099798097</v>
      </c>
      <c r="AK1254">
        <v>0.59494807382697901</v>
      </c>
      <c r="AL1254">
        <v>84.307649029356597</v>
      </c>
      <c r="AM1254">
        <v>86.394138277010697</v>
      </c>
      <c r="AN1254">
        <v>1.0000000181755699</v>
      </c>
    </row>
    <row r="1255" spans="1:40" x14ac:dyDescent="0.25">
      <c r="A1255" t="str">
        <f>"20190312164013992"</f>
        <v>20190312164013992</v>
      </c>
      <c r="B1255" t="str">
        <f>"1552380013987525"</f>
        <v>1552380013987525</v>
      </c>
      <c r="C1255" t="s">
        <v>40</v>
      </c>
      <c r="D1255">
        <v>5.4290409999999998</v>
      </c>
      <c r="E1255">
        <v>0.50090080000000003</v>
      </c>
      <c r="F1255" t="s">
        <v>42</v>
      </c>
      <c r="G1255">
        <v>-243.08199999999999</v>
      </c>
      <c r="H1255">
        <v>1.0518110000000001</v>
      </c>
      <c r="I1255">
        <v>367.82600000000002</v>
      </c>
      <c r="J1255">
        <v>-243.6507</v>
      </c>
      <c r="K1255">
        <v>1.110395</v>
      </c>
      <c r="L1255">
        <v>367.86939999999998</v>
      </c>
      <c r="M1255">
        <v>0.99988679999999996</v>
      </c>
      <c r="N1255">
        <v>0</v>
      </c>
      <c r="O1255">
        <v>5.0625210000000004E-3</v>
      </c>
      <c r="P1255">
        <v>0.99471940000000003</v>
      </c>
      <c r="Q1255">
        <v>8.5349339999999996E-2</v>
      </c>
      <c r="R1255">
        <v>-5.6997720000000002E-2</v>
      </c>
      <c r="S1255">
        <v>3.0251769999999998</v>
      </c>
      <c r="T1255">
        <v>-0.20662449999999999</v>
      </c>
      <c r="U1255">
        <v>-0.14657590000000001</v>
      </c>
      <c r="V1255">
        <v>6.2047350000000001E-2</v>
      </c>
      <c r="W1255">
        <v>9.9418939999999997E-2</v>
      </c>
      <c r="X1255">
        <v>0.99310929999999997</v>
      </c>
      <c r="Y1255">
        <v>5.3316019999999999E-2</v>
      </c>
      <c r="Z1255">
        <v>-2.1628229999999999E-3</v>
      </c>
      <c r="AA1255">
        <v>0.99857530000000005</v>
      </c>
      <c r="AB1255">
        <v>29</v>
      </c>
      <c r="AC1255">
        <v>0.56870000000000598</v>
      </c>
      <c r="AD1255">
        <v>-5.85839999999999E-2</v>
      </c>
      <c r="AE1255">
        <v>-4.3400000000019603E-2</v>
      </c>
      <c r="AF1255">
        <v>4.5795625503633003E-2</v>
      </c>
      <c r="AG1255">
        <v>-5.85839999999999E-2</v>
      </c>
      <c r="AH1255">
        <v>0.562537965068447</v>
      </c>
      <c r="AI1255">
        <v>95.926017713510007</v>
      </c>
      <c r="AJ1255">
        <v>85.345874209589098</v>
      </c>
      <c r="AK1255">
        <v>0.56743130554686405</v>
      </c>
      <c r="AL1255">
        <v>84.294288780691303</v>
      </c>
      <c r="AM1255">
        <v>86.424928863666295</v>
      </c>
      <c r="AN1255">
        <v>1.0000000405096101</v>
      </c>
    </row>
    <row r="1256" spans="1:40" x14ac:dyDescent="0.25">
      <c r="A1256" t="str">
        <f>"20190312164014006"</f>
        <v>20190312164014006</v>
      </c>
      <c r="B1256" t="str">
        <f>"1552380013997285"</f>
        <v>1552380013997285</v>
      </c>
      <c r="C1256" t="s">
        <v>40</v>
      </c>
      <c r="D1256">
        <v>5.4467739999999996</v>
      </c>
      <c r="E1256">
        <v>0.50115310000000002</v>
      </c>
      <c r="F1256" t="s">
        <v>41</v>
      </c>
      <c r="G1256">
        <v>-227.3322</v>
      </c>
      <c r="H1256" s="1">
        <v>-1.582236E-6</v>
      </c>
      <c r="I1256">
        <v>367.0489</v>
      </c>
      <c r="J1256">
        <v>-243.47059999999999</v>
      </c>
      <c r="K1256">
        <v>1.110395</v>
      </c>
      <c r="L1256">
        <v>367.87020000000001</v>
      </c>
      <c r="M1256">
        <v>0.99988719999999998</v>
      </c>
      <c r="N1256">
        <v>0</v>
      </c>
      <c r="O1256">
        <v>5.0289210000000004E-3</v>
      </c>
      <c r="P1256">
        <v>0.99473769999999995</v>
      </c>
      <c r="Q1256">
        <v>8.5386799999999999E-2</v>
      </c>
      <c r="R1256">
        <v>-5.6623850000000003E-2</v>
      </c>
      <c r="S1256">
        <v>3.0248569999999999</v>
      </c>
      <c r="T1256">
        <v>-0.20582539999999999</v>
      </c>
      <c r="U1256">
        <v>-0.15206910000000001</v>
      </c>
      <c r="V1256">
        <v>6.1640050000000002E-2</v>
      </c>
      <c r="W1256">
        <v>9.9454539999999994E-2</v>
      </c>
      <c r="X1256">
        <v>0.99313099999999999</v>
      </c>
      <c r="Y1256">
        <v>5.509352E-2</v>
      </c>
      <c r="Z1256">
        <v>-2.2126939999999999E-3</v>
      </c>
      <c r="AA1256">
        <v>0.9984788</v>
      </c>
      <c r="AB1256">
        <v>29</v>
      </c>
      <c r="AC1256">
        <v>16.138399999999901</v>
      </c>
      <c r="AD1256">
        <v>-1.110396582236</v>
      </c>
      <c r="AE1256">
        <v>-0.82130000000000702</v>
      </c>
      <c r="AF1256">
        <v>0.89821524490525495</v>
      </c>
      <c r="AG1256">
        <v>-1.110396582236</v>
      </c>
      <c r="AH1256">
        <v>16.058240657270598</v>
      </c>
      <c r="AI1256">
        <v>93.949442998854806</v>
      </c>
      <c r="AJ1256">
        <v>86.798505366487106</v>
      </c>
      <c r="AK1256">
        <v>16.121627219447799</v>
      </c>
      <c r="AL1256">
        <v>84.292238328695703</v>
      </c>
      <c r="AM1256">
        <v>86.448413988078102</v>
      </c>
      <c r="AN1256">
        <v>0.99999994222580502</v>
      </c>
    </row>
    <row r="1257" spans="1:40" x14ac:dyDescent="0.25">
      <c r="A1257" t="str">
        <f>"20190312164014018"</f>
        <v>20190312164014018</v>
      </c>
      <c r="B1257" t="str">
        <f>"1552380014007044"</f>
        <v>1552380014007044</v>
      </c>
      <c r="C1257" t="s">
        <v>40</v>
      </c>
      <c r="D1257">
        <v>5.4638809999999998</v>
      </c>
      <c r="E1257">
        <v>0.50132149999999998</v>
      </c>
      <c r="F1257" t="s">
        <v>42</v>
      </c>
      <c r="G1257">
        <v>-242.5778</v>
      </c>
      <c r="H1257">
        <v>1.049668</v>
      </c>
      <c r="I1257">
        <v>367.82470000000001</v>
      </c>
      <c r="J1257">
        <v>-243.30779999999999</v>
      </c>
      <c r="K1257">
        <v>1.110392</v>
      </c>
      <c r="L1257">
        <v>367.87099999999998</v>
      </c>
      <c r="M1257">
        <v>0.99988730000000003</v>
      </c>
      <c r="N1257">
        <v>0</v>
      </c>
      <c r="O1257">
        <v>4.9988350000000001E-3</v>
      </c>
      <c r="P1257">
        <v>0.99474370000000001</v>
      </c>
      <c r="Q1257">
        <v>8.5448490000000002E-2</v>
      </c>
      <c r="R1257">
        <v>-5.6423059999999997E-2</v>
      </c>
      <c r="S1257">
        <v>3.0248110000000001</v>
      </c>
      <c r="T1257">
        <v>-0.20603640000000001</v>
      </c>
      <c r="U1257">
        <v>-0.1533813</v>
      </c>
      <c r="V1257">
        <v>6.140963E-2</v>
      </c>
      <c r="W1257">
        <v>9.9515240000000005E-2</v>
      </c>
      <c r="X1257">
        <v>0.99313929999999995</v>
      </c>
      <c r="Y1257">
        <v>5.549515E-2</v>
      </c>
      <c r="Z1257">
        <v>-2.2265750000000002E-3</v>
      </c>
      <c r="AA1257">
        <v>0.99845649999999997</v>
      </c>
      <c r="AB1257">
        <v>29</v>
      </c>
      <c r="AC1257">
        <v>0.72999999999998899</v>
      </c>
      <c r="AD1257">
        <v>-6.0724E-2</v>
      </c>
      <c r="AE1257">
        <v>-4.62999999999738E-2</v>
      </c>
      <c r="AF1257">
        <v>4.9607055662058697E-2</v>
      </c>
      <c r="AG1257">
        <v>-6.0724E-2</v>
      </c>
      <c r="AH1257">
        <v>0.72476448964872597</v>
      </c>
      <c r="AI1257">
        <v>94.778182568340895</v>
      </c>
      <c r="AJ1257">
        <v>86.084453803501603</v>
      </c>
      <c r="AK1257">
        <v>0.72899371026315196</v>
      </c>
      <c r="AL1257">
        <v>84.288743738103506</v>
      </c>
      <c r="AM1257">
        <v>86.461686066906296</v>
      </c>
      <c r="AN1257">
        <v>1.0000000474267401</v>
      </c>
    </row>
    <row r="1258" spans="1:40" x14ac:dyDescent="0.25">
      <c r="A1258" t="str">
        <f>"20190312164014030"</f>
        <v>20190312164014030</v>
      </c>
      <c r="B1258" t="str">
        <f>"1552380014027541"</f>
        <v>1552380014027541</v>
      </c>
      <c r="C1258" t="s">
        <v>40</v>
      </c>
      <c r="D1258">
        <v>5.4907320000000004</v>
      </c>
      <c r="E1258">
        <v>0.50150109999999903</v>
      </c>
      <c r="F1258" t="s">
        <v>42</v>
      </c>
      <c r="G1258">
        <v>-242.3271</v>
      </c>
      <c r="H1258">
        <v>1.04295</v>
      </c>
      <c r="I1258">
        <v>367.82089999999999</v>
      </c>
      <c r="J1258">
        <v>-243.15209999999999</v>
      </c>
      <c r="K1258">
        <v>1.1103879999999999</v>
      </c>
      <c r="L1258">
        <v>367.87169999999998</v>
      </c>
      <c r="M1258">
        <v>0.99988750000000004</v>
      </c>
      <c r="N1258">
        <v>0</v>
      </c>
      <c r="O1258">
        <v>4.969762E-3</v>
      </c>
      <c r="P1258">
        <v>0.99475550000000001</v>
      </c>
      <c r="Q1258">
        <v>8.5262480000000002E-2</v>
      </c>
      <c r="R1258">
        <v>-5.6499599999999997E-2</v>
      </c>
      <c r="S1258">
        <v>3.0250089999999998</v>
      </c>
      <c r="T1258">
        <v>-0.20825089999999999</v>
      </c>
      <c r="U1258">
        <v>-0.1539307</v>
      </c>
      <c r="V1258">
        <v>6.145718E-2</v>
      </c>
      <c r="W1258">
        <v>9.9327349999999995E-2</v>
      </c>
      <c r="X1258">
        <v>0.99315509999999996</v>
      </c>
      <c r="Y1258">
        <v>5.5640370000000001E-2</v>
      </c>
      <c r="Z1258">
        <v>-2.253283E-3</v>
      </c>
      <c r="AA1258">
        <v>0.99844829999999996</v>
      </c>
      <c r="AB1258">
        <v>29</v>
      </c>
      <c r="AC1258">
        <v>0.82499999999998797</v>
      </c>
      <c r="AD1258">
        <v>-6.7437999999999804E-2</v>
      </c>
      <c r="AE1258">
        <v>-5.0799999999980999E-2</v>
      </c>
      <c r="AF1258">
        <v>5.4536802592196301E-2</v>
      </c>
      <c r="AG1258">
        <v>-6.7437999999999804E-2</v>
      </c>
      <c r="AH1258">
        <v>0.81928360871484496</v>
      </c>
      <c r="AI1258">
        <v>94.695256160981998</v>
      </c>
      <c r="AJ1258">
        <v>86.191641703982995</v>
      </c>
      <c r="AK1258">
        <v>0.82386150425286797</v>
      </c>
      <c r="AL1258">
        <v>84.299562259271198</v>
      </c>
      <c r="AM1258">
        <v>86.459009479548598</v>
      </c>
      <c r="AN1258">
        <v>0.99999998004379198</v>
      </c>
    </row>
    <row r="1259" spans="1:40" x14ac:dyDescent="0.25">
      <c r="A1259" t="str">
        <f>"20190312164014042"</f>
        <v>20190312164014042</v>
      </c>
      <c r="B1259" t="str">
        <f>"1552380014037301"</f>
        <v>1552380014037301</v>
      </c>
      <c r="C1259" t="s">
        <v>40</v>
      </c>
      <c r="D1259">
        <v>5.4682149999999998</v>
      </c>
      <c r="E1259">
        <v>0.50161869999999997</v>
      </c>
      <c r="F1259" t="s">
        <v>42</v>
      </c>
      <c r="G1259">
        <v>-242.30840000000001</v>
      </c>
      <c r="H1259">
        <v>1.052036</v>
      </c>
      <c r="I1259">
        <v>367.82819999999998</v>
      </c>
      <c r="J1259">
        <v>-243.01140000000001</v>
      </c>
      <c r="K1259">
        <v>1.1103860000000001</v>
      </c>
      <c r="L1259">
        <v>367.87240000000003</v>
      </c>
      <c r="M1259">
        <v>0.99988750000000004</v>
      </c>
      <c r="N1259">
        <v>0</v>
      </c>
      <c r="O1259">
        <v>4.9437270000000002E-3</v>
      </c>
      <c r="P1259">
        <v>0.99476889999999996</v>
      </c>
      <c r="Q1259">
        <v>8.5038379999999997E-2</v>
      </c>
      <c r="R1259">
        <v>-5.6597590000000003E-2</v>
      </c>
      <c r="S1259">
        <v>3.0249480000000002</v>
      </c>
      <c r="T1259">
        <v>-0.2094549</v>
      </c>
      <c r="U1259">
        <v>-0.15524289999999999</v>
      </c>
      <c r="V1259">
        <v>6.1529349999999997E-2</v>
      </c>
      <c r="W1259">
        <v>9.9101980000000006E-2</v>
      </c>
      <c r="X1259">
        <v>0.99317319999999998</v>
      </c>
      <c r="Y1259">
        <v>5.604485E-2</v>
      </c>
      <c r="Z1259">
        <v>-2.278478E-3</v>
      </c>
      <c r="AA1259">
        <v>0.99842569999999997</v>
      </c>
      <c r="AB1259">
        <v>29</v>
      </c>
      <c r="AC1259">
        <v>0.70300000000000296</v>
      </c>
      <c r="AD1259">
        <v>-5.8350000000000103E-2</v>
      </c>
      <c r="AE1259">
        <v>-4.4200000000046202E-2</v>
      </c>
      <c r="AF1259">
        <v>4.7350325252972801E-2</v>
      </c>
      <c r="AG1259">
        <v>-5.8350000000000103E-2</v>
      </c>
      <c r="AH1259">
        <v>0.69798323518484995</v>
      </c>
      <c r="AI1259">
        <v>94.767793214973295</v>
      </c>
      <c r="AJ1259">
        <v>86.119070886097006</v>
      </c>
      <c r="AK1259">
        <v>0.70201664681164899</v>
      </c>
      <c r="AL1259">
        <v>84.312539345568993</v>
      </c>
      <c r="AM1259">
        <v>86.454926288348602</v>
      </c>
      <c r="AN1259">
        <v>1.0000000342747899</v>
      </c>
    </row>
    <row r="1260" spans="1:40" x14ac:dyDescent="0.25">
      <c r="A1260" t="str">
        <f>"20190312164014057"</f>
        <v>20190312164014057</v>
      </c>
      <c r="B1260" t="str">
        <f>"1552380014047061"</f>
        <v>1552380014047061</v>
      </c>
      <c r="C1260" t="s">
        <v>40</v>
      </c>
      <c r="D1260">
        <v>5.8312359999999996</v>
      </c>
      <c r="E1260">
        <v>0.50182439999999995</v>
      </c>
      <c r="F1260" t="s">
        <v>42</v>
      </c>
      <c r="G1260">
        <v>-242.06899999999999</v>
      </c>
      <c r="H1260">
        <v>1.0448770000000001</v>
      </c>
      <c r="I1260">
        <v>367.82350000000002</v>
      </c>
      <c r="J1260">
        <v>-242.79939999999999</v>
      </c>
      <c r="K1260">
        <v>1.110385</v>
      </c>
      <c r="L1260">
        <v>367.8734</v>
      </c>
      <c r="M1260">
        <v>0.99988779999999999</v>
      </c>
      <c r="N1260">
        <v>0</v>
      </c>
      <c r="O1260">
        <v>4.9042269999999997E-3</v>
      </c>
      <c r="P1260">
        <v>0.99477760000000004</v>
      </c>
      <c r="Q1260">
        <v>8.4932190000000005E-2</v>
      </c>
      <c r="R1260">
        <v>-5.6607119999999997E-2</v>
      </c>
      <c r="S1260">
        <v>3.0248870000000001</v>
      </c>
      <c r="T1260">
        <v>-0.21046339999999999</v>
      </c>
      <c r="U1260">
        <v>-0.1563416</v>
      </c>
      <c r="V1260">
        <v>6.1499570000000003E-2</v>
      </c>
      <c r="W1260">
        <v>9.8994280000000004E-2</v>
      </c>
      <c r="X1260">
        <v>0.99318580000000001</v>
      </c>
      <c r="Y1260">
        <v>5.6365999999999999E-2</v>
      </c>
      <c r="Z1260">
        <v>-2.2978550000000001E-3</v>
      </c>
      <c r="AA1260">
        <v>0.9984075</v>
      </c>
      <c r="AB1260">
        <v>29</v>
      </c>
      <c r="AC1260">
        <v>0.73039999999997396</v>
      </c>
      <c r="AD1260">
        <v>-6.55079999999999E-2</v>
      </c>
      <c r="AE1260">
        <v>-4.98999999999796E-2</v>
      </c>
      <c r="AF1260">
        <v>5.3057003092421999E-2</v>
      </c>
      <c r="AG1260">
        <v>-6.55079999999999E-2</v>
      </c>
      <c r="AH1260">
        <v>0.72434695703712004</v>
      </c>
      <c r="AI1260">
        <v>95.153886181492396</v>
      </c>
      <c r="AJ1260">
        <v>85.810677403611294</v>
      </c>
      <c r="AK1260">
        <v>0.72923580398255605</v>
      </c>
      <c r="AL1260">
        <v>84.318740678223307</v>
      </c>
      <c r="AM1260">
        <v>86.456682557795105</v>
      </c>
      <c r="AN1260">
        <v>1.00000004895227</v>
      </c>
    </row>
    <row r="1261" spans="1:40" x14ac:dyDescent="0.25">
      <c r="A1261" t="str">
        <f>"20190312164014070"</f>
        <v>20190312164014070</v>
      </c>
      <c r="B1261" t="str">
        <f>"1552380014057798"</f>
        <v>1552380014057798</v>
      </c>
      <c r="C1261" t="s">
        <v>40</v>
      </c>
      <c r="D1261">
        <v>5.5559390000000004</v>
      </c>
      <c r="E1261">
        <v>0.5020829</v>
      </c>
      <c r="F1261" t="s">
        <v>42</v>
      </c>
      <c r="G1261">
        <v>-241.815</v>
      </c>
      <c r="H1261">
        <v>1.041925</v>
      </c>
      <c r="I1261">
        <v>367.82190000000003</v>
      </c>
      <c r="J1261">
        <v>-242.64349999999999</v>
      </c>
      <c r="K1261">
        <v>1.110382</v>
      </c>
      <c r="L1261">
        <v>367.8741</v>
      </c>
      <c r="M1261">
        <v>0.99988809999999995</v>
      </c>
      <c r="N1261">
        <v>0</v>
      </c>
      <c r="O1261">
        <v>4.8752730000000003E-3</v>
      </c>
      <c r="P1261">
        <v>0.99478259999999996</v>
      </c>
      <c r="Q1261">
        <v>8.4684969999999998E-2</v>
      </c>
      <c r="R1261">
        <v>-5.6888929999999997E-2</v>
      </c>
      <c r="S1261">
        <v>3.0247190000000002</v>
      </c>
      <c r="T1261">
        <v>-0.21048339999999999</v>
      </c>
      <c r="U1261">
        <v>-0.15786739999999999</v>
      </c>
      <c r="V1261">
        <v>6.1752559999999998E-2</v>
      </c>
      <c r="W1261">
        <v>9.8745169999999993E-2</v>
      </c>
      <c r="X1261">
        <v>0.99319489999999999</v>
      </c>
      <c r="Y1261">
        <v>5.6841139999999998E-2</v>
      </c>
      <c r="Z1261">
        <v>-2.3126610000000001E-3</v>
      </c>
      <c r="AA1261">
        <v>0.9983805</v>
      </c>
      <c r="AB1261">
        <v>29</v>
      </c>
      <c r="AC1261">
        <v>0.82849999999999102</v>
      </c>
      <c r="AD1261">
        <v>-6.8456999999999907E-2</v>
      </c>
      <c r="AE1261">
        <v>-5.21999999999707E-2</v>
      </c>
      <c r="AF1261">
        <v>5.5859086892724903E-2</v>
      </c>
      <c r="AG1261">
        <v>-6.8456999999999907E-2</v>
      </c>
      <c r="AH1261">
        <v>0.82264140278402997</v>
      </c>
      <c r="AI1261">
        <v>94.746091620588501</v>
      </c>
      <c r="AJ1261">
        <v>86.115458510573902</v>
      </c>
      <c r="AK1261">
        <v>0.82737263431416797</v>
      </c>
      <c r="AL1261">
        <v>84.333083901909205</v>
      </c>
      <c r="AM1261">
        <v>86.4421763369823</v>
      </c>
      <c r="AN1261">
        <v>1.0000000483254401</v>
      </c>
    </row>
    <row r="1262" spans="1:40" x14ac:dyDescent="0.25">
      <c r="A1262" t="str">
        <f>"20190312164014081"</f>
        <v>20190312164014081</v>
      </c>
      <c r="B1262" t="str">
        <f>"1552380014077317"</f>
        <v>1552380014077317</v>
      </c>
      <c r="C1262" t="s">
        <v>40</v>
      </c>
      <c r="D1262">
        <v>5.5256569999999998</v>
      </c>
      <c r="E1262">
        <v>0.50244009999999995</v>
      </c>
      <c r="F1262" t="s">
        <v>42</v>
      </c>
      <c r="G1262">
        <v>-241.8039</v>
      </c>
      <c r="H1262">
        <v>1.051828</v>
      </c>
      <c r="I1262">
        <v>367.8295</v>
      </c>
      <c r="J1262">
        <v>-242.50129999999999</v>
      </c>
      <c r="K1262">
        <v>1.1103769999999999</v>
      </c>
      <c r="L1262">
        <v>367.87479999999999</v>
      </c>
      <c r="M1262">
        <v>0.99988809999999995</v>
      </c>
      <c r="N1262">
        <v>0</v>
      </c>
      <c r="O1262">
        <v>4.8488810000000002E-3</v>
      </c>
      <c r="P1262">
        <v>0.99478690000000003</v>
      </c>
      <c r="Q1262">
        <v>8.4513759999999993E-2</v>
      </c>
      <c r="R1262">
        <v>-5.7067260000000002E-2</v>
      </c>
      <c r="S1262">
        <v>3.024521</v>
      </c>
      <c r="T1262">
        <v>-0.21104429999999999</v>
      </c>
      <c r="U1262">
        <v>-0.16049189999999999</v>
      </c>
      <c r="V1262">
        <v>6.1904630000000002E-2</v>
      </c>
      <c r="W1262">
        <v>9.8572919999999994E-2</v>
      </c>
      <c r="X1262">
        <v>0.99320249999999999</v>
      </c>
      <c r="Y1262">
        <v>5.7679359999999999E-2</v>
      </c>
      <c r="Z1262">
        <v>-2.346257E-3</v>
      </c>
      <c r="AA1262">
        <v>0.99833240000000001</v>
      </c>
      <c r="AB1262">
        <v>29</v>
      </c>
      <c r="AC1262">
        <v>0.69739999999998703</v>
      </c>
      <c r="AD1262">
        <v>-5.85489999999999E-2</v>
      </c>
      <c r="AE1262">
        <v>-4.5299999999997398E-2</v>
      </c>
      <c r="AF1262">
        <v>4.8342124684782703E-2</v>
      </c>
      <c r="AG1262">
        <v>-5.85489999999999E-2</v>
      </c>
      <c r="AH1262">
        <v>0.69231309891291504</v>
      </c>
      <c r="AI1262">
        <v>94.822321768180203</v>
      </c>
      <c r="AJ1262">
        <v>86.005692833014194</v>
      </c>
      <c r="AK1262">
        <v>0.69646419387248004</v>
      </c>
      <c r="AL1262">
        <v>84.3430012378968</v>
      </c>
      <c r="AM1262">
        <v>86.433464755696903</v>
      </c>
      <c r="AN1262">
        <v>1.0000000048894999</v>
      </c>
    </row>
    <row r="1263" spans="1:40" x14ac:dyDescent="0.25">
      <c r="A1263" t="str">
        <f>"20190312164014092"</f>
        <v>20190312164014092</v>
      </c>
      <c r="B1263" t="str">
        <f>"1552380014087077"</f>
        <v>1552380014087077</v>
      </c>
      <c r="C1263" t="s">
        <v>40</v>
      </c>
      <c r="D1263">
        <v>5.6261229999999998</v>
      </c>
      <c r="E1263">
        <v>0.50244009999999995</v>
      </c>
      <c r="F1263" t="s">
        <v>42</v>
      </c>
      <c r="G1263">
        <v>-241.55779999999999</v>
      </c>
      <c r="H1263">
        <v>1.044073</v>
      </c>
      <c r="I1263">
        <v>367.82339999999999</v>
      </c>
      <c r="J1263">
        <v>-242.35669999999999</v>
      </c>
      <c r="K1263">
        <v>1.110374</v>
      </c>
      <c r="L1263">
        <v>367.87549999999999</v>
      </c>
      <c r="M1263">
        <v>0.9998882</v>
      </c>
      <c r="N1263">
        <v>0</v>
      </c>
      <c r="O1263">
        <v>4.8220140000000003E-3</v>
      </c>
      <c r="P1263">
        <v>0.99480440000000003</v>
      </c>
      <c r="Q1263">
        <v>8.4157670000000004E-2</v>
      </c>
      <c r="R1263">
        <v>-5.728888E-2</v>
      </c>
      <c r="S1263">
        <v>3.0243989999999998</v>
      </c>
      <c r="T1263">
        <v>-0.21284339999999999</v>
      </c>
      <c r="U1263">
        <v>-0.16384889999999999</v>
      </c>
      <c r="V1263">
        <v>6.2099359999999999E-2</v>
      </c>
      <c r="W1263">
        <v>9.8215609999999995E-2</v>
      </c>
      <c r="X1263">
        <v>0.99322580000000005</v>
      </c>
      <c r="Y1263">
        <v>5.8754380000000002E-2</v>
      </c>
      <c r="Z1263">
        <v>-2.4021009999999998E-3</v>
      </c>
      <c r="AA1263">
        <v>0.99826959999999998</v>
      </c>
      <c r="AB1263">
        <v>29</v>
      </c>
      <c r="AC1263">
        <v>0.79890000000000305</v>
      </c>
      <c r="AD1263">
        <v>-6.6300999999999902E-2</v>
      </c>
      <c r="AE1263">
        <v>-5.2099999999995802E-2</v>
      </c>
      <c r="AF1263">
        <v>5.55709684685467E-2</v>
      </c>
      <c r="AG1263">
        <v>-6.6300999999999902E-2</v>
      </c>
      <c r="AH1263">
        <v>0.79319951145744305</v>
      </c>
      <c r="AI1263">
        <v>94.766433963713993</v>
      </c>
      <c r="AJ1263">
        <v>85.992448449379395</v>
      </c>
      <c r="AK1263">
        <v>0.79790313955633596</v>
      </c>
      <c r="AL1263">
        <v>84.363573748744003</v>
      </c>
      <c r="AM1263">
        <v>86.422358507781297</v>
      </c>
      <c r="AN1263">
        <v>1.0000000631728501</v>
      </c>
    </row>
    <row r="1264" spans="1:40" x14ac:dyDescent="0.25">
      <c r="A1264" t="str">
        <f>"20190312164014103"</f>
        <v>20190312164014103</v>
      </c>
      <c r="B1264" t="str">
        <f>"1552380014097813"</f>
        <v>1552380014097813</v>
      </c>
      <c r="C1264" t="s">
        <v>40</v>
      </c>
      <c r="D1264">
        <v>5.5947239999999896</v>
      </c>
      <c r="E1264">
        <v>0.51705310000000004</v>
      </c>
      <c r="F1264" t="s">
        <v>41</v>
      </c>
      <c r="G1264">
        <v>-226.65719999999999</v>
      </c>
      <c r="H1264" s="1">
        <v>-1.876403E-6</v>
      </c>
      <c r="I1264">
        <v>367.02300000000002</v>
      </c>
      <c r="J1264">
        <v>-242.2218</v>
      </c>
      <c r="K1264">
        <v>1.1103700000000001</v>
      </c>
      <c r="L1264">
        <v>367.87610000000001</v>
      </c>
      <c r="M1264">
        <v>0.99988849999999996</v>
      </c>
      <c r="N1264">
        <v>0</v>
      </c>
      <c r="O1264">
        <v>4.7968139999999999E-3</v>
      </c>
      <c r="P1264">
        <v>0.99481790000000003</v>
      </c>
      <c r="Q1264">
        <v>8.3748249999999996E-2</v>
      </c>
      <c r="R1264">
        <v>-5.7652689999999999E-2</v>
      </c>
      <c r="S1264">
        <v>3.0243069999999999</v>
      </c>
      <c r="T1264">
        <v>-0.2138987</v>
      </c>
      <c r="U1264">
        <v>-0.1642151</v>
      </c>
      <c r="V1264">
        <v>6.2438260000000002E-2</v>
      </c>
      <c r="W1264">
        <v>9.7804639999999998E-2</v>
      </c>
      <c r="X1264">
        <v>0.99324509999999999</v>
      </c>
      <c r="Y1264">
        <v>5.884963E-2</v>
      </c>
      <c r="Z1264">
        <v>-2.415628E-3</v>
      </c>
      <c r="AA1264">
        <v>0.99826400000000004</v>
      </c>
      <c r="AB1264">
        <v>29</v>
      </c>
      <c r="AC1264">
        <v>15.5646</v>
      </c>
      <c r="AD1264">
        <v>-1.1103718764029999</v>
      </c>
      <c r="AE1264">
        <v>-0.85309999999998298</v>
      </c>
      <c r="AF1264">
        <v>0.92307437756431698</v>
      </c>
      <c r="AG1264">
        <v>-1.1103718764029999</v>
      </c>
      <c r="AH1264">
        <v>15.4817724054378</v>
      </c>
      <c r="AI1264">
        <v>94.095052282138198</v>
      </c>
      <c r="AJ1264">
        <v>86.587875957454997</v>
      </c>
      <c r="AK1264">
        <v>15.5489635932495</v>
      </c>
      <c r="AL1264">
        <v>84.387234471884597</v>
      </c>
      <c r="AM1264">
        <v>86.402954785664207</v>
      </c>
      <c r="AN1264">
        <v>1.0000000562956799</v>
      </c>
    </row>
    <row r="1265" spans="1:40" x14ac:dyDescent="0.25">
      <c r="A1265" t="str">
        <f>"20190312164014126"</f>
        <v>20190312164014126</v>
      </c>
      <c r="B1265" t="str">
        <f>"1552380014117333"</f>
        <v>1552380014117333</v>
      </c>
      <c r="C1265" t="s">
        <v>40</v>
      </c>
      <c r="D1265">
        <v>5.5317850000000002</v>
      </c>
      <c r="E1265">
        <v>0.51561729999999995</v>
      </c>
      <c r="F1265" t="s">
        <v>42</v>
      </c>
      <c r="G1265">
        <v>-241.3092</v>
      </c>
      <c r="H1265">
        <v>1.0301559999999901</v>
      </c>
      <c r="I1265">
        <v>367.79169999999999</v>
      </c>
      <c r="J1265">
        <v>-241.9314</v>
      </c>
      <c r="K1265">
        <v>1.1103510000000001</v>
      </c>
      <c r="L1265">
        <v>367.87740000000002</v>
      </c>
      <c r="M1265">
        <v>0.99988880000000002</v>
      </c>
      <c r="N1265">
        <v>0</v>
      </c>
      <c r="O1265">
        <v>4.7433709999999997E-3</v>
      </c>
      <c r="P1265">
        <v>0.99489229999999995</v>
      </c>
      <c r="Q1265">
        <v>8.2430409999999996E-2</v>
      </c>
      <c r="R1265">
        <v>-5.8263410000000002E-2</v>
      </c>
      <c r="S1265">
        <v>3.0218660000000002</v>
      </c>
      <c r="T1265">
        <v>-0.265851</v>
      </c>
      <c r="U1265">
        <v>-0.27883909999999901</v>
      </c>
      <c r="V1265">
        <v>6.2996099999999999E-2</v>
      </c>
      <c r="W1265">
        <v>9.6484849999999997E-2</v>
      </c>
      <c r="X1265">
        <v>0.99333890000000002</v>
      </c>
      <c r="Y1265">
        <v>9.6219509999999994E-2</v>
      </c>
      <c r="Z1265">
        <v>-4.6311159999999898E-3</v>
      </c>
      <c r="AA1265">
        <v>0.99534929999999999</v>
      </c>
      <c r="AB1265">
        <v>29</v>
      </c>
      <c r="AC1265">
        <v>0.62219999999999198</v>
      </c>
      <c r="AD1265">
        <v>-8.0195000000000197E-2</v>
      </c>
      <c r="AE1265">
        <v>-8.5700000000031196E-2</v>
      </c>
      <c r="AF1265">
        <v>8.7228552660699399E-2</v>
      </c>
      <c r="AG1265">
        <v>-8.0195000000000197E-2</v>
      </c>
      <c r="AH1265">
        <v>0.61181196598857301</v>
      </c>
      <c r="AI1265">
        <v>97.393704385641897</v>
      </c>
      <c r="AJ1265">
        <v>81.885789969652194</v>
      </c>
      <c r="AK1265">
        <v>0.62318050366734301</v>
      </c>
      <c r="AL1265">
        <v>84.463211926463202</v>
      </c>
      <c r="AM1265">
        <v>86.371245110775504</v>
      </c>
      <c r="AN1265">
        <v>1.0000000025739699</v>
      </c>
    </row>
    <row r="1266" spans="1:40" x14ac:dyDescent="0.25">
      <c r="A1266" t="str">
        <f>"20190312164014140"</f>
        <v>20190312164014140</v>
      </c>
      <c r="B1266" t="str">
        <f>"1552380014137830"</f>
        <v>1552380014137830</v>
      </c>
      <c r="C1266" t="s">
        <v>40</v>
      </c>
      <c r="D1266">
        <v>5.5105709999999997</v>
      </c>
      <c r="E1266">
        <v>0.51675700000000002</v>
      </c>
      <c r="F1266" t="s">
        <v>42</v>
      </c>
      <c r="G1266">
        <v>-241.05170000000001</v>
      </c>
      <c r="H1266">
        <v>1.03498</v>
      </c>
      <c r="I1266">
        <v>367.7987</v>
      </c>
      <c r="J1266">
        <v>-241.751</v>
      </c>
      <c r="K1266">
        <v>1.1103430000000001</v>
      </c>
      <c r="L1266">
        <v>367.87830000000002</v>
      </c>
      <c r="M1266">
        <v>0.99988900000000003</v>
      </c>
      <c r="N1266">
        <v>0</v>
      </c>
      <c r="O1266">
        <v>4.7102469999999999E-3</v>
      </c>
      <c r="P1266">
        <v>0.99490489999999998</v>
      </c>
      <c r="Q1266">
        <v>8.2083959999999997E-2</v>
      </c>
      <c r="R1266">
        <v>-5.8538659999999999E-2</v>
      </c>
      <c r="S1266">
        <v>3.0210880000000002</v>
      </c>
      <c r="T1266">
        <v>-0.25908510000000001</v>
      </c>
      <c r="U1266">
        <v>-0.2696228</v>
      </c>
      <c r="V1266">
        <v>6.3238379999999997E-2</v>
      </c>
      <c r="W1266">
        <v>9.6136470000000002E-2</v>
      </c>
      <c r="X1266">
        <v>0.9933573</v>
      </c>
      <c r="Y1266">
        <v>9.322801E-2</v>
      </c>
      <c r="Z1266">
        <v>-4.3848410000000004E-3</v>
      </c>
      <c r="AA1266">
        <v>0.99563520000000005</v>
      </c>
      <c r="AB1266">
        <v>29</v>
      </c>
      <c r="AC1266">
        <v>0.69929999999996495</v>
      </c>
      <c r="AD1266">
        <v>-7.5362999999999999E-2</v>
      </c>
      <c r="AE1266">
        <v>-7.9600000000027593E-2</v>
      </c>
      <c r="AF1266">
        <v>8.1953670232148598E-2</v>
      </c>
      <c r="AG1266">
        <v>-7.5362999999999999E-2</v>
      </c>
      <c r="AH1266">
        <v>0.69099457175361401</v>
      </c>
      <c r="AI1266">
        <v>96.181351139346006</v>
      </c>
      <c r="AJ1266">
        <v>83.236174889257896</v>
      </c>
      <c r="AK1266">
        <v>0.699906768095923</v>
      </c>
      <c r="AL1266">
        <v>84.483265948166306</v>
      </c>
      <c r="AM1266">
        <v>86.357393888704706</v>
      </c>
      <c r="AN1266">
        <v>1.00000001951618</v>
      </c>
    </row>
    <row r="1267" spans="1:40" x14ac:dyDescent="0.25">
      <c r="A1267" t="str">
        <f>"20190312164014160"</f>
        <v>20190312164014160</v>
      </c>
      <c r="B1267" t="str">
        <f>"1552380014147589"</f>
        <v>1552380014147589</v>
      </c>
      <c r="C1267" t="s">
        <v>40</v>
      </c>
      <c r="D1267">
        <v>5.6296609999999996</v>
      </c>
      <c r="E1267">
        <v>0.51695360000000001</v>
      </c>
      <c r="F1267" t="s">
        <v>42</v>
      </c>
      <c r="G1267">
        <v>-240.8006</v>
      </c>
      <c r="H1267">
        <v>1.026929</v>
      </c>
      <c r="I1267">
        <v>367.7903</v>
      </c>
      <c r="J1267">
        <v>-241.5077</v>
      </c>
      <c r="K1267">
        <v>1.1103339999999999</v>
      </c>
      <c r="L1267">
        <v>367.8793</v>
      </c>
      <c r="M1267">
        <v>0.99988920000000003</v>
      </c>
      <c r="N1267">
        <v>0</v>
      </c>
      <c r="O1267">
        <v>4.6656809999999996E-3</v>
      </c>
      <c r="P1267">
        <v>0.99496770000000001</v>
      </c>
      <c r="Q1267">
        <v>8.0798640000000005E-2</v>
      </c>
      <c r="R1267">
        <v>-5.9254380000000002E-2</v>
      </c>
      <c r="S1267">
        <v>3.0208439999999999</v>
      </c>
      <c r="T1267">
        <v>-0.26523079999999999</v>
      </c>
      <c r="U1267">
        <v>-0.27920529999999999</v>
      </c>
      <c r="V1267">
        <v>6.3909930000000004E-2</v>
      </c>
      <c r="W1267">
        <v>9.4849660000000002E-2</v>
      </c>
      <c r="X1267">
        <v>0.99343800000000004</v>
      </c>
      <c r="Y1267">
        <v>9.6294190000000002E-2</v>
      </c>
      <c r="Z1267">
        <v>-4.6183480000000004E-3</v>
      </c>
      <c r="AA1267">
        <v>0.99534219999999896</v>
      </c>
      <c r="AB1267">
        <v>29</v>
      </c>
      <c r="AC1267">
        <v>0.70709999999999695</v>
      </c>
      <c r="AD1267">
        <v>-8.3404999999999896E-2</v>
      </c>
      <c r="AE1267">
        <v>-8.8999999999998594E-2</v>
      </c>
      <c r="AF1267">
        <v>9.1051416540108301E-2</v>
      </c>
      <c r="AG1267">
        <v>-8.3404999999999896E-2</v>
      </c>
      <c r="AH1267">
        <v>0.69712908112693295</v>
      </c>
      <c r="AI1267">
        <v>96.765554966565105</v>
      </c>
      <c r="AJ1267">
        <v>82.558770491815594</v>
      </c>
      <c r="AK1267">
        <v>0.70798002106827995</v>
      </c>
      <c r="AL1267">
        <v>84.557333099643301</v>
      </c>
      <c r="AM1267">
        <v>86.3191158256259</v>
      </c>
      <c r="AN1267">
        <v>0.99999999849936005</v>
      </c>
    </row>
    <row r="1268" spans="1:40" x14ac:dyDescent="0.25">
      <c r="A1268" t="str">
        <f>"20190312164014182"</f>
        <v>20190312164014182</v>
      </c>
      <c r="B1268" t="str">
        <f>"1552380014177845"</f>
        <v>1552380014177845</v>
      </c>
      <c r="C1268" t="s">
        <v>40</v>
      </c>
      <c r="D1268">
        <v>5.55159</v>
      </c>
      <c r="E1268">
        <v>0.51527630000000002</v>
      </c>
      <c r="F1268" t="s">
        <v>42</v>
      </c>
      <c r="G1268">
        <v>-240.54750000000001</v>
      </c>
      <c r="H1268">
        <v>1.023935</v>
      </c>
      <c r="I1268">
        <v>367.78960000000001</v>
      </c>
      <c r="J1268">
        <v>-241.21299999999999</v>
      </c>
      <c r="K1268">
        <v>1.1103270000000001</v>
      </c>
      <c r="L1268">
        <v>367.88069999999999</v>
      </c>
      <c r="M1268">
        <v>0.99988940000000004</v>
      </c>
      <c r="N1268">
        <v>0</v>
      </c>
      <c r="O1268">
        <v>4.6108770000000002E-3</v>
      </c>
      <c r="P1268">
        <v>0.99493860000000001</v>
      </c>
      <c r="Q1268">
        <v>8.0100060000000001E-2</v>
      </c>
      <c r="R1268">
        <v>-6.0672009999999998E-2</v>
      </c>
      <c r="S1268">
        <v>3.020432</v>
      </c>
      <c r="T1268">
        <v>-0.27188220000000002</v>
      </c>
      <c r="U1268">
        <v>-0.28222659999999899</v>
      </c>
      <c r="V1268">
        <v>6.5272640000000007E-2</v>
      </c>
      <c r="W1268">
        <v>9.414757E-2</v>
      </c>
      <c r="X1268">
        <v>0.99341619999999997</v>
      </c>
      <c r="Y1268">
        <v>9.7216070000000002E-2</v>
      </c>
      <c r="Z1268">
        <v>-4.7705359999999997E-3</v>
      </c>
      <c r="AA1268">
        <v>0.99525189999999997</v>
      </c>
      <c r="AB1268">
        <v>29</v>
      </c>
      <c r="AC1268">
        <v>0.66549999999998</v>
      </c>
      <c r="AD1268">
        <v>-8.6391999999999997E-2</v>
      </c>
      <c r="AE1268">
        <v>-9.1099999999983E-2</v>
      </c>
      <c r="AF1268">
        <v>9.2635500058049297E-2</v>
      </c>
      <c r="AG1268">
        <v>-8.6391999999999997E-2</v>
      </c>
      <c r="AH1268">
        <v>0.65425022181616299</v>
      </c>
      <c r="AI1268">
        <v>97.448787322753702</v>
      </c>
      <c r="AJ1268">
        <v>81.941042004412097</v>
      </c>
      <c r="AK1268">
        <v>0.66639947950272505</v>
      </c>
      <c r="AL1268">
        <v>84.597740805179598</v>
      </c>
      <c r="AM1268">
        <v>86.240771162185794</v>
      </c>
      <c r="AN1268">
        <v>1.00000001444595</v>
      </c>
    </row>
    <row r="1269" spans="1:40" x14ac:dyDescent="0.25">
      <c r="A1269" t="str">
        <f>"20190312164014205"</f>
        <v>20190312164014205</v>
      </c>
      <c r="B1269" t="str">
        <f>"1552380014197364"</f>
        <v>1552380014197364</v>
      </c>
      <c r="C1269" t="s">
        <v>40</v>
      </c>
      <c r="D1269">
        <v>5.387645</v>
      </c>
      <c r="E1269">
        <v>0.5145113</v>
      </c>
      <c r="F1269" t="s">
        <v>42</v>
      </c>
      <c r="G1269">
        <v>-240.28899999999999</v>
      </c>
      <c r="H1269">
        <v>1.03243</v>
      </c>
      <c r="I1269">
        <v>367.79680000000002</v>
      </c>
      <c r="J1269">
        <v>-240.92689999999999</v>
      </c>
      <c r="K1269">
        <v>1.110325</v>
      </c>
      <c r="L1269">
        <v>367.88189999999997</v>
      </c>
      <c r="M1269">
        <v>0.99988980000000005</v>
      </c>
      <c r="N1269">
        <v>0</v>
      </c>
      <c r="O1269">
        <v>4.5577370000000001E-3</v>
      </c>
      <c r="P1269">
        <v>0.99481109999999995</v>
      </c>
      <c r="Q1269">
        <v>8.0446980000000001E-2</v>
      </c>
      <c r="R1269">
        <v>-6.2284880000000001E-2</v>
      </c>
      <c r="S1269">
        <v>3.019028</v>
      </c>
      <c r="T1269">
        <v>-0.25450289999999998</v>
      </c>
      <c r="U1269">
        <v>-0.27413939999999998</v>
      </c>
      <c r="V1269">
        <v>6.6832059999999999E-2</v>
      </c>
      <c r="W1269">
        <v>9.448935E-2</v>
      </c>
      <c r="X1269">
        <v>0.9932801</v>
      </c>
      <c r="Y1269">
        <v>9.4621440000000001E-2</v>
      </c>
      <c r="Z1269">
        <v>-4.3558950000000003E-3</v>
      </c>
      <c r="AA1269">
        <v>0.99550380000000005</v>
      </c>
      <c r="AB1269">
        <v>28</v>
      </c>
      <c r="AC1269">
        <v>0.63789999999997304</v>
      </c>
      <c r="AD1269">
        <v>-7.7895000000000006E-2</v>
      </c>
      <c r="AE1269">
        <v>-8.5099999999954407E-2</v>
      </c>
      <c r="AF1269">
        <v>8.6736059298654397E-2</v>
      </c>
      <c r="AG1269">
        <v>-7.7895000000000006E-2</v>
      </c>
      <c r="AH1269">
        <v>0.628300549082629</v>
      </c>
      <c r="AI1269">
        <v>97.001580825553404</v>
      </c>
      <c r="AJ1269">
        <v>82.140072249108101</v>
      </c>
      <c r="AK1269">
        <v>0.63902453394622705</v>
      </c>
      <c r="AL1269">
        <v>84.578070809264403</v>
      </c>
      <c r="AM1269">
        <v>86.150700940158103</v>
      </c>
      <c r="AN1269">
        <v>1.00000005928163</v>
      </c>
    </row>
    <row r="1270" spans="1:40" x14ac:dyDescent="0.25">
      <c r="A1270" t="str">
        <f>"20190312164014216"</f>
        <v>20190312164014216</v>
      </c>
      <c r="B1270" t="str">
        <f>"1552380014207125"</f>
        <v>1552380014207125</v>
      </c>
      <c r="C1270" t="s">
        <v>40</v>
      </c>
      <c r="D1270">
        <v>5.4746240000000004</v>
      </c>
      <c r="E1270">
        <v>0.51394039999999996</v>
      </c>
      <c r="F1270" t="s">
        <v>42</v>
      </c>
      <c r="G1270">
        <v>-240.03309999999999</v>
      </c>
      <c r="H1270">
        <v>1.0362709999999999</v>
      </c>
      <c r="I1270">
        <v>367.80110000000002</v>
      </c>
      <c r="J1270">
        <v>-240.77260000000001</v>
      </c>
      <c r="K1270">
        <v>1.1103270000000001</v>
      </c>
      <c r="L1270">
        <v>367.88260000000002</v>
      </c>
      <c r="M1270">
        <v>0.99988999999999995</v>
      </c>
      <c r="N1270">
        <v>0</v>
      </c>
      <c r="O1270">
        <v>4.5290219999999997E-3</v>
      </c>
      <c r="P1270">
        <v>0.99471520000000002</v>
      </c>
      <c r="Q1270">
        <v>8.0908569999999999E-2</v>
      </c>
      <c r="R1270">
        <v>-6.3213839999999993E-2</v>
      </c>
      <c r="S1270">
        <v>3.018799</v>
      </c>
      <c r="T1270">
        <v>-0.25031029999999999</v>
      </c>
      <c r="U1270">
        <v>-0.272644</v>
      </c>
      <c r="V1270">
        <v>6.7731970000000002E-2</v>
      </c>
      <c r="W1270">
        <v>9.4947459999999997E-2</v>
      </c>
      <c r="X1270">
        <v>0.99317540000000004</v>
      </c>
      <c r="Y1270">
        <v>9.4123639999999995E-2</v>
      </c>
      <c r="Z1270">
        <v>-4.2618659999999996E-3</v>
      </c>
      <c r="AA1270">
        <v>0.99555139999999998</v>
      </c>
      <c r="AB1270">
        <v>28</v>
      </c>
      <c r="AC1270">
        <v>0.73950000000002003</v>
      </c>
      <c r="AD1270">
        <v>-7.4056000000000094E-2</v>
      </c>
      <c r="AE1270">
        <v>-8.1500000000005401E-2</v>
      </c>
      <c r="AF1270">
        <v>8.4016248246008104E-2</v>
      </c>
      <c r="AG1270">
        <v>-7.4056000000000094E-2</v>
      </c>
      <c r="AH1270">
        <v>0.73187162884121904</v>
      </c>
      <c r="AI1270">
        <v>95.740483473115702</v>
      </c>
      <c r="AJ1270">
        <v>83.451315479689896</v>
      </c>
      <c r="AK1270">
        <v>0.74039118188160102</v>
      </c>
      <c r="AL1270">
        <v>84.551704218157994</v>
      </c>
      <c r="AM1270">
        <v>86.0986181928196</v>
      </c>
      <c r="AN1270">
        <v>1.0000000075428399</v>
      </c>
    </row>
    <row r="1271" spans="1:40" x14ac:dyDescent="0.25">
      <c r="A1271" t="str">
        <f>"20190312164014228"</f>
        <v>20190312164014228</v>
      </c>
      <c r="B1271" t="str">
        <f>"1552380014217861"</f>
        <v>1552380014217861</v>
      </c>
      <c r="C1271" t="s">
        <v>40</v>
      </c>
      <c r="D1271">
        <v>5.572978</v>
      </c>
      <c r="E1271">
        <v>0.51423439999999998</v>
      </c>
      <c r="F1271" t="s">
        <v>42</v>
      </c>
      <c r="G1271">
        <v>-240.0264</v>
      </c>
      <c r="H1271">
        <v>1.0476219999999901</v>
      </c>
      <c r="I1271">
        <v>367.81560000000002</v>
      </c>
      <c r="J1271">
        <v>-240.63120000000001</v>
      </c>
      <c r="K1271">
        <v>1.110331</v>
      </c>
      <c r="L1271">
        <v>367.88319999999999</v>
      </c>
      <c r="M1271">
        <v>0.99988999999999995</v>
      </c>
      <c r="N1271">
        <v>0</v>
      </c>
      <c r="O1271">
        <v>4.5028100000000003E-3</v>
      </c>
      <c r="P1271">
        <v>0.99459319999999896</v>
      </c>
      <c r="Q1271">
        <v>8.1633899999999995E-2</v>
      </c>
      <c r="R1271">
        <v>-6.4189609999999994E-2</v>
      </c>
      <c r="S1271">
        <v>3.019409</v>
      </c>
      <c r="T1271">
        <v>-0.25396289999999999</v>
      </c>
      <c r="U1271">
        <v>-0.27035520000000002</v>
      </c>
      <c r="V1271">
        <v>6.8681160000000005E-2</v>
      </c>
      <c r="W1271">
        <v>9.566943E-2</v>
      </c>
      <c r="X1271">
        <v>0.9930409</v>
      </c>
      <c r="Y1271">
        <v>9.3324039999999997E-2</v>
      </c>
      <c r="Z1271">
        <v>-4.2874209999999996E-3</v>
      </c>
      <c r="AA1271">
        <v>0.99562660000000003</v>
      </c>
      <c r="AB1271">
        <v>28</v>
      </c>
      <c r="AC1271">
        <v>0.604800000000011</v>
      </c>
      <c r="AD1271">
        <v>-6.2709000000000098E-2</v>
      </c>
      <c r="AE1271">
        <v>-6.7599999999970295E-2</v>
      </c>
      <c r="AF1271">
        <v>6.9584040305060005E-2</v>
      </c>
      <c r="AG1271">
        <v>-6.2709000000000098E-2</v>
      </c>
      <c r="AH1271">
        <v>0.598138393247439</v>
      </c>
      <c r="AI1271">
        <v>95.945236436940405</v>
      </c>
      <c r="AJ1271">
        <v>83.364360417683699</v>
      </c>
      <c r="AK1271">
        <v>0.60542868681852602</v>
      </c>
      <c r="AL1271">
        <v>84.510149094111796</v>
      </c>
      <c r="AM1271">
        <v>86.043582862697093</v>
      </c>
      <c r="AN1271">
        <v>0.99999998532414003</v>
      </c>
    </row>
    <row r="1272" spans="1:40" x14ac:dyDescent="0.25">
      <c r="A1272" t="str">
        <f>"20190312164014241"</f>
        <v>20190312164014241</v>
      </c>
      <c r="B1272" t="str">
        <f>"1552380014237381"</f>
        <v>1552380014237381</v>
      </c>
      <c r="C1272" t="s">
        <v>40</v>
      </c>
      <c r="D1272">
        <v>5.4880370000000003</v>
      </c>
      <c r="E1272">
        <v>0.51379109999999995</v>
      </c>
      <c r="F1272" t="s">
        <v>42</v>
      </c>
      <c r="G1272">
        <v>-239.7783</v>
      </c>
      <c r="H1272">
        <v>1.0386029999999999</v>
      </c>
      <c r="I1272">
        <v>367.80520000000001</v>
      </c>
      <c r="J1272">
        <v>-240.46860000000001</v>
      </c>
      <c r="K1272">
        <v>1.110333</v>
      </c>
      <c r="L1272">
        <v>367.88389999999998</v>
      </c>
      <c r="M1272">
        <v>0.9998901</v>
      </c>
      <c r="N1272">
        <v>0</v>
      </c>
      <c r="O1272">
        <v>4.472546E-3</v>
      </c>
      <c r="P1272">
        <v>0.99449390000000004</v>
      </c>
      <c r="Q1272">
        <v>8.2030229999999996E-2</v>
      </c>
      <c r="R1272">
        <v>-6.5214610000000006E-2</v>
      </c>
      <c r="S1272">
        <v>3.0193940000000001</v>
      </c>
      <c r="T1272">
        <v>-0.25401820000000003</v>
      </c>
      <c r="U1272">
        <v>-0.27548220000000001</v>
      </c>
      <c r="V1272">
        <v>6.9675849999999998E-2</v>
      </c>
      <c r="W1272">
        <v>9.6061949999999993E-2</v>
      </c>
      <c r="X1272">
        <v>0.99293379999999998</v>
      </c>
      <c r="Y1272">
        <v>9.4965339999999995E-2</v>
      </c>
      <c r="Z1272">
        <v>-4.3542870000000001E-3</v>
      </c>
      <c r="AA1272">
        <v>0.99547110000000005</v>
      </c>
      <c r="AB1272">
        <v>28</v>
      </c>
      <c r="AC1272">
        <v>0.69030000000000702</v>
      </c>
      <c r="AD1272">
        <v>-7.1729999999999794E-2</v>
      </c>
      <c r="AE1272">
        <v>-7.8699999999969295E-2</v>
      </c>
      <c r="AF1272">
        <v>8.0924345265761505E-2</v>
      </c>
      <c r="AG1272">
        <v>-7.1729999999999794E-2</v>
      </c>
      <c r="AH1272">
        <v>0.68266453342751898</v>
      </c>
      <c r="AI1272">
        <v>95.956857847023997</v>
      </c>
      <c r="AJ1272">
        <v>83.239598236103006</v>
      </c>
      <c r="AK1272">
        <v>0.69117639409669096</v>
      </c>
      <c r="AL1272">
        <v>84.487555799021806</v>
      </c>
      <c r="AM1272">
        <v>85.986037617695402</v>
      </c>
      <c r="AN1272">
        <v>1.0000000767467201</v>
      </c>
    </row>
    <row r="1273" spans="1:40" x14ac:dyDescent="0.25">
      <c r="A1273" t="str">
        <f>"20190312164014252"</f>
        <v>20190312164014252</v>
      </c>
      <c r="B1273" t="str">
        <f>"1552380014247140"</f>
        <v>1552380014247140</v>
      </c>
      <c r="C1273" t="s">
        <v>40</v>
      </c>
      <c r="D1273">
        <v>5.4809109999999999</v>
      </c>
      <c r="E1273">
        <v>0.51371460000000002</v>
      </c>
      <c r="F1273" t="s">
        <v>42</v>
      </c>
      <c r="G1273">
        <v>-239.52850000000001</v>
      </c>
      <c r="H1273">
        <v>1.031196</v>
      </c>
      <c r="I1273">
        <v>367.79820000000001</v>
      </c>
      <c r="J1273">
        <v>-240.3167</v>
      </c>
      <c r="K1273">
        <v>1.1103320000000001</v>
      </c>
      <c r="L1273">
        <v>367.88459999999998</v>
      </c>
      <c r="M1273">
        <v>0.99989030000000001</v>
      </c>
      <c r="N1273">
        <v>0</v>
      </c>
      <c r="O1273">
        <v>4.4446069999999997E-3</v>
      </c>
      <c r="P1273">
        <v>0.99438910000000003</v>
      </c>
      <c r="Q1273">
        <v>8.255759E-2</v>
      </c>
      <c r="R1273">
        <v>-6.6139899999999904E-2</v>
      </c>
      <c r="S1273">
        <v>3.0196079999999998</v>
      </c>
      <c r="T1273">
        <v>-0.25440600000000002</v>
      </c>
      <c r="U1273">
        <v>-0.274231</v>
      </c>
      <c r="V1273">
        <v>7.0572949999999995E-2</v>
      </c>
      <c r="W1273">
        <v>9.6586400000000003E-2</v>
      </c>
      <c r="X1273">
        <v>0.99281949999999997</v>
      </c>
      <c r="Y1273">
        <v>9.4522679999999998E-2</v>
      </c>
      <c r="Z1273">
        <v>-4.3397649999999998E-3</v>
      </c>
      <c r="AA1273">
        <v>0.99551330000000005</v>
      </c>
      <c r="AB1273">
        <v>28</v>
      </c>
      <c r="AC1273">
        <v>0.78819999999998902</v>
      </c>
      <c r="AD1273">
        <v>-7.9135999999999804E-2</v>
      </c>
      <c r="AE1273">
        <v>-8.6399999999969099E-2</v>
      </c>
      <c r="AF1273">
        <v>8.9016076737802402E-2</v>
      </c>
      <c r="AG1273">
        <v>-7.9135999999999804E-2</v>
      </c>
      <c r="AH1273">
        <v>0.78003846468451599</v>
      </c>
      <c r="AI1273">
        <v>95.755813441613299</v>
      </c>
      <c r="AJ1273">
        <v>83.489709436237902</v>
      </c>
      <c r="AK1273">
        <v>0.78907944771180505</v>
      </c>
      <c r="AL1273">
        <v>84.457366316818394</v>
      </c>
      <c r="AM1273">
        <v>85.934062224620604</v>
      </c>
      <c r="AN1273">
        <v>1.00000001675845</v>
      </c>
    </row>
    <row r="1274" spans="1:40" x14ac:dyDescent="0.25">
      <c r="A1274" t="str">
        <f>"20190312164014270"</f>
        <v>20190312164014270</v>
      </c>
      <c r="B1274" t="str">
        <f>"1552380014267637"</f>
        <v>1552380014267637</v>
      </c>
      <c r="C1274" t="s">
        <v>40</v>
      </c>
      <c r="D1274">
        <v>5.6217739999999896</v>
      </c>
      <c r="E1274">
        <v>0.51371250000000002</v>
      </c>
      <c r="F1274" t="s">
        <v>42</v>
      </c>
      <c r="G1274">
        <v>-239.52250000000001</v>
      </c>
      <c r="H1274">
        <v>1.043509</v>
      </c>
      <c r="I1274">
        <v>367.8116</v>
      </c>
      <c r="J1274">
        <v>-240.0984</v>
      </c>
      <c r="K1274">
        <v>1.1103320000000001</v>
      </c>
      <c r="L1274">
        <v>367.88549999999998</v>
      </c>
      <c r="M1274">
        <v>0.99989050000000002</v>
      </c>
      <c r="N1274">
        <v>0</v>
      </c>
      <c r="O1274">
        <v>4.4037420000000004E-3</v>
      </c>
      <c r="P1274">
        <v>0.99421630000000005</v>
      </c>
      <c r="Q1274">
        <v>8.3492230000000001E-2</v>
      </c>
      <c r="R1274">
        <v>-6.7550070000000004E-2</v>
      </c>
      <c r="S1274">
        <v>3.0196689999999999</v>
      </c>
      <c r="T1274">
        <v>-0.25436779999999998</v>
      </c>
      <c r="U1274">
        <v>-0.27621459999999998</v>
      </c>
      <c r="V1274">
        <v>7.1941740000000004E-2</v>
      </c>
      <c r="W1274">
        <v>9.7515640000000001E-2</v>
      </c>
      <c r="X1274">
        <v>0.99263040000000002</v>
      </c>
      <c r="Y1274">
        <v>9.5126890000000006E-2</v>
      </c>
      <c r="Z1274">
        <v>-4.3608220000000003E-3</v>
      </c>
      <c r="AA1274">
        <v>0.9954556</v>
      </c>
      <c r="AB1274">
        <v>28</v>
      </c>
      <c r="AC1274">
        <v>0.57589999999998998</v>
      </c>
      <c r="AD1274">
        <v>-6.6822999999999799E-2</v>
      </c>
      <c r="AE1274">
        <v>-7.3899999999980495E-2</v>
      </c>
      <c r="AF1274">
        <v>7.5436465871359396E-2</v>
      </c>
      <c r="AG1274">
        <v>-6.6822999999999799E-2</v>
      </c>
      <c r="AH1274">
        <v>0.56804496734000098</v>
      </c>
      <c r="AI1274">
        <v>96.651392630863796</v>
      </c>
      <c r="AJ1274">
        <v>82.435373378156001</v>
      </c>
      <c r="AK1274">
        <v>0.57691512255483801</v>
      </c>
      <c r="AL1274">
        <v>84.403872238056806</v>
      </c>
      <c r="AM1274">
        <v>85.854687173754996</v>
      </c>
      <c r="AN1274">
        <v>1.0000000125014901</v>
      </c>
    </row>
    <row r="1275" spans="1:40" x14ac:dyDescent="0.25">
      <c r="A1275" t="str">
        <f>"20190312164014282"</f>
        <v>20190312164014282</v>
      </c>
      <c r="B1275" t="str">
        <f>"1552380014277397"</f>
        <v>1552380014277397</v>
      </c>
      <c r="C1275" t="s">
        <v>40</v>
      </c>
      <c r="D1275">
        <v>5.4661530000000003</v>
      </c>
      <c r="E1275">
        <v>0.51367200000000002</v>
      </c>
      <c r="F1275" t="s">
        <v>42</v>
      </c>
      <c r="G1275">
        <v>-239.26990000000001</v>
      </c>
      <c r="H1275">
        <v>1.042405</v>
      </c>
      <c r="I1275">
        <v>367.80840000000001</v>
      </c>
      <c r="J1275">
        <v>-239.94380000000001</v>
      </c>
      <c r="K1275">
        <v>1.1103320000000001</v>
      </c>
      <c r="L1275">
        <v>367.8861</v>
      </c>
      <c r="M1275">
        <v>0.99989070000000002</v>
      </c>
      <c r="N1275">
        <v>0</v>
      </c>
      <c r="O1275">
        <v>4.3748499999999996E-3</v>
      </c>
      <c r="P1275">
        <v>0.99412909999999999</v>
      </c>
      <c r="Q1275">
        <v>8.4063719999999995E-2</v>
      </c>
      <c r="R1275">
        <v>-6.8120879999999995E-2</v>
      </c>
      <c r="S1275">
        <v>3.0192260000000002</v>
      </c>
      <c r="T1275">
        <v>-0.24777779999999999</v>
      </c>
      <c r="U1275">
        <v>-0.280304</v>
      </c>
      <c r="V1275">
        <v>7.2483399999999906E-2</v>
      </c>
      <c r="W1275">
        <v>9.8084169999999998E-2</v>
      </c>
      <c r="X1275">
        <v>0.9925349</v>
      </c>
      <c r="Y1275">
        <v>9.6461679999999994E-2</v>
      </c>
      <c r="Z1275">
        <v>-4.300781E-3</v>
      </c>
      <c r="AA1275">
        <v>0.99532739999999997</v>
      </c>
      <c r="AB1275">
        <v>28</v>
      </c>
      <c r="AC1275">
        <v>0.67390000000000305</v>
      </c>
      <c r="AD1275">
        <v>-6.7926999999999793E-2</v>
      </c>
      <c r="AE1275">
        <v>-7.7699999999992997E-2</v>
      </c>
      <c r="AF1275">
        <v>7.9847157296000795E-2</v>
      </c>
      <c r="AG1275">
        <v>-6.7926999999999793E-2</v>
      </c>
      <c r="AH1275">
        <v>0.66686710547417105</v>
      </c>
      <c r="AI1275">
        <v>95.775113420579402</v>
      </c>
      <c r="AJ1275">
        <v>83.172209772937705</v>
      </c>
      <c r="AK1275">
        <v>0.67505657705169497</v>
      </c>
      <c r="AL1275">
        <v>84.371140535542196</v>
      </c>
      <c r="AM1275">
        <v>85.823186101257093</v>
      </c>
      <c r="AN1275">
        <v>0.99999993769907702</v>
      </c>
    </row>
    <row r="1276" spans="1:40" x14ac:dyDescent="0.25">
      <c r="A1276" t="str">
        <f>"20190312164014293"</f>
        <v>20190312164014293</v>
      </c>
      <c r="B1276" t="str">
        <f>"1552380014287157"</f>
        <v>1552380014287157</v>
      </c>
      <c r="C1276" t="s">
        <v>40</v>
      </c>
      <c r="D1276">
        <v>5.4689449999999997</v>
      </c>
      <c r="E1276">
        <v>0.51361499999999904</v>
      </c>
      <c r="F1276" t="s">
        <v>42</v>
      </c>
      <c r="G1276">
        <v>-239.0205</v>
      </c>
      <c r="H1276">
        <v>1.035304</v>
      </c>
      <c r="I1276">
        <v>367.79969999999997</v>
      </c>
      <c r="J1276">
        <v>-239.79429999999999</v>
      </c>
      <c r="K1276">
        <v>1.1103240000000001</v>
      </c>
      <c r="L1276">
        <v>367.88670000000002</v>
      </c>
      <c r="M1276">
        <v>0.99989079999999997</v>
      </c>
      <c r="N1276">
        <v>0</v>
      </c>
      <c r="O1276">
        <v>4.3474430000000003E-3</v>
      </c>
      <c r="P1276">
        <v>0.99405929999999998</v>
      </c>
      <c r="Q1276">
        <v>8.4431110000000004E-2</v>
      </c>
      <c r="R1276">
        <v>-6.8684120000000001E-2</v>
      </c>
      <c r="S1276">
        <v>3.01918</v>
      </c>
      <c r="T1276">
        <v>-0.24553920000000001</v>
      </c>
      <c r="U1276">
        <v>-0.2818909</v>
      </c>
      <c r="V1276">
        <v>7.3019210000000001E-2</v>
      </c>
      <c r="W1276">
        <v>9.8448590000000002E-2</v>
      </c>
      <c r="X1276">
        <v>0.9924596</v>
      </c>
      <c r="Y1276">
        <v>9.6958950000000002E-2</v>
      </c>
      <c r="Z1276">
        <v>-4.2799359999999998E-3</v>
      </c>
      <c r="AA1276">
        <v>0.99527920000000003</v>
      </c>
      <c r="AB1276">
        <v>28</v>
      </c>
      <c r="AC1276">
        <v>0.77379999999999405</v>
      </c>
      <c r="AD1276">
        <v>-7.5020000000000003E-2</v>
      </c>
      <c r="AE1276">
        <v>-8.7000000000045902E-2</v>
      </c>
      <c r="AF1276">
        <v>8.9532524526425294E-2</v>
      </c>
      <c r="AG1276">
        <v>-7.5020000000000003E-2</v>
      </c>
      <c r="AH1276">
        <v>0.76630161564047805</v>
      </c>
      <c r="AI1276">
        <v>95.553829583218999</v>
      </c>
      <c r="AJ1276">
        <v>83.335936291072201</v>
      </c>
      <c r="AK1276">
        <v>0.77515304261886397</v>
      </c>
      <c r="AL1276">
        <v>84.350159577658403</v>
      </c>
      <c r="AM1276">
        <v>85.792102750968994</v>
      </c>
      <c r="AN1276">
        <v>0.99999999376708604</v>
      </c>
    </row>
    <row r="1277" spans="1:40" x14ac:dyDescent="0.25">
      <c r="A1277" t="str">
        <f>"20190312164014305"</f>
        <v>20190312164014305</v>
      </c>
      <c r="B1277" t="str">
        <f>"1552380014297894"</f>
        <v>1552380014297894</v>
      </c>
      <c r="C1277" t="s">
        <v>40</v>
      </c>
      <c r="D1277">
        <v>5.4590550000000002</v>
      </c>
      <c r="E1277">
        <v>0.51354690000000003</v>
      </c>
      <c r="F1277" t="s">
        <v>42</v>
      </c>
      <c r="G1277">
        <v>-239.01300000000001</v>
      </c>
      <c r="H1277">
        <v>1.0475680000000001</v>
      </c>
      <c r="I1277">
        <v>367.81330000000003</v>
      </c>
      <c r="J1277">
        <v>-239.66130000000001</v>
      </c>
      <c r="K1277">
        <v>1.1103229999999999</v>
      </c>
      <c r="L1277">
        <v>367.88720000000001</v>
      </c>
      <c r="M1277">
        <v>0.99989110000000003</v>
      </c>
      <c r="N1277">
        <v>0</v>
      </c>
      <c r="O1277">
        <v>4.3228980000000004E-3</v>
      </c>
      <c r="P1277">
        <v>0.99396209999999996</v>
      </c>
      <c r="Q1277">
        <v>8.5250099999999995E-2</v>
      </c>
      <c r="R1277">
        <v>-6.9081210000000004E-2</v>
      </c>
      <c r="S1277">
        <v>3.0189970000000002</v>
      </c>
      <c r="T1277">
        <v>-0.2427754</v>
      </c>
      <c r="U1277">
        <v>-0.28305049999999998</v>
      </c>
      <c r="V1277">
        <v>7.3391559999999995E-2</v>
      </c>
      <c r="W1277">
        <v>9.9264729999999995E-2</v>
      </c>
      <c r="X1277">
        <v>0.99235079999999998</v>
      </c>
      <c r="Y1277">
        <v>9.7325369999999994E-2</v>
      </c>
      <c r="Z1277">
        <v>-4.2448059999999899E-3</v>
      </c>
      <c r="AA1277">
        <v>0.99524349999999995</v>
      </c>
      <c r="AB1277">
        <v>28</v>
      </c>
      <c r="AC1277">
        <v>0.64830000000000598</v>
      </c>
      <c r="AD1277">
        <v>-6.2754999999999894E-2</v>
      </c>
      <c r="AE1277">
        <v>-7.3899999999980495E-2</v>
      </c>
      <c r="AF1277">
        <v>7.59991374639791E-2</v>
      </c>
      <c r="AG1277">
        <v>-6.2754999999999894E-2</v>
      </c>
      <c r="AH1277">
        <v>0.64203567068909195</v>
      </c>
      <c r="AI1277">
        <v>95.5441102279663</v>
      </c>
      <c r="AJ1277">
        <v>83.249189607505002</v>
      </c>
      <c r="AK1277">
        <v>0.64955666523980904</v>
      </c>
      <c r="AL1277">
        <v>84.303167820175602</v>
      </c>
      <c r="AM1277">
        <v>85.770260891361502</v>
      </c>
      <c r="AN1277">
        <v>0.99999995898092198</v>
      </c>
    </row>
    <row r="1278" spans="1:40" x14ac:dyDescent="0.25">
      <c r="A1278" t="str">
        <f>"20190312164014317"</f>
        <v>20190312164014317</v>
      </c>
      <c r="B1278" t="str">
        <f>"1552380014307653"</f>
        <v>1552380014307653</v>
      </c>
      <c r="C1278" t="s">
        <v>40</v>
      </c>
      <c r="D1278">
        <v>5.5536329999999996</v>
      </c>
      <c r="E1278">
        <v>0.51366840000000002</v>
      </c>
      <c r="F1278" t="s">
        <v>42</v>
      </c>
      <c r="G1278">
        <v>-238.7664</v>
      </c>
      <c r="H1278">
        <v>1.038686</v>
      </c>
      <c r="I1278">
        <v>367.80329999999998</v>
      </c>
      <c r="J1278">
        <v>-239.49639999999999</v>
      </c>
      <c r="K1278">
        <v>1.1103229999999999</v>
      </c>
      <c r="L1278">
        <v>367.8879</v>
      </c>
      <c r="M1278">
        <v>0.99989119999999998</v>
      </c>
      <c r="N1278">
        <v>0</v>
      </c>
      <c r="O1278">
        <v>4.2924549999999997E-3</v>
      </c>
      <c r="P1278">
        <v>0.99383630000000001</v>
      </c>
      <c r="Q1278">
        <v>8.6280109999999993E-2</v>
      </c>
      <c r="R1278">
        <v>-6.9609619999999997E-2</v>
      </c>
      <c r="S1278">
        <v>3.0193020000000002</v>
      </c>
      <c r="T1278">
        <v>-0.2417628</v>
      </c>
      <c r="U1278">
        <v>-0.28329470000000001</v>
      </c>
      <c r="V1278">
        <v>7.3889319999999994E-2</v>
      </c>
      <c r="W1278">
        <v>0.10029100000000001</v>
      </c>
      <c r="X1278">
        <v>0.9922107</v>
      </c>
      <c r="Y1278">
        <v>9.7368220000000005E-2</v>
      </c>
      <c r="Z1278">
        <v>-4.2259970000000004E-3</v>
      </c>
      <c r="AA1278">
        <v>0.9952394</v>
      </c>
      <c r="AB1278">
        <v>28</v>
      </c>
      <c r="AC1278">
        <v>0.72999999999998899</v>
      </c>
      <c r="AD1278">
        <v>-7.1636999999999895E-2</v>
      </c>
      <c r="AE1278">
        <v>-8.4600000000023101E-2</v>
      </c>
      <c r="AF1278">
        <v>8.6907194449506495E-2</v>
      </c>
      <c r="AG1278">
        <v>-7.1636999999999895E-2</v>
      </c>
      <c r="AH1278">
        <v>0.722762093479692</v>
      </c>
      <c r="AI1278">
        <v>95.620196399142003</v>
      </c>
      <c r="AJ1278">
        <v>83.143492995619198</v>
      </c>
      <c r="AK1278">
        <v>0.73148463004169195</v>
      </c>
      <c r="AL1278">
        <v>84.244072178152507</v>
      </c>
      <c r="AM1278">
        <v>85.741079845732102</v>
      </c>
      <c r="AN1278">
        <v>0.99999999474277601</v>
      </c>
    </row>
    <row r="1279" spans="1:40" x14ac:dyDescent="0.25">
      <c r="A1279" t="str">
        <f>"20190312164014329"</f>
        <v>20190312164014329</v>
      </c>
      <c r="B1279" t="str">
        <f>"1552380014317413"</f>
        <v>1552380014317413</v>
      </c>
      <c r="C1279" t="s">
        <v>40</v>
      </c>
      <c r="D1279">
        <v>5.6197619999999997</v>
      </c>
      <c r="E1279">
        <v>0.51401949999999996</v>
      </c>
      <c r="F1279" t="s">
        <v>42</v>
      </c>
      <c r="G1279">
        <v>-238.7569</v>
      </c>
      <c r="H1279">
        <v>1.051803</v>
      </c>
      <c r="I1279">
        <v>367.81799999999998</v>
      </c>
      <c r="J1279">
        <v>-239.35220000000001</v>
      </c>
      <c r="K1279">
        <v>1.1103289999999999</v>
      </c>
      <c r="L1279">
        <v>367.88850000000002</v>
      </c>
      <c r="M1279">
        <v>0.99989130000000004</v>
      </c>
      <c r="N1279">
        <v>0</v>
      </c>
      <c r="O1279">
        <v>4.2658849999999996E-3</v>
      </c>
      <c r="P1279">
        <v>0.99371330000000002</v>
      </c>
      <c r="Q1279">
        <v>8.7295010000000006E-2</v>
      </c>
      <c r="R1279">
        <v>-7.0097569999999998E-2</v>
      </c>
      <c r="S1279">
        <v>3.0193479999999999</v>
      </c>
      <c r="T1279">
        <v>-0.23899899999999999</v>
      </c>
      <c r="U1279">
        <v>-0.28549190000000002</v>
      </c>
      <c r="V1279">
        <v>7.4350559999999996E-2</v>
      </c>
      <c r="W1279">
        <v>0.101302</v>
      </c>
      <c r="X1279">
        <v>0.99207350000000005</v>
      </c>
      <c r="Y1279">
        <v>9.8063540000000005E-2</v>
      </c>
      <c r="Z1279">
        <v>-4.2029529999999997E-3</v>
      </c>
      <c r="AA1279">
        <v>0.99517129999999998</v>
      </c>
      <c r="AB1279">
        <v>28</v>
      </c>
      <c r="AC1279">
        <v>0.59530000000000804</v>
      </c>
      <c r="AD1279">
        <v>-5.8526000000000002E-2</v>
      </c>
      <c r="AE1279">
        <v>-7.04999999999813E-2</v>
      </c>
      <c r="AF1279">
        <v>7.2349468400883493E-2</v>
      </c>
      <c r="AG1279">
        <v>-5.8526000000000002E-2</v>
      </c>
      <c r="AH1279">
        <v>0.58937596407432702</v>
      </c>
      <c r="AI1279">
        <v>95.628994695847595</v>
      </c>
      <c r="AJ1279">
        <v>83.001609002615794</v>
      </c>
      <c r="AK1279">
        <v>0.59667727062662002</v>
      </c>
      <c r="AL1279">
        <v>84.1858494459848</v>
      </c>
      <c r="AM1279">
        <v>85.714002634672099</v>
      </c>
      <c r="AN1279">
        <v>0.99999996518928103</v>
      </c>
    </row>
    <row r="1280" spans="1:40" x14ac:dyDescent="0.25">
      <c r="A1280" t="str">
        <f>"20190312164014341"</f>
        <v>20190312164014341</v>
      </c>
      <c r="B1280" t="str">
        <f>"1552380014337910"</f>
        <v>1552380014337910</v>
      </c>
      <c r="C1280" t="s">
        <v>40</v>
      </c>
      <c r="D1280">
        <v>5.7615480000000003</v>
      </c>
      <c r="E1280">
        <v>0.51460890000000004</v>
      </c>
      <c r="F1280" t="s">
        <v>42</v>
      </c>
      <c r="G1280">
        <v>-238.5102</v>
      </c>
      <c r="H1280">
        <v>1.045061</v>
      </c>
      <c r="I1280">
        <v>367.8075</v>
      </c>
      <c r="J1280">
        <v>-239.1978</v>
      </c>
      <c r="K1280">
        <v>1.11032999999999</v>
      </c>
      <c r="L1280">
        <v>367.88909999999998</v>
      </c>
      <c r="M1280">
        <v>0.99989130000000004</v>
      </c>
      <c r="N1280">
        <v>0</v>
      </c>
      <c r="O1280">
        <v>4.2372900000000003E-3</v>
      </c>
      <c r="P1280">
        <v>0.9935794</v>
      </c>
      <c r="Q1280">
        <v>8.8498530000000006E-2</v>
      </c>
      <c r="R1280">
        <v>-7.0484290000000005E-2</v>
      </c>
      <c r="S1280">
        <v>3.0190890000000001</v>
      </c>
      <c r="T1280">
        <v>-0.23419570000000001</v>
      </c>
      <c r="U1280">
        <v>-0.2900085</v>
      </c>
      <c r="V1280">
        <v>7.4708280000000002E-2</v>
      </c>
      <c r="W1280">
        <v>0.1025021</v>
      </c>
      <c r="X1280">
        <v>0.99192340000000001</v>
      </c>
      <c r="Y1280">
        <v>9.9526719999999999E-2</v>
      </c>
      <c r="Z1280">
        <v>-4.1731240000000003E-3</v>
      </c>
      <c r="AA1280">
        <v>0.99502610000000002</v>
      </c>
      <c r="AB1280">
        <v>28</v>
      </c>
      <c r="AC1280">
        <v>0.68760000000000299</v>
      </c>
      <c r="AD1280">
        <v>-6.5268999999999799E-2</v>
      </c>
      <c r="AE1280">
        <v>-8.1599999999980299E-2</v>
      </c>
      <c r="AF1280">
        <v>8.3768813614691601E-2</v>
      </c>
      <c r="AG1280">
        <v>-6.5268999999999799E-2</v>
      </c>
      <c r="AH1280">
        <v>0.68119545284302196</v>
      </c>
      <c r="AI1280">
        <v>95.432434725611202</v>
      </c>
      <c r="AJ1280">
        <v>82.989350145196795</v>
      </c>
      <c r="AK1280">
        <v>0.68942331079636598</v>
      </c>
      <c r="AL1280">
        <v>84.116729284121803</v>
      </c>
      <c r="AM1280">
        <v>85.692809750669596</v>
      </c>
      <c r="AN1280">
        <v>1.0000000195362599</v>
      </c>
    </row>
    <row r="1281" spans="1:40" x14ac:dyDescent="0.25">
      <c r="A1281" t="str">
        <f>"20190312164014355"</f>
        <v>20190312164014355</v>
      </c>
      <c r="B1281" t="str">
        <f>"1552380014347670"</f>
        <v>1552380014347670</v>
      </c>
      <c r="C1281" t="s">
        <v>40</v>
      </c>
      <c r="D1281">
        <v>5.4605930000000003</v>
      </c>
      <c r="E1281">
        <v>0.51449400000000001</v>
      </c>
      <c r="F1281" t="s">
        <v>42</v>
      </c>
      <c r="G1281">
        <v>-238.26300000000001</v>
      </c>
      <c r="H1281">
        <v>1.0371319999999999</v>
      </c>
      <c r="I1281">
        <v>367.79770000000002</v>
      </c>
      <c r="J1281">
        <v>-239.02430000000001</v>
      </c>
      <c r="K1281">
        <v>1.11032999999999</v>
      </c>
      <c r="L1281">
        <v>367.88979999999998</v>
      </c>
      <c r="M1281">
        <v>0.99989150000000004</v>
      </c>
      <c r="N1281">
        <v>0</v>
      </c>
      <c r="O1281">
        <v>4.2048850000000002E-3</v>
      </c>
      <c r="P1281">
        <v>0.99342419999999998</v>
      </c>
      <c r="Q1281">
        <v>8.9978429999999998E-2</v>
      </c>
      <c r="R1281">
        <v>-7.0797020000000002E-2</v>
      </c>
      <c r="S1281">
        <v>3.0195310000000002</v>
      </c>
      <c r="T1281">
        <v>-0.23649809999999999</v>
      </c>
      <c r="U1281">
        <v>-0.29501339999999998</v>
      </c>
      <c r="V1281">
        <v>7.4988379999999993E-2</v>
      </c>
      <c r="W1281">
        <v>0.1039776</v>
      </c>
      <c r="X1281">
        <v>0.99174859999999998</v>
      </c>
      <c r="Y1281">
        <v>0.10110379999999999</v>
      </c>
      <c r="Z1281">
        <v>-4.2720700000000002E-3</v>
      </c>
      <c r="AA1281">
        <v>0.99486669999999999</v>
      </c>
      <c r="AB1281">
        <v>28</v>
      </c>
      <c r="AC1281">
        <v>0.76130000000000497</v>
      </c>
      <c r="AD1281">
        <v>-7.3197999999999805E-2</v>
      </c>
      <c r="AE1281">
        <v>-9.2099999999959395E-2</v>
      </c>
      <c r="AF1281">
        <v>9.4440217665590701E-2</v>
      </c>
      <c r="AG1281">
        <v>-7.3197999999999805E-2</v>
      </c>
      <c r="AH1281">
        <v>0.75403577113070297</v>
      </c>
      <c r="AI1281">
        <v>95.501894613386995</v>
      </c>
      <c r="AJ1281">
        <v>82.861087189340907</v>
      </c>
      <c r="AK1281">
        <v>0.76344406871846104</v>
      </c>
      <c r="AL1281">
        <v>84.031734724006498</v>
      </c>
      <c r="AM1281">
        <v>85.675963023995095</v>
      </c>
      <c r="AN1281">
        <v>0.99999994201937004</v>
      </c>
    </row>
    <row r="1282" spans="1:40" x14ac:dyDescent="0.25">
      <c r="A1282" t="str">
        <f>"20190312164014372"</f>
        <v>20190312164014372</v>
      </c>
      <c r="B1282" t="str">
        <f>"1552380014367189"</f>
        <v>1552380014367189</v>
      </c>
      <c r="C1282" t="s">
        <v>40</v>
      </c>
      <c r="D1282">
        <v>5.5230899999999998</v>
      </c>
      <c r="E1282">
        <v>0.51433609999999996</v>
      </c>
      <c r="F1282" t="s">
        <v>42</v>
      </c>
      <c r="G1282">
        <v>-238.25309999999999</v>
      </c>
      <c r="H1282">
        <v>1.051199</v>
      </c>
      <c r="I1282">
        <v>367.81439999999998</v>
      </c>
      <c r="J1282">
        <v>-238.81489999999999</v>
      </c>
      <c r="K1282">
        <v>1.110322</v>
      </c>
      <c r="L1282">
        <v>367.89060000000001</v>
      </c>
      <c r="M1282">
        <v>0.9998918</v>
      </c>
      <c r="N1282">
        <v>0</v>
      </c>
      <c r="O1282">
        <v>4.1660439999999998E-3</v>
      </c>
      <c r="P1282">
        <v>0.99311689999999997</v>
      </c>
      <c r="Q1282">
        <v>9.2651049999999999E-2</v>
      </c>
      <c r="R1282">
        <v>-7.1656639999999994E-2</v>
      </c>
      <c r="S1282">
        <v>3.019806</v>
      </c>
      <c r="T1282">
        <v>-0.2316349</v>
      </c>
      <c r="U1282">
        <v>-0.29498289999999999</v>
      </c>
      <c r="V1282">
        <v>7.5808440000000005E-2</v>
      </c>
      <c r="W1282">
        <v>0.1066435</v>
      </c>
      <c r="X1282">
        <v>0.99140320000000004</v>
      </c>
      <c r="Y1282">
        <v>0.1010597</v>
      </c>
      <c r="Z1282">
        <v>-4.1794509999999998E-3</v>
      </c>
      <c r="AA1282">
        <v>0.99487159999999997</v>
      </c>
      <c r="AB1282">
        <v>28</v>
      </c>
      <c r="AC1282">
        <v>0.56180000000000496</v>
      </c>
      <c r="AD1282">
        <v>-5.9123000000000002E-2</v>
      </c>
      <c r="AE1282">
        <v>-7.6200000000028398E-2</v>
      </c>
      <c r="AF1282">
        <v>7.7695114693615105E-2</v>
      </c>
      <c r="AG1282">
        <v>-5.9123000000000002E-2</v>
      </c>
      <c r="AH1282">
        <v>0.55543721688938696</v>
      </c>
      <c r="AI1282">
        <v>96.017765176575097</v>
      </c>
      <c r="AJ1282">
        <v>82.037076707543505</v>
      </c>
      <c r="AK1282">
        <v>0.56395262379217803</v>
      </c>
      <c r="AL1282">
        <v>83.878136286818105</v>
      </c>
      <c r="AM1282">
        <v>85.627341405572395</v>
      </c>
      <c r="AN1282">
        <v>1.0000000303188601</v>
      </c>
    </row>
    <row r="1283" spans="1:40" x14ac:dyDescent="0.25">
      <c r="A1283" t="str">
        <f>"20190312164014387"</f>
        <v>20190312164014387</v>
      </c>
      <c r="B1283" t="str">
        <f>"1552380014377925"</f>
        <v>1552380014377925</v>
      </c>
      <c r="C1283" t="s">
        <v>40</v>
      </c>
      <c r="D1283">
        <v>5.4116350000000004</v>
      </c>
      <c r="E1283">
        <v>0.5142641</v>
      </c>
      <c r="F1283" t="s">
        <v>42</v>
      </c>
      <c r="G1283">
        <v>-238.0025</v>
      </c>
      <c r="H1283">
        <v>1.04982</v>
      </c>
      <c r="I1283">
        <v>367.81099999999998</v>
      </c>
      <c r="J1283">
        <v>-238.63059999999999</v>
      </c>
      <c r="K1283">
        <v>1.11032</v>
      </c>
      <c r="L1283">
        <v>367.8913</v>
      </c>
      <c r="M1283">
        <v>0.999892</v>
      </c>
      <c r="N1283">
        <v>0</v>
      </c>
      <c r="O1283">
        <v>4.1317289999999998E-3</v>
      </c>
      <c r="P1283">
        <v>0.99293399999999998</v>
      </c>
      <c r="Q1283">
        <v>9.4191940000000002E-2</v>
      </c>
      <c r="R1283">
        <v>-7.2179729999999998E-2</v>
      </c>
      <c r="S1283">
        <v>3.0204620000000002</v>
      </c>
      <c r="T1283">
        <v>-0.2250808</v>
      </c>
      <c r="U1283">
        <v>-0.29550169999999998</v>
      </c>
      <c r="V1283">
        <v>7.6297030000000002E-2</v>
      </c>
      <c r="W1283">
        <v>0.1081795</v>
      </c>
      <c r="X1283">
        <v>0.99119930000000001</v>
      </c>
      <c r="Y1283">
        <v>0.1011908</v>
      </c>
      <c r="Z1283">
        <v>-4.0629339999999998E-3</v>
      </c>
      <c r="AA1283">
        <v>0.99485869999999998</v>
      </c>
      <c r="AB1283">
        <v>28</v>
      </c>
      <c r="AC1283">
        <v>0.628099999999989</v>
      </c>
      <c r="AD1283">
        <v>-6.0499999999999998E-2</v>
      </c>
      <c r="AE1283">
        <v>-8.0300000000022395E-2</v>
      </c>
      <c r="AF1283">
        <v>8.2144830448696707E-2</v>
      </c>
      <c r="AG1283">
        <v>-6.0499999999999998E-2</v>
      </c>
      <c r="AH1283">
        <v>0.62208396638003005</v>
      </c>
      <c r="AI1283">
        <v>95.507251924173801</v>
      </c>
      <c r="AJ1283">
        <v>82.477736835313195</v>
      </c>
      <c r="AK1283">
        <v>0.630393912087161</v>
      </c>
      <c r="AL1283">
        <v>83.789617954885998</v>
      </c>
      <c r="AM1283">
        <v>85.598367990891305</v>
      </c>
      <c r="AN1283">
        <v>1.00000004666377</v>
      </c>
    </row>
    <row r="1284" spans="1:40" x14ac:dyDescent="0.25">
      <c r="A1284" t="str">
        <f>"20190312164014406"</f>
        <v>20190312164014406</v>
      </c>
      <c r="B1284" t="str">
        <f>"1552380014397445"</f>
        <v>1552380014397445</v>
      </c>
      <c r="C1284" t="s">
        <v>40</v>
      </c>
      <c r="D1284">
        <v>5.4208410000000002</v>
      </c>
      <c r="E1284">
        <v>0.514127</v>
      </c>
      <c r="F1284" t="s">
        <v>42</v>
      </c>
      <c r="G1284">
        <v>-237.75399999999999</v>
      </c>
      <c r="H1284">
        <v>1.0464439999999999</v>
      </c>
      <c r="I1284">
        <v>367.80540000000002</v>
      </c>
      <c r="J1284">
        <v>-238.39420000000001</v>
      </c>
      <c r="K1284">
        <v>1.110317</v>
      </c>
      <c r="L1284">
        <v>367.89229999999998</v>
      </c>
      <c r="M1284">
        <v>0.99989220000000001</v>
      </c>
      <c r="N1284">
        <v>0</v>
      </c>
      <c r="O1284">
        <v>4.0878210000000002E-3</v>
      </c>
      <c r="P1284">
        <v>0.99257799999999996</v>
      </c>
      <c r="Q1284">
        <v>9.6732120000000005E-2</v>
      </c>
      <c r="R1284">
        <v>-7.3700790000000002E-2</v>
      </c>
      <c r="S1284">
        <v>3.0207519999999999</v>
      </c>
      <c r="T1284">
        <v>-0.22032089999999999</v>
      </c>
      <c r="U1284">
        <v>-0.29571530000000001</v>
      </c>
      <c r="V1284">
        <v>7.7773250000000002E-2</v>
      </c>
      <c r="W1284">
        <v>0.1107119</v>
      </c>
      <c r="X1284">
        <v>0.99080489999999999</v>
      </c>
      <c r="Y1284">
        <v>0.1012197</v>
      </c>
      <c r="Z1284">
        <v>-3.9747100000000002E-3</v>
      </c>
      <c r="AA1284">
        <v>0.99485619999999997</v>
      </c>
      <c r="AB1284">
        <v>28</v>
      </c>
      <c r="AC1284">
        <v>0.640199999999992</v>
      </c>
      <c r="AD1284">
        <v>-6.3872999999999805E-2</v>
      </c>
      <c r="AE1284">
        <v>-8.6899999999957303E-2</v>
      </c>
      <c r="AF1284">
        <v>8.86500873429521E-2</v>
      </c>
      <c r="AG1284">
        <v>-6.3872999999999805E-2</v>
      </c>
      <c r="AH1284">
        <v>0.63364609904926605</v>
      </c>
      <c r="AI1284">
        <v>95.7009523110884</v>
      </c>
      <c r="AJ1284">
        <v>82.035743229956495</v>
      </c>
      <c r="AK1284">
        <v>0.64299764926107195</v>
      </c>
      <c r="AL1284">
        <v>83.643645388674202</v>
      </c>
      <c r="AM1284">
        <v>85.511769599142895</v>
      </c>
      <c r="AN1284">
        <v>1.0000000765405801</v>
      </c>
    </row>
    <row r="1285" spans="1:40" x14ac:dyDescent="0.25">
      <c r="A1285" t="str">
        <f>"20190312164014427"</f>
        <v>20190312164014427</v>
      </c>
      <c r="B1285" t="str">
        <f>"1552380014416966"</f>
        <v>1552380014416966</v>
      </c>
      <c r="C1285" t="s">
        <v>40</v>
      </c>
      <c r="D1285">
        <v>5.5276740000000002</v>
      </c>
      <c r="E1285">
        <v>0.51399430000000002</v>
      </c>
      <c r="F1285" t="s">
        <v>42</v>
      </c>
      <c r="G1285">
        <v>-237.50139999999999</v>
      </c>
      <c r="H1285">
        <v>1.048076</v>
      </c>
      <c r="I1285">
        <v>367.80380000000002</v>
      </c>
      <c r="J1285">
        <v>-238.12280000000001</v>
      </c>
      <c r="K1285">
        <v>1.1103229999999999</v>
      </c>
      <c r="L1285">
        <v>367.89330000000001</v>
      </c>
      <c r="M1285">
        <v>0.99989249999999996</v>
      </c>
      <c r="N1285">
        <v>0</v>
      </c>
      <c r="O1285">
        <v>4.0377149999999999E-3</v>
      </c>
      <c r="P1285">
        <v>0.99219829999999998</v>
      </c>
      <c r="Q1285">
        <v>9.8785570000000003E-2</v>
      </c>
      <c r="R1285">
        <v>-7.6052399999999895E-2</v>
      </c>
      <c r="S1285">
        <v>3.0208279999999998</v>
      </c>
      <c r="T1285">
        <v>-0.2109731</v>
      </c>
      <c r="U1285">
        <v>-0.2983093</v>
      </c>
      <c r="V1285">
        <v>8.0074000000000006E-2</v>
      </c>
      <c r="W1285">
        <v>0.1127566</v>
      </c>
      <c r="X1285">
        <v>0.99039089999999996</v>
      </c>
      <c r="Y1285">
        <v>0.10203470000000001</v>
      </c>
      <c r="Z1285">
        <v>-3.8311E-3</v>
      </c>
      <c r="AA1285">
        <v>0.99477340000000003</v>
      </c>
      <c r="AB1285">
        <v>28</v>
      </c>
      <c r="AC1285">
        <v>0.62140000000002205</v>
      </c>
      <c r="AD1285">
        <v>-6.22469999999999E-2</v>
      </c>
      <c r="AE1285">
        <v>-8.9499999999986798E-2</v>
      </c>
      <c r="AF1285">
        <v>9.11128671636669E-2</v>
      </c>
      <c r="AG1285">
        <v>-6.22469999999999E-2</v>
      </c>
      <c r="AH1285">
        <v>0.61498786057301102</v>
      </c>
      <c r="AI1285">
        <v>95.717613712121107</v>
      </c>
      <c r="AJ1285">
        <v>81.572706934648394</v>
      </c>
      <c r="AK1285">
        <v>0.62480902060065802</v>
      </c>
      <c r="AL1285">
        <v>83.525754081081203</v>
      </c>
      <c r="AM1285">
        <v>85.377638832181404</v>
      </c>
      <c r="AN1285">
        <v>1.0000000155611799</v>
      </c>
    </row>
    <row r="1286" spans="1:40" x14ac:dyDescent="0.25">
      <c r="A1286" t="str">
        <f>"20190312164014450"</f>
        <v>20190312164014450</v>
      </c>
      <c r="B1286" t="str">
        <f>"1552380014437461"</f>
        <v>1552380014437461</v>
      </c>
      <c r="C1286" t="s">
        <v>40</v>
      </c>
      <c r="D1286">
        <v>5.5171429999999999</v>
      </c>
      <c r="E1286">
        <v>0.51359900000000003</v>
      </c>
      <c r="F1286" t="s">
        <v>42</v>
      </c>
      <c r="G1286">
        <v>-237.24680000000001</v>
      </c>
      <c r="H1286">
        <v>1.0515080000000001</v>
      </c>
      <c r="I1286">
        <v>367.80520000000001</v>
      </c>
      <c r="J1286">
        <v>-237.8391</v>
      </c>
      <c r="K1286">
        <v>1.110325</v>
      </c>
      <c r="L1286">
        <v>367.89440000000002</v>
      </c>
      <c r="M1286">
        <v>0.99989269999999997</v>
      </c>
      <c r="N1286">
        <v>0</v>
      </c>
      <c r="O1286">
        <v>3.9854080000000002E-3</v>
      </c>
      <c r="P1286">
        <v>0.99175489999999999</v>
      </c>
      <c r="Q1286">
        <v>0.1009369</v>
      </c>
      <c r="R1286">
        <v>-7.8956730000000003E-2</v>
      </c>
      <c r="S1286">
        <v>3.020508</v>
      </c>
      <c r="T1286">
        <v>-0.20284369999999999</v>
      </c>
      <c r="U1286">
        <v>-0.30371090000000001</v>
      </c>
      <c r="V1286">
        <v>8.2924940000000003E-2</v>
      </c>
      <c r="W1286">
        <v>0.1148974</v>
      </c>
      <c r="X1286">
        <v>0.98991010000000002</v>
      </c>
      <c r="Y1286">
        <v>0.103769899999999</v>
      </c>
      <c r="Z1286">
        <v>-3.738426E-3</v>
      </c>
      <c r="AA1286">
        <v>0.99459430000000004</v>
      </c>
      <c r="AB1286">
        <v>28</v>
      </c>
      <c r="AC1286">
        <v>0.59229999999999405</v>
      </c>
      <c r="AD1286">
        <v>-5.8817000000000098E-2</v>
      </c>
      <c r="AE1286">
        <v>-8.9200000000005206E-2</v>
      </c>
      <c r="AF1286">
        <v>9.06856611985533E-2</v>
      </c>
      <c r="AG1286">
        <v>-5.8817000000000098E-2</v>
      </c>
      <c r="AH1286">
        <v>0.58628658684780399</v>
      </c>
      <c r="AI1286">
        <v>95.661930197678302</v>
      </c>
      <c r="AJ1286">
        <v>81.207281948546097</v>
      </c>
      <c r="AK1286">
        <v>0.59616716661827895</v>
      </c>
      <c r="AL1286">
        <v>83.402292606277001</v>
      </c>
      <c r="AM1286">
        <v>85.211502773514297</v>
      </c>
      <c r="AN1286">
        <v>0.99999998214138597</v>
      </c>
    </row>
    <row r="1287" spans="1:40" x14ac:dyDescent="0.25">
      <c r="A1287" t="str">
        <f>"20190312164014463"</f>
        <v>20190312164014463</v>
      </c>
      <c r="B1287" t="str">
        <f>"1552380014456981"</f>
        <v>1552380014456981</v>
      </c>
      <c r="C1287" t="s">
        <v>40</v>
      </c>
      <c r="D1287">
        <v>5.4852189999999998</v>
      </c>
      <c r="E1287">
        <v>0.51314799999999905</v>
      </c>
      <c r="F1287" t="s">
        <v>41</v>
      </c>
      <c r="G1287">
        <v>-221.02879999999999</v>
      </c>
      <c r="H1287" s="1">
        <v>-4.4403420000000004E-6</v>
      </c>
      <c r="I1287">
        <v>366.18090000000001</v>
      </c>
      <c r="J1287">
        <v>-237.6644</v>
      </c>
      <c r="K1287">
        <v>1.1103289999999999</v>
      </c>
      <c r="L1287">
        <v>367.89499999999998</v>
      </c>
      <c r="M1287">
        <v>0.99989269999999997</v>
      </c>
      <c r="N1287">
        <v>0</v>
      </c>
      <c r="O1287">
        <v>3.9529409999999997E-3</v>
      </c>
      <c r="P1287">
        <v>0.99148890000000001</v>
      </c>
      <c r="Q1287">
        <v>0.10201830000000001</v>
      </c>
      <c r="R1287">
        <v>-8.0884700000000004E-2</v>
      </c>
      <c r="S1287">
        <v>3.020737</v>
      </c>
      <c r="T1287">
        <v>-0.19951949999999999</v>
      </c>
      <c r="U1287">
        <v>-0.30789179999999999</v>
      </c>
      <c r="V1287">
        <v>8.4819710000000006E-2</v>
      </c>
      <c r="W1287">
        <v>0.1159731</v>
      </c>
      <c r="X1287">
        <v>0.98962410000000001</v>
      </c>
      <c r="Y1287">
        <v>0.1050977</v>
      </c>
      <c r="Z1287">
        <v>-3.7183160000000002E-3</v>
      </c>
      <c r="AA1287">
        <v>0.99445499999999998</v>
      </c>
      <c r="AB1287">
        <v>28</v>
      </c>
      <c r="AC1287">
        <v>16.6356</v>
      </c>
      <c r="AD1287">
        <v>-1.110333440342</v>
      </c>
      <c r="AE1287">
        <v>-1.71409999999997</v>
      </c>
      <c r="AF1287">
        <v>1.7720415023446201</v>
      </c>
      <c r="AG1287">
        <v>-1.110333440342</v>
      </c>
      <c r="AH1287">
        <v>16.555715697002299</v>
      </c>
      <c r="AI1287">
        <v>93.815153016630902</v>
      </c>
      <c r="AJ1287">
        <v>83.890604509152695</v>
      </c>
      <c r="AK1287">
        <v>16.687261419260601</v>
      </c>
      <c r="AL1287">
        <v>83.340244870065106</v>
      </c>
      <c r="AM1287">
        <v>85.101207151391193</v>
      </c>
      <c r="AN1287">
        <v>1.0000000012144501</v>
      </c>
    </row>
    <row r="1288" spans="1:40" x14ac:dyDescent="0.25">
      <c r="A1288" t="str">
        <f>"20190312164014475"</f>
        <v>20190312164014475</v>
      </c>
      <c r="B1288" t="str">
        <f>"1552380014467718"</f>
        <v>1552380014467718</v>
      </c>
      <c r="C1288" t="s">
        <v>40</v>
      </c>
      <c r="D1288">
        <v>5.4702929999999999</v>
      </c>
      <c r="E1288">
        <v>0.51301719999999995</v>
      </c>
      <c r="F1288" t="s">
        <v>42</v>
      </c>
      <c r="G1288">
        <v>-236.74299999999999</v>
      </c>
      <c r="H1288">
        <v>1.051002</v>
      </c>
      <c r="I1288">
        <v>367.8005</v>
      </c>
      <c r="J1288">
        <v>-237.5103</v>
      </c>
      <c r="K1288">
        <v>1.110331</v>
      </c>
      <c r="L1288">
        <v>367.8956</v>
      </c>
      <c r="M1288">
        <v>0.99989289999999997</v>
      </c>
      <c r="N1288">
        <v>0</v>
      </c>
      <c r="O1288">
        <v>3.9244049999999997E-3</v>
      </c>
      <c r="P1288">
        <v>0.99117710000000003</v>
      </c>
      <c r="Q1288">
        <v>0.103408</v>
      </c>
      <c r="R1288">
        <v>-8.2913609999999999E-2</v>
      </c>
      <c r="S1288">
        <v>3.020508</v>
      </c>
      <c r="T1288">
        <v>-0.19444980000000001</v>
      </c>
      <c r="U1288">
        <v>-0.3097839</v>
      </c>
      <c r="V1288">
        <v>8.6819220000000003E-2</v>
      </c>
      <c r="W1288">
        <v>0.1173564</v>
      </c>
      <c r="X1288">
        <v>0.98928760000000004</v>
      </c>
      <c r="Y1288">
        <v>0.10570400000000001</v>
      </c>
      <c r="Z1288">
        <v>-3.641802E-3</v>
      </c>
      <c r="AA1288">
        <v>0.99439100000000002</v>
      </c>
      <c r="AB1288">
        <v>28</v>
      </c>
      <c r="AC1288">
        <v>0.76730000000000498</v>
      </c>
      <c r="AD1288">
        <v>-5.9328999999999903E-2</v>
      </c>
      <c r="AE1288">
        <v>-9.51000000000021E-2</v>
      </c>
      <c r="AF1288">
        <v>9.7536448108825502E-2</v>
      </c>
      <c r="AG1288">
        <v>-5.9328999999999903E-2</v>
      </c>
      <c r="AH1288">
        <v>0.76243148836083097</v>
      </c>
      <c r="AI1288">
        <v>94.413708029724106</v>
      </c>
      <c r="AJ1288">
        <v>82.709854194689996</v>
      </c>
      <c r="AK1288">
        <v>0.77093129615731504</v>
      </c>
      <c r="AL1288">
        <v>83.260442855699097</v>
      </c>
      <c r="AM1288">
        <v>84.984609941350897</v>
      </c>
      <c r="AN1288">
        <v>1.0000000285480599</v>
      </c>
    </row>
    <row r="1289" spans="1:40" x14ac:dyDescent="0.25">
      <c r="A1289" t="str">
        <f>"20190312164014505"</f>
        <v>20190312164014505</v>
      </c>
      <c r="B1289" t="str">
        <f>"1552380014496997"</f>
        <v>1552380014496997</v>
      </c>
      <c r="C1289" t="s">
        <v>40</v>
      </c>
      <c r="D1289">
        <v>5.422002</v>
      </c>
      <c r="E1289">
        <v>0.51285959999999997</v>
      </c>
      <c r="F1289" t="s">
        <v>41</v>
      </c>
      <c r="G1289">
        <v>-219.7876</v>
      </c>
      <c r="H1289" s="1">
        <v>-1.0070700000000001E-6</v>
      </c>
      <c r="I1289">
        <v>366.05079999999998</v>
      </c>
      <c r="J1289">
        <v>-237.14340000000001</v>
      </c>
      <c r="K1289">
        <v>1.110344</v>
      </c>
      <c r="L1289">
        <v>367.89690000000002</v>
      </c>
      <c r="M1289">
        <v>0.99989329999999998</v>
      </c>
      <c r="N1289">
        <v>0</v>
      </c>
      <c r="O1289">
        <v>3.8562510000000002E-3</v>
      </c>
      <c r="P1289">
        <v>0.98997930000000001</v>
      </c>
      <c r="Q1289">
        <v>0.10833959999999999</v>
      </c>
      <c r="R1289">
        <v>-9.0575089999999997E-2</v>
      </c>
      <c r="S1289">
        <v>3.0201419999999999</v>
      </c>
      <c r="T1289">
        <v>-0.18921170000000001</v>
      </c>
      <c r="U1289">
        <v>-0.31436160000000002</v>
      </c>
      <c r="V1289">
        <v>9.440904E-2</v>
      </c>
      <c r="W1289">
        <v>0.122266</v>
      </c>
      <c r="X1289">
        <v>0.98799689999999996</v>
      </c>
      <c r="Y1289">
        <v>0.1071488</v>
      </c>
      <c r="Z1289">
        <v>-3.5848859999999998E-3</v>
      </c>
      <c r="AA1289">
        <v>0.99423649999999997</v>
      </c>
      <c r="AB1289">
        <v>28</v>
      </c>
      <c r="AC1289">
        <v>17.355799999999999</v>
      </c>
      <c r="AD1289">
        <v>-1.1103450070700001</v>
      </c>
      <c r="AE1289">
        <v>-1.8461000000000301</v>
      </c>
      <c r="AF1289">
        <v>1.9053103151116599</v>
      </c>
      <c r="AG1289">
        <v>-1.1103450070700001</v>
      </c>
      <c r="AH1289">
        <v>17.2786234260242</v>
      </c>
      <c r="AI1289">
        <v>93.654747612029894</v>
      </c>
      <c r="AJ1289">
        <v>83.707428480298603</v>
      </c>
      <c r="AK1289">
        <v>17.418780121752199</v>
      </c>
      <c r="AL1289">
        <v>82.977101718417302</v>
      </c>
      <c r="AM1289">
        <v>84.541617164203601</v>
      </c>
      <c r="AN1289">
        <v>0.99999995799966401</v>
      </c>
    </row>
    <row r="1290" spans="1:40" x14ac:dyDescent="0.25">
      <c r="A1290" t="str">
        <f>"20190312164014519"</f>
        <v>20190312164014519</v>
      </c>
      <c r="B1290" t="str">
        <f>"1552380014507734"</f>
        <v>1552380014507734</v>
      </c>
      <c r="C1290" t="s">
        <v>40</v>
      </c>
      <c r="D1290">
        <v>5.4774729999999998</v>
      </c>
      <c r="E1290">
        <v>0.51271329999999904</v>
      </c>
      <c r="F1290" t="s">
        <v>41</v>
      </c>
      <c r="G1290">
        <v>-217.76849999999999</v>
      </c>
      <c r="H1290" s="1">
        <v>-1.775723E-6</v>
      </c>
      <c r="I1290">
        <v>365.74439999999998</v>
      </c>
      <c r="J1290">
        <v>-236.97229999999999</v>
      </c>
      <c r="K1290">
        <v>1.1103499999999999</v>
      </c>
      <c r="L1290">
        <v>367.89760000000001</v>
      </c>
      <c r="M1290">
        <v>0.99989340000000004</v>
      </c>
      <c r="N1290">
        <v>0</v>
      </c>
      <c r="O1290">
        <v>3.8243169999999998E-3</v>
      </c>
      <c r="P1290">
        <v>0.98952499999999999</v>
      </c>
      <c r="Q1290">
        <v>0.110297699999999</v>
      </c>
      <c r="R1290">
        <v>-9.3138719999999994E-2</v>
      </c>
      <c r="S1290">
        <v>3.0186000000000002</v>
      </c>
      <c r="T1290">
        <v>-0.17299030000000001</v>
      </c>
      <c r="U1290">
        <v>-0.33535769999999998</v>
      </c>
      <c r="V1290">
        <v>9.693947E-2</v>
      </c>
      <c r="W1290">
        <v>0.1242152</v>
      </c>
      <c r="X1290">
        <v>0.98750870000000002</v>
      </c>
      <c r="Y1290">
        <v>0.1140272</v>
      </c>
      <c r="Z1290">
        <v>-3.4730249999999998E-3</v>
      </c>
      <c r="AA1290">
        <v>0.99347160000000001</v>
      </c>
      <c r="AB1290">
        <v>28</v>
      </c>
      <c r="AC1290">
        <v>19.203800000000001</v>
      </c>
      <c r="AD1290">
        <v>-1.1103517757229999</v>
      </c>
      <c r="AE1290">
        <v>-2.15320000000002</v>
      </c>
      <c r="AF1290">
        <v>2.2193057600453998</v>
      </c>
      <c r="AG1290">
        <v>-1.1103517757229999</v>
      </c>
      <c r="AH1290">
        <v>19.132257637341301</v>
      </c>
      <c r="AI1290">
        <v>93.2993943516678</v>
      </c>
      <c r="AJ1290">
        <v>83.3833688526381</v>
      </c>
      <c r="AK1290">
        <v>19.292523977541901</v>
      </c>
      <c r="AL1290">
        <v>82.864563550883403</v>
      </c>
      <c r="AM1290">
        <v>84.393483462348897</v>
      </c>
      <c r="AN1290">
        <v>1.0000000546653001</v>
      </c>
    </row>
    <row r="1291" spans="1:40" x14ac:dyDescent="0.25">
      <c r="A1291" t="str">
        <f>"20190312164014533"</f>
        <v>20190312164014533</v>
      </c>
      <c r="B1291" t="str">
        <f>"1552380014527253"</f>
        <v>1552380014527253</v>
      </c>
      <c r="C1291" t="s">
        <v>40</v>
      </c>
      <c r="D1291">
        <v>5.9606690000000002</v>
      </c>
      <c r="E1291">
        <v>0.51246389999999997</v>
      </c>
      <c r="F1291" t="s">
        <v>41</v>
      </c>
      <c r="G1291">
        <v>-216.8074</v>
      </c>
      <c r="H1291" s="1">
        <v>-2.1368399999999999E-6</v>
      </c>
      <c r="I1291">
        <v>365.6164</v>
      </c>
      <c r="J1291">
        <v>-236.797</v>
      </c>
      <c r="K1291">
        <v>1.1103590000000001</v>
      </c>
      <c r="L1291">
        <v>367.89819999999997</v>
      </c>
      <c r="M1291">
        <v>0.99989349999999999</v>
      </c>
      <c r="N1291">
        <v>0</v>
      </c>
      <c r="O1291">
        <v>3.791848E-3</v>
      </c>
      <c r="P1291">
        <v>0.98894179999999998</v>
      </c>
      <c r="Q1291">
        <v>0.112691899999999</v>
      </c>
      <c r="R1291">
        <v>-9.6409629999999996E-2</v>
      </c>
      <c r="S1291">
        <v>3.0181580000000001</v>
      </c>
      <c r="T1291">
        <v>-0.16619039999999999</v>
      </c>
      <c r="U1291">
        <v>-0.34143069999999998</v>
      </c>
      <c r="V1291">
        <v>0.1001763</v>
      </c>
      <c r="W1291">
        <v>0.1265985</v>
      </c>
      <c r="X1291">
        <v>0.9868827</v>
      </c>
      <c r="Y1291">
        <v>0.115996699999999</v>
      </c>
      <c r="Z1291">
        <v>-3.3890579999999999E-3</v>
      </c>
      <c r="AA1291">
        <v>0.99324380000000001</v>
      </c>
      <c r="AB1291">
        <v>28</v>
      </c>
      <c r="AC1291">
        <v>19.989599999999999</v>
      </c>
      <c r="AD1291">
        <v>-1.1103611368399999</v>
      </c>
      <c r="AE1291">
        <v>-2.2817999999999699</v>
      </c>
      <c r="AF1291">
        <v>2.3504297631520501</v>
      </c>
      <c r="AG1291">
        <v>-1.1103611368399999</v>
      </c>
      <c r="AH1291">
        <v>19.9201309100348</v>
      </c>
      <c r="AI1291">
        <v>93.168468121158895</v>
      </c>
      <c r="AJ1291">
        <v>83.270631312772096</v>
      </c>
      <c r="AK1291">
        <v>20.089027786297599</v>
      </c>
      <c r="AL1291">
        <v>82.726923244468594</v>
      </c>
      <c r="AM1291">
        <v>84.203883994361505</v>
      </c>
      <c r="AN1291">
        <v>0.99999996742161401</v>
      </c>
    </row>
    <row r="1292" spans="1:40" x14ac:dyDescent="0.25">
      <c r="A1292" t="str">
        <f>"20190312164014549"</f>
        <v>20190312164014549</v>
      </c>
      <c r="B1292" t="str">
        <f>"1552380014537014"</f>
        <v>1552380014537014</v>
      </c>
      <c r="C1292" t="s">
        <v>40</v>
      </c>
      <c r="D1292">
        <v>5.5389390000000001</v>
      </c>
      <c r="E1292">
        <v>0.51228759999999995</v>
      </c>
      <c r="F1292" t="s">
        <v>41</v>
      </c>
      <c r="G1292">
        <v>-215.62530000000001</v>
      </c>
      <c r="H1292" s="1">
        <v>-2.5980290000000001E-6</v>
      </c>
      <c r="I1292">
        <v>365.4504</v>
      </c>
      <c r="J1292">
        <v>-236.59049999999999</v>
      </c>
      <c r="K1292">
        <v>1.1103749999999999</v>
      </c>
      <c r="L1292">
        <v>367.89890000000003</v>
      </c>
      <c r="M1292">
        <v>0.9998937</v>
      </c>
      <c r="N1292">
        <v>0</v>
      </c>
      <c r="O1292">
        <v>3.7533610000000002E-3</v>
      </c>
      <c r="P1292">
        <v>0.98782820000000005</v>
      </c>
      <c r="Q1292">
        <v>0.1168535</v>
      </c>
      <c r="R1292">
        <v>-0.1026681</v>
      </c>
      <c r="S1292">
        <v>3.017563</v>
      </c>
      <c r="T1292">
        <v>-0.1582577</v>
      </c>
      <c r="U1292">
        <v>-0.34887699999999999</v>
      </c>
      <c r="V1292">
        <v>0.10639319999999999</v>
      </c>
      <c r="W1292">
        <v>0.13074089999999999</v>
      </c>
      <c r="X1292">
        <v>0.98569130000000005</v>
      </c>
      <c r="Y1292">
        <v>0.1184128</v>
      </c>
      <c r="Z1292">
        <v>-3.2887910000000001E-3</v>
      </c>
      <c r="AA1292">
        <v>0.99295900000000004</v>
      </c>
      <c r="AB1292">
        <v>28</v>
      </c>
      <c r="AC1292">
        <v>20.9651999999999</v>
      </c>
      <c r="AD1292">
        <v>-1.1103775980289901</v>
      </c>
      <c r="AE1292">
        <v>-2.4485000000000201</v>
      </c>
      <c r="AF1292">
        <v>2.5202063010422302</v>
      </c>
      <c r="AG1292">
        <v>-1.1103775980289901</v>
      </c>
      <c r="AH1292">
        <v>20.898029688158498</v>
      </c>
      <c r="AI1292">
        <v>93.019606505764699</v>
      </c>
      <c r="AJ1292">
        <v>83.123599180015901</v>
      </c>
      <c r="AK1292">
        <v>21.078710184856501</v>
      </c>
      <c r="AL1292">
        <v>82.487591952823607</v>
      </c>
      <c r="AM1292">
        <v>83.839478930932898</v>
      </c>
      <c r="AN1292">
        <v>1.00000001741736</v>
      </c>
    </row>
    <row r="1293" spans="1:40" x14ac:dyDescent="0.25">
      <c r="A1293" t="str">
        <f>"20190312164014564"</f>
        <v>20190312164014564</v>
      </c>
      <c r="B1293" t="str">
        <f>"1552380014557509"</f>
        <v>1552380014557509</v>
      </c>
      <c r="C1293" t="s">
        <v>40</v>
      </c>
      <c r="D1293">
        <v>5.4863850000000003</v>
      </c>
      <c r="E1293">
        <v>0.5118646</v>
      </c>
      <c r="F1293" t="s">
        <v>41</v>
      </c>
      <c r="G1293">
        <v>-213.5343</v>
      </c>
      <c r="H1293" s="1">
        <v>-3.5565990000000001E-6</v>
      </c>
      <c r="I1293">
        <v>365.10359999999997</v>
      </c>
      <c r="J1293">
        <v>-236.41249999999999</v>
      </c>
      <c r="K1293">
        <v>1.110384</v>
      </c>
      <c r="L1293">
        <v>367.89949999999999</v>
      </c>
      <c r="M1293">
        <v>0.9998939</v>
      </c>
      <c r="N1293">
        <v>0</v>
      </c>
      <c r="O1293">
        <v>3.7203539999999999E-3</v>
      </c>
      <c r="P1293">
        <v>0.98725819999999997</v>
      </c>
      <c r="Q1293">
        <v>0.1187788</v>
      </c>
      <c r="R1293">
        <v>-0.1058916</v>
      </c>
      <c r="S1293">
        <v>3.0161440000000002</v>
      </c>
      <c r="T1293">
        <v>-0.14525560000000001</v>
      </c>
      <c r="U1293">
        <v>-0.36566159999999998</v>
      </c>
      <c r="V1293">
        <v>0.1095821</v>
      </c>
      <c r="W1293">
        <v>0.13265569999999999</v>
      </c>
      <c r="X1293">
        <v>0.98508589999999996</v>
      </c>
      <c r="Y1293">
        <v>0.1239006</v>
      </c>
      <c r="Z1293">
        <v>-3.1493430000000002E-3</v>
      </c>
      <c r="AA1293">
        <v>0.99228970000000005</v>
      </c>
      <c r="AB1293">
        <v>28</v>
      </c>
      <c r="AC1293">
        <v>22.8782</v>
      </c>
      <c r="AD1293">
        <v>-1.110387556599</v>
      </c>
      <c r="AE1293">
        <v>-2.7959000000000098</v>
      </c>
      <c r="AF1293">
        <v>2.87433288581546</v>
      </c>
      <c r="AG1293">
        <v>-1.110387556599</v>
      </c>
      <c r="AH1293">
        <v>22.814686934498798</v>
      </c>
      <c r="AI1293">
        <v>92.764559177802298</v>
      </c>
      <c r="AJ1293">
        <v>82.819361616536298</v>
      </c>
      <c r="AK1293">
        <v>23.021830726150299</v>
      </c>
      <c r="AL1293">
        <v>82.376917864080596</v>
      </c>
      <c r="AM1293">
        <v>83.652447873142094</v>
      </c>
      <c r="AN1293">
        <v>1.0000000008808501</v>
      </c>
    </row>
    <row r="1294" spans="1:40" x14ac:dyDescent="0.25">
      <c r="A1294" t="str">
        <f>"20190312164014578"</f>
        <v>20190312164014578</v>
      </c>
      <c r="B1294" t="str">
        <f>"1552380014567269"</f>
        <v>1552380014567269</v>
      </c>
      <c r="C1294" t="s">
        <v>40</v>
      </c>
      <c r="D1294">
        <v>5.5428959999999998</v>
      </c>
      <c r="E1294">
        <v>0.51162259999999904</v>
      </c>
      <c r="F1294" t="s">
        <v>41</v>
      </c>
      <c r="G1294">
        <v>-212.2989</v>
      </c>
      <c r="H1294" s="1">
        <v>-4.1189810000000004E-6</v>
      </c>
      <c r="I1294">
        <v>364.92099999999999</v>
      </c>
      <c r="J1294">
        <v>-236.22989999999999</v>
      </c>
      <c r="K1294">
        <v>1.11039</v>
      </c>
      <c r="L1294">
        <v>367.90010000000001</v>
      </c>
      <c r="M1294">
        <v>0.99989399999999995</v>
      </c>
      <c r="N1294">
        <v>0</v>
      </c>
      <c r="O1294">
        <v>3.6868679999999998E-3</v>
      </c>
      <c r="P1294">
        <v>0.98667070000000001</v>
      </c>
      <c r="Q1294">
        <v>0.1204148</v>
      </c>
      <c r="R1294">
        <v>-0.109459</v>
      </c>
      <c r="S1294">
        <v>3.0154879999999999</v>
      </c>
      <c r="T1294">
        <v>-0.13885690000000001</v>
      </c>
      <c r="U1294">
        <v>-0.37246699999999999</v>
      </c>
      <c r="V1294">
        <v>0.1131148</v>
      </c>
      <c r="W1294">
        <v>0.13428039999999999</v>
      </c>
      <c r="X1294">
        <v>0.98446630000000002</v>
      </c>
      <c r="Y1294">
        <v>0.12610950000000001</v>
      </c>
      <c r="Z1294">
        <v>-3.060101E-3</v>
      </c>
      <c r="AA1294">
        <v>0.99201159999999999</v>
      </c>
      <c r="AB1294">
        <v>28</v>
      </c>
      <c r="AC1294">
        <v>23.930999999999901</v>
      </c>
      <c r="AD1294">
        <v>-1.110394118981</v>
      </c>
      <c r="AE1294">
        <v>-2.9791000000000101</v>
      </c>
      <c r="AF1294">
        <v>3.0608297108093399</v>
      </c>
      <c r="AG1294">
        <v>-1.110394118981</v>
      </c>
      <c r="AH1294">
        <v>23.869247768449998</v>
      </c>
      <c r="AI1294">
        <v>92.641870009956193</v>
      </c>
      <c r="AJ1294">
        <v>82.692658823024402</v>
      </c>
      <c r="AK1294">
        <v>24.090301838077799</v>
      </c>
      <c r="AL1294">
        <v>82.282989332176101</v>
      </c>
      <c r="AM1294">
        <v>83.445480162320806</v>
      </c>
      <c r="AN1294">
        <v>1.00000003981944</v>
      </c>
    </row>
    <row r="1295" spans="1:40" x14ac:dyDescent="0.25">
      <c r="A1295" t="str">
        <f>"20190312164014595"</f>
        <v>20190312164014595</v>
      </c>
      <c r="B1295" t="str">
        <f>"1552380014587062"</f>
        <v>1552380014587062</v>
      </c>
      <c r="C1295" t="s">
        <v>40</v>
      </c>
      <c r="D1295">
        <v>5.5414519999999996</v>
      </c>
      <c r="E1295">
        <v>0.51115889999999997</v>
      </c>
      <c r="F1295" t="s">
        <v>41</v>
      </c>
      <c r="G1295">
        <v>-211.22210000000001</v>
      </c>
      <c r="H1295" s="1">
        <v>-4.6131729999999996E-6</v>
      </c>
      <c r="I1295">
        <v>364.73910000000001</v>
      </c>
      <c r="J1295">
        <v>-236.0256</v>
      </c>
      <c r="K1295">
        <v>1.110393</v>
      </c>
      <c r="L1295">
        <v>367.9008</v>
      </c>
      <c r="M1295">
        <v>0.99989419999999996</v>
      </c>
      <c r="N1295">
        <v>0</v>
      </c>
      <c r="O1295">
        <v>3.6490369999999999E-3</v>
      </c>
      <c r="P1295">
        <v>0.98552969999999895</v>
      </c>
      <c r="Q1295">
        <v>0.12304859999999999</v>
      </c>
      <c r="R1295">
        <v>-0.1165778</v>
      </c>
      <c r="S1295">
        <v>3.0145569999999999</v>
      </c>
      <c r="T1295">
        <v>-0.13385179999999999</v>
      </c>
      <c r="U1295">
        <v>-0.38104250000000001</v>
      </c>
      <c r="V1295">
        <v>0.1201922</v>
      </c>
      <c r="W1295">
        <v>0.13689479999999901</v>
      </c>
      <c r="X1295">
        <v>0.9832668</v>
      </c>
      <c r="Y1295">
        <v>0.12889419999999999</v>
      </c>
      <c r="Z1295">
        <v>-3.0101699999999999E-3</v>
      </c>
      <c r="AA1295">
        <v>0.99165380000000003</v>
      </c>
      <c r="AB1295">
        <v>28</v>
      </c>
      <c r="AC1295">
        <v>24.8034999999999</v>
      </c>
      <c r="AD1295">
        <v>-1.110397613173</v>
      </c>
      <c r="AE1295">
        <v>-3.16169999999999</v>
      </c>
      <c r="AF1295">
        <v>3.2457957428213202</v>
      </c>
      <c r="AG1295">
        <v>-1.110397613173</v>
      </c>
      <c r="AH1295">
        <v>24.743000606571002</v>
      </c>
      <c r="AI1295">
        <v>92.547753856654694</v>
      </c>
      <c r="AJ1295">
        <v>82.526592199453702</v>
      </c>
      <c r="AK1295">
        <v>24.979676776936699</v>
      </c>
      <c r="AL1295">
        <v>82.131798510060193</v>
      </c>
      <c r="AM1295">
        <v>83.030873641884099</v>
      </c>
      <c r="AN1295">
        <v>0.99999997559505904</v>
      </c>
    </row>
    <row r="1296" spans="1:40" x14ac:dyDescent="0.25">
      <c r="A1296" t="str">
        <f>"20190312164014618"</f>
        <v>20190312164014618</v>
      </c>
      <c r="B1296" t="str">
        <f>"1552380014607557"</f>
        <v>1552380014607557</v>
      </c>
      <c r="C1296" t="s">
        <v>40</v>
      </c>
      <c r="D1296">
        <v>5.558954</v>
      </c>
      <c r="E1296">
        <v>0.51073380000000002</v>
      </c>
      <c r="F1296" t="s">
        <v>45</v>
      </c>
      <c r="G1296">
        <v>-209.49459999999999</v>
      </c>
      <c r="H1296" s="1">
        <v>-5.9310639999999997E-6</v>
      </c>
      <c r="I1296">
        <v>364.3972</v>
      </c>
      <c r="J1296">
        <v>-235.74700000000001</v>
      </c>
      <c r="K1296">
        <v>1.1104050000000001</v>
      </c>
      <c r="L1296">
        <v>367.90170000000001</v>
      </c>
      <c r="M1296">
        <v>0.99989439999999996</v>
      </c>
      <c r="N1296">
        <v>0</v>
      </c>
      <c r="O1296">
        <v>3.5969119999999999E-3</v>
      </c>
      <c r="P1296">
        <v>0.9841299</v>
      </c>
      <c r="Q1296">
        <v>0.12650629999999999</v>
      </c>
      <c r="R1296">
        <v>-0.12443650000000001</v>
      </c>
      <c r="S1296">
        <v>3.0127109999999999</v>
      </c>
      <c r="T1296">
        <v>-0.12609049999999999</v>
      </c>
      <c r="U1296">
        <v>-0.39785769999999998</v>
      </c>
      <c r="V1296">
        <v>0.127995</v>
      </c>
      <c r="W1296">
        <v>0.14032800000000001</v>
      </c>
      <c r="X1296">
        <v>0.98179700000000003</v>
      </c>
      <c r="Y1296">
        <v>0.13436970000000001</v>
      </c>
      <c r="Z1296">
        <v>-2.9483640000000002E-3</v>
      </c>
      <c r="AA1296">
        <v>0.99092690000000005</v>
      </c>
      <c r="AB1296">
        <v>28</v>
      </c>
      <c r="AC1296">
        <v>26.252400000000002</v>
      </c>
      <c r="AD1296">
        <v>-1.11041093106399</v>
      </c>
      <c r="AE1296">
        <v>-3.5045000000000002</v>
      </c>
      <c r="AF1296">
        <v>3.5925993499575499</v>
      </c>
      <c r="AG1296">
        <v>-1.11041093106399</v>
      </c>
      <c r="AH1296">
        <v>26.193581615448199</v>
      </c>
      <c r="AI1296">
        <v>92.404968283823706</v>
      </c>
      <c r="AJ1296">
        <v>82.190284579589004</v>
      </c>
      <c r="AK1296">
        <v>26.462114434985899</v>
      </c>
      <c r="AL1296">
        <v>81.933173436567401</v>
      </c>
      <c r="AM1296">
        <v>82.572349322819093</v>
      </c>
      <c r="AN1296">
        <v>1.0000000084089999</v>
      </c>
    </row>
    <row r="1297" spans="1:40" x14ac:dyDescent="0.25">
      <c r="A1297" t="str">
        <f>"20190312164014640"</f>
        <v>20190312164014640</v>
      </c>
      <c r="B1297" t="str">
        <f>"1552380014627078"</f>
        <v>1552380014627078</v>
      </c>
      <c r="C1297" t="s">
        <v>40</v>
      </c>
      <c r="D1297">
        <v>5.6106490000000004</v>
      </c>
      <c r="E1297">
        <v>0.51114490000000001</v>
      </c>
      <c r="F1297" t="s">
        <v>45</v>
      </c>
      <c r="G1297">
        <v>-207.40100000000001</v>
      </c>
      <c r="H1297" s="1">
        <v>-5.2959619999999898E-6</v>
      </c>
      <c r="I1297">
        <v>363.97640000000001</v>
      </c>
      <c r="J1297">
        <v>-235.4795</v>
      </c>
      <c r="K1297">
        <v>1.110422</v>
      </c>
      <c r="L1297">
        <v>367.90260000000001</v>
      </c>
      <c r="M1297">
        <v>0.99989470000000003</v>
      </c>
      <c r="N1297">
        <v>0</v>
      </c>
      <c r="O1297">
        <v>3.547639E-3</v>
      </c>
      <c r="P1297">
        <v>0.98265170000000002</v>
      </c>
      <c r="Q1297">
        <v>0.13061019999999901</v>
      </c>
      <c r="R1297">
        <v>-0.1316697</v>
      </c>
      <c r="S1297">
        <v>3.010818</v>
      </c>
      <c r="T1297">
        <v>-0.11794399999999999</v>
      </c>
      <c r="U1297">
        <v>-0.4169312</v>
      </c>
      <c r="V1297">
        <v>0.13517479999999901</v>
      </c>
      <c r="W1297">
        <v>0.14440729999999999</v>
      </c>
      <c r="X1297">
        <v>0.98024199999999995</v>
      </c>
      <c r="Y1297">
        <v>0.1405739</v>
      </c>
      <c r="Z1297">
        <v>-2.8775509999999999E-3</v>
      </c>
      <c r="AA1297">
        <v>0.990066</v>
      </c>
      <c r="AB1297">
        <v>28</v>
      </c>
      <c r="AC1297">
        <v>28.078499999999998</v>
      </c>
      <c r="AD1297">
        <v>-1.1104272959620001</v>
      </c>
      <c r="AE1297">
        <v>-3.9261999999999899</v>
      </c>
      <c r="AF1297">
        <v>4.0196314523173404</v>
      </c>
      <c r="AG1297">
        <v>-1.1104272959620001</v>
      </c>
      <c r="AH1297">
        <v>28.021408547636</v>
      </c>
      <c r="AI1297">
        <v>92.246348860471201</v>
      </c>
      <c r="AJ1297">
        <v>81.836690910229606</v>
      </c>
      <c r="AK1297">
        <v>28.3300162863632</v>
      </c>
      <c r="AL1297">
        <v>81.697041548247697</v>
      </c>
      <c r="AM1297">
        <v>82.148464451037398</v>
      </c>
      <c r="AN1297">
        <v>1.0000000367061599</v>
      </c>
    </row>
    <row r="1298" spans="1:40" x14ac:dyDescent="0.25">
      <c r="A1298" t="str">
        <f>"20190312164014662"</f>
        <v>20190312164014662</v>
      </c>
      <c r="B1298" t="str">
        <f>"1552380014657333"</f>
        <v>1552380014657333</v>
      </c>
      <c r="C1298" t="s">
        <v>40</v>
      </c>
      <c r="D1298">
        <v>5.5166380000000004</v>
      </c>
      <c r="E1298">
        <v>0.51219150000000002</v>
      </c>
      <c r="F1298" t="s">
        <v>45</v>
      </c>
      <c r="G1298">
        <v>-204.74289999999999</v>
      </c>
      <c r="H1298" s="1">
        <v>-4.2058639999999997E-6</v>
      </c>
      <c r="I1298">
        <v>363.39100000000002</v>
      </c>
      <c r="J1298">
        <v>-235.2012</v>
      </c>
      <c r="K1298">
        <v>1.110433</v>
      </c>
      <c r="L1298">
        <v>367.90350000000001</v>
      </c>
      <c r="M1298">
        <v>0.99989490000000003</v>
      </c>
      <c r="N1298">
        <v>0</v>
      </c>
      <c r="O1298">
        <v>3.4958070000000001E-3</v>
      </c>
      <c r="P1298">
        <v>0.9811531</v>
      </c>
      <c r="Q1298">
        <v>0.1345142</v>
      </c>
      <c r="R1298">
        <v>-0.13872490000000001</v>
      </c>
      <c r="S1298">
        <v>3.0082239999999998</v>
      </c>
      <c r="T1298">
        <v>-0.1086786</v>
      </c>
      <c r="U1298">
        <v>-0.44155879999999997</v>
      </c>
      <c r="V1298">
        <v>0.14217449999999901</v>
      </c>
      <c r="W1298">
        <v>0.14828569999999999</v>
      </c>
      <c r="X1298">
        <v>0.97867139999999997</v>
      </c>
      <c r="Y1298">
        <v>0.14858879999999999</v>
      </c>
      <c r="Z1298">
        <v>-2.7944860000000001E-3</v>
      </c>
      <c r="AA1298">
        <v>0.98889510000000003</v>
      </c>
      <c r="AB1298">
        <v>28</v>
      </c>
      <c r="AC1298">
        <v>30.458300000000001</v>
      </c>
      <c r="AD1298">
        <v>-1.110437205864</v>
      </c>
      <c r="AE1298">
        <v>-4.5125000000000401</v>
      </c>
      <c r="AF1298">
        <v>4.6129596367949599</v>
      </c>
      <c r="AG1298">
        <v>-1.110437205864</v>
      </c>
      <c r="AH1298">
        <v>30.402795263888201</v>
      </c>
      <c r="AI1298">
        <v>92.068102647206601</v>
      </c>
      <c r="AJ1298">
        <v>81.372422602558203</v>
      </c>
      <c r="AK1298">
        <v>30.7708047872779</v>
      </c>
      <c r="AL1298">
        <v>81.472406354874494</v>
      </c>
      <c r="AM1298">
        <v>81.734295450042694</v>
      </c>
      <c r="AN1298">
        <v>0.99999997322634904</v>
      </c>
    </row>
    <row r="1299" spans="1:40" x14ac:dyDescent="0.25">
      <c r="A1299" t="str">
        <f>"20190312164014674"</f>
        <v>20190312164014674</v>
      </c>
      <c r="B1299" t="str">
        <f>"1552380014667094"</f>
        <v>1552380014667094</v>
      </c>
      <c r="C1299" t="s">
        <v>40</v>
      </c>
      <c r="D1299">
        <v>5.6459530000000004</v>
      </c>
      <c r="E1299">
        <v>0.51243649999999996</v>
      </c>
      <c r="F1299" t="s">
        <v>45</v>
      </c>
      <c r="G1299">
        <v>-200.44239999999999</v>
      </c>
      <c r="H1299" s="1">
        <v>-2.161364E-6</v>
      </c>
      <c r="I1299">
        <v>362.45710000000003</v>
      </c>
      <c r="J1299">
        <v>-235.0351</v>
      </c>
      <c r="K1299">
        <v>1.110439</v>
      </c>
      <c r="L1299">
        <v>367.90410000000003</v>
      </c>
      <c r="M1299">
        <v>0.99989499999999998</v>
      </c>
      <c r="N1299">
        <v>0</v>
      </c>
      <c r="O1299">
        <v>3.4651819999999998E-3</v>
      </c>
      <c r="P1299">
        <v>0.98042019999999996</v>
      </c>
      <c r="Q1299">
        <v>0.13624449999999999</v>
      </c>
      <c r="R1299">
        <v>-0.14217479999999999</v>
      </c>
      <c r="S1299">
        <v>3.0041959999999999</v>
      </c>
      <c r="T1299">
        <v>-9.5974680000000007E-2</v>
      </c>
      <c r="U1299">
        <v>-0.47073359999999898</v>
      </c>
      <c r="V1299">
        <v>0.1455921</v>
      </c>
      <c r="W1299">
        <v>0.15000329999999901</v>
      </c>
      <c r="X1299">
        <v>0.97790690000000002</v>
      </c>
      <c r="Y1299">
        <v>0.15814549999999999</v>
      </c>
      <c r="Z1299">
        <v>-2.6202019999999999E-3</v>
      </c>
      <c r="AA1299">
        <v>0.98741230000000002</v>
      </c>
      <c r="AB1299">
        <v>28</v>
      </c>
      <c r="AC1299">
        <v>34.592700000000001</v>
      </c>
      <c r="AD1299">
        <v>-1.110441161364</v>
      </c>
      <c r="AE1299">
        <v>-5.4470000000000001</v>
      </c>
      <c r="AF1299">
        <v>5.56125727027307</v>
      </c>
      <c r="AG1299">
        <v>-1.110441161364</v>
      </c>
      <c r="AH1299">
        <v>34.538886423168499</v>
      </c>
      <c r="AI1299">
        <v>91.818051250065906</v>
      </c>
      <c r="AJ1299">
        <v>80.853063279596896</v>
      </c>
      <c r="AK1299">
        <v>35.0013619356669</v>
      </c>
      <c r="AL1299">
        <v>81.372882004448897</v>
      </c>
      <c r="AM1299">
        <v>81.5319281656854</v>
      </c>
      <c r="AN1299">
        <v>0.99999997733045398</v>
      </c>
    </row>
    <row r="1300" spans="1:40" x14ac:dyDescent="0.25">
      <c r="A1300" t="str">
        <f>"20190312164014688"</f>
        <v>20190312164014688</v>
      </c>
      <c r="B1300" t="str">
        <f>"1552380014677830"</f>
        <v>1552380014677830</v>
      </c>
      <c r="C1300" t="s">
        <v>40</v>
      </c>
      <c r="D1300">
        <v>6.5619610000000002</v>
      </c>
      <c r="E1300">
        <v>0.51267159999999901</v>
      </c>
      <c r="F1300" t="s">
        <v>45</v>
      </c>
      <c r="G1300">
        <v>-197.90969999999999</v>
      </c>
      <c r="H1300" s="1">
        <v>-9.2649500000000001E-6</v>
      </c>
      <c r="I1300">
        <v>361.9323</v>
      </c>
      <c r="J1300">
        <v>-234.8818</v>
      </c>
      <c r="K1300">
        <v>1.1104430000000001</v>
      </c>
      <c r="L1300">
        <v>367.90460000000002</v>
      </c>
      <c r="M1300">
        <v>0.99989499999999998</v>
      </c>
      <c r="N1300">
        <v>0</v>
      </c>
      <c r="O1300">
        <v>3.436766E-3</v>
      </c>
      <c r="P1300">
        <v>0.97970889999999999</v>
      </c>
      <c r="Q1300">
        <v>0.13756860000000001</v>
      </c>
      <c r="R1300">
        <v>-0.14575729999999901</v>
      </c>
      <c r="S1300">
        <v>3.0023499999999999</v>
      </c>
      <c r="T1300">
        <v>-8.980262E-2</v>
      </c>
      <c r="U1300">
        <v>-0.4829407</v>
      </c>
      <c r="V1300">
        <v>0.14914450000000001</v>
      </c>
      <c r="W1300">
        <v>0.1513148</v>
      </c>
      <c r="X1300">
        <v>0.97716930000000002</v>
      </c>
      <c r="Y1300">
        <v>0.1621331</v>
      </c>
      <c r="Z1300">
        <v>-2.510885E-3</v>
      </c>
      <c r="AA1300">
        <v>0.98676569999999997</v>
      </c>
      <c r="AB1300">
        <v>28</v>
      </c>
      <c r="AC1300">
        <v>36.972099999999998</v>
      </c>
      <c r="AD1300">
        <v>-1.1104522649499999</v>
      </c>
      <c r="AE1300">
        <v>-5.9723000000000104</v>
      </c>
      <c r="AF1300">
        <v>6.0939842256256203</v>
      </c>
      <c r="AG1300">
        <v>-1.1104522649499999</v>
      </c>
      <c r="AH1300">
        <v>36.918896813782403</v>
      </c>
      <c r="AI1300">
        <v>91.699844144474696</v>
      </c>
      <c r="AJ1300">
        <v>80.627039996579796</v>
      </c>
      <c r="AK1300">
        <v>37.434939427246597</v>
      </c>
      <c r="AL1300">
        <v>81.296871575445394</v>
      </c>
      <c r="AM1300">
        <v>81.321968241730602</v>
      </c>
      <c r="AN1300">
        <v>1.00000004572088</v>
      </c>
    </row>
    <row r="1301" spans="1:40" x14ac:dyDescent="0.25">
      <c r="A1301" t="str">
        <f>"20190312164014706"</f>
        <v>20190312164014706</v>
      </c>
      <c r="B1301" t="str">
        <f>"1552380014697858"</f>
        <v>1552380014697858</v>
      </c>
      <c r="C1301" t="s">
        <v>40</v>
      </c>
      <c r="D1301">
        <v>5.6205210000000001</v>
      </c>
      <c r="E1301">
        <v>0.51315489999999997</v>
      </c>
      <c r="F1301" t="s">
        <v>45</v>
      </c>
      <c r="G1301">
        <v>-195.68450000000001</v>
      </c>
      <c r="H1301" s="1">
        <v>-8.5583640000000008E-6</v>
      </c>
      <c r="I1301">
        <v>361.43599999999998</v>
      </c>
      <c r="J1301">
        <v>-234.65049999999999</v>
      </c>
      <c r="K1301">
        <v>1.1104540000000001</v>
      </c>
      <c r="L1301">
        <v>367.90530000000001</v>
      </c>
      <c r="M1301">
        <v>0.99989530000000004</v>
      </c>
      <c r="N1301">
        <v>0</v>
      </c>
      <c r="O1301">
        <v>3.3935770000000001E-3</v>
      </c>
      <c r="P1301">
        <v>0.97838349999999996</v>
      </c>
      <c r="Q1301">
        <v>0.13958199999999901</v>
      </c>
      <c r="R1301">
        <v>-0.1525869</v>
      </c>
      <c r="S1301">
        <v>3.0004119999999999</v>
      </c>
      <c r="T1301">
        <v>-8.5001110000000005E-2</v>
      </c>
      <c r="U1301">
        <v>-0.49514770000000002</v>
      </c>
      <c r="V1301">
        <v>0.15592710000000001</v>
      </c>
      <c r="W1301">
        <v>0.15330639999999901</v>
      </c>
      <c r="X1301">
        <v>0.97579910000000003</v>
      </c>
      <c r="Y1301">
        <v>0.1661058</v>
      </c>
      <c r="Z1301">
        <v>-2.4320990000000001E-3</v>
      </c>
      <c r="AA1301">
        <v>0.98610500000000001</v>
      </c>
      <c r="AB1301">
        <v>28</v>
      </c>
      <c r="AC1301">
        <v>38.965999999999902</v>
      </c>
      <c r="AD1301">
        <v>-1.110462558364</v>
      </c>
      <c r="AE1301">
        <v>-6.4693000000000298</v>
      </c>
      <c r="AF1301">
        <v>6.5962964702751696</v>
      </c>
      <c r="AG1301">
        <v>-1.110462558364</v>
      </c>
      <c r="AH1301">
        <v>38.913063846987299</v>
      </c>
      <c r="AI1301">
        <v>91.611628108311507</v>
      </c>
      <c r="AJ1301">
        <v>80.3790385494855</v>
      </c>
      <c r="AK1301">
        <v>39.483804175598401</v>
      </c>
      <c r="AL1301">
        <v>81.181413784656797</v>
      </c>
      <c r="AM1301">
        <v>80.921216959595299</v>
      </c>
      <c r="AN1301">
        <v>0.99999999817809004</v>
      </c>
    </row>
    <row r="1302" spans="1:40" x14ac:dyDescent="0.25">
      <c r="A1302" t="str">
        <f>"20190312164014729"</f>
        <v>20190312164014729</v>
      </c>
      <c r="B1302" t="str">
        <f>"1552380014717378"</f>
        <v>1552380014717378</v>
      </c>
      <c r="C1302" t="s">
        <v>40</v>
      </c>
      <c r="D1302">
        <v>5.549423</v>
      </c>
      <c r="E1302">
        <v>0.51354639999999996</v>
      </c>
      <c r="F1302" t="s">
        <v>45</v>
      </c>
      <c r="G1302">
        <v>-193.03059999999999</v>
      </c>
      <c r="H1302" s="1">
        <v>-7.7421649999999994E-6</v>
      </c>
      <c r="I1302">
        <v>360.69749999999999</v>
      </c>
      <c r="J1302">
        <v>-234.3783</v>
      </c>
      <c r="K1302">
        <v>1.1104639999999999</v>
      </c>
      <c r="L1302">
        <v>367.90609999999998</v>
      </c>
      <c r="M1302">
        <v>0.99989550000000005</v>
      </c>
      <c r="N1302">
        <v>0</v>
      </c>
      <c r="O1302">
        <v>3.3425799999999999E-3</v>
      </c>
      <c r="P1302">
        <v>0.97702999999999995</v>
      </c>
      <c r="Q1302">
        <v>0.14179129999999901</v>
      </c>
      <c r="R1302">
        <v>-0.1590849</v>
      </c>
      <c r="S1302">
        <v>2.9967649999999999</v>
      </c>
      <c r="T1302">
        <v>-7.9956890000000003E-2</v>
      </c>
      <c r="U1302">
        <v>-0.5189819</v>
      </c>
      <c r="V1302">
        <v>0.16237099999999999</v>
      </c>
      <c r="W1302">
        <v>0.1554924</v>
      </c>
      <c r="X1302">
        <v>0.97440119999999997</v>
      </c>
      <c r="Y1302">
        <v>0.17387239999999901</v>
      </c>
      <c r="Z1302">
        <v>-2.3905390000000001E-3</v>
      </c>
      <c r="AA1302">
        <v>0.98476529999999995</v>
      </c>
      <c r="AB1302">
        <v>28</v>
      </c>
      <c r="AC1302">
        <v>41.347700000000003</v>
      </c>
      <c r="AD1302">
        <v>-1.1104717421650001</v>
      </c>
      <c r="AE1302">
        <v>-7.2085999999999899</v>
      </c>
      <c r="AF1302">
        <v>7.3416421135295797</v>
      </c>
      <c r="AG1302">
        <v>-1.1104717421650001</v>
      </c>
      <c r="AH1302">
        <v>41.294464430533701</v>
      </c>
      <c r="AI1302">
        <v>91.516629219132199</v>
      </c>
      <c r="AJ1302">
        <v>79.918858649532993</v>
      </c>
      <c r="AK1302">
        <v>41.956711608727197</v>
      </c>
      <c r="AL1302">
        <v>81.054644723144705</v>
      </c>
      <c r="AM1302">
        <v>80.539348384602903</v>
      </c>
      <c r="AN1302">
        <v>0.999999963330099</v>
      </c>
    </row>
    <row r="1303" spans="1:40" x14ac:dyDescent="0.25">
      <c r="A1303" t="str">
        <f>"20190312164014757"</f>
        <v>20190312164014757</v>
      </c>
      <c r="B1303" t="str">
        <f>"1552380014747635"</f>
        <v>1552380014747635</v>
      </c>
      <c r="C1303" t="s">
        <v>40</v>
      </c>
      <c r="D1303">
        <v>5.6479589999999904</v>
      </c>
      <c r="E1303">
        <v>0.51379010000000003</v>
      </c>
      <c r="F1303" t="s">
        <v>45</v>
      </c>
      <c r="G1303">
        <v>-190.85040000000001</v>
      </c>
      <c r="H1303" s="1">
        <v>-7.078698E-6</v>
      </c>
      <c r="I1303">
        <v>360.04570000000001</v>
      </c>
      <c r="J1303">
        <v>-234.024</v>
      </c>
      <c r="K1303">
        <v>1.1104689999999999</v>
      </c>
      <c r="L1303">
        <v>367.90719999999999</v>
      </c>
      <c r="M1303">
        <v>0.9998958</v>
      </c>
      <c r="N1303">
        <v>0</v>
      </c>
      <c r="O1303">
        <v>3.2764510000000001E-3</v>
      </c>
      <c r="P1303">
        <v>0.97568429999999995</v>
      </c>
      <c r="Q1303">
        <v>0.14366499999999999</v>
      </c>
      <c r="R1303">
        <v>-0.16553190000000001</v>
      </c>
      <c r="S1303">
        <v>2.993576</v>
      </c>
      <c r="T1303">
        <v>-7.6371190000000005E-2</v>
      </c>
      <c r="U1303">
        <v>-0.54058839999999997</v>
      </c>
      <c r="V1303">
        <v>0.16874919999999999</v>
      </c>
      <c r="W1303">
        <v>0.15734229999999999</v>
      </c>
      <c r="X1303">
        <v>0.97301959999999998</v>
      </c>
      <c r="Y1303">
        <v>0.18087410000000001</v>
      </c>
      <c r="Z1303">
        <v>-2.3712490000000002E-3</v>
      </c>
      <c r="AA1303">
        <v>0.98350340000000003</v>
      </c>
      <c r="AB1303">
        <v>28</v>
      </c>
      <c r="AC1303">
        <v>43.173599999999901</v>
      </c>
      <c r="AD1303">
        <v>-1.1104760786979999</v>
      </c>
      <c r="AE1303">
        <v>-7.8614999999999702</v>
      </c>
      <c r="AF1303">
        <v>7.9978065870834598</v>
      </c>
      <c r="AG1303">
        <v>-1.1104760786979999</v>
      </c>
      <c r="AH1303">
        <v>43.119996077092402</v>
      </c>
      <c r="AI1303">
        <v>91.450493034438793</v>
      </c>
      <c r="AJ1303">
        <v>79.492308250171803</v>
      </c>
      <c r="AK1303">
        <v>43.869489728217999</v>
      </c>
      <c r="AL1303">
        <v>80.947332826592003</v>
      </c>
      <c r="AM1303">
        <v>80.161149929886406</v>
      </c>
      <c r="AN1303">
        <v>1.00000001692704</v>
      </c>
    </row>
    <row r="1304" spans="1:40" x14ac:dyDescent="0.25">
      <c r="A1304" t="str">
        <f>"20190312164014770"</f>
        <v>20190312164014770</v>
      </c>
      <c r="B1304" t="str">
        <f>"1552380014757395"</f>
        <v>1552380014757395</v>
      </c>
      <c r="C1304" t="s">
        <v>40</v>
      </c>
      <c r="D1304">
        <v>5.6490070000000001</v>
      </c>
      <c r="E1304">
        <v>0.51387749999999999</v>
      </c>
      <c r="F1304" t="s">
        <v>45</v>
      </c>
      <c r="G1304">
        <v>-186.87639999999999</v>
      </c>
      <c r="H1304" s="1">
        <v>-5.2158969999999996E-6</v>
      </c>
      <c r="I1304">
        <v>359.05790000000002</v>
      </c>
      <c r="J1304">
        <v>-233.8792</v>
      </c>
      <c r="K1304">
        <v>1.1104670000000001</v>
      </c>
      <c r="L1304">
        <v>367.9076</v>
      </c>
      <c r="M1304">
        <v>0.99989589999999995</v>
      </c>
      <c r="N1304">
        <v>0</v>
      </c>
      <c r="O1304">
        <v>3.249582E-3</v>
      </c>
      <c r="P1304">
        <v>0.97504469999999999</v>
      </c>
      <c r="Q1304">
        <v>0.1442416</v>
      </c>
      <c r="R1304">
        <v>-0.16876769999999999</v>
      </c>
      <c r="S1304">
        <v>2.9899290000000001</v>
      </c>
      <c r="T1304">
        <v>-7.0422289999999998E-2</v>
      </c>
      <c r="U1304">
        <v>-0.56118769999999996</v>
      </c>
      <c r="V1304">
        <v>0.17195650000000001</v>
      </c>
      <c r="W1304">
        <v>0.15790789999999999</v>
      </c>
      <c r="X1304">
        <v>0.97236619999999996</v>
      </c>
      <c r="Y1304">
        <v>0.18761349999999999</v>
      </c>
      <c r="Z1304">
        <v>-2.2659049999999999E-3</v>
      </c>
      <c r="AA1304">
        <v>0.98224029999999996</v>
      </c>
      <c r="AB1304">
        <v>28</v>
      </c>
      <c r="AC1304">
        <v>47.002800000000001</v>
      </c>
      <c r="AD1304">
        <v>-1.110472215897</v>
      </c>
      <c r="AE1304">
        <v>-8.8496999999999808</v>
      </c>
      <c r="AF1304">
        <v>8.9975575683220903</v>
      </c>
      <c r="AG1304">
        <v>-1.110472215897</v>
      </c>
      <c r="AH1304">
        <v>46.948482951526302</v>
      </c>
      <c r="AI1304">
        <v>91.330754954292104</v>
      </c>
      <c r="AJ1304">
        <v>79.150956770344095</v>
      </c>
      <c r="AK1304">
        <v>47.815784446010198</v>
      </c>
      <c r="AL1304">
        <v>80.914515798664596</v>
      </c>
      <c r="AM1304">
        <v>79.971308660199</v>
      </c>
      <c r="AN1304">
        <v>0.99999998483854902</v>
      </c>
    </row>
    <row r="1305" spans="1:40" x14ac:dyDescent="0.25">
      <c r="A1305" t="str">
        <f>"20190312164014786"</f>
        <v>20190312164014786</v>
      </c>
      <c r="B1305" t="str">
        <f>"1552380014777891"</f>
        <v>1552380014777891</v>
      </c>
      <c r="C1305" t="s">
        <v>40</v>
      </c>
      <c r="D1305">
        <v>5.7018940000000002</v>
      </c>
      <c r="E1305">
        <v>0.51400729999999994</v>
      </c>
      <c r="F1305" t="s">
        <v>45</v>
      </c>
      <c r="G1305">
        <v>-187.02099999999999</v>
      </c>
      <c r="H1305" s="1">
        <v>-5.1563909999999998E-6</v>
      </c>
      <c r="I1305">
        <v>358.94819999999999</v>
      </c>
      <c r="J1305">
        <v>-233.6789</v>
      </c>
      <c r="K1305">
        <v>1.1104750000000001</v>
      </c>
      <c r="L1305">
        <v>367.90820000000002</v>
      </c>
      <c r="M1305">
        <v>0.99989600000000001</v>
      </c>
      <c r="N1305">
        <v>0</v>
      </c>
      <c r="O1305">
        <v>3.2122280000000001E-3</v>
      </c>
      <c r="P1305">
        <v>0.97380230000000001</v>
      </c>
      <c r="Q1305">
        <v>0.14597379999999999</v>
      </c>
      <c r="R1305">
        <v>-0.1743596</v>
      </c>
      <c r="S1305">
        <v>2.9883419999999998</v>
      </c>
      <c r="T1305">
        <v>-7.0819499999999994E-2</v>
      </c>
      <c r="U1305">
        <v>-0.57138059999999902</v>
      </c>
      <c r="V1305">
        <v>0.1775081</v>
      </c>
      <c r="W1305">
        <v>0.1596196</v>
      </c>
      <c r="X1305">
        <v>0.97108830000000002</v>
      </c>
      <c r="Y1305">
        <v>0.19090299999999999</v>
      </c>
      <c r="Z1305">
        <v>-2.3168989999999999E-3</v>
      </c>
      <c r="AA1305">
        <v>0.98160619999999998</v>
      </c>
      <c r="AB1305">
        <v>27</v>
      </c>
      <c r="AC1305">
        <v>46.657899999999998</v>
      </c>
      <c r="AD1305">
        <v>-1.1104801563910001</v>
      </c>
      <c r="AE1305">
        <v>-8.9600000000000293</v>
      </c>
      <c r="AF1305">
        <v>9.1048702593225705</v>
      </c>
      <c r="AG1305">
        <v>-1.1104801563910001</v>
      </c>
      <c r="AH1305">
        <v>46.603414652127299</v>
      </c>
      <c r="AI1305">
        <v>91.339684366826503</v>
      </c>
      <c r="AJ1305">
        <v>78.945415578593</v>
      </c>
      <c r="AK1305">
        <v>47.497474520809497</v>
      </c>
      <c r="AL1305">
        <v>80.815182990306596</v>
      </c>
      <c r="AM1305">
        <v>79.641099639519098</v>
      </c>
      <c r="AN1305">
        <v>1.0000000143333301</v>
      </c>
    </row>
    <row r="1306" spans="1:40" x14ac:dyDescent="0.25">
      <c r="A1306" t="str">
        <f>"20190312164014806"</f>
        <v>20190312164014806</v>
      </c>
      <c r="B1306" t="str">
        <f>"1552380014796942"</f>
        <v>1552380014796942</v>
      </c>
      <c r="C1306" t="s">
        <v>40</v>
      </c>
      <c r="D1306">
        <v>5.7592720000000002</v>
      </c>
      <c r="E1306">
        <v>0.51407099999999994</v>
      </c>
      <c r="F1306" t="s">
        <v>45</v>
      </c>
      <c r="G1306">
        <v>-183.60419999999999</v>
      </c>
      <c r="H1306" s="1">
        <v>-4.9269140000000002E-6</v>
      </c>
      <c r="I1306">
        <v>358.02980000000002</v>
      </c>
      <c r="J1306">
        <v>-233.41759999999999</v>
      </c>
      <c r="K1306">
        <v>1.1104860000000001</v>
      </c>
      <c r="L1306">
        <v>367.90890000000002</v>
      </c>
      <c r="M1306">
        <v>0.99989609999999995</v>
      </c>
      <c r="N1306">
        <v>0</v>
      </c>
      <c r="O1306">
        <v>3.1639120000000001E-3</v>
      </c>
      <c r="P1306">
        <v>0.97254569999999996</v>
      </c>
      <c r="Q1306">
        <v>0.14751159999999999</v>
      </c>
      <c r="R1306">
        <v>-0.1799877</v>
      </c>
      <c r="S1306">
        <v>2.9851990000000002</v>
      </c>
      <c r="T1306">
        <v>-6.6201090000000004E-2</v>
      </c>
      <c r="U1306">
        <v>-0.58889769999999997</v>
      </c>
      <c r="V1306">
        <v>0.18308550000000001</v>
      </c>
      <c r="W1306">
        <v>0.16113659999999999</v>
      </c>
      <c r="X1306">
        <v>0.96980140000000004</v>
      </c>
      <c r="Y1306">
        <v>0.19659860000000001</v>
      </c>
      <c r="Z1306">
        <v>-2.228364E-3</v>
      </c>
      <c r="AA1306">
        <v>0.98048150000000001</v>
      </c>
      <c r="AB1306">
        <v>27</v>
      </c>
      <c r="AC1306">
        <v>49.813400000000001</v>
      </c>
      <c r="AD1306">
        <v>-1.110490926914</v>
      </c>
      <c r="AE1306">
        <v>-9.8790999999999904</v>
      </c>
      <c r="AF1306">
        <v>10.031874391027999</v>
      </c>
      <c r="AG1306">
        <v>-1.110490926914</v>
      </c>
      <c r="AH1306">
        <v>49.758098037166</v>
      </c>
      <c r="AI1306">
        <v>91.2532933180008</v>
      </c>
      <c r="AJ1306">
        <v>78.601237167193304</v>
      </c>
      <c r="AK1306">
        <v>50.771448809073298</v>
      </c>
      <c r="AL1306">
        <v>80.727125582183206</v>
      </c>
      <c r="AM1306">
        <v>79.309148702622707</v>
      </c>
      <c r="AN1306">
        <v>1.00000002980588</v>
      </c>
    </row>
    <row r="1307" spans="1:40" x14ac:dyDescent="0.25">
      <c r="A1307" t="str">
        <f>"20190312164014829"</f>
        <v>20190312164014829</v>
      </c>
      <c r="B1307" t="str">
        <f>"1552380014817438"</f>
        <v>1552380014817438</v>
      </c>
      <c r="C1307" t="s">
        <v>40</v>
      </c>
      <c r="D1307">
        <v>5.6341970000000003</v>
      </c>
      <c r="E1307">
        <v>0.514069</v>
      </c>
      <c r="F1307" t="s">
        <v>45</v>
      </c>
      <c r="G1307">
        <v>-180</v>
      </c>
      <c r="H1307">
        <v>3.086845E-4</v>
      </c>
      <c r="I1307">
        <v>357.05410000000001</v>
      </c>
      <c r="J1307">
        <v>-233.14789999999999</v>
      </c>
      <c r="K1307">
        <v>1.11049</v>
      </c>
      <c r="L1307">
        <v>367.90969999999999</v>
      </c>
      <c r="M1307">
        <v>0.99989649999999997</v>
      </c>
      <c r="N1307">
        <v>0</v>
      </c>
      <c r="O1307">
        <v>3.1134520000000001E-3</v>
      </c>
      <c r="P1307">
        <v>0.97133119999999995</v>
      </c>
      <c r="Q1307">
        <v>0.14916989999999999</v>
      </c>
      <c r="R1307">
        <v>-0.18510599999999999</v>
      </c>
      <c r="S1307">
        <v>2.9819640000000001</v>
      </c>
      <c r="T1307">
        <v>-6.1974170000000002E-2</v>
      </c>
      <c r="U1307">
        <v>-0.60595699999999997</v>
      </c>
      <c r="V1307">
        <v>0.1881514</v>
      </c>
      <c r="W1307">
        <v>0.1627741</v>
      </c>
      <c r="X1307">
        <v>0.96855749999999996</v>
      </c>
      <c r="Y1307">
        <v>0.2021453</v>
      </c>
      <c r="Z1307">
        <v>-2.1431829999999999E-3</v>
      </c>
      <c r="AA1307">
        <v>0.97935320000000003</v>
      </c>
      <c r="AB1307">
        <v>27</v>
      </c>
      <c r="AC1307">
        <v>53.1478999999999</v>
      </c>
      <c r="AD1307">
        <v>-1.1101813155</v>
      </c>
      <c r="AE1307">
        <v>-10.8555999999999</v>
      </c>
      <c r="AF1307">
        <v>11.0164228390751</v>
      </c>
      <c r="AG1307">
        <v>-1.1101813155</v>
      </c>
      <c r="AH1307">
        <v>53.091602879869001</v>
      </c>
      <c r="AI1307">
        <v>91.172941376382099</v>
      </c>
      <c r="AJ1307">
        <v>78.277566724417397</v>
      </c>
      <c r="AK1307">
        <v>54.233867380782399</v>
      </c>
      <c r="AL1307">
        <v>80.632048195986997</v>
      </c>
      <c r="AM1307">
        <v>79.006675446965502</v>
      </c>
      <c r="AN1307">
        <v>0.99999999387951</v>
      </c>
    </row>
    <row r="1308" spans="1:40" x14ac:dyDescent="0.25">
      <c r="A1308" t="str">
        <f>"20190312164014840"</f>
        <v>20190312164014840</v>
      </c>
      <c r="B1308" t="str">
        <f>"1552380014836958"</f>
        <v>1552380014836958</v>
      </c>
      <c r="C1308" t="s">
        <v>40</v>
      </c>
      <c r="D1308">
        <v>5.891445</v>
      </c>
      <c r="E1308">
        <v>0.51397360000000003</v>
      </c>
      <c r="F1308" t="s">
        <v>45</v>
      </c>
      <c r="G1308">
        <v>-179.97409999999999</v>
      </c>
      <c r="H1308">
        <v>7.5938519999999995E-2</v>
      </c>
      <c r="I1308">
        <v>356.82279999999997</v>
      </c>
      <c r="J1308">
        <v>-233.0017</v>
      </c>
      <c r="K1308">
        <v>1.1104909999999999</v>
      </c>
      <c r="L1308">
        <v>367.9101</v>
      </c>
      <c r="M1308">
        <v>0.99989660000000002</v>
      </c>
      <c r="N1308">
        <v>0</v>
      </c>
      <c r="O1308">
        <v>3.086227E-3</v>
      </c>
      <c r="P1308">
        <v>0.97077239999999998</v>
      </c>
      <c r="Q1308">
        <v>0.14984120000000001</v>
      </c>
      <c r="R1308">
        <v>-0.18747939999999999</v>
      </c>
      <c r="S1308">
        <v>2.979095</v>
      </c>
      <c r="T1308">
        <v>-5.796134E-2</v>
      </c>
      <c r="U1308">
        <v>-0.62115480000000001</v>
      </c>
      <c r="V1308">
        <v>0.19049650000000001</v>
      </c>
      <c r="W1308">
        <v>0.16343550000000001</v>
      </c>
      <c r="X1308">
        <v>0.9679875</v>
      </c>
      <c r="Y1308">
        <v>0.20709730000000001</v>
      </c>
      <c r="Z1308">
        <v>-2.0524409999999999E-3</v>
      </c>
      <c r="AA1308">
        <v>0.97831820000000003</v>
      </c>
      <c r="AB1308">
        <v>27</v>
      </c>
      <c r="AC1308">
        <v>53.0276</v>
      </c>
      <c r="AD1308">
        <v>-1.0345524800000001</v>
      </c>
      <c r="AE1308">
        <v>-11.087300000000001</v>
      </c>
      <c r="AF1308">
        <v>11.246816991468901</v>
      </c>
      <c r="AG1308">
        <v>-1.0345524800000001</v>
      </c>
      <c r="AH1308">
        <v>52.973807332877698</v>
      </c>
      <c r="AI1308">
        <v>91.094428497454402</v>
      </c>
      <c r="AJ1308">
        <v>78.013570813015704</v>
      </c>
      <c r="AK1308">
        <v>54.164429791278302</v>
      </c>
      <c r="AL1308">
        <v>80.593637896757301</v>
      </c>
      <c r="AM1308">
        <v>78.866666254465798</v>
      </c>
      <c r="AN1308">
        <v>0.99999993966437295</v>
      </c>
    </row>
    <row r="1309" spans="1:40" x14ac:dyDescent="0.25">
      <c r="A1309" t="str">
        <f>"20190312164014851"</f>
        <v>20190312164014851</v>
      </c>
      <c r="B1309" t="str">
        <f>"1552380014847694"</f>
        <v>1552380014847694</v>
      </c>
      <c r="C1309" t="s">
        <v>40</v>
      </c>
      <c r="D1309">
        <v>5.6101419999999997</v>
      </c>
      <c r="E1309">
        <v>0.51394669999999998</v>
      </c>
      <c r="F1309" t="s">
        <v>45</v>
      </c>
      <c r="G1309">
        <v>-178.89670000000001</v>
      </c>
      <c r="H1309">
        <v>7.9987929999999999E-2</v>
      </c>
      <c r="I1309">
        <v>356.51029999999997</v>
      </c>
      <c r="J1309">
        <v>-232.86269999999999</v>
      </c>
      <c r="K1309">
        <v>1.110495</v>
      </c>
      <c r="L1309">
        <v>367.91050000000001</v>
      </c>
      <c r="M1309">
        <v>0.99989669999999997</v>
      </c>
      <c r="N1309">
        <v>0</v>
      </c>
      <c r="O1309">
        <v>3.059956E-3</v>
      </c>
      <c r="P1309">
        <v>0.97019730000000004</v>
      </c>
      <c r="Q1309">
        <v>0.1504807</v>
      </c>
      <c r="R1309">
        <v>-0.1899295</v>
      </c>
      <c r="S1309">
        <v>2.9779209999999998</v>
      </c>
      <c r="T1309">
        <v>-5.6718589999999999E-2</v>
      </c>
      <c r="U1309">
        <v>-0.62744140000000004</v>
      </c>
      <c r="V1309">
        <v>0.19291939999999999</v>
      </c>
      <c r="W1309">
        <v>0.1640654</v>
      </c>
      <c r="X1309">
        <v>0.96740099999999996</v>
      </c>
      <c r="Y1309">
        <v>0.20912790000000001</v>
      </c>
      <c r="Z1309">
        <v>-2.027418E-3</v>
      </c>
      <c r="AA1309">
        <v>0.97788620000000004</v>
      </c>
      <c r="AB1309">
        <v>27</v>
      </c>
      <c r="AC1309">
        <v>53.965999999999902</v>
      </c>
      <c r="AD1309">
        <v>-1.0305070700000001</v>
      </c>
      <c r="AE1309">
        <v>-11.4002</v>
      </c>
      <c r="AF1309">
        <v>11.5612609091633</v>
      </c>
      <c r="AG1309">
        <v>-1.0305070700000001</v>
      </c>
      <c r="AH1309">
        <v>53.9120411793089</v>
      </c>
      <c r="AI1309">
        <v>91.070715395255604</v>
      </c>
      <c r="AJ1309">
        <v>77.896422745862793</v>
      </c>
      <c r="AK1309">
        <v>55.147374214468002</v>
      </c>
      <c r="AL1309">
        <v>80.557054248265104</v>
      </c>
      <c r="AM1309">
        <v>78.722007836874397</v>
      </c>
      <c r="AN1309">
        <v>1.0000000225872501</v>
      </c>
    </row>
    <row r="1310" spans="1:40" x14ac:dyDescent="0.25">
      <c r="A1310" t="str">
        <f>"20190312164014864"</f>
        <v>20190312164014864</v>
      </c>
      <c r="B1310" t="str">
        <f>"1552380014857454"</f>
        <v>1552380014857454</v>
      </c>
      <c r="C1310" t="s">
        <v>40</v>
      </c>
      <c r="D1310">
        <v>5.5217799999999997</v>
      </c>
      <c r="E1310">
        <v>0.51386220000000005</v>
      </c>
      <c r="F1310" t="s">
        <v>45</v>
      </c>
      <c r="G1310">
        <v>-177.48740000000001</v>
      </c>
      <c r="H1310">
        <v>7.9987989999999995E-2</v>
      </c>
      <c r="I1310">
        <v>356.10570000000001</v>
      </c>
      <c r="J1310">
        <v>-232.72309999999999</v>
      </c>
      <c r="K1310">
        <v>1.1104989999999999</v>
      </c>
      <c r="L1310">
        <v>367.91090000000003</v>
      </c>
      <c r="M1310">
        <v>0.99989669999999997</v>
      </c>
      <c r="N1310">
        <v>0</v>
      </c>
      <c r="O1310">
        <v>3.03404E-3</v>
      </c>
      <c r="P1310">
        <v>0.96964260000000002</v>
      </c>
      <c r="Q1310">
        <v>0.150975</v>
      </c>
      <c r="R1310">
        <v>-0.1923542</v>
      </c>
      <c r="S1310">
        <v>2.9765009999999998</v>
      </c>
      <c r="T1310">
        <v>-5.539119E-2</v>
      </c>
      <c r="U1310">
        <v>-0.63452149999999996</v>
      </c>
      <c r="V1310">
        <v>0.19531709999999999</v>
      </c>
      <c r="W1310">
        <v>0.164549799999999</v>
      </c>
      <c r="X1310">
        <v>0.96683739999999996</v>
      </c>
      <c r="Y1310">
        <v>0.21142340000000001</v>
      </c>
      <c r="Z1310">
        <v>-2.0010620000000001E-3</v>
      </c>
      <c r="AA1310">
        <v>0.97739259999999994</v>
      </c>
      <c r="AB1310">
        <v>27</v>
      </c>
      <c r="AC1310">
        <v>55.235699999999902</v>
      </c>
      <c r="AD1310">
        <v>-1.0305110099999999</v>
      </c>
      <c r="AE1310">
        <v>-11.805199999999999</v>
      </c>
      <c r="AF1310">
        <v>11.968765540472299</v>
      </c>
      <c r="AG1310">
        <v>-1.0305110099999999</v>
      </c>
      <c r="AH1310">
        <v>55.181256845715502</v>
      </c>
      <c r="AI1310">
        <v>91.0455691198691</v>
      </c>
      <c r="AJ1310">
        <v>77.762157045971605</v>
      </c>
      <c r="AK1310">
        <v>56.473749730094603</v>
      </c>
      <c r="AL1310">
        <v>80.528917387786393</v>
      </c>
      <c r="AM1310">
        <v>78.579017951748995</v>
      </c>
      <c r="AN1310">
        <v>0.99999998213560404</v>
      </c>
    </row>
    <row r="1311" spans="1:40" x14ac:dyDescent="0.25">
      <c r="A1311" t="str">
        <f>"20190312164014875"</f>
        <v>20190312164014875</v>
      </c>
      <c r="B1311" t="str">
        <f>"1552380014867213"</f>
        <v>1552380014867213</v>
      </c>
      <c r="C1311" t="s">
        <v>40</v>
      </c>
      <c r="D1311">
        <v>5.4474929999999997</v>
      </c>
      <c r="E1311">
        <v>0.51386220000000005</v>
      </c>
      <c r="F1311" t="s">
        <v>45</v>
      </c>
      <c r="G1311">
        <v>-176.09880000000001</v>
      </c>
      <c r="H1311">
        <v>7.9988050000000005E-2</v>
      </c>
      <c r="I1311">
        <v>355.70650000000001</v>
      </c>
      <c r="J1311">
        <v>-232.5635</v>
      </c>
      <c r="K1311">
        <v>1.110498</v>
      </c>
      <c r="L1311">
        <v>367.91129999999998</v>
      </c>
      <c r="M1311">
        <v>0.99989680000000003</v>
      </c>
      <c r="N1311">
        <v>0</v>
      </c>
      <c r="O1311">
        <v>3.0046069999999999E-3</v>
      </c>
      <c r="P1311">
        <v>0.96908269999999996</v>
      </c>
      <c r="Q1311">
        <v>0.15162220000000001</v>
      </c>
      <c r="R1311">
        <v>-0.19465270000000001</v>
      </c>
      <c r="S1311">
        <v>2.9751129999999999</v>
      </c>
      <c r="T1311">
        <v>-5.4144379999999999E-2</v>
      </c>
      <c r="U1311">
        <v>-0.64123540000000001</v>
      </c>
      <c r="V1311">
        <v>0.1975857</v>
      </c>
      <c r="W1311">
        <v>0.16518669999999999</v>
      </c>
      <c r="X1311">
        <v>0.96626769999999995</v>
      </c>
      <c r="Y1311">
        <v>0.21359710000000001</v>
      </c>
      <c r="Z1311">
        <v>-1.9754859999999998E-3</v>
      </c>
      <c r="AA1311">
        <v>0.9769198</v>
      </c>
      <c r="AB1311">
        <v>27</v>
      </c>
      <c r="AC1311">
        <v>56.464699999999901</v>
      </c>
      <c r="AD1311">
        <v>-1.0305099499999999</v>
      </c>
      <c r="AE1311">
        <v>-12.204799999999899</v>
      </c>
      <c r="AF1311">
        <v>12.3704794128817</v>
      </c>
      <c r="AG1311">
        <v>-1.0305099499999999</v>
      </c>
      <c r="AH1311">
        <v>56.409820422200902</v>
      </c>
      <c r="AI1311">
        <v>91.022290967928996</v>
      </c>
      <c r="AJ1311">
        <v>77.631030772273107</v>
      </c>
      <c r="AK1311">
        <v>57.7594888457865</v>
      </c>
      <c r="AL1311">
        <v>80.491919689931507</v>
      </c>
      <c r="AM1311">
        <v>78.443282190454497</v>
      </c>
      <c r="AN1311">
        <v>1.00000001138233</v>
      </c>
    </row>
    <row r="1312" spans="1:40" x14ac:dyDescent="0.25">
      <c r="A1312" t="str">
        <f>"20190312164014887"</f>
        <v>20190312164014887</v>
      </c>
      <c r="B1312" t="str">
        <f>"1552380014876973"</f>
        <v>1552380014876973</v>
      </c>
      <c r="C1312" t="s">
        <v>40</v>
      </c>
      <c r="D1312">
        <v>5.5769849999999996</v>
      </c>
      <c r="E1312">
        <v>0.51380870000000001</v>
      </c>
      <c r="F1312" t="s">
        <v>43</v>
      </c>
      <c r="G1312">
        <v>-166.39709999999999</v>
      </c>
      <c r="H1312">
        <v>-0.05</v>
      </c>
      <c r="I1312">
        <v>353.49</v>
      </c>
      <c r="J1312">
        <v>-232.4256</v>
      </c>
      <c r="K1312">
        <v>1.1105</v>
      </c>
      <c r="L1312">
        <v>367.9117</v>
      </c>
      <c r="M1312">
        <v>0.99989689999999998</v>
      </c>
      <c r="N1312">
        <v>0</v>
      </c>
      <c r="O1312">
        <v>2.9788700000000002E-3</v>
      </c>
      <c r="P1312">
        <v>0.96852340000000003</v>
      </c>
      <c r="Q1312">
        <v>0.1522269</v>
      </c>
      <c r="R1312">
        <v>-0.1969506</v>
      </c>
      <c r="S1312">
        <v>2.9736940000000001</v>
      </c>
      <c r="T1312">
        <v>-5.2155849999999997E-2</v>
      </c>
      <c r="U1312">
        <v>-0.64813229999999999</v>
      </c>
      <c r="V1312">
        <v>0.19985720000000001</v>
      </c>
      <c r="W1312">
        <v>0.16578199999999901</v>
      </c>
      <c r="X1312">
        <v>0.96569839999999996</v>
      </c>
      <c r="Y1312">
        <v>0.21583359999999999</v>
      </c>
      <c r="Z1312">
        <v>-1.922308E-3</v>
      </c>
      <c r="AA1312">
        <v>0.97642830000000003</v>
      </c>
      <c r="AB1312">
        <v>27</v>
      </c>
      <c r="AC1312">
        <v>66.028499999999994</v>
      </c>
      <c r="AD1312">
        <v>-1.1605000000000001</v>
      </c>
      <c r="AE1312">
        <v>-14.4216999999999</v>
      </c>
      <c r="AF1312">
        <v>14.6140369064795</v>
      </c>
      <c r="AG1312">
        <v>-1.1605000000000001</v>
      </c>
      <c r="AH1312">
        <v>65.965792943835893</v>
      </c>
      <c r="AI1312">
        <v>90.984015692268201</v>
      </c>
      <c r="AJ1312">
        <v>77.508467249445104</v>
      </c>
      <c r="AK1312">
        <v>67.5751631419635</v>
      </c>
      <c r="AL1312">
        <v>80.457334422313593</v>
      </c>
      <c r="AM1312">
        <v>78.307357609260706</v>
      </c>
      <c r="AN1312">
        <v>0.99999998583919902</v>
      </c>
    </row>
    <row r="1313" spans="1:40" x14ac:dyDescent="0.25">
      <c r="A1313" t="str">
        <f>"20190312164014900"</f>
        <v>20190312164014900</v>
      </c>
      <c r="B1313" t="str">
        <f>"1552380014897470"</f>
        <v>1552380014897470</v>
      </c>
      <c r="C1313" t="s">
        <v>40</v>
      </c>
      <c r="D1313">
        <v>5.6362880000000004</v>
      </c>
      <c r="E1313">
        <v>0.51367700000000005</v>
      </c>
      <c r="F1313" t="s">
        <v>43</v>
      </c>
      <c r="G1313">
        <v>-164.99979999999999</v>
      </c>
      <c r="H1313">
        <v>-0.05</v>
      </c>
      <c r="I1313">
        <v>353.06220000000002</v>
      </c>
      <c r="J1313">
        <v>-232.27709999999999</v>
      </c>
      <c r="K1313">
        <v>1.110503</v>
      </c>
      <c r="L1313">
        <v>367.91210000000001</v>
      </c>
      <c r="M1313">
        <v>0.99989709999999998</v>
      </c>
      <c r="N1313">
        <v>0</v>
      </c>
      <c r="O1313">
        <v>2.9512869999999999E-3</v>
      </c>
      <c r="P1313">
        <v>0.96800010000000003</v>
      </c>
      <c r="Q1313">
        <v>0.1527676</v>
      </c>
      <c r="R1313">
        <v>-0.19909279999999999</v>
      </c>
      <c r="S1313">
        <v>2.9724270000000002</v>
      </c>
      <c r="T1313">
        <v>-5.1159980000000001E-2</v>
      </c>
      <c r="U1313">
        <v>-0.65463260000000001</v>
      </c>
      <c r="V1313">
        <v>0.20197109999999999</v>
      </c>
      <c r="W1313">
        <v>0.1663134</v>
      </c>
      <c r="X1313">
        <v>0.96516709999999994</v>
      </c>
      <c r="Y1313">
        <v>0.21793100000000001</v>
      </c>
      <c r="Z1313">
        <v>-1.903323E-3</v>
      </c>
      <c r="AA1313">
        <v>0.97596229999999995</v>
      </c>
      <c r="AB1313">
        <v>27</v>
      </c>
      <c r="AC1313">
        <v>67.277299999999997</v>
      </c>
      <c r="AD1313">
        <v>-1.1605030000000001</v>
      </c>
      <c r="AE1313">
        <v>-14.8498999999999</v>
      </c>
      <c r="AF1313">
        <v>15.044141123635001</v>
      </c>
      <c r="AG1313">
        <v>-1.1605030000000001</v>
      </c>
      <c r="AH1313">
        <v>67.214106068758497</v>
      </c>
      <c r="AI1313">
        <v>90.965278469742898</v>
      </c>
      <c r="AJ1313">
        <v>77.383756768425499</v>
      </c>
      <c r="AK1313">
        <v>68.886929122897996</v>
      </c>
      <c r="AL1313">
        <v>80.4264589727415</v>
      </c>
      <c r="AM1313">
        <v>78.180821746678902</v>
      </c>
      <c r="AN1313">
        <v>1.0000000015885899</v>
      </c>
    </row>
    <row r="1314" spans="1:40" x14ac:dyDescent="0.25">
      <c r="A1314" t="str">
        <f>"20190312164014911"</f>
        <v>20190312164014911</v>
      </c>
      <c r="B1314" t="str">
        <f>"1552380014907230"</f>
        <v>1552380014907230</v>
      </c>
      <c r="C1314" t="s">
        <v>40</v>
      </c>
      <c r="D1314">
        <v>5.6436809999999999</v>
      </c>
      <c r="E1314">
        <v>0.51359900000000003</v>
      </c>
      <c r="F1314" t="s">
        <v>43</v>
      </c>
      <c r="G1314">
        <v>-164.77420000000001</v>
      </c>
      <c r="H1314">
        <v>-0.05</v>
      </c>
      <c r="I1314">
        <v>352.93560000000002</v>
      </c>
      <c r="J1314">
        <v>-232.13499999999999</v>
      </c>
      <c r="K1314">
        <v>1.110506</v>
      </c>
      <c r="L1314">
        <v>367.91250000000002</v>
      </c>
      <c r="M1314">
        <v>0.99989709999999998</v>
      </c>
      <c r="N1314">
        <v>0</v>
      </c>
      <c r="O1314">
        <v>2.9248350000000002E-3</v>
      </c>
      <c r="P1314">
        <v>0.96748690000000004</v>
      </c>
      <c r="Q1314">
        <v>0.1531053</v>
      </c>
      <c r="R1314">
        <v>-0.20131540000000001</v>
      </c>
      <c r="S1314">
        <v>2.9716339999999999</v>
      </c>
      <c r="T1314">
        <v>-5.1087979999999998E-2</v>
      </c>
      <c r="U1314">
        <v>-0.65930180000000005</v>
      </c>
      <c r="V1314">
        <v>0.20416670000000001</v>
      </c>
      <c r="W1314">
        <v>0.1666425</v>
      </c>
      <c r="X1314">
        <v>0.96464819999999996</v>
      </c>
      <c r="Y1314">
        <v>0.21942159999999999</v>
      </c>
      <c r="Z1314">
        <v>-1.9130309999999999E-3</v>
      </c>
      <c r="AA1314">
        <v>0.9756283</v>
      </c>
      <c r="AB1314">
        <v>27</v>
      </c>
      <c r="AC1314">
        <v>67.360799999999898</v>
      </c>
      <c r="AD1314">
        <v>-1.160506</v>
      </c>
      <c r="AE1314">
        <v>-14.976900000000001</v>
      </c>
      <c r="AF1314">
        <v>15.1695841750724</v>
      </c>
      <c r="AG1314">
        <v>-1.160506</v>
      </c>
      <c r="AH1314">
        <v>67.297668757139903</v>
      </c>
      <c r="AI1314">
        <v>90.963755761680403</v>
      </c>
      <c r="AJ1314">
        <v>77.297245645256893</v>
      </c>
      <c r="AK1314">
        <v>68.995936680114497</v>
      </c>
      <c r="AL1314">
        <v>80.407335643030095</v>
      </c>
      <c r="AM1314">
        <v>78.049768043779494</v>
      </c>
      <c r="AN1314">
        <v>0.99999995697918898</v>
      </c>
    </row>
    <row r="1315" spans="1:40" x14ac:dyDescent="0.25">
      <c r="A1315" t="str">
        <f>"20190312164014929"</f>
        <v>20190312164014929</v>
      </c>
      <c r="B1315" t="str">
        <f>"1552380014916990"</f>
        <v>1552380014916990</v>
      </c>
      <c r="C1315" t="s">
        <v>40</v>
      </c>
      <c r="D1315">
        <v>5.6856580000000001</v>
      </c>
      <c r="E1315">
        <v>0.51351950000000002</v>
      </c>
      <c r="F1315" t="s">
        <v>43</v>
      </c>
      <c r="G1315">
        <v>-164.3674</v>
      </c>
      <c r="H1315">
        <v>-0.05</v>
      </c>
      <c r="I1315">
        <v>352.74849999999998</v>
      </c>
      <c r="J1315">
        <v>-231.92619999999999</v>
      </c>
      <c r="K1315">
        <v>1.110509</v>
      </c>
      <c r="L1315">
        <v>367.91309999999999</v>
      </c>
      <c r="M1315">
        <v>0.99989740000000005</v>
      </c>
      <c r="N1315">
        <v>0</v>
      </c>
      <c r="O1315">
        <v>2.8856369999999999E-3</v>
      </c>
      <c r="P1315">
        <v>0.96640769999999998</v>
      </c>
      <c r="Q1315">
        <v>0.15428229999999901</v>
      </c>
      <c r="R1315">
        <v>-0.2055565</v>
      </c>
      <c r="S1315">
        <v>2.9705509999999999</v>
      </c>
      <c r="T1315">
        <v>-5.0870060000000002E-2</v>
      </c>
      <c r="U1315">
        <v>-0.66470340000000006</v>
      </c>
      <c r="V1315">
        <v>0.20836660000000001</v>
      </c>
      <c r="W1315">
        <v>0.167801799999999</v>
      </c>
      <c r="X1315">
        <v>0.96354859999999998</v>
      </c>
      <c r="Y1315">
        <v>0.22114839999999999</v>
      </c>
      <c r="Z1315">
        <v>-1.9191189999999999E-3</v>
      </c>
      <c r="AA1315">
        <v>0.9752383</v>
      </c>
      <c r="AB1315">
        <v>27</v>
      </c>
      <c r="AC1315">
        <v>67.558799999999906</v>
      </c>
      <c r="AD1315">
        <v>-1.160509</v>
      </c>
      <c r="AE1315">
        <v>-15.1646</v>
      </c>
      <c r="AF1315">
        <v>15.3551926132545</v>
      </c>
      <c r="AG1315">
        <v>-1.160509</v>
      </c>
      <c r="AH1315">
        <v>67.495793815063806</v>
      </c>
      <c r="AI1315">
        <v>90.960497722723801</v>
      </c>
      <c r="AJ1315">
        <v>77.183433448821006</v>
      </c>
      <c r="AK1315">
        <v>69.230130030607498</v>
      </c>
      <c r="AL1315">
        <v>80.339964359072397</v>
      </c>
      <c r="AM1315">
        <v>77.797726646370506</v>
      </c>
      <c r="AN1315">
        <v>0.999999994320379</v>
      </c>
    </row>
    <row r="1316" spans="1:40" x14ac:dyDescent="0.25">
      <c r="A1316" t="str">
        <f>"20190312164014954"</f>
        <v>20190312164014954</v>
      </c>
      <c r="B1316" t="str">
        <f>"1552380014947246"</f>
        <v>1552380014947246</v>
      </c>
      <c r="C1316" t="s">
        <v>40</v>
      </c>
      <c r="D1316">
        <v>5.7878990000000003</v>
      </c>
      <c r="E1316">
        <v>0.51335900000000001</v>
      </c>
      <c r="F1316" t="s">
        <v>43</v>
      </c>
      <c r="G1316">
        <v>-161.261</v>
      </c>
      <c r="H1316">
        <v>-0.05</v>
      </c>
      <c r="I1316">
        <v>351.82440000000003</v>
      </c>
      <c r="J1316">
        <v>-231.6216</v>
      </c>
      <c r="K1316">
        <v>1.110517</v>
      </c>
      <c r="L1316">
        <v>367.91379999999998</v>
      </c>
      <c r="M1316">
        <v>0.99989740000000005</v>
      </c>
      <c r="N1316">
        <v>0</v>
      </c>
      <c r="O1316">
        <v>2.8286259999999999E-3</v>
      </c>
      <c r="P1316">
        <v>0.96525139999999998</v>
      </c>
      <c r="Q1316">
        <v>0.1550831</v>
      </c>
      <c r="R1316">
        <v>-0.2103305</v>
      </c>
      <c r="S1316">
        <v>2.9683229999999998</v>
      </c>
      <c r="T1316">
        <v>-4.8747659999999998E-2</v>
      </c>
      <c r="U1316">
        <v>-0.67581179999999996</v>
      </c>
      <c r="V1316">
        <v>0.2130823</v>
      </c>
      <c r="W1316">
        <v>0.1685825</v>
      </c>
      <c r="X1316">
        <v>0.96238029999999997</v>
      </c>
      <c r="Y1316">
        <v>0.22472200000000001</v>
      </c>
      <c r="Z1316">
        <v>-1.867704E-3</v>
      </c>
      <c r="AA1316">
        <v>0.97442110000000004</v>
      </c>
      <c r="AB1316">
        <v>27</v>
      </c>
      <c r="AC1316">
        <v>70.360600000000005</v>
      </c>
      <c r="AD1316">
        <v>-1.160517</v>
      </c>
      <c r="AE1316">
        <v>-16.089399999999898</v>
      </c>
      <c r="AF1316">
        <v>16.284169146958401</v>
      </c>
      <c r="AG1316">
        <v>-1.160517</v>
      </c>
      <c r="AH1316">
        <v>70.296629397838004</v>
      </c>
      <c r="AI1316">
        <v>90.921407315068606</v>
      </c>
      <c r="AJ1316">
        <v>76.957514523326395</v>
      </c>
      <c r="AK1316">
        <v>72.1674238781669</v>
      </c>
      <c r="AL1316">
        <v>80.294587006005301</v>
      </c>
      <c r="AM1316">
        <v>77.515451624962594</v>
      </c>
      <c r="AN1316">
        <v>0.99999998385381395</v>
      </c>
    </row>
    <row r="1317" spans="1:40" x14ac:dyDescent="0.25">
      <c r="A1317" t="str">
        <f>"20190312164014974"</f>
        <v>20190312164014974</v>
      </c>
      <c r="B1317" t="str">
        <f>"1552380014967741"</f>
        <v>1552380014967741</v>
      </c>
      <c r="C1317" t="s">
        <v>40</v>
      </c>
      <c r="D1317">
        <v>5.8045689999999999</v>
      </c>
      <c r="E1317">
        <v>0.51316490000000003</v>
      </c>
      <c r="F1317" t="s">
        <v>43</v>
      </c>
      <c r="G1317">
        <v>-159.77520000000001</v>
      </c>
      <c r="H1317">
        <v>-0.05</v>
      </c>
      <c r="I1317">
        <v>351.24790000000002</v>
      </c>
      <c r="J1317">
        <v>-231.3708</v>
      </c>
      <c r="K1317">
        <v>1.110525</v>
      </c>
      <c r="L1317">
        <v>367.9144</v>
      </c>
      <c r="M1317">
        <v>0.9998977</v>
      </c>
      <c r="N1317">
        <v>0</v>
      </c>
      <c r="O1317">
        <v>2.7819730000000001E-3</v>
      </c>
      <c r="P1317">
        <v>0.96418190000000004</v>
      </c>
      <c r="Q1317">
        <v>0.1554683</v>
      </c>
      <c r="R1317">
        <v>-0.2149027</v>
      </c>
      <c r="S1317">
        <v>2.9657749999999998</v>
      </c>
      <c r="T1317">
        <v>-4.7905450000000002E-2</v>
      </c>
      <c r="U1317">
        <v>-0.68795779999999995</v>
      </c>
      <c r="V1317">
        <v>0.21760650000000001</v>
      </c>
      <c r="W1317">
        <v>0.16894919999999999</v>
      </c>
      <c r="X1317">
        <v>0.96130309999999997</v>
      </c>
      <c r="Y1317">
        <v>0.22864670000000001</v>
      </c>
      <c r="Z1317">
        <v>-1.866681E-3</v>
      </c>
      <c r="AA1317">
        <v>0.97350769999999998</v>
      </c>
      <c r="AB1317">
        <v>27</v>
      </c>
      <c r="AC1317">
        <v>71.595599999999905</v>
      </c>
      <c r="AD1317">
        <v>-1.160525</v>
      </c>
      <c r="AE1317">
        <v>-16.6664999999999</v>
      </c>
      <c r="AF1317">
        <v>16.8614295847668</v>
      </c>
      <c r="AG1317">
        <v>-1.160525</v>
      </c>
      <c r="AH1317">
        <v>71.531124163714594</v>
      </c>
      <c r="AI1317">
        <v>90.904697865649098</v>
      </c>
      <c r="AJ1317">
        <v>76.736275340895503</v>
      </c>
      <c r="AK1317">
        <v>73.500723466115801</v>
      </c>
      <c r="AL1317">
        <v>80.273271396121103</v>
      </c>
      <c r="AM1317">
        <v>77.245134386485702</v>
      </c>
      <c r="AN1317">
        <v>1.00000003554624</v>
      </c>
    </row>
    <row r="1318" spans="1:40" x14ac:dyDescent="0.25">
      <c r="A1318" t="str">
        <f>"20190312164014989"</f>
        <v>20190312164014989</v>
      </c>
      <c r="B1318" t="str">
        <f>"1552380014977502"</f>
        <v>1552380014977502</v>
      </c>
      <c r="C1318" t="s">
        <v>40</v>
      </c>
      <c r="D1318">
        <v>5.5450980000000003</v>
      </c>
      <c r="E1318">
        <v>0.51304289999999997</v>
      </c>
      <c r="F1318" t="s">
        <v>43</v>
      </c>
      <c r="G1318">
        <v>-160.16399999999999</v>
      </c>
      <c r="H1318">
        <v>-0.05</v>
      </c>
      <c r="I1318">
        <v>351.1207</v>
      </c>
      <c r="J1318">
        <v>-231.203</v>
      </c>
      <c r="K1318">
        <v>1.1105259999999999</v>
      </c>
      <c r="L1318">
        <v>367.91489999999999</v>
      </c>
      <c r="M1318">
        <v>0.99989779999999995</v>
      </c>
      <c r="N1318">
        <v>0</v>
      </c>
      <c r="O1318">
        <v>2.750873E-3</v>
      </c>
      <c r="P1318">
        <v>0.96363100000000002</v>
      </c>
      <c r="Q1318">
        <v>0.1557394</v>
      </c>
      <c r="R1318">
        <v>-0.21716479999999999</v>
      </c>
      <c r="S1318">
        <v>2.9634550000000002</v>
      </c>
      <c r="T1318">
        <v>-4.8298239999999999E-2</v>
      </c>
      <c r="U1318">
        <v>-0.69891359999999902</v>
      </c>
      <c r="V1318">
        <v>0.21983730000000001</v>
      </c>
      <c r="W1318">
        <v>0.16921050000000001</v>
      </c>
      <c r="X1318">
        <v>0.96074939999999998</v>
      </c>
      <c r="Y1318">
        <v>0.23219380000000001</v>
      </c>
      <c r="Z1318">
        <v>-1.9106500000000001E-3</v>
      </c>
      <c r="AA1318">
        <v>0.97266759999999997</v>
      </c>
      <c r="AB1318">
        <v>27</v>
      </c>
      <c r="AC1318">
        <v>71.039000000000001</v>
      </c>
      <c r="AD1318">
        <v>-1.1605259999999999</v>
      </c>
      <c r="AE1318">
        <v>-16.794199999999901</v>
      </c>
      <c r="AF1318">
        <v>16.985281848940001</v>
      </c>
      <c r="AG1318">
        <v>-1.1605259999999999</v>
      </c>
      <c r="AH1318">
        <v>70.974588796675405</v>
      </c>
      <c r="AI1318">
        <v>90.911055266100703</v>
      </c>
      <c r="AJ1318">
        <v>76.541383979536604</v>
      </c>
      <c r="AK1318">
        <v>72.987936502834302</v>
      </c>
      <c r="AL1318">
        <v>80.258081161823995</v>
      </c>
      <c r="AM1318">
        <v>77.111542284257794</v>
      </c>
      <c r="AN1318">
        <v>1.0000000206909401</v>
      </c>
    </row>
    <row r="1319" spans="1:40" x14ac:dyDescent="0.25">
      <c r="A1319" t="str">
        <f>"20190312164015008"</f>
        <v>20190312164015008</v>
      </c>
      <c r="B1319" t="str">
        <f>"1552380014997022"</f>
        <v>1552380014997022</v>
      </c>
      <c r="C1319" t="s">
        <v>40</v>
      </c>
      <c r="D1319">
        <v>5.5518299999999998</v>
      </c>
      <c r="E1319">
        <v>0.51279490000000005</v>
      </c>
      <c r="F1319" t="s">
        <v>43</v>
      </c>
      <c r="G1319">
        <v>-159.80350000000001</v>
      </c>
      <c r="H1319">
        <v>-0.05</v>
      </c>
      <c r="I1319">
        <v>350.9289</v>
      </c>
      <c r="J1319">
        <v>-230.9676</v>
      </c>
      <c r="K1319">
        <v>1.110528</v>
      </c>
      <c r="L1319">
        <v>367.91550000000001</v>
      </c>
      <c r="M1319">
        <v>0.99989799999999995</v>
      </c>
      <c r="N1319">
        <v>0</v>
      </c>
      <c r="O1319">
        <v>2.7066099999999999E-3</v>
      </c>
      <c r="P1319">
        <v>0.96269879999999997</v>
      </c>
      <c r="Q1319">
        <v>0.15552099999999999</v>
      </c>
      <c r="R1319">
        <v>-0.22141549999999999</v>
      </c>
      <c r="S1319">
        <v>2.9622190000000002</v>
      </c>
      <c r="T1319">
        <v>-4.8147799999999998E-2</v>
      </c>
      <c r="U1319">
        <v>-0.70471189999999995</v>
      </c>
      <c r="V1319">
        <v>0.22404250000000001</v>
      </c>
      <c r="W1319">
        <v>0.1689764</v>
      </c>
      <c r="X1319">
        <v>0.95981870000000002</v>
      </c>
      <c r="Y1319">
        <v>0.23404369999999999</v>
      </c>
      <c r="Z1319">
        <v>-1.919165E-3</v>
      </c>
      <c r="AA1319">
        <v>0.97222419999999998</v>
      </c>
      <c r="AB1319">
        <v>27</v>
      </c>
      <c r="AC1319">
        <v>71.164099999999905</v>
      </c>
      <c r="AD1319">
        <v>-1.160528</v>
      </c>
      <c r="AE1319">
        <v>-16.986599999999999</v>
      </c>
      <c r="AF1319">
        <v>17.174848848093699</v>
      </c>
      <c r="AG1319">
        <v>-1.160528</v>
      </c>
      <c r="AH1319">
        <v>71.099969347477</v>
      </c>
      <c r="AI1319">
        <v>90.908986800495001</v>
      </c>
      <c r="AJ1319">
        <v>76.419828739421504</v>
      </c>
      <c r="AK1319">
        <v>73.154137951354599</v>
      </c>
      <c r="AL1319">
        <v>80.2716898802489</v>
      </c>
      <c r="AM1319">
        <v>76.861176887634798</v>
      </c>
      <c r="AN1319">
        <v>1.0000000012164501</v>
      </c>
    </row>
    <row r="1320" spans="1:40" x14ac:dyDescent="0.25">
      <c r="A1320" t="str">
        <f>"20190312164015030"</f>
        <v>20190312164015030</v>
      </c>
      <c r="B1320" t="str">
        <f>"1552380015017518"</f>
        <v>1552380015017518</v>
      </c>
      <c r="C1320" t="s">
        <v>40</v>
      </c>
      <c r="D1320">
        <v>5.6325979999999998</v>
      </c>
      <c r="E1320">
        <v>0.51256749999999995</v>
      </c>
      <c r="F1320" t="s">
        <v>43</v>
      </c>
      <c r="G1320">
        <v>-162.35669999999999</v>
      </c>
      <c r="H1320">
        <v>-0.05</v>
      </c>
      <c r="I1320">
        <v>351.34160000000003</v>
      </c>
      <c r="J1320">
        <v>-230.70359999999999</v>
      </c>
      <c r="K1320">
        <v>1.1105210000000001</v>
      </c>
      <c r="L1320">
        <v>367.91609999999997</v>
      </c>
      <c r="M1320">
        <v>0.99989810000000001</v>
      </c>
      <c r="N1320">
        <v>0</v>
      </c>
      <c r="O1320">
        <v>2.6574599999999999E-3</v>
      </c>
      <c r="P1320">
        <v>0.96172800000000003</v>
      </c>
      <c r="Q1320">
        <v>0.15550039999999901</v>
      </c>
      <c r="R1320">
        <v>-0.225608</v>
      </c>
      <c r="S1320">
        <v>2.9598689999999999</v>
      </c>
      <c r="T1320">
        <v>-5.0065039999999998E-2</v>
      </c>
      <c r="U1320">
        <v>-0.71499630000000003</v>
      </c>
      <c r="V1320">
        <v>0.22818540000000001</v>
      </c>
      <c r="W1320">
        <v>0.1689388</v>
      </c>
      <c r="X1320">
        <v>0.95884879999999995</v>
      </c>
      <c r="Y1320">
        <v>0.23735990000000001</v>
      </c>
      <c r="Z1320">
        <v>-2.023146E-3</v>
      </c>
      <c r="AA1320">
        <v>0.9714197</v>
      </c>
      <c r="AB1320">
        <v>27</v>
      </c>
      <c r="AC1320">
        <v>68.346900000000005</v>
      </c>
      <c r="AD1320">
        <v>-1.1605209999999999</v>
      </c>
      <c r="AE1320">
        <v>-16.574499999999901</v>
      </c>
      <c r="AF1320">
        <v>16.751527010594899</v>
      </c>
      <c r="AG1320">
        <v>-1.1605209999999999</v>
      </c>
      <c r="AH1320">
        <v>68.284014340893194</v>
      </c>
      <c r="AI1320">
        <v>90.945642157163604</v>
      </c>
      <c r="AJ1320">
        <v>76.216330864971695</v>
      </c>
      <c r="AK1320">
        <v>70.318326776775905</v>
      </c>
      <c r="AL1320">
        <v>80.273875201783895</v>
      </c>
      <c r="AM1320">
        <v>76.613832134384097</v>
      </c>
      <c r="AN1320">
        <v>0.99999995809001896</v>
      </c>
    </row>
    <row r="1321" spans="1:40" x14ac:dyDescent="0.25">
      <c r="A1321" t="str">
        <f>"20190312164015042"</f>
        <v>20190312164015042</v>
      </c>
      <c r="B1321" t="str">
        <f>"1552380015037039"</f>
        <v>1552380015037039</v>
      </c>
      <c r="C1321" t="s">
        <v>40</v>
      </c>
      <c r="D1321">
        <v>5.6307669999999996</v>
      </c>
      <c r="E1321">
        <v>0.51238030000000001</v>
      </c>
      <c r="F1321" t="s">
        <v>43</v>
      </c>
      <c r="G1321">
        <v>-163.77180000000001</v>
      </c>
      <c r="H1321">
        <v>-0.05</v>
      </c>
      <c r="I1321">
        <v>351.48419999999999</v>
      </c>
      <c r="J1321">
        <v>-230.54689999999999</v>
      </c>
      <c r="K1321">
        <v>1.110519</v>
      </c>
      <c r="L1321">
        <v>367.91649999999998</v>
      </c>
      <c r="M1321">
        <v>0.99989830000000002</v>
      </c>
      <c r="N1321">
        <v>0</v>
      </c>
      <c r="O1321">
        <v>2.6282079999999999E-3</v>
      </c>
      <c r="P1321">
        <v>0.96124920000000003</v>
      </c>
      <c r="Q1321">
        <v>0.155392</v>
      </c>
      <c r="R1321">
        <v>-0.22771340000000001</v>
      </c>
      <c r="S1321">
        <v>2.957382</v>
      </c>
      <c r="T1321">
        <v>-5.1277639999999999E-2</v>
      </c>
      <c r="U1321">
        <v>-0.72604369999999996</v>
      </c>
      <c r="V1321">
        <v>0.2302614</v>
      </c>
      <c r="W1321">
        <v>0.16882179999999999</v>
      </c>
      <c r="X1321">
        <v>0.95837300000000003</v>
      </c>
      <c r="Y1321">
        <v>0.2409396</v>
      </c>
      <c r="Z1321">
        <v>-2.1030089999999999E-3</v>
      </c>
      <c r="AA1321">
        <v>0.97053780000000001</v>
      </c>
      <c r="AB1321">
        <v>27</v>
      </c>
      <c r="AC1321">
        <v>66.775099999999895</v>
      </c>
      <c r="AD1321">
        <v>-1.1605190000000001</v>
      </c>
      <c r="AE1321">
        <v>-16.432299999999898</v>
      </c>
      <c r="AF1321">
        <v>16.603030775083401</v>
      </c>
      <c r="AG1321">
        <v>-1.1605190000000001</v>
      </c>
      <c r="AH1321">
        <v>66.712677760370099</v>
      </c>
      <c r="AI1321">
        <v>90.967109528316499</v>
      </c>
      <c r="AJ1321">
        <v>76.024508974320398</v>
      </c>
      <c r="AK1321">
        <v>68.757463661966995</v>
      </c>
      <c r="AL1321">
        <v>80.280676515089993</v>
      </c>
      <c r="AM1321">
        <v>76.490029197642698</v>
      </c>
      <c r="AN1321">
        <v>0.99999995980709899</v>
      </c>
    </row>
    <row r="1322" spans="1:40" x14ac:dyDescent="0.25">
      <c r="A1322" t="str">
        <f>"20190312164015054"</f>
        <v>20190312164015054</v>
      </c>
      <c r="B1322" t="str">
        <f>"1552380015047774"</f>
        <v>1552380015047774</v>
      </c>
      <c r="C1322" t="s">
        <v>40</v>
      </c>
      <c r="D1322">
        <v>5.6359490000000001</v>
      </c>
      <c r="E1322">
        <v>0.51227060000000002</v>
      </c>
      <c r="F1322" t="s">
        <v>43</v>
      </c>
      <c r="G1322">
        <v>-166.00239999999999</v>
      </c>
      <c r="H1322">
        <v>-0.05</v>
      </c>
      <c r="I1322">
        <v>351.96379999999999</v>
      </c>
      <c r="J1322">
        <v>-230.40629999999999</v>
      </c>
      <c r="K1322">
        <v>1.1105179999999999</v>
      </c>
      <c r="L1322">
        <v>367.91680000000002</v>
      </c>
      <c r="M1322">
        <v>0.99989830000000002</v>
      </c>
      <c r="N1322">
        <v>0</v>
      </c>
      <c r="O1322">
        <v>2.6021149999999999E-3</v>
      </c>
      <c r="P1322">
        <v>0.96079490000000001</v>
      </c>
      <c r="Q1322">
        <v>0.15546090000000001</v>
      </c>
      <c r="R1322">
        <v>-0.2295758</v>
      </c>
      <c r="S1322">
        <v>2.956467</v>
      </c>
      <c r="T1322">
        <v>-5.315769E-2</v>
      </c>
      <c r="U1322">
        <v>-0.7307129</v>
      </c>
      <c r="V1322">
        <v>0.23209759999999999</v>
      </c>
      <c r="W1322">
        <v>0.1688829</v>
      </c>
      <c r="X1322">
        <v>0.95791919999999997</v>
      </c>
      <c r="Y1322">
        <v>0.2424258</v>
      </c>
      <c r="Z1322">
        <v>-2.1930529999999999E-3</v>
      </c>
      <c r="AA1322">
        <v>0.97016749999999996</v>
      </c>
      <c r="AB1322">
        <v>27</v>
      </c>
      <c r="AC1322">
        <v>64.403899999999993</v>
      </c>
      <c r="AD1322">
        <v>-1.1605179999999999</v>
      </c>
      <c r="AE1322">
        <v>-15.952999999999999</v>
      </c>
      <c r="AF1322">
        <v>16.115618605581101</v>
      </c>
      <c r="AG1322">
        <v>-1.1605179999999999</v>
      </c>
      <c r="AH1322">
        <v>64.342482176856393</v>
      </c>
      <c r="AI1322">
        <v>91.002351957886702</v>
      </c>
      <c r="AJ1322">
        <v>75.938617913722297</v>
      </c>
      <c r="AK1322">
        <v>66.340146048587798</v>
      </c>
      <c r="AL1322">
        <v>80.277124763606807</v>
      </c>
      <c r="AM1322">
        <v>76.3800802921035</v>
      </c>
      <c r="AN1322">
        <v>0.999999961783404</v>
      </c>
    </row>
    <row r="1323" spans="1:40" x14ac:dyDescent="0.25">
      <c r="A1323" t="str">
        <f>"20190312164015065"</f>
        <v>20190312164015065</v>
      </c>
      <c r="B1323" t="str">
        <f>"1552380015057534"</f>
        <v>1552380015057534</v>
      </c>
      <c r="C1323" t="s">
        <v>40</v>
      </c>
      <c r="D1323">
        <v>5.6379169999999998</v>
      </c>
      <c r="E1323">
        <v>0.51215900000000003</v>
      </c>
      <c r="F1323" t="s">
        <v>43</v>
      </c>
      <c r="G1323">
        <v>-166.4846</v>
      </c>
      <c r="H1323">
        <v>-0.05</v>
      </c>
      <c r="I1323">
        <v>352.01499999999999</v>
      </c>
      <c r="J1323">
        <v>-230.27809999999999</v>
      </c>
      <c r="K1323">
        <v>1.1105130000000001</v>
      </c>
      <c r="L1323">
        <v>367.9171</v>
      </c>
      <c r="M1323">
        <v>0.99989830000000002</v>
      </c>
      <c r="N1323">
        <v>0</v>
      </c>
      <c r="O1323">
        <v>2.578047E-3</v>
      </c>
      <c r="P1323">
        <v>0.96041920000000003</v>
      </c>
      <c r="Q1323">
        <v>0.155137</v>
      </c>
      <c r="R1323">
        <v>-0.23136039999999999</v>
      </c>
      <c r="S1323">
        <v>2.95546</v>
      </c>
      <c r="T1323">
        <v>-5.3657290000000003E-2</v>
      </c>
      <c r="U1323">
        <v>-0.73522949999999998</v>
      </c>
      <c r="V1323">
        <v>0.2338578</v>
      </c>
      <c r="W1323">
        <v>0.16855200000000001</v>
      </c>
      <c r="X1323">
        <v>0.95754930000000005</v>
      </c>
      <c r="Y1323">
        <v>0.24387500000000001</v>
      </c>
      <c r="Z1323">
        <v>-2.2265179999999998E-3</v>
      </c>
      <c r="AA1323">
        <v>0.96980409999999995</v>
      </c>
      <c r="AB1323">
        <v>27</v>
      </c>
      <c r="AC1323">
        <v>63.793500000000002</v>
      </c>
      <c r="AD1323">
        <v>-1.1605129999999999</v>
      </c>
      <c r="AE1323">
        <v>-15.902100000000001</v>
      </c>
      <c r="AF1323">
        <v>16.061521555435501</v>
      </c>
      <c r="AG1323">
        <v>-1.1605129999999999</v>
      </c>
      <c r="AH1323">
        <v>63.7324299670465</v>
      </c>
      <c r="AI1323">
        <v>91.011569999217699</v>
      </c>
      <c r="AJ1323">
        <v>75.855154128120802</v>
      </c>
      <c r="AK1323">
        <v>65.735393013226798</v>
      </c>
      <c r="AL1323">
        <v>80.296359610762906</v>
      </c>
      <c r="AM1323">
        <v>76.275578411723501</v>
      </c>
      <c r="AN1323">
        <v>0.999999954627664</v>
      </c>
    </row>
    <row r="1324" spans="1:40" x14ac:dyDescent="0.25">
      <c r="A1324" t="str">
        <f>"20190312164015077"</f>
        <v>20190312164015077</v>
      </c>
      <c r="B1324" t="str">
        <f>"1552380015067294"</f>
        <v>1552380015067294</v>
      </c>
      <c r="C1324" t="s">
        <v>40</v>
      </c>
      <c r="D1324">
        <v>5.6368369999999999</v>
      </c>
      <c r="E1324">
        <v>0.51203719999999997</v>
      </c>
      <c r="F1324" t="s">
        <v>45</v>
      </c>
      <c r="G1324">
        <v>-175.2782</v>
      </c>
      <c r="H1324">
        <v>7.9987939999999993E-2</v>
      </c>
      <c r="I1324">
        <v>354.1395</v>
      </c>
      <c r="J1324">
        <v>-230.12860000000001</v>
      </c>
      <c r="K1324">
        <v>1.110509</v>
      </c>
      <c r="L1324">
        <v>367.91739999999999</v>
      </c>
      <c r="M1324">
        <v>0.99989850000000002</v>
      </c>
      <c r="N1324">
        <v>0</v>
      </c>
      <c r="O1324">
        <v>2.5499260000000001E-3</v>
      </c>
      <c r="P1324">
        <v>0.96002330000000002</v>
      </c>
      <c r="Q1324">
        <v>0.15494749999999999</v>
      </c>
      <c r="R1324">
        <v>-0.23312430000000001</v>
      </c>
      <c r="S1324">
        <v>2.954269</v>
      </c>
      <c r="T1324">
        <v>-5.5353760000000002E-2</v>
      </c>
      <c r="U1324">
        <v>-0.74005129999999997</v>
      </c>
      <c r="V1324">
        <v>0.23559369999999999</v>
      </c>
      <c r="W1324">
        <v>0.16835510000000001</v>
      </c>
      <c r="X1324">
        <v>0.95715839999999996</v>
      </c>
      <c r="Y1324">
        <v>0.24542620000000001</v>
      </c>
      <c r="Z1324">
        <v>-2.3111439999999998E-3</v>
      </c>
      <c r="AA1324">
        <v>0.96941250000000001</v>
      </c>
      <c r="AB1324">
        <v>27</v>
      </c>
      <c r="AC1324">
        <v>54.8504</v>
      </c>
      <c r="AD1324">
        <v>-1.0305210600000001</v>
      </c>
      <c r="AE1324">
        <v>-13.777899999999899</v>
      </c>
      <c r="AF1324">
        <v>13.9131137878719</v>
      </c>
      <c r="AG1324">
        <v>-1.0305210600000001</v>
      </c>
      <c r="AH1324">
        <v>54.796891183247098</v>
      </c>
      <c r="AI1324">
        <v>91.044261844573199</v>
      </c>
      <c r="AJ1324">
        <v>75.753461201016194</v>
      </c>
      <c r="AK1324">
        <v>56.544990868139699</v>
      </c>
      <c r="AL1324">
        <v>80.307805315061003</v>
      </c>
      <c r="AM1324">
        <v>76.172168632995806</v>
      </c>
      <c r="AN1324">
        <v>1.00000001693312</v>
      </c>
    </row>
    <row r="1325" spans="1:40" x14ac:dyDescent="0.25">
      <c r="A1325" t="str">
        <f>"20190312164015090"</f>
        <v>20190312164015090</v>
      </c>
      <c r="B1325" t="str">
        <f>"1552380015077054"</f>
        <v>1552380015077054</v>
      </c>
      <c r="C1325" t="s">
        <v>40</v>
      </c>
      <c r="D1325">
        <v>5.5459969999999998</v>
      </c>
      <c r="E1325">
        <v>0.51191109999999995</v>
      </c>
      <c r="F1325" t="s">
        <v>45</v>
      </c>
      <c r="G1325">
        <v>-176.48689999999999</v>
      </c>
      <c r="H1325">
        <v>7.9987970000000005E-2</v>
      </c>
      <c r="I1325">
        <v>354.40109999999999</v>
      </c>
      <c r="J1325">
        <v>-229.97149999999999</v>
      </c>
      <c r="K1325">
        <v>1.1105080000000001</v>
      </c>
      <c r="L1325">
        <v>367.9178</v>
      </c>
      <c r="M1325">
        <v>0.99989870000000003</v>
      </c>
      <c r="N1325">
        <v>0</v>
      </c>
      <c r="O1325">
        <v>2.5198410000000001E-3</v>
      </c>
      <c r="P1325">
        <v>0.95965549999999999</v>
      </c>
      <c r="Q1325">
        <v>0.15493959999999901</v>
      </c>
      <c r="R1325">
        <v>-0.23463880000000001</v>
      </c>
      <c r="S1325">
        <v>2.953354</v>
      </c>
      <c r="T1325">
        <v>-5.6737419999999997E-2</v>
      </c>
      <c r="U1325">
        <v>-0.74417109999999997</v>
      </c>
      <c r="V1325">
        <v>0.2370785</v>
      </c>
      <c r="W1325">
        <v>0.16833999999999999</v>
      </c>
      <c r="X1325">
        <v>0.95679440000000004</v>
      </c>
      <c r="Y1325">
        <v>0.24673729999999999</v>
      </c>
      <c r="Z1325">
        <v>-2.38105E-3</v>
      </c>
      <c r="AA1325">
        <v>0.96907949999999998</v>
      </c>
      <c r="AB1325">
        <v>27</v>
      </c>
      <c r="AC1325">
        <v>53.4846</v>
      </c>
      <c r="AD1325">
        <v>-1.0305200299999999</v>
      </c>
      <c r="AE1325">
        <v>-13.5167</v>
      </c>
      <c r="AF1325">
        <v>13.6466809350479</v>
      </c>
      <c r="AG1325">
        <v>-1.0305200299999999</v>
      </c>
      <c r="AH1325">
        <v>53.431721698459597</v>
      </c>
      <c r="AI1325">
        <v>91.070551112747296</v>
      </c>
      <c r="AJ1325">
        <v>75.672710506874594</v>
      </c>
      <c r="AK1325">
        <v>55.156529583874899</v>
      </c>
      <c r="AL1325">
        <v>80.308683305310495</v>
      </c>
      <c r="AM1325">
        <v>76.083308649722696</v>
      </c>
      <c r="AN1325">
        <v>1.0000000473168</v>
      </c>
    </row>
    <row r="1326" spans="1:40" x14ac:dyDescent="0.25">
      <c r="A1326" t="str">
        <f>"20190312164015102"</f>
        <v>20190312164015102</v>
      </c>
      <c r="B1326" t="str">
        <f>"1552380015097550"</f>
        <v>1552380015097550</v>
      </c>
      <c r="C1326" t="s">
        <v>40</v>
      </c>
      <c r="D1326">
        <v>5.6337630000000001</v>
      </c>
      <c r="E1326">
        <v>0.51168499999999995</v>
      </c>
      <c r="F1326" t="s">
        <v>45</v>
      </c>
      <c r="G1326">
        <v>-177.08539999999999</v>
      </c>
      <c r="H1326">
        <v>7.9987989999999995E-2</v>
      </c>
      <c r="I1326">
        <v>354.52330000000001</v>
      </c>
      <c r="J1326">
        <v>-229.82689999999999</v>
      </c>
      <c r="K1326">
        <v>1.1105080000000001</v>
      </c>
      <c r="L1326">
        <v>367.91809999999998</v>
      </c>
      <c r="M1326">
        <v>0.99989879999999998</v>
      </c>
      <c r="N1326">
        <v>0</v>
      </c>
      <c r="O1326">
        <v>2.4920770000000001E-3</v>
      </c>
      <c r="P1326">
        <v>0.95928849999999999</v>
      </c>
      <c r="Q1326">
        <v>0.15498190000000001</v>
      </c>
      <c r="R1326">
        <v>-0.23610709999999999</v>
      </c>
      <c r="S1326">
        <v>2.9525760000000001</v>
      </c>
      <c r="T1326">
        <v>-5.753291E-2</v>
      </c>
      <c r="U1326">
        <v>-0.74780269999999904</v>
      </c>
      <c r="V1326">
        <v>0.23851929999999999</v>
      </c>
      <c r="W1326">
        <v>0.16837569999999999</v>
      </c>
      <c r="X1326">
        <v>0.95642990000000006</v>
      </c>
      <c r="Y1326">
        <v>0.24788969999999999</v>
      </c>
      <c r="Z1326">
        <v>-2.4252060000000001E-3</v>
      </c>
      <c r="AA1326">
        <v>0.96878520000000001</v>
      </c>
      <c r="AB1326">
        <v>27</v>
      </c>
      <c r="AC1326">
        <v>52.741500000000002</v>
      </c>
      <c r="AD1326">
        <v>-1.03052001</v>
      </c>
      <c r="AE1326">
        <v>-13.394799999999901</v>
      </c>
      <c r="AF1326">
        <v>13.521357837699499</v>
      </c>
      <c r="AG1326">
        <v>-1.03052001</v>
      </c>
      <c r="AH1326">
        <v>52.689055510524</v>
      </c>
      <c r="AI1326">
        <v>91.085318724250797</v>
      </c>
      <c r="AJ1326">
        <v>75.607031581998598</v>
      </c>
      <c r="AK1326">
        <v>54.406117853208499</v>
      </c>
      <c r="AL1326">
        <v>80.306607696827399</v>
      </c>
      <c r="AM1326">
        <v>75.996923815965999</v>
      </c>
      <c r="AN1326">
        <v>0.99999999321849498</v>
      </c>
    </row>
    <row r="1327" spans="1:40" x14ac:dyDescent="0.25">
      <c r="A1327" t="str">
        <f>"20190312164015114"</f>
        <v>20190312164015114</v>
      </c>
      <c r="B1327" t="str">
        <f>"1552380015107310"</f>
        <v>1552380015107310</v>
      </c>
      <c r="C1327" t="s">
        <v>40</v>
      </c>
      <c r="D1327">
        <v>5.5781599999999996</v>
      </c>
      <c r="E1327">
        <v>0.51156809999999997</v>
      </c>
      <c r="F1327" t="s">
        <v>45</v>
      </c>
      <c r="G1327">
        <v>-177.9752</v>
      </c>
      <c r="H1327">
        <v>7.9987970000000005E-2</v>
      </c>
      <c r="I1327">
        <v>354.7414</v>
      </c>
      <c r="J1327">
        <v>-229.68219999999999</v>
      </c>
      <c r="K1327">
        <v>1.1105069999999999</v>
      </c>
      <c r="L1327">
        <v>367.91849999999999</v>
      </c>
      <c r="M1327">
        <v>0.99989890000000003</v>
      </c>
      <c r="N1327">
        <v>0</v>
      </c>
      <c r="O1327">
        <v>2.464431E-3</v>
      </c>
      <c r="P1327">
        <v>0.95891740000000003</v>
      </c>
      <c r="Q1327">
        <v>0.15533259999999999</v>
      </c>
      <c r="R1327">
        <v>-0.23738090000000001</v>
      </c>
      <c r="S1327">
        <v>2.9521639999999998</v>
      </c>
      <c r="T1327">
        <v>-5.8672429999999998E-2</v>
      </c>
      <c r="U1327">
        <v>-0.75021359999999904</v>
      </c>
      <c r="V1327">
        <v>0.23976549999999999</v>
      </c>
      <c r="W1327">
        <v>0.168719799999999</v>
      </c>
      <c r="X1327">
        <v>0.95605759999999995</v>
      </c>
      <c r="Y1327">
        <v>0.24863650000000001</v>
      </c>
      <c r="Z1327">
        <v>-2.4800849999999999E-3</v>
      </c>
      <c r="AA1327">
        <v>0.9685937</v>
      </c>
      <c r="AB1327">
        <v>27</v>
      </c>
      <c r="AC1327">
        <v>51.707000000000001</v>
      </c>
      <c r="AD1327">
        <v>-1.03051903</v>
      </c>
      <c r="AE1327">
        <v>-13.1770999999999</v>
      </c>
      <c r="AF1327">
        <v>13.2995403350057</v>
      </c>
      <c r="AG1327">
        <v>-1.03051903</v>
      </c>
      <c r="AH1327">
        <v>51.6550993517302</v>
      </c>
      <c r="AI1327">
        <v>91.106811821702394</v>
      </c>
      <c r="AJ1327">
        <v>75.5617489216785</v>
      </c>
      <c r="AK1327">
        <v>53.349686331137498</v>
      </c>
      <c r="AL1327">
        <v>80.286606133876106</v>
      </c>
      <c r="AM1327">
        <v>75.921399351395806</v>
      </c>
      <c r="AN1327">
        <v>1.00000000021002</v>
      </c>
    </row>
    <row r="1328" spans="1:40" x14ac:dyDescent="0.25">
      <c r="A1328" t="str">
        <f>"20190312164015130"</f>
        <v>20190312164015130</v>
      </c>
      <c r="B1328" t="str">
        <f>"1552380015127806"</f>
        <v>1552380015127806</v>
      </c>
      <c r="C1328" t="s">
        <v>40</v>
      </c>
      <c r="D1328">
        <v>5.7016689999999999</v>
      </c>
      <c r="E1328">
        <v>0.51136369999999998</v>
      </c>
      <c r="F1328" t="s">
        <v>45</v>
      </c>
      <c r="G1328">
        <v>-177.50139999999999</v>
      </c>
      <c r="H1328">
        <v>7.9987989999999995E-2</v>
      </c>
      <c r="I1328">
        <v>354.59589999999997</v>
      </c>
      <c r="J1328">
        <v>-229.48660000000001</v>
      </c>
      <c r="K1328">
        <v>1.1105130000000001</v>
      </c>
      <c r="L1328">
        <v>367.91890000000001</v>
      </c>
      <c r="M1328">
        <v>0.99989879999999998</v>
      </c>
      <c r="N1328">
        <v>0</v>
      </c>
      <c r="O1328">
        <v>2.4272479999999999E-3</v>
      </c>
      <c r="P1328">
        <v>0.95833100000000004</v>
      </c>
      <c r="Q1328">
        <v>0.15560470000000001</v>
      </c>
      <c r="R1328">
        <v>-0.2395602</v>
      </c>
      <c r="S1328">
        <v>2.951416</v>
      </c>
      <c r="T1328">
        <v>-5.8287499999999999E-2</v>
      </c>
      <c r="U1328">
        <v>-0.75353999999999999</v>
      </c>
      <c r="V1328">
        <v>0.24190800000000001</v>
      </c>
      <c r="W1328">
        <v>0.16898070000000001</v>
      </c>
      <c r="X1328">
        <v>0.95547159999999998</v>
      </c>
      <c r="Y1328">
        <v>0.2496844</v>
      </c>
      <c r="Z1328">
        <v>-2.4735450000000002E-3</v>
      </c>
      <c r="AA1328">
        <v>0.96832410000000002</v>
      </c>
      <c r="AB1328">
        <v>27</v>
      </c>
      <c r="AC1328">
        <v>51.985199999999999</v>
      </c>
      <c r="AD1328">
        <v>-1.0305250100000001</v>
      </c>
      <c r="AE1328">
        <v>-13.323</v>
      </c>
      <c r="AF1328">
        <v>13.4441965919011</v>
      </c>
      <c r="AG1328">
        <v>-1.0305250100000001</v>
      </c>
      <c r="AH1328">
        <v>51.933555016777603</v>
      </c>
      <c r="AI1328">
        <v>91.100511009259804</v>
      </c>
      <c r="AJ1328">
        <v>75.486282581868096</v>
      </c>
      <c r="AK1328">
        <v>53.655405510335903</v>
      </c>
      <c r="AL1328">
        <v>80.271439586751299</v>
      </c>
      <c r="AM1328">
        <v>75.792306540018302</v>
      </c>
      <c r="AN1328">
        <v>0.99999996792152401</v>
      </c>
    </row>
    <row r="1329" spans="1:40" x14ac:dyDescent="0.25">
      <c r="A1329" t="str">
        <f>"20190312164015154"</f>
        <v>20190312164015154</v>
      </c>
      <c r="B1329" t="str">
        <f>"1552380015147326"</f>
        <v>1552380015147326</v>
      </c>
      <c r="C1329" t="s">
        <v>40</v>
      </c>
      <c r="D1329">
        <v>5.6935909999999996</v>
      </c>
      <c r="E1329">
        <v>0.5112525</v>
      </c>
      <c r="F1329" t="s">
        <v>45</v>
      </c>
      <c r="G1329">
        <v>-177.96449999999999</v>
      </c>
      <c r="H1329">
        <v>7.9987970000000005E-2</v>
      </c>
      <c r="I1329">
        <v>354.67829999999998</v>
      </c>
      <c r="J1329">
        <v>-229.2176</v>
      </c>
      <c r="K1329">
        <v>1.110514</v>
      </c>
      <c r="L1329">
        <v>367.9194</v>
      </c>
      <c r="M1329">
        <v>0.99989910000000004</v>
      </c>
      <c r="N1329">
        <v>0</v>
      </c>
      <c r="O1329">
        <v>2.3757689999999998E-3</v>
      </c>
      <c r="P1329">
        <v>0.95785339999999997</v>
      </c>
      <c r="Q1329">
        <v>0.1557656</v>
      </c>
      <c r="R1329">
        <v>-0.24135870000000001</v>
      </c>
      <c r="S1329">
        <v>2.950485</v>
      </c>
      <c r="T1329">
        <v>-5.9014440000000001E-2</v>
      </c>
      <c r="U1329">
        <v>-0.75823969999999996</v>
      </c>
      <c r="V1329">
        <v>0.2436565</v>
      </c>
      <c r="W1329">
        <v>0.16913149999999999</v>
      </c>
      <c r="X1329">
        <v>0.95500059999999998</v>
      </c>
      <c r="Y1329">
        <v>0.25115349999999997</v>
      </c>
      <c r="Z1329">
        <v>-2.5181090000000001E-3</v>
      </c>
      <c r="AA1329">
        <v>0.96794400000000003</v>
      </c>
      <c r="AB1329">
        <v>27</v>
      </c>
      <c r="AC1329">
        <v>51.253100000000003</v>
      </c>
      <c r="AD1329">
        <v>-1.0305260300000001</v>
      </c>
      <c r="AE1329">
        <v>-13.241099999999999</v>
      </c>
      <c r="AF1329">
        <v>13.357777746897201</v>
      </c>
      <c r="AG1329">
        <v>-1.0305260300000001</v>
      </c>
      <c r="AH1329">
        <v>51.2020898156862</v>
      </c>
      <c r="AI1329">
        <v>91.115683872023496</v>
      </c>
      <c r="AJ1329">
        <v>75.378381259480804</v>
      </c>
      <c r="AK1329">
        <v>52.925855795892502</v>
      </c>
      <c r="AL1329">
        <v>80.262674011763806</v>
      </c>
      <c r="AM1329">
        <v>75.687049289459097</v>
      </c>
      <c r="AN1329">
        <v>1.00000005014242</v>
      </c>
    </row>
    <row r="1330" spans="1:40" x14ac:dyDescent="0.25">
      <c r="A1330" t="str">
        <f>"20190312164015167"</f>
        <v>20190312164015167</v>
      </c>
      <c r="B1330" t="str">
        <f>"1552380015157086"</f>
        <v>1552380015157086</v>
      </c>
      <c r="C1330" t="s">
        <v>40</v>
      </c>
      <c r="D1330">
        <v>5.6418010000000001</v>
      </c>
      <c r="E1330">
        <v>0.48714960000000002</v>
      </c>
      <c r="F1330" t="s">
        <v>45</v>
      </c>
      <c r="G1330">
        <v>-177.9222</v>
      </c>
      <c r="H1330">
        <v>7.9987970000000005E-2</v>
      </c>
      <c r="I1330">
        <v>354.66410000000002</v>
      </c>
      <c r="J1330">
        <v>-229.04329999999999</v>
      </c>
      <c r="K1330">
        <v>1.1105100000000001</v>
      </c>
      <c r="L1330">
        <v>367.91980000000001</v>
      </c>
      <c r="M1330">
        <v>0.99989910000000004</v>
      </c>
      <c r="N1330">
        <v>0</v>
      </c>
      <c r="O1330">
        <v>2.3421100000000001E-3</v>
      </c>
      <c r="P1330">
        <v>0.95762610000000004</v>
      </c>
      <c r="Q1330">
        <v>0.1556042</v>
      </c>
      <c r="R1330">
        <v>-0.24236260000000001</v>
      </c>
      <c r="S1330">
        <v>2.9495849999999999</v>
      </c>
      <c r="T1330">
        <v>-5.9257270000000001E-2</v>
      </c>
      <c r="U1330">
        <v>-0.76220699999999997</v>
      </c>
      <c r="V1330">
        <v>0.24462729999999999</v>
      </c>
      <c r="W1330">
        <v>0.16896510000000001</v>
      </c>
      <c r="X1330">
        <v>0.95478180000000001</v>
      </c>
      <c r="Y1330">
        <v>0.25241209999999997</v>
      </c>
      <c r="Z1330">
        <v>-2.5405689999999999E-3</v>
      </c>
      <c r="AA1330">
        <v>0.96761649999999999</v>
      </c>
      <c r="AB1330">
        <v>27</v>
      </c>
      <c r="AC1330">
        <v>51.121099999999899</v>
      </c>
      <c r="AD1330">
        <v>-1.03052203</v>
      </c>
      <c r="AE1330">
        <v>-13.2556999999999</v>
      </c>
      <c r="AF1330">
        <v>13.370315721790901</v>
      </c>
      <c r="AG1330">
        <v>-1.03052203</v>
      </c>
      <c r="AH1330">
        <v>51.070464716459398</v>
      </c>
      <c r="AI1330">
        <v>91.118303205351197</v>
      </c>
      <c r="AJ1330">
        <v>75.329152663334995</v>
      </c>
      <c r="AK1330">
        <v>52.801701530441399</v>
      </c>
      <c r="AL1330">
        <v>80.272346788044402</v>
      </c>
      <c r="AM1330">
        <v>75.629222437984396</v>
      </c>
      <c r="AN1330">
        <v>1.00000000326727</v>
      </c>
    </row>
    <row r="1331" spans="1:40" x14ac:dyDescent="0.25">
      <c r="A1331" t="str">
        <f>"20190312164015181"</f>
        <v>20190312164015181</v>
      </c>
      <c r="B1331" t="str">
        <f>"1552380015177582"</f>
        <v>1552380015177582</v>
      </c>
      <c r="C1331" t="s">
        <v>40</v>
      </c>
      <c r="D1331">
        <v>5.7797799999999997</v>
      </c>
      <c r="E1331">
        <v>0.48174919999999999</v>
      </c>
      <c r="F1331" t="s">
        <v>45</v>
      </c>
      <c r="G1331">
        <v>-202.6105</v>
      </c>
      <c r="H1331" s="1">
        <v>-3.240002E-6</v>
      </c>
      <c r="I1331">
        <v>362.90750000000003</v>
      </c>
      <c r="J1331">
        <v>-228.8861</v>
      </c>
      <c r="K1331">
        <v>1.110509</v>
      </c>
      <c r="L1331">
        <v>367.92020000000002</v>
      </c>
      <c r="M1331">
        <v>0.99989930000000005</v>
      </c>
      <c r="N1331">
        <v>0</v>
      </c>
      <c r="O1331">
        <v>2.3113109999999999E-3</v>
      </c>
      <c r="P1331">
        <v>0.95752530000000002</v>
      </c>
      <c r="Q1331">
        <v>0.15513170000000001</v>
      </c>
      <c r="R1331">
        <v>-0.24306269999999999</v>
      </c>
      <c r="S1331">
        <v>3.0088810000000001</v>
      </c>
      <c r="T1331">
        <v>-0.12641160000000001</v>
      </c>
      <c r="U1331">
        <v>-0.57055659999999997</v>
      </c>
      <c r="V1331">
        <v>0.2452976</v>
      </c>
      <c r="W1331">
        <v>0.16849</v>
      </c>
      <c r="X1331">
        <v>0.95469380000000004</v>
      </c>
      <c r="Y1331">
        <v>0.18841240000000001</v>
      </c>
      <c r="Z1331">
        <v>-4.0174520000000003E-3</v>
      </c>
      <c r="AA1331">
        <v>0.9820818</v>
      </c>
      <c r="AB1331">
        <v>27</v>
      </c>
      <c r="AC1331">
        <v>26.275600000000001</v>
      </c>
      <c r="AD1331">
        <v>-1.110512240002</v>
      </c>
      <c r="AE1331">
        <v>-5.0126999999999899</v>
      </c>
      <c r="AF1331">
        <v>5.0646945448900702</v>
      </c>
      <c r="AG1331">
        <v>-1.110512240002</v>
      </c>
      <c r="AH1331">
        <v>26.2187542200503</v>
      </c>
      <c r="AI1331">
        <v>92.381378568941798</v>
      </c>
      <c r="AJ1331">
        <v>79.066798504115397</v>
      </c>
      <c r="AK1331">
        <v>26.726530659994701</v>
      </c>
      <c r="AL1331">
        <v>80.299964153643103</v>
      </c>
      <c r="AM1331">
        <v>75.590209620813397</v>
      </c>
      <c r="AN1331">
        <v>1.0000000222120999</v>
      </c>
    </row>
    <row r="1332" spans="1:40" x14ac:dyDescent="0.25">
      <c r="A1332" t="str">
        <f>"20190312164015199"</f>
        <v>20190312164015199</v>
      </c>
      <c r="B1332" t="str">
        <f>"1552380015187343"</f>
        <v>1552380015187343</v>
      </c>
      <c r="C1332" t="s">
        <v>40</v>
      </c>
      <c r="D1332">
        <v>5.6752019999999996</v>
      </c>
      <c r="E1332">
        <v>0.48069430000000002</v>
      </c>
      <c r="F1332" t="s">
        <v>45</v>
      </c>
      <c r="G1332">
        <v>-202.08770000000001</v>
      </c>
      <c r="H1332" s="1">
        <v>-2.9094839999999998E-6</v>
      </c>
      <c r="I1332">
        <v>363.21159999999998</v>
      </c>
      <c r="J1332">
        <v>-228.6771</v>
      </c>
      <c r="K1332">
        <v>1.110509</v>
      </c>
      <c r="L1332">
        <v>367.92059999999998</v>
      </c>
      <c r="M1332">
        <v>0.99989939999999999</v>
      </c>
      <c r="N1332">
        <v>0</v>
      </c>
      <c r="O1332">
        <v>2.2707399999999998E-3</v>
      </c>
      <c r="P1332">
        <v>0.95747919999999997</v>
      </c>
      <c r="Q1332">
        <v>0.15429119999999999</v>
      </c>
      <c r="R1332">
        <v>-0.24377869999999999</v>
      </c>
      <c r="S1332">
        <v>3.0186769999999998</v>
      </c>
      <c r="T1332">
        <v>-0.1250926</v>
      </c>
      <c r="U1332">
        <v>-0.53039550000000002</v>
      </c>
      <c r="V1332">
        <v>0.24597459999999999</v>
      </c>
      <c r="W1332">
        <v>0.1676462</v>
      </c>
      <c r="X1332">
        <v>0.95466819999999997</v>
      </c>
      <c r="Y1332">
        <v>0.1751422</v>
      </c>
      <c r="Z1332">
        <v>-3.6931709999999999E-3</v>
      </c>
      <c r="AA1332">
        <v>0.98453619999999997</v>
      </c>
      <c r="AB1332">
        <v>27</v>
      </c>
      <c r="AC1332">
        <v>26.589399999999898</v>
      </c>
      <c r="AD1332">
        <v>-1.1105119094839999</v>
      </c>
      <c r="AE1332">
        <v>-4.7089999999999996</v>
      </c>
      <c r="AF1332">
        <v>4.76131863730369</v>
      </c>
      <c r="AG1332">
        <v>-1.1105119094839999</v>
      </c>
      <c r="AH1332">
        <v>26.533761285956999</v>
      </c>
      <c r="AI1332">
        <v>92.358954723032696</v>
      </c>
      <c r="AJ1332">
        <v>79.826897726286802</v>
      </c>
      <c r="AK1332">
        <v>26.9804351307979</v>
      </c>
      <c r="AL1332">
        <v>80.349008351267599</v>
      </c>
      <c r="AM1332">
        <v>75.551731069559807</v>
      </c>
      <c r="AN1332">
        <v>1.0000000621554099</v>
      </c>
    </row>
    <row r="1333" spans="1:40" x14ac:dyDescent="0.25">
      <c r="A1333" t="str">
        <f>"20190312164015220"</f>
        <v>20190312164015220</v>
      </c>
      <c r="B1333" t="str">
        <f>"1552380015217597"</f>
        <v>1552380015217597</v>
      </c>
      <c r="C1333" t="s">
        <v>40</v>
      </c>
      <c r="D1333">
        <v>5.5533099999999997</v>
      </c>
      <c r="E1333">
        <v>0.4786223</v>
      </c>
      <c r="F1333" t="s">
        <v>45</v>
      </c>
      <c r="G1333">
        <v>-202.57759999999999</v>
      </c>
      <c r="H1333" s="1">
        <v>-3.114861E-6</v>
      </c>
      <c r="I1333">
        <v>363.39710000000002</v>
      </c>
      <c r="J1333">
        <v>-228.41839999999999</v>
      </c>
      <c r="K1333">
        <v>1.1105050000000001</v>
      </c>
      <c r="L1333">
        <v>367.92110000000002</v>
      </c>
      <c r="M1333">
        <v>0.9998996</v>
      </c>
      <c r="N1333">
        <v>0</v>
      </c>
      <c r="O1333">
        <v>2.2202179999999999E-3</v>
      </c>
      <c r="P1333">
        <v>0.95728009999999997</v>
      </c>
      <c r="Q1333">
        <v>0.15383469999999999</v>
      </c>
      <c r="R1333">
        <v>-0.24484620000000001</v>
      </c>
      <c r="S1333">
        <v>3.0206599999999999</v>
      </c>
      <c r="T1333">
        <v>-0.12852659999999999</v>
      </c>
      <c r="U1333">
        <v>-0.52352909999999997</v>
      </c>
      <c r="V1333">
        <v>0.2469933</v>
      </c>
      <c r="W1333">
        <v>0.1671851</v>
      </c>
      <c r="X1333">
        <v>0.95448599999999995</v>
      </c>
      <c r="Y1333">
        <v>0.17280390000000001</v>
      </c>
      <c r="Z1333">
        <v>-3.7412579999999999E-3</v>
      </c>
      <c r="AA1333">
        <v>0.98494919999999997</v>
      </c>
      <c r="AB1333">
        <v>27</v>
      </c>
      <c r="AC1333">
        <v>25.840800000000002</v>
      </c>
      <c r="AD1333">
        <v>-1.1105081148610001</v>
      </c>
      <c r="AE1333">
        <v>-4.524</v>
      </c>
      <c r="AF1333">
        <v>4.57317188676054</v>
      </c>
      <c r="AG1333">
        <v>-1.1105081148610001</v>
      </c>
      <c r="AH1333">
        <v>25.784487133703099</v>
      </c>
      <c r="AI1333">
        <v>92.428287813077702</v>
      </c>
      <c r="AJ1333">
        <v>79.942531300807602</v>
      </c>
      <c r="AK1333">
        <v>26.210435061767502</v>
      </c>
      <c r="AL1333">
        <v>80.375805386279296</v>
      </c>
      <c r="AM1333">
        <v>75.491761102910303</v>
      </c>
      <c r="AN1333">
        <v>1.0000000360514401</v>
      </c>
    </row>
    <row r="1334" spans="1:40" x14ac:dyDescent="0.25">
      <c r="A1334" t="str">
        <f>"20190312164015234"</f>
        <v>20190312164015234</v>
      </c>
      <c r="B1334" t="str">
        <f>"1552380015227358"</f>
        <v>1552380015227358</v>
      </c>
      <c r="C1334" t="s">
        <v>40</v>
      </c>
      <c r="D1334">
        <v>5.5857570000000001</v>
      </c>
      <c r="E1334">
        <v>0.47820570000000001</v>
      </c>
      <c r="F1334" t="s">
        <v>45</v>
      </c>
      <c r="G1334">
        <v>-203.13159999999999</v>
      </c>
      <c r="H1334" s="1">
        <v>-3.3347430000000002E-6</v>
      </c>
      <c r="I1334">
        <v>363.6628</v>
      </c>
      <c r="J1334">
        <v>-228.24770000000001</v>
      </c>
      <c r="K1334">
        <v>1.110506</v>
      </c>
      <c r="L1334">
        <v>367.92140000000001</v>
      </c>
      <c r="M1334">
        <v>0.9998996</v>
      </c>
      <c r="N1334">
        <v>0</v>
      </c>
      <c r="O1334">
        <v>2.1875649999999998E-3</v>
      </c>
      <c r="P1334">
        <v>0.95728449999999998</v>
      </c>
      <c r="Q1334">
        <v>0.15322859999999999</v>
      </c>
      <c r="R1334">
        <v>-0.2452096</v>
      </c>
      <c r="S1334">
        <v>3.0249329999999999</v>
      </c>
      <c r="T1334">
        <v>-0.1328444</v>
      </c>
      <c r="U1334">
        <v>-0.50939939999999995</v>
      </c>
      <c r="V1334">
        <v>0.2473253</v>
      </c>
      <c r="W1334">
        <v>0.16657710000000001</v>
      </c>
      <c r="X1334">
        <v>0.95450630000000003</v>
      </c>
      <c r="Y1334">
        <v>0.1680595</v>
      </c>
      <c r="Z1334">
        <v>-3.7581310000000001E-3</v>
      </c>
      <c r="AA1334">
        <v>0.98576969999999997</v>
      </c>
      <c r="AB1334">
        <v>27</v>
      </c>
      <c r="AC1334">
        <v>25.116099999999999</v>
      </c>
      <c r="AD1334">
        <v>-1.110509334743</v>
      </c>
      <c r="AE1334">
        <v>-4.2586000000000004</v>
      </c>
      <c r="AF1334">
        <v>4.3053566704281296</v>
      </c>
      <c r="AG1334">
        <v>-1.110509334743</v>
      </c>
      <c r="AH1334">
        <v>25.059102299031</v>
      </c>
      <c r="AI1334">
        <v>92.500843066985695</v>
      </c>
      <c r="AJ1334">
        <v>80.251298388257595</v>
      </c>
      <c r="AK1334">
        <v>25.450499701881199</v>
      </c>
      <c r="AL1334">
        <v>80.411136373444506</v>
      </c>
      <c r="AM1334">
        <v>75.473380058866496</v>
      </c>
      <c r="AN1334">
        <v>1.0000000055020899</v>
      </c>
    </row>
    <row r="1335" spans="1:40" x14ac:dyDescent="0.25">
      <c r="A1335" t="str">
        <f>"20190312164015245"</f>
        <v>20190312164015245</v>
      </c>
      <c r="B1335" t="str">
        <f>"1552380015237118"</f>
        <v>1552380015237118</v>
      </c>
      <c r="C1335" t="s">
        <v>40</v>
      </c>
      <c r="D1335">
        <v>5.5950569999999997</v>
      </c>
      <c r="E1335">
        <v>0.47820570000000001</v>
      </c>
      <c r="F1335" t="s">
        <v>45</v>
      </c>
      <c r="G1335">
        <v>-203.255</v>
      </c>
      <c r="H1335" s="1">
        <v>-3.3813749999999999E-6</v>
      </c>
      <c r="I1335">
        <v>363.73250000000002</v>
      </c>
      <c r="J1335">
        <v>-228.1054</v>
      </c>
      <c r="K1335">
        <v>1.1105020000000001</v>
      </c>
      <c r="L1335">
        <v>367.92169999999999</v>
      </c>
      <c r="M1335">
        <v>0.99989969999999995</v>
      </c>
      <c r="N1335">
        <v>0</v>
      </c>
      <c r="O1335">
        <v>2.1598030000000001E-3</v>
      </c>
      <c r="P1335">
        <v>0.95725229999999994</v>
      </c>
      <c r="Q1335">
        <v>0.15312319999999999</v>
      </c>
      <c r="R1335">
        <v>-0.24540039999999999</v>
      </c>
      <c r="S1335">
        <v>3.0254669999999999</v>
      </c>
      <c r="T1335">
        <v>-0.13443169999999999</v>
      </c>
      <c r="U1335">
        <v>-0.50708009999999903</v>
      </c>
      <c r="V1335">
        <v>0.2474895</v>
      </c>
      <c r="W1335">
        <v>0.166469899999999</v>
      </c>
      <c r="X1335">
        <v>0.95448239999999995</v>
      </c>
      <c r="Y1335">
        <v>0.16726559999999999</v>
      </c>
      <c r="Z1335">
        <v>-3.7838390000000002E-3</v>
      </c>
      <c r="AA1335">
        <v>0.98590460000000002</v>
      </c>
      <c r="AB1335">
        <v>27</v>
      </c>
      <c r="AC1335">
        <v>24.8504</v>
      </c>
      <c r="AD1335">
        <v>-1.1105053813750001</v>
      </c>
      <c r="AE1335">
        <v>-4.1891999999999703</v>
      </c>
      <c r="AF1335">
        <v>4.2346446148664798</v>
      </c>
      <c r="AG1335">
        <v>-1.1105053813750001</v>
      </c>
      <c r="AH1335">
        <v>24.793149917772901</v>
      </c>
      <c r="AI1335">
        <v>92.528049607811099</v>
      </c>
      <c r="AJ1335">
        <v>80.307468441857694</v>
      </c>
      <c r="AK1335">
        <v>25.1766900140078</v>
      </c>
      <c r="AL1335">
        <v>80.417365073115306</v>
      </c>
      <c r="AM1335">
        <v>75.463795638414396</v>
      </c>
      <c r="AN1335">
        <v>0.999999966063009</v>
      </c>
    </row>
    <row r="1336" spans="1:40" x14ac:dyDescent="0.25">
      <c r="A1336" t="str">
        <f>"20190312164015257"</f>
        <v>20190312164015257</v>
      </c>
      <c r="B1336" t="str">
        <f>"1552380015247854"</f>
        <v>1552380015247854</v>
      </c>
      <c r="C1336" t="s">
        <v>40</v>
      </c>
      <c r="D1336">
        <v>5.3555780000000004</v>
      </c>
      <c r="E1336">
        <v>0.47123749999999998</v>
      </c>
      <c r="F1336" t="s">
        <v>45</v>
      </c>
      <c r="G1336">
        <v>-203.14089999999999</v>
      </c>
      <c r="H1336" s="1">
        <v>-3.322647E-6</v>
      </c>
      <c r="I1336">
        <v>363.73840000000001</v>
      </c>
      <c r="J1336">
        <v>-227.96729999999999</v>
      </c>
      <c r="K1336">
        <v>1.1105020000000001</v>
      </c>
      <c r="L1336">
        <v>367.92189999999999</v>
      </c>
      <c r="M1336">
        <v>0.99989969999999995</v>
      </c>
      <c r="N1336">
        <v>0</v>
      </c>
      <c r="O1336">
        <v>2.1330559999999999E-3</v>
      </c>
      <c r="P1336">
        <v>0.95721290000000003</v>
      </c>
      <c r="Q1336">
        <v>0.15266150000000001</v>
      </c>
      <c r="R1336">
        <v>-0.24584110000000001</v>
      </c>
      <c r="S1336">
        <v>3.025528</v>
      </c>
      <c r="T1336">
        <v>-0.13458529999999999</v>
      </c>
      <c r="U1336">
        <v>-0.50698849999999995</v>
      </c>
      <c r="V1336">
        <v>0.2479044</v>
      </c>
      <c r="W1336">
        <v>0.1660063</v>
      </c>
      <c r="X1336">
        <v>0.95445550000000001</v>
      </c>
      <c r="Y1336">
        <v>0.16720670000000001</v>
      </c>
      <c r="Z1336">
        <v>-3.7856080000000002E-3</v>
      </c>
      <c r="AA1336">
        <v>0.98591459999999997</v>
      </c>
      <c r="AB1336">
        <v>27</v>
      </c>
      <c r="AC1336">
        <v>24.8264</v>
      </c>
      <c r="AD1336">
        <v>-1.1105053226469901</v>
      </c>
      <c r="AE1336">
        <v>-4.18349999999998</v>
      </c>
      <c r="AF1336">
        <v>4.2282253386474</v>
      </c>
      <c r="AG1336">
        <v>-1.1105053226469901</v>
      </c>
      <c r="AH1336">
        <v>24.7692279854551</v>
      </c>
      <c r="AI1336">
        <v>92.5305273742445</v>
      </c>
      <c r="AJ1336">
        <v>80.312713188502499</v>
      </c>
      <c r="AK1336">
        <v>25.152052929760298</v>
      </c>
      <c r="AL1336">
        <v>80.444302464004494</v>
      </c>
      <c r="AM1336">
        <v>75.440068515398906</v>
      </c>
      <c r="AN1336">
        <v>0.99999999232964998</v>
      </c>
    </row>
    <row r="1337" spans="1:40" x14ac:dyDescent="0.25">
      <c r="A1337" t="str">
        <f>"20190312164015269"</f>
        <v>20190312164015269</v>
      </c>
      <c r="B1337" t="str">
        <f>"1552380015257615"</f>
        <v>1552380015257615</v>
      </c>
      <c r="C1337" t="s">
        <v>40</v>
      </c>
      <c r="D1337">
        <v>5.5146709999999999</v>
      </c>
      <c r="E1337">
        <v>0.4724254</v>
      </c>
      <c r="F1337" t="s">
        <v>42</v>
      </c>
      <c r="G1337">
        <v>-227.2354</v>
      </c>
      <c r="H1337">
        <v>1.040565</v>
      </c>
      <c r="I1337">
        <v>367.81709999999998</v>
      </c>
      <c r="J1337">
        <v>-227.8323</v>
      </c>
      <c r="K1337">
        <v>1.1104969999999901</v>
      </c>
      <c r="L1337">
        <v>367.92219999999998</v>
      </c>
      <c r="M1337">
        <v>0.99989989999999995</v>
      </c>
      <c r="N1337">
        <v>0</v>
      </c>
      <c r="O1337">
        <v>2.1067830000000001E-3</v>
      </c>
      <c r="P1337">
        <v>0.9572292</v>
      </c>
      <c r="Q1337">
        <v>0.1522181</v>
      </c>
      <c r="R1337">
        <v>-0.24605350000000001</v>
      </c>
      <c r="S1337">
        <v>3.0683440000000002</v>
      </c>
      <c r="T1337">
        <v>-0.29350850000000001</v>
      </c>
      <c r="U1337">
        <v>-0.43838500000000002</v>
      </c>
      <c r="V1337">
        <v>0.24809139999999999</v>
      </c>
      <c r="W1337">
        <v>0.16556189999999901</v>
      </c>
      <c r="X1337">
        <v>0.95448409999999995</v>
      </c>
      <c r="Y1337">
        <v>0.1428741</v>
      </c>
      <c r="Z1337">
        <v>-6.9837689999999999E-3</v>
      </c>
      <c r="AA1337">
        <v>0.98971620000000005</v>
      </c>
      <c r="AB1337">
        <v>27</v>
      </c>
      <c r="AC1337">
        <v>0.59690000000000498</v>
      </c>
      <c r="AD1337">
        <v>-6.99319999999998E-2</v>
      </c>
      <c r="AE1337">
        <v>-0.105099999999993</v>
      </c>
      <c r="AF1337">
        <v>0.104960053807545</v>
      </c>
      <c r="AG1337">
        <v>-6.99319999999998E-2</v>
      </c>
      <c r="AH1337">
        <v>0.58883779960401195</v>
      </c>
      <c r="AI1337">
        <v>96.6687355886869</v>
      </c>
      <c r="AJ1337">
        <v>79.893203504730707</v>
      </c>
      <c r="AK1337">
        <v>0.60219353347721805</v>
      </c>
      <c r="AL1337">
        <v>80.470121987984498</v>
      </c>
      <c r="AM1337">
        <v>75.429970885694402</v>
      </c>
      <c r="AN1337">
        <v>0.99999999131918904</v>
      </c>
    </row>
    <row r="1338" spans="1:40" x14ac:dyDescent="0.25">
      <c r="A1338" t="str">
        <f>"20190312164015281"</f>
        <v>20190312164015281</v>
      </c>
      <c r="B1338" t="str">
        <f>"1552380015277134"</f>
        <v>1552380015277134</v>
      </c>
      <c r="C1338" t="s">
        <v>40</v>
      </c>
      <c r="D1338">
        <v>5.6148099999999896</v>
      </c>
      <c r="E1338">
        <v>0.47219709999999998</v>
      </c>
      <c r="F1338" t="s">
        <v>42</v>
      </c>
      <c r="G1338">
        <v>-226.99809999999999</v>
      </c>
      <c r="H1338">
        <v>1.036743</v>
      </c>
      <c r="I1338">
        <v>367.79919999999998</v>
      </c>
      <c r="J1338">
        <v>-227.6917</v>
      </c>
      <c r="K1338">
        <v>1.1104940000000001</v>
      </c>
      <c r="L1338">
        <v>367.92250000000001</v>
      </c>
      <c r="M1338">
        <v>0.99989989999999995</v>
      </c>
      <c r="N1338">
        <v>0</v>
      </c>
      <c r="O1338">
        <v>2.079675E-3</v>
      </c>
      <c r="P1338">
        <v>0.95724969999999998</v>
      </c>
      <c r="Q1338">
        <v>0.15203139999999901</v>
      </c>
      <c r="R1338">
        <v>-0.24608830000000001</v>
      </c>
      <c r="S1338">
        <v>3.0612180000000002</v>
      </c>
      <c r="T1338">
        <v>-0.2708199</v>
      </c>
      <c r="U1338">
        <v>-0.45092769999999999</v>
      </c>
      <c r="V1338">
        <v>0.2481004</v>
      </c>
      <c r="W1338">
        <v>0.1653743</v>
      </c>
      <c r="X1338">
        <v>0.95451430000000004</v>
      </c>
      <c r="Y1338">
        <v>0.147217299999999</v>
      </c>
      <c r="Z1338">
        <v>-6.6473139999999997E-3</v>
      </c>
      <c r="AA1338">
        <v>0.98908189999999996</v>
      </c>
      <c r="AB1338">
        <v>27</v>
      </c>
      <c r="AC1338">
        <v>0.69360000000000299</v>
      </c>
      <c r="AD1338">
        <v>-7.3751000000000094E-2</v>
      </c>
      <c r="AE1338">
        <v>-0.123300000000028</v>
      </c>
      <c r="AF1338">
        <v>0.123389997960373</v>
      </c>
      <c r="AG1338">
        <v>-7.3751000000000094E-2</v>
      </c>
      <c r="AH1338">
        <v>0.68582548767979201</v>
      </c>
      <c r="AI1338">
        <v>96.041511941645993</v>
      </c>
      <c r="AJ1338">
        <v>79.8007674934004</v>
      </c>
      <c r="AK1338">
        <v>0.70072883567674404</v>
      </c>
      <c r="AL1338">
        <v>80.481021079100003</v>
      </c>
      <c r="AM1338">
        <v>75.429906204161</v>
      </c>
      <c r="AN1338">
        <v>1.00000000824257</v>
      </c>
    </row>
    <row r="1339" spans="1:40" x14ac:dyDescent="0.25">
      <c r="A1339" t="str">
        <f>"20190312164015297"</f>
        <v>20190312164015297</v>
      </c>
      <c r="B1339" t="str">
        <f>"1552380015287870"</f>
        <v>1552380015287870</v>
      </c>
      <c r="C1339" t="s">
        <v>40</v>
      </c>
      <c r="D1339">
        <v>5.62155</v>
      </c>
      <c r="E1339">
        <v>0.47288750000000002</v>
      </c>
      <c r="F1339" t="s">
        <v>42</v>
      </c>
      <c r="G1339">
        <v>-226.7603</v>
      </c>
      <c r="H1339">
        <v>1.034098</v>
      </c>
      <c r="I1339">
        <v>367.78449999999998</v>
      </c>
      <c r="J1339">
        <v>-227.49209999999999</v>
      </c>
      <c r="K1339">
        <v>1.1104889999999901</v>
      </c>
      <c r="L1339">
        <v>367.92290000000003</v>
      </c>
      <c r="M1339">
        <v>0.99990009999999996</v>
      </c>
      <c r="N1339">
        <v>0</v>
      </c>
      <c r="O1339">
        <v>2.0413039999999999E-3</v>
      </c>
      <c r="P1339">
        <v>0.95729200000000003</v>
      </c>
      <c r="Q1339">
        <v>0.151687299999999</v>
      </c>
      <c r="R1339">
        <v>-0.24613640000000001</v>
      </c>
      <c r="S1339">
        <v>3.0576780000000001</v>
      </c>
      <c r="T1339">
        <v>-0.25105630000000001</v>
      </c>
      <c r="U1339">
        <v>-0.45187379999999999</v>
      </c>
      <c r="V1339">
        <v>0.248112</v>
      </c>
      <c r="W1339">
        <v>0.1650286</v>
      </c>
      <c r="X1339">
        <v>0.95457110000000001</v>
      </c>
      <c r="Y1339">
        <v>0.14772150000000001</v>
      </c>
      <c r="Z1339">
        <v>-6.1881970000000003E-3</v>
      </c>
      <c r="AA1339">
        <v>0.98900960000000004</v>
      </c>
      <c r="AB1339">
        <v>27</v>
      </c>
      <c r="AC1339">
        <v>0.73179999999999201</v>
      </c>
      <c r="AD1339">
        <v>-7.6390999999999806E-2</v>
      </c>
      <c r="AE1339">
        <v>-0.13840000000004599</v>
      </c>
      <c r="AF1339">
        <v>0.13843725166323301</v>
      </c>
      <c r="AG1339">
        <v>-7.6390999999999806E-2</v>
      </c>
      <c r="AH1339">
        <v>0.72390012280614502</v>
      </c>
      <c r="AI1339">
        <v>95.917502073265396</v>
      </c>
      <c r="AJ1339">
        <v>79.173584688086507</v>
      </c>
      <c r="AK1339">
        <v>0.74096683146266495</v>
      </c>
      <c r="AL1339">
        <v>80.5011040398566</v>
      </c>
      <c r="AM1339">
        <v>75.430084076755705</v>
      </c>
      <c r="AN1339">
        <v>0.99999999415858498</v>
      </c>
    </row>
    <row r="1340" spans="1:40" x14ac:dyDescent="0.25">
      <c r="A1340" t="str">
        <f>"20190312164015310"</f>
        <v>20190312164015310</v>
      </c>
      <c r="B1340" t="str">
        <f>"1552380015297630"</f>
        <v>1552380015297630</v>
      </c>
      <c r="C1340" t="s">
        <v>40</v>
      </c>
      <c r="D1340">
        <v>5.6467700000000001</v>
      </c>
      <c r="E1340">
        <v>0.47212670000000001</v>
      </c>
      <c r="F1340" t="s">
        <v>41</v>
      </c>
      <c r="G1340">
        <v>-213.80520000000001</v>
      </c>
      <c r="H1340" s="1">
        <v>-3.304212E-6</v>
      </c>
      <c r="I1340">
        <v>365.87110000000001</v>
      </c>
      <c r="J1340">
        <v>-227.35290000000001</v>
      </c>
      <c r="K1340">
        <v>1.110487</v>
      </c>
      <c r="L1340">
        <v>367.92309999999998</v>
      </c>
      <c r="M1340">
        <v>0.99990020000000002</v>
      </c>
      <c r="N1340">
        <v>0</v>
      </c>
      <c r="O1340">
        <v>2.0143750000000001E-3</v>
      </c>
      <c r="P1340">
        <v>0.95727790000000001</v>
      </c>
      <c r="Q1340">
        <v>0.15176319999999999</v>
      </c>
      <c r="R1340">
        <v>-0.24614430000000001</v>
      </c>
      <c r="S1340">
        <v>3.0553590000000002</v>
      </c>
      <c r="T1340">
        <v>-0.24789739999999999</v>
      </c>
      <c r="U1340">
        <v>-0.45800780000000002</v>
      </c>
      <c r="V1340">
        <v>0.24809410000000001</v>
      </c>
      <c r="W1340">
        <v>0.16510339999999901</v>
      </c>
      <c r="X1340">
        <v>0.95456280000000004</v>
      </c>
      <c r="Y1340">
        <v>0.14975089999999999</v>
      </c>
      <c r="Z1340">
        <v>-6.1938339999999996E-3</v>
      </c>
      <c r="AA1340">
        <v>0.98870429999999998</v>
      </c>
      <c r="AB1340">
        <v>27</v>
      </c>
      <c r="AC1340">
        <v>13.547699999999899</v>
      </c>
      <c r="AD1340">
        <v>-1.110490304212</v>
      </c>
      <c r="AE1340">
        <v>-2.0519999999999601</v>
      </c>
      <c r="AF1340">
        <v>2.0657205495900302</v>
      </c>
      <c r="AG1340">
        <v>-1.110490304212</v>
      </c>
      <c r="AH1340">
        <v>13.455162167503699</v>
      </c>
      <c r="AI1340">
        <v>94.663682919809304</v>
      </c>
      <c r="AJ1340">
        <v>81.2717441139459</v>
      </c>
      <c r="AK1340">
        <v>13.658029838105101</v>
      </c>
      <c r="AL1340">
        <v>80.496758545358503</v>
      </c>
      <c r="AM1340">
        <v>75.430969205628699</v>
      </c>
      <c r="AN1340">
        <v>0.99999997714510402</v>
      </c>
    </row>
    <row r="1341" spans="1:40" x14ac:dyDescent="0.25">
      <c r="A1341" t="str">
        <f>"20190312164015322"</f>
        <v>20190312164015322</v>
      </c>
      <c r="B1341" t="str">
        <f>"1552380015317150"</f>
        <v>1552380015317150</v>
      </c>
      <c r="C1341" t="s">
        <v>40</v>
      </c>
      <c r="D1341">
        <v>5.619707</v>
      </c>
      <c r="E1341">
        <v>0.47202349999999998</v>
      </c>
      <c r="F1341" t="s">
        <v>42</v>
      </c>
      <c r="G1341">
        <v>-226.51679999999999</v>
      </c>
      <c r="H1341">
        <v>1.0430980000000001</v>
      </c>
      <c r="I1341">
        <v>367.79919999999998</v>
      </c>
      <c r="J1341">
        <v>-227.20959999999999</v>
      </c>
      <c r="K1341">
        <v>1.1104889999999901</v>
      </c>
      <c r="L1341">
        <v>367.92340000000002</v>
      </c>
      <c r="M1341">
        <v>0.99990020000000002</v>
      </c>
      <c r="N1341">
        <v>0</v>
      </c>
      <c r="O1341">
        <v>1.9867309999999998E-3</v>
      </c>
      <c r="P1341">
        <v>0.9571788</v>
      </c>
      <c r="Q1341">
        <v>0.15196950000000001</v>
      </c>
      <c r="R1341">
        <v>-0.24640229999999999</v>
      </c>
      <c r="S1341">
        <v>3.056686</v>
      </c>
      <c r="T1341">
        <v>-0.24660850000000001</v>
      </c>
      <c r="U1341">
        <v>-0.45223999999999998</v>
      </c>
      <c r="V1341">
        <v>0.2483255</v>
      </c>
      <c r="W1341">
        <v>0.16530710000000001</v>
      </c>
      <c r="X1341">
        <v>0.95446739999999997</v>
      </c>
      <c r="Y1341">
        <v>0.1478467</v>
      </c>
      <c r="Z1341">
        <v>-6.0814479999999997E-3</v>
      </c>
      <c r="AA1341">
        <v>0.98899159999999997</v>
      </c>
      <c r="AB1341">
        <v>27</v>
      </c>
      <c r="AC1341">
        <v>0.69280000000000497</v>
      </c>
      <c r="AD1341">
        <v>-6.7390999999999895E-2</v>
      </c>
      <c r="AE1341">
        <v>-0.12420000000002999</v>
      </c>
      <c r="AF1341">
        <v>0.12443553634667601</v>
      </c>
      <c r="AG1341">
        <v>-6.7390999999999895E-2</v>
      </c>
      <c r="AH1341">
        <v>0.68626057568021004</v>
      </c>
      <c r="AI1341">
        <v>95.519055330104806</v>
      </c>
      <c r="AJ1341">
        <v>79.722562463178605</v>
      </c>
      <c r="AK1341">
        <v>0.70069917034332097</v>
      </c>
      <c r="AL1341">
        <v>80.484925051934198</v>
      </c>
      <c r="AM1341">
        <v>75.416564138217794</v>
      </c>
      <c r="AN1341">
        <v>1.0000000044617099</v>
      </c>
    </row>
    <row r="1342" spans="1:40" x14ac:dyDescent="0.25">
      <c r="A1342" t="str">
        <f>"20190312164015332"</f>
        <v>20190312164015332</v>
      </c>
      <c r="B1342" t="str">
        <f>"1552380015327887"</f>
        <v>1552380015327887</v>
      </c>
      <c r="C1342" t="s">
        <v>40</v>
      </c>
      <c r="D1342">
        <v>5.704618</v>
      </c>
      <c r="E1342">
        <v>0.47178409999999898</v>
      </c>
      <c r="F1342" t="s">
        <v>42</v>
      </c>
      <c r="G1342">
        <v>-226.28219999999999</v>
      </c>
      <c r="H1342">
        <v>1.037812</v>
      </c>
      <c r="I1342">
        <v>367.78590000000003</v>
      </c>
      <c r="J1342">
        <v>-227.07380000000001</v>
      </c>
      <c r="K1342">
        <v>1.1104940000000001</v>
      </c>
      <c r="L1342">
        <v>367.92360000000002</v>
      </c>
      <c r="M1342">
        <v>0.99990020000000002</v>
      </c>
      <c r="N1342">
        <v>0</v>
      </c>
      <c r="O1342">
        <v>1.960636E-3</v>
      </c>
      <c r="P1342">
        <v>0.95703609999999995</v>
      </c>
      <c r="Q1342">
        <v>0.15206420000000001</v>
      </c>
      <c r="R1342">
        <v>-0.24689759999999999</v>
      </c>
      <c r="S1342">
        <v>3.0557400000000001</v>
      </c>
      <c r="T1342">
        <v>-0.2395544</v>
      </c>
      <c r="U1342">
        <v>-0.45266719999999999</v>
      </c>
      <c r="V1342">
        <v>0.2487954</v>
      </c>
      <c r="W1342">
        <v>0.16539879999999901</v>
      </c>
      <c r="X1342">
        <v>0.95432910000000004</v>
      </c>
      <c r="Y1342">
        <v>0.14802660000000001</v>
      </c>
      <c r="Z1342">
        <v>-5.9147389999999996E-3</v>
      </c>
      <c r="AA1342">
        <v>0.98896569999999995</v>
      </c>
      <c r="AB1342">
        <v>27</v>
      </c>
      <c r="AC1342">
        <v>0.79160000000001596</v>
      </c>
      <c r="AD1342">
        <v>-7.2681999999999899E-2</v>
      </c>
      <c r="AE1342">
        <v>-0.13769999999999499</v>
      </c>
      <c r="AF1342">
        <v>0.13812172048160501</v>
      </c>
      <c r="AG1342">
        <v>-7.2681999999999899E-2</v>
      </c>
      <c r="AH1342">
        <v>0.78490583695854999</v>
      </c>
      <c r="AI1342">
        <v>95.210867175034394</v>
      </c>
      <c r="AJ1342">
        <v>80.019707644912302</v>
      </c>
      <c r="AK1342">
        <v>0.80027336309813502</v>
      </c>
      <c r="AL1342">
        <v>80.479597388894007</v>
      </c>
      <c r="AM1342">
        <v>75.388121332223406</v>
      </c>
      <c r="AN1342">
        <v>0.99999997260470397</v>
      </c>
    </row>
    <row r="1343" spans="1:40" x14ac:dyDescent="0.25">
      <c r="A1343" t="str">
        <f>"20190312164015343"</f>
        <v>20190312164015343</v>
      </c>
      <c r="B1343" t="str">
        <f>"1552380015337647"</f>
        <v>1552380015337647</v>
      </c>
      <c r="C1343" t="s">
        <v>40</v>
      </c>
      <c r="D1343">
        <v>5.5693960000000002</v>
      </c>
      <c r="E1343">
        <v>0.47190290000000001</v>
      </c>
      <c r="F1343" t="s">
        <v>41</v>
      </c>
      <c r="G1343">
        <v>-212.76519999999999</v>
      </c>
      <c r="H1343" s="1">
        <v>-3.761879E-6</v>
      </c>
      <c r="I1343">
        <v>365.80619999999999</v>
      </c>
      <c r="J1343">
        <v>-226.94880000000001</v>
      </c>
      <c r="K1343">
        <v>1.1104940000000001</v>
      </c>
      <c r="L1343">
        <v>367.92380000000003</v>
      </c>
      <c r="M1343">
        <v>0.99990029999999996</v>
      </c>
      <c r="N1343">
        <v>0</v>
      </c>
      <c r="O1343">
        <v>1.9364499999999999E-3</v>
      </c>
      <c r="P1343">
        <v>0.95697540000000003</v>
      </c>
      <c r="Q1343">
        <v>0.1521507</v>
      </c>
      <c r="R1343">
        <v>-0.24707970000000001</v>
      </c>
      <c r="S1343">
        <v>3.0557249999999998</v>
      </c>
      <c r="T1343">
        <v>-0.23715620000000001</v>
      </c>
      <c r="U1343">
        <v>-0.452179</v>
      </c>
      <c r="V1343">
        <v>0.24895410000000001</v>
      </c>
      <c r="W1343">
        <v>0.16548289999999999</v>
      </c>
      <c r="X1343">
        <v>0.95427320000000004</v>
      </c>
      <c r="Y1343">
        <v>0.1478583</v>
      </c>
      <c r="Z1343">
        <v>-5.8474470000000004E-3</v>
      </c>
      <c r="AA1343">
        <v>0.98899130000000002</v>
      </c>
      <c r="AB1343">
        <v>27</v>
      </c>
      <c r="AC1343">
        <v>14.1836</v>
      </c>
      <c r="AD1343">
        <v>-1.110497761879</v>
      </c>
      <c r="AE1343">
        <v>-2.1176000000000301</v>
      </c>
      <c r="AF1343">
        <v>2.1322786229935899</v>
      </c>
      <c r="AG1343">
        <v>-1.110497761879</v>
      </c>
      <c r="AH1343">
        <v>14.094953857442199</v>
      </c>
      <c r="AI1343">
        <v>94.454376734851195</v>
      </c>
      <c r="AJ1343">
        <v>81.397546933646794</v>
      </c>
      <c r="AK1343">
        <v>14.2985153651923</v>
      </c>
      <c r="AL1343">
        <v>80.474712105262498</v>
      </c>
      <c r="AM1343">
        <v>75.378380301266205</v>
      </c>
      <c r="AN1343">
        <v>1.0000000371687201</v>
      </c>
    </row>
    <row r="1344" spans="1:40" x14ac:dyDescent="0.25">
      <c r="A1344" t="str">
        <f>"20190312164015355"</f>
        <v>20190312164015355</v>
      </c>
      <c r="B1344" t="str">
        <f>"1552380015347406"</f>
        <v>1552380015347406</v>
      </c>
      <c r="C1344" t="s">
        <v>40</v>
      </c>
      <c r="D1344">
        <v>5.6646359999999998</v>
      </c>
      <c r="E1344">
        <v>0.47211760000000003</v>
      </c>
      <c r="F1344" t="s">
        <v>42</v>
      </c>
      <c r="G1344">
        <v>-226.04060000000001</v>
      </c>
      <c r="H1344">
        <v>1.040826</v>
      </c>
      <c r="I1344">
        <v>367.78870000000001</v>
      </c>
      <c r="J1344">
        <v>-226.80889999999999</v>
      </c>
      <c r="K1344">
        <v>1.110493</v>
      </c>
      <c r="L1344">
        <v>367.92399999999998</v>
      </c>
      <c r="M1344">
        <v>0.99990049999999997</v>
      </c>
      <c r="N1344">
        <v>0</v>
      </c>
      <c r="O1344">
        <v>1.9091659999999999E-3</v>
      </c>
      <c r="P1344">
        <v>0.95691309999999996</v>
      </c>
      <c r="Q1344">
        <v>0.15191849999999901</v>
      </c>
      <c r="R1344">
        <v>-0.2474633</v>
      </c>
      <c r="S1344">
        <v>3.0548860000000002</v>
      </c>
      <c r="T1344">
        <v>-0.23440420000000001</v>
      </c>
      <c r="U1344">
        <v>-0.45404050000000001</v>
      </c>
      <c r="V1344">
        <v>0.24931159999999999</v>
      </c>
      <c r="W1344">
        <v>0.16524829999999999</v>
      </c>
      <c r="X1344">
        <v>0.95422050000000003</v>
      </c>
      <c r="Y1344">
        <v>0.14846860000000001</v>
      </c>
      <c r="Z1344">
        <v>-5.8022730000000002E-3</v>
      </c>
      <c r="AA1344">
        <v>0.98890009999999995</v>
      </c>
      <c r="AB1344">
        <v>27</v>
      </c>
      <c r="AC1344">
        <v>0.768299999999982</v>
      </c>
      <c r="AD1344">
        <v>-6.9666999999999896E-2</v>
      </c>
      <c r="AE1344">
        <v>-0.13530000000002901</v>
      </c>
      <c r="AF1344">
        <v>0.135684628927811</v>
      </c>
      <c r="AG1344">
        <v>-6.9666999999999896E-2</v>
      </c>
      <c r="AH1344">
        <v>0.76196363193833505</v>
      </c>
      <c r="AI1344">
        <v>95.143607816335603</v>
      </c>
      <c r="AJ1344">
        <v>79.903044043893701</v>
      </c>
      <c r="AK1344">
        <v>0.77707939479369603</v>
      </c>
      <c r="AL1344">
        <v>80.488341158945502</v>
      </c>
      <c r="AM1344">
        <v>75.3575113006262</v>
      </c>
      <c r="AN1344">
        <v>1.00000001858384</v>
      </c>
    </row>
    <row r="1345" spans="1:40" x14ac:dyDescent="0.25">
      <c r="A1345" t="str">
        <f>"20190312164015367"</f>
        <v>20190312164015367</v>
      </c>
      <c r="B1345" t="str">
        <f>"1552380015357166"</f>
        <v>1552380015357166</v>
      </c>
      <c r="C1345" t="s">
        <v>40</v>
      </c>
      <c r="D1345">
        <v>5.5717460000000001</v>
      </c>
      <c r="E1345">
        <v>0.47208800000000001</v>
      </c>
      <c r="F1345" t="s">
        <v>41</v>
      </c>
      <c r="G1345">
        <v>-212.2756</v>
      </c>
      <c r="H1345" s="1">
        <v>-3.982226E-6</v>
      </c>
      <c r="I1345">
        <v>365.74810000000002</v>
      </c>
      <c r="J1345">
        <v>-226.66409999999999</v>
      </c>
      <c r="K1345">
        <v>1.1104909999999999</v>
      </c>
      <c r="L1345">
        <v>367.92430000000002</v>
      </c>
      <c r="M1345">
        <v>0.99990049999999997</v>
      </c>
      <c r="N1345">
        <v>0</v>
      </c>
      <c r="O1345">
        <v>1.8808690000000001E-3</v>
      </c>
      <c r="P1345">
        <v>0.95684829999999998</v>
      </c>
      <c r="Q1345">
        <v>0.1517599</v>
      </c>
      <c r="R1345">
        <v>-0.2478109</v>
      </c>
      <c r="S1345">
        <v>3.0538789999999998</v>
      </c>
      <c r="T1345">
        <v>-0.23334779999999999</v>
      </c>
      <c r="U1345">
        <v>-0.45721440000000002</v>
      </c>
      <c r="V1345">
        <v>0.24963189999999999</v>
      </c>
      <c r="W1345">
        <v>0.1650874</v>
      </c>
      <c r="X1345">
        <v>0.95416460000000003</v>
      </c>
      <c r="Y1345">
        <v>0.14949409999999999</v>
      </c>
      <c r="Z1345">
        <v>-5.8144E-3</v>
      </c>
      <c r="AA1345">
        <v>0.98874550000000005</v>
      </c>
      <c r="AB1345">
        <v>27</v>
      </c>
      <c r="AC1345">
        <v>14.388499999999899</v>
      </c>
      <c r="AD1345">
        <v>-1.110494982226</v>
      </c>
      <c r="AE1345">
        <v>-2.1761999999999899</v>
      </c>
      <c r="AF1345">
        <v>2.1905054057571198</v>
      </c>
      <c r="AG1345">
        <v>-1.110494982226</v>
      </c>
      <c r="AH1345">
        <v>14.3010994279734</v>
      </c>
      <c r="AI1345">
        <v>94.389180220367507</v>
      </c>
      <c r="AJ1345">
        <v>81.291663087361997</v>
      </c>
      <c r="AK1345">
        <v>14.510443063083301</v>
      </c>
      <c r="AL1345">
        <v>80.497688343084405</v>
      </c>
      <c r="AM1345">
        <v>75.338687577766606</v>
      </c>
      <c r="AN1345">
        <v>1.0000000095147601</v>
      </c>
    </row>
    <row r="1346" spans="1:40" x14ac:dyDescent="0.25">
      <c r="A1346" t="str">
        <f>"20190312164015379"</f>
        <v>20190312164015379</v>
      </c>
      <c r="B1346" t="str">
        <f>"1552380015367903"</f>
        <v>1552380015367903</v>
      </c>
      <c r="C1346" t="s">
        <v>40</v>
      </c>
      <c r="D1346">
        <v>5.620768</v>
      </c>
      <c r="E1346">
        <v>0.47222979999999998</v>
      </c>
      <c r="F1346" t="s">
        <v>41</v>
      </c>
      <c r="G1346">
        <v>-212.01740000000001</v>
      </c>
      <c r="H1346" s="1">
        <v>-4.0972119999999998E-6</v>
      </c>
      <c r="I1346">
        <v>365.7244</v>
      </c>
      <c r="J1346">
        <v>-226.52610000000001</v>
      </c>
      <c r="K1346">
        <v>1.1104909999999999</v>
      </c>
      <c r="L1346">
        <v>367.92450000000002</v>
      </c>
      <c r="M1346">
        <v>0.99990060000000003</v>
      </c>
      <c r="N1346">
        <v>0</v>
      </c>
      <c r="O1346">
        <v>1.854119E-3</v>
      </c>
      <c r="P1346">
        <v>0.95675270000000001</v>
      </c>
      <c r="Q1346">
        <v>0.15161259999999999</v>
      </c>
      <c r="R1346">
        <v>-0.24827099999999999</v>
      </c>
      <c r="S1346">
        <v>3.053223</v>
      </c>
      <c r="T1346">
        <v>-0.2314909</v>
      </c>
      <c r="U1346">
        <v>-0.45858759999999998</v>
      </c>
      <c r="V1346">
        <v>0.25006590000000001</v>
      </c>
      <c r="W1346">
        <v>0.1649379</v>
      </c>
      <c r="X1346">
        <v>0.95407679999999995</v>
      </c>
      <c r="Y1346">
        <v>0.149939299999999</v>
      </c>
      <c r="Z1346">
        <v>-5.7840349999999999E-3</v>
      </c>
      <c r="AA1346">
        <v>0.98867830000000001</v>
      </c>
      <c r="AB1346">
        <v>27</v>
      </c>
      <c r="AC1346">
        <v>14.508699999999999</v>
      </c>
      <c r="AD1346">
        <v>-1.11049509721199</v>
      </c>
      <c r="AE1346">
        <v>-2.2001000000000199</v>
      </c>
      <c r="AF1346">
        <v>2.2143190058405402</v>
      </c>
      <c r="AG1346">
        <v>-1.11049509721199</v>
      </c>
      <c r="AH1346">
        <v>14.422005204268601</v>
      </c>
      <c r="AI1346">
        <v>94.352287828618202</v>
      </c>
      <c r="AJ1346">
        <v>81.271112727577204</v>
      </c>
      <c r="AK1346">
        <v>14.6332034132144</v>
      </c>
      <c r="AL1346">
        <v>80.506373052881003</v>
      </c>
      <c r="AM1346">
        <v>75.313005886868098</v>
      </c>
      <c r="AN1346">
        <v>1.0000000027487299</v>
      </c>
    </row>
    <row r="1347" spans="1:40" x14ac:dyDescent="0.25">
      <c r="A1347" t="str">
        <f>"20190312164015392"</f>
        <v>20190312164015392</v>
      </c>
      <c r="B1347" t="str">
        <f>"1552380015387422"</f>
        <v>1552380015387422</v>
      </c>
      <c r="C1347" t="s">
        <v>40</v>
      </c>
      <c r="D1347">
        <v>5.6962650000000004</v>
      </c>
      <c r="E1347">
        <v>0.47243459999999998</v>
      </c>
      <c r="F1347" t="s">
        <v>42</v>
      </c>
      <c r="G1347">
        <v>-225.56049999999999</v>
      </c>
      <c r="H1347">
        <v>1.037004</v>
      </c>
      <c r="I1347">
        <v>367.77870000000001</v>
      </c>
      <c r="J1347">
        <v>-226.3698</v>
      </c>
      <c r="K1347">
        <v>1.1104889999999901</v>
      </c>
      <c r="L1347">
        <v>367.92469999999997</v>
      </c>
      <c r="M1347">
        <v>0.99990069999999998</v>
      </c>
      <c r="N1347">
        <v>0</v>
      </c>
      <c r="O1347">
        <v>1.8239700000000001E-3</v>
      </c>
      <c r="P1347">
        <v>0.95666260000000003</v>
      </c>
      <c r="Q1347">
        <v>0.15164849999999999</v>
      </c>
      <c r="R1347">
        <v>-0.2485956</v>
      </c>
      <c r="S1347">
        <v>3.0529169999999999</v>
      </c>
      <c r="T1347">
        <v>-0.23255010000000001</v>
      </c>
      <c r="U1347">
        <v>-0.46063229999999999</v>
      </c>
      <c r="V1347">
        <v>0.25036160000000002</v>
      </c>
      <c r="W1347">
        <v>0.164970799999999</v>
      </c>
      <c r="X1347">
        <v>0.9539936</v>
      </c>
      <c r="Y1347">
        <v>0.1505658</v>
      </c>
      <c r="Z1347">
        <v>-5.832126E-3</v>
      </c>
      <c r="AA1347">
        <v>0.98858279999999998</v>
      </c>
      <c r="AB1347">
        <v>26</v>
      </c>
      <c r="AC1347">
        <v>0.80930000000000701</v>
      </c>
      <c r="AD1347">
        <v>-7.34849999999998E-2</v>
      </c>
      <c r="AE1347">
        <v>-0.145999999999958</v>
      </c>
      <c r="AF1347">
        <v>0.14630778770907099</v>
      </c>
      <c r="AG1347">
        <v>-7.34849999999998E-2</v>
      </c>
      <c r="AH1347">
        <v>0.80262346316330702</v>
      </c>
      <c r="AI1347">
        <v>95.146843070809993</v>
      </c>
      <c r="AJ1347">
        <v>79.669156390933907</v>
      </c>
      <c r="AK1347">
        <v>0.81915226764600002</v>
      </c>
      <c r="AL1347">
        <v>80.5044622187378</v>
      </c>
      <c r="AM1347">
        <v>75.295164030709302</v>
      </c>
      <c r="AN1347">
        <v>1.00000004222407</v>
      </c>
    </row>
    <row r="1348" spans="1:40" x14ac:dyDescent="0.25">
      <c r="A1348" t="str">
        <f>"20190312164015405"</f>
        <v>20190312164015405</v>
      </c>
      <c r="B1348" t="str">
        <f>"1552380015397183"</f>
        <v>1552380015397183</v>
      </c>
      <c r="C1348" t="s">
        <v>40</v>
      </c>
      <c r="D1348">
        <v>5.7354799999999999</v>
      </c>
      <c r="E1348">
        <v>0.47244740000000002</v>
      </c>
      <c r="F1348" t="s">
        <v>41</v>
      </c>
      <c r="G1348">
        <v>-211.7071</v>
      </c>
      <c r="H1348" s="1">
        <v>-4.2347920000000003E-6</v>
      </c>
      <c r="I1348">
        <v>365.69920000000002</v>
      </c>
      <c r="J1348">
        <v>-226.22110000000001</v>
      </c>
      <c r="K1348">
        <v>1.1104879999999999</v>
      </c>
      <c r="L1348">
        <v>367.92500000000001</v>
      </c>
      <c r="M1348">
        <v>0.99990060000000003</v>
      </c>
      <c r="N1348">
        <v>0</v>
      </c>
      <c r="O1348">
        <v>1.7953719999999999E-3</v>
      </c>
      <c r="P1348">
        <v>0.95653730000000003</v>
      </c>
      <c r="Q1348">
        <v>0.15156249999999999</v>
      </c>
      <c r="R1348">
        <v>-0.24912889999999999</v>
      </c>
      <c r="S1348">
        <v>3.0521699999999998</v>
      </c>
      <c r="T1348">
        <v>-0.23115849999999999</v>
      </c>
      <c r="U1348">
        <v>-0.46325680000000002</v>
      </c>
      <c r="V1348">
        <v>0.25086750000000002</v>
      </c>
      <c r="W1348">
        <v>0.16488139999999901</v>
      </c>
      <c r="X1348">
        <v>0.9538761</v>
      </c>
      <c r="Y1348">
        <v>0.15140700000000001</v>
      </c>
      <c r="Z1348">
        <v>-5.8278319999999998E-3</v>
      </c>
      <c r="AA1348">
        <v>0.98845430000000001</v>
      </c>
      <c r="AB1348">
        <v>26</v>
      </c>
      <c r="AC1348">
        <v>14.513999999999999</v>
      </c>
      <c r="AD1348">
        <v>-1.1104922347920001</v>
      </c>
      <c r="AE1348">
        <v>-2.2257999999999898</v>
      </c>
      <c r="AF1348">
        <v>2.2390506416130398</v>
      </c>
      <c r="AG1348">
        <v>-1.1104922347920001</v>
      </c>
      <c r="AH1348">
        <v>14.4274615764611</v>
      </c>
      <c r="AI1348">
        <v>94.349554919197303</v>
      </c>
      <c r="AJ1348">
        <v>81.178431464763605</v>
      </c>
      <c r="AK1348">
        <v>14.6423423098732</v>
      </c>
      <c r="AL1348">
        <v>80.509655140432102</v>
      </c>
      <c r="AM1348">
        <v>75.265005814062306</v>
      </c>
      <c r="AN1348">
        <v>0.999999996386709</v>
      </c>
    </row>
    <row r="1349" spans="1:40" x14ac:dyDescent="0.25">
      <c r="A1349" t="str">
        <f>"20190312164015422"</f>
        <v>20190312164015422</v>
      </c>
      <c r="B1349" t="str">
        <f>"1552380015417678"</f>
        <v>1552380015417678</v>
      </c>
      <c r="C1349" t="s">
        <v>40</v>
      </c>
      <c r="D1349">
        <v>5.6126649999999998</v>
      </c>
      <c r="E1349">
        <v>0.47261340000000002</v>
      </c>
      <c r="F1349" t="s">
        <v>41</v>
      </c>
      <c r="G1349">
        <v>-211.4888</v>
      </c>
      <c r="H1349" s="1">
        <v>-4.3318300000000002E-6</v>
      </c>
      <c r="I1349">
        <v>365.68029999999999</v>
      </c>
      <c r="J1349">
        <v>-226.01830000000001</v>
      </c>
      <c r="K1349">
        <v>1.110482</v>
      </c>
      <c r="L1349">
        <v>367.92529999999999</v>
      </c>
      <c r="M1349">
        <v>0.99990089999999998</v>
      </c>
      <c r="N1349">
        <v>0</v>
      </c>
      <c r="O1349">
        <v>1.7561110000000001E-3</v>
      </c>
      <c r="P1349">
        <v>0.95614060000000001</v>
      </c>
      <c r="Q1349">
        <v>0.15194769999999999</v>
      </c>
      <c r="R1349">
        <v>-0.25041459999999999</v>
      </c>
      <c r="S1349">
        <v>3.051666</v>
      </c>
      <c r="T1349">
        <v>-0.23002729999999999</v>
      </c>
      <c r="U1349">
        <v>-0.46496579999999899</v>
      </c>
      <c r="V1349">
        <v>0.25211479999999997</v>
      </c>
      <c r="W1349">
        <v>0.16525960000000001</v>
      </c>
      <c r="X1349">
        <v>0.95348169999999999</v>
      </c>
      <c r="Y1349">
        <v>0.15193609999999999</v>
      </c>
      <c r="Z1349">
        <v>-5.8169559999999999E-3</v>
      </c>
      <c r="AA1349">
        <v>0.98837319999999995</v>
      </c>
      <c r="AB1349">
        <v>26</v>
      </c>
      <c r="AC1349">
        <v>14.529500000000001</v>
      </c>
      <c r="AD1349">
        <v>-1.11048633183</v>
      </c>
      <c r="AE1349">
        <v>-2.2450000000000001</v>
      </c>
      <c r="AF1349">
        <v>2.2576339642229701</v>
      </c>
      <c r="AG1349">
        <v>-1.11048633183</v>
      </c>
      <c r="AH1349">
        <v>14.443132343910699</v>
      </c>
      <c r="AI1349">
        <v>94.344094794752493</v>
      </c>
      <c r="AJ1349">
        <v>81.115876839129498</v>
      </c>
      <c r="AK1349">
        <v>14.6606331006991</v>
      </c>
      <c r="AL1349">
        <v>80.487684320500307</v>
      </c>
      <c r="AM1349">
        <v>75.189099731128096</v>
      </c>
      <c r="AN1349">
        <v>0.99999998000304402</v>
      </c>
    </row>
    <row r="1350" spans="1:40" x14ac:dyDescent="0.25">
      <c r="A1350" t="str">
        <f>"20190312164015436"</f>
        <v>20190312164015436</v>
      </c>
      <c r="B1350" t="str">
        <f>"1552380015427438"</f>
        <v>1552380015427438</v>
      </c>
      <c r="C1350" t="s">
        <v>40</v>
      </c>
      <c r="D1350">
        <v>5.6496919999999999</v>
      </c>
      <c r="E1350">
        <v>0.47260770000000002</v>
      </c>
      <c r="F1350" t="s">
        <v>41</v>
      </c>
      <c r="G1350">
        <v>-211.20760000000001</v>
      </c>
      <c r="H1350" s="1">
        <v>-4.4586339999999996E-6</v>
      </c>
      <c r="I1350">
        <v>365.6454</v>
      </c>
      <c r="J1350">
        <v>-225.8569</v>
      </c>
      <c r="K1350">
        <v>1.110473</v>
      </c>
      <c r="L1350">
        <v>367.92559999999997</v>
      </c>
      <c r="M1350">
        <v>0.99990089999999998</v>
      </c>
      <c r="N1350">
        <v>0</v>
      </c>
      <c r="O1350">
        <v>1.7246570000000001E-3</v>
      </c>
      <c r="P1350">
        <v>0.95593260000000002</v>
      </c>
      <c r="Q1350">
        <v>0.15192050000000001</v>
      </c>
      <c r="R1350">
        <v>-0.251224</v>
      </c>
      <c r="S1350">
        <v>3.05098</v>
      </c>
      <c r="T1350">
        <v>-0.22875619999999999</v>
      </c>
      <c r="U1350">
        <v>-0.46963500000000002</v>
      </c>
      <c r="V1350">
        <v>0.2528936</v>
      </c>
      <c r="W1350">
        <v>0.16522800000000001</v>
      </c>
      <c r="X1350">
        <v>0.95328089999999999</v>
      </c>
      <c r="Y1350">
        <v>0.15341649999999901</v>
      </c>
      <c r="Z1350">
        <v>-5.8382750000000004E-3</v>
      </c>
      <c r="AA1350">
        <v>0.98814429999999998</v>
      </c>
      <c r="AB1350">
        <v>26</v>
      </c>
      <c r="AC1350">
        <v>14.649299999999901</v>
      </c>
      <c r="AD1350">
        <v>-1.110477458634</v>
      </c>
      <c r="AE1350">
        <v>-2.2801999999999798</v>
      </c>
      <c r="AF1350">
        <v>2.2926018151941299</v>
      </c>
      <c r="AG1350">
        <v>-1.110477458634</v>
      </c>
      <c r="AH1350">
        <v>14.5636382900374</v>
      </c>
      <c r="AI1350">
        <v>94.307523672680404</v>
      </c>
      <c r="AJ1350">
        <v>81.053937621777095</v>
      </c>
      <c r="AK1350">
        <v>14.7847469884408</v>
      </c>
      <c r="AL1350">
        <v>80.489520004337393</v>
      </c>
      <c r="AM1350">
        <v>75.1423771449452</v>
      </c>
      <c r="AN1350">
        <v>0.99999996960488402</v>
      </c>
    </row>
    <row r="1351" spans="1:40" x14ac:dyDescent="0.25">
      <c r="A1351" t="str">
        <f>"20190312164015454"</f>
        <v>20190312164015454</v>
      </c>
      <c r="B1351" t="str">
        <f>"1552380015446958"</f>
        <v>1552380015446958</v>
      </c>
      <c r="C1351" t="s">
        <v>40</v>
      </c>
      <c r="D1351">
        <v>5.6654109999999998</v>
      </c>
      <c r="E1351">
        <v>0.47291549999999999</v>
      </c>
      <c r="F1351" t="s">
        <v>41</v>
      </c>
      <c r="G1351">
        <v>-211.238</v>
      </c>
      <c r="H1351" s="1">
        <v>-4.4422030000000003E-6</v>
      </c>
      <c r="I1351">
        <v>365.66449999999998</v>
      </c>
      <c r="J1351">
        <v>-225.6318</v>
      </c>
      <c r="K1351">
        <v>1.110465</v>
      </c>
      <c r="L1351">
        <v>367.92590000000001</v>
      </c>
      <c r="M1351">
        <v>0.99990089999999998</v>
      </c>
      <c r="N1351">
        <v>0</v>
      </c>
      <c r="O1351">
        <v>1.68122E-3</v>
      </c>
      <c r="P1351">
        <v>0.95542369999999999</v>
      </c>
      <c r="Q1351">
        <v>0.15244369999999999</v>
      </c>
      <c r="R1351">
        <v>-0.25283709999999998</v>
      </c>
      <c r="S1351">
        <v>3.0511020000000002</v>
      </c>
      <c r="T1351">
        <v>-0.23176569999999999</v>
      </c>
      <c r="U1351">
        <v>-0.47189330000000002</v>
      </c>
      <c r="V1351">
        <v>0.25446469999999999</v>
      </c>
      <c r="W1351">
        <v>0.1657411</v>
      </c>
      <c r="X1351">
        <v>0.9527736</v>
      </c>
      <c r="Y1351">
        <v>0.15406909999999999</v>
      </c>
      <c r="Z1351">
        <v>-5.9356359999999898E-3</v>
      </c>
      <c r="AA1351">
        <v>0.98804219999999998</v>
      </c>
      <c r="AB1351">
        <v>26</v>
      </c>
      <c r="AC1351">
        <v>14.393800000000001</v>
      </c>
      <c r="AD1351">
        <v>-1.1104694422029999</v>
      </c>
      <c r="AE1351">
        <v>-2.2614000000000298</v>
      </c>
      <c r="AF1351">
        <v>2.2723988212231001</v>
      </c>
      <c r="AG1351">
        <v>-1.1104694422029999</v>
      </c>
      <c r="AH1351">
        <v>14.306874241348799</v>
      </c>
      <c r="AI1351">
        <v>94.383548069981003</v>
      </c>
      <c r="AJ1351">
        <v>80.974949378533196</v>
      </c>
      <c r="AK1351">
        <v>14.528716025256101</v>
      </c>
      <c r="AL1351">
        <v>80.459710486135293</v>
      </c>
      <c r="AM1351">
        <v>75.046591474558994</v>
      </c>
      <c r="AN1351">
        <v>0.99999996431612903</v>
      </c>
    </row>
    <row r="1352" spans="1:40" x14ac:dyDescent="0.25">
      <c r="A1352" t="str">
        <f>"20190312164015477"</f>
        <v>20190312164015477</v>
      </c>
      <c r="B1352" t="str">
        <f>"1552380015467457"</f>
        <v>1552380015467457</v>
      </c>
      <c r="C1352" t="s">
        <v>40</v>
      </c>
      <c r="D1352">
        <v>5.627434</v>
      </c>
      <c r="E1352">
        <v>0.47311150000000002</v>
      </c>
      <c r="F1352" t="s">
        <v>41</v>
      </c>
      <c r="G1352">
        <v>-210.90950000000001</v>
      </c>
      <c r="H1352" s="1">
        <v>-4.5923449999999998E-6</v>
      </c>
      <c r="I1352">
        <v>365.61239999999998</v>
      </c>
      <c r="J1352">
        <v>-225.37649999999999</v>
      </c>
      <c r="K1352">
        <v>1.110457</v>
      </c>
      <c r="L1352">
        <v>367.92619999999999</v>
      </c>
      <c r="M1352">
        <v>0.99990100000000004</v>
      </c>
      <c r="N1352">
        <v>0</v>
      </c>
      <c r="O1352">
        <v>1.626424E-3</v>
      </c>
      <c r="P1352">
        <v>0.9547909</v>
      </c>
      <c r="Q1352">
        <v>0.15278699999999901</v>
      </c>
      <c r="R1352">
        <v>-0.25500990000000001</v>
      </c>
      <c r="S1352">
        <v>3.0498660000000002</v>
      </c>
      <c r="T1352">
        <v>-0.2300442</v>
      </c>
      <c r="U1352">
        <v>-0.47924800000000001</v>
      </c>
      <c r="V1352">
        <v>0.25658540000000002</v>
      </c>
      <c r="W1352">
        <v>0.1660712</v>
      </c>
      <c r="X1352">
        <v>0.95214719999999997</v>
      </c>
      <c r="Y1352">
        <v>0.15640109999999999</v>
      </c>
      <c r="Z1352">
        <v>-5.9761279999999998E-3</v>
      </c>
      <c r="AA1352">
        <v>0.98767550000000004</v>
      </c>
      <c r="AB1352">
        <v>26</v>
      </c>
      <c r="AC1352">
        <v>14.466999999999899</v>
      </c>
      <c r="AD1352">
        <v>-1.1104615923450001</v>
      </c>
      <c r="AE1352">
        <v>-2.3138000000000098</v>
      </c>
      <c r="AF1352">
        <v>2.32397774762621</v>
      </c>
      <c r="AG1352">
        <v>-1.1104615923450001</v>
      </c>
      <c r="AH1352">
        <v>14.380602483764999</v>
      </c>
      <c r="AI1352">
        <v>94.359249190360302</v>
      </c>
      <c r="AJ1352">
        <v>80.820079401880093</v>
      </c>
      <c r="AK1352">
        <v>14.60943959622</v>
      </c>
      <c r="AL1352">
        <v>80.440531706654895</v>
      </c>
      <c r="AM1352">
        <v>74.918154584159595</v>
      </c>
      <c r="AN1352">
        <v>1.0000000007152099</v>
      </c>
    </row>
    <row r="1353" spans="1:40" x14ac:dyDescent="0.25">
      <c r="A1353" t="str">
        <f>"20190312164015489"</f>
        <v>20190312164015489</v>
      </c>
      <c r="B1353" t="str">
        <f>"1552380015477214"</f>
        <v>1552380015477214</v>
      </c>
      <c r="C1353" t="s">
        <v>40</v>
      </c>
      <c r="D1353">
        <v>5.7556089999999998</v>
      </c>
      <c r="E1353">
        <v>0.47339360000000003</v>
      </c>
      <c r="F1353" t="s">
        <v>41</v>
      </c>
      <c r="G1353">
        <v>-210.6721</v>
      </c>
      <c r="H1353" s="1">
        <v>-4.7004790000000002E-6</v>
      </c>
      <c r="I1353">
        <v>365.577</v>
      </c>
      <c r="J1353">
        <v>-225.2261</v>
      </c>
      <c r="K1353">
        <v>1.110455</v>
      </c>
      <c r="L1353">
        <v>367.92649999999998</v>
      </c>
      <c r="M1353">
        <v>0.99990120000000005</v>
      </c>
      <c r="N1353">
        <v>0</v>
      </c>
      <c r="O1353">
        <v>1.587445E-3</v>
      </c>
      <c r="P1353">
        <v>0.95439390000000002</v>
      </c>
      <c r="Q1353">
        <v>0.1527066</v>
      </c>
      <c r="R1353">
        <v>-0.25654080000000001</v>
      </c>
      <c r="S1353">
        <v>3.0487820000000001</v>
      </c>
      <c r="T1353">
        <v>-0.23024120000000001</v>
      </c>
      <c r="U1353">
        <v>-0.4870911</v>
      </c>
      <c r="V1353">
        <v>0.25807989999999997</v>
      </c>
      <c r="W1353">
        <v>0.165981399999999</v>
      </c>
      <c r="X1353">
        <v>0.95175889999999996</v>
      </c>
      <c r="Y1353">
        <v>0.1588869</v>
      </c>
      <c r="Z1353">
        <v>-6.0723510000000001E-3</v>
      </c>
      <c r="AA1353">
        <v>0.98727810000000005</v>
      </c>
      <c r="AB1353">
        <v>26</v>
      </c>
      <c r="AC1353">
        <v>14.554</v>
      </c>
      <c r="AD1353">
        <v>-1.110459700479</v>
      </c>
      <c r="AE1353">
        <v>-2.3494999999999702</v>
      </c>
      <c r="AF1353">
        <v>2.3592174310573202</v>
      </c>
      <c r="AG1353">
        <v>-1.110459700479</v>
      </c>
      <c r="AH1353">
        <v>14.468163302500299</v>
      </c>
      <c r="AI1353">
        <v>94.3319655462453</v>
      </c>
      <c r="AJ1353">
        <v>80.738706981937099</v>
      </c>
      <c r="AK1353">
        <v>14.701250864508401</v>
      </c>
      <c r="AL1353">
        <v>80.445749580727906</v>
      </c>
      <c r="AM1353">
        <v>74.828442176317296</v>
      </c>
      <c r="AN1353">
        <v>1.0000000318295801</v>
      </c>
    </row>
    <row r="1354" spans="1:40" x14ac:dyDescent="0.25">
      <c r="A1354" t="str">
        <f>"20190312164015503"</f>
        <v>20190312164015503</v>
      </c>
      <c r="B1354" t="str">
        <f>"1552380015497711"</f>
        <v>1552380015497711</v>
      </c>
      <c r="C1354" t="s">
        <v>40</v>
      </c>
      <c r="D1354">
        <v>5.6127180000000001</v>
      </c>
      <c r="E1354">
        <v>0.47345989999999999</v>
      </c>
      <c r="F1354" t="s">
        <v>41</v>
      </c>
      <c r="G1354">
        <v>-210.73689999999999</v>
      </c>
      <c r="H1354" s="1">
        <v>-4.6719409999999998E-6</v>
      </c>
      <c r="I1354">
        <v>365.58120000000002</v>
      </c>
      <c r="J1354">
        <v>-225.06379999999999</v>
      </c>
      <c r="K1354">
        <v>1.1104529999999999</v>
      </c>
      <c r="L1354">
        <v>367.92660000000001</v>
      </c>
      <c r="M1354">
        <v>0.99990129999999999</v>
      </c>
      <c r="N1354">
        <v>0</v>
      </c>
      <c r="O1354">
        <v>1.5402059999999999E-3</v>
      </c>
      <c r="P1354">
        <v>0.95402900000000002</v>
      </c>
      <c r="Q1354">
        <v>0.15292809999999901</v>
      </c>
      <c r="R1354">
        <v>-0.25776290000000002</v>
      </c>
      <c r="S1354">
        <v>3.0481259999999999</v>
      </c>
      <c r="T1354">
        <v>-0.23360909999999999</v>
      </c>
      <c r="U1354">
        <v>-0.49337769999999997</v>
      </c>
      <c r="V1354">
        <v>0.25925900000000002</v>
      </c>
      <c r="W1354">
        <v>0.16619200000000001</v>
      </c>
      <c r="X1354">
        <v>0.95140159999999996</v>
      </c>
      <c r="Y1354">
        <v>0.16083929999999999</v>
      </c>
      <c r="Z1354">
        <v>-6.2318640000000002E-3</v>
      </c>
      <c r="AA1354">
        <v>0.98696090000000003</v>
      </c>
      <c r="AB1354">
        <v>26</v>
      </c>
      <c r="AC1354">
        <v>14.326899999999901</v>
      </c>
      <c r="AD1354">
        <v>-1.110457671941</v>
      </c>
      <c r="AE1354">
        <v>-2.3453999999999802</v>
      </c>
      <c r="AF1354">
        <v>2.3536947941602899</v>
      </c>
      <c r="AG1354">
        <v>-1.110457671941</v>
      </c>
      <c r="AH1354">
        <v>14.239955391874799</v>
      </c>
      <c r="AI1354">
        <v>94.399551163645398</v>
      </c>
      <c r="AJ1354">
        <v>80.614547698702793</v>
      </c>
      <c r="AK1354">
        <v>14.4758186292801</v>
      </c>
      <c r="AL1354">
        <v>80.4335129021906</v>
      </c>
      <c r="AM1354">
        <v>74.756886549915507</v>
      </c>
      <c r="AN1354">
        <v>1.00000000721377</v>
      </c>
    </row>
    <row r="1355" spans="1:40" x14ac:dyDescent="0.25">
      <c r="A1355" t="str">
        <f>"20190312164015522"</f>
        <v>20190312164015522</v>
      </c>
      <c r="B1355" t="str">
        <f>"1552380015517230"</f>
        <v>1552380015517230</v>
      </c>
      <c r="C1355" t="s">
        <v>40</v>
      </c>
      <c r="D1355">
        <v>5.558916</v>
      </c>
      <c r="E1355">
        <v>0.47369499999999998</v>
      </c>
      <c r="F1355" t="s">
        <v>41</v>
      </c>
      <c r="G1355">
        <v>-210.66419999999999</v>
      </c>
      <c r="H1355" s="1">
        <v>-4.7034879999999996E-6</v>
      </c>
      <c r="I1355">
        <v>365.57920000000001</v>
      </c>
      <c r="J1355">
        <v>-224.84450000000001</v>
      </c>
      <c r="K1355">
        <v>1.1104499999999999</v>
      </c>
      <c r="L1355">
        <v>367.92689999999999</v>
      </c>
      <c r="M1355">
        <v>0.9999015</v>
      </c>
      <c r="N1355">
        <v>0</v>
      </c>
      <c r="O1355">
        <v>1.4615079999999901E-3</v>
      </c>
      <c r="P1355">
        <v>0.95328020000000002</v>
      </c>
      <c r="Q1355">
        <v>0.15292559999999999</v>
      </c>
      <c r="R1355">
        <v>-0.26052110000000001</v>
      </c>
      <c r="S1355">
        <v>3.0479579999999999</v>
      </c>
      <c r="T1355">
        <v>-0.23504939999999999</v>
      </c>
      <c r="U1355">
        <v>-0.49688719999999997</v>
      </c>
      <c r="V1355">
        <v>0.26194610000000002</v>
      </c>
      <c r="W1355">
        <v>0.1661685</v>
      </c>
      <c r="X1355">
        <v>0.9506694</v>
      </c>
      <c r="Y1355">
        <v>0.16186889999999901</v>
      </c>
      <c r="Z1355">
        <v>-6.3033019999999898E-3</v>
      </c>
      <c r="AA1355">
        <v>0.98679209999999995</v>
      </c>
      <c r="AB1355">
        <v>26</v>
      </c>
      <c r="AC1355">
        <v>14.180300000000001</v>
      </c>
      <c r="AD1355">
        <v>-1.1104547034879999</v>
      </c>
      <c r="AE1355">
        <v>-2.3476999999999699</v>
      </c>
      <c r="AF1355">
        <v>2.3543713649052598</v>
      </c>
      <c r="AG1355">
        <v>-1.1104547034879999</v>
      </c>
      <c r="AH1355">
        <v>14.0927366286547</v>
      </c>
      <c r="AI1355">
        <v>94.444045219452605</v>
      </c>
      <c r="AJ1355">
        <v>80.515598543106194</v>
      </c>
      <c r="AK1355">
        <v>14.331133934794201</v>
      </c>
      <c r="AL1355">
        <v>80.4348784516596</v>
      </c>
      <c r="AM1355">
        <v>74.5950637362225</v>
      </c>
      <c r="AN1355">
        <v>1.0000000188969</v>
      </c>
    </row>
    <row r="1356" spans="1:40" x14ac:dyDescent="0.25">
      <c r="A1356" t="str">
        <f>"20190312164015534"</f>
        <v>20190312164015534</v>
      </c>
      <c r="B1356" t="str">
        <f>"1552380015526991"</f>
        <v>1552380015526991</v>
      </c>
      <c r="C1356" t="s">
        <v>40</v>
      </c>
      <c r="D1356">
        <v>5.603383</v>
      </c>
      <c r="E1356">
        <v>0.47379369999999998</v>
      </c>
      <c r="F1356" t="s">
        <v>41</v>
      </c>
      <c r="G1356">
        <v>-210.32040000000001</v>
      </c>
      <c r="H1356" s="1">
        <v>-4.8635659999999998E-6</v>
      </c>
      <c r="I1356">
        <v>365.50810000000001</v>
      </c>
      <c r="J1356">
        <v>-224.69409999999999</v>
      </c>
      <c r="K1356">
        <v>1.110441</v>
      </c>
      <c r="L1356">
        <v>367.92700000000002</v>
      </c>
      <c r="M1356">
        <v>0.99990159999999995</v>
      </c>
      <c r="N1356">
        <v>0</v>
      </c>
      <c r="O1356">
        <v>1.3964800000000001E-3</v>
      </c>
      <c r="P1356">
        <v>0.95293249999999996</v>
      </c>
      <c r="Q1356">
        <v>0.15304809999999999</v>
      </c>
      <c r="R1356">
        <v>-0.26171749999999999</v>
      </c>
      <c r="S1356">
        <v>3.0457610000000002</v>
      </c>
      <c r="T1356">
        <v>-0.2328674</v>
      </c>
      <c r="U1356">
        <v>-0.50723269999999998</v>
      </c>
      <c r="V1356">
        <v>0.2630844</v>
      </c>
      <c r="W1356">
        <v>0.1662776</v>
      </c>
      <c r="X1356">
        <v>0.95033590000000001</v>
      </c>
      <c r="Y1356">
        <v>0.1651792</v>
      </c>
      <c r="Z1356">
        <v>-6.3682499999999998E-3</v>
      </c>
      <c r="AA1356">
        <v>0.98624299999999998</v>
      </c>
      <c r="AB1356">
        <v>26</v>
      </c>
      <c r="AC1356">
        <v>14.3736999999999</v>
      </c>
      <c r="AD1356">
        <v>-1.1104458635659999</v>
      </c>
      <c r="AE1356">
        <v>-2.4188999999999501</v>
      </c>
      <c r="AF1356">
        <v>2.4248980150705899</v>
      </c>
      <c r="AG1356">
        <v>-1.1104458635659999</v>
      </c>
      <c r="AH1356">
        <v>14.2873833916116</v>
      </c>
      <c r="AI1356">
        <v>94.381802052231095</v>
      </c>
      <c r="AJ1356">
        <v>80.367378804278999</v>
      </c>
      <c r="AK1356">
        <v>14.5341853771824</v>
      </c>
      <c r="AL1356">
        <v>80.428538939481101</v>
      </c>
      <c r="AM1356">
        <v>74.526151921385093</v>
      </c>
      <c r="AN1356">
        <v>0.99999998230696396</v>
      </c>
    </row>
    <row r="1357" spans="1:40" x14ac:dyDescent="0.25">
      <c r="A1357" t="str">
        <f>"20190312164015546"</f>
        <v>20190312164015546</v>
      </c>
      <c r="B1357" t="str">
        <f>"1552380015537726"</f>
        <v>1552380015537726</v>
      </c>
      <c r="C1357" t="s">
        <v>40</v>
      </c>
      <c r="D1357">
        <v>5.538157</v>
      </c>
      <c r="E1357">
        <v>0.47379369999999998</v>
      </c>
      <c r="F1357" t="s">
        <v>41</v>
      </c>
      <c r="G1357">
        <v>-210.02959999999999</v>
      </c>
      <c r="H1357" s="1">
        <v>-4.9966800000000002E-6</v>
      </c>
      <c r="I1357">
        <v>365.46100000000001</v>
      </c>
      <c r="J1357">
        <v>-224.5549</v>
      </c>
      <c r="K1357">
        <v>1.1104320000000001</v>
      </c>
      <c r="L1357">
        <v>367.92720000000003</v>
      </c>
      <c r="M1357">
        <v>0.9999017</v>
      </c>
      <c r="N1357">
        <v>0</v>
      </c>
      <c r="O1357">
        <v>1.325002E-3</v>
      </c>
      <c r="P1357">
        <v>0.95253410000000005</v>
      </c>
      <c r="Q1357">
        <v>0.15324989999999999</v>
      </c>
      <c r="R1357">
        <v>-0.2630461</v>
      </c>
      <c r="S1357">
        <v>3.0445859999999998</v>
      </c>
      <c r="T1357">
        <v>-0.23054669999999999</v>
      </c>
      <c r="U1357">
        <v>-0.51199340000000004</v>
      </c>
      <c r="V1357">
        <v>0.26434940000000001</v>
      </c>
      <c r="W1357">
        <v>0.16646520000000001</v>
      </c>
      <c r="X1357">
        <v>0.94995189999999996</v>
      </c>
      <c r="Y1357">
        <v>0.1666755</v>
      </c>
      <c r="Z1357">
        <v>-6.3573669999999896E-3</v>
      </c>
      <c r="AA1357">
        <v>0.98599130000000001</v>
      </c>
      <c r="AB1357">
        <v>26</v>
      </c>
      <c r="AC1357">
        <v>14.5253</v>
      </c>
      <c r="AD1357">
        <v>-1.1104369966799901</v>
      </c>
      <c r="AE1357">
        <v>-2.4662000000000099</v>
      </c>
      <c r="AF1357">
        <v>2.4714066607149201</v>
      </c>
      <c r="AG1357">
        <v>-1.1104369966799901</v>
      </c>
      <c r="AH1357">
        <v>14.4399912306421</v>
      </c>
      <c r="AI1357">
        <v>94.334615598445794</v>
      </c>
      <c r="AJ1357">
        <v>80.287919135939205</v>
      </c>
      <c r="AK1357">
        <v>14.691979715043299</v>
      </c>
      <c r="AL1357">
        <v>80.417637923740301</v>
      </c>
      <c r="AM1357">
        <v>74.449358471384699</v>
      </c>
      <c r="AN1357">
        <v>0.99999994020250305</v>
      </c>
    </row>
    <row r="1358" spans="1:40" x14ac:dyDescent="0.25">
      <c r="A1358" t="str">
        <f>"20190312164015559"</f>
        <v>20190312164015559</v>
      </c>
      <c r="B1358" t="str">
        <f>"1552380015547486"</f>
        <v>1552380015547486</v>
      </c>
      <c r="C1358" t="s">
        <v>40</v>
      </c>
      <c r="D1358">
        <v>5.7661189999999998</v>
      </c>
      <c r="E1358">
        <v>0.49467650000000002</v>
      </c>
      <c r="F1358" t="s">
        <v>45</v>
      </c>
      <c r="G1358">
        <v>-209.85749999999999</v>
      </c>
      <c r="H1358" s="1">
        <v>-5.8906580000000003E-6</v>
      </c>
      <c r="I1358">
        <v>365.43360000000001</v>
      </c>
      <c r="J1358">
        <v>-224.41370000000001</v>
      </c>
      <c r="K1358">
        <v>1.110422</v>
      </c>
      <c r="L1358">
        <v>367.92720000000003</v>
      </c>
      <c r="M1358">
        <v>0.99990179999999995</v>
      </c>
      <c r="N1358">
        <v>0</v>
      </c>
      <c r="O1358">
        <v>1.2469499999999999E-3</v>
      </c>
      <c r="P1358">
        <v>0.95212920000000001</v>
      </c>
      <c r="Q1358">
        <v>0.15339239999999901</v>
      </c>
      <c r="R1358">
        <v>-0.26442589999999999</v>
      </c>
      <c r="S1358">
        <v>3.0438839999999998</v>
      </c>
      <c r="T1358">
        <v>-0.22997500000000001</v>
      </c>
      <c r="U1358">
        <v>-0.5164185</v>
      </c>
      <c r="V1358">
        <v>0.26565929999999999</v>
      </c>
      <c r="W1358">
        <v>0.16659170000000001</v>
      </c>
      <c r="X1358">
        <v>0.94956430000000003</v>
      </c>
      <c r="Y1358">
        <v>0.16802790000000001</v>
      </c>
      <c r="Z1358">
        <v>-6.3871319999999898E-3</v>
      </c>
      <c r="AA1358">
        <v>0.98576149999999996</v>
      </c>
      <c r="AB1358">
        <v>26</v>
      </c>
      <c r="AC1358">
        <v>14.5562</v>
      </c>
      <c r="AD1358">
        <v>-1.1104278906580001</v>
      </c>
      <c r="AE1358">
        <v>-2.49360000000001</v>
      </c>
      <c r="AF1358">
        <v>2.49763014664578</v>
      </c>
      <c r="AG1358">
        <v>-1.1104278906580001</v>
      </c>
      <c r="AH1358">
        <v>14.471264620907499</v>
      </c>
      <c r="AI1358">
        <v>94.324211147051102</v>
      </c>
      <c r="AJ1358">
        <v>80.207655824900399</v>
      </c>
      <c r="AK1358">
        <v>14.7271418197189</v>
      </c>
      <c r="AL1358">
        <v>80.410288034885099</v>
      </c>
      <c r="AM1358">
        <v>74.369991278407895</v>
      </c>
      <c r="AN1358">
        <v>1.0000000090099299</v>
      </c>
    </row>
    <row r="1359" spans="1:40" x14ac:dyDescent="0.25">
      <c r="A1359" t="str">
        <f>"20190312164015570"</f>
        <v>20190312164015570</v>
      </c>
      <c r="B1359" t="str">
        <f>"1552380015567007"</f>
        <v>1552380015567007</v>
      </c>
      <c r="C1359" t="s">
        <v>40</v>
      </c>
      <c r="D1359">
        <v>5.6156449999999998</v>
      </c>
      <c r="E1359">
        <v>0.50266080000000002</v>
      </c>
      <c r="F1359" t="s">
        <v>45</v>
      </c>
      <c r="G1359">
        <v>-204.4162</v>
      </c>
      <c r="H1359" s="1">
        <v>-4.0588479999999996E-6</v>
      </c>
      <c r="I1359">
        <v>363.31270000000001</v>
      </c>
      <c r="J1359">
        <v>-224.26949999999999</v>
      </c>
      <c r="K1359">
        <v>1.1104080000000001</v>
      </c>
      <c r="L1359">
        <v>367.9273</v>
      </c>
      <c r="M1359">
        <v>0.99990210000000002</v>
      </c>
      <c r="N1359">
        <v>0</v>
      </c>
      <c r="O1359">
        <v>1.1442689999999901E-3</v>
      </c>
      <c r="P1359">
        <v>0.95177670000000003</v>
      </c>
      <c r="Q1359">
        <v>0.15341489999999999</v>
      </c>
      <c r="R1359">
        <v>-0.2656789</v>
      </c>
      <c r="S1359">
        <v>2.9861759999999999</v>
      </c>
      <c r="T1359">
        <v>-0.16581770000000001</v>
      </c>
      <c r="U1359">
        <v>-0.68908689999999995</v>
      </c>
      <c r="V1359">
        <v>0.26682129999999998</v>
      </c>
      <c r="W1359">
        <v>0.16659740000000001</v>
      </c>
      <c r="X1359">
        <v>0.94923749999999996</v>
      </c>
      <c r="Y1359">
        <v>0.22563330000000001</v>
      </c>
      <c r="Z1359">
        <v>-6.2413869999999897E-3</v>
      </c>
      <c r="AA1359">
        <v>0.97419230000000001</v>
      </c>
      <c r="AB1359">
        <v>26</v>
      </c>
      <c r="AC1359">
        <v>19.853299999999901</v>
      </c>
      <c r="AD1359">
        <v>-1.110412058848</v>
      </c>
      <c r="AE1359">
        <v>-4.6145999999999896</v>
      </c>
      <c r="AF1359">
        <v>4.6235942639224801</v>
      </c>
      <c r="AG1359">
        <v>-1.110412058848</v>
      </c>
      <c r="AH1359">
        <v>19.789273241395399</v>
      </c>
      <c r="AI1359">
        <v>93.127546908020093</v>
      </c>
      <c r="AJ1359">
        <v>76.8492372072606</v>
      </c>
      <c r="AK1359">
        <v>20.3525422068208</v>
      </c>
      <c r="AL1359">
        <v>80.409957368338496</v>
      </c>
      <c r="AM1359">
        <v>74.299850520868404</v>
      </c>
      <c r="AN1359">
        <v>1.0000000656133401</v>
      </c>
    </row>
    <row r="1360" spans="1:40" x14ac:dyDescent="0.25">
      <c r="A1360" t="str">
        <f>"20190312164015583"</f>
        <v>20190312164015583</v>
      </c>
      <c r="B1360" t="str">
        <f>"1552380015577742"</f>
        <v>1552380015577742</v>
      </c>
      <c r="C1360" t="s">
        <v>40</v>
      </c>
      <c r="D1360">
        <v>5.6816060000000004</v>
      </c>
      <c r="E1360">
        <v>0.50530540000000002</v>
      </c>
      <c r="F1360" t="s">
        <v>45</v>
      </c>
      <c r="G1360">
        <v>-206.5266</v>
      </c>
      <c r="H1360" s="1">
        <v>-5.0380790000000002E-6</v>
      </c>
      <c r="I1360">
        <v>363.42829999999998</v>
      </c>
      <c r="J1360">
        <v>-224.12360000000001</v>
      </c>
      <c r="K1360">
        <v>1.1103909999999999</v>
      </c>
      <c r="L1360">
        <v>367.9273</v>
      </c>
      <c r="M1360">
        <v>0.99990199999999996</v>
      </c>
      <c r="N1360">
        <v>0</v>
      </c>
      <c r="O1360">
        <v>1.0280300000000001E-3</v>
      </c>
      <c r="P1360">
        <v>0.95137879999999997</v>
      </c>
      <c r="Q1360">
        <v>0.1535127</v>
      </c>
      <c r="R1360">
        <v>-0.26704319999999998</v>
      </c>
      <c r="S1360">
        <v>2.9716339999999999</v>
      </c>
      <c r="T1360">
        <v>-0.1859748</v>
      </c>
      <c r="U1360">
        <v>-0.75350950000000005</v>
      </c>
      <c r="V1360">
        <v>0.2680823</v>
      </c>
      <c r="W1360">
        <v>0.16667589999999999</v>
      </c>
      <c r="X1360">
        <v>0.9488683</v>
      </c>
      <c r="Y1360">
        <v>0.24633050000000001</v>
      </c>
      <c r="Z1360">
        <v>-7.6442339999999998E-3</v>
      </c>
      <c r="AA1360">
        <v>0.96915569999999895</v>
      </c>
      <c r="AB1360">
        <v>26</v>
      </c>
      <c r="AC1360">
        <v>17.597000000000001</v>
      </c>
      <c r="AD1360">
        <v>-1.1103960380789999</v>
      </c>
      <c r="AE1360">
        <v>-4.4990000000000201</v>
      </c>
      <c r="AF1360">
        <v>4.5002699352161697</v>
      </c>
      <c r="AG1360">
        <v>-1.1103960380789999</v>
      </c>
      <c r="AH1360">
        <v>17.526858758570999</v>
      </c>
      <c r="AI1360">
        <v>93.511464822726396</v>
      </c>
      <c r="AJ1360">
        <v>75.599578395911294</v>
      </c>
      <c r="AK1360">
        <v>18.1294287498004</v>
      </c>
      <c r="AL1360">
        <v>80.405395363033307</v>
      </c>
      <c r="AM1360">
        <v>74.223503909402396</v>
      </c>
      <c r="AN1360">
        <v>1.0000000129794899</v>
      </c>
    </row>
    <row r="1361" spans="1:40" x14ac:dyDescent="0.25">
      <c r="A1361" t="str">
        <f>"20190312164015596"</f>
        <v>20190312164015596</v>
      </c>
      <c r="B1361" t="str">
        <f>"1552380015587503"</f>
        <v>1552380015587503</v>
      </c>
      <c r="C1361" t="s">
        <v>40</v>
      </c>
      <c r="D1361">
        <v>5.702223</v>
      </c>
      <c r="E1361">
        <v>0.50645980000000002</v>
      </c>
      <c r="F1361" t="s">
        <v>45</v>
      </c>
      <c r="G1361">
        <v>-207.29750000000001</v>
      </c>
      <c r="H1361" s="1">
        <v>-5.3329119999999997E-6</v>
      </c>
      <c r="I1361">
        <v>363.51819999999998</v>
      </c>
      <c r="J1361">
        <v>-223.96690000000001</v>
      </c>
      <c r="K1361">
        <v>1.1103700000000001</v>
      </c>
      <c r="L1361">
        <v>367.9273</v>
      </c>
      <c r="M1361">
        <v>0.99990230000000002</v>
      </c>
      <c r="N1361">
        <v>0</v>
      </c>
      <c r="O1361">
        <v>8.8646340000000001E-4</v>
      </c>
      <c r="P1361">
        <v>0.95096619999999998</v>
      </c>
      <c r="Q1361">
        <v>0.15382660000000001</v>
      </c>
      <c r="R1361">
        <v>-0.26833000000000001</v>
      </c>
      <c r="S1361">
        <v>2.9667210000000002</v>
      </c>
      <c r="T1361">
        <v>-0.19578209999999999</v>
      </c>
      <c r="U1361">
        <v>-0.77740480000000001</v>
      </c>
      <c r="V1361">
        <v>0.26924290000000001</v>
      </c>
      <c r="W1361">
        <v>0.16696829999999999</v>
      </c>
      <c r="X1361">
        <v>0.9484882</v>
      </c>
      <c r="Y1361">
        <v>0.25382250000000001</v>
      </c>
      <c r="Z1361">
        <v>-8.2851469999999997E-3</v>
      </c>
      <c r="AA1361">
        <v>0.96721539999999995</v>
      </c>
      <c r="AB1361">
        <v>26</v>
      </c>
      <c r="AC1361">
        <v>16.6693999999999</v>
      </c>
      <c r="AD1361">
        <v>-1.1103753329120001</v>
      </c>
      <c r="AE1361">
        <v>-4.40910000000002</v>
      </c>
      <c r="AF1361">
        <v>4.4056065758488598</v>
      </c>
      <c r="AG1361">
        <v>-1.1103753329120001</v>
      </c>
      <c r="AH1361">
        <v>16.596658626570299</v>
      </c>
      <c r="AI1361">
        <v>93.699827016085806</v>
      </c>
      <c r="AJ1361">
        <v>75.133608410065506</v>
      </c>
      <c r="AK1361">
        <v>17.2073060136679</v>
      </c>
      <c r="AL1361">
        <v>80.388403938285606</v>
      </c>
      <c r="AM1361">
        <v>74.152594837249396</v>
      </c>
      <c r="AN1361">
        <v>1.00000000897226</v>
      </c>
    </row>
    <row r="1362" spans="1:40" x14ac:dyDescent="0.25">
      <c r="A1362" t="str">
        <f>"20190312164015612"</f>
        <v>20190312164015612</v>
      </c>
      <c r="B1362" t="str">
        <f>"1552380015607023"</f>
        <v>1552380015607023</v>
      </c>
      <c r="C1362" t="s">
        <v>40</v>
      </c>
      <c r="D1362">
        <v>5.6198769999999998</v>
      </c>
      <c r="E1362">
        <v>0.50867269999999998</v>
      </c>
      <c r="F1362" t="s">
        <v>45</v>
      </c>
      <c r="G1362">
        <v>-208.41730000000001</v>
      </c>
      <c r="H1362" s="1">
        <v>-5.6645090000000002E-6</v>
      </c>
      <c r="I1362">
        <v>363.79500000000002</v>
      </c>
      <c r="J1362">
        <v>-223.80269999999999</v>
      </c>
      <c r="K1362">
        <v>1.1103369999999999</v>
      </c>
      <c r="L1362">
        <v>367.9273</v>
      </c>
      <c r="M1362">
        <v>0.99990250000000003</v>
      </c>
      <c r="N1362">
        <v>0</v>
      </c>
      <c r="O1362">
        <v>7.0792629999999999E-4</v>
      </c>
      <c r="P1362">
        <v>0.9503897</v>
      </c>
      <c r="Q1362">
        <v>0.153194</v>
      </c>
      <c r="R1362">
        <v>-0.270723299999999</v>
      </c>
      <c r="S1362">
        <v>2.966507</v>
      </c>
      <c r="T1362">
        <v>-0.21183469999999999</v>
      </c>
      <c r="U1362">
        <v>-0.78836059999999997</v>
      </c>
      <c r="V1362">
        <v>0.27147650000000001</v>
      </c>
      <c r="W1362">
        <v>0.1663087</v>
      </c>
      <c r="X1362">
        <v>0.94796729999999996</v>
      </c>
      <c r="Y1362">
        <v>0.25691029999999998</v>
      </c>
      <c r="Z1362">
        <v>-9.0550920000000007E-3</v>
      </c>
      <c r="AA1362">
        <v>0.96639280000000005</v>
      </c>
      <c r="AB1362">
        <v>26</v>
      </c>
      <c r="AC1362">
        <v>15.385399999999899</v>
      </c>
      <c r="AD1362">
        <v>-1.110342664509</v>
      </c>
      <c r="AE1362">
        <v>-4.1322999999999803</v>
      </c>
      <c r="AF1362">
        <v>4.1231619791599003</v>
      </c>
      <c r="AG1362">
        <v>-1.110342664509</v>
      </c>
      <c r="AH1362">
        <v>15.3081057491584</v>
      </c>
      <c r="AI1362">
        <v>94.006281861424398</v>
      </c>
      <c r="AJ1362">
        <v>74.9254085981933</v>
      </c>
      <c r="AK1362">
        <v>15.8924959388522</v>
      </c>
      <c r="AL1362">
        <v>80.426732416191101</v>
      </c>
      <c r="AM1362">
        <v>74.019479060009203</v>
      </c>
      <c r="AN1362">
        <v>1.00000003780861</v>
      </c>
    </row>
    <row r="1363" spans="1:40" x14ac:dyDescent="0.25">
      <c r="A1363" t="str">
        <f>"20190312164015629"</f>
        <v>20190312164015629</v>
      </c>
      <c r="B1363" t="str">
        <f>"1552380015607023"</f>
        <v>1552380015607023</v>
      </c>
      <c r="C1363" t="s">
        <v>40</v>
      </c>
      <c r="D1363">
        <v>5.6198769999999998</v>
      </c>
      <c r="E1363">
        <v>0.50867269999999998</v>
      </c>
      <c r="F1363" t="s">
        <v>45</v>
      </c>
      <c r="G1363">
        <v>-208.99539999999999</v>
      </c>
      <c r="H1363" s="1">
        <v>-5.8467630000000001E-6</v>
      </c>
      <c r="I1363">
        <v>363.86700000000002</v>
      </c>
      <c r="J1363">
        <v>-223.6002</v>
      </c>
      <c r="K1363">
        <v>1.1103019999999999</v>
      </c>
      <c r="L1363">
        <v>367.92720000000003</v>
      </c>
      <c r="M1363">
        <v>0.99990259999999997</v>
      </c>
      <c r="N1363">
        <v>0</v>
      </c>
      <c r="O1363">
        <v>4.5754939999999999E-4</v>
      </c>
      <c r="P1363">
        <v>0.95015419999999995</v>
      </c>
      <c r="Q1363">
        <v>0.15282270000000001</v>
      </c>
      <c r="R1363">
        <v>-0.27175830000000001</v>
      </c>
      <c r="S1363">
        <v>2.9610750000000001</v>
      </c>
      <c r="T1363">
        <v>-0.22203899999999999</v>
      </c>
      <c r="U1363">
        <v>-0.81195069999999903</v>
      </c>
      <c r="V1363">
        <v>0.27228669999999999</v>
      </c>
      <c r="W1363">
        <v>0.1659109</v>
      </c>
      <c r="X1363">
        <v>0.9478046</v>
      </c>
      <c r="Y1363">
        <v>0.2641965</v>
      </c>
      <c r="Z1363">
        <v>-9.746734E-3</v>
      </c>
      <c r="AA1363">
        <v>0.96441960000000004</v>
      </c>
      <c r="AB1363">
        <v>26</v>
      </c>
      <c r="AC1363">
        <v>14.604799999999999</v>
      </c>
      <c r="AD1363">
        <v>-1.1103078467630001</v>
      </c>
      <c r="AE1363">
        <v>-4.0602000000000604</v>
      </c>
      <c r="AF1363">
        <v>4.0451805166342396</v>
      </c>
      <c r="AG1363">
        <v>-1.1103078467630001</v>
      </c>
      <c r="AH1363">
        <v>14.5250148041256</v>
      </c>
      <c r="AI1363">
        <v>94.211583170964602</v>
      </c>
      <c r="AJ1363">
        <v>74.437612255463307</v>
      </c>
      <c r="AK1363">
        <v>15.1186085334203</v>
      </c>
      <c r="AL1363">
        <v>80.449845581592498</v>
      </c>
      <c r="AM1363">
        <v>73.971622228478495</v>
      </c>
      <c r="AN1363">
        <v>1.00000001675842</v>
      </c>
    </row>
    <row r="1364" spans="1:40" x14ac:dyDescent="0.25">
      <c r="A1364" t="str">
        <f>"20190312164015643"</f>
        <v>20190312164015643</v>
      </c>
      <c r="B1364" t="str">
        <f>"1552380015637279"</f>
        <v>1552380015637279</v>
      </c>
      <c r="C1364" t="s">
        <v>40</v>
      </c>
      <c r="D1364">
        <v>5.5299230000000001</v>
      </c>
      <c r="E1364">
        <v>0.51042989999999999</v>
      </c>
      <c r="F1364" t="s">
        <v>45</v>
      </c>
      <c r="G1364">
        <v>-208.87430000000001</v>
      </c>
      <c r="H1364" s="1">
        <v>-5.8054030000000002E-6</v>
      </c>
      <c r="I1364">
        <v>363.8723</v>
      </c>
      <c r="J1364">
        <v>-223.43129999999999</v>
      </c>
      <c r="K1364">
        <v>1.110276</v>
      </c>
      <c r="L1364">
        <v>367.92700000000002</v>
      </c>
      <c r="M1364">
        <v>0.99990270000000003</v>
      </c>
      <c r="N1364">
        <v>0</v>
      </c>
      <c r="O1364">
        <v>2.2143670000000001E-4</v>
      </c>
      <c r="P1364">
        <v>0.94988640000000002</v>
      </c>
      <c r="Q1364">
        <v>0.15256040000000001</v>
      </c>
      <c r="R1364">
        <v>-0.27283980000000002</v>
      </c>
      <c r="S1364">
        <v>2.9601440000000001</v>
      </c>
      <c r="T1364">
        <v>-0.2231901</v>
      </c>
      <c r="U1364">
        <v>-0.81509399999999999</v>
      </c>
      <c r="V1364">
        <v>0.273155599999999</v>
      </c>
      <c r="W1364">
        <v>0.16562399999999999</v>
      </c>
      <c r="X1364">
        <v>0.94760469999999997</v>
      </c>
      <c r="Y1364">
        <v>0.26498939999999999</v>
      </c>
      <c r="Z1364">
        <v>-9.8105929999999994E-3</v>
      </c>
      <c r="AA1364">
        <v>0.96420139999999999</v>
      </c>
      <c r="AB1364">
        <v>26</v>
      </c>
      <c r="AC1364">
        <v>14.556999999999899</v>
      </c>
      <c r="AD1364">
        <v>-1.1102818054029999</v>
      </c>
      <c r="AE1364">
        <v>-4.0546999999999596</v>
      </c>
      <c r="AF1364">
        <v>4.03613467882235</v>
      </c>
      <c r="AG1364">
        <v>-1.1102818054029999</v>
      </c>
      <c r="AH1364">
        <v>14.4779428221388</v>
      </c>
      <c r="AI1364">
        <v>94.224822491145005</v>
      </c>
      <c r="AJ1364">
        <v>74.422689378241799</v>
      </c>
      <c r="AK1364">
        <v>15.070963379761899</v>
      </c>
      <c r="AL1364">
        <v>80.466513994945203</v>
      </c>
      <c r="AM1364">
        <v>73.919896448625707</v>
      </c>
      <c r="AN1364">
        <v>0.99999997932472395</v>
      </c>
    </row>
    <row r="1365" spans="1:40" x14ac:dyDescent="0.25">
      <c r="A1365" t="str">
        <f>"20190312164015655"</f>
        <v>20190312164015655</v>
      </c>
      <c r="B1365" t="str">
        <f>"1552380015647039"</f>
        <v>1552380015647039</v>
      </c>
      <c r="C1365" t="s">
        <v>40</v>
      </c>
      <c r="D1365">
        <v>5.5455560000000004</v>
      </c>
      <c r="E1365">
        <v>0.51069690000000001</v>
      </c>
      <c r="F1365" t="s">
        <v>45</v>
      </c>
      <c r="G1365">
        <v>-208.7099</v>
      </c>
      <c r="H1365" s="1">
        <v>-5.7647820000000002E-6</v>
      </c>
      <c r="I1365">
        <v>363.7801</v>
      </c>
      <c r="J1365">
        <v>-223.2704</v>
      </c>
      <c r="K1365">
        <v>1.110244</v>
      </c>
      <c r="L1365">
        <v>367.92680000000001</v>
      </c>
      <c r="M1365">
        <v>0.99990279999999998</v>
      </c>
      <c r="N1365">
        <v>0</v>
      </c>
      <c r="O1365" s="1">
        <v>-2.5861960000000001E-5</v>
      </c>
      <c r="P1365">
        <v>0.94952300000000001</v>
      </c>
      <c r="Q1365">
        <v>0.1516632</v>
      </c>
      <c r="R1365">
        <v>-0.27459929999999999</v>
      </c>
      <c r="S1365">
        <v>2.954971</v>
      </c>
      <c r="T1365">
        <v>-0.22286239999999999</v>
      </c>
      <c r="U1365">
        <v>-0.83239750000000001</v>
      </c>
      <c r="V1365">
        <v>0.27469070000000001</v>
      </c>
      <c r="W1365">
        <v>0.16470179999999901</v>
      </c>
      <c r="X1365">
        <v>0.94732169999999905</v>
      </c>
      <c r="Y1365">
        <v>0.27040510000000001</v>
      </c>
      <c r="Z1365">
        <v>-9.9869639999999992E-3</v>
      </c>
      <c r="AA1365">
        <v>0.96269479999999996</v>
      </c>
      <c r="AB1365">
        <v>26</v>
      </c>
      <c r="AC1365">
        <v>14.5604999999999</v>
      </c>
      <c r="AD1365">
        <v>-1.110249764782</v>
      </c>
      <c r="AE1365">
        <v>-4.1467000000000098</v>
      </c>
      <c r="AF1365">
        <v>4.1241437664622502</v>
      </c>
      <c r="AG1365">
        <v>-1.110249764782</v>
      </c>
      <c r="AH1365">
        <v>14.482719227932099</v>
      </c>
      <c r="AI1365">
        <v>94.216743552420198</v>
      </c>
      <c r="AJ1365">
        <v>74.105003491038104</v>
      </c>
      <c r="AK1365">
        <v>15.099350071501799</v>
      </c>
      <c r="AL1365">
        <v>80.520088452125293</v>
      </c>
      <c r="AM1365">
        <v>73.8296593620815</v>
      </c>
      <c r="AN1365">
        <v>1.0000000334403001</v>
      </c>
    </row>
    <row r="1366" spans="1:40" x14ac:dyDescent="0.25">
      <c r="A1366" t="str">
        <f>"20190312164015669"</f>
        <v>20190312164015669</v>
      </c>
      <c r="B1366" t="str">
        <f>"1552380015657775"</f>
        <v>1552380015657775</v>
      </c>
      <c r="C1366" t="s">
        <v>40</v>
      </c>
      <c r="D1366">
        <v>5.6022369999999997</v>
      </c>
      <c r="E1366">
        <v>0.51096339999999996</v>
      </c>
      <c r="F1366" t="s">
        <v>45</v>
      </c>
      <c r="G1366">
        <v>-208.6147</v>
      </c>
      <c r="H1366" s="1">
        <v>-5.7374950000000002E-6</v>
      </c>
      <c r="I1366">
        <v>363.75080000000003</v>
      </c>
      <c r="J1366">
        <v>-223.12729999999999</v>
      </c>
      <c r="K1366">
        <v>1.1102190000000001</v>
      </c>
      <c r="L1366">
        <v>367.92649999999998</v>
      </c>
      <c r="M1366">
        <v>0.99990279999999998</v>
      </c>
      <c r="N1366">
        <v>0</v>
      </c>
      <c r="O1366">
        <v>-2.7032949999999999E-4</v>
      </c>
      <c r="P1366">
        <v>0.94939549999999995</v>
      </c>
      <c r="Q1366">
        <v>0.15091089999999999</v>
      </c>
      <c r="R1366">
        <v>-0.27545350000000002</v>
      </c>
      <c r="S1366">
        <v>2.9519500000000001</v>
      </c>
      <c r="T1366">
        <v>-0.22362580000000001</v>
      </c>
      <c r="U1366">
        <v>-0.84112549999999997</v>
      </c>
      <c r="V1366">
        <v>0.2753215</v>
      </c>
      <c r="W1366">
        <v>0.16393179999999999</v>
      </c>
      <c r="X1366">
        <v>0.94727209999999995</v>
      </c>
      <c r="Y1366">
        <v>0.27304869999999998</v>
      </c>
      <c r="Z1366">
        <v>-1.010689E-2</v>
      </c>
      <c r="AA1366">
        <v>0.96194710000000005</v>
      </c>
      <c r="AB1366">
        <v>26</v>
      </c>
      <c r="AC1366">
        <v>14.5125999999999</v>
      </c>
      <c r="AD1366">
        <v>-1.1102247374950001</v>
      </c>
      <c r="AE1366">
        <v>-4.1756999999999396</v>
      </c>
      <c r="AF1366">
        <v>4.1493494533098501</v>
      </c>
      <c r="AG1366">
        <v>-1.1102247374950001</v>
      </c>
      <c r="AH1366">
        <v>14.4357048181105</v>
      </c>
      <c r="AI1366">
        <v>94.227352915636203</v>
      </c>
      <c r="AJ1366">
        <v>73.963413652627295</v>
      </c>
      <c r="AK1366">
        <v>15.061184330890001</v>
      </c>
      <c r="AL1366">
        <v>80.564813787637505</v>
      </c>
      <c r="AM1366">
        <v>73.793668702381197</v>
      </c>
      <c r="AN1366">
        <v>0.99999999742594903</v>
      </c>
    </row>
    <row r="1367" spans="1:40" x14ac:dyDescent="0.25">
      <c r="A1367" t="str">
        <f>"20190312164015681"</f>
        <v>20190312164015681</v>
      </c>
      <c r="B1367" t="str">
        <f>"1552380015677295"</f>
        <v>1552380015677295</v>
      </c>
      <c r="C1367" t="s">
        <v>40</v>
      </c>
      <c r="D1367">
        <v>5.5180669999999896</v>
      </c>
      <c r="E1367">
        <v>0.51145609999999997</v>
      </c>
      <c r="F1367" t="s">
        <v>45</v>
      </c>
      <c r="G1367">
        <v>-208.78739999999999</v>
      </c>
      <c r="H1367" s="1">
        <v>-5.7851410000000004E-6</v>
      </c>
      <c r="I1367">
        <v>363.81599999999997</v>
      </c>
      <c r="J1367">
        <v>-222.9915</v>
      </c>
      <c r="K1367">
        <v>1.110193</v>
      </c>
      <c r="L1367">
        <v>367.92630000000003</v>
      </c>
      <c r="M1367">
        <v>0.99990270000000003</v>
      </c>
      <c r="N1367">
        <v>0</v>
      </c>
      <c r="O1367">
        <v>-5.1017140000000005E-4</v>
      </c>
      <c r="P1367">
        <v>0.94925179999999998</v>
      </c>
      <c r="Q1367">
        <v>0.15039949999999999</v>
      </c>
      <c r="R1367">
        <v>-0.2762269</v>
      </c>
      <c r="S1367">
        <v>2.95079</v>
      </c>
      <c r="T1367">
        <v>-0.2284573</v>
      </c>
      <c r="U1367">
        <v>-0.84585569999999899</v>
      </c>
      <c r="V1367">
        <v>0.27587509999999998</v>
      </c>
      <c r="W1367">
        <v>0.16340350000000001</v>
      </c>
      <c r="X1367">
        <v>0.94720230000000005</v>
      </c>
      <c r="Y1367">
        <v>0.27430840000000001</v>
      </c>
      <c r="Z1367">
        <v>-1.035587E-2</v>
      </c>
      <c r="AA1367">
        <v>0.96158600000000005</v>
      </c>
      <c r="AB1367">
        <v>26</v>
      </c>
      <c r="AC1367">
        <v>14.2041</v>
      </c>
      <c r="AD1367">
        <v>-1.110198785141</v>
      </c>
      <c r="AE1367">
        <v>-4.1103000000000502</v>
      </c>
      <c r="AF1367">
        <v>4.0800528740223196</v>
      </c>
      <c r="AG1367">
        <v>-1.110198785141</v>
      </c>
      <c r="AH1367">
        <v>14.126563516846099</v>
      </c>
      <c r="AI1367">
        <v>94.317831006914403</v>
      </c>
      <c r="AJ1367">
        <v>73.890154466190594</v>
      </c>
      <c r="AK1367">
        <v>14.7458187155828</v>
      </c>
      <c r="AL1367">
        <v>80.595496784026494</v>
      </c>
      <c r="AM1367">
        <v>73.761663831709896</v>
      </c>
      <c r="AN1367">
        <v>0.99999998586877403</v>
      </c>
    </row>
    <row r="1368" spans="1:40" x14ac:dyDescent="0.25">
      <c r="A1368" t="str">
        <f>"20190312164015692"</f>
        <v>20190312164015692</v>
      </c>
      <c r="B1368" t="str">
        <f>"1552380015687055"</f>
        <v>1552380015687055</v>
      </c>
      <c r="C1368" t="s">
        <v>40</v>
      </c>
      <c r="D1368">
        <v>5.4674940000000003</v>
      </c>
      <c r="E1368">
        <v>0.5115383</v>
      </c>
      <c r="F1368" t="s">
        <v>45</v>
      </c>
      <c r="G1368">
        <v>-208.66810000000001</v>
      </c>
      <c r="H1368" s="1">
        <v>-5.7497689999999998E-6</v>
      </c>
      <c r="I1368">
        <v>363.7867</v>
      </c>
      <c r="J1368">
        <v>-222.8433</v>
      </c>
      <c r="K1368">
        <v>1.110171</v>
      </c>
      <c r="L1368">
        <v>367.92590000000001</v>
      </c>
      <c r="M1368">
        <v>0.99990250000000003</v>
      </c>
      <c r="N1368">
        <v>0</v>
      </c>
      <c r="O1368">
        <v>-7.9124539999999904E-4</v>
      </c>
      <c r="P1368">
        <v>0.94907330000000001</v>
      </c>
      <c r="Q1368">
        <v>0.14974889999999999</v>
      </c>
      <c r="R1368">
        <v>-0.27719139999999998</v>
      </c>
      <c r="S1368">
        <v>2.9486080000000001</v>
      </c>
      <c r="T1368">
        <v>-0.22854469999999999</v>
      </c>
      <c r="U1368">
        <v>-0.85217289999999901</v>
      </c>
      <c r="V1368">
        <v>0.2765803</v>
      </c>
      <c r="W1368">
        <v>0.16273689999999999</v>
      </c>
      <c r="X1368">
        <v>0.94711140000000005</v>
      </c>
      <c r="Y1368">
        <v>0.27612320000000001</v>
      </c>
      <c r="Z1368">
        <v>-1.041168E-2</v>
      </c>
      <c r="AA1368">
        <v>0.96106579999999997</v>
      </c>
      <c r="AB1368">
        <v>26</v>
      </c>
      <c r="AC1368">
        <v>14.175199999999901</v>
      </c>
      <c r="AD1368">
        <v>-1.110176749769</v>
      </c>
      <c r="AE1368">
        <v>-4.1392000000000104</v>
      </c>
      <c r="AF1368">
        <v>4.10478198514478</v>
      </c>
      <c r="AG1368">
        <v>-1.110176749769</v>
      </c>
      <c r="AH1368">
        <v>14.0987869291917</v>
      </c>
      <c r="AI1368">
        <v>94.323542734345097</v>
      </c>
      <c r="AJ1368">
        <v>73.767380103285902</v>
      </c>
      <c r="AK1368">
        <v>14.7260829970513</v>
      </c>
      <c r="AL1368">
        <v>80.634208294622695</v>
      </c>
      <c r="AM1368">
        <v>73.720870549366794</v>
      </c>
      <c r="AN1368">
        <v>0.99999998248982902</v>
      </c>
    </row>
    <row r="1369" spans="1:40" x14ac:dyDescent="0.25">
      <c r="A1369" t="str">
        <f>"20190312164015704"</f>
        <v>20190312164015704</v>
      </c>
      <c r="B1369" t="str">
        <f>"1552380015697791"</f>
        <v>1552380015697791</v>
      </c>
      <c r="C1369" t="s">
        <v>40</v>
      </c>
      <c r="D1369">
        <v>5.6260770000000004</v>
      </c>
      <c r="E1369">
        <v>0.51187579999999999</v>
      </c>
      <c r="F1369" t="s">
        <v>45</v>
      </c>
      <c r="G1369">
        <v>-208.59719999999999</v>
      </c>
      <c r="H1369" s="1">
        <v>-5.7256169999999997E-6</v>
      </c>
      <c r="I1369">
        <v>363.7894</v>
      </c>
      <c r="J1369">
        <v>-222.70769999999999</v>
      </c>
      <c r="K1369">
        <v>1.1101510000000001</v>
      </c>
      <c r="L1369">
        <v>367.9255</v>
      </c>
      <c r="M1369">
        <v>0.99990219999999996</v>
      </c>
      <c r="N1369">
        <v>0</v>
      </c>
      <c r="O1369">
        <v>-1.058652E-3</v>
      </c>
      <c r="P1369">
        <v>0.94896420000000004</v>
      </c>
      <c r="Q1369">
        <v>0.149139299999999</v>
      </c>
      <c r="R1369">
        <v>-0.27789350000000002</v>
      </c>
      <c r="S1369">
        <v>2.9472659999999999</v>
      </c>
      <c r="T1369">
        <v>-0.22967699999999999</v>
      </c>
      <c r="U1369">
        <v>-0.85577389999999998</v>
      </c>
      <c r="V1369">
        <v>0.27703420000000001</v>
      </c>
      <c r="W1369">
        <v>0.16211439999999999</v>
      </c>
      <c r="X1369">
        <v>0.94708550000000002</v>
      </c>
      <c r="Y1369">
        <v>0.27705639999999998</v>
      </c>
      <c r="Z1369">
        <v>-1.048113E-2</v>
      </c>
      <c r="AA1369">
        <v>0.96079650000000005</v>
      </c>
      <c r="AB1369">
        <v>26</v>
      </c>
      <c r="AC1369">
        <v>14.1105</v>
      </c>
      <c r="AD1369">
        <v>-1.110156725617</v>
      </c>
      <c r="AE1369">
        <v>-4.1360999999999901</v>
      </c>
      <c r="AF1369">
        <v>4.09780007558268</v>
      </c>
      <c r="AG1369">
        <v>-1.110156725617</v>
      </c>
      <c r="AH1369">
        <v>14.0348704459022</v>
      </c>
      <c r="AI1369">
        <v>94.3421164332198</v>
      </c>
      <c r="AJ1369">
        <v>73.723632923931106</v>
      </c>
      <c r="AK1369">
        <v>14.6629465609112</v>
      </c>
      <c r="AL1369">
        <v>80.670354945594497</v>
      </c>
      <c r="AM1369">
        <v>73.695150456869698</v>
      </c>
      <c r="AN1369">
        <v>0.99999998548362501</v>
      </c>
    </row>
    <row r="1370" spans="1:40" x14ac:dyDescent="0.25">
      <c r="A1370" t="str">
        <f>"20190312164015715"</f>
        <v>20190312164015715</v>
      </c>
      <c r="B1370" t="str">
        <f>"1552380015707551"</f>
        <v>1552380015707551</v>
      </c>
      <c r="C1370" t="s">
        <v>40</v>
      </c>
      <c r="D1370">
        <v>5.5170430000000001</v>
      </c>
      <c r="E1370">
        <v>0.51203969999999999</v>
      </c>
      <c r="F1370" t="s">
        <v>45</v>
      </c>
      <c r="G1370">
        <v>-208.4796</v>
      </c>
      <c r="H1370" s="1">
        <v>-5.6893599999999999E-6</v>
      </c>
      <c r="I1370">
        <v>363.76929999999999</v>
      </c>
      <c r="J1370">
        <v>-222.5772</v>
      </c>
      <c r="K1370">
        <v>1.1101319999999999</v>
      </c>
      <c r="L1370">
        <v>367.92509999999999</v>
      </c>
      <c r="M1370">
        <v>0.99990190000000001</v>
      </c>
      <c r="N1370">
        <v>0</v>
      </c>
      <c r="O1370">
        <v>-1.322562E-3</v>
      </c>
      <c r="P1370">
        <v>0.94878099999999999</v>
      </c>
      <c r="Q1370">
        <v>0.14885950000000001</v>
      </c>
      <c r="R1370">
        <v>-0.27866750000000001</v>
      </c>
      <c r="S1370">
        <v>2.9454959999999999</v>
      </c>
      <c r="T1370">
        <v>-0.22982349999999999</v>
      </c>
      <c r="U1370">
        <v>-0.86041259999999997</v>
      </c>
      <c r="V1370">
        <v>0.277562799999999</v>
      </c>
      <c r="W1370">
        <v>0.16182270000000001</v>
      </c>
      <c r="X1370">
        <v>0.94698070000000001</v>
      </c>
      <c r="Y1370">
        <v>0.27834759999999997</v>
      </c>
      <c r="Z1370">
        <v>-1.0520710000000001E-2</v>
      </c>
      <c r="AA1370">
        <v>0.96042280000000002</v>
      </c>
      <c r="AB1370">
        <v>26</v>
      </c>
      <c r="AC1370">
        <v>14.0976</v>
      </c>
      <c r="AD1370">
        <v>-1.1101376893599999</v>
      </c>
      <c r="AE1370">
        <v>-4.1557999999999904</v>
      </c>
      <c r="AF1370">
        <v>4.1136800755929501</v>
      </c>
      <c r="AG1370">
        <v>-1.1101376893599999</v>
      </c>
      <c r="AH1370">
        <v>14.023079492068</v>
      </c>
      <c r="AI1370">
        <v>94.344071462274997</v>
      </c>
      <c r="AJ1370">
        <v>73.650912666558995</v>
      </c>
      <c r="AK1370">
        <v>14.6561088933771</v>
      </c>
      <c r="AL1370">
        <v>80.687292555567495</v>
      </c>
      <c r="AM1370">
        <v>73.663985449110797</v>
      </c>
      <c r="AN1370">
        <v>1.0000000701758001</v>
      </c>
    </row>
    <row r="1371" spans="1:40" x14ac:dyDescent="0.25">
      <c r="A1371" t="str">
        <f>"20190312164015727"</f>
        <v>20190312164015727</v>
      </c>
      <c r="B1371" t="str">
        <f>"1552380015717312"</f>
        <v>1552380015717312</v>
      </c>
      <c r="C1371" t="s">
        <v>40</v>
      </c>
      <c r="D1371">
        <v>5.585515</v>
      </c>
      <c r="E1371">
        <v>0.51222889999999999</v>
      </c>
      <c r="F1371" t="s">
        <v>45</v>
      </c>
      <c r="G1371">
        <v>-208.3826</v>
      </c>
      <c r="H1371" s="1">
        <v>-5.6577979999999998E-6</v>
      </c>
      <c r="I1371">
        <v>363.7636</v>
      </c>
      <c r="J1371">
        <v>-222.4512</v>
      </c>
      <c r="K1371">
        <v>1.110123</v>
      </c>
      <c r="L1371">
        <v>367.92469999999997</v>
      </c>
      <c r="M1371">
        <v>0.9999015</v>
      </c>
      <c r="N1371">
        <v>0</v>
      </c>
      <c r="O1371">
        <v>-1.5860379999999999E-3</v>
      </c>
      <c r="P1371">
        <v>0.94868520000000001</v>
      </c>
      <c r="Q1371">
        <v>0.14824079999999901</v>
      </c>
      <c r="R1371">
        <v>-0.27932309999999999</v>
      </c>
      <c r="S1371">
        <v>2.9445190000000001</v>
      </c>
      <c r="T1371">
        <v>-0.23028599999999999</v>
      </c>
      <c r="U1371">
        <v>-0.86325069999999904</v>
      </c>
      <c r="V1371">
        <v>0.27797129999999998</v>
      </c>
      <c r="W1371">
        <v>0.16119629999999999</v>
      </c>
      <c r="X1371">
        <v>0.94696769999999997</v>
      </c>
      <c r="Y1371">
        <v>0.27902840000000001</v>
      </c>
      <c r="Z1371">
        <v>-1.0549660000000001E-2</v>
      </c>
      <c r="AA1371">
        <v>0.96022490000000005</v>
      </c>
      <c r="AB1371">
        <v>26</v>
      </c>
      <c r="AC1371">
        <v>14.0686</v>
      </c>
      <c r="AD1371">
        <v>-1.1101286577980001</v>
      </c>
      <c r="AE1371">
        <v>-4.16109999999997</v>
      </c>
      <c r="AF1371">
        <v>4.1152170594251896</v>
      </c>
      <c r="AG1371">
        <v>-1.1101286577980001</v>
      </c>
      <c r="AH1371">
        <v>13.995052144931099</v>
      </c>
      <c r="AI1371">
        <v>94.351885080899805</v>
      </c>
      <c r="AJ1371">
        <v>73.614132631096098</v>
      </c>
      <c r="AK1371">
        <v>14.629725958553999</v>
      </c>
      <c r="AL1371">
        <v>80.723659977787193</v>
      </c>
      <c r="AM1371">
        <v>73.641015127689997</v>
      </c>
      <c r="AN1371">
        <v>1.0000000578003301</v>
      </c>
    </row>
    <row r="1372" spans="1:40" x14ac:dyDescent="0.25">
      <c r="A1372" t="str">
        <f>"20190312164015739"</f>
        <v>20190312164015739</v>
      </c>
      <c r="B1372" t="str">
        <f>"1552380015737807"</f>
        <v>1552380015737807</v>
      </c>
      <c r="C1372" t="s">
        <v>40</v>
      </c>
      <c r="D1372">
        <v>5.5534210000000002</v>
      </c>
      <c r="E1372">
        <v>0.51247359999999997</v>
      </c>
      <c r="F1372" t="s">
        <v>45</v>
      </c>
      <c r="G1372">
        <v>-208.31569999999999</v>
      </c>
      <c r="H1372" s="1">
        <v>-5.6352610000000001E-6</v>
      </c>
      <c r="I1372">
        <v>363.7645</v>
      </c>
      <c r="J1372">
        <v>-222.30449999999999</v>
      </c>
      <c r="K1372">
        <v>1.1101080000000001</v>
      </c>
      <c r="L1372">
        <v>367.92410000000001</v>
      </c>
      <c r="M1372">
        <v>0.99990100000000004</v>
      </c>
      <c r="N1372">
        <v>0</v>
      </c>
      <c r="O1372">
        <v>-1.8960019999999999E-3</v>
      </c>
      <c r="P1372">
        <v>0.94849209999999995</v>
      </c>
      <c r="Q1372">
        <v>0.14776520000000001</v>
      </c>
      <c r="R1372">
        <v>-0.28022900000000001</v>
      </c>
      <c r="S1372">
        <v>2.9433440000000002</v>
      </c>
      <c r="T1372">
        <v>-0.23115379999999999</v>
      </c>
      <c r="U1372">
        <v>-0.8662415</v>
      </c>
      <c r="V1372">
        <v>0.27858660000000002</v>
      </c>
      <c r="W1372">
        <v>0.1607111</v>
      </c>
      <c r="X1372">
        <v>0.94686930000000002</v>
      </c>
      <c r="Y1372">
        <v>0.27972509999999901</v>
      </c>
      <c r="Z1372">
        <v>-1.059482E-2</v>
      </c>
      <c r="AA1372">
        <v>0.96002169999999998</v>
      </c>
      <c r="AB1372">
        <v>26</v>
      </c>
      <c r="AC1372">
        <v>13.9887999999999</v>
      </c>
      <c r="AD1372">
        <v>-1.1101136352609999</v>
      </c>
      <c r="AE1372">
        <v>-4.15960000000001</v>
      </c>
      <c r="AF1372">
        <v>4.1092908116404496</v>
      </c>
      <c r="AG1372">
        <v>-1.1101136352609999</v>
      </c>
      <c r="AH1372">
        <v>13.916143480652201</v>
      </c>
      <c r="AI1372">
        <v>94.374939834221905</v>
      </c>
      <c r="AJ1372">
        <v>73.548683681807603</v>
      </c>
      <c r="AK1372">
        <v>14.552583022677601</v>
      </c>
      <c r="AL1372">
        <v>80.751826699610305</v>
      </c>
      <c r="AM1372">
        <v>73.605133920562395</v>
      </c>
      <c r="AN1372">
        <v>1.0000000113226299</v>
      </c>
    </row>
    <row r="1373" spans="1:40" x14ac:dyDescent="0.25">
      <c r="A1373" t="str">
        <f>"20190312164015751"</f>
        <v>20190312164015751</v>
      </c>
      <c r="B1373" t="str">
        <f>"1552380015747567"</f>
        <v>1552380015747567</v>
      </c>
      <c r="C1373" t="s">
        <v>40</v>
      </c>
      <c r="D1373">
        <v>5.5520769999999997</v>
      </c>
      <c r="E1373">
        <v>0.51256420000000003</v>
      </c>
      <c r="F1373" t="s">
        <v>45</v>
      </c>
      <c r="G1373">
        <v>-208.29470000000001</v>
      </c>
      <c r="H1373" s="1">
        <v>-5.6261649999999997E-6</v>
      </c>
      <c r="I1373">
        <v>363.77780000000001</v>
      </c>
      <c r="J1373">
        <v>-222.16399999999999</v>
      </c>
      <c r="K1373">
        <v>1.1101030000000001</v>
      </c>
      <c r="L1373">
        <v>367.92349999999999</v>
      </c>
      <c r="M1373">
        <v>0.99990049999999997</v>
      </c>
      <c r="N1373">
        <v>0</v>
      </c>
      <c r="O1373">
        <v>-2.1974270000000001E-3</v>
      </c>
      <c r="P1373">
        <v>0.94833699999999999</v>
      </c>
      <c r="Q1373">
        <v>0.14763979999999999</v>
      </c>
      <c r="R1373">
        <v>-0.28081970000000001</v>
      </c>
      <c r="S1373">
        <v>2.941986</v>
      </c>
      <c r="T1373">
        <v>-0.2331191</v>
      </c>
      <c r="U1373">
        <v>-0.87069699999999906</v>
      </c>
      <c r="V1373">
        <v>0.27889340000000001</v>
      </c>
      <c r="W1373">
        <v>0.160579799999999</v>
      </c>
      <c r="X1373">
        <v>0.94680120000000001</v>
      </c>
      <c r="Y1373">
        <v>0.28087679999999998</v>
      </c>
      <c r="Z1373">
        <v>-1.070837E-2</v>
      </c>
      <c r="AA1373">
        <v>0.95968410000000004</v>
      </c>
      <c r="AB1373">
        <v>26</v>
      </c>
      <c r="AC1373">
        <v>13.869300000000001</v>
      </c>
      <c r="AD1373">
        <v>-1.1101086261649999</v>
      </c>
      <c r="AE1373">
        <v>-4.1456999999999704</v>
      </c>
      <c r="AF1373">
        <v>4.0911499862935701</v>
      </c>
      <c r="AG1373">
        <v>-1.1101086261649999</v>
      </c>
      <c r="AH1373">
        <v>13.7972349979977</v>
      </c>
      <c r="AI1373">
        <v>94.411005511253293</v>
      </c>
      <c r="AJ1373">
        <v>73.483879910810302</v>
      </c>
      <c r="AK1373">
        <v>14.4337639914961</v>
      </c>
      <c r="AL1373">
        <v>80.759448116841199</v>
      </c>
      <c r="AM1373">
        <v>73.586932807764299</v>
      </c>
      <c r="AN1373">
        <v>0.99999995652651896</v>
      </c>
    </row>
    <row r="1374" spans="1:40" x14ac:dyDescent="0.25">
      <c r="A1374" t="str">
        <f>"20190312164015767"</f>
        <v>20190312164015767</v>
      </c>
      <c r="B1374" t="str">
        <f>"1552380015757328"</f>
        <v>1552380015757328</v>
      </c>
      <c r="C1374" t="s">
        <v>40</v>
      </c>
      <c r="D1374">
        <v>5.370781</v>
      </c>
      <c r="E1374">
        <v>0.51257600000000003</v>
      </c>
      <c r="F1374" t="s">
        <v>45</v>
      </c>
      <c r="G1374">
        <v>-208.25360000000001</v>
      </c>
      <c r="H1374" s="1">
        <v>-5.6094949999999897E-6</v>
      </c>
      <c r="I1374">
        <v>363.79640000000001</v>
      </c>
      <c r="J1374">
        <v>-221.99510000000001</v>
      </c>
      <c r="K1374">
        <v>1.1100989999999999</v>
      </c>
      <c r="L1374">
        <v>367.92270000000002</v>
      </c>
      <c r="M1374">
        <v>0.99989969999999995</v>
      </c>
      <c r="N1374">
        <v>0</v>
      </c>
      <c r="O1374">
        <v>-2.5611660000000001E-3</v>
      </c>
      <c r="P1374">
        <v>0.94793159999999999</v>
      </c>
      <c r="Q1374">
        <v>0.14725379999999999</v>
      </c>
      <c r="R1374">
        <v>-0.282387</v>
      </c>
      <c r="S1374">
        <v>2.9415740000000001</v>
      </c>
      <c r="T1374">
        <v>-0.23474929999999999</v>
      </c>
      <c r="U1374">
        <v>-0.87274169999999995</v>
      </c>
      <c r="V1374">
        <v>0.28011720000000001</v>
      </c>
      <c r="W1374">
        <v>0.16018450000000001</v>
      </c>
      <c r="X1374">
        <v>0.94650690000000004</v>
      </c>
      <c r="Y1374">
        <v>0.28116659999999999</v>
      </c>
      <c r="Z1374">
        <v>-1.0766370000000001E-2</v>
      </c>
      <c r="AA1374">
        <v>0.95959859999999997</v>
      </c>
      <c r="AB1374">
        <v>26</v>
      </c>
      <c r="AC1374">
        <v>13.7415</v>
      </c>
      <c r="AD1374">
        <v>-1.110104609495</v>
      </c>
      <c r="AE1374">
        <v>-4.1263000000000103</v>
      </c>
      <c r="AF1374">
        <v>4.0667436161128903</v>
      </c>
      <c r="AG1374">
        <v>-1.110104609495</v>
      </c>
      <c r="AH1374">
        <v>13.6701888132114</v>
      </c>
      <c r="AI1374">
        <v>94.450645693280407</v>
      </c>
      <c r="AJ1374">
        <v>73.432788017235794</v>
      </c>
      <c r="AK1374">
        <v>14.3054114960762</v>
      </c>
      <c r="AL1374">
        <v>80.782394727248501</v>
      </c>
      <c r="AM1374">
        <v>73.513964775441394</v>
      </c>
      <c r="AN1374">
        <v>1.0000000157618401</v>
      </c>
    </row>
    <row r="1375" spans="1:40" x14ac:dyDescent="0.25">
      <c r="A1375" t="str">
        <f>"20190312164015780"</f>
        <v>20190312164015780</v>
      </c>
      <c r="B1375" t="str">
        <f>"1552380015777823"</f>
        <v>1552380015777823</v>
      </c>
      <c r="C1375" t="s">
        <v>40</v>
      </c>
      <c r="D1375">
        <v>5.4910300000000003</v>
      </c>
      <c r="E1375">
        <v>0.51265609999999995</v>
      </c>
      <c r="F1375" t="s">
        <v>45</v>
      </c>
      <c r="G1375">
        <v>-208.4496</v>
      </c>
      <c r="H1375" s="1">
        <v>-5.6612909999999999E-6</v>
      </c>
      <c r="I1375">
        <v>363.88490000000002</v>
      </c>
      <c r="J1375">
        <v>-221.8372</v>
      </c>
      <c r="K1375">
        <v>1.110098</v>
      </c>
      <c r="L1375">
        <v>367.92189999999999</v>
      </c>
      <c r="M1375">
        <v>0.99989870000000003</v>
      </c>
      <c r="N1375">
        <v>0</v>
      </c>
      <c r="O1375">
        <v>-2.9019789999999998E-3</v>
      </c>
      <c r="P1375">
        <v>0.94765390000000005</v>
      </c>
      <c r="Q1375">
        <v>0.14706179999999999</v>
      </c>
      <c r="R1375">
        <v>-0.28341650000000002</v>
      </c>
      <c r="S1375">
        <v>2.9410400000000001</v>
      </c>
      <c r="T1375">
        <v>-0.24102950000000001</v>
      </c>
      <c r="U1375">
        <v>-0.87670899999999996</v>
      </c>
      <c r="V1375">
        <v>0.28082439999999997</v>
      </c>
      <c r="W1375">
        <v>0.159987299999999</v>
      </c>
      <c r="X1375">
        <v>0.94633069999999997</v>
      </c>
      <c r="Y1375">
        <v>0.28203060000000002</v>
      </c>
      <c r="Z1375">
        <v>-1.106066E-2</v>
      </c>
      <c r="AA1375">
        <v>0.95934160000000002</v>
      </c>
      <c r="AB1375">
        <v>26</v>
      </c>
      <c r="AC1375">
        <v>13.3875999999999</v>
      </c>
      <c r="AD1375">
        <v>-1.110103661291</v>
      </c>
      <c r="AE1375">
        <v>-4.0369999999999697</v>
      </c>
      <c r="AF1375">
        <v>3.9730876452506698</v>
      </c>
      <c r="AG1375">
        <v>-1.110103661291</v>
      </c>
      <c r="AH1375">
        <v>13.315337910235399</v>
      </c>
      <c r="AI1375">
        <v>94.567641624633296</v>
      </c>
      <c r="AJ1375">
        <v>73.385723192308006</v>
      </c>
      <c r="AK1375">
        <v>13.9397266558354</v>
      </c>
      <c r="AL1375">
        <v>80.793841272561394</v>
      </c>
      <c r="AM1375">
        <v>73.471701691145398</v>
      </c>
      <c r="AN1375">
        <v>1.0000000367795601</v>
      </c>
    </row>
    <row r="1376" spans="1:40" x14ac:dyDescent="0.25">
      <c r="A1376" t="str">
        <f>"20190312164015792"</f>
        <v>20190312164015792</v>
      </c>
      <c r="B1376" t="str">
        <f>"1552380015787583"</f>
        <v>1552380015787583</v>
      </c>
      <c r="C1376" t="s">
        <v>40</v>
      </c>
      <c r="D1376">
        <v>5.5608950000000004</v>
      </c>
      <c r="E1376">
        <v>0.5128549</v>
      </c>
      <c r="F1376" t="s">
        <v>45</v>
      </c>
      <c r="G1376">
        <v>-208.11250000000001</v>
      </c>
      <c r="H1376" s="1">
        <v>-5.560562E-6</v>
      </c>
      <c r="I1376">
        <v>363.8073</v>
      </c>
      <c r="J1376">
        <v>-221.70009999999999</v>
      </c>
      <c r="K1376">
        <v>1.110098</v>
      </c>
      <c r="L1376">
        <v>367.9212</v>
      </c>
      <c r="M1376">
        <v>0.99989779999999995</v>
      </c>
      <c r="N1376">
        <v>0</v>
      </c>
      <c r="O1376">
        <v>-3.1967419999999998E-3</v>
      </c>
      <c r="P1376">
        <v>0.94746949999999996</v>
      </c>
      <c r="Q1376">
        <v>0.1467243</v>
      </c>
      <c r="R1376">
        <v>-0.28420689999999998</v>
      </c>
      <c r="S1376">
        <v>2.9390559999999999</v>
      </c>
      <c r="T1376">
        <v>-0.23772199999999999</v>
      </c>
      <c r="U1376">
        <v>-0.88113399999999997</v>
      </c>
      <c r="V1376">
        <v>0.28133530000000001</v>
      </c>
      <c r="W1376">
        <v>0.15964690000000001</v>
      </c>
      <c r="X1376">
        <v>0.94623639999999998</v>
      </c>
      <c r="Y1376">
        <v>0.28327059999999998</v>
      </c>
      <c r="Z1376">
        <v>-1.09398E-2</v>
      </c>
      <c r="AA1376">
        <v>0.95897759999999999</v>
      </c>
      <c r="AB1376">
        <v>26</v>
      </c>
      <c r="AC1376">
        <v>13.587599999999901</v>
      </c>
      <c r="AD1376">
        <v>-1.110103560562</v>
      </c>
      <c r="AE1376">
        <v>-4.1139000000000001</v>
      </c>
      <c r="AF1376">
        <v>4.0457018545943004</v>
      </c>
      <c r="AG1376">
        <v>-1.110103560562</v>
      </c>
      <c r="AH1376">
        <v>13.5180289043935</v>
      </c>
      <c r="AI1376">
        <v>94.498333462730002</v>
      </c>
      <c r="AJ1376">
        <v>73.338508235887602</v>
      </c>
      <c r="AK1376">
        <v>14.154050263845299</v>
      </c>
      <c r="AL1376">
        <v>80.813598402682103</v>
      </c>
      <c r="AM1376">
        <v>73.441717164385906</v>
      </c>
      <c r="AN1376">
        <v>1.0000000041953201</v>
      </c>
    </row>
    <row r="1377" spans="1:40" x14ac:dyDescent="0.25">
      <c r="A1377" t="str">
        <f>"20190312164015804"</f>
        <v>20190312164015804</v>
      </c>
      <c r="B1377" t="str">
        <f>"1552380015797342"</f>
        <v>1552380015797342</v>
      </c>
      <c r="C1377" t="s">
        <v>40</v>
      </c>
      <c r="D1377">
        <v>5.5924269999999998</v>
      </c>
      <c r="E1377">
        <v>0.51302630000000005</v>
      </c>
      <c r="F1377" t="s">
        <v>45</v>
      </c>
      <c r="G1377">
        <v>-208.0421</v>
      </c>
      <c r="H1377" s="1">
        <v>-5.5370030000000004E-6</v>
      </c>
      <c r="I1377">
        <v>363.8073</v>
      </c>
      <c r="J1377">
        <v>-221.57089999999999</v>
      </c>
      <c r="K1377">
        <v>1.1101000000000001</v>
      </c>
      <c r="L1377">
        <v>367.9205</v>
      </c>
      <c r="M1377">
        <v>0.99989689999999998</v>
      </c>
      <c r="N1377">
        <v>0</v>
      </c>
      <c r="O1377">
        <v>-3.4735E-3</v>
      </c>
      <c r="P1377">
        <v>0.94719969999999998</v>
      </c>
      <c r="Q1377">
        <v>0.14649579999999901</v>
      </c>
      <c r="R1377">
        <v>-0.28522259999999999</v>
      </c>
      <c r="S1377">
        <v>2.9378660000000001</v>
      </c>
      <c r="T1377">
        <v>-0.23878540000000001</v>
      </c>
      <c r="U1377">
        <v>-0.88491819999999899</v>
      </c>
      <c r="V1377">
        <v>0.28208870000000003</v>
      </c>
      <c r="W1377">
        <v>0.15941440000000001</v>
      </c>
      <c r="X1377">
        <v>0.94605130000000004</v>
      </c>
      <c r="Y1377">
        <v>0.28423500000000002</v>
      </c>
      <c r="Z1377">
        <v>-1.100716E-2</v>
      </c>
      <c r="AA1377">
        <v>0.95869150000000003</v>
      </c>
      <c r="AB1377">
        <v>26</v>
      </c>
      <c r="AC1377">
        <v>13.528799999999899</v>
      </c>
      <c r="AD1377">
        <v>-1.110105537003</v>
      </c>
      <c r="AE1377">
        <v>-4.1132</v>
      </c>
      <c r="AF1377">
        <v>4.0412707304464597</v>
      </c>
      <c r="AG1377">
        <v>-1.110105537003</v>
      </c>
      <c r="AH1377">
        <v>13.460048510852999</v>
      </c>
      <c r="AI1377">
        <v>94.516450676066299</v>
      </c>
      <c r="AJ1377">
        <v>73.288040407286999</v>
      </c>
      <c r="AK1377">
        <v>14.097414987669399</v>
      </c>
      <c r="AL1377">
        <v>80.827092672935393</v>
      </c>
      <c r="AM1377">
        <v>73.396743034204306</v>
      </c>
      <c r="AN1377">
        <v>1.00000002391336</v>
      </c>
    </row>
    <row r="1378" spans="1:40" x14ac:dyDescent="0.25">
      <c r="A1378" t="str">
        <f>"20190312164015815"</f>
        <v>20190312164015815</v>
      </c>
      <c r="B1378" t="str">
        <f>"1552380015807103"</f>
        <v>1552380015807103</v>
      </c>
      <c r="C1378" t="s">
        <v>40</v>
      </c>
      <c r="D1378">
        <v>5.5230709999999998</v>
      </c>
      <c r="E1378">
        <v>0.51314599999999999</v>
      </c>
      <c r="F1378" t="s">
        <v>45</v>
      </c>
      <c r="G1378">
        <v>-208.04740000000001</v>
      </c>
      <c r="H1378" s="1">
        <v>-5.5356500000000001E-6</v>
      </c>
      <c r="I1378">
        <v>363.82729999999998</v>
      </c>
      <c r="J1378">
        <v>-221.422</v>
      </c>
      <c r="K1378">
        <v>1.1101019999999999</v>
      </c>
      <c r="L1378">
        <v>367.91969999999998</v>
      </c>
      <c r="M1378">
        <v>0.99989570000000005</v>
      </c>
      <c r="N1378">
        <v>0</v>
      </c>
      <c r="O1378">
        <v>-3.790416E-3</v>
      </c>
      <c r="P1378">
        <v>0.94691420000000004</v>
      </c>
      <c r="Q1378">
        <v>0.1463573</v>
      </c>
      <c r="R1378">
        <v>-0.28623939999999998</v>
      </c>
      <c r="S1378">
        <v>2.9368590000000001</v>
      </c>
      <c r="T1378">
        <v>-0.24107919999999999</v>
      </c>
      <c r="U1378">
        <v>-0.88891600000000004</v>
      </c>
      <c r="V1378">
        <v>0.28280509999999998</v>
      </c>
      <c r="W1378">
        <v>0.15927269999999999</v>
      </c>
      <c r="X1378">
        <v>0.94586119999999996</v>
      </c>
      <c r="Y1378">
        <v>0.28519929999999999</v>
      </c>
      <c r="Z1378">
        <v>-1.112733E-2</v>
      </c>
      <c r="AA1378">
        <v>0.95840360000000002</v>
      </c>
      <c r="AB1378">
        <v>26</v>
      </c>
      <c r="AC1378">
        <v>13.3745999999999</v>
      </c>
      <c r="AD1378">
        <v>-1.1101075356499901</v>
      </c>
      <c r="AE1378">
        <v>-4.0923999999999898</v>
      </c>
      <c r="AF1378">
        <v>4.0163696177258696</v>
      </c>
      <c r="AG1378">
        <v>-1.1101075356499901</v>
      </c>
      <c r="AH1378">
        <v>13.3061961307684</v>
      </c>
      <c r="AI1378">
        <v>94.566451527370702</v>
      </c>
      <c r="AJ1378">
        <v>73.203977289820898</v>
      </c>
      <c r="AK1378">
        <v>13.943400557875901</v>
      </c>
      <c r="AL1378">
        <v>80.835316002275306</v>
      </c>
      <c r="AM1378">
        <v>73.353746563077195</v>
      </c>
      <c r="AN1378">
        <v>0.99999996360836896</v>
      </c>
    </row>
    <row r="1379" spans="1:40" x14ac:dyDescent="0.25">
      <c r="A1379" t="str">
        <f>"20190312164015831"</f>
        <v>20190312164015831</v>
      </c>
      <c r="B1379" t="str">
        <f>"1552380015827598"</f>
        <v>1552380015827598</v>
      </c>
      <c r="C1379" t="s">
        <v>40</v>
      </c>
      <c r="D1379">
        <v>5.4982490000000004</v>
      </c>
      <c r="E1379">
        <v>0.51319490000000001</v>
      </c>
      <c r="F1379" t="s">
        <v>45</v>
      </c>
      <c r="G1379">
        <v>-207.8904</v>
      </c>
      <c r="H1379" s="1">
        <v>-5.4866339999999998E-6</v>
      </c>
      <c r="I1379">
        <v>363.80459999999999</v>
      </c>
      <c r="J1379">
        <v>-221.25399999999999</v>
      </c>
      <c r="K1379">
        <v>1.110106</v>
      </c>
      <c r="L1379">
        <v>367.91860000000003</v>
      </c>
      <c r="M1379">
        <v>0.99989439999999996</v>
      </c>
      <c r="N1379">
        <v>0</v>
      </c>
      <c r="O1379">
        <v>-4.1440309999999899E-3</v>
      </c>
      <c r="P1379">
        <v>0.94653489999999996</v>
      </c>
      <c r="Q1379">
        <v>0.14642179999999999</v>
      </c>
      <c r="R1379">
        <v>-0.28745859999999901</v>
      </c>
      <c r="S1379">
        <v>2.9355470000000001</v>
      </c>
      <c r="T1379">
        <v>-0.24082729999999999</v>
      </c>
      <c r="U1379">
        <v>-0.89273069999999899</v>
      </c>
      <c r="V1379">
        <v>0.28368969999999999</v>
      </c>
      <c r="W1379">
        <v>0.15933249999999999</v>
      </c>
      <c r="X1379">
        <v>0.94558629999999999</v>
      </c>
      <c r="Y1379">
        <v>0.28611930000000002</v>
      </c>
      <c r="Z1379">
        <v>-1.112696E-2</v>
      </c>
      <c r="AA1379">
        <v>0.95812940000000002</v>
      </c>
      <c r="AB1379">
        <v>26</v>
      </c>
      <c r="AC1379">
        <v>13.3636</v>
      </c>
      <c r="AD1379">
        <v>-1.1101114866339901</v>
      </c>
      <c r="AE1379">
        <v>-4.1140000000000301</v>
      </c>
      <c r="AF1379">
        <v>4.0331582404011499</v>
      </c>
      <c r="AG1379">
        <v>-1.1101114866339901</v>
      </c>
      <c r="AH1379">
        <v>13.2967232616668</v>
      </c>
      <c r="AI1379">
        <v>94.567843704733505</v>
      </c>
      <c r="AJ1379">
        <v>73.126415267743099</v>
      </c>
      <c r="AK1379">
        <v>13.939209532904799</v>
      </c>
      <c r="AL1379">
        <v>80.8318463881306</v>
      </c>
      <c r="AM1379">
        <v>73.2999880742166</v>
      </c>
      <c r="AN1379">
        <v>1.0000000710950101</v>
      </c>
    </row>
    <row r="1380" spans="1:40" x14ac:dyDescent="0.25">
      <c r="A1380" t="str">
        <f>"20190312164015846"</f>
        <v>20190312164015846</v>
      </c>
      <c r="B1380" t="str">
        <f>"1552380015837359"</f>
        <v>1552380015837359</v>
      </c>
      <c r="C1380" t="s">
        <v>40</v>
      </c>
      <c r="D1380">
        <v>5.4726489999999997</v>
      </c>
      <c r="E1380">
        <v>0.51324959999999997</v>
      </c>
      <c r="F1380" t="s">
        <v>45</v>
      </c>
      <c r="G1380">
        <v>-207.7406</v>
      </c>
      <c r="H1380" s="1">
        <v>-5.4389130000000003E-6</v>
      </c>
      <c r="I1380">
        <v>363.78910000000002</v>
      </c>
      <c r="J1380">
        <v>-221.08019999999999</v>
      </c>
      <c r="K1380">
        <v>1.1101099999999999</v>
      </c>
      <c r="L1380">
        <v>367.91750000000002</v>
      </c>
      <c r="M1380">
        <v>0.99989300000000003</v>
      </c>
      <c r="N1380">
        <v>0</v>
      </c>
      <c r="O1380">
        <v>-4.5074169999999997E-3</v>
      </c>
      <c r="P1380">
        <v>0.94575430000000005</v>
      </c>
      <c r="Q1380">
        <v>0.14678959999999999</v>
      </c>
      <c r="R1380">
        <v>-0.28983100000000001</v>
      </c>
      <c r="S1380">
        <v>2.9344329999999998</v>
      </c>
      <c r="T1380">
        <v>-0.2410601</v>
      </c>
      <c r="U1380">
        <v>-0.89672850000000004</v>
      </c>
      <c r="V1380">
        <v>0.28572009999999998</v>
      </c>
      <c r="W1380">
        <v>0.15968979999999999</v>
      </c>
      <c r="X1380">
        <v>0.94491440000000004</v>
      </c>
      <c r="Y1380">
        <v>0.28706290000000001</v>
      </c>
      <c r="Z1380">
        <v>-1.114826E-2</v>
      </c>
      <c r="AA1380">
        <v>0.95784689999999995</v>
      </c>
      <c r="AB1380">
        <v>26</v>
      </c>
      <c r="AC1380">
        <v>13.3395999999999</v>
      </c>
      <c r="AD1380">
        <v>-1.1101154389129999</v>
      </c>
      <c r="AE1380">
        <v>-4.1283999999999903</v>
      </c>
      <c r="AF1380">
        <v>4.0426748002950701</v>
      </c>
      <c r="AG1380">
        <v>-1.1101154389129999</v>
      </c>
      <c r="AH1380">
        <v>13.2741799466519</v>
      </c>
      <c r="AI1380">
        <v>94.574022937452497</v>
      </c>
      <c r="AJ1380">
        <v>73.061793806654606</v>
      </c>
      <c r="AK1380">
        <v>13.9204679908669</v>
      </c>
      <c r="AL1380">
        <v>80.811108574907493</v>
      </c>
      <c r="AM1380">
        <v>73.175906442413705</v>
      </c>
      <c r="AN1380">
        <v>1.0000000155477</v>
      </c>
    </row>
    <row r="1381" spans="1:40" x14ac:dyDescent="0.25">
      <c r="A1381" t="str">
        <f>"20190312164015861"</f>
        <v>20190312164015861</v>
      </c>
      <c r="B1381" t="str">
        <f>"1552380015857855"</f>
        <v>1552380015857855</v>
      </c>
      <c r="C1381" t="s">
        <v>40</v>
      </c>
      <c r="D1381">
        <v>5.5397889999999999</v>
      </c>
      <c r="E1381">
        <v>0.51349369999999905</v>
      </c>
      <c r="F1381" t="s">
        <v>45</v>
      </c>
      <c r="G1381">
        <v>-207.5179</v>
      </c>
      <c r="H1381" s="1">
        <v>-5.3722500000000001E-6</v>
      </c>
      <c r="I1381">
        <v>363.73860000000002</v>
      </c>
      <c r="J1381">
        <v>-220.90799999999999</v>
      </c>
      <c r="K1381">
        <v>1.110115</v>
      </c>
      <c r="L1381">
        <v>367.91629999999998</v>
      </c>
      <c r="M1381">
        <v>0.99989119999999998</v>
      </c>
      <c r="N1381">
        <v>0</v>
      </c>
      <c r="O1381">
        <v>-4.8648440000000001E-3</v>
      </c>
      <c r="P1381">
        <v>0.94525939999999997</v>
      </c>
      <c r="Q1381">
        <v>0.1471285</v>
      </c>
      <c r="R1381">
        <v>-0.29126999999999997</v>
      </c>
      <c r="S1381">
        <v>2.9324189999999999</v>
      </c>
      <c r="T1381">
        <v>-0.2400274</v>
      </c>
      <c r="U1381">
        <v>-0.90356449999999999</v>
      </c>
      <c r="V1381">
        <v>0.28682229999999997</v>
      </c>
      <c r="W1381">
        <v>0.16002259999999999</v>
      </c>
      <c r="X1381">
        <v>0.94452409999999998</v>
      </c>
      <c r="Y1381">
        <v>0.2889468</v>
      </c>
      <c r="Z1381">
        <v>-1.115092E-2</v>
      </c>
      <c r="AA1381">
        <v>0.95728020000000003</v>
      </c>
      <c r="AB1381">
        <v>26</v>
      </c>
      <c r="AC1381">
        <v>13.390099999999901</v>
      </c>
      <c r="AD1381">
        <v>-1.1101203722499999</v>
      </c>
      <c r="AE1381">
        <v>-4.17769999999995</v>
      </c>
      <c r="AF1381">
        <v>4.0869044069212501</v>
      </c>
      <c r="AG1381">
        <v>-1.1101203722499999</v>
      </c>
      <c r="AH1381">
        <v>13.3267925161826</v>
      </c>
      <c r="AI1381">
        <v>94.553378456968503</v>
      </c>
      <c r="AJ1381">
        <v>72.950885055131906</v>
      </c>
      <c r="AK1381">
        <v>13.983510061553799</v>
      </c>
      <c r="AL1381">
        <v>80.791792176597198</v>
      </c>
      <c r="AM1381">
        <v>73.108111902517393</v>
      </c>
      <c r="AN1381">
        <v>1.0000000198844201</v>
      </c>
    </row>
    <row r="1382" spans="1:40" x14ac:dyDescent="0.25">
      <c r="A1382" t="str">
        <f>"20190312164015879"</f>
        <v>20190312164015879</v>
      </c>
      <c r="B1382" t="str">
        <f>"1552380015867615"</f>
        <v>1552380015867615</v>
      </c>
      <c r="C1382" t="s">
        <v>40</v>
      </c>
      <c r="D1382">
        <v>5.4744489999999999</v>
      </c>
      <c r="E1382">
        <v>0.51357959999999903</v>
      </c>
      <c r="F1382" t="s">
        <v>45</v>
      </c>
      <c r="G1382">
        <v>-207.3913</v>
      </c>
      <c r="H1382" s="1">
        <v>-5.3326119999999999E-6</v>
      </c>
      <c r="I1382">
        <v>363.721</v>
      </c>
      <c r="J1382">
        <v>-220.70570000000001</v>
      </c>
      <c r="K1382">
        <v>1.110123</v>
      </c>
      <c r="L1382">
        <v>367.91489999999999</v>
      </c>
      <c r="M1382">
        <v>0.99988920000000003</v>
      </c>
      <c r="N1382">
        <v>0</v>
      </c>
      <c r="O1382">
        <v>-5.2818639999999998E-3</v>
      </c>
      <c r="P1382">
        <v>0.9442893</v>
      </c>
      <c r="Q1382">
        <v>0.147570799999999</v>
      </c>
      <c r="R1382">
        <v>-0.2941782</v>
      </c>
      <c r="S1382">
        <v>2.9309080000000001</v>
      </c>
      <c r="T1382">
        <v>-0.2407137</v>
      </c>
      <c r="U1382">
        <v>-0.90969849999999997</v>
      </c>
      <c r="V1382">
        <v>0.28933979999999998</v>
      </c>
      <c r="W1382">
        <v>0.16045139999999999</v>
      </c>
      <c r="X1382">
        <v>0.9436831</v>
      </c>
      <c r="Y1382">
        <v>0.29050599999999999</v>
      </c>
      <c r="Z1382">
        <v>-1.1213890000000001E-2</v>
      </c>
      <c r="AA1382">
        <v>0.95680739999999997</v>
      </c>
      <c r="AB1382">
        <v>26</v>
      </c>
      <c r="AC1382">
        <v>13.314399999999999</v>
      </c>
      <c r="AD1382">
        <v>-1.1101283326119999</v>
      </c>
      <c r="AE1382">
        <v>-4.1938999999999798</v>
      </c>
      <c r="AF1382">
        <v>4.0975950084772901</v>
      </c>
      <c r="AG1382">
        <v>-1.1101283326119999</v>
      </c>
      <c r="AH1382">
        <v>13.252553585484501</v>
      </c>
      <c r="AI1382">
        <v>94.575574058817097</v>
      </c>
      <c r="AJ1382">
        <v>72.818764332066706</v>
      </c>
      <c r="AK1382">
        <v>13.9159206057129</v>
      </c>
      <c r="AL1382">
        <v>80.766901782783293</v>
      </c>
      <c r="AM1382">
        <v>72.954096315448297</v>
      </c>
      <c r="AN1382">
        <v>0.99999998242580401</v>
      </c>
    </row>
    <row r="1383" spans="1:40" x14ac:dyDescent="0.25">
      <c r="A1383" t="str">
        <f>"20190312164015891"</f>
        <v>20190312164015891</v>
      </c>
      <c r="B1383" t="str">
        <f>"1552380015887136"</f>
        <v>1552380015887136</v>
      </c>
      <c r="C1383" t="s">
        <v>40</v>
      </c>
      <c r="D1383">
        <v>5.6466289999999999</v>
      </c>
      <c r="E1383">
        <v>0.51365479999999997</v>
      </c>
      <c r="F1383" t="s">
        <v>45</v>
      </c>
      <c r="G1383">
        <v>-207.1431</v>
      </c>
      <c r="H1383" s="1">
        <v>-5.2590220000000001E-6</v>
      </c>
      <c r="I1383">
        <v>363.66030000000001</v>
      </c>
      <c r="J1383">
        <v>-220.55539999999999</v>
      </c>
      <c r="K1383">
        <v>1.1101259999999999</v>
      </c>
      <c r="L1383">
        <v>367.91370000000001</v>
      </c>
      <c r="M1383">
        <v>0.99988759999999999</v>
      </c>
      <c r="N1383">
        <v>0</v>
      </c>
      <c r="O1383">
        <v>-5.5898349999999996E-3</v>
      </c>
      <c r="P1383">
        <v>0.94374959999999997</v>
      </c>
      <c r="Q1383">
        <v>0.14765699999999901</v>
      </c>
      <c r="R1383">
        <v>-0.29586230000000002</v>
      </c>
      <c r="S1383">
        <v>2.9282840000000001</v>
      </c>
      <c r="T1383">
        <v>-0.23968739999999999</v>
      </c>
      <c r="U1383">
        <v>-0.91860960000000003</v>
      </c>
      <c r="V1383">
        <v>0.29073490000000002</v>
      </c>
      <c r="W1383">
        <v>0.16052949999999999</v>
      </c>
      <c r="X1383">
        <v>0.94324090000000005</v>
      </c>
      <c r="Y1383">
        <v>0.29310619999999998</v>
      </c>
      <c r="Z1383">
        <v>-1.1250019999999999E-2</v>
      </c>
      <c r="AA1383">
        <v>0.95601369999999997</v>
      </c>
      <c r="AB1383">
        <v>26</v>
      </c>
      <c r="AC1383">
        <v>13.412299999999901</v>
      </c>
      <c r="AD1383">
        <v>-1.110131259022</v>
      </c>
      <c r="AE1383">
        <v>-4.2533999999999903</v>
      </c>
      <c r="AF1383">
        <v>4.1525052618068203</v>
      </c>
      <c r="AG1383">
        <v>-1.110131259022</v>
      </c>
      <c r="AH1383">
        <v>13.3527504535113</v>
      </c>
      <c r="AI1383">
        <v>94.539103603300603</v>
      </c>
      <c r="AJ1383">
        <v>72.725089212664699</v>
      </c>
      <c r="AK1383">
        <v>14.027531359271199</v>
      </c>
      <c r="AL1383">
        <v>80.762367903437607</v>
      </c>
      <c r="AM1383">
        <v>72.869145676690394</v>
      </c>
      <c r="AN1383">
        <v>0.99999994894053301</v>
      </c>
    </row>
    <row r="1384" spans="1:40" x14ac:dyDescent="0.25">
      <c r="A1384" t="str">
        <f>"20190312164015902"</f>
        <v>20190312164015902</v>
      </c>
      <c r="B1384" t="str">
        <f>"1552380015897069"</f>
        <v>1552380015897069</v>
      </c>
      <c r="C1384" t="s">
        <v>40</v>
      </c>
      <c r="D1384">
        <v>5.5537570000000001</v>
      </c>
      <c r="E1384">
        <v>0.51369989999999999</v>
      </c>
      <c r="F1384" t="s">
        <v>45</v>
      </c>
      <c r="G1384">
        <v>-206.74010000000001</v>
      </c>
      <c r="H1384" s="1">
        <v>-5.110367E-6</v>
      </c>
      <c r="I1384">
        <v>363.55090000000001</v>
      </c>
      <c r="J1384">
        <v>-220.43389999999999</v>
      </c>
      <c r="K1384">
        <v>1.1101259999999999</v>
      </c>
      <c r="L1384">
        <v>367.9128</v>
      </c>
      <c r="M1384">
        <v>0.99988600000000005</v>
      </c>
      <c r="N1384">
        <v>0</v>
      </c>
      <c r="O1384">
        <v>-5.8385709999999999E-3</v>
      </c>
      <c r="P1384">
        <v>0.94327430000000001</v>
      </c>
      <c r="Q1384">
        <v>0.1477724</v>
      </c>
      <c r="R1384">
        <v>-0.29731649999999998</v>
      </c>
      <c r="S1384">
        <v>2.9259490000000001</v>
      </c>
      <c r="T1384">
        <v>-0.23511489999999999</v>
      </c>
      <c r="U1384">
        <v>-0.92401120000000003</v>
      </c>
      <c r="V1384">
        <v>0.29195599999999999</v>
      </c>
      <c r="W1384">
        <v>0.1606387</v>
      </c>
      <c r="X1384">
        <v>0.94284509999999999</v>
      </c>
      <c r="Y1384">
        <v>0.29471979999999998</v>
      </c>
      <c r="Z1384">
        <v>-1.108517E-2</v>
      </c>
      <c r="AA1384">
        <v>0.95551940000000002</v>
      </c>
      <c r="AB1384">
        <v>26</v>
      </c>
      <c r="AC1384">
        <v>13.6937999999999</v>
      </c>
      <c r="AD1384">
        <v>-1.110131110367</v>
      </c>
      <c r="AE1384">
        <v>-4.3618999999999897</v>
      </c>
      <c r="AF1384">
        <v>4.2564687740423697</v>
      </c>
      <c r="AG1384">
        <v>-1.110131110367</v>
      </c>
      <c r="AH1384">
        <v>13.6376650137629</v>
      </c>
      <c r="AI1384">
        <v>94.443241604502404</v>
      </c>
      <c r="AJ1384">
        <v>72.666269313335505</v>
      </c>
      <c r="AK1384">
        <v>14.329543765738499</v>
      </c>
      <c r="AL1384">
        <v>80.756029322972196</v>
      </c>
      <c r="AM1384">
        <v>72.794638332014699</v>
      </c>
      <c r="AN1384">
        <v>0.99999999023385</v>
      </c>
    </row>
    <row r="1385" spans="1:40" x14ac:dyDescent="0.25">
      <c r="A1385" t="str">
        <f>"20190312164015913"</f>
        <v>20190312164015913</v>
      </c>
      <c r="B1385" t="str">
        <f>"1552380015907805"</f>
        <v>1552380015907805</v>
      </c>
      <c r="C1385" t="s">
        <v>40</v>
      </c>
      <c r="D1385">
        <v>5.59389</v>
      </c>
      <c r="E1385">
        <v>0.51373519999999995</v>
      </c>
      <c r="F1385" t="s">
        <v>45</v>
      </c>
      <c r="G1385">
        <v>-206.50200000000001</v>
      </c>
      <c r="H1385" s="1">
        <v>-5.0139420000000003E-6</v>
      </c>
      <c r="I1385">
        <v>363.48559999999998</v>
      </c>
      <c r="J1385">
        <v>-220.3032</v>
      </c>
      <c r="K1385">
        <v>1.110128</v>
      </c>
      <c r="L1385">
        <v>367.9117</v>
      </c>
      <c r="M1385">
        <v>0.99988449999999995</v>
      </c>
      <c r="N1385">
        <v>0</v>
      </c>
      <c r="O1385">
        <v>-6.1062579999999998E-3</v>
      </c>
      <c r="P1385">
        <v>0.94274239999999998</v>
      </c>
      <c r="Q1385">
        <v>0.1478158</v>
      </c>
      <c r="R1385">
        <v>-0.29897770000000001</v>
      </c>
      <c r="S1385">
        <v>2.924026</v>
      </c>
      <c r="T1385">
        <v>-0.23299429999999999</v>
      </c>
      <c r="U1385">
        <v>-0.92916869999999996</v>
      </c>
      <c r="V1385">
        <v>0.29336679999999998</v>
      </c>
      <c r="W1385">
        <v>0.1606744</v>
      </c>
      <c r="X1385">
        <v>0.94240100000000004</v>
      </c>
      <c r="Y1385">
        <v>0.29618699999999998</v>
      </c>
      <c r="Z1385">
        <v>-1.1025689999999999E-2</v>
      </c>
      <c r="AA1385">
        <v>0.95506630000000003</v>
      </c>
      <c r="AB1385">
        <v>26</v>
      </c>
      <c r="AC1385">
        <v>13.8011999999999</v>
      </c>
      <c r="AD1385">
        <v>-1.110133013942</v>
      </c>
      <c r="AE1385">
        <v>-4.4261000000000204</v>
      </c>
      <c r="AF1385">
        <v>4.31641219397242</v>
      </c>
      <c r="AG1385">
        <v>-1.110133013942</v>
      </c>
      <c r="AH1385">
        <v>13.747319736172701</v>
      </c>
      <c r="AI1385">
        <v>94.405606844871201</v>
      </c>
      <c r="AJ1385">
        <v>72.568645432971806</v>
      </c>
      <c r="AK1385">
        <v>14.451733787524599</v>
      </c>
      <c r="AL1385">
        <v>80.753956974462696</v>
      </c>
      <c r="AM1385">
        <v>72.708780537441896</v>
      </c>
      <c r="AN1385">
        <v>0.99999999347930002</v>
      </c>
    </row>
    <row r="1386" spans="1:40" x14ac:dyDescent="0.25">
      <c r="A1386" t="str">
        <f>"20190312164015925"</f>
        <v>20190312164015925</v>
      </c>
      <c r="B1386" t="str">
        <f>"1552380015917565"</f>
        <v>1552380015917565</v>
      </c>
      <c r="C1386" t="s">
        <v>40</v>
      </c>
      <c r="D1386">
        <v>5.3083479999999996</v>
      </c>
      <c r="E1386">
        <v>0.51377859999999997</v>
      </c>
      <c r="F1386" t="s">
        <v>45</v>
      </c>
      <c r="G1386">
        <v>-206.24610000000001</v>
      </c>
      <c r="H1386" s="1">
        <v>-4.9103920000000002E-6</v>
      </c>
      <c r="I1386">
        <v>363.41489999999999</v>
      </c>
      <c r="J1386">
        <v>-220.1694</v>
      </c>
      <c r="K1386">
        <v>1.1101270000000001</v>
      </c>
      <c r="L1386">
        <v>367.91059999999999</v>
      </c>
      <c r="M1386">
        <v>0.99988279999999996</v>
      </c>
      <c r="N1386">
        <v>0</v>
      </c>
      <c r="O1386">
        <v>-6.3801450000000003E-3</v>
      </c>
      <c r="P1386">
        <v>0.94222309999999998</v>
      </c>
      <c r="Q1386">
        <v>0.14784079999999999</v>
      </c>
      <c r="R1386">
        <v>-0.30059760000000002</v>
      </c>
      <c r="S1386">
        <v>2.921967</v>
      </c>
      <c r="T1386">
        <v>-0.2307564</v>
      </c>
      <c r="U1386">
        <v>-0.93472290000000002</v>
      </c>
      <c r="V1386">
        <v>0.29473050000000001</v>
      </c>
      <c r="W1386">
        <v>0.1606918</v>
      </c>
      <c r="X1386">
        <v>0.94197240000000004</v>
      </c>
      <c r="Y1386">
        <v>0.29777890000000001</v>
      </c>
      <c r="Z1386">
        <v>-1.096453E-2</v>
      </c>
      <c r="AA1386">
        <v>0.95457190000000003</v>
      </c>
      <c r="AB1386">
        <v>26</v>
      </c>
      <c r="AC1386">
        <v>13.9232999999999</v>
      </c>
      <c r="AD1386">
        <v>-1.110131910392</v>
      </c>
      <c r="AE1386">
        <v>-4.4956999999999896</v>
      </c>
      <c r="AF1386">
        <v>4.3815427807885801</v>
      </c>
      <c r="AG1386">
        <v>-1.110131910392</v>
      </c>
      <c r="AH1386">
        <v>13.871842735109</v>
      </c>
      <c r="AI1386">
        <v>94.3638705591313</v>
      </c>
      <c r="AJ1386">
        <v>72.4708228608567</v>
      </c>
      <c r="AK1386">
        <v>14.5896652074661</v>
      </c>
      <c r="AL1386">
        <v>80.752946612131595</v>
      </c>
      <c r="AM1386">
        <v>72.625800027221999</v>
      </c>
      <c r="AN1386">
        <v>0.99999996228962396</v>
      </c>
    </row>
    <row r="1387" spans="1:40" x14ac:dyDescent="0.25">
      <c r="A1387" t="str">
        <f>"20190312164015945"</f>
        <v>20190312164015945</v>
      </c>
      <c r="B1387" t="str">
        <f>"1552380015937085"</f>
        <v>1552380015937085</v>
      </c>
      <c r="C1387" t="s">
        <v>40</v>
      </c>
      <c r="D1387">
        <v>5.5468539999999997</v>
      </c>
      <c r="E1387">
        <v>0.51401709999999901</v>
      </c>
      <c r="F1387" t="s">
        <v>45</v>
      </c>
      <c r="G1387">
        <v>-206.0068</v>
      </c>
      <c r="H1387" s="1">
        <v>-4.8132190000000002E-6</v>
      </c>
      <c r="I1387">
        <v>363.35039999999998</v>
      </c>
      <c r="J1387">
        <v>-219.93190000000001</v>
      </c>
      <c r="K1387">
        <v>1.1101299999999901</v>
      </c>
      <c r="L1387">
        <v>367.9085</v>
      </c>
      <c r="M1387">
        <v>0.99987950000000003</v>
      </c>
      <c r="N1387">
        <v>0</v>
      </c>
      <c r="O1387">
        <v>-6.8661850000000003E-3</v>
      </c>
      <c r="P1387">
        <v>0.94097830000000005</v>
      </c>
      <c r="Q1387">
        <v>0.14796599999999999</v>
      </c>
      <c r="R1387">
        <v>-0.30441059999999998</v>
      </c>
      <c r="S1387">
        <v>2.9199220000000001</v>
      </c>
      <c r="T1387">
        <v>-0.22887689999999999</v>
      </c>
      <c r="U1387">
        <v>-0.94018550000000001</v>
      </c>
      <c r="V1387">
        <v>0.29809210000000003</v>
      </c>
      <c r="W1387">
        <v>0.1607982</v>
      </c>
      <c r="X1387">
        <v>0.94089590000000001</v>
      </c>
      <c r="Y1387">
        <v>0.29913800000000001</v>
      </c>
      <c r="Z1387">
        <v>-1.089448E-2</v>
      </c>
      <c r="AA1387">
        <v>0.95414770000000004</v>
      </c>
      <c r="AB1387">
        <v>26</v>
      </c>
      <c r="AC1387">
        <v>13.9251</v>
      </c>
      <c r="AD1387">
        <v>-1.1101348132190001</v>
      </c>
      <c r="AE1387">
        <v>-4.55810000000002</v>
      </c>
      <c r="AF1387">
        <v>4.4369008842689199</v>
      </c>
      <c r="AG1387">
        <v>-1.1101348132190001</v>
      </c>
      <c r="AH1387">
        <v>13.876413804127001</v>
      </c>
      <c r="AI1387">
        <v>94.357579107316795</v>
      </c>
      <c r="AJ1387">
        <v>72.268631519330597</v>
      </c>
      <c r="AK1387">
        <v>14.6107271832621</v>
      </c>
      <c r="AL1387">
        <v>80.746770633008097</v>
      </c>
      <c r="AM1387">
        <v>72.420897416859802</v>
      </c>
      <c r="AN1387">
        <v>1.00000002792122</v>
      </c>
    </row>
    <row r="1388" spans="1:40" x14ac:dyDescent="0.25">
      <c r="A1388" t="str">
        <f>"20190312164015959"</f>
        <v>20190312164015959</v>
      </c>
      <c r="B1388" t="str">
        <f>"1552380015947821"</f>
        <v>1552380015947821</v>
      </c>
      <c r="C1388" t="s">
        <v>40</v>
      </c>
      <c r="D1388">
        <v>5.5578079999999996</v>
      </c>
      <c r="E1388">
        <v>0.51425859999999901</v>
      </c>
      <c r="F1388" t="s">
        <v>45</v>
      </c>
      <c r="G1388">
        <v>-205.93109999999999</v>
      </c>
      <c r="H1388" s="1">
        <v>-4.7820990000000001E-6</v>
      </c>
      <c r="I1388">
        <v>363.33179999999999</v>
      </c>
      <c r="J1388">
        <v>-219.78129999999999</v>
      </c>
      <c r="K1388">
        <v>1.1101289999999999</v>
      </c>
      <c r="L1388">
        <v>367.90710000000001</v>
      </c>
      <c r="M1388">
        <v>0.99987749999999997</v>
      </c>
      <c r="N1388">
        <v>0</v>
      </c>
      <c r="O1388">
        <v>-7.1747599999999996E-3</v>
      </c>
      <c r="P1388">
        <v>0.94024859999999999</v>
      </c>
      <c r="Q1388">
        <v>0.14807989999999999</v>
      </c>
      <c r="R1388">
        <v>-0.30660270000000001</v>
      </c>
      <c r="S1388">
        <v>2.9161380000000001</v>
      </c>
      <c r="T1388">
        <v>-0.23122290000000001</v>
      </c>
      <c r="U1388">
        <v>-0.95324710000000001</v>
      </c>
      <c r="V1388">
        <v>0.29999749999999997</v>
      </c>
      <c r="W1388">
        <v>0.16090170000000001</v>
      </c>
      <c r="X1388">
        <v>0.94027229999999995</v>
      </c>
      <c r="Y1388">
        <v>0.3030409</v>
      </c>
      <c r="Z1388">
        <v>-1.1138769999999999E-2</v>
      </c>
      <c r="AA1388">
        <v>0.95291239999999999</v>
      </c>
      <c r="AB1388">
        <v>26</v>
      </c>
      <c r="AC1388">
        <v>13.850199999999999</v>
      </c>
      <c r="AD1388">
        <v>-1.110133782099</v>
      </c>
      <c r="AE1388">
        <v>-4.5753000000000199</v>
      </c>
      <c r="AF1388">
        <v>4.4500244608198001</v>
      </c>
      <c r="AG1388">
        <v>-1.110133782099</v>
      </c>
      <c r="AH1388">
        <v>13.8027225489818</v>
      </c>
      <c r="AI1388">
        <v>94.377374825264695</v>
      </c>
      <c r="AJ1388">
        <v>72.130578151135296</v>
      </c>
      <c r="AK1388">
        <v>14.5447675980135</v>
      </c>
      <c r="AL1388">
        <v>80.740761347526998</v>
      </c>
      <c r="AM1388">
        <v>72.304516619124598</v>
      </c>
      <c r="AN1388">
        <v>0.99999992760821199</v>
      </c>
    </row>
    <row r="1389" spans="1:40" x14ac:dyDescent="0.25">
      <c r="A1389" t="str">
        <f>"20190312164015971"</f>
        <v>20190312164015971</v>
      </c>
      <c r="B1389" t="str">
        <f>"1552380015967342"</f>
        <v>1552380015967342</v>
      </c>
      <c r="C1389" t="s">
        <v>40</v>
      </c>
      <c r="D1389">
        <v>5.3232359999999996</v>
      </c>
      <c r="E1389">
        <v>0.51427599999999996</v>
      </c>
      <c r="F1389" t="s">
        <v>45</v>
      </c>
      <c r="G1389">
        <v>-205.81659999999999</v>
      </c>
      <c r="H1389" s="1">
        <v>-4.7362550000000001E-6</v>
      </c>
      <c r="I1389">
        <v>363.29790000000003</v>
      </c>
      <c r="J1389">
        <v>-219.6414</v>
      </c>
      <c r="K1389">
        <v>1.1101299999999901</v>
      </c>
      <c r="L1389">
        <v>367.9058</v>
      </c>
      <c r="M1389">
        <v>0.99987539999999997</v>
      </c>
      <c r="N1389">
        <v>0</v>
      </c>
      <c r="O1389">
        <v>-7.46153099999999E-3</v>
      </c>
      <c r="P1389">
        <v>0.93957259999999998</v>
      </c>
      <c r="Q1389">
        <v>0.14802599999999999</v>
      </c>
      <c r="R1389">
        <v>-0.30869350000000001</v>
      </c>
      <c r="S1389">
        <v>2.9135589999999998</v>
      </c>
      <c r="T1389">
        <v>-0.23161509999999999</v>
      </c>
      <c r="U1389">
        <v>-0.96163940000000003</v>
      </c>
      <c r="V1389">
        <v>0.301822599999999</v>
      </c>
      <c r="W1389">
        <v>0.1608378</v>
      </c>
      <c r="X1389">
        <v>0.93969910000000001</v>
      </c>
      <c r="Y1389">
        <v>0.30548350000000002</v>
      </c>
      <c r="Z1389">
        <v>-1.123438E-2</v>
      </c>
      <c r="AA1389">
        <v>0.95213110000000001</v>
      </c>
      <c r="AB1389">
        <v>26</v>
      </c>
      <c r="AC1389">
        <v>13.8248</v>
      </c>
      <c r="AD1389">
        <v>-1.11013473625499</v>
      </c>
      <c r="AE1389">
        <v>-4.6078999999999697</v>
      </c>
      <c r="AF1389">
        <v>4.4786163094748304</v>
      </c>
      <c r="AG1389">
        <v>-1.11013473625499</v>
      </c>
      <c r="AH1389">
        <v>13.7788361863765</v>
      </c>
      <c r="AI1389">
        <v>94.381567693519003</v>
      </c>
      <c r="AJ1389">
        <v>71.993978419949201</v>
      </c>
      <c r="AK1389">
        <v>14.5308888176578</v>
      </c>
      <c r="AL1389">
        <v>80.744471903694702</v>
      </c>
      <c r="AM1389">
        <v>72.1934653736581</v>
      </c>
      <c r="AN1389">
        <v>1.0000000391602</v>
      </c>
    </row>
    <row r="1390" spans="1:40" x14ac:dyDescent="0.25">
      <c r="A1390" t="str">
        <f>"20190312164015991"</f>
        <v>20190312164015991</v>
      </c>
      <c r="B1390" t="str">
        <f>"1552380015987837"</f>
        <v>1552380015987837</v>
      </c>
      <c r="C1390" t="s">
        <v>40</v>
      </c>
      <c r="D1390">
        <v>5.6998530000000001</v>
      </c>
      <c r="E1390">
        <v>0.56052800000000003</v>
      </c>
      <c r="F1390" t="s">
        <v>45</v>
      </c>
      <c r="G1390">
        <v>-205.44550000000001</v>
      </c>
      <c r="H1390" s="1">
        <v>-4.588892E-6</v>
      </c>
      <c r="I1390">
        <v>363.18290000000002</v>
      </c>
      <c r="J1390">
        <v>-219.4188</v>
      </c>
      <c r="K1390">
        <v>1.1101259999999999</v>
      </c>
      <c r="L1390">
        <v>367.90359999999998</v>
      </c>
      <c r="M1390">
        <v>0.99987199999999998</v>
      </c>
      <c r="N1390">
        <v>0</v>
      </c>
      <c r="O1390">
        <v>-7.9180369999999993E-3</v>
      </c>
      <c r="P1390">
        <v>0.93816440000000001</v>
      </c>
      <c r="Q1390">
        <v>0.14738499999999999</v>
      </c>
      <c r="R1390">
        <v>-0.31324999999999997</v>
      </c>
      <c r="S1390">
        <v>2.91066</v>
      </c>
      <c r="T1390">
        <v>-0.22761619999999999</v>
      </c>
      <c r="U1390">
        <v>-0.96835329999999997</v>
      </c>
      <c r="V1390">
        <v>0.30595899999999998</v>
      </c>
      <c r="W1390">
        <v>0.16017410000000001</v>
      </c>
      <c r="X1390">
        <v>0.93847389999999997</v>
      </c>
      <c r="Y1390">
        <v>0.30733369999999999</v>
      </c>
      <c r="Z1390">
        <v>-1.108314E-2</v>
      </c>
      <c r="AA1390">
        <v>0.95153730000000003</v>
      </c>
      <c r="AB1390">
        <v>26</v>
      </c>
      <c r="AC1390">
        <v>13.973299999999901</v>
      </c>
      <c r="AD1390">
        <v>-1.1101305888919999</v>
      </c>
      <c r="AE1390">
        <v>-4.7206999999999599</v>
      </c>
      <c r="AF1390">
        <v>4.5839314453568596</v>
      </c>
      <c r="AG1390">
        <v>-1.1101305888919999</v>
      </c>
      <c r="AH1390">
        <v>13.9313209002199</v>
      </c>
      <c r="AI1390">
        <v>94.328675596440107</v>
      </c>
      <c r="AJ1390">
        <v>71.786839234718201</v>
      </c>
      <c r="AK1390">
        <v>14.708042678923301</v>
      </c>
      <c r="AL1390">
        <v>80.782997846878402</v>
      </c>
      <c r="AM1390">
        <v>71.943120508137497</v>
      </c>
      <c r="AN1390">
        <v>0.99999995648650897</v>
      </c>
    </row>
    <row r="1391" spans="1:40" x14ac:dyDescent="0.25">
      <c r="A1391" t="str">
        <f>"20190312164016004"</f>
        <v>20190312164016004</v>
      </c>
      <c r="B1391" t="str">
        <f>"1552380015997597"</f>
        <v>1552380015997597</v>
      </c>
      <c r="C1391" t="s">
        <v>40</v>
      </c>
      <c r="D1391">
        <v>5.8144010000000002</v>
      </c>
      <c r="E1391">
        <v>0.56082699999999996</v>
      </c>
      <c r="F1391" t="s">
        <v>45</v>
      </c>
      <c r="G1391">
        <v>-201.78530000000001</v>
      </c>
      <c r="H1391" s="1">
        <v>-6.0700310000000001E-6</v>
      </c>
      <c r="I1391">
        <v>359.38459999999998</v>
      </c>
      <c r="J1391">
        <v>-219.2722</v>
      </c>
      <c r="K1391">
        <v>1.1101270000000001</v>
      </c>
      <c r="L1391">
        <v>367.90210000000002</v>
      </c>
      <c r="M1391">
        <v>0.99986949999999997</v>
      </c>
      <c r="N1391">
        <v>0</v>
      </c>
      <c r="O1391">
        <v>-8.2187619999999992E-3</v>
      </c>
      <c r="P1391">
        <v>0.93755569999999999</v>
      </c>
      <c r="Q1391">
        <v>0.1468612</v>
      </c>
      <c r="R1391">
        <v>-0.31531090000000001</v>
      </c>
      <c r="S1391">
        <v>2.7772060000000001</v>
      </c>
      <c r="T1391">
        <v>-0.17484129999999901</v>
      </c>
      <c r="U1391">
        <v>-1.3417049999999999</v>
      </c>
      <c r="V1391">
        <v>0.30774099999999999</v>
      </c>
      <c r="W1391">
        <v>0.15964130000000001</v>
      </c>
      <c r="X1391">
        <v>0.93798199999999998</v>
      </c>
      <c r="Y1391">
        <v>0.42692069999999999</v>
      </c>
      <c r="Z1391">
        <v>-1.2234E-2</v>
      </c>
      <c r="AA1391">
        <v>0.90420630000000002</v>
      </c>
      <c r="AB1391">
        <v>26</v>
      </c>
      <c r="AC1391">
        <v>17.486899999999899</v>
      </c>
      <c r="AD1391">
        <v>-1.1101330700309999</v>
      </c>
      <c r="AE1391">
        <v>-8.5175000000000392</v>
      </c>
      <c r="AF1391">
        <v>8.3462906577709504</v>
      </c>
      <c r="AG1391">
        <v>-1.1101330700309999</v>
      </c>
      <c r="AH1391">
        <v>17.499317423742799</v>
      </c>
      <c r="AI1391">
        <v>93.277141905523806</v>
      </c>
      <c r="AJ1391">
        <v>64.501215230787395</v>
      </c>
      <c r="AK1391">
        <v>19.419553894826699</v>
      </c>
      <c r="AL1391">
        <v>80.813923852344402</v>
      </c>
      <c r="AM1391">
        <v>71.835937434781101</v>
      </c>
      <c r="AN1391">
        <v>1.0000000500353401</v>
      </c>
    </row>
    <row r="1392" spans="1:40" x14ac:dyDescent="0.25">
      <c r="A1392" t="str">
        <f>"20190312164016015"</f>
        <v>20190312164016015</v>
      </c>
      <c r="B1392" t="str">
        <f>"1552380016007357"</f>
        <v>1552380016007357</v>
      </c>
      <c r="C1392" t="s">
        <v>40</v>
      </c>
      <c r="D1392">
        <v>6.099945</v>
      </c>
      <c r="E1392">
        <v>0.56077200000000005</v>
      </c>
      <c r="F1392" t="s">
        <v>45</v>
      </c>
      <c r="G1392">
        <v>-199.10429999999999</v>
      </c>
      <c r="H1392" s="1">
        <v>-6.1913189999999998E-6</v>
      </c>
      <c r="I1392">
        <v>358.05309999999997</v>
      </c>
      <c r="J1392">
        <v>-219.1447</v>
      </c>
      <c r="K1392">
        <v>1.1101270000000001</v>
      </c>
      <c r="L1392">
        <v>367.9008</v>
      </c>
      <c r="M1392">
        <v>0.99986739999999996</v>
      </c>
      <c r="N1392">
        <v>0</v>
      </c>
      <c r="O1392">
        <v>-8.4812240000000007E-3</v>
      </c>
      <c r="P1392">
        <v>0.93680989999999997</v>
      </c>
      <c r="Q1392">
        <v>0.14666219999999999</v>
      </c>
      <c r="R1392">
        <v>-0.31761270000000003</v>
      </c>
      <c r="S1392">
        <v>2.7689210000000002</v>
      </c>
      <c r="T1392">
        <v>-0.1524141</v>
      </c>
      <c r="U1392">
        <v>-1.352203</v>
      </c>
      <c r="V1392">
        <v>0.30980190000000002</v>
      </c>
      <c r="W1392">
        <v>0.159430399999999</v>
      </c>
      <c r="X1392">
        <v>0.93733920000000004</v>
      </c>
      <c r="Y1392">
        <v>0.4306664</v>
      </c>
      <c r="Z1392">
        <v>-1.0771060000000001E-2</v>
      </c>
      <c r="AA1392">
        <v>0.90244690000000005</v>
      </c>
      <c r="AB1392">
        <v>25</v>
      </c>
      <c r="AC1392">
        <v>20.040400000000002</v>
      </c>
      <c r="AD1392">
        <v>-1.110133191319</v>
      </c>
      <c r="AE1392">
        <v>-9.8477000000000299</v>
      </c>
      <c r="AF1392">
        <v>9.6535012755111502</v>
      </c>
      <c r="AG1392">
        <v>-1.110133191319</v>
      </c>
      <c r="AH1392">
        <v>20.073591049475901</v>
      </c>
      <c r="AI1392">
        <v>92.853229909815298</v>
      </c>
      <c r="AJ1392">
        <v>64.316840676508505</v>
      </c>
      <c r="AK1392">
        <v>22.301828180675201</v>
      </c>
      <c r="AL1392">
        <v>80.826164053448295</v>
      </c>
      <c r="AM1392">
        <v>71.710656997089998</v>
      </c>
      <c r="AN1392">
        <v>1.0000000227721999</v>
      </c>
    </row>
    <row r="1393" spans="1:40" x14ac:dyDescent="0.25">
      <c r="A1393" t="str">
        <f>"20190312164016028"</f>
        <v>20190312164016028</v>
      </c>
      <c r="B1393" t="str">
        <f>"1552380016017117"</f>
        <v>1552380016017117</v>
      </c>
      <c r="C1393" t="s">
        <v>40</v>
      </c>
      <c r="D1393">
        <v>5.6462979999999998</v>
      </c>
      <c r="E1393">
        <v>0.56163439999999998</v>
      </c>
      <c r="F1393" t="s">
        <v>45</v>
      </c>
      <c r="G1393">
        <v>-199.3501</v>
      </c>
      <c r="H1393" s="1">
        <v>-6.2717969999999999E-6</v>
      </c>
      <c r="I1393">
        <v>358.1789</v>
      </c>
      <c r="J1393">
        <v>-218.99770000000001</v>
      </c>
      <c r="K1393">
        <v>1.1101270000000001</v>
      </c>
      <c r="L1393">
        <v>367.89920000000001</v>
      </c>
      <c r="M1393">
        <v>0.99986489999999995</v>
      </c>
      <c r="N1393">
        <v>0</v>
      </c>
      <c r="O1393">
        <v>-8.7827879999999997E-3</v>
      </c>
      <c r="P1393">
        <v>0.93614889999999995</v>
      </c>
      <c r="Q1393">
        <v>0.146336299999999</v>
      </c>
      <c r="R1393">
        <v>-0.31970530000000003</v>
      </c>
      <c r="S1393">
        <v>2.7660520000000002</v>
      </c>
      <c r="T1393">
        <v>-0.1551275</v>
      </c>
      <c r="U1393">
        <v>-1.3585210000000001</v>
      </c>
      <c r="V1393">
        <v>0.31161620000000001</v>
      </c>
      <c r="W1393">
        <v>0.15909429999999999</v>
      </c>
      <c r="X1393">
        <v>0.93679480000000004</v>
      </c>
      <c r="Y1393">
        <v>0.4324037</v>
      </c>
      <c r="Z1393">
        <v>-1.0997649999999999E-2</v>
      </c>
      <c r="AA1393">
        <v>0.90161309999999995</v>
      </c>
      <c r="AB1393">
        <v>25</v>
      </c>
      <c r="AC1393">
        <v>19.647600000000001</v>
      </c>
      <c r="AD1393">
        <v>-1.1101332717970001</v>
      </c>
      <c r="AE1393">
        <v>-9.7202999999999999</v>
      </c>
      <c r="AF1393">
        <v>9.5229237059352094</v>
      </c>
      <c r="AG1393">
        <v>-1.1101332717970001</v>
      </c>
      <c r="AH1393">
        <v>19.681742814863501</v>
      </c>
      <c r="AI1393">
        <v>92.906598862204604</v>
      </c>
      <c r="AJ1393">
        <v>64.180188014086696</v>
      </c>
      <c r="AK1393">
        <v>21.8926807865241</v>
      </c>
      <c r="AL1393">
        <v>80.845670615284405</v>
      </c>
      <c r="AM1393">
        <v>71.600768348831195</v>
      </c>
      <c r="AN1393">
        <v>1.0000000748509801</v>
      </c>
    </row>
    <row r="1394" spans="1:40" x14ac:dyDescent="0.25">
      <c r="A1394" t="str">
        <f>"20190312164016041"</f>
        <v>20190312164016041</v>
      </c>
      <c r="B1394" t="str">
        <f>"1552380016037613"</f>
        <v>1552380016037613</v>
      </c>
      <c r="C1394" t="s">
        <v>40</v>
      </c>
      <c r="D1394">
        <v>5.6817260000000003</v>
      </c>
      <c r="E1394">
        <v>0.56179179999999995</v>
      </c>
      <c r="F1394" t="s">
        <v>45</v>
      </c>
      <c r="G1394">
        <v>-200.03870000000001</v>
      </c>
      <c r="H1394" s="1">
        <v>-6.4631839999999998E-6</v>
      </c>
      <c r="I1394">
        <v>358.48840000000001</v>
      </c>
      <c r="J1394">
        <v>-218.84870000000001</v>
      </c>
      <c r="K1394">
        <v>1.1101299999999901</v>
      </c>
      <c r="L1394">
        <v>367.89749999999998</v>
      </c>
      <c r="M1394">
        <v>0.99986209999999998</v>
      </c>
      <c r="N1394">
        <v>0</v>
      </c>
      <c r="O1394">
        <v>-9.0886460000000006E-3</v>
      </c>
      <c r="P1394">
        <v>0.93526880000000001</v>
      </c>
      <c r="Q1394">
        <v>0.14640069999999999</v>
      </c>
      <c r="R1394">
        <v>-0.32224039999999998</v>
      </c>
      <c r="S1394">
        <v>2.7617189999999998</v>
      </c>
      <c r="T1394">
        <v>-0.16171050000000001</v>
      </c>
      <c r="U1394">
        <v>-1.3708499999999999</v>
      </c>
      <c r="V1394">
        <v>0.31387199999999998</v>
      </c>
      <c r="W1394">
        <v>0.1591447</v>
      </c>
      <c r="X1394">
        <v>0.9360328</v>
      </c>
      <c r="Y1394">
        <v>0.43586849999999999</v>
      </c>
      <c r="Z1394">
        <v>-1.1547989999999999E-2</v>
      </c>
      <c r="AA1394">
        <v>0.89993630000000002</v>
      </c>
      <c r="AB1394">
        <v>25</v>
      </c>
      <c r="AC1394">
        <v>18.809999999999999</v>
      </c>
      <c r="AD1394">
        <v>-1.1101364631839901</v>
      </c>
      <c r="AE1394">
        <v>-9.4090999999999596</v>
      </c>
      <c r="AF1394">
        <v>9.2120720364986504</v>
      </c>
      <c r="AG1394">
        <v>-1.1101364631839901</v>
      </c>
      <c r="AH1394">
        <v>18.8422516743526</v>
      </c>
      <c r="AI1394">
        <v>93.029845836922206</v>
      </c>
      <c r="AJ1394">
        <v>63.945757257266202</v>
      </c>
      <c r="AK1394">
        <v>21.0029788918661</v>
      </c>
      <c r="AL1394">
        <v>80.842745276796705</v>
      </c>
      <c r="AM1394">
        <v>71.462585934246903</v>
      </c>
      <c r="AN1394">
        <v>1.00000003529896</v>
      </c>
    </row>
    <row r="1395" spans="1:40" x14ac:dyDescent="0.25">
      <c r="A1395" t="str">
        <f>"20190312164016059"</f>
        <v>20190312164016059</v>
      </c>
      <c r="B1395" t="str">
        <f>"1552380016047373"</f>
        <v>1552380016047373</v>
      </c>
      <c r="C1395" t="s">
        <v>40</v>
      </c>
      <c r="D1395">
        <v>5.9993679999999996</v>
      </c>
      <c r="E1395">
        <v>0.56110360000000004</v>
      </c>
      <c r="F1395" t="s">
        <v>45</v>
      </c>
      <c r="G1395">
        <v>-200.0762</v>
      </c>
      <c r="H1395" s="1">
        <v>-6.4573830000000004E-6</v>
      </c>
      <c r="I1395">
        <v>358.51080000000002</v>
      </c>
      <c r="J1395">
        <v>-218.6559</v>
      </c>
      <c r="K1395">
        <v>1.110128</v>
      </c>
      <c r="L1395">
        <v>367.89530000000002</v>
      </c>
      <c r="M1395">
        <v>0.99985860000000004</v>
      </c>
      <c r="N1395">
        <v>0</v>
      </c>
      <c r="O1395">
        <v>-9.4852100000000009E-3</v>
      </c>
      <c r="P1395">
        <v>0.93365810000000005</v>
      </c>
      <c r="Q1395">
        <v>0.14651639999999999</v>
      </c>
      <c r="R1395">
        <v>-0.32682719999999998</v>
      </c>
      <c r="S1395">
        <v>2.7579799999999999</v>
      </c>
      <c r="T1395">
        <v>-0.1630962</v>
      </c>
      <c r="U1395">
        <v>-1.379059</v>
      </c>
      <c r="V1395">
        <v>0.31810159999999998</v>
      </c>
      <c r="W1395">
        <v>0.1592346</v>
      </c>
      <c r="X1395">
        <v>0.93458859999999999</v>
      </c>
      <c r="Y1395">
        <v>0.43812839999999997</v>
      </c>
      <c r="Z1395">
        <v>-1.169457E-2</v>
      </c>
      <c r="AA1395">
        <v>0.89883639999999998</v>
      </c>
      <c r="AB1395">
        <v>25</v>
      </c>
      <c r="AC1395">
        <v>18.579699999999999</v>
      </c>
      <c r="AD1395">
        <v>-1.1101344573829901</v>
      </c>
      <c r="AE1395">
        <v>-9.3844999999999992</v>
      </c>
      <c r="AF1395">
        <v>9.1817120746181899</v>
      </c>
      <c r="AG1395">
        <v>-1.1101344573829901</v>
      </c>
      <c r="AH1395">
        <v>18.614938495715801</v>
      </c>
      <c r="AI1395">
        <v>93.061517891598299</v>
      </c>
      <c r="AJ1395">
        <v>63.745443890254201</v>
      </c>
      <c r="AK1395">
        <v>20.7858646761192</v>
      </c>
      <c r="AL1395">
        <v>80.837528160805505</v>
      </c>
      <c r="AM1395">
        <v>71.203203640133495</v>
      </c>
      <c r="AN1395">
        <v>1.00000006850483</v>
      </c>
    </row>
    <row r="1396" spans="1:40" x14ac:dyDescent="0.25">
      <c r="A1396" t="str">
        <f>"20190312164016079"</f>
        <v>20190312164016079</v>
      </c>
      <c r="B1396" t="str">
        <f>"1552380016067869"</f>
        <v>1552380016067869</v>
      </c>
      <c r="C1396" t="s">
        <v>40</v>
      </c>
      <c r="D1396">
        <v>5.4071910000000001</v>
      </c>
      <c r="E1396">
        <v>0.56066359999999904</v>
      </c>
      <c r="F1396" t="s">
        <v>45</v>
      </c>
      <c r="G1396">
        <v>-199.61510000000001</v>
      </c>
      <c r="H1396" s="1">
        <v>-6.3530820000000001E-6</v>
      </c>
      <c r="I1396">
        <v>358.298</v>
      </c>
      <c r="J1396">
        <v>-218.4102</v>
      </c>
      <c r="K1396">
        <v>1.1101270000000001</v>
      </c>
      <c r="L1396">
        <v>367.89240000000001</v>
      </c>
      <c r="M1396">
        <v>0.9998534</v>
      </c>
      <c r="N1396">
        <v>0</v>
      </c>
      <c r="O1396">
        <v>-9.9915579999999993E-3</v>
      </c>
      <c r="P1396">
        <v>0.93220409999999998</v>
      </c>
      <c r="Q1396">
        <v>0.14663670000000001</v>
      </c>
      <c r="R1396">
        <v>-0.3308972</v>
      </c>
      <c r="S1396">
        <v>2.7526700000000002</v>
      </c>
      <c r="T1396">
        <v>-0.16048879999999999</v>
      </c>
      <c r="U1396">
        <v>-1.387451</v>
      </c>
      <c r="V1396">
        <v>0.32171129999999998</v>
      </c>
      <c r="W1396">
        <v>0.15933249999999999</v>
      </c>
      <c r="X1396">
        <v>0.93333540000000004</v>
      </c>
      <c r="Y1396">
        <v>0.44056810000000002</v>
      </c>
      <c r="Z1396">
        <v>-1.155953E-2</v>
      </c>
      <c r="AA1396">
        <v>0.89764480000000002</v>
      </c>
      <c r="AB1396">
        <v>25</v>
      </c>
      <c r="AC1396">
        <v>18.795099999999898</v>
      </c>
      <c r="AD1396">
        <v>-1.1101333530819999</v>
      </c>
      <c r="AE1396">
        <v>-9.5944000000000091</v>
      </c>
      <c r="AF1396">
        <v>9.3801508159130407</v>
      </c>
      <c r="AG1396">
        <v>-1.1101333530819999</v>
      </c>
      <c r="AH1396">
        <v>18.8378997848518</v>
      </c>
      <c r="AI1396">
        <v>93.019710239782697</v>
      </c>
      <c r="AJ1396">
        <v>63.529432997606797</v>
      </c>
      <c r="AK1396">
        <v>21.073350319657699</v>
      </c>
      <c r="AL1396">
        <v>80.831845615096398</v>
      </c>
      <c r="AM1396">
        <v>70.981443968802395</v>
      </c>
      <c r="AN1396">
        <v>0.99999998749855001</v>
      </c>
    </row>
    <row r="1397" spans="1:40" x14ac:dyDescent="0.25">
      <c r="A1397" t="str">
        <f>"20190312164016093"</f>
        <v>20190312164016093</v>
      </c>
      <c r="B1397" t="str">
        <f>"1552380016087390"</f>
        <v>1552380016087390</v>
      </c>
      <c r="C1397" t="s">
        <v>40</v>
      </c>
      <c r="D1397">
        <v>5.6418889999999999</v>
      </c>
      <c r="E1397">
        <v>0.56034220000000001</v>
      </c>
      <c r="F1397" t="s">
        <v>45</v>
      </c>
      <c r="G1397">
        <v>-198.15620000000001</v>
      </c>
      <c r="H1397" s="1">
        <v>-5.8872189999999996E-6</v>
      </c>
      <c r="I1397">
        <v>357.58710000000002</v>
      </c>
      <c r="J1397">
        <v>-218.25219999999999</v>
      </c>
      <c r="K1397">
        <v>1.1101259999999999</v>
      </c>
      <c r="L1397">
        <v>367.8904</v>
      </c>
      <c r="M1397">
        <v>0.99985020000000002</v>
      </c>
      <c r="N1397">
        <v>0</v>
      </c>
      <c r="O1397">
        <v>-1.031816E-2</v>
      </c>
      <c r="P1397">
        <v>0.9314405</v>
      </c>
      <c r="Q1397">
        <v>0.14662159999999999</v>
      </c>
      <c r="R1397">
        <v>-0.33304800000000001</v>
      </c>
      <c r="S1397">
        <v>2.7459560000000001</v>
      </c>
      <c r="T1397">
        <v>-0.15050749999999999</v>
      </c>
      <c r="U1397">
        <v>-1.3971559999999901</v>
      </c>
      <c r="V1397">
        <v>0.32356410000000002</v>
      </c>
      <c r="W1397">
        <v>0.15930559999999999</v>
      </c>
      <c r="X1397">
        <v>0.93269930000000001</v>
      </c>
      <c r="Y1397">
        <v>0.4437431</v>
      </c>
      <c r="Z1397">
        <v>-1.092212E-2</v>
      </c>
      <c r="AA1397">
        <v>0.89608750000000004</v>
      </c>
      <c r="AB1397">
        <v>25</v>
      </c>
      <c r="AC1397">
        <v>20.095999999999901</v>
      </c>
      <c r="AD1397">
        <v>-1.110131887219</v>
      </c>
      <c r="AE1397">
        <v>-10.303299999999901</v>
      </c>
      <c r="AF1397">
        <v>10.0710417541171</v>
      </c>
      <c r="AG1397">
        <v>-1.110131887219</v>
      </c>
      <c r="AH1397">
        <v>20.1525542924403</v>
      </c>
      <c r="AI1397">
        <v>92.821019511491897</v>
      </c>
      <c r="AJ1397">
        <v>63.446857865802897</v>
      </c>
      <c r="AK1397">
        <v>22.556234599993601</v>
      </c>
      <c r="AL1397">
        <v>80.833406859791594</v>
      </c>
      <c r="AM1397">
        <v>70.867752405640701</v>
      </c>
      <c r="AN1397">
        <v>0.99999999261032901</v>
      </c>
    </row>
    <row r="1398" spans="1:40" x14ac:dyDescent="0.25">
      <c r="A1398" t="str">
        <f>"20190312164016104"</f>
        <v>20190312164016104</v>
      </c>
      <c r="B1398" t="str">
        <f>"1552380016097150"</f>
        <v>1552380016097150</v>
      </c>
      <c r="C1398" t="s">
        <v>40</v>
      </c>
      <c r="D1398">
        <v>5.5855569999999997</v>
      </c>
      <c r="E1398">
        <v>0.5603593</v>
      </c>
      <c r="F1398" t="s">
        <v>45</v>
      </c>
      <c r="G1398">
        <v>-198.2047</v>
      </c>
      <c r="H1398" s="1">
        <v>-5.9175889999999998E-6</v>
      </c>
      <c r="I1398">
        <v>357.65519999999998</v>
      </c>
      <c r="J1398">
        <v>-218.1266</v>
      </c>
      <c r="K1398">
        <v>1.1101270000000001</v>
      </c>
      <c r="L1398">
        <v>367.88889999999998</v>
      </c>
      <c r="M1398">
        <v>0.9998475</v>
      </c>
      <c r="N1398">
        <v>0</v>
      </c>
      <c r="O1398">
        <v>-1.0578250000000001E-2</v>
      </c>
      <c r="P1398">
        <v>0.9307744</v>
      </c>
      <c r="Q1398">
        <v>0.14643629999999999</v>
      </c>
      <c r="R1398">
        <v>-0.3349857</v>
      </c>
      <c r="S1398">
        <v>2.7438509999999998</v>
      </c>
      <c r="T1398">
        <v>-0.1519411</v>
      </c>
      <c r="U1398">
        <v>-1.400879</v>
      </c>
      <c r="V1398">
        <v>0.32526539999999998</v>
      </c>
      <c r="W1398">
        <v>0.15911029999999901</v>
      </c>
      <c r="X1398">
        <v>0.93214070000000004</v>
      </c>
      <c r="Y1398">
        <v>0.44474160000000001</v>
      </c>
      <c r="Z1398">
        <v>-1.104284E-2</v>
      </c>
      <c r="AA1398">
        <v>0.89559080000000002</v>
      </c>
      <c r="AB1398">
        <v>25</v>
      </c>
      <c r="AC1398">
        <v>19.921899999999901</v>
      </c>
      <c r="AD1398">
        <v>-1.110132917589</v>
      </c>
      <c r="AE1398">
        <v>-10.233700000000001</v>
      </c>
      <c r="AF1398">
        <v>9.9978047531185492</v>
      </c>
      <c r="AG1398">
        <v>-1.110132917589</v>
      </c>
      <c r="AH1398">
        <v>19.9799619391069</v>
      </c>
      <c r="AI1398">
        <v>92.844610914354803</v>
      </c>
      <c r="AJ1398">
        <v>63.4170028603763</v>
      </c>
      <c r="AK1398">
        <v>22.369340045346799</v>
      </c>
      <c r="AL1398">
        <v>80.844741144956998</v>
      </c>
      <c r="AM1398">
        <v>70.763845782664902</v>
      </c>
      <c r="AN1398">
        <v>0.99999997629986903</v>
      </c>
    </row>
    <row r="1399" spans="1:40" x14ac:dyDescent="0.25">
      <c r="A1399" t="str">
        <f>"20190312164016116"</f>
        <v>20190312164016116</v>
      </c>
      <c r="B1399" t="str">
        <f>"1552380016107885"</f>
        <v>1552380016107885</v>
      </c>
      <c r="C1399" t="s">
        <v>40</v>
      </c>
      <c r="D1399">
        <v>5.8290980000000001</v>
      </c>
      <c r="E1399">
        <v>0.56043799999999999</v>
      </c>
      <c r="F1399" t="s">
        <v>45</v>
      </c>
      <c r="G1399">
        <v>-198.2928</v>
      </c>
      <c r="H1399" s="1">
        <v>-5.9499339999999899E-6</v>
      </c>
      <c r="I1399">
        <v>357.71069999999997</v>
      </c>
      <c r="J1399">
        <v>-217.9889</v>
      </c>
      <c r="K1399">
        <v>1.1101270000000001</v>
      </c>
      <c r="L1399">
        <v>367.88709999999998</v>
      </c>
      <c r="M1399">
        <v>0.99984439999999997</v>
      </c>
      <c r="N1399">
        <v>0</v>
      </c>
      <c r="O1399">
        <v>-1.0864209999999999E-2</v>
      </c>
      <c r="P1399">
        <v>0.93007930000000005</v>
      </c>
      <c r="Q1399">
        <v>0.14615330000000001</v>
      </c>
      <c r="R1399">
        <v>-0.337034</v>
      </c>
      <c r="S1399">
        <v>2.7410130000000001</v>
      </c>
      <c r="T1399">
        <v>-0.1534191</v>
      </c>
      <c r="U1399">
        <v>-1.4066160000000001</v>
      </c>
      <c r="V1399">
        <v>0.32705380000000001</v>
      </c>
      <c r="W1399">
        <v>0.1588156</v>
      </c>
      <c r="X1399">
        <v>0.93156499999999998</v>
      </c>
      <c r="Y1399">
        <v>0.44633309999999998</v>
      </c>
      <c r="Z1399">
        <v>-1.1182259999999999E-2</v>
      </c>
      <c r="AA1399">
        <v>0.89479699999999995</v>
      </c>
      <c r="AB1399">
        <v>25</v>
      </c>
      <c r="AC1399">
        <v>19.696100000000001</v>
      </c>
      <c r="AD1399">
        <v>-1.110132949934</v>
      </c>
      <c r="AE1399">
        <v>-10.176399999999999</v>
      </c>
      <c r="AF1399">
        <v>9.9368799408583399</v>
      </c>
      <c r="AG1399">
        <v>-1.110132949934</v>
      </c>
      <c r="AH1399">
        <v>19.755969691469002</v>
      </c>
      <c r="AI1399">
        <v>92.873829874877501</v>
      </c>
      <c r="AJ1399">
        <v>63.298466939295999</v>
      </c>
      <c r="AK1399">
        <v>22.142093771271998</v>
      </c>
      <c r="AL1399">
        <v>80.861843583718695</v>
      </c>
      <c r="AM1399">
        <v>70.6548481049213</v>
      </c>
      <c r="AN1399">
        <v>0.99999996606139896</v>
      </c>
    </row>
    <row r="1400" spans="1:40" x14ac:dyDescent="0.25">
      <c r="A1400" t="str">
        <f>"20190312164016129"</f>
        <v>20190312164016129</v>
      </c>
      <c r="B1400" t="str">
        <f>"1552380016117646"</f>
        <v>1552380016117646</v>
      </c>
      <c r="C1400" t="s">
        <v>40</v>
      </c>
      <c r="D1400">
        <v>5.502955</v>
      </c>
      <c r="E1400">
        <v>0.56048199999999904</v>
      </c>
      <c r="F1400" t="s">
        <v>45</v>
      </c>
      <c r="G1400">
        <v>-198.49189999999999</v>
      </c>
      <c r="H1400" s="1">
        <v>-6.0199109999999998E-6</v>
      </c>
      <c r="I1400">
        <v>357.82679999999999</v>
      </c>
      <c r="J1400">
        <v>-217.84870000000001</v>
      </c>
      <c r="K1400">
        <v>1.1101259999999999</v>
      </c>
      <c r="L1400">
        <v>367.88529999999997</v>
      </c>
      <c r="M1400">
        <v>0.99984110000000004</v>
      </c>
      <c r="N1400">
        <v>0</v>
      </c>
      <c r="O1400">
        <v>-1.1160710000000001E-2</v>
      </c>
      <c r="P1400">
        <v>0.92939229999999995</v>
      </c>
      <c r="Q1400">
        <v>0.1456519</v>
      </c>
      <c r="R1400">
        <v>-0.33913929999999998</v>
      </c>
      <c r="S1400">
        <v>2.7380680000000002</v>
      </c>
      <c r="T1400">
        <v>-0.15590190000000001</v>
      </c>
      <c r="U1400">
        <v>-1.412811</v>
      </c>
      <c r="V1400">
        <v>0.32889020000000002</v>
      </c>
      <c r="W1400">
        <v>0.15830150000000001</v>
      </c>
      <c r="X1400">
        <v>0.93100579999999999</v>
      </c>
      <c r="Y1400">
        <v>0.4480384</v>
      </c>
      <c r="Z1400">
        <v>-1.13981E-2</v>
      </c>
      <c r="AA1400">
        <v>0.893941599999999</v>
      </c>
      <c r="AB1400">
        <v>25</v>
      </c>
      <c r="AC1400">
        <v>19.3568</v>
      </c>
      <c r="AD1400">
        <v>-1.1101320199110001</v>
      </c>
      <c r="AE1400">
        <v>-10.058499999999899</v>
      </c>
      <c r="AF1400">
        <v>9.8163941355267994</v>
      </c>
      <c r="AG1400">
        <v>-1.1101320199110001</v>
      </c>
      <c r="AH1400">
        <v>19.4175768458053</v>
      </c>
      <c r="AI1400">
        <v>92.920820830718597</v>
      </c>
      <c r="AJ1400">
        <v>63.181501060333296</v>
      </c>
      <c r="AK1400">
        <v>21.786148753012601</v>
      </c>
      <c r="AL1400">
        <v>80.891676729452399</v>
      </c>
      <c r="AM1400">
        <v>70.543553877680594</v>
      </c>
      <c r="AN1400">
        <v>0.99999996409596403</v>
      </c>
    </row>
    <row r="1401" spans="1:40" x14ac:dyDescent="0.25">
      <c r="A1401" t="str">
        <f>"20190312164016143"</f>
        <v>20190312164016143</v>
      </c>
      <c r="B1401" t="str">
        <f>"1552380016137166"</f>
        <v>1552380016137166</v>
      </c>
      <c r="C1401" t="s">
        <v>40</v>
      </c>
      <c r="D1401">
        <v>5.627732</v>
      </c>
      <c r="E1401">
        <v>0.5603456</v>
      </c>
      <c r="F1401" t="s">
        <v>45</v>
      </c>
      <c r="G1401">
        <v>-198.75059999999999</v>
      </c>
      <c r="H1401" s="1">
        <v>-6.1100750000000001E-6</v>
      </c>
      <c r="I1401">
        <v>357.97550000000001</v>
      </c>
      <c r="J1401">
        <v>-217.69990000000001</v>
      </c>
      <c r="K1401">
        <v>1.11012</v>
      </c>
      <c r="L1401">
        <v>367.88330000000002</v>
      </c>
      <c r="M1401">
        <v>0.99983759999999999</v>
      </c>
      <c r="N1401">
        <v>0</v>
      </c>
      <c r="O1401">
        <v>-1.1480850000000001E-2</v>
      </c>
      <c r="P1401">
        <v>0.92878780000000005</v>
      </c>
      <c r="Q1401">
        <v>0.1452476</v>
      </c>
      <c r="R1401">
        <v>-0.34096389999999999</v>
      </c>
      <c r="S1401">
        <v>2.734985</v>
      </c>
      <c r="T1401">
        <v>-0.15897939999999999</v>
      </c>
      <c r="U1401">
        <v>-1.4191590000000001</v>
      </c>
      <c r="V1401">
        <v>0.33042440000000001</v>
      </c>
      <c r="W1401">
        <v>0.15788379999999999</v>
      </c>
      <c r="X1401">
        <v>0.93053339999999996</v>
      </c>
      <c r="Y1401">
        <v>0.4497737</v>
      </c>
      <c r="Z1401">
        <v>-1.165852E-2</v>
      </c>
      <c r="AA1401">
        <v>0.89306649999999999</v>
      </c>
      <c r="AB1401">
        <v>25</v>
      </c>
      <c r="AC1401">
        <v>18.949300000000001</v>
      </c>
      <c r="AD1401">
        <v>-1.1101261100749999</v>
      </c>
      <c r="AE1401">
        <v>-9.9077999999999999</v>
      </c>
      <c r="AF1401">
        <v>9.6635261415579397</v>
      </c>
      <c r="AG1401">
        <v>-1.1101261100749999</v>
      </c>
      <c r="AH1401">
        <v>19.010573450808099</v>
      </c>
      <c r="AI1401">
        <v>92.979886711388701</v>
      </c>
      <c r="AJ1401">
        <v>63.054687535519498</v>
      </c>
      <c r="AK1401">
        <v>21.354578441107499</v>
      </c>
      <c r="AL1401">
        <v>80.915914247484594</v>
      </c>
      <c r="AM1401">
        <v>70.450487504853896</v>
      </c>
      <c r="AN1401">
        <v>0.999999993466679</v>
      </c>
    </row>
    <row r="1402" spans="1:40" x14ac:dyDescent="0.25">
      <c r="A1402" t="str">
        <f>"20190312164016158"</f>
        <v>20190312164016158</v>
      </c>
      <c r="B1402" t="str">
        <f>"1552380016147902"</f>
        <v>1552380016147902</v>
      </c>
      <c r="C1402" t="s">
        <v>40</v>
      </c>
      <c r="D1402">
        <v>5.8260560000000003</v>
      </c>
      <c r="E1402">
        <v>0.56047179999999996</v>
      </c>
      <c r="F1402" t="s">
        <v>45</v>
      </c>
      <c r="G1402">
        <v>-198.1482</v>
      </c>
      <c r="H1402" s="1">
        <v>-5.9199139999999998E-6</v>
      </c>
      <c r="I1402">
        <v>357.68849999999998</v>
      </c>
      <c r="J1402">
        <v>-217.51929999999999</v>
      </c>
      <c r="K1402">
        <v>1.1101019999999999</v>
      </c>
      <c r="L1402">
        <v>367.88069999999999</v>
      </c>
      <c r="M1402">
        <v>0.99983290000000002</v>
      </c>
      <c r="N1402">
        <v>0</v>
      </c>
      <c r="O1402">
        <v>-1.188022E-2</v>
      </c>
      <c r="P1402">
        <v>0.92761340000000003</v>
      </c>
      <c r="Q1402">
        <v>0.14448159999999999</v>
      </c>
      <c r="R1402">
        <v>-0.344468099999999</v>
      </c>
      <c r="S1402">
        <v>2.7314609999999999</v>
      </c>
      <c r="T1402">
        <v>-0.15508959999999999</v>
      </c>
      <c r="U1402">
        <v>-1.4242549999999901</v>
      </c>
      <c r="V1402">
        <v>0.3335727</v>
      </c>
      <c r="W1402">
        <v>0.15709089999999901</v>
      </c>
      <c r="X1402">
        <v>0.92954380000000003</v>
      </c>
      <c r="Y1402">
        <v>0.45122459999999998</v>
      </c>
      <c r="Z1402">
        <v>-1.139948E-2</v>
      </c>
      <c r="AA1402">
        <v>0.89233759999999995</v>
      </c>
      <c r="AB1402">
        <v>25</v>
      </c>
      <c r="AC1402">
        <v>19.371099999999899</v>
      </c>
      <c r="AD1402">
        <v>-1.110107919914</v>
      </c>
      <c r="AE1402">
        <v>-10.1922</v>
      </c>
      <c r="AF1402">
        <v>9.9357697634038296</v>
      </c>
      <c r="AG1402">
        <v>-1.110107919914</v>
      </c>
      <c r="AH1402">
        <v>19.4408264386912</v>
      </c>
      <c r="AI1402">
        <v>92.910765634949996</v>
      </c>
      <c r="AJ1402">
        <v>62.929444835260597</v>
      </c>
      <c r="AK1402">
        <v>21.860868990150902</v>
      </c>
      <c r="AL1402">
        <v>80.961918092495907</v>
      </c>
      <c r="AM1402">
        <v>70.259152942021402</v>
      </c>
      <c r="AN1402">
        <v>0.99999998658327005</v>
      </c>
    </row>
    <row r="1403" spans="1:40" x14ac:dyDescent="0.25">
      <c r="A1403" t="str">
        <f>"20190312164016181"</f>
        <v>20190312164016181</v>
      </c>
      <c r="B1403" t="str">
        <f>"1552380016177182"</f>
        <v>1552380016177182</v>
      </c>
      <c r="C1403" t="s">
        <v>40</v>
      </c>
      <c r="D1403">
        <v>5.8341919999999998</v>
      </c>
      <c r="E1403">
        <v>0.560662199999999</v>
      </c>
      <c r="F1403" t="s">
        <v>45</v>
      </c>
      <c r="G1403">
        <v>-197.96530000000001</v>
      </c>
      <c r="H1403" s="1">
        <v>-5.8541280000000003E-6</v>
      </c>
      <c r="I1403">
        <v>357.57729999999998</v>
      </c>
      <c r="J1403">
        <v>-217.26949999999999</v>
      </c>
      <c r="K1403">
        <v>1.1100810000000001</v>
      </c>
      <c r="L1403">
        <v>367.87709999999998</v>
      </c>
      <c r="M1403">
        <v>0.99982599999999999</v>
      </c>
      <c r="N1403">
        <v>0</v>
      </c>
      <c r="O1403">
        <v>-1.2464579999999999E-2</v>
      </c>
      <c r="P1403">
        <v>0.9262686</v>
      </c>
      <c r="Q1403">
        <v>0.14406579999999999</v>
      </c>
      <c r="R1403">
        <v>-0.34824129999999998</v>
      </c>
      <c r="S1403">
        <v>2.7249910000000002</v>
      </c>
      <c r="T1403">
        <v>-0.1547009</v>
      </c>
      <c r="U1403">
        <v>-1.4358519999999999</v>
      </c>
      <c r="V1403">
        <v>0.3368255</v>
      </c>
      <c r="W1403">
        <v>0.1566369</v>
      </c>
      <c r="X1403">
        <v>0.92844680000000002</v>
      </c>
      <c r="Y1403">
        <v>0.454544</v>
      </c>
      <c r="Z1403">
        <v>-1.144161E-2</v>
      </c>
      <c r="AA1403">
        <v>0.89065079999999996</v>
      </c>
      <c r="AB1403">
        <v>25</v>
      </c>
      <c r="AC1403">
        <v>19.304199999999899</v>
      </c>
      <c r="AD1403">
        <v>-1.11008685412799</v>
      </c>
      <c r="AE1403">
        <v>-10.299799999999999</v>
      </c>
      <c r="AF1403">
        <v>10.0325335909997</v>
      </c>
      <c r="AG1403">
        <v>-1.11008685412799</v>
      </c>
      <c r="AH1403">
        <v>19.3812070096836</v>
      </c>
      <c r="AI1403">
        <v>92.911876542253495</v>
      </c>
      <c r="AJ1403">
        <v>62.6320022376579</v>
      </c>
      <c r="AK1403">
        <v>21.852121366825099</v>
      </c>
      <c r="AL1403">
        <v>80.988256544909007</v>
      </c>
      <c r="AM1403">
        <v>70.060046394502095</v>
      </c>
      <c r="AN1403">
        <v>0.99999999816105001</v>
      </c>
    </row>
    <row r="1404" spans="1:40" x14ac:dyDescent="0.25">
      <c r="A1404" t="str">
        <f>"20190312164016194"</f>
        <v>20190312164016194</v>
      </c>
      <c r="B1404" t="str">
        <f>"1552380016187918"</f>
        <v>1552380016187918</v>
      </c>
      <c r="C1404" t="s">
        <v>40</v>
      </c>
      <c r="D1404">
        <v>6.2375150000000001</v>
      </c>
      <c r="E1404">
        <v>0.560662199999999</v>
      </c>
      <c r="F1404" t="s">
        <v>45</v>
      </c>
      <c r="G1404">
        <v>-198.95769999999999</v>
      </c>
      <c r="H1404" s="1">
        <v>-6.1940089999999999E-6</v>
      </c>
      <c r="I1404">
        <v>358.12959999999998</v>
      </c>
      <c r="J1404">
        <v>-217.10400000000001</v>
      </c>
      <c r="K1404">
        <v>1.1100669999999999</v>
      </c>
      <c r="L1404">
        <v>367.87450000000001</v>
      </c>
      <c r="M1404">
        <v>0.99982070000000001</v>
      </c>
      <c r="N1404">
        <v>0</v>
      </c>
      <c r="O1404">
        <v>-1.2871489999999999E-2</v>
      </c>
      <c r="P1404">
        <v>0.92563269999999997</v>
      </c>
      <c r="Q1404">
        <v>0.14413670000000001</v>
      </c>
      <c r="R1404">
        <v>-0.34989819999999999</v>
      </c>
      <c r="S1404">
        <v>2.720062</v>
      </c>
      <c r="T1404">
        <v>-0.16489400000000001</v>
      </c>
      <c r="U1404">
        <v>-1.4479059999999999</v>
      </c>
      <c r="V1404">
        <v>0.3381188</v>
      </c>
      <c r="W1404">
        <v>0.15668399999999999</v>
      </c>
      <c r="X1404">
        <v>0.92796869999999998</v>
      </c>
      <c r="Y1404">
        <v>0.45784469999999999</v>
      </c>
      <c r="Z1404">
        <v>-1.2272709999999999E-2</v>
      </c>
      <c r="AA1404">
        <v>0.8889475</v>
      </c>
      <c r="AB1404">
        <v>25</v>
      </c>
      <c r="AC1404">
        <v>18.1463</v>
      </c>
      <c r="AD1404">
        <v>-1.1100731940089901</v>
      </c>
      <c r="AE1404">
        <v>-9.7449000000000296</v>
      </c>
      <c r="AF1404">
        <v>9.4829563195064992</v>
      </c>
      <c r="AG1404">
        <v>-1.1100731940089901</v>
      </c>
      <c r="AH1404">
        <v>18.217326649402601</v>
      </c>
      <c r="AI1404">
        <v>93.093854481717798</v>
      </c>
      <c r="AJ1404">
        <v>62.500949450855103</v>
      </c>
      <c r="AK1404">
        <v>20.567686143675999</v>
      </c>
      <c r="AL1404">
        <v>80.985524678597898</v>
      </c>
      <c r="AM1404">
        <v>69.980058066947805</v>
      </c>
      <c r="AN1404">
        <v>1.0000000534745599</v>
      </c>
    </row>
    <row r="1405" spans="1:40" x14ac:dyDescent="0.25">
      <c r="A1405" t="str">
        <f>"20190312164016207"</f>
        <v>20190312164016207</v>
      </c>
      <c r="B1405" t="str">
        <f>"1552380016197678"</f>
        <v>1552380016197678</v>
      </c>
      <c r="C1405" t="s">
        <v>40</v>
      </c>
      <c r="D1405">
        <v>5.6807040000000004</v>
      </c>
      <c r="E1405">
        <v>0.56085229999999997</v>
      </c>
      <c r="F1405" t="s">
        <v>45</v>
      </c>
      <c r="G1405">
        <v>-198.7799</v>
      </c>
      <c r="H1405" s="1">
        <v>-6.1486029999999998E-6</v>
      </c>
      <c r="I1405">
        <v>358.07690000000002</v>
      </c>
      <c r="J1405">
        <v>-216.96860000000001</v>
      </c>
      <c r="K1405">
        <v>1.1100509999999999</v>
      </c>
      <c r="L1405">
        <v>367.87240000000003</v>
      </c>
      <c r="M1405">
        <v>0.99981629999999999</v>
      </c>
      <c r="N1405">
        <v>0</v>
      </c>
      <c r="O1405">
        <v>-1.322273E-2</v>
      </c>
      <c r="P1405">
        <v>0.92495240000000001</v>
      </c>
      <c r="Q1405">
        <v>0.14405219999999999</v>
      </c>
      <c r="R1405">
        <v>-0.35172759999999997</v>
      </c>
      <c r="S1405">
        <v>2.717438</v>
      </c>
      <c r="T1405">
        <v>-0.16462179999999901</v>
      </c>
      <c r="U1405">
        <v>-1.4529719999999999</v>
      </c>
      <c r="V1405">
        <v>0.33963680000000002</v>
      </c>
      <c r="W1405">
        <v>0.1565742</v>
      </c>
      <c r="X1405">
        <v>0.9274327</v>
      </c>
      <c r="Y1405">
        <v>0.45917809999999998</v>
      </c>
      <c r="Z1405">
        <v>-1.227581E-2</v>
      </c>
      <c r="AA1405">
        <v>0.88825940000000003</v>
      </c>
      <c r="AB1405">
        <v>25</v>
      </c>
      <c r="AC1405">
        <v>18.188700000000001</v>
      </c>
      <c r="AD1405">
        <v>-1.110057148603</v>
      </c>
      <c r="AE1405">
        <v>-9.7955000000000005</v>
      </c>
      <c r="AF1405">
        <v>9.5266102420606202</v>
      </c>
      <c r="AG1405">
        <v>-1.110057148603</v>
      </c>
      <c r="AH1405">
        <v>18.263912610082599</v>
      </c>
      <c r="AI1405">
        <v>93.084593031695405</v>
      </c>
      <c r="AJ1405">
        <v>62.453076342113398</v>
      </c>
      <c r="AK1405">
        <v>20.629082224035901</v>
      </c>
      <c r="AL1405">
        <v>80.991894109883106</v>
      </c>
      <c r="AM1405">
        <v>69.886673170635902</v>
      </c>
      <c r="AN1405">
        <v>1.0000000245245799</v>
      </c>
    </row>
    <row r="1406" spans="1:40" x14ac:dyDescent="0.25">
      <c r="A1406" t="str">
        <f>"20190312164016219"</f>
        <v>20190312164016219</v>
      </c>
      <c r="B1406" t="str">
        <f>"1552380016197678"</f>
        <v>1552380016197678</v>
      </c>
      <c r="C1406" t="s">
        <v>40</v>
      </c>
      <c r="D1406">
        <v>5.6807040000000004</v>
      </c>
      <c r="E1406">
        <v>0.56085229999999997</v>
      </c>
      <c r="F1406" t="s">
        <v>45</v>
      </c>
      <c r="G1406">
        <v>-199.21170000000001</v>
      </c>
      <c r="H1406" s="1">
        <v>-6.3000090000000003E-6</v>
      </c>
      <c r="I1406">
        <v>358.32769999999999</v>
      </c>
      <c r="J1406">
        <v>-216.8364</v>
      </c>
      <c r="K1406">
        <v>1.110034</v>
      </c>
      <c r="L1406">
        <v>367.87029999999999</v>
      </c>
      <c r="M1406">
        <v>0.99981149999999996</v>
      </c>
      <c r="N1406">
        <v>0</v>
      </c>
      <c r="O1406">
        <v>-1.3573989999999999E-2</v>
      </c>
      <c r="P1406">
        <v>0.92430809999999997</v>
      </c>
      <c r="Q1406">
        <v>0.14396979999999901</v>
      </c>
      <c r="R1406">
        <v>-0.35345070000000001</v>
      </c>
      <c r="S1406">
        <v>2.7149049999999999</v>
      </c>
      <c r="T1406">
        <v>-0.16972039999999999</v>
      </c>
      <c r="U1406">
        <v>-1.45932</v>
      </c>
      <c r="V1406">
        <v>0.34104849999999998</v>
      </c>
      <c r="W1406">
        <v>0.15646779999999999</v>
      </c>
      <c r="X1406">
        <v>0.92693250000000005</v>
      </c>
      <c r="Y1406">
        <v>0.46078069999999999</v>
      </c>
      <c r="Z1406">
        <v>-1.268563E-2</v>
      </c>
      <c r="AA1406">
        <v>0.88742339999999997</v>
      </c>
      <c r="AB1406">
        <v>25</v>
      </c>
      <c r="AC1406">
        <v>17.624699999999901</v>
      </c>
      <c r="AD1406">
        <v>-1.110040300009</v>
      </c>
      <c r="AE1406">
        <v>-9.5425999999999895</v>
      </c>
      <c r="AF1406">
        <v>9.2740120390994996</v>
      </c>
      <c r="AG1406">
        <v>-1.110040300009</v>
      </c>
      <c r="AH1406">
        <v>17.6983298548333</v>
      </c>
      <c r="AI1406">
        <v>93.179795180749394</v>
      </c>
      <c r="AJ1406">
        <v>62.3452400541237</v>
      </c>
      <c r="AK1406">
        <v>20.011755755542499</v>
      </c>
      <c r="AL1406">
        <v>80.998066739854295</v>
      </c>
      <c r="AM1406">
        <v>69.799796103743006</v>
      </c>
      <c r="AN1406">
        <v>1.00000005567266</v>
      </c>
    </row>
    <row r="1407" spans="1:40" x14ac:dyDescent="0.25">
      <c r="A1407" t="str">
        <f>"20190312164016232"</f>
        <v>20190312164016232</v>
      </c>
      <c r="B1407" t="str">
        <f>"1552380016227934"</f>
        <v>1552380016227934</v>
      </c>
      <c r="C1407" t="s">
        <v>40</v>
      </c>
      <c r="D1407">
        <v>5.5385010000000001</v>
      </c>
      <c r="E1407">
        <v>0.56140599999999996</v>
      </c>
      <c r="F1407" t="s">
        <v>45</v>
      </c>
      <c r="G1407">
        <v>-199.12360000000001</v>
      </c>
      <c r="H1407" s="1">
        <v>-6.2792260000000002E-6</v>
      </c>
      <c r="I1407">
        <v>358.30680000000001</v>
      </c>
      <c r="J1407">
        <v>-216.6814</v>
      </c>
      <c r="K1407">
        <v>1.110006</v>
      </c>
      <c r="L1407">
        <v>367.86770000000001</v>
      </c>
      <c r="M1407">
        <v>0.99980519999999995</v>
      </c>
      <c r="N1407">
        <v>0</v>
      </c>
      <c r="O1407">
        <v>-1.402749E-2</v>
      </c>
      <c r="P1407">
        <v>0.92358960000000001</v>
      </c>
      <c r="Q1407">
        <v>0.1440969</v>
      </c>
      <c r="R1407">
        <v>-0.35527180000000003</v>
      </c>
      <c r="S1407">
        <v>2.7121729999999999</v>
      </c>
      <c r="T1407">
        <v>-0.16996810000000001</v>
      </c>
      <c r="U1407">
        <v>-1.4643550000000001</v>
      </c>
      <c r="V1407">
        <v>0.34246959999999999</v>
      </c>
      <c r="W1407">
        <v>0.15656010000000001</v>
      </c>
      <c r="X1407">
        <v>0.92639269999999996</v>
      </c>
      <c r="Y1407">
        <v>0.46202349999999998</v>
      </c>
      <c r="Z1407">
        <v>-1.272003E-2</v>
      </c>
      <c r="AA1407">
        <v>0.88677640000000002</v>
      </c>
      <c r="AB1407">
        <v>25</v>
      </c>
      <c r="AC1407">
        <v>17.557799999999901</v>
      </c>
      <c r="AD1407">
        <v>-1.1100122792260001</v>
      </c>
      <c r="AE1407">
        <v>-9.5609000000000002</v>
      </c>
      <c r="AF1407">
        <v>9.2850203085171099</v>
      </c>
      <c r="AG1407">
        <v>-1.1100122792260001</v>
      </c>
      <c r="AH1407">
        <v>17.635834011683102</v>
      </c>
      <c r="AI1407">
        <v>93.187708875252795</v>
      </c>
      <c r="AJ1407">
        <v>62.233821532014296</v>
      </c>
      <c r="AK1407">
        <v>19.9616224460149</v>
      </c>
      <c r="AL1407">
        <v>80.992711511232997</v>
      </c>
      <c r="AM1407">
        <v>69.711614221348697</v>
      </c>
      <c r="AN1407">
        <v>0.99999996322472895</v>
      </c>
    </row>
    <row r="1408" spans="1:40" x14ac:dyDescent="0.25">
      <c r="A1408" t="str">
        <f>"20190312164016248"</f>
        <v>20190312164016248</v>
      </c>
      <c r="B1408" t="str">
        <f>"1552380016237694"</f>
        <v>1552380016237694</v>
      </c>
      <c r="C1408" t="s">
        <v>40</v>
      </c>
      <c r="D1408">
        <v>5.4848569999999999</v>
      </c>
      <c r="E1408">
        <v>0.56133440000000001</v>
      </c>
      <c r="F1408" t="s">
        <v>45</v>
      </c>
      <c r="G1408">
        <v>-199.3657</v>
      </c>
      <c r="H1408" s="1">
        <v>-6.3646979999999998E-6</v>
      </c>
      <c r="I1408">
        <v>358.44909999999999</v>
      </c>
      <c r="J1408">
        <v>-216.51349999999999</v>
      </c>
      <c r="K1408">
        <v>1.10997099999999</v>
      </c>
      <c r="L1408">
        <v>367.8648</v>
      </c>
      <c r="M1408">
        <v>0.99979779999999996</v>
      </c>
      <c r="N1408">
        <v>0</v>
      </c>
      <c r="O1408">
        <v>-1.4554320000000001E-2</v>
      </c>
      <c r="P1408">
        <v>0.92239369999999998</v>
      </c>
      <c r="Q1408">
        <v>0.14415989999999901</v>
      </c>
      <c r="R1408">
        <v>-0.35834060000000001</v>
      </c>
      <c r="S1408">
        <v>2.708542</v>
      </c>
      <c r="T1408">
        <v>-0.17362929999999999</v>
      </c>
      <c r="U1408">
        <v>-1.4732670000000001</v>
      </c>
      <c r="V1408">
        <v>0.34508030000000001</v>
      </c>
      <c r="W1408">
        <v>0.1565742</v>
      </c>
      <c r="X1408">
        <v>0.9254211</v>
      </c>
      <c r="Y1408">
        <v>0.46427380000000001</v>
      </c>
      <c r="Z1408">
        <v>-1.303525E-2</v>
      </c>
      <c r="AA1408">
        <v>0.88559589999999999</v>
      </c>
      <c r="AB1408">
        <v>25</v>
      </c>
      <c r="AC1408">
        <v>17.147799999999901</v>
      </c>
      <c r="AD1408">
        <v>-1.10997736469799</v>
      </c>
      <c r="AE1408">
        <v>-9.41570000000001</v>
      </c>
      <c r="AF1408">
        <v>9.1356929898304298</v>
      </c>
      <c r="AG1408">
        <v>-1.10997736469799</v>
      </c>
      <c r="AH1408">
        <v>17.227574226186899</v>
      </c>
      <c r="AI1408">
        <v>93.257869123005705</v>
      </c>
      <c r="AJ1408">
        <v>62.063225332115501</v>
      </c>
      <c r="AK1408">
        <v>19.531570594126801</v>
      </c>
      <c r="AL1408">
        <v>80.991894367977494</v>
      </c>
      <c r="AM1408">
        <v>69.550016163952193</v>
      </c>
      <c r="AN1408">
        <v>1.0000000529394599</v>
      </c>
    </row>
    <row r="1409" spans="1:40" x14ac:dyDescent="0.25">
      <c r="A1409" t="str">
        <f>"20190312164016270"</f>
        <v>20190312164016270</v>
      </c>
      <c r="B1409" t="str">
        <f>"1552380016257214"</f>
        <v>1552380016257214</v>
      </c>
      <c r="C1409" t="s">
        <v>40</v>
      </c>
      <c r="D1409">
        <v>5.723903</v>
      </c>
      <c r="E1409">
        <v>0.56131759999999997</v>
      </c>
      <c r="F1409" t="s">
        <v>45</v>
      </c>
      <c r="G1409">
        <v>-198.91069999999999</v>
      </c>
      <c r="H1409" s="1">
        <v>-6.21491999999999E-6</v>
      </c>
      <c r="I1409">
        <v>358.214</v>
      </c>
      <c r="J1409">
        <v>-216.26339999999999</v>
      </c>
      <c r="K1409">
        <v>1.109904</v>
      </c>
      <c r="L1409">
        <v>367.86020000000002</v>
      </c>
      <c r="M1409">
        <v>0.99978480000000003</v>
      </c>
      <c r="N1409">
        <v>0</v>
      </c>
      <c r="O1409">
        <v>-1.541798E-2</v>
      </c>
      <c r="P1409">
        <v>0.92102499999999998</v>
      </c>
      <c r="Q1409">
        <v>0.14439540000000001</v>
      </c>
      <c r="R1409">
        <v>-0.36174970000000001</v>
      </c>
      <c r="S1409">
        <v>2.7032780000000001</v>
      </c>
      <c r="T1409">
        <v>-0.1704601</v>
      </c>
      <c r="U1409">
        <v>-1.482086</v>
      </c>
      <c r="V1409">
        <v>0.3477343</v>
      </c>
      <c r="W1409">
        <v>0.15673480000000001</v>
      </c>
      <c r="X1409">
        <v>0.92439990000000005</v>
      </c>
      <c r="Y1409">
        <v>0.46647830000000001</v>
      </c>
      <c r="Z1409">
        <v>-1.282437E-2</v>
      </c>
      <c r="AA1409">
        <v>0.88443959999999999</v>
      </c>
      <c r="AB1409">
        <v>25</v>
      </c>
      <c r="AC1409">
        <v>17.352699999999999</v>
      </c>
      <c r="AD1409">
        <v>-1.10991021492</v>
      </c>
      <c r="AE1409">
        <v>-9.6462000000000199</v>
      </c>
      <c r="AF1409">
        <v>9.3482673259866207</v>
      </c>
      <c r="AG1409">
        <v>-1.10991021492</v>
      </c>
      <c r="AH1409">
        <v>17.444855136733899</v>
      </c>
      <c r="AI1409">
        <v>93.209754345572705</v>
      </c>
      <c r="AJ1409">
        <v>61.8142412571544</v>
      </c>
      <c r="AK1409">
        <v>19.822839691248099</v>
      </c>
      <c r="AL1409">
        <v>80.9825776831632</v>
      </c>
      <c r="AM1409">
        <v>69.385054586094299</v>
      </c>
      <c r="AN1409">
        <v>1.00000005802376</v>
      </c>
    </row>
    <row r="1410" spans="1:40" x14ac:dyDescent="0.25">
      <c r="A1410" t="str">
        <f>"20190312164016284"</f>
        <v>20190312164016284</v>
      </c>
      <c r="B1410" t="str">
        <f>"1552380016277709"</f>
        <v>1552380016277709</v>
      </c>
      <c r="C1410" t="s">
        <v>40</v>
      </c>
      <c r="D1410">
        <v>6.1624080000000001</v>
      </c>
      <c r="E1410">
        <v>0.56113500000000005</v>
      </c>
      <c r="F1410" t="s">
        <v>45</v>
      </c>
      <c r="G1410">
        <v>-198.19059999999999</v>
      </c>
      <c r="H1410" s="1">
        <v>-5.9828980000000003E-6</v>
      </c>
      <c r="I1410">
        <v>357.85680000000002</v>
      </c>
      <c r="J1410">
        <v>-216.10820000000001</v>
      </c>
      <c r="K1410">
        <v>1.109861</v>
      </c>
      <c r="L1410">
        <v>367.8571</v>
      </c>
      <c r="M1410">
        <v>0.99977559999999999</v>
      </c>
      <c r="N1410">
        <v>0</v>
      </c>
      <c r="O1410">
        <v>-1.6007469999999999E-2</v>
      </c>
      <c r="P1410">
        <v>0.92026379999999997</v>
      </c>
      <c r="Q1410">
        <v>0.14460889999999901</v>
      </c>
      <c r="R1410">
        <v>-0.36359780000000003</v>
      </c>
      <c r="S1410">
        <v>2.6968990000000002</v>
      </c>
      <c r="T1410">
        <v>-0.1656253</v>
      </c>
      <c r="U1410">
        <v>-1.492737</v>
      </c>
      <c r="V1410">
        <v>0.34906579999999998</v>
      </c>
      <c r="W1410">
        <v>0.1568987</v>
      </c>
      <c r="X1410">
        <v>0.92386999999999997</v>
      </c>
      <c r="Y1410">
        <v>0.4695474</v>
      </c>
      <c r="Z1410">
        <v>-1.2530090000000001E-2</v>
      </c>
      <c r="AA1410">
        <v>0.88281829999999994</v>
      </c>
      <c r="AB1410">
        <v>25</v>
      </c>
      <c r="AC1410">
        <v>17.9176</v>
      </c>
      <c r="AD1410">
        <v>-1.1098669828979999</v>
      </c>
      <c r="AE1410">
        <v>-10.0002999999999</v>
      </c>
      <c r="AF1410">
        <v>9.6838445235319099</v>
      </c>
      <c r="AG1410">
        <v>-1.1098669828979999</v>
      </c>
      <c r="AH1410">
        <v>18.022671967950298</v>
      </c>
      <c r="AI1410">
        <v>93.105073165104002</v>
      </c>
      <c r="AJ1410">
        <v>61.750213244175399</v>
      </c>
      <c r="AK1410">
        <v>20.489640171072001</v>
      </c>
      <c r="AL1410">
        <v>80.973068334537601</v>
      </c>
      <c r="AM1410">
        <v>69.301931003034198</v>
      </c>
      <c r="AN1410">
        <v>0.99999995584566304</v>
      </c>
    </row>
    <row r="1411" spans="1:40" x14ac:dyDescent="0.25">
      <c r="A1411" t="str">
        <f>"20190312164016295"</f>
        <v>20190312164016295</v>
      </c>
      <c r="B1411" t="str">
        <f>"1552380016287470"</f>
        <v>1552380016287470</v>
      </c>
      <c r="C1411" t="s">
        <v>40</v>
      </c>
      <c r="D1411">
        <v>5.6548629999999998</v>
      </c>
      <c r="E1411">
        <v>0.56121799999999999</v>
      </c>
      <c r="F1411" t="s">
        <v>45</v>
      </c>
      <c r="G1411">
        <v>-197.3947</v>
      </c>
      <c r="H1411" s="1">
        <v>-5.7246709999999901E-6</v>
      </c>
      <c r="I1411">
        <v>357.45679999999999</v>
      </c>
      <c r="J1411">
        <v>-215.97669999999999</v>
      </c>
      <c r="K1411">
        <v>1.10982</v>
      </c>
      <c r="L1411">
        <v>367.85449999999997</v>
      </c>
      <c r="M1411">
        <v>0.99976699999999996</v>
      </c>
      <c r="N1411">
        <v>0</v>
      </c>
      <c r="O1411">
        <v>-1.6536450000000001E-2</v>
      </c>
      <c r="P1411">
        <v>0.9194428</v>
      </c>
      <c r="Q1411">
        <v>0.14492169999999999</v>
      </c>
      <c r="R1411">
        <v>-0.36554439999999999</v>
      </c>
      <c r="S1411">
        <v>2.6935880000000001</v>
      </c>
      <c r="T1411">
        <v>-0.15975239999999999</v>
      </c>
      <c r="U1411">
        <v>-1.497009</v>
      </c>
      <c r="V1411">
        <v>0.35055219999999998</v>
      </c>
      <c r="W1411">
        <v>0.15716479999999999</v>
      </c>
      <c r="X1411">
        <v>0.92326180000000002</v>
      </c>
      <c r="Y1411">
        <v>0.47065430000000003</v>
      </c>
      <c r="Z1411">
        <v>-1.20965E-2</v>
      </c>
      <c r="AA1411">
        <v>0.88223479999999999</v>
      </c>
      <c r="AB1411">
        <v>25</v>
      </c>
      <c r="AC1411">
        <v>18.581999999999901</v>
      </c>
      <c r="AD1411">
        <v>-1.1098257246709999</v>
      </c>
      <c r="AE1411">
        <v>-10.397699999999899</v>
      </c>
      <c r="AF1411">
        <v>10.061634677948501</v>
      </c>
      <c r="AG1411">
        <v>-1.1098257246709999</v>
      </c>
      <c r="AH1411">
        <v>18.700614230259099</v>
      </c>
      <c r="AI1411">
        <v>92.991703443897507</v>
      </c>
      <c r="AJ1411">
        <v>61.718075234186898</v>
      </c>
      <c r="AK1411">
        <v>21.2645521495423</v>
      </c>
      <c r="AL1411">
        <v>80.957630665618495</v>
      </c>
      <c r="AM1411">
        <v>69.208789301757193</v>
      </c>
      <c r="AN1411">
        <v>0.99999998531155998</v>
      </c>
    </row>
    <row r="1412" spans="1:40" x14ac:dyDescent="0.25">
      <c r="A1412" t="str">
        <f>"20190312164016306"</f>
        <v>20190312164016306</v>
      </c>
      <c r="B1412" t="str">
        <f>"1552380016297231"</f>
        <v>1552380016297231</v>
      </c>
      <c r="C1412" t="s">
        <v>40</v>
      </c>
      <c r="D1412">
        <v>5.5951789999999999</v>
      </c>
      <c r="E1412">
        <v>0.56132040000000005</v>
      </c>
      <c r="F1412" t="s">
        <v>45</v>
      </c>
      <c r="G1412">
        <v>-197.0187</v>
      </c>
      <c r="H1412" s="1">
        <v>-5.5986299999999996E-6</v>
      </c>
      <c r="I1412">
        <v>357.25569999999999</v>
      </c>
      <c r="J1412">
        <v>-215.85230000000001</v>
      </c>
      <c r="K1412">
        <v>1.109783</v>
      </c>
      <c r="L1412">
        <v>367.8519</v>
      </c>
      <c r="M1412">
        <v>0.99975780000000003</v>
      </c>
      <c r="N1412">
        <v>0</v>
      </c>
      <c r="O1412">
        <v>-1.7079009999999999E-2</v>
      </c>
      <c r="P1412">
        <v>0.91862100000000002</v>
      </c>
      <c r="Q1412">
        <v>0.14518249999999999</v>
      </c>
      <c r="R1412">
        <v>-0.36750159999999998</v>
      </c>
      <c r="S1412">
        <v>2.6897890000000002</v>
      </c>
      <c r="T1412">
        <v>-0.1574644</v>
      </c>
      <c r="U1412">
        <v>-1.503784</v>
      </c>
      <c r="V1412">
        <v>0.3520373</v>
      </c>
      <c r="W1412">
        <v>0.15737860000000001</v>
      </c>
      <c r="X1412">
        <v>0.92266020000000004</v>
      </c>
      <c r="Y1412">
        <v>0.47241359999999899</v>
      </c>
      <c r="Z1412">
        <v>-1.194983E-2</v>
      </c>
      <c r="AA1412">
        <v>0.88129599999999897</v>
      </c>
      <c r="AB1412">
        <v>25</v>
      </c>
      <c r="AC1412">
        <v>18.833600000000001</v>
      </c>
      <c r="AD1412">
        <v>-1.10978859863</v>
      </c>
      <c r="AE1412">
        <v>-10.5962</v>
      </c>
      <c r="AF1412">
        <v>10.2459411372392</v>
      </c>
      <c r="AG1412">
        <v>-1.10978859863</v>
      </c>
      <c r="AH1412">
        <v>18.9618322678783</v>
      </c>
      <c r="AI1412">
        <v>92.947626436610406</v>
      </c>
      <c r="AJ1412">
        <v>61.615628498293603</v>
      </c>
      <c r="AK1412">
        <v>21.581520416239702</v>
      </c>
      <c r="AL1412">
        <v>80.945227185079204</v>
      </c>
      <c r="AM1412">
        <v>69.115846845975199</v>
      </c>
      <c r="AN1412">
        <v>1.00000006449664</v>
      </c>
    </row>
    <row r="1413" spans="1:40" x14ac:dyDescent="0.25">
      <c r="A1413" t="str">
        <f>"20190312164016319"</f>
        <v>20190312164016319</v>
      </c>
      <c r="B1413" t="str">
        <f>"1552380016307966"</f>
        <v>1552380016307966</v>
      </c>
      <c r="C1413" t="s">
        <v>40</v>
      </c>
      <c r="D1413">
        <v>5.539015</v>
      </c>
      <c r="E1413">
        <v>0.56129379999999995</v>
      </c>
      <c r="F1413" t="s">
        <v>45</v>
      </c>
      <c r="G1413">
        <v>-196.71209999999999</v>
      </c>
      <c r="H1413" s="1">
        <v>-5.4949919999999997E-6</v>
      </c>
      <c r="I1413">
        <v>357.08909999999997</v>
      </c>
      <c r="J1413">
        <v>-215.71440000000001</v>
      </c>
      <c r="K1413">
        <v>1.1097399999999999</v>
      </c>
      <c r="L1413">
        <v>367.84890000000001</v>
      </c>
      <c r="M1413">
        <v>0.99974700000000005</v>
      </c>
      <c r="N1413">
        <v>0</v>
      </c>
      <c r="O1413">
        <v>-1.7698789999999999E-2</v>
      </c>
      <c r="P1413">
        <v>0.91776420000000003</v>
      </c>
      <c r="Q1413">
        <v>0.14554700000000001</v>
      </c>
      <c r="R1413">
        <v>-0.36949330000000002</v>
      </c>
      <c r="S1413">
        <v>2.6861269999999999</v>
      </c>
      <c r="T1413">
        <v>-0.15574739999999901</v>
      </c>
      <c r="U1413">
        <v>-1.510437</v>
      </c>
      <c r="V1413">
        <v>0.35348859999999999</v>
      </c>
      <c r="W1413">
        <v>0.15769169999999999</v>
      </c>
      <c r="X1413">
        <v>0.92205150000000002</v>
      </c>
      <c r="Y1413">
        <v>0.47404930000000001</v>
      </c>
      <c r="Z1413">
        <v>-1.183786E-2</v>
      </c>
      <c r="AA1413">
        <v>0.8804187</v>
      </c>
      <c r="AB1413">
        <v>25</v>
      </c>
      <c r="AC1413">
        <v>19.002300000000002</v>
      </c>
      <c r="AD1413">
        <v>-1.109745494992</v>
      </c>
      <c r="AE1413">
        <v>-10.7598</v>
      </c>
      <c r="AF1413">
        <v>10.3949183816387</v>
      </c>
      <c r="AG1413">
        <v>-1.109745494992</v>
      </c>
      <c r="AH1413">
        <v>19.1403451363072</v>
      </c>
      <c r="AI1413">
        <v>92.916721984983695</v>
      </c>
      <c r="AJ1413">
        <v>61.494084406721498</v>
      </c>
      <c r="AK1413">
        <v>21.809142008835298</v>
      </c>
      <c r="AL1413">
        <v>80.927059681731194</v>
      </c>
      <c r="AM1413">
        <v>69.0245819206948</v>
      </c>
      <c r="AN1413">
        <v>0.99999991561554602</v>
      </c>
    </row>
    <row r="1414" spans="1:40" x14ac:dyDescent="0.25">
      <c r="A1414" t="str">
        <f>"20190312164016331"</f>
        <v>20190312164016331</v>
      </c>
      <c r="B1414" t="str">
        <f>"1552380016327487"</f>
        <v>1552380016327487</v>
      </c>
      <c r="C1414" t="s">
        <v>40</v>
      </c>
      <c r="D1414">
        <v>5.6537169999999897</v>
      </c>
      <c r="E1414">
        <v>0.56127689999999997</v>
      </c>
      <c r="F1414" t="s">
        <v>45</v>
      </c>
      <c r="G1414">
        <v>-196.23990000000001</v>
      </c>
      <c r="H1414" s="1">
        <v>-5.3389569999999999E-6</v>
      </c>
      <c r="I1414">
        <v>356.84339999999997</v>
      </c>
      <c r="J1414">
        <v>-215.57230000000001</v>
      </c>
      <c r="K1414">
        <v>1.1096889999999999</v>
      </c>
      <c r="L1414">
        <v>367.84559999999999</v>
      </c>
      <c r="M1414">
        <v>0.99973449999999997</v>
      </c>
      <c r="N1414">
        <v>0</v>
      </c>
      <c r="O1414">
        <v>-1.840116E-2</v>
      </c>
      <c r="P1414">
        <v>0.91694699999999996</v>
      </c>
      <c r="Q1414">
        <v>0.14545949999999999</v>
      </c>
      <c r="R1414">
        <v>-0.37155070000000001</v>
      </c>
      <c r="S1414">
        <v>2.682693</v>
      </c>
      <c r="T1414">
        <v>-0.1528717</v>
      </c>
      <c r="U1414">
        <v>-1.516052</v>
      </c>
      <c r="V1414">
        <v>0.35493069999999999</v>
      </c>
      <c r="W1414">
        <v>0.15755050000000001</v>
      </c>
      <c r="X1414">
        <v>0.92152160000000005</v>
      </c>
      <c r="Y1414">
        <v>0.47532970000000002</v>
      </c>
      <c r="Z1414">
        <v>-1.162376E-2</v>
      </c>
      <c r="AA1414">
        <v>0.87973099999999904</v>
      </c>
      <c r="AB1414">
        <v>25</v>
      </c>
      <c r="AC1414">
        <v>19.3324</v>
      </c>
      <c r="AD1414">
        <v>-1.109694338957</v>
      </c>
      <c r="AE1414">
        <v>-11.0022</v>
      </c>
      <c r="AF1414">
        <v>10.6181378345085</v>
      </c>
      <c r="AG1414">
        <v>-1.109694338957</v>
      </c>
      <c r="AH1414">
        <v>19.483109717293299</v>
      </c>
      <c r="AI1414">
        <v>92.863079005592397</v>
      </c>
      <c r="AJ1414">
        <v>61.409971824786702</v>
      </c>
      <c r="AK1414">
        <v>22.216386674133599</v>
      </c>
      <c r="AL1414">
        <v>80.935253124330004</v>
      </c>
      <c r="AM1414">
        <v>68.935449505075098</v>
      </c>
      <c r="AN1414">
        <v>1.00000001055965</v>
      </c>
    </row>
    <row r="1415" spans="1:40" x14ac:dyDescent="0.25">
      <c r="A1415" t="str">
        <f>"20190312164016344"</f>
        <v>20190312164016344</v>
      </c>
      <c r="B1415" t="str">
        <f>"1552380016337246"</f>
        <v>1552380016337246</v>
      </c>
      <c r="C1415" t="s">
        <v>40</v>
      </c>
      <c r="D1415">
        <v>5.5349560000000002</v>
      </c>
      <c r="E1415">
        <v>0.56135029999999997</v>
      </c>
      <c r="F1415" t="s">
        <v>45</v>
      </c>
      <c r="G1415">
        <v>-195.74080000000001</v>
      </c>
      <c r="H1415" s="1">
        <v>-5.1523779999999998E-6</v>
      </c>
      <c r="I1415">
        <v>356.57819999999998</v>
      </c>
      <c r="J1415">
        <v>-215.43469999999999</v>
      </c>
      <c r="K1415">
        <v>1.10964</v>
      </c>
      <c r="L1415">
        <v>367.84230000000002</v>
      </c>
      <c r="M1415">
        <v>0.99972119999999998</v>
      </c>
      <c r="N1415">
        <v>0</v>
      </c>
      <c r="O1415">
        <v>-1.911351E-2</v>
      </c>
      <c r="P1415">
        <v>0.91620789999999996</v>
      </c>
      <c r="Q1415">
        <v>0.14539150000000001</v>
      </c>
      <c r="R1415">
        <v>-0.37339559999999999</v>
      </c>
      <c r="S1415">
        <v>2.6787869999999998</v>
      </c>
      <c r="T1415">
        <v>-0.14989420000000001</v>
      </c>
      <c r="U1415">
        <v>-1.521973</v>
      </c>
      <c r="V1415">
        <v>0.35614990000000002</v>
      </c>
      <c r="W1415">
        <v>0.1574313</v>
      </c>
      <c r="X1415">
        <v>0.92107150000000004</v>
      </c>
      <c r="Y1415">
        <v>0.47674309999999998</v>
      </c>
      <c r="Z1415">
        <v>-1.140613E-2</v>
      </c>
      <c r="AA1415">
        <v>0.87896869999999905</v>
      </c>
      <c r="AB1415">
        <v>25</v>
      </c>
      <c r="AC1415">
        <v>19.6938999999999</v>
      </c>
      <c r="AD1415">
        <v>-1.109645152378</v>
      </c>
      <c r="AE1415">
        <v>-11.264099999999999</v>
      </c>
      <c r="AF1415">
        <v>10.8596082968515</v>
      </c>
      <c r="AG1415">
        <v>-1.109645152378</v>
      </c>
      <c r="AH1415">
        <v>19.858115149610398</v>
      </c>
      <c r="AI1415">
        <v>92.806772568401698</v>
      </c>
      <c r="AJ1415">
        <v>61.327516322176102</v>
      </c>
      <c r="AK1415">
        <v>22.660695973875701</v>
      </c>
      <c r="AL1415">
        <v>80.942169329079505</v>
      </c>
      <c r="AM1415">
        <v>68.860053252744095</v>
      </c>
      <c r="AN1415">
        <v>1.00000003680097</v>
      </c>
    </row>
    <row r="1416" spans="1:40" x14ac:dyDescent="0.25">
      <c r="A1416" t="str">
        <f>"20190312164016359"</f>
        <v>20190312164016359</v>
      </c>
      <c r="B1416" t="str">
        <f>"1552380016347983"</f>
        <v>1552380016347983</v>
      </c>
      <c r="C1416" t="s">
        <v>40</v>
      </c>
      <c r="D1416">
        <v>5.6876870000000004</v>
      </c>
      <c r="E1416">
        <v>0.56136600000000003</v>
      </c>
      <c r="F1416" t="s">
        <v>45</v>
      </c>
      <c r="G1416">
        <v>-195.50729999999999</v>
      </c>
      <c r="H1416" s="1">
        <v>-5.0454519999999997E-6</v>
      </c>
      <c r="I1416">
        <v>356.45979999999997</v>
      </c>
      <c r="J1416">
        <v>-215.26660000000001</v>
      </c>
      <c r="K1416">
        <v>1.109575</v>
      </c>
      <c r="L1416">
        <v>367.83819999999997</v>
      </c>
      <c r="M1416">
        <v>0.99970320000000001</v>
      </c>
      <c r="N1416">
        <v>0</v>
      </c>
      <c r="O1416">
        <v>-2.0028839999999999E-2</v>
      </c>
      <c r="P1416">
        <v>0.91506799999999999</v>
      </c>
      <c r="Q1416">
        <v>0.1446607</v>
      </c>
      <c r="R1416">
        <v>-0.37646249999999998</v>
      </c>
      <c r="S1416">
        <v>2.6752470000000002</v>
      </c>
      <c r="T1416">
        <v>-0.14896980000000001</v>
      </c>
      <c r="U1416">
        <v>-1.5281070000000001</v>
      </c>
      <c r="V1416">
        <v>0.35841440000000002</v>
      </c>
      <c r="W1416">
        <v>0.15663360000000001</v>
      </c>
      <c r="X1416">
        <v>0.9203287</v>
      </c>
      <c r="Y1416">
        <v>0.47796450000000001</v>
      </c>
      <c r="Z1416">
        <v>-1.132729E-2</v>
      </c>
      <c r="AA1416">
        <v>0.87830620000000004</v>
      </c>
      <c r="AB1416">
        <v>25</v>
      </c>
      <c r="AC1416">
        <v>19.7593</v>
      </c>
      <c r="AD1416">
        <v>-1.109580045452</v>
      </c>
      <c r="AE1416">
        <v>-11.378399999999999</v>
      </c>
      <c r="AF1416">
        <v>10.954382135208199</v>
      </c>
      <c r="AG1416">
        <v>-1.109580045452</v>
      </c>
      <c r="AH1416">
        <v>19.936043197305001</v>
      </c>
      <c r="AI1416">
        <v>92.7925784100767</v>
      </c>
      <c r="AJ1416">
        <v>61.212250900498802</v>
      </c>
      <c r="AK1416">
        <v>22.7744478353756</v>
      </c>
      <c r="AL1416">
        <v>80.988447468332495</v>
      </c>
      <c r="AM1416">
        <v>68.721985348941999</v>
      </c>
      <c r="AN1416">
        <v>0.99999994141000303</v>
      </c>
    </row>
    <row r="1417" spans="1:40" x14ac:dyDescent="0.25">
      <c r="A1417" t="str">
        <f>"20190312164016372"</f>
        <v>20190312164016372</v>
      </c>
      <c r="B1417" t="str">
        <f>"1552380016367502"</f>
        <v>1552380016367502</v>
      </c>
      <c r="C1417" t="s">
        <v>40</v>
      </c>
      <c r="D1417">
        <v>5.8463989999999999</v>
      </c>
      <c r="E1417">
        <v>0.56159009999999998</v>
      </c>
      <c r="F1417" t="s">
        <v>45</v>
      </c>
      <c r="G1417">
        <v>-195.57259999999999</v>
      </c>
      <c r="H1417" s="1">
        <v>-5.0768409999999999E-6</v>
      </c>
      <c r="I1417">
        <v>356.49610000000001</v>
      </c>
      <c r="J1417">
        <v>-215.11410000000001</v>
      </c>
      <c r="K1417">
        <v>1.1095219999999999</v>
      </c>
      <c r="L1417">
        <v>367.83409999999998</v>
      </c>
      <c r="M1417">
        <v>0.99968480000000004</v>
      </c>
      <c r="N1417">
        <v>0</v>
      </c>
      <c r="O1417">
        <v>-2.092776E-2</v>
      </c>
      <c r="P1417">
        <v>0.91434490000000002</v>
      </c>
      <c r="Q1417">
        <v>0.14458679999999999</v>
      </c>
      <c r="R1417">
        <v>-0.37824370000000002</v>
      </c>
      <c r="S1417">
        <v>2.6696780000000002</v>
      </c>
      <c r="T1417">
        <v>-0.15041179999999901</v>
      </c>
      <c r="U1417">
        <v>-1.537506</v>
      </c>
      <c r="V1417">
        <v>0.35940129999999998</v>
      </c>
      <c r="W1417">
        <v>0.15650449999999999</v>
      </c>
      <c r="X1417">
        <v>0.91996579999999994</v>
      </c>
      <c r="Y1417">
        <v>0.4802748</v>
      </c>
      <c r="Z1417">
        <v>-1.146171E-2</v>
      </c>
      <c r="AA1417">
        <v>0.87704319999999902</v>
      </c>
      <c r="AB1417">
        <v>25</v>
      </c>
      <c r="AC1417">
        <v>19.541499999999999</v>
      </c>
      <c r="AD1417">
        <v>-1.1095270768409999</v>
      </c>
      <c r="AE1417">
        <v>-11.3379999999999</v>
      </c>
      <c r="AF1417">
        <v>10.900227677813</v>
      </c>
      <c r="AG1417">
        <v>-1.1095270768409999</v>
      </c>
      <c r="AH1417">
        <v>19.726943018858201</v>
      </c>
      <c r="AI1417">
        <v>92.818332418262202</v>
      </c>
      <c r="AJ1417">
        <v>61.076920564286603</v>
      </c>
      <c r="AK1417">
        <v>22.565422544939899</v>
      </c>
      <c r="AL1417">
        <v>80.995937369287702</v>
      </c>
      <c r="AM1417">
        <v>68.660997736583298</v>
      </c>
      <c r="AN1417">
        <v>1.00000001306579</v>
      </c>
    </row>
    <row r="1418" spans="1:40" x14ac:dyDescent="0.25">
      <c r="A1418" t="str">
        <f>"20190312164016393"</f>
        <v>20190312164016393</v>
      </c>
      <c r="B1418" t="str">
        <f>"1552380016388002"</f>
        <v>1552380016388002</v>
      </c>
      <c r="C1418" t="s">
        <v>40</v>
      </c>
      <c r="D1418">
        <v>5.6571819999999997</v>
      </c>
      <c r="E1418">
        <v>0.56161369999999999</v>
      </c>
      <c r="F1418" t="s">
        <v>45</v>
      </c>
      <c r="G1418">
        <v>-195.66630000000001</v>
      </c>
      <c r="H1418" s="1">
        <v>-5.1310950000000004E-6</v>
      </c>
      <c r="I1418">
        <v>356.56790000000001</v>
      </c>
      <c r="J1418">
        <v>-214.88740000000001</v>
      </c>
      <c r="K1418">
        <v>1.1094389999999901</v>
      </c>
      <c r="L1418">
        <v>367.82780000000002</v>
      </c>
      <c r="M1418">
        <v>0.99965420000000005</v>
      </c>
      <c r="N1418">
        <v>0</v>
      </c>
      <c r="O1418">
        <v>-2.2341659999999999E-2</v>
      </c>
      <c r="P1418">
        <v>0.9127267</v>
      </c>
      <c r="Q1418">
        <v>0.1445816</v>
      </c>
      <c r="R1418">
        <v>-0.38213399999999997</v>
      </c>
      <c r="S1418">
        <v>2.6661679999999999</v>
      </c>
      <c r="T1418">
        <v>-0.15210889999999999</v>
      </c>
      <c r="U1418">
        <v>-1.5445249999999999</v>
      </c>
      <c r="V1418">
        <v>0.36205219999999999</v>
      </c>
      <c r="W1418">
        <v>0.1564094</v>
      </c>
      <c r="X1418">
        <v>0.91894200000000004</v>
      </c>
      <c r="Y1418">
        <v>0.48125210000000002</v>
      </c>
      <c r="Z1418">
        <v>-1.1548279999999999E-2</v>
      </c>
      <c r="AA1418">
        <v>0.87650620000000001</v>
      </c>
      <c r="AB1418">
        <v>25</v>
      </c>
      <c r="AC1418">
        <v>19.2211</v>
      </c>
      <c r="AD1418">
        <v>-1.1094441310949901</v>
      </c>
      <c r="AE1418">
        <v>-11.2599</v>
      </c>
      <c r="AF1418">
        <v>10.8008259155293</v>
      </c>
      <c r="AG1418">
        <v>-1.1094441310949901</v>
      </c>
      <c r="AH1418">
        <v>19.419721654675001</v>
      </c>
      <c r="AI1418">
        <v>92.858244285828107</v>
      </c>
      <c r="AJ1418">
        <v>60.9181419165877</v>
      </c>
      <c r="AK1418">
        <v>22.248916735037799</v>
      </c>
      <c r="AL1418">
        <v>81.001454451854201</v>
      </c>
      <c r="AM1418">
        <v>68.496150640656396</v>
      </c>
      <c r="AN1418">
        <v>1.00000004764859</v>
      </c>
    </row>
    <row r="1419" spans="1:40" x14ac:dyDescent="0.25">
      <c r="A1419" t="str">
        <f>"20190312164016406"</f>
        <v>20190312164016406</v>
      </c>
      <c r="B1419" t="str">
        <f>"1552380016397595"</f>
        <v>1552380016397595</v>
      </c>
      <c r="C1419" t="s">
        <v>40</v>
      </c>
      <c r="D1419">
        <v>6.1345799999999997</v>
      </c>
      <c r="E1419">
        <v>0.56161149999999904</v>
      </c>
      <c r="F1419" t="s">
        <v>45</v>
      </c>
      <c r="G1419">
        <v>-195.26329999999999</v>
      </c>
      <c r="H1419" s="1">
        <v>-4.9386090000000001E-6</v>
      </c>
      <c r="I1419">
        <v>356.34649999999999</v>
      </c>
      <c r="J1419">
        <v>-214.745</v>
      </c>
      <c r="K1419">
        <v>1.1093900000000001</v>
      </c>
      <c r="L1419">
        <v>367.8236</v>
      </c>
      <c r="M1419">
        <v>0.99963250000000003</v>
      </c>
      <c r="N1419">
        <v>0</v>
      </c>
      <c r="O1419">
        <v>-2.3291659999999999E-2</v>
      </c>
      <c r="P1419">
        <v>0.91187609999999997</v>
      </c>
      <c r="Q1419">
        <v>0.1448391</v>
      </c>
      <c r="R1419">
        <v>-0.38406249999999997</v>
      </c>
      <c r="S1419">
        <v>2.6592859999999998</v>
      </c>
      <c r="T1419">
        <v>-0.15034249999999999</v>
      </c>
      <c r="U1419">
        <v>-1.555847</v>
      </c>
      <c r="V1419">
        <v>0.36314439999999998</v>
      </c>
      <c r="W1419">
        <v>0.1566128</v>
      </c>
      <c r="X1419">
        <v>0.91847619999999996</v>
      </c>
      <c r="Y1419">
        <v>0.48419459999999998</v>
      </c>
      <c r="Z1419">
        <v>-1.1455969999999999E-2</v>
      </c>
      <c r="AA1419">
        <v>0.87488529999999998</v>
      </c>
      <c r="AB1419">
        <v>25</v>
      </c>
      <c r="AC1419">
        <v>19.4817</v>
      </c>
      <c r="AD1419">
        <v>-1.1093949386089901</v>
      </c>
      <c r="AE1419">
        <v>-11.4771</v>
      </c>
      <c r="AF1419">
        <v>10.993715856061099</v>
      </c>
      <c r="AG1419">
        <v>-1.1093949386089901</v>
      </c>
      <c r="AH1419">
        <v>19.696345261911599</v>
      </c>
      <c r="AI1419">
        <v>92.8156724049866</v>
      </c>
      <c r="AJ1419">
        <v>60.831484183508401</v>
      </c>
      <c r="AK1419">
        <v>22.5840333450437</v>
      </c>
      <c r="AL1419">
        <v>80.989654437402294</v>
      </c>
      <c r="AM1419">
        <v>68.427295415930502</v>
      </c>
      <c r="AN1419">
        <v>0.99999997717081901</v>
      </c>
    </row>
    <row r="1420" spans="1:40" x14ac:dyDescent="0.25">
      <c r="A1420" t="str">
        <f>"20190312164016420"</f>
        <v>20190312164016420</v>
      </c>
      <c r="B1420" t="str">
        <f>"1552380016407356"</f>
        <v>1552380016407356</v>
      </c>
      <c r="C1420" t="s">
        <v>40</v>
      </c>
      <c r="D1420">
        <v>5.5922109999999998</v>
      </c>
      <c r="E1420">
        <v>0.5617316</v>
      </c>
      <c r="F1420" t="s">
        <v>45</v>
      </c>
      <c r="G1420">
        <v>-194.89439999999999</v>
      </c>
      <c r="H1420" s="1">
        <v>-4.7668039999999999E-6</v>
      </c>
      <c r="I1420">
        <v>356.1533</v>
      </c>
      <c r="J1420">
        <v>-214.60220000000001</v>
      </c>
      <c r="K1420">
        <v>1.1093390000000001</v>
      </c>
      <c r="L1420">
        <v>367.8193</v>
      </c>
      <c r="M1420">
        <v>0.99960899999999997</v>
      </c>
      <c r="N1420">
        <v>0</v>
      </c>
      <c r="O1420">
        <v>-2.4276499999999999E-2</v>
      </c>
      <c r="P1420">
        <v>0.91101880000000002</v>
      </c>
      <c r="Q1420">
        <v>0.14460129999999999</v>
      </c>
      <c r="R1420">
        <v>-0.38618029999999998</v>
      </c>
      <c r="S1420">
        <v>2.655853</v>
      </c>
      <c r="T1420">
        <v>-0.14842839999999999</v>
      </c>
      <c r="U1420">
        <v>-1.561401</v>
      </c>
      <c r="V1420">
        <v>0.3643943</v>
      </c>
      <c r="W1420">
        <v>0.15631989999999901</v>
      </c>
      <c r="X1420">
        <v>0.91803100000000004</v>
      </c>
      <c r="Y1420">
        <v>0.48519970000000001</v>
      </c>
      <c r="Z1420">
        <v>-1.12926E-2</v>
      </c>
      <c r="AA1420">
        <v>0.87433050000000001</v>
      </c>
      <c r="AB1420">
        <v>25</v>
      </c>
      <c r="AC1420">
        <v>19.707799999999999</v>
      </c>
      <c r="AD1420">
        <v>-1.1093437668039901</v>
      </c>
      <c r="AE1420">
        <v>-11.665999999999899</v>
      </c>
      <c r="AF1420">
        <v>11.157898373090299</v>
      </c>
      <c r="AG1420">
        <v>-1.1093437668039901</v>
      </c>
      <c r="AH1420">
        <v>19.938445001743201</v>
      </c>
      <c r="AI1420">
        <v>92.779686732659897</v>
      </c>
      <c r="AJ1420">
        <v>60.767869597390501</v>
      </c>
      <c r="AK1420">
        <v>22.8751159294264</v>
      </c>
      <c r="AL1420">
        <v>81.006646008518501</v>
      </c>
      <c r="AM1420">
        <v>68.350373339974993</v>
      </c>
      <c r="AN1420">
        <v>1.0000000169847401</v>
      </c>
    </row>
    <row r="1421" spans="1:40" x14ac:dyDescent="0.25">
      <c r="A1421" t="str">
        <f>"20190312164016437"</f>
        <v>20190312164016437</v>
      </c>
      <c r="B1421" t="str">
        <f>"1552380016427852"</f>
        <v>1552380016427852</v>
      </c>
      <c r="C1421" t="s">
        <v>40</v>
      </c>
      <c r="D1421">
        <v>5.7770830000000002</v>
      </c>
      <c r="E1421">
        <v>0.56176280000000001</v>
      </c>
      <c r="F1421" t="s">
        <v>45</v>
      </c>
      <c r="G1421">
        <v>-194.8989</v>
      </c>
      <c r="H1421" s="1">
        <v>-4.773036E-6</v>
      </c>
      <c r="I1421">
        <v>356.16460000000001</v>
      </c>
      <c r="J1421">
        <v>-214.39070000000001</v>
      </c>
      <c r="K1421">
        <v>1.109262</v>
      </c>
      <c r="L1421">
        <v>367.8125</v>
      </c>
      <c r="M1421">
        <v>0.99956979999999995</v>
      </c>
      <c r="N1421">
        <v>0</v>
      </c>
      <c r="O1421">
        <v>-2.584119E-2</v>
      </c>
      <c r="P1421">
        <v>0.90946899999999997</v>
      </c>
      <c r="Q1421">
        <v>0.14405589999999999</v>
      </c>
      <c r="R1421">
        <v>-0.39001839999999999</v>
      </c>
      <c r="S1421">
        <v>2.6517940000000002</v>
      </c>
      <c r="T1421">
        <v>-0.1493025</v>
      </c>
      <c r="U1421">
        <v>-1.568573</v>
      </c>
      <c r="V1421">
        <v>0.36685980000000001</v>
      </c>
      <c r="W1421">
        <v>0.15568219999999999</v>
      </c>
      <c r="X1421">
        <v>0.917157</v>
      </c>
      <c r="Y1421">
        <v>0.48616330000000002</v>
      </c>
      <c r="Z1421">
        <v>-1.13107E-2</v>
      </c>
      <c r="AA1421">
        <v>0.87379479999999998</v>
      </c>
      <c r="AB1421">
        <v>25</v>
      </c>
      <c r="AC1421">
        <v>19.491800000000001</v>
      </c>
      <c r="AD1421">
        <v>-1.109266773036</v>
      </c>
      <c r="AE1421">
        <v>-11.6478999999999</v>
      </c>
      <c r="AF1421">
        <v>11.1137471609588</v>
      </c>
      <c r="AG1421">
        <v>-1.109266773036</v>
      </c>
      <c r="AH1421">
        <v>19.7392072194794</v>
      </c>
      <c r="AI1421">
        <v>92.803425327478706</v>
      </c>
      <c r="AJ1421">
        <v>60.619224924383403</v>
      </c>
      <c r="AK1421">
        <v>22.679994497023799</v>
      </c>
      <c r="AL1421">
        <v>81.043636354703693</v>
      </c>
      <c r="AM1421">
        <v>68.198752076943506</v>
      </c>
      <c r="AN1421">
        <v>1.00000001145094</v>
      </c>
    </row>
    <row r="1422" spans="1:40" x14ac:dyDescent="0.25">
      <c r="A1422" t="str">
        <f>"20190312164016454"</f>
        <v>20190312164016454</v>
      </c>
      <c r="B1422" t="str">
        <f>"1552380016447372"</f>
        <v>1552380016447372</v>
      </c>
      <c r="C1422" t="s">
        <v>40</v>
      </c>
      <c r="D1422">
        <v>5.7478040000000004</v>
      </c>
      <c r="E1422">
        <v>0.5617318</v>
      </c>
      <c r="F1422" t="s">
        <v>45</v>
      </c>
      <c r="G1422">
        <v>-194.69880000000001</v>
      </c>
      <c r="H1422" s="1">
        <v>-4.6762280000000001E-6</v>
      </c>
      <c r="I1422">
        <v>356.05200000000002</v>
      </c>
      <c r="J1422">
        <v>-214.21889999999999</v>
      </c>
      <c r="K1422">
        <v>1.109192</v>
      </c>
      <c r="L1422">
        <v>367.80650000000003</v>
      </c>
      <c r="M1422">
        <v>0.99953380000000003</v>
      </c>
      <c r="N1422">
        <v>0</v>
      </c>
      <c r="O1422">
        <v>-2.7196149999999999E-2</v>
      </c>
      <c r="P1422">
        <v>0.90861820000000004</v>
      </c>
      <c r="Q1422">
        <v>0.14339099999999999</v>
      </c>
      <c r="R1422">
        <v>-0.39223999999999998</v>
      </c>
      <c r="S1422">
        <v>2.6448360000000002</v>
      </c>
      <c r="T1422">
        <v>-0.1489866</v>
      </c>
      <c r="U1422">
        <v>-1.5795589999999999</v>
      </c>
      <c r="V1422">
        <v>0.36788080000000001</v>
      </c>
      <c r="W1422">
        <v>0.15495059999999999</v>
      </c>
      <c r="X1422">
        <v>0.91687189999999996</v>
      </c>
      <c r="Y1422">
        <v>0.48866399999999999</v>
      </c>
      <c r="Z1422">
        <v>-1.129607E-2</v>
      </c>
      <c r="AA1422">
        <v>0.87239899999999904</v>
      </c>
      <c r="AB1422">
        <v>25</v>
      </c>
      <c r="AC1422">
        <v>19.5200999999999</v>
      </c>
      <c r="AD1422">
        <v>-1.1091966762279999</v>
      </c>
      <c r="AE1422">
        <v>-11.7545</v>
      </c>
      <c r="AF1422">
        <v>11.1927061229263</v>
      </c>
      <c r="AG1422">
        <v>-1.1091966762279999</v>
      </c>
      <c r="AH1422">
        <v>19.785701605089201</v>
      </c>
      <c r="AI1422">
        <v>92.793485112270403</v>
      </c>
      <c r="AJ1422">
        <v>60.503302063221398</v>
      </c>
      <c r="AK1422">
        <v>22.7591954081505</v>
      </c>
      <c r="AL1422">
        <v>81.086069008481104</v>
      </c>
      <c r="AM1422">
        <v>68.137632230417296</v>
      </c>
      <c r="AN1422">
        <v>1.0000000262293001</v>
      </c>
    </row>
    <row r="1423" spans="1:40" x14ac:dyDescent="0.25">
      <c r="A1423" t="str">
        <f>"20190312164016466"</f>
        <v>20190312164016466</v>
      </c>
      <c r="B1423" t="str">
        <f>"1552380016458108"</f>
        <v>1552380016458108</v>
      </c>
      <c r="C1423" t="s">
        <v>40</v>
      </c>
      <c r="D1423">
        <v>5.774394</v>
      </c>
      <c r="E1423">
        <v>0.56175149999999996</v>
      </c>
      <c r="F1423" t="s">
        <v>45</v>
      </c>
      <c r="G1423">
        <v>-194.74639999999999</v>
      </c>
      <c r="H1423" s="1">
        <v>-4.7174519999999997E-6</v>
      </c>
      <c r="I1423">
        <v>356.11779999999999</v>
      </c>
      <c r="J1423">
        <v>-214.06819999999999</v>
      </c>
      <c r="K1423">
        <v>1.109119</v>
      </c>
      <c r="L1423">
        <v>367.80110000000002</v>
      </c>
      <c r="M1423">
        <v>0.99949920000000003</v>
      </c>
      <c r="N1423">
        <v>0</v>
      </c>
      <c r="O1423">
        <v>-2.8441230000000001E-2</v>
      </c>
      <c r="P1423">
        <v>0.90776219999999996</v>
      </c>
      <c r="Q1423">
        <v>0.14278199999999999</v>
      </c>
      <c r="R1423">
        <v>-0.39443820000000002</v>
      </c>
      <c r="S1423">
        <v>2.6410830000000001</v>
      </c>
      <c r="T1423">
        <v>-0.15044189999999999</v>
      </c>
      <c r="U1423">
        <v>-1.585358</v>
      </c>
      <c r="V1423">
        <v>0.36897839999999998</v>
      </c>
      <c r="W1423">
        <v>0.15427879999999899</v>
      </c>
      <c r="X1423">
        <v>0.91654400000000003</v>
      </c>
      <c r="Y1423">
        <v>0.4895217</v>
      </c>
      <c r="Z1423">
        <v>-1.1371610000000001E-2</v>
      </c>
      <c r="AA1423">
        <v>0.87191689999999999</v>
      </c>
      <c r="AB1423">
        <v>25</v>
      </c>
      <c r="AC1423">
        <v>19.3218</v>
      </c>
      <c r="AD1423">
        <v>-1.1091237174519999</v>
      </c>
      <c r="AE1423">
        <v>-11.683299999999999</v>
      </c>
      <c r="AF1423">
        <v>11.1021960383751</v>
      </c>
      <c r="AG1423">
        <v>-1.1091237174519999</v>
      </c>
      <c r="AH1423">
        <v>19.599011772450599</v>
      </c>
      <c r="AI1423">
        <v>92.818936718965105</v>
      </c>
      <c r="AJ1423">
        <v>60.469872067553197</v>
      </c>
      <c r="AK1423">
        <v>22.552387340407801</v>
      </c>
      <c r="AL1423">
        <v>81.125028181059804</v>
      </c>
      <c r="AM1423">
        <v>68.071479189802204</v>
      </c>
      <c r="AN1423">
        <v>0.99999995586599899</v>
      </c>
    </row>
    <row r="1424" spans="1:40" x14ac:dyDescent="0.25">
      <c r="A1424" t="str">
        <f>"20190312164016484"</f>
        <v>20190312164016484</v>
      </c>
      <c r="B1424" t="str">
        <f>"1552380016477628"</f>
        <v>1552380016477628</v>
      </c>
      <c r="C1424" t="s">
        <v>40</v>
      </c>
      <c r="D1424">
        <v>5.9932860000000003</v>
      </c>
      <c r="E1424">
        <v>0.56171139999999997</v>
      </c>
      <c r="F1424" t="s">
        <v>45</v>
      </c>
      <c r="G1424">
        <v>-195.02209999999999</v>
      </c>
      <c r="H1424" s="1">
        <v>-4.8655750000000004E-6</v>
      </c>
      <c r="I1424">
        <v>356.30459999999999</v>
      </c>
      <c r="J1424">
        <v>-213.87989999999999</v>
      </c>
      <c r="K1424">
        <v>1.109029</v>
      </c>
      <c r="L1424">
        <v>367.79399999999998</v>
      </c>
      <c r="M1424">
        <v>0.99945150000000005</v>
      </c>
      <c r="N1424">
        <v>0</v>
      </c>
      <c r="O1424">
        <v>-3.0070650000000001E-2</v>
      </c>
      <c r="P1424">
        <v>0.90647060000000002</v>
      </c>
      <c r="Q1424">
        <v>0.1416702</v>
      </c>
      <c r="R1424">
        <v>-0.3977948</v>
      </c>
      <c r="S1424">
        <v>2.637283</v>
      </c>
      <c r="T1424">
        <v>-0.15357899999999999</v>
      </c>
      <c r="U1424">
        <v>-1.5919190000000001</v>
      </c>
      <c r="V1424">
        <v>0.37090060000000002</v>
      </c>
      <c r="W1424">
        <v>0.15308160000000001</v>
      </c>
      <c r="X1424">
        <v>0.91596880000000003</v>
      </c>
      <c r="Y1424">
        <v>0.49022389999999999</v>
      </c>
      <c r="Z1424">
        <v>-1.154764E-2</v>
      </c>
      <c r="AA1424">
        <v>0.87151999999999996</v>
      </c>
      <c r="AB1424">
        <v>25</v>
      </c>
      <c r="AC1424">
        <v>18.857800000000001</v>
      </c>
      <c r="AD1424">
        <v>-1.1090338655750001</v>
      </c>
      <c r="AE1424">
        <v>-11.4894</v>
      </c>
      <c r="AF1424">
        <v>10.8896149061712</v>
      </c>
      <c r="AG1424">
        <v>-1.1090338655750001</v>
      </c>
      <c r="AH1424">
        <v>19.146503182175199</v>
      </c>
      <c r="AI1424">
        <v>92.882390736897804</v>
      </c>
      <c r="AJ1424">
        <v>60.370852388005297</v>
      </c>
      <c r="AK1424">
        <v>22.054529081908498</v>
      </c>
      <c r="AL1424">
        <v>81.194448071034699</v>
      </c>
      <c r="AM1424">
        <v>67.955640375928894</v>
      </c>
      <c r="AN1424">
        <v>1.0000000369561699</v>
      </c>
    </row>
    <row r="1425" spans="1:40" x14ac:dyDescent="0.25">
      <c r="A1425" t="str">
        <f>"20190312164016496"</f>
        <v>20190312164016496</v>
      </c>
      <c r="B1425" t="str">
        <f>"1552380016487388"</f>
        <v>1552380016487388</v>
      </c>
      <c r="C1425" t="s">
        <v>40</v>
      </c>
      <c r="D1425">
        <v>5.8432409999999999</v>
      </c>
      <c r="E1425">
        <v>0.56175229999999998</v>
      </c>
      <c r="F1425" t="s">
        <v>45</v>
      </c>
      <c r="G1425">
        <v>-195.42259999999999</v>
      </c>
      <c r="H1425" s="1">
        <v>-5.0771829999999996E-6</v>
      </c>
      <c r="I1425">
        <v>356.56819999999999</v>
      </c>
      <c r="J1425">
        <v>-213.74100000000001</v>
      </c>
      <c r="K1425">
        <v>1.108973</v>
      </c>
      <c r="L1425">
        <v>367.7885</v>
      </c>
      <c r="M1425">
        <v>0.99941290000000005</v>
      </c>
      <c r="N1425">
        <v>0</v>
      </c>
      <c r="O1425">
        <v>-3.1325850000000002E-2</v>
      </c>
      <c r="P1425">
        <v>0.90566460000000004</v>
      </c>
      <c r="Q1425">
        <v>0.1411683</v>
      </c>
      <c r="R1425">
        <v>-0.39980359999999998</v>
      </c>
      <c r="S1425">
        <v>2.6318049999999999</v>
      </c>
      <c r="T1425">
        <v>-0.1581359</v>
      </c>
      <c r="U1425">
        <v>-1.6006769999999999</v>
      </c>
      <c r="V1425">
        <v>0.37180079999999999</v>
      </c>
      <c r="W1425">
        <v>0.1525194</v>
      </c>
      <c r="X1425">
        <v>0.9156976</v>
      </c>
      <c r="Y1425">
        <v>0.49201539999999999</v>
      </c>
      <c r="Z1425">
        <v>-1.1881940000000001E-2</v>
      </c>
      <c r="AA1425">
        <v>0.87050550000000004</v>
      </c>
      <c r="AB1425">
        <v>25</v>
      </c>
      <c r="AC1425">
        <v>18.3184</v>
      </c>
      <c r="AD1425">
        <v>-1.108978077183</v>
      </c>
      <c r="AE1425">
        <v>-11.2203</v>
      </c>
      <c r="AF1425">
        <v>10.612613957180301</v>
      </c>
      <c r="AG1425">
        <v>-1.108978077183</v>
      </c>
      <c r="AH1425">
        <v>18.6113263615064</v>
      </c>
      <c r="AI1425">
        <v>92.963108472031607</v>
      </c>
      <c r="AJ1425">
        <v>60.307199362050099</v>
      </c>
      <c r="AK1425">
        <v>21.4531786995381</v>
      </c>
      <c r="AL1425">
        <v>81.227042613889196</v>
      </c>
      <c r="AM1425">
        <v>67.901366369255499</v>
      </c>
      <c r="AN1425">
        <v>1.00000004845137</v>
      </c>
    </row>
    <row r="1426" spans="1:40" x14ac:dyDescent="0.25">
      <c r="A1426" t="str">
        <f>"20190312164016508"</f>
        <v>20190312164016508</v>
      </c>
      <c r="B1426" t="str">
        <f>"1552380016497655"</f>
        <v>1552380016497655</v>
      </c>
      <c r="C1426" t="s">
        <v>40</v>
      </c>
      <c r="D1426">
        <v>5.7189439999999996</v>
      </c>
      <c r="E1426">
        <v>0.56182080000000001</v>
      </c>
      <c r="F1426" t="s">
        <v>45</v>
      </c>
      <c r="G1426">
        <v>-195.56059999999999</v>
      </c>
      <c r="H1426" s="1">
        <v>-5.1561109999999997E-6</v>
      </c>
      <c r="I1426">
        <v>356.67189999999999</v>
      </c>
      <c r="J1426">
        <v>-213.6129</v>
      </c>
      <c r="K1426">
        <v>1.1089180000000001</v>
      </c>
      <c r="L1426">
        <v>367.78320000000002</v>
      </c>
      <c r="M1426">
        <v>0.99937390000000004</v>
      </c>
      <c r="N1426">
        <v>0</v>
      </c>
      <c r="O1426">
        <v>-3.2543509999999998E-2</v>
      </c>
      <c r="P1426">
        <v>0.9048929</v>
      </c>
      <c r="Q1426">
        <v>0.14055529999999999</v>
      </c>
      <c r="R1426">
        <v>-0.40176190000000001</v>
      </c>
      <c r="S1426">
        <v>2.6280670000000002</v>
      </c>
      <c r="T1426">
        <v>-0.1603087</v>
      </c>
      <c r="U1426">
        <v>-1.6069639999999901</v>
      </c>
      <c r="V1426">
        <v>0.37268259999999998</v>
      </c>
      <c r="W1426">
        <v>0.15185109999999999</v>
      </c>
      <c r="X1426">
        <v>0.91545019999999999</v>
      </c>
      <c r="Y1426">
        <v>0.49300470000000002</v>
      </c>
      <c r="Z1426">
        <v>-1.2012439999999999E-2</v>
      </c>
      <c r="AA1426">
        <v>0.86994369999999999</v>
      </c>
      <c r="AB1426">
        <v>25</v>
      </c>
      <c r="AC1426">
        <v>18.052299999999999</v>
      </c>
      <c r="AD1426">
        <v>-1.108923156111</v>
      </c>
      <c r="AE1426">
        <v>-11.1113</v>
      </c>
      <c r="AF1426">
        <v>10.489166275902599</v>
      </c>
      <c r="AG1426">
        <v>-1.108923156111</v>
      </c>
      <c r="AH1426">
        <v>18.3541426355402</v>
      </c>
      <c r="AI1426">
        <v>93.002772410864495</v>
      </c>
      <c r="AJ1426">
        <v>60.252566014602898</v>
      </c>
      <c r="AK1426">
        <v>21.1690073365627</v>
      </c>
      <c r="AL1426">
        <v>81.265784864272604</v>
      </c>
      <c r="AM1426">
        <v>67.848610067457997</v>
      </c>
      <c r="AN1426">
        <v>1.000000072797</v>
      </c>
    </row>
    <row r="1427" spans="1:40" x14ac:dyDescent="0.25">
      <c r="A1427" t="str">
        <f>"20190312164016520"</f>
        <v>20190312164016520</v>
      </c>
      <c r="B1427" t="str">
        <f>"1552380016507414"</f>
        <v>1552380016507414</v>
      </c>
      <c r="C1427" t="s">
        <v>40</v>
      </c>
      <c r="D1427">
        <v>5.7422139999999997</v>
      </c>
      <c r="E1427">
        <v>0.56189669999999903</v>
      </c>
      <c r="F1427" t="s">
        <v>45</v>
      </c>
      <c r="G1427">
        <v>-195.74039999999999</v>
      </c>
      <c r="H1427" s="1">
        <v>-5.2456299999999998E-6</v>
      </c>
      <c r="I1427">
        <v>356.79759999999999</v>
      </c>
      <c r="J1427">
        <v>-213.47989999999999</v>
      </c>
      <c r="K1427">
        <v>1.1088579999999999</v>
      </c>
      <c r="L1427">
        <v>367.77749999999997</v>
      </c>
      <c r="M1427">
        <v>0.99933110000000003</v>
      </c>
      <c r="N1427">
        <v>0</v>
      </c>
      <c r="O1427">
        <v>-3.3833710000000003E-2</v>
      </c>
      <c r="P1427">
        <v>0.90403699999999998</v>
      </c>
      <c r="Q1427">
        <v>0.14002419999999999</v>
      </c>
      <c r="R1427">
        <v>-0.4038697</v>
      </c>
      <c r="S1427">
        <v>2.6244049999999999</v>
      </c>
      <c r="T1427">
        <v>-0.1628346</v>
      </c>
      <c r="U1427">
        <v>-1.613129</v>
      </c>
      <c r="V1427">
        <v>0.37365189999999998</v>
      </c>
      <c r="W1427">
        <v>0.15126199999999901</v>
      </c>
      <c r="X1427">
        <v>0.91515250000000004</v>
      </c>
      <c r="Y1427">
        <v>0.49388680000000001</v>
      </c>
      <c r="Z1427">
        <v>-1.216099E-2</v>
      </c>
      <c r="AA1427">
        <v>0.86944120000000003</v>
      </c>
      <c r="AB1427">
        <v>25</v>
      </c>
      <c r="AC1427">
        <v>17.7394999999999</v>
      </c>
      <c r="AD1427">
        <v>-1.1088632456299901</v>
      </c>
      <c r="AE1427">
        <v>-10.979899999999899</v>
      </c>
      <c r="AF1427">
        <v>10.3441393792034</v>
      </c>
      <c r="AG1427">
        <v>-1.1088632456299901</v>
      </c>
      <c r="AH1427">
        <v>18.0498773110134</v>
      </c>
      <c r="AI1427">
        <v>93.051030725384095</v>
      </c>
      <c r="AJ1427">
        <v>60.183564164200497</v>
      </c>
      <c r="AK1427">
        <v>20.833359501927099</v>
      </c>
      <c r="AL1427">
        <v>81.2999317641966</v>
      </c>
      <c r="AM1427">
        <v>67.790067363727701</v>
      </c>
      <c r="AN1427">
        <v>1.0000000166369201</v>
      </c>
    </row>
    <row r="1428" spans="1:40" x14ac:dyDescent="0.25">
      <c r="A1428" t="str">
        <f>"20190312164016532"</f>
        <v>20190312164016532</v>
      </c>
      <c r="B1428" t="str">
        <f>"1552380016527912"</f>
        <v>1552380016527912</v>
      </c>
      <c r="C1428" t="s">
        <v>40</v>
      </c>
      <c r="D1428">
        <v>5.8606809999999996</v>
      </c>
      <c r="E1428">
        <v>0.56195010000000001</v>
      </c>
      <c r="F1428" t="s">
        <v>45</v>
      </c>
      <c r="G1428">
        <v>-195.941</v>
      </c>
      <c r="H1428" s="1">
        <v>-5.3228839999999999E-6</v>
      </c>
      <c r="I1428">
        <v>356.9348</v>
      </c>
      <c r="J1428">
        <v>-213.3381</v>
      </c>
      <c r="K1428">
        <v>1.1087929999999999</v>
      </c>
      <c r="L1428">
        <v>367.77109999999999</v>
      </c>
      <c r="M1428">
        <v>0.99928099999999997</v>
      </c>
      <c r="N1428">
        <v>0</v>
      </c>
      <c r="O1428">
        <v>-3.5283429999999998E-2</v>
      </c>
      <c r="P1428">
        <v>0.9029741</v>
      </c>
      <c r="Q1428">
        <v>0.1394358</v>
      </c>
      <c r="R1428">
        <v>-0.40644279999999999</v>
      </c>
      <c r="S1428">
        <v>2.6204070000000002</v>
      </c>
      <c r="T1428">
        <v>-0.16567089999999901</v>
      </c>
      <c r="U1428">
        <v>-1.6199650000000001</v>
      </c>
      <c r="V1428">
        <v>0.37495060000000002</v>
      </c>
      <c r="W1428">
        <v>0.15060680000000001</v>
      </c>
      <c r="X1428">
        <v>0.91472929999999997</v>
      </c>
      <c r="Y1428">
        <v>0.49483769999999999</v>
      </c>
      <c r="Z1428">
        <v>-1.232464E-2</v>
      </c>
      <c r="AA1428">
        <v>0.86889799999999995</v>
      </c>
      <c r="AB1428">
        <v>25</v>
      </c>
      <c r="AC1428">
        <v>17.397099999999998</v>
      </c>
      <c r="AD1428">
        <v>-1.1087983228839999</v>
      </c>
      <c r="AE1428">
        <v>-10.8362999999999</v>
      </c>
      <c r="AF1428">
        <v>10.185852697733701</v>
      </c>
      <c r="AG1428">
        <v>-1.1087983228839999</v>
      </c>
      <c r="AH1428">
        <v>17.716793610013202</v>
      </c>
      <c r="AI1428">
        <v>93.105635064484602</v>
      </c>
      <c r="AJ1428">
        <v>60.104266629378898</v>
      </c>
      <c r="AK1428">
        <v>20.466211293753499</v>
      </c>
      <c r="AL1428">
        <v>81.337907097548495</v>
      </c>
      <c r="AM1428">
        <v>67.711111959548106</v>
      </c>
      <c r="AN1428">
        <v>1.0000000264625399</v>
      </c>
    </row>
    <row r="1429" spans="1:40" x14ac:dyDescent="0.25">
      <c r="A1429" t="str">
        <f>"20190312164016544"</f>
        <v>20190312164016544</v>
      </c>
      <c r="B1429" t="str">
        <f>"1552380016537673"</f>
        <v>1552380016537673</v>
      </c>
      <c r="C1429" t="s">
        <v>40</v>
      </c>
      <c r="D1429">
        <v>5.6349210000000003</v>
      </c>
      <c r="E1429">
        <v>0.56206630000000002</v>
      </c>
      <c r="F1429" t="s">
        <v>45</v>
      </c>
      <c r="G1429">
        <v>-196.2081</v>
      </c>
      <c r="H1429" s="1">
        <v>-5.4250139999999997E-6</v>
      </c>
      <c r="I1429">
        <v>357.11529999999999</v>
      </c>
      <c r="J1429">
        <v>-213.20490000000001</v>
      </c>
      <c r="K1429">
        <v>1.1087309999999999</v>
      </c>
      <c r="L1429">
        <v>367.76499999999999</v>
      </c>
      <c r="M1429">
        <v>0.99923010000000001</v>
      </c>
      <c r="N1429">
        <v>0</v>
      </c>
      <c r="O1429">
        <v>-3.6692080000000002E-2</v>
      </c>
      <c r="P1429">
        <v>0.90199669999999998</v>
      </c>
      <c r="Q1429">
        <v>0.13867599999999999</v>
      </c>
      <c r="R1429">
        <v>-0.40886529999999999</v>
      </c>
      <c r="S1429">
        <v>2.616028</v>
      </c>
      <c r="T1429">
        <v>-0.16933119999999999</v>
      </c>
      <c r="U1429">
        <v>-1.627319</v>
      </c>
      <c r="V1429">
        <v>0.3761331</v>
      </c>
      <c r="W1429">
        <v>0.1497841</v>
      </c>
      <c r="X1429">
        <v>0.91437880000000005</v>
      </c>
      <c r="Y1429">
        <v>0.49599690000000002</v>
      </c>
      <c r="Z1429">
        <v>-1.255707E-2</v>
      </c>
      <c r="AA1429">
        <v>0.86823349999999899</v>
      </c>
      <c r="AB1429">
        <v>25</v>
      </c>
      <c r="AC1429">
        <v>16.9968</v>
      </c>
      <c r="AD1429">
        <v>-1.1087364250139999</v>
      </c>
      <c r="AE1429">
        <v>-10.6496999999999</v>
      </c>
      <c r="AF1429">
        <v>9.9882988048644403</v>
      </c>
      <c r="AG1429">
        <v>-1.1087364250139999</v>
      </c>
      <c r="AH1429">
        <v>17.323216717174098</v>
      </c>
      <c r="AI1429">
        <v>93.173602523181003</v>
      </c>
      <c r="AJ1429">
        <v>60.032916039245002</v>
      </c>
      <c r="AK1429">
        <v>20.0272126594189</v>
      </c>
      <c r="AL1429">
        <v>81.385584843880807</v>
      </c>
      <c r="AM1429">
        <v>67.640003007863001</v>
      </c>
      <c r="AN1429">
        <v>0.99999998770892995</v>
      </c>
    </row>
    <row r="1430" spans="1:40" x14ac:dyDescent="0.25">
      <c r="A1430" t="str">
        <f>"20190312164016560"</f>
        <v>20190312164016560</v>
      </c>
      <c r="B1430" t="str">
        <f>"1552380016557191"</f>
        <v>1552380016557191</v>
      </c>
      <c r="C1430" t="s">
        <v>40</v>
      </c>
      <c r="D1430">
        <v>5.5783839999999998</v>
      </c>
      <c r="E1430">
        <v>0.56215369999999998</v>
      </c>
      <c r="F1430" t="s">
        <v>45</v>
      </c>
      <c r="G1430">
        <v>-196.46019999999999</v>
      </c>
      <c r="H1430" s="1">
        <v>-5.5202860000000004E-6</v>
      </c>
      <c r="I1430">
        <v>357.28230000000002</v>
      </c>
      <c r="J1430">
        <v>-213.03559999999999</v>
      </c>
      <c r="K1430">
        <v>1.1086549999999999</v>
      </c>
      <c r="L1430">
        <v>367.7568</v>
      </c>
      <c r="M1430">
        <v>0.99916050000000001</v>
      </c>
      <c r="N1430">
        <v>0</v>
      </c>
      <c r="O1430">
        <v>-3.854229E-2</v>
      </c>
      <c r="P1430">
        <v>0.90046079999999995</v>
      </c>
      <c r="Q1430">
        <v>0.13717299999999999</v>
      </c>
      <c r="R1430">
        <v>-0.4127401</v>
      </c>
      <c r="S1430">
        <v>2.61145</v>
      </c>
      <c r="T1430">
        <v>-0.1729155</v>
      </c>
      <c r="U1430">
        <v>-1.634857</v>
      </c>
      <c r="V1430">
        <v>0.37838729999999998</v>
      </c>
      <c r="W1430">
        <v>0.1481942</v>
      </c>
      <c r="X1430">
        <v>0.91370759999999995</v>
      </c>
      <c r="Y1430">
        <v>0.49684620000000002</v>
      </c>
      <c r="Z1430">
        <v>-1.274664E-2</v>
      </c>
      <c r="AA1430">
        <v>0.86774499999999999</v>
      </c>
      <c r="AB1430">
        <v>25</v>
      </c>
      <c r="AC1430">
        <v>16.575399999999998</v>
      </c>
      <c r="AD1430">
        <v>-1.108660520286</v>
      </c>
      <c r="AE1430">
        <v>-10.4744999999999</v>
      </c>
      <c r="AF1430">
        <v>9.7964804963561107</v>
      </c>
      <c r="AG1430">
        <v>-1.108660520286</v>
      </c>
      <c r="AH1430">
        <v>16.9127610884021</v>
      </c>
      <c r="AI1430">
        <v>93.246514030072404</v>
      </c>
      <c r="AJ1430">
        <v>59.919031803163698</v>
      </c>
      <c r="AK1430">
        <v>19.576558581581601</v>
      </c>
      <c r="AL1430">
        <v>81.4777079248137</v>
      </c>
      <c r="AM1430">
        <v>67.5044308314246</v>
      </c>
      <c r="AN1430">
        <v>1.00000002400634</v>
      </c>
    </row>
    <row r="1431" spans="1:40" x14ac:dyDescent="0.25">
      <c r="A1431" t="str">
        <f>"20190312164016573"</f>
        <v>20190312164016573</v>
      </c>
      <c r="B1431" t="str">
        <f>"1552380016567930"</f>
        <v>1552380016567930</v>
      </c>
      <c r="C1431" t="s">
        <v>40</v>
      </c>
      <c r="D1431">
        <v>5.9083069999999998</v>
      </c>
      <c r="E1431">
        <v>0.56217950000000005</v>
      </c>
      <c r="F1431" t="s">
        <v>45</v>
      </c>
      <c r="G1431">
        <v>-196.9572</v>
      </c>
      <c r="H1431" s="1">
        <v>-5.7028559999999997E-6</v>
      </c>
      <c r="I1431">
        <v>357.5958</v>
      </c>
      <c r="J1431">
        <v>-212.88829999999999</v>
      </c>
      <c r="K1431">
        <v>1.108587</v>
      </c>
      <c r="L1431">
        <v>367.74930000000001</v>
      </c>
      <c r="M1431">
        <v>0.99909380000000003</v>
      </c>
      <c r="N1431">
        <v>0</v>
      </c>
      <c r="O1431">
        <v>-4.0232850000000001E-2</v>
      </c>
      <c r="P1431">
        <v>0.89923960000000003</v>
      </c>
      <c r="Q1431">
        <v>0.13697590000000001</v>
      </c>
      <c r="R1431">
        <v>-0.41545840000000001</v>
      </c>
      <c r="S1431">
        <v>2.6045229999999999</v>
      </c>
      <c r="T1431">
        <v>-0.17959</v>
      </c>
      <c r="U1431">
        <v>-1.645966</v>
      </c>
      <c r="V1431">
        <v>0.37962659999999998</v>
      </c>
      <c r="W1431">
        <v>0.14792439999999901</v>
      </c>
      <c r="X1431">
        <v>0.91323710000000002</v>
      </c>
      <c r="Y1431">
        <v>0.49900559999999999</v>
      </c>
      <c r="Z1431">
        <v>-1.3215920000000001E-2</v>
      </c>
      <c r="AA1431">
        <v>0.86649789999999904</v>
      </c>
      <c r="AB1431">
        <v>25</v>
      </c>
      <c r="AC1431">
        <v>15.931099999999899</v>
      </c>
      <c r="AD1431">
        <v>-1.1085927028560001</v>
      </c>
      <c r="AE1431">
        <v>-10.153499999999999</v>
      </c>
      <c r="AF1431">
        <v>9.47164604497077</v>
      </c>
      <c r="AG1431">
        <v>-1.1085927028560001</v>
      </c>
      <c r="AH1431">
        <v>16.270713357562599</v>
      </c>
      <c r="AI1431">
        <v>93.369900476215193</v>
      </c>
      <c r="AJ1431">
        <v>59.795095264204697</v>
      </c>
      <c r="AK1431">
        <v>18.859405339140501</v>
      </c>
      <c r="AL1431">
        <v>81.493338326768793</v>
      </c>
      <c r="AM1431">
        <v>67.427668292143096</v>
      </c>
      <c r="AN1431">
        <v>0.99999999217966495</v>
      </c>
    </row>
    <row r="1432" spans="1:40" x14ac:dyDescent="0.25">
      <c r="A1432" t="str">
        <f>"20190312164016585"</f>
        <v>20190312164016585</v>
      </c>
      <c r="B1432" t="str">
        <f>"1552380016577687"</f>
        <v>1552380016577687</v>
      </c>
      <c r="C1432" t="s">
        <v>40</v>
      </c>
      <c r="D1432">
        <v>6.0184160000000002</v>
      </c>
      <c r="E1432">
        <v>0.5622973</v>
      </c>
      <c r="F1432" t="s">
        <v>45</v>
      </c>
      <c r="G1432">
        <v>-196.91419999999999</v>
      </c>
      <c r="H1432" s="1">
        <v>-5.6910969999999997E-6</v>
      </c>
      <c r="I1432">
        <v>357.58069999999998</v>
      </c>
      <c r="J1432">
        <v>-212.76390000000001</v>
      </c>
      <c r="K1432">
        <v>1.108533</v>
      </c>
      <c r="L1432">
        <v>367.74270000000001</v>
      </c>
      <c r="M1432">
        <v>0.99903350000000002</v>
      </c>
      <c r="N1432">
        <v>0</v>
      </c>
      <c r="O1432">
        <v>-4.1707050000000002E-2</v>
      </c>
      <c r="P1432">
        <v>0.89807329999999996</v>
      </c>
      <c r="Q1432">
        <v>0.1369126</v>
      </c>
      <c r="R1432">
        <v>-0.41799439999999999</v>
      </c>
      <c r="S1432">
        <v>2.5992280000000001</v>
      </c>
      <c r="T1432">
        <v>-0.18038419999999999</v>
      </c>
      <c r="U1432">
        <v>-1.6545719999999999</v>
      </c>
      <c r="V1432">
        <v>0.3808781</v>
      </c>
      <c r="W1432">
        <v>0.14779800000000001</v>
      </c>
      <c r="X1432">
        <v>0.9127364</v>
      </c>
      <c r="Y1432">
        <v>0.50056029999999996</v>
      </c>
      <c r="Z1432">
        <v>-1.3242729999999999E-2</v>
      </c>
      <c r="AA1432">
        <v>0.86560040000000005</v>
      </c>
      <c r="AB1432">
        <v>25</v>
      </c>
      <c r="AC1432">
        <v>15.8497</v>
      </c>
      <c r="AD1432">
        <v>-1.1085386910969901</v>
      </c>
      <c r="AE1432">
        <v>-10.162000000000001</v>
      </c>
      <c r="AF1432">
        <v>9.4592562673211695</v>
      </c>
      <c r="AG1432">
        <v>-1.1085386910969901</v>
      </c>
      <c r="AH1432">
        <v>16.203601765395401</v>
      </c>
      <c r="AI1432">
        <v>93.381243617207801</v>
      </c>
      <c r="AJ1432">
        <v>59.724689145792503</v>
      </c>
      <c r="AK1432">
        <v>18.795294552946899</v>
      </c>
      <c r="AL1432">
        <v>81.500661548697593</v>
      </c>
      <c r="AM1432">
        <v>67.349586164447899</v>
      </c>
      <c r="AN1432">
        <v>1.0000000558742801</v>
      </c>
    </row>
    <row r="1433" spans="1:40" x14ac:dyDescent="0.25">
      <c r="A1433" t="str">
        <f>"20190312164016597"</f>
        <v>20190312164016597</v>
      </c>
      <c r="B1433" t="str">
        <f>"1552380016587447"</f>
        <v>1552380016587447</v>
      </c>
      <c r="C1433" t="s">
        <v>40</v>
      </c>
      <c r="D1433">
        <v>6.0246490000000001</v>
      </c>
      <c r="E1433">
        <v>0.56234839999999997</v>
      </c>
      <c r="F1433" t="s">
        <v>45</v>
      </c>
      <c r="G1433">
        <v>-196.86279999999999</v>
      </c>
      <c r="H1433" s="1">
        <v>-5.6728129999999999E-6</v>
      </c>
      <c r="I1433">
        <v>357.55</v>
      </c>
      <c r="J1433">
        <v>-212.62479999999999</v>
      </c>
      <c r="K1433">
        <v>1.1084719999999999</v>
      </c>
      <c r="L1433">
        <v>367.73509999999999</v>
      </c>
      <c r="M1433">
        <v>0.99896169999999995</v>
      </c>
      <c r="N1433">
        <v>0</v>
      </c>
      <c r="O1433">
        <v>-4.338881E-2</v>
      </c>
      <c r="P1433">
        <v>0.89673570000000002</v>
      </c>
      <c r="Q1433">
        <v>0.13690579999999999</v>
      </c>
      <c r="R1433">
        <v>-0.42085830000000002</v>
      </c>
      <c r="S1433">
        <v>2.5941160000000001</v>
      </c>
      <c r="T1433">
        <v>-0.18084800000000001</v>
      </c>
      <c r="U1433">
        <v>-1.6628419999999999</v>
      </c>
      <c r="V1433">
        <v>0.3822796</v>
      </c>
      <c r="W1433">
        <v>0.1477202</v>
      </c>
      <c r="X1433">
        <v>0.91216280000000005</v>
      </c>
      <c r="Y1433">
        <v>0.50183</v>
      </c>
      <c r="Z1433">
        <v>-1.322244E-2</v>
      </c>
      <c r="AA1433">
        <v>0.8648652</v>
      </c>
      <c r="AB1433">
        <v>25</v>
      </c>
      <c r="AC1433">
        <v>15.762</v>
      </c>
      <c r="AD1433">
        <v>-1.1084776728129999</v>
      </c>
      <c r="AE1433">
        <v>-10.185099999999901</v>
      </c>
      <c r="AF1433">
        <v>9.4585457856632402</v>
      </c>
      <c r="AG1433">
        <v>-1.1084776728129999</v>
      </c>
      <c r="AH1433">
        <v>16.132829056508399</v>
      </c>
      <c r="AI1433">
        <v>93.392141037669504</v>
      </c>
      <c r="AJ1433">
        <v>59.617252593428603</v>
      </c>
      <c r="AK1433">
        <v>18.733952719517902</v>
      </c>
      <c r="AL1433">
        <v>81.505167828299307</v>
      </c>
      <c r="AM1433">
        <v>67.261860571296907</v>
      </c>
      <c r="AN1433">
        <v>0.99999996188401896</v>
      </c>
    </row>
    <row r="1434" spans="1:40" x14ac:dyDescent="0.25">
      <c r="A1434" t="str">
        <f>"20190312164016608"</f>
        <v>20190312164016608</v>
      </c>
      <c r="B1434" t="str">
        <f>"1552380016597208"</f>
        <v>1552380016597208</v>
      </c>
      <c r="C1434" t="s">
        <v>40</v>
      </c>
      <c r="D1434">
        <v>5.8952619999999998</v>
      </c>
      <c r="E1434">
        <v>0.56235239999999997</v>
      </c>
      <c r="F1434" t="s">
        <v>45</v>
      </c>
      <c r="G1434">
        <v>-196.81270000000001</v>
      </c>
      <c r="H1434" s="1">
        <v>-5.6567460000000004E-6</v>
      </c>
      <c r="I1434">
        <v>357.52550000000002</v>
      </c>
      <c r="J1434">
        <v>-212.50290000000001</v>
      </c>
      <c r="K1434">
        <v>1.1084149999999999</v>
      </c>
      <c r="L1434">
        <v>367.72809999999998</v>
      </c>
      <c r="M1434">
        <v>0.99889320000000004</v>
      </c>
      <c r="N1434">
        <v>0</v>
      </c>
      <c r="O1434">
        <v>-4.4939220000000002E-2</v>
      </c>
      <c r="P1434">
        <v>0.89537679999999997</v>
      </c>
      <c r="Q1434">
        <v>0.13725519999999999</v>
      </c>
      <c r="R1434">
        <v>-0.42362909999999998</v>
      </c>
      <c r="S1434">
        <v>2.5886689999999999</v>
      </c>
      <c r="T1434">
        <v>-0.1814741</v>
      </c>
      <c r="U1434">
        <v>-1.67147799999999</v>
      </c>
      <c r="V1434">
        <v>0.38371139999999998</v>
      </c>
      <c r="W1434">
        <v>0.1480023</v>
      </c>
      <c r="X1434">
        <v>0.91151570000000004</v>
      </c>
      <c r="Y1434">
        <v>0.50334699999999999</v>
      </c>
      <c r="Z1434">
        <v>-1.3230759999999999E-2</v>
      </c>
      <c r="AA1434">
        <v>0.86398299999999995</v>
      </c>
      <c r="AB1434">
        <v>25</v>
      </c>
      <c r="AC1434">
        <v>15.690200000000001</v>
      </c>
      <c r="AD1434">
        <v>-1.108420656746</v>
      </c>
      <c r="AE1434">
        <v>-10.202599999999901</v>
      </c>
      <c r="AF1434">
        <v>9.4539573132278001</v>
      </c>
      <c r="AG1434">
        <v>-1.108420656746</v>
      </c>
      <c r="AH1434">
        <v>16.0764980322197</v>
      </c>
      <c r="AI1434">
        <v>93.401202482017794</v>
      </c>
      <c r="AJ1434">
        <v>59.5418858982706</v>
      </c>
      <c r="AK1434">
        <v>18.6831393029276</v>
      </c>
      <c r="AL1434">
        <v>81.488825336965903</v>
      </c>
      <c r="AM1434">
        <v>67.1708674375285</v>
      </c>
      <c r="AN1434">
        <v>0.99999999532087003</v>
      </c>
    </row>
    <row r="1435" spans="1:40" x14ac:dyDescent="0.25">
      <c r="A1435" t="str">
        <f>"20190312164016620"</f>
        <v>20190312164016620</v>
      </c>
      <c r="B1435" t="str">
        <f>"1552380016617703"</f>
        <v>1552380016617703</v>
      </c>
      <c r="C1435" t="s">
        <v>40</v>
      </c>
      <c r="D1435">
        <v>6.0556219999999996</v>
      </c>
      <c r="E1435">
        <v>0.56252669999999905</v>
      </c>
      <c r="F1435" t="s">
        <v>45</v>
      </c>
      <c r="G1435">
        <v>-196.64949999999999</v>
      </c>
      <c r="H1435" s="1">
        <v>-5.597287E-6</v>
      </c>
      <c r="I1435">
        <v>357.42399999999998</v>
      </c>
      <c r="J1435">
        <v>-212.37440000000001</v>
      </c>
      <c r="K1435">
        <v>1.1083559999999999</v>
      </c>
      <c r="L1435">
        <v>367.72059999999999</v>
      </c>
      <c r="M1435">
        <v>0.99881710000000001</v>
      </c>
      <c r="N1435">
        <v>0</v>
      </c>
      <c r="O1435">
        <v>-4.6597020000000003E-2</v>
      </c>
      <c r="P1435">
        <v>0.89401719999999896</v>
      </c>
      <c r="Q1435">
        <v>0.1374186</v>
      </c>
      <c r="R1435">
        <v>-0.42643819999999999</v>
      </c>
      <c r="S1435">
        <v>2.5836939999999999</v>
      </c>
      <c r="T1435">
        <v>-0.1806442</v>
      </c>
      <c r="U1435">
        <v>-1.6793209999999901</v>
      </c>
      <c r="V1435">
        <v>0.38508700000000001</v>
      </c>
      <c r="W1435">
        <v>0.14809559999999999</v>
      </c>
      <c r="X1435">
        <v>0.91092030000000002</v>
      </c>
      <c r="Y1435">
        <v>0.50452439999999998</v>
      </c>
      <c r="Z1435">
        <v>-1.311443E-2</v>
      </c>
      <c r="AA1435">
        <v>0.86329789999999995</v>
      </c>
      <c r="AB1435">
        <v>25</v>
      </c>
      <c r="AC1435">
        <v>15.7249</v>
      </c>
      <c r="AD1435">
        <v>-1.10836159728699</v>
      </c>
      <c r="AE1435">
        <v>-10.2965999999999</v>
      </c>
      <c r="AF1435">
        <v>9.5195079592253702</v>
      </c>
      <c r="AG1435">
        <v>-1.10836159728699</v>
      </c>
      <c r="AH1435">
        <v>16.131560513346098</v>
      </c>
      <c r="AI1435">
        <v>93.386400458805994</v>
      </c>
      <c r="AJ1435">
        <v>59.454423131078599</v>
      </c>
      <c r="AK1435">
        <v>18.763708103992698</v>
      </c>
      <c r="AL1435">
        <v>81.483420532294502</v>
      </c>
      <c r="AM1435">
        <v>67.084032125377703</v>
      </c>
      <c r="AN1435">
        <v>1.0000000486302201</v>
      </c>
    </row>
    <row r="1436" spans="1:40" x14ac:dyDescent="0.25">
      <c r="A1436" t="str">
        <f>"20190312164016634"</f>
        <v>20190312164016634</v>
      </c>
      <c r="B1436" t="str">
        <f>"1552380016627462"</f>
        <v>1552380016627462</v>
      </c>
      <c r="C1436" t="s">
        <v>40</v>
      </c>
      <c r="D1436">
        <v>5.9066519999999896</v>
      </c>
      <c r="E1436">
        <v>0.56261430000000001</v>
      </c>
      <c r="F1436" t="s">
        <v>45</v>
      </c>
      <c r="G1436">
        <v>-196.68780000000001</v>
      </c>
      <c r="H1436" s="1">
        <v>-5.6114070000000002E-6</v>
      </c>
      <c r="I1436">
        <v>357.44830000000002</v>
      </c>
      <c r="J1436">
        <v>-212.22499999999999</v>
      </c>
      <c r="K1436">
        <v>1.1082730000000001</v>
      </c>
      <c r="L1436">
        <v>367.7115</v>
      </c>
      <c r="M1436">
        <v>0.99872119999999998</v>
      </c>
      <c r="N1436">
        <v>0</v>
      </c>
      <c r="O1436">
        <v>-4.8610630000000002E-2</v>
      </c>
      <c r="P1436">
        <v>0.89257940000000002</v>
      </c>
      <c r="Q1436">
        <v>0.13744310000000001</v>
      </c>
      <c r="R1436">
        <v>-0.42943189999999998</v>
      </c>
      <c r="S1436">
        <v>2.5782780000000001</v>
      </c>
      <c r="T1436">
        <v>-0.18217240000000001</v>
      </c>
      <c r="U1436">
        <v>-1.68838499999999</v>
      </c>
      <c r="V1436">
        <v>0.38633279999999998</v>
      </c>
      <c r="W1436">
        <v>0.148039</v>
      </c>
      <c r="X1436">
        <v>0.91040180000000004</v>
      </c>
      <c r="Y1436">
        <v>0.50572720000000004</v>
      </c>
      <c r="Z1436">
        <v>-1.31471E-2</v>
      </c>
      <c r="AA1436">
        <v>0.86259330000000001</v>
      </c>
      <c r="AB1436">
        <v>25</v>
      </c>
      <c r="AC1436">
        <v>15.537199999999901</v>
      </c>
      <c r="AD1436">
        <v>-1.108278611407</v>
      </c>
      <c r="AE1436">
        <v>-10.2631999999999</v>
      </c>
      <c r="AF1436">
        <v>9.4621997617526095</v>
      </c>
      <c r="AG1436">
        <v>-1.108278611407</v>
      </c>
      <c r="AH1436">
        <v>15.9612362482085</v>
      </c>
      <c r="AI1436">
        <v>93.418149231264806</v>
      </c>
      <c r="AJ1436">
        <v>59.3395313173638</v>
      </c>
      <c r="AK1436">
        <v>18.58823736622</v>
      </c>
      <c r="AL1436">
        <v>81.486699266289307</v>
      </c>
      <c r="AM1436">
        <v>67.005857443883897</v>
      </c>
      <c r="AN1436">
        <v>1.0000000076600399</v>
      </c>
    </row>
    <row r="1437" spans="1:40" x14ac:dyDescent="0.25">
      <c r="A1437" t="str">
        <f>"20190312164016650"</f>
        <v>20190312164016650</v>
      </c>
      <c r="B1437" t="str">
        <f>"1552380016637223"</f>
        <v>1552380016637223</v>
      </c>
      <c r="C1437" t="s">
        <v>40</v>
      </c>
      <c r="D1437">
        <v>5.6423430000000003</v>
      </c>
      <c r="E1437">
        <v>0.56267080000000003</v>
      </c>
      <c r="F1437" t="s">
        <v>45</v>
      </c>
      <c r="G1437">
        <v>-196.6576</v>
      </c>
      <c r="H1437" s="1">
        <v>-5.6032039999999899E-6</v>
      </c>
      <c r="I1437">
        <v>357.43790000000001</v>
      </c>
      <c r="J1437">
        <v>-212.05199999999999</v>
      </c>
      <c r="K1437">
        <v>1.108187</v>
      </c>
      <c r="L1437">
        <v>367.70049999999998</v>
      </c>
      <c r="M1437">
        <v>0.99860040000000005</v>
      </c>
      <c r="N1437">
        <v>0</v>
      </c>
      <c r="O1437">
        <v>-5.1027940000000001E-2</v>
      </c>
      <c r="P1437">
        <v>0.8901888</v>
      </c>
      <c r="Q1437">
        <v>0.1378046</v>
      </c>
      <c r="R1437">
        <v>-0.43425039999999998</v>
      </c>
      <c r="S1437">
        <v>2.5724640000000001</v>
      </c>
      <c r="T1437">
        <v>-0.18313960000000001</v>
      </c>
      <c r="U1437">
        <v>-1.6976929999999999</v>
      </c>
      <c r="V1437">
        <v>0.38909090000000002</v>
      </c>
      <c r="W1437">
        <v>0.14829039999999999</v>
      </c>
      <c r="X1437">
        <v>0.90918549999999998</v>
      </c>
      <c r="Y1437">
        <v>0.50670369999999998</v>
      </c>
      <c r="Z1437">
        <v>-1.310626E-2</v>
      </c>
      <c r="AA1437">
        <v>0.86202069999999997</v>
      </c>
      <c r="AB1437">
        <v>25</v>
      </c>
      <c r="AC1437">
        <v>15.394399999999999</v>
      </c>
      <c r="AD1437">
        <v>-1.1081926032039999</v>
      </c>
      <c r="AE1437">
        <v>-10.2625999999999</v>
      </c>
      <c r="AF1437">
        <v>9.4297761264367495</v>
      </c>
      <c r="AG1437">
        <v>-1.1081926032039999</v>
      </c>
      <c r="AH1437">
        <v>15.841237503759499</v>
      </c>
      <c r="AI1437">
        <v>93.4400286896079</v>
      </c>
      <c r="AJ1437">
        <v>59.236030384413397</v>
      </c>
      <c r="AK1437">
        <v>18.468718804806901</v>
      </c>
      <c r="AL1437">
        <v>81.4721344758388</v>
      </c>
      <c r="AM1437">
        <v>66.831232067669603</v>
      </c>
      <c r="AN1437">
        <v>1.0000000223026</v>
      </c>
    </row>
    <row r="1438" spans="1:40" x14ac:dyDescent="0.25">
      <c r="A1438" t="str">
        <f>"20190312164016674"</f>
        <v>20190312164016674</v>
      </c>
      <c r="B1438" t="str">
        <f>"1552380016667479"</f>
        <v>1552380016667479</v>
      </c>
      <c r="C1438" t="s">
        <v>40</v>
      </c>
      <c r="D1438">
        <v>6.0100550000000004</v>
      </c>
      <c r="E1438">
        <v>0.562936199999999</v>
      </c>
      <c r="F1438" t="s">
        <v>45</v>
      </c>
      <c r="G1438">
        <v>-196.489</v>
      </c>
      <c r="H1438" s="1">
        <v>-5.5336609999999899E-6</v>
      </c>
      <c r="I1438">
        <v>357.30880000000002</v>
      </c>
      <c r="J1438">
        <v>-211.78319999999999</v>
      </c>
      <c r="K1438">
        <v>1.108055</v>
      </c>
      <c r="L1438">
        <v>367.6823</v>
      </c>
      <c r="M1438">
        <v>0.99839219999999895</v>
      </c>
      <c r="N1438">
        <v>0</v>
      </c>
      <c r="O1438">
        <v>-5.4949629999999999E-2</v>
      </c>
      <c r="P1438">
        <v>0.88693539999999904</v>
      </c>
      <c r="Q1438">
        <v>0.1384466</v>
      </c>
      <c r="R1438">
        <v>-0.44065650000000001</v>
      </c>
      <c r="S1438">
        <v>2.5633699999999999</v>
      </c>
      <c r="T1438">
        <v>-0.18252940000000001</v>
      </c>
      <c r="U1438">
        <v>-1.7116089999999999</v>
      </c>
      <c r="V1438">
        <v>0.39213629999999999</v>
      </c>
      <c r="W1438">
        <v>0.1487752</v>
      </c>
      <c r="X1438">
        <v>0.90779679999999996</v>
      </c>
      <c r="Y1438">
        <v>0.50797669999999995</v>
      </c>
      <c r="Z1438">
        <v>-1.2873590000000001E-2</v>
      </c>
      <c r="AA1438">
        <v>0.861274599999999</v>
      </c>
      <c r="AB1438">
        <v>24</v>
      </c>
      <c r="AC1438">
        <v>15.294199999999901</v>
      </c>
      <c r="AD1438">
        <v>-1.1080605336609901</v>
      </c>
      <c r="AE1438">
        <v>-10.3734999999999</v>
      </c>
      <c r="AF1438">
        <v>9.4832389789254297</v>
      </c>
      <c r="AG1438">
        <v>-1.1080605336609901</v>
      </c>
      <c r="AH1438">
        <v>15.784416902826999</v>
      </c>
      <c r="AI1438">
        <v>93.443593620015605</v>
      </c>
      <c r="AJ1438">
        <v>59.002655172403799</v>
      </c>
      <c r="AK1438">
        <v>18.447423577289001</v>
      </c>
      <c r="AL1438">
        <v>81.444045579168403</v>
      </c>
      <c r="AM1438">
        <v>66.637353207111701</v>
      </c>
      <c r="AN1438">
        <v>0.99999998400148404</v>
      </c>
    </row>
    <row r="1439" spans="1:40" x14ac:dyDescent="0.25">
      <c r="A1439" t="str">
        <f>"20190312164016687"</f>
        <v>20190312164016687</v>
      </c>
      <c r="B1439" t="str">
        <f>"1552380016677239"</f>
        <v>1552380016677239</v>
      </c>
      <c r="C1439" t="s">
        <v>40</v>
      </c>
      <c r="D1439">
        <v>5.7635350000000001</v>
      </c>
      <c r="E1439">
        <v>0.56294759999999999</v>
      </c>
      <c r="F1439" t="s">
        <v>45</v>
      </c>
      <c r="G1439">
        <v>-196.3133</v>
      </c>
      <c r="H1439" s="1">
        <v>-5.4640859999999999E-6</v>
      </c>
      <c r="I1439">
        <v>357.18290000000002</v>
      </c>
      <c r="J1439">
        <v>-211.64590000000001</v>
      </c>
      <c r="K1439">
        <v>1.10799</v>
      </c>
      <c r="L1439">
        <v>367.67250000000001</v>
      </c>
      <c r="M1439">
        <v>0.99827460000000001</v>
      </c>
      <c r="N1439">
        <v>0</v>
      </c>
      <c r="O1439">
        <v>-5.7044030000000003E-2</v>
      </c>
      <c r="P1439">
        <v>0.8852624</v>
      </c>
      <c r="Q1439">
        <v>0.1386791</v>
      </c>
      <c r="R1439">
        <v>-0.44393529999999998</v>
      </c>
      <c r="S1439">
        <v>2.550827</v>
      </c>
      <c r="T1439">
        <v>-0.1827068</v>
      </c>
      <c r="U1439">
        <v>-1.7312320000000001</v>
      </c>
      <c r="V1439">
        <v>0.39362059999999999</v>
      </c>
      <c r="W1439">
        <v>0.14893029999999999</v>
      </c>
      <c r="X1439">
        <v>0.90712879999999996</v>
      </c>
      <c r="Y1439">
        <v>0.51266009999999995</v>
      </c>
      <c r="Z1439">
        <v>-1.293099E-2</v>
      </c>
      <c r="AA1439">
        <v>0.85849430000000004</v>
      </c>
      <c r="AB1439">
        <v>24</v>
      </c>
      <c r="AC1439">
        <v>15.332599999999999</v>
      </c>
      <c r="AD1439">
        <v>-1.1079954640859999</v>
      </c>
      <c r="AE1439">
        <v>-10.4895999999999</v>
      </c>
      <c r="AF1439">
        <v>9.5637779825490501</v>
      </c>
      <c r="AG1439">
        <v>-1.1079954640859999</v>
      </c>
      <c r="AH1439">
        <v>15.8496754795726</v>
      </c>
      <c r="AI1439">
        <v>93.425308111429302</v>
      </c>
      <c r="AJ1439">
        <v>58.892996782365401</v>
      </c>
      <c r="AK1439">
        <v>18.544695092011899</v>
      </c>
      <c r="AL1439">
        <v>81.435059329712104</v>
      </c>
      <c r="AM1439">
        <v>66.543052487002697</v>
      </c>
      <c r="AN1439">
        <v>1.00000003539594</v>
      </c>
    </row>
    <row r="1440" spans="1:40" x14ac:dyDescent="0.25">
      <c r="A1440" t="str">
        <f>"20190312164016698"</f>
        <v>20190312164016698</v>
      </c>
      <c r="B1440" t="str">
        <f>"1552380016687976"</f>
        <v>1552380016687976</v>
      </c>
      <c r="C1440" t="s">
        <v>40</v>
      </c>
      <c r="D1440">
        <v>5.8708039999999997</v>
      </c>
      <c r="E1440">
        <v>0.56305179999999999</v>
      </c>
      <c r="F1440" t="s">
        <v>45</v>
      </c>
      <c r="G1440">
        <v>-196.15610000000001</v>
      </c>
      <c r="H1440" s="1">
        <v>-5.4030099999999996E-6</v>
      </c>
      <c r="I1440">
        <v>357.07380000000001</v>
      </c>
      <c r="J1440">
        <v>-211.5146</v>
      </c>
      <c r="K1440">
        <v>1.1079369999999999</v>
      </c>
      <c r="L1440">
        <v>367.66289999999998</v>
      </c>
      <c r="M1440">
        <v>0.99815640000000005</v>
      </c>
      <c r="N1440">
        <v>0</v>
      </c>
      <c r="O1440">
        <v>-5.9077289999999998E-2</v>
      </c>
      <c r="P1440">
        <v>0.8836659</v>
      </c>
      <c r="Q1440">
        <v>0.13886109999999999</v>
      </c>
      <c r="R1440">
        <v>-0.44704880000000002</v>
      </c>
      <c r="S1440">
        <v>2.5443120000000001</v>
      </c>
      <c r="T1440">
        <v>-0.18199609999999999</v>
      </c>
      <c r="U1440">
        <v>-1.7409060000000001</v>
      </c>
      <c r="V1440">
        <v>0.39499339999999999</v>
      </c>
      <c r="W1440">
        <v>0.1490406</v>
      </c>
      <c r="X1440">
        <v>0.90651369999999998</v>
      </c>
      <c r="Y1440">
        <v>0.51416530000000005</v>
      </c>
      <c r="Z1440">
        <v>-1.2814209999999999E-2</v>
      </c>
      <c r="AA1440">
        <v>0.85759540000000001</v>
      </c>
      <c r="AB1440">
        <v>24</v>
      </c>
      <c r="AC1440">
        <v>15.3584999999999</v>
      </c>
      <c r="AD1440">
        <v>-1.10794240301</v>
      </c>
      <c r="AE1440">
        <v>-10.589099999999901</v>
      </c>
      <c r="AF1440">
        <v>9.6292102967818192</v>
      </c>
      <c r="AG1440">
        <v>-1.10794240301</v>
      </c>
      <c r="AH1440">
        <v>15.901217756518299</v>
      </c>
      <c r="AI1440">
        <v>93.410814444496197</v>
      </c>
      <c r="AJ1440">
        <v>58.802397725946101</v>
      </c>
      <c r="AK1440">
        <v>18.622512006929998</v>
      </c>
      <c r="AL1440">
        <v>81.428667862829499</v>
      </c>
      <c r="AM1440">
        <v>66.455894817709904</v>
      </c>
      <c r="AN1440">
        <v>0.999999987389804</v>
      </c>
    </row>
    <row r="1441" spans="1:40" x14ac:dyDescent="0.25">
      <c r="A1441" t="str">
        <f>"20190312164016711"</f>
        <v>20190312164016711</v>
      </c>
      <c r="B1441" t="str">
        <f>"1552380016707495"</f>
        <v>1552380016707495</v>
      </c>
      <c r="C1441" t="s">
        <v>40</v>
      </c>
      <c r="D1441">
        <v>5.5522530000000003</v>
      </c>
      <c r="E1441">
        <v>0.56308459999999905</v>
      </c>
      <c r="F1441" t="s">
        <v>45</v>
      </c>
      <c r="G1441">
        <v>-196.09479999999999</v>
      </c>
      <c r="H1441" s="1">
        <v>-5.377968E-6</v>
      </c>
      <c r="I1441">
        <v>357.02760000000001</v>
      </c>
      <c r="J1441">
        <v>-211.3742</v>
      </c>
      <c r="K1441">
        <v>1.1078779999999999</v>
      </c>
      <c r="L1441">
        <v>367.65210000000002</v>
      </c>
      <c r="M1441">
        <v>0.99802020000000002</v>
      </c>
      <c r="N1441">
        <v>0</v>
      </c>
      <c r="O1441">
        <v>-6.1333470000000001E-2</v>
      </c>
      <c r="P1441">
        <v>0.88180890000000001</v>
      </c>
      <c r="Q1441">
        <v>0.13935210000000001</v>
      </c>
      <c r="R1441">
        <v>-0.45054919999999998</v>
      </c>
      <c r="S1441">
        <v>2.5380250000000002</v>
      </c>
      <c r="T1441">
        <v>-0.18236169999999999</v>
      </c>
      <c r="U1441">
        <v>-1.7505189999999999</v>
      </c>
      <c r="V1441">
        <v>0.39657120000000001</v>
      </c>
      <c r="W1441">
        <v>0.14945600000000001</v>
      </c>
      <c r="X1441">
        <v>0.90575620000000001</v>
      </c>
      <c r="Y1441">
        <v>0.51541879999999995</v>
      </c>
      <c r="Z1441">
        <v>-1.2749679999999999E-2</v>
      </c>
      <c r="AA1441">
        <v>0.85684359999999904</v>
      </c>
      <c r="AB1441">
        <v>24</v>
      </c>
      <c r="AC1441">
        <v>15.279400000000001</v>
      </c>
      <c r="AD1441">
        <v>-1.107883377968</v>
      </c>
      <c r="AE1441">
        <v>-10.624499999999999</v>
      </c>
      <c r="AF1441">
        <v>9.6331250731060507</v>
      </c>
      <c r="AG1441">
        <v>-1.107883377968</v>
      </c>
      <c r="AH1441">
        <v>15.8461712382668</v>
      </c>
      <c r="AI1441">
        <v>93.418895441939696</v>
      </c>
      <c r="AJ1441">
        <v>58.703954823379803</v>
      </c>
      <c r="AK1441">
        <v>18.577557621112501</v>
      </c>
      <c r="AL1441">
        <v>81.4045981727227</v>
      </c>
      <c r="AM1441">
        <v>66.354543840351795</v>
      </c>
      <c r="AN1441">
        <v>1.00000005322193</v>
      </c>
    </row>
    <row r="1442" spans="1:40" x14ac:dyDescent="0.25">
      <c r="A1442" t="str">
        <f>"20190312164016723"</f>
        <v>20190312164016723</v>
      </c>
      <c r="B1442" t="str">
        <f>"1552380016717255"</f>
        <v>1552380016717255</v>
      </c>
      <c r="C1442" t="s">
        <v>40</v>
      </c>
      <c r="D1442">
        <v>5.3527050000000003</v>
      </c>
      <c r="E1442">
        <v>0.56309219999999904</v>
      </c>
      <c r="F1442" t="s">
        <v>45</v>
      </c>
      <c r="G1442">
        <v>-195.88679999999999</v>
      </c>
      <c r="H1442" s="1">
        <v>-5.2954329999999996E-6</v>
      </c>
      <c r="I1442">
        <v>356.87810000000002</v>
      </c>
      <c r="J1442">
        <v>-211.2492</v>
      </c>
      <c r="K1442">
        <v>1.107826</v>
      </c>
      <c r="L1442">
        <v>367.6422</v>
      </c>
      <c r="M1442">
        <v>0.99789289999999997</v>
      </c>
      <c r="N1442">
        <v>0</v>
      </c>
      <c r="O1442">
        <v>-6.3370940000000001E-2</v>
      </c>
      <c r="P1442">
        <v>0.88021939999999999</v>
      </c>
      <c r="Q1442">
        <v>0.1395972</v>
      </c>
      <c r="R1442">
        <v>-0.453571</v>
      </c>
      <c r="S1442">
        <v>2.5310670000000002</v>
      </c>
      <c r="T1442">
        <v>-0.18105889999999999</v>
      </c>
      <c r="U1442">
        <v>-1.7607729999999999</v>
      </c>
      <c r="V1442">
        <v>0.39785389999999998</v>
      </c>
      <c r="W1442">
        <v>0.14963799999999999</v>
      </c>
      <c r="X1442">
        <v>0.90516339999999995</v>
      </c>
      <c r="Y1442">
        <v>0.51712349999999996</v>
      </c>
      <c r="Z1442">
        <v>-1.259938E-2</v>
      </c>
      <c r="AA1442">
        <v>0.85581810000000003</v>
      </c>
      <c r="AB1442">
        <v>24</v>
      </c>
      <c r="AC1442">
        <v>15.362399999999999</v>
      </c>
      <c r="AD1442">
        <v>-1.1078312954330001</v>
      </c>
      <c r="AE1442">
        <v>-10.7640999999999</v>
      </c>
      <c r="AF1442">
        <v>9.73488184223147</v>
      </c>
      <c r="AG1442">
        <v>-1.1078312954330001</v>
      </c>
      <c r="AH1442">
        <v>15.958053149478101</v>
      </c>
      <c r="AI1442">
        <v>93.391642816167803</v>
      </c>
      <c r="AJ1442">
        <v>58.615580617083701</v>
      </c>
      <c r="AK1442">
        <v>18.725775684412099</v>
      </c>
      <c r="AL1442">
        <v>81.394051443807001</v>
      </c>
      <c r="AM1442">
        <v>66.272676384414694</v>
      </c>
      <c r="AN1442">
        <v>1.00000001874438</v>
      </c>
    </row>
    <row r="1443" spans="1:40" x14ac:dyDescent="0.25">
      <c r="A1443" t="str">
        <f>"20190312164016739"</f>
        <v>20190312164016739</v>
      </c>
      <c r="B1443" t="str">
        <f>"1552380016727991"</f>
        <v>1552380016727991</v>
      </c>
      <c r="C1443" t="s">
        <v>40</v>
      </c>
      <c r="D1443">
        <v>5.6066149999999997</v>
      </c>
      <c r="E1443">
        <v>0.56322550000000005</v>
      </c>
      <c r="F1443" t="s">
        <v>45</v>
      </c>
      <c r="G1443">
        <v>-195.7739</v>
      </c>
      <c r="H1443" s="1">
        <v>-5.2534579999999999E-6</v>
      </c>
      <c r="I1443">
        <v>356.80540000000002</v>
      </c>
      <c r="J1443">
        <v>-211.07509999999999</v>
      </c>
      <c r="K1443">
        <v>1.107766</v>
      </c>
      <c r="L1443">
        <v>367.62810000000002</v>
      </c>
      <c r="M1443">
        <v>0.99770440000000005</v>
      </c>
      <c r="N1443">
        <v>0</v>
      </c>
      <c r="O1443">
        <v>-6.6271860000000002E-2</v>
      </c>
      <c r="P1443">
        <v>0.87736190000000003</v>
      </c>
      <c r="Q1443">
        <v>0.13956540000000001</v>
      </c>
      <c r="R1443">
        <v>-0.45908320000000002</v>
      </c>
      <c r="S1443">
        <v>2.5255890000000001</v>
      </c>
      <c r="T1443">
        <v>-0.18079909999999999</v>
      </c>
      <c r="U1443">
        <v>-1.7685850000000001</v>
      </c>
      <c r="V1443">
        <v>0.40092840000000002</v>
      </c>
      <c r="W1443">
        <v>0.1495069</v>
      </c>
      <c r="X1443">
        <v>0.90382750000000001</v>
      </c>
      <c r="Y1443">
        <v>0.51729099999999995</v>
      </c>
      <c r="Z1443">
        <v>-1.241447E-2</v>
      </c>
      <c r="AA1443">
        <v>0.85571960000000002</v>
      </c>
      <c r="AB1443">
        <v>24</v>
      </c>
      <c r="AC1443">
        <v>15.3011999999999</v>
      </c>
      <c r="AD1443">
        <v>-1.107771253458</v>
      </c>
      <c r="AE1443">
        <v>-10.8226999999999</v>
      </c>
      <c r="AF1443">
        <v>9.7507003003654198</v>
      </c>
      <c r="AG1443">
        <v>-1.107771253458</v>
      </c>
      <c r="AH1443">
        <v>15.9292149228898</v>
      </c>
      <c r="AI1443">
        <v>93.394423143782404</v>
      </c>
      <c r="AJ1443">
        <v>58.528080102217999</v>
      </c>
      <c r="AK1443">
        <v>18.709441508424302</v>
      </c>
      <c r="AL1443">
        <v>81.401648411859796</v>
      </c>
      <c r="AM1443">
        <v>66.078428165446198</v>
      </c>
      <c r="AN1443">
        <v>1.0000000224151999</v>
      </c>
    </row>
    <row r="1444" spans="1:40" x14ac:dyDescent="0.25">
      <c r="A1444" t="str">
        <f>"20190312164016751"</f>
        <v>20190312164016751</v>
      </c>
      <c r="B1444" t="str">
        <f>"1552380016747512"</f>
        <v>1552380016747512</v>
      </c>
      <c r="C1444" t="s">
        <v>40</v>
      </c>
      <c r="D1444">
        <v>5.9378919999999997</v>
      </c>
      <c r="E1444">
        <v>0.56331719999999996</v>
      </c>
      <c r="F1444" t="s">
        <v>45</v>
      </c>
      <c r="G1444">
        <v>-195.81139999999999</v>
      </c>
      <c r="H1444" s="1">
        <v>-5.2564639999999901E-6</v>
      </c>
      <c r="I1444">
        <v>356.79689999999999</v>
      </c>
      <c r="J1444">
        <v>-210.93459999999999</v>
      </c>
      <c r="K1444">
        <v>1.1077170000000001</v>
      </c>
      <c r="L1444">
        <v>367.61610000000002</v>
      </c>
      <c r="M1444">
        <v>0.99754109999999996</v>
      </c>
      <c r="N1444">
        <v>0</v>
      </c>
      <c r="O1444">
        <v>-6.8683969999999997E-2</v>
      </c>
      <c r="P1444">
        <v>0.87557609999999997</v>
      </c>
      <c r="Q1444">
        <v>0.1394995</v>
      </c>
      <c r="R1444">
        <v>-0.46250029999999998</v>
      </c>
      <c r="S1444">
        <v>2.5146639999999998</v>
      </c>
      <c r="T1444">
        <v>-0.18250330000000001</v>
      </c>
      <c r="U1444">
        <v>-1.784424</v>
      </c>
      <c r="V1444">
        <v>0.40228619999999998</v>
      </c>
      <c r="W1444">
        <v>0.14937819999999999</v>
      </c>
      <c r="X1444">
        <v>0.90324519999999997</v>
      </c>
      <c r="Y1444">
        <v>0.52054100000000003</v>
      </c>
      <c r="Z1444">
        <v>-1.2506150000000001E-2</v>
      </c>
      <c r="AA1444">
        <v>0.85374499999999998</v>
      </c>
      <c r="AB1444">
        <v>24</v>
      </c>
      <c r="AC1444">
        <v>15.123199999999899</v>
      </c>
      <c r="AD1444">
        <v>-1.1077222564639999</v>
      </c>
      <c r="AE1444">
        <v>-10.8192</v>
      </c>
      <c r="AF1444">
        <v>9.7203275065660399</v>
      </c>
      <c r="AG1444">
        <v>-1.1077222564639999</v>
      </c>
      <c r="AH1444">
        <v>15.774676062877001</v>
      </c>
      <c r="AI1444">
        <v>93.421244398093094</v>
      </c>
      <c r="AJ1444">
        <v>58.358697831870899</v>
      </c>
      <c r="AK1444">
        <v>18.562117883503301</v>
      </c>
      <c r="AL1444">
        <v>81.409105605533597</v>
      </c>
      <c r="AM1444">
        <v>65.992825705457307</v>
      </c>
      <c r="AN1444">
        <v>0.99999996233435895</v>
      </c>
    </row>
    <row r="1445" spans="1:40" x14ac:dyDescent="0.25">
      <c r="A1445" t="str">
        <f>"20190312164016763"</f>
        <v>20190312164016763</v>
      </c>
      <c r="B1445" t="str">
        <f>"1552380016757272"</f>
        <v>1552380016757272</v>
      </c>
      <c r="C1445" t="s">
        <v>40</v>
      </c>
      <c r="D1445">
        <v>5.295242</v>
      </c>
      <c r="E1445">
        <v>0.56337360000000003</v>
      </c>
      <c r="F1445" t="s">
        <v>45</v>
      </c>
      <c r="G1445">
        <v>-195.85290000000001</v>
      </c>
      <c r="H1445" s="1">
        <v>-5.2700950000000002E-6</v>
      </c>
      <c r="I1445">
        <v>356.81819999999999</v>
      </c>
      <c r="J1445">
        <v>-210.81389999999999</v>
      </c>
      <c r="K1445">
        <v>1.1076760000000001</v>
      </c>
      <c r="L1445">
        <v>367.60559999999998</v>
      </c>
      <c r="M1445">
        <v>0.99739440000000001</v>
      </c>
      <c r="N1445">
        <v>0</v>
      </c>
      <c r="O1445">
        <v>-7.0783559999999995E-2</v>
      </c>
      <c r="P1445">
        <v>0.87392559999999997</v>
      </c>
      <c r="Q1445">
        <v>0.1389408</v>
      </c>
      <c r="R1445">
        <v>-0.46577869999999999</v>
      </c>
      <c r="S1445">
        <v>2.5074010000000002</v>
      </c>
      <c r="T1445">
        <v>-0.18416399999999999</v>
      </c>
      <c r="U1445">
        <v>-1.7951969999999999</v>
      </c>
      <c r="V1445">
        <v>0.40377809999999997</v>
      </c>
      <c r="W1445">
        <v>0.14876329999999999</v>
      </c>
      <c r="X1445">
        <v>0.90268079999999995</v>
      </c>
      <c r="Y1445">
        <v>0.52232469999999998</v>
      </c>
      <c r="Z1445">
        <v>-1.2557799999999999E-2</v>
      </c>
      <c r="AA1445">
        <v>0.85265419999999903</v>
      </c>
      <c r="AB1445">
        <v>24</v>
      </c>
      <c r="AC1445">
        <v>14.960999999999901</v>
      </c>
      <c r="AD1445">
        <v>-1.1076812700950001</v>
      </c>
      <c r="AE1445">
        <v>-10.7873999999999</v>
      </c>
      <c r="AF1445">
        <v>9.6663784571979594</v>
      </c>
      <c r="AG1445">
        <v>-1.1076812700950001</v>
      </c>
      <c r="AH1445">
        <v>15.6307371391598</v>
      </c>
      <c r="AI1445">
        <v>93.449125879176094</v>
      </c>
      <c r="AJ1445">
        <v>58.266476757427903</v>
      </c>
      <c r="AK1445">
        <v>18.411566304565401</v>
      </c>
      <c r="AL1445">
        <v>81.444734779266398</v>
      </c>
      <c r="AM1445">
        <v>65.900557210459795</v>
      </c>
      <c r="AN1445">
        <v>0.99999995007756803</v>
      </c>
    </row>
    <row r="1446" spans="1:40" x14ac:dyDescent="0.25">
      <c r="A1446" t="str">
        <f>"20190312164016773"</f>
        <v>20190312164016773</v>
      </c>
      <c r="B1446" t="str">
        <f>"1552380016768008"</f>
        <v>1552380016768008</v>
      </c>
      <c r="C1446" t="s">
        <v>40</v>
      </c>
      <c r="D1446">
        <v>5.6094759999999999</v>
      </c>
      <c r="E1446">
        <v>0.56346779999999996</v>
      </c>
      <c r="F1446" t="s">
        <v>45</v>
      </c>
      <c r="G1446">
        <v>-195.94649999999999</v>
      </c>
      <c r="H1446" s="1">
        <v>-5.304448E-6</v>
      </c>
      <c r="I1446">
        <v>356.87720000000002</v>
      </c>
      <c r="J1446">
        <v>-210.69159999999999</v>
      </c>
      <c r="K1446">
        <v>1.1076349999999999</v>
      </c>
      <c r="L1446">
        <v>367.59460000000001</v>
      </c>
      <c r="M1446">
        <v>0.99723859999999998</v>
      </c>
      <c r="N1446">
        <v>0</v>
      </c>
      <c r="O1446">
        <v>-7.2942469999999995E-2</v>
      </c>
      <c r="P1446">
        <v>0.87219199999999997</v>
      </c>
      <c r="Q1446">
        <v>0.1385507</v>
      </c>
      <c r="R1446">
        <v>-0.4691321</v>
      </c>
      <c r="S1446">
        <v>2.5006870000000001</v>
      </c>
      <c r="T1446">
        <v>-0.18631110000000001</v>
      </c>
      <c r="U1446">
        <v>-1.8045040000000001</v>
      </c>
      <c r="V1446">
        <v>0.40530139999999998</v>
      </c>
      <c r="W1446">
        <v>0.14831730000000001</v>
      </c>
      <c r="X1446">
        <v>0.90207139999999997</v>
      </c>
      <c r="Y1446">
        <v>0.52363409999999999</v>
      </c>
      <c r="Z1446">
        <v>-1.262101E-2</v>
      </c>
      <c r="AA1446">
        <v>0.85184979999999999</v>
      </c>
      <c r="AB1446">
        <v>24</v>
      </c>
      <c r="AC1446">
        <v>14.745100000000001</v>
      </c>
      <c r="AD1446">
        <v>-1.1076403044480001</v>
      </c>
      <c r="AE1446">
        <v>-10.7173999999999</v>
      </c>
      <c r="AF1446">
        <v>9.5778323632025799</v>
      </c>
      <c r="AG1446">
        <v>-1.1076403044480001</v>
      </c>
      <c r="AH1446">
        <v>15.4306692353745</v>
      </c>
      <c r="AI1446">
        <v>93.490051563251001</v>
      </c>
      <c r="AJ1446">
        <v>58.172082748057598</v>
      </c>
      <c r="AK1446">
        <v>18.1952546800857</v>
      </c>
      <c r="AL1446">
        <v>81.470576038708799</v>
      </c>
      <c r="AM1446">
        <v>65.805578420965603</v>
      </c>
      <c r="AN1446">
        <v>1.0000000285096</v>
      </c>
    </row>
    <row r="1447" spans="1:40" x14ac:dyDescent="0.25">
      <c r="A1447" t="str">
        <f>"20190312164016786"</f>
        <v>20190312164016786</v>
      </c>
      <c r="B1447" t="str">
        <f>"1552380016777767"</f>
        <v>1552380016777767</v>
      </c>
      <c r="C1447" t="s">
        <v>40</v>
      </c>
      <c r="D1447">
        <v>5.3953989999999896</v>
      </c>
      <c r="E1447">
        <v>0.56353699999999995</v>
      </c>
      <c r="F1447" t="s">
        <v>45</v>
      </c>
      <c r="G1447">
        <v>-195.99930000000001</v>
      </c>
      <c r="H1447" s="1">
        <v>-5.3205710000000002E-6</v>
      </c>
      <c r="I1447">
        <v>356.90069999999997</v>
      </c>
      <c r="J1447">
        <v>-210.5617</v>
      </c>
      <c r="K1447">
        <v>1.1075900000000001</v>
      </c>
      <c r="L1447">
        <v>367.58249999999998</v>
      </c>
      <c r="M1447">
        <v>0.99706479999999997</v>
      </c>
      <c r="N1447">
        <v>0</v>
      </c>
      <c r="O1447">
        <v>-7.5280520000000004E-2</v>
      </c>
      <c r="P1447">
        <v>0.87025030000000003</v>
      </c>
      <c r="Q1447">
        <v>0.13826040000000001</v>
      </c>
      <c r="R1447">
        <v>-0.47280899999999998</v>
      </c>
      <c r="S1447">
        <v>2.4933169999999998</v>
      </c>
      <c r="T1447">
        <v>-0.18796959999999999</v>
      </c>
      <c r="U1447">
        <v>-1.814789</v>
      </c>
      <c r="V1447">
        <v>0.40700639999999999</v>
      </c>
      <c r="W1447">
        <v>0.14796589999999901</v>
      </c>
      <c r="X1447">
        <v>0.90136110000000003</v>
      </c>
      <c r="Y1447">
        <v>0.52511779999999997</v>
      </c>
      <c r="Z1447">
        <v>-1.264467E-2</v>
      </c>
      <c r="AA1447">
        <v>0.85093560000000001</v>
      </c>
      <c r="AB1447">
        <v>24</v>
      </c>
      <c r="AC1447">
        <v>14.562399999999901</v>
      </c>
      <c r="AD1447">
        <v>-1.1075953205710001</v>
      </c>
      <c r="AE1447">
        <v>-10.681800000000001</v>
      </c>
      <c r="AF1447">
        <v>9.5193076637831098</v>
      </c>
      <c r="AG1447">
        <v>-1.1075953205710001</v>
      </c>
      <c r="AH1447">
        <v>15.267853976615701</v>
      </c>
      <c r="AI1447">
        <v>93.522639583517602</v>
      </c>
      <c r="AJ1447">
        <v>58.0569991787943</v>
      </c>
      <c r="AK1447">
        <v>18.026407041980701</v>
      </c>
      <c r="AL1447">
        <v>81.4909339465529</v>
      </c>
      <c r="AM1447">
        <v>65.6986135570464</v>
      </c>
      <c r="AN1447">
        <v>0.99999997489848902</v>
      </c>
    </row>
    <row r="1448" spans="1:40" x14ac:dyDescent="0.25">
      <c r="A1448" t="str">
        <f>"20190312164016799"</f>
        <v>20190312164016799</v>
      </c>
      <c r="B1448" t="str">
        <f>"1552380016787527"</f>
        <v>1552380016787527</v>
      </c>
      <c r="C1448" t="s">
        <v>40</v>
      </c>
      <c r="D1448">
        <v>5.6651480000000003</v>
      </c>
      <c r="E1448">
        <v>0.56347910000000001</v>
      </c>
      <c r="F1448" t="s">
        <v>45</v>
      </c>
      <c r="G1448">
        <v>-196.0829</v>
      </c>
      <c r="H1448" s="1">
        <v>-5.3496439999999999E-6</v>
      </c>
      <c r="I1448">
        <v>356.94850000000002</v>
      </c>
      <c r="J1448">
        <v>-210.42449999999999</v>
      </c>
      <c r="K1448">
        <v>1.1075440000000001</v>
      </c>
      <c r="L1448">
        <v>367.56950000000001</v>
      </c>
      <c r="M1448">
        <v>0.99687320000000001</v>
      </c>
      <c r="N1448">
        <v>0</v>
      </c>
      <c r="O1448">
        <v>-7.7776689999999996E-2</v>
      </c>
      <c r="P1448">
        <v>0.86824690000000004</v>
      </c>
      <c r="Q1448">
        <v>0.13793559999999999</v>
      </c>
      <c r="R1448">
        <v>-0.47657280000000002</v>
      </c>
      <c r="S1448">
        <v>2.4856410000000002</v>
      </c>
      <c r="T1448">
        <v>-0.19014639999999999</v>
      </c>
      <c r="U1448">
        <v>-1.8255920000000001</v>
      </c>
      <c r="V1448">
        <v>0.40866530000000001</v>
      </c>
      <c r="W1448">
        <v>0.1475783</v>
      </c>
      <c r="X1448">
        <v>0.90067389999999903</v>
      </c>
      <c r="Y1448">
        <v>0.52662519999999902</v>
      </c>
      <c r="Z1448">
        <v>-1.2691819999999999E-2</v>
      </c>
      <c r="AA1448">
        <v>0.85000290000000001</v>
      </c>
      <c r="AB1448">
        <v>24</v>
      </c>
      <c r="AC1448">
        <v>14.3416</v>
      </c>
      <c r="AD1448">
        <v>-1.1075493496439901</v>
      </c>
      <c r="AE1448">
        <v>-10.620999999999899</v>
      </c>
      <c r="AF1448">
        <v>9.43692324291289</v>
      </c>
      <c r="AG1448">
        <v>-1.1075493496439901</v>
      </c>
      <c r="AH1448">
        <v>15.0662663375986</v>
      </c>
      <c r="AI1448">
        <v>93.564908073035994</v>
      </c>
      <c r="AJ1448">
        <v>57.938571550723502</v>
      </c>
      <c r="AK1448">
        <v>17.812202761308999</v>
      </c>
      <c r="AL1448">
        <v>81.5133891902709</v>
      </c>
      <c r="AM1448">
        <v>65.594645317433901</v>
      </c>
      <c r="AN1448">
        <v>1.00000007809809</v>
      </c>
    </row>
    <row r="1449" spans="1:40" x14ac:dyDescent="0.25">
      <c r="A1449" t="str">
        <f>"20190312164016812"</f>
        <v>20190312164016812</v>
      </c>
      <c r="B1449" t="str">
        <f>"1552380016808024"</f>
        <v>1552380016808024</v>
      </c>
      <c r="C1449" t="s">
        <v>40</v>
      </c>
      <c r="D1449">
        <v>5.9256070000000003</v>
      </c>
      <c r="E1449">
        <v>0.56362480000000004</v>
      </c>
      <c r="F1449" t="s">
        <v>45</v>
      </c>
      <c r="G1449">
        <v>-196.10050000000001</v>
      </c>
      <c r="H1449" s="1">
        <v>-5.3568129999999998E-6</v>
      </c>
      <c r="I1449">
        <v>356.96170000000001</v>
      </c>
      <c r="J1449">
        <v>-210.26990000000001</v>
      </c>
      <c r="K1449">
        <v>1.1074900000000001</v>
      </c>
      <c r="L1449">
        <v>367.55419999999998</v>
      </c>
      <c r="M1449">
        <v>0.99664339999999996</v>
      </c>
      <c r="N1449">
        <v>0</v>
      </c>
      <c r="O1449">
        <v>-8.0667199999999994E-2</v>
      </c>
      <c r="P1449">
        <v>0.8658865</v>
      </c>
      <c r="Q1449">
        <v>0.13758529999999999</v>
      </c>
      <c r="R1449">
        <v>-0.48094799999999899</v>
      </c>
      <c r="S1449">
        <v>2.4782869999999999</v>
      </c>
      <c r="T1449">
        <v>-0.1916243</v>
      </c>
      <c r="U1449">
        <v>-1.8353269999999999</v>
      </c>
      <c r="V1449">
        <v>0.41061399999999998</v>
      </c>
      <c r="W1449">
        <v>0.1471529</v>
      </c>
      <c r="X1449">
        <v>0.89985680000000001</v>
      </c>
      <c r="Y1449">
        <v>0.52751329999999996</v>
      </c>
      <c r="Z1449">
        <v>-1.264231E-2</v>
      </c>
      <c r="AA1449">
        <v>0.84945269999999995</v>
      </c>
      <c r="AB1449">
        <v>24</v>
      </c>
      <c r="AC1449">
        <v>14.1693999999999</v>
      </c>
      <c r="AD1449">
        <v>-1.1074953568129999</v>
      </c>
      <c r="AE1449">
        <v>-10.5924999999999</v>
      </c>
      <c r="AF1449">
        <v>9.3781032063331509</v>
      </c>
      <c r="AG1449">
        <v>-1.1074953568129999</v>
      </c>
      <c r="AH1449">
        <v>14.919295777776799</v>
      </c>
      <c r="AI1449">
        <v>93.596160021569005</v>
      </c>
      <c r="AJ1449">
        <v>57.846988744819903</v>
      </c>
      <c r="AK1449">
        <v>17.656748064657499</v>
      </c>
      <c r="AL1449">
        <v>81.538031592291702</v>
      </c>
      <c r="AM1449">
        <v>65.472293641062606</v>
      </c>
      <c r="AN1449">
        <v>1.0000000467403201</v>
      </c>
    </row>
    <row r="1450" spans="1:40" x14ac:dyDescent="0.25">
      <c r="A1450" t="str">
        <f>"20190312164016829"</f>
        <v>20190312164016829</v>
      </c>
      <c r="B1450" t="str">
        <f>"1552380016817783"</f>
        <v>1552380016817783</v>
      </c>
      <c r="C1450" t="s">
        <v>40</v>
      </c>
      <c r="D1450">
        <v>5.9018540000000002</v>
      </c>
      <c r="E1450">
        <v>0.56362480000000004</v>
      </c>
      <c r="F1450" t="s">
        <v>45</v>
      </c>
      <c r="G1450">
        <v>-196.23240000000001</v>
      </c>
      <c r="H1450" s="1">
        <v>-5.4055439999999997E-6</v>
      </c>
      <c r="I1450">
        <v>357.04570000000001</v>
      </c>
      <c r="J1450">
        <v>-210.10120000000001</v>
      </c>
      <c r="K1450">
        <v>1.1074299999999999</v>
      </c>
      <c r="L1450">
        <v>367.53699999999998</v>
      </c>
      <c r="M1450">
        <v>0.99637849999999994</v>
      </c>
      <c r="N1450">
        <v>0</v>
      </c>
      <c r="O1450">
        <v>-8.3875899999999906E-2</v>
      </c>
      <c r="P1450">
        <v>0.86279319999999904</v>
      </c>
      <c r="Q1450">
        <v>0.136743</v>
      </c>
      <c r="R1450">
        <v>-0.4867128</v>
      </c>
      <c r="S1450">
        <v>2.4689939999999999</v>
      </c>
      <c r="T1450">
        <v>-0.19479350000000001</v>
      </c>
      <c r="U1450">
        <v>-1.8482970000000001</v>
      </c>
      <c r="V1450">
        <v>0.4137265</v>
      </c>
      <c r="W1450">
        <v>0.14621519999999999</v>
      </c>
      <c r="X1450">
        <v>0.89858309999999997</v>
      </c>
      <c r="Y1450">
        <v>0.52914550000000005</v>
      </c>
      <c r="Z1450">
        <v>-1.2707960000000001E-2</v>
      </c>
      <c r="AA1450">
        <v>0.84843590000000002</v>
      </c>
      <c r="AB1450">
        <v>24</v>
      </c>
      <c r="AC1450">
        <v>13.868799999999901</v>
      </c>
      <c r="AD1450">
        <v>-1.1074354055440001</v>
      </c>
      <c r="AE1450">
        <v>-10.491299999999899</v>
      </c>
      <c r="AF1450">
        <v>9.2534254570908399</v>
      </c>
      <c r="AG1450">
        <v>-1.1074354055440001</v>
      </c>
      <c r="AH1450">
        <v>14.6405983753691</v>
      </c>
      <c r="AI1450">
        <v>93.658551210927399</v>
      </c>
      <c r="AJ1450">
        <v>57.705527120996997</v>
      </c>
      <c r="AK1450">
        <v>17.3550977138203</v>
      </c>
      <c r="AL1450">
        <v>81.592345316132295</v>
      </c>
      <c r="AM1450">
        <v>65.277665688504001</v>
      </c>
      <c r="AN1450">
        <v>1.0000000445594399</v>
      </c>
    </row>
    <row r="1451" spans="1:40" x14ac:dyDescent="0.25">
      <c r="A1451" t="str">
        <f>"20190312164016851"</f>
        <v>20190312164016851</v>
      </c>
      <c r="B1451" t="str">
        <f>"1552380016847064"</f>
        <v>1552380016847064</v>
      </c>
      <c r="C1451" t="s">
        <v>40</v>
      </c>
      <c r="D1451">
        <v>6.2131669999999897</v>
      </c>
      <c r="E1451">
        <v>0.57452479999999995</v>
      </c>
      <c r="F1451" t="s">
        <v>45</v>
      </c>
      <c r="G1451">
        <v>-196.3466</v>
      </c>
      <c r="H1451" s="1">
        <v>-5.4411950000000002E-6</v>
      </c>
      <c r="I1451">
        <v>357.09899999999999</v>
      </c>
      <c r="J1451">
        <v>-209.85310000000001</v>
      </c>
      <c r="K1451">
        <v>1.107342</v>
      </c>
      <c r="L1451">
        <v>367.51069999999999</v>
      </c>
      <c r="M1451">
        <v>0.99595940000000005</v>
      </c>
      <c r="N1451">
        <v>0</v>
      </c>
      <c r="O1451">
        <v>-8.8711780000000004E-2</v>
      </c>
      <c r="P1451">
        <v>0.85883489999999996</v>
      </c>
      <c r="Q1451">
        <v>0.13598009999999999</v>
      </c>
      <c r="R1451">
        <v>-0.49387490000000001</v>
      </c>
      <c r="S1451">
        <v>2.4567109999999999</v>
      </c>
      <c r="T1451">
        <v>-0.1977999</v>
      </c>
      <c r="U1451">
        <v>-1.864349</v>
      </c>
      <c r="V1451">
        <v>0.41686050000000002</v>
      </c>
      <c r="W1451">
        <v>0.14532729999999999</v>
      </c>
      <c r="X1451">
        <v>0.89727769999999996</v>
      </c>
      <c r="Y1451">
        <v>0.53056639999999999</v>
      </c>
      <c r="Z1451">
        <v>-1.264463E-2</v>
      </c>
      <c r="AA1451">
        <v>0.84754909999999894</v>
      </c>
      <c r="AB1451">
        <v>24</v>
      </c>
      <c r="AC1451">
        <v>13.506500000000001</v>
      </c>
      <c r="AD1451">
        <v>-1.1073474411949999</v>
      </c>
      <c r="AE1451">
        <v>-10.4116999999999</v>
      </c>
      <c r="AF1451">
        <v>9.1338287718298297</v>
      </c>
      <c r="AG1451">
        <v>-1.1073474411949999</v>
      </c>
      <c r="AH1451">
        <v>14.3166056703409</v>
      </c>
      <c r="AI1451">
        <v>93.730787545657705</v>
      </c>
      <c r="AJ1451">
        <v>57.462595580327701</v>
      </c>
      <c r="AK1451">
        <v>17.018173941662099</v>
      </c>
      <c r="AL1451">
        <v>81.643767018681103</v>
      </c>
      <c r="AM1451">
        <v>65.081192086126094</v>
      </c>
      <c r="AN1451">
        <v>0.99999998575141402</v>
      </c>
    </row>
    <row r="1452" spans="1:40" x14ac:dyDescent="0.25">
      <c r="A1452" t="str">
        <f>"20190312164016867"</f>
        <v>20190312164016867</v>
      </c>
      <c r="B1452" t="str">
        <f>"1552380016857800"</f>
        <v>1552380016857800</v>
      </c>
      <c r="C1452" t="s">
        <v>40</v>
      </c>
      <c r="D1452">
        <v>5.7752309999999998</v>
      </c>
      <c r="E1452">
        <v>0.57428800000000002</v>
      </c>
      <c r="F1452" t="s">
        <v>45</v>
      </c>
      <c r="G1452">
        <v>-201.49189999999999</v>
      </c>
      <c r="H1452" s="1">
        <v>-3.1523400000000001E-6</v>
      </c>
      <c r="I1452">
        <v>360.76409999999998</v>
      </c>
      <c r="J1452">
        <v>-209.68870000000001</v>
      </c>
      <c r="K1452">
        <v>1.1072709999999999</v>
      </c>
      <c r="L1452">
        <v>367.49239999999998</v>
      </c>
      <c r="M1452">
        <v>0.99566060000000001</v>
      </c>
      <c r="N1452">
        <v>0</v>
      </c>
      <c r="O1452">
        <v>-9.2003680000000004E-2</v>
      </c>
      <c r="P1452">
        <v>0.85639909999999997</v>
      </c>
      <c r="Q1452">
        <v>0.13569600000000001</v>
      </c>
      <c r="R1452">
        <v>-0.4981641</v>
      </c>
      <c r="S1452">
        <v>2.4206699999999999</v>
      </c>
      <c r="T1452">
        <v>-0.3205924</v>
      </c>
      <c r="U1452">
        <v>-1.953217</v>
      </c>
      <c r="V1452">
        <v>0.41839999999999999</v>
      </c>
      <c r="W1452">
        <v>0.1449645</v>
      </c>
      <c r="X1452">
        <v>0.89661959999999996</v>
      </c>
      <c r="Y1452">
        <v>0.55129619999999901</v>
      </c>
      <c r="Z1452">
        <v>-2.132059E-2</v>
      </c>
      <c r="AA1452">
        <v>0.83403709999999898</v>
      </c>
      <c r="AB1452">
        <v>24</v>
      </c>
      <c r="AC1452">
        <v>8.1968000000000192</v>
      </c>
      <c r="AD1452">
        <v>-1.10727415233999</v>
      </c>
      <c r="AE1452">
        <v>-6.7282999999999902</v>
      </c>
      <c r="AF1452">
        <v>5.8814264364262803</v>
      </c>
      <c r="AG1452">
        <v>-1.10727415233999</v>
      </c>
      <c r="AH1452">
        <v>8.6864139806749296</v>
      </c>
      <c r="AI1452">
        <v>96.025423216762604</v>
      </c>
      <c r="AJ1452">
        <v>55.898724432325103</v>
      </c>
      <c r="AK1452">
        <v>10.5485079901945</v>
      </c>
      <c r="AL1452">
        <v>81.664776419685595</v>
      </c>
      <c r="AM1452">
        <v>64.984286154697799</v>
      </c>
      <c r="AN1452">
        <v>0.99999998668220402</v>
      </c>
    </row>
    <row r="1453" spans="1:40" x14ac:dyDescent="0.25">
      <c r="A1453" t="str">
        <f>"20190312164016885"</f>
        <v>20190312164016885</v>
      </c>
      <c r="B1453" t="str">
        <f>"1552380016877319"</f>
        <v>1552380016877319</v>
      </c>
      <c r="C1453" t="s">
        <v>40</v>
      </c>
      <c r="D1453">
        <v>6.0000589999999896</v>
      </c>
      <c r="E1453">
        <v>0.57355</v>
      </c>
      <c r="F1453" t="s">
        <v>45</v>
      </c>
      <c r="G1453">
        <v>-201.19210000000001</v>
      </c>
      <c r="H1453" s="1">
        <v>-3.0459200000000001E-6</v>
      </c>
      <c r="I1453">
        <v>360.56369999999998</v>
      </c>
      <c r="J1453">
        <v>-209.4897</v>
      </c>
      <c r="K1453">
        <v>1.1071899999999999</v>
      </c>
      <c r="L1453">
        <v>367.46949999999998</v>
      </c>
      <c r="M1453">
        <v>0.99527509999999997</v>
      </c>
      <c r="N1453">
        <v>0</v>
      </c>
      <c r="O1453">
        <v>-9.6084359999999994E-2</v>
      </c>
      <c r="P1453">
        <v>0.85264340000000005</v>
      </c>
      <c r="Q1453">
        <v>0.13525400000000001</v>
      </c>
      <c r="R1453">
        <v>-0.50468409999999997</v>
      </c>
      <c r="S1453">
        <v>2.4097140000000001</v>
      </c>
      <c r="T1453">
        <v>-0.31403340000000002</v>
      </c>
      <c r="U1453">
        <v>-1.9650570000000001</v>
      </c>
      <c r="V1453">
        <v>0.4215874</v>
      </c>
      <c r="W1453">
        <v>0.14440449999999999</v>
      </c>
      <c r="X1453">
        <v>0.89521589999999995</v>
      </c>
      <c r="Y1453">
        <v>0.55230519999999905</v>
      </c>
      <c r="Z1453">
        <v>-2.053611E-2</v>
      </c>
      <c r="AA1453">
        <v>0.83338899999999905</v>
      </c>
      <c r="AB1453">
        <v>24</v>
      </c>
      <c r="AC1453">
        <v>8.2975999999999797</v>
      </c>
      <c r="AD1453">
        <v>-1.1071930459199999</v>
      </c>
      <c r="AE1453">
        <v>-6.9057999999999904</v>
      </c>
      <c r="AF1453">
        <v>6.0132417542147198</v>
      </c>
      <c r="AG1453">
        <v>-1.1071930459199999</v>
      </c>
      <c r="AH1453">
        <v>8.8299240803351804</v>
      </c>
      <c r="AI1453">
        <v>95.917042548612002</v>
      </c>
      <c r="AJ1453">
        <v>55.744855506959901</v>
      </c>
      <c r="AK1453">
        <v>10.740228680063</v>
      </c>
      <c r="AL1453">
        <v>81.6972037997553</v>
      </c>
      <c r="AM1453">
        <v>64.782670147762502</v>
      </c>
      <c r="AN1453">
        <v>1.0000000515359</v>
      </c>
    </row>
    <row r="1454" spans="1:40" x14ac:dyDescent="0.25">
      <c r="A1454" t="str">
        <f>"20190312164016897"</f>
        <v>20190312164016897</v>
      </c>
      <c r="B1454" t="str">
        <f>"1552380016887081"</f>
        <v>1552380016887081</v>
      </c>
      <c r="C1454" t="s">
        <v>40</v>
      </c>
      <c r="D1454">
        <v>5.928973</v>
      </c>
      <c r="E1454">
        <v>0.57302089999999894</v>
      </c>
      <c r="F1454" t="s">
        <v>45</v>
      </c>
      <c r="G1454">
        <v>-200.78809999999999</v>
      </c>
      <c r="H1454" s="1">
        <v>-2.9060120000000001E-6</v>
      </c>
      <c r="I1454">
        <v>360.27769999999998</v>
      </c>
      <c r="J1454">
        <v>-209.351</v>
      </c>
      <c r="K1454">
        <v>1.1071340000000001</v>
      </c>
      <c r="L1454">
        <v>367.45299999999997</v>
      </c>
      <c r="M1454">
        <v>0.99499119999999996</v>
      </c>
      <c r="N1454">
        <v>0</v>
      </c>
      <c r="O1454">
        <v>-9.8981089999999994E-2</v>
      </c>
      <c r="P1454">
        <v>0.8503328</v>
      </c>
      <c r="Q1454">
        <v>0.13493150000000001</v>
      </c>
      <c r="R1454">
        <v>-0.50865320000000003</v>
      </c>
      <c r="S1454">
        <v>2.395111</v>
      </c>
      <c r="T1454">
        <v>-0.3047551</v>
      </c>
      <c r="U1454">
        <v>-1.9795229999999999</v>
      </c>
      <c r="V1454">
        <v>0.42316920000000002</v>
      </c>
      <c r="W1454">
        <v>0.1440072</v>
      </c>
      <c r="X1454">
        <v>0.89453329999999998</v>
      </c>
      <c r="Y1454">
        <v>0.55548260000000005</v>
      </c>
      <c r="Z1454">
        <v>-1.985599E-2</v>
      </c>
      <c r="AA1454">
        <v>0.83129109999999995</v>
      </c>
      <c r="AB1454">
        <v>24</v>
      </c>
      <c r="AC1454">
        <v>8.5629000000000097</v>
      </c>
      <c r="AD1454">
        <v>-1.107136906012</v>
      </c>
      <c r="AE1454">
        <v>-7.1753000000000497</v>
      </c>
      <c r="AF1454">
        <v>6.2312122452369696</v>
      </c>
      <c r="AG1454">
        <v>-1.107136906012</v>
      </c>
      <c r="AH1454">
        <v>9.1413523987905396</v>
      </c>
      <c r="AI1454">
        <v>95.714829814724595</v>
      </c>
      <c r="AJ1454">
        <v>55.719661491188198</v>
      </c>
      <c r="AK1454">
        <v>11.118366869856301</v>
      </c>
      <c r="AL1454">
        <v>81.720207720300394</v>
      </c>
      <c r="AM1454">
        <v>64.6829747471497</v>
      </c>
      <c r="AN1454">
        <v>1.0000000351446801</v>
      </c>
    </row>
    <row r="1455" spans="1:40" x14ac:dyDescent="0.25">
      <c r="A1455" t="str">
        <f>"20190312164016911"</f>
        <v>20190312164016911</v>
      </c>
      <c r="B1455" t="str">
        <f>"1552380016907576"</f>
        <v>1552380016907576</v>
      </c>
      <c r="C1455" t="s">
        <v>40</v>
      </c>
      <c r="D1455">
        <v>6.159395</v>
      </c>
      <c r="E1455">
        <v>0.57243789999999894</v>
      </c>
      <c r="F1455" t="s">
        <v>45</v>
      </c>
      <c r="G1455">
        <v>-200.54509999999999</v>
      </c>
      <c r="H1455" s="1">
        <v>-2.8188060000000002E-6</v>
      </c>
      <c r="I1455">
        <v>360.11950000000002</v>
      </c>
      <c r="J1455">
        <v>-209.20760000000001</v>
      </c>
      <c r="K1455">
        <v>1.107075</v>
      </c>
      <c r="L1455">
        <v>367.43529999999998</v>
      </c>
      <c r="M1455">
        <v>0.99467919999999999</v>
      </c>
      <c r="N1455">
        <v>0</v>
      </c>
      <c r="O1455">
        <v>-0.1020669</v>
      </c>
      <c r="P1455">
        <v>0.84792069999999997</v>
      </c>
      <c r="Q1455">
        <v>0.1349524</v>
      </c>
      <c r="R1455">
        <v>-0.51265839999999996</v>
      </c>
      <c r="S1455">
        <v>2.3867029999999998</v>
      </c>
      <c r="T1455">
        <v>-0.30007309999999998</v>
      </c>
      <c r="U1455">
        <v>-1.9876400000000001</v>
      </c>
      <c r="V1455">
        <v>0.42463810000000002</v>
      </c>
      <c r="W1455">
        <v>0.1439491</v>
      </c>
      <c r="X1455">
        <v>0.89384629999999998</v>
      </c>
      <c r="Y1455">
        <v>0.55608769999999996</v>
      </c>
      <c r="Z1455">
        <v>-1.9291389999999999E-2</v>
      </c>
      <c r="AA1455">
        <v>0.83089969999999902</v>
      </c>
      <c r="AB1455">
        <v>24</v>
      </c>
      <c r="AC1455">
        <v>8.6625000000000192</v>
      </c>
      <c r="AD1455">
        <v>-1.107077818806</v>
      </c>
      <c r="AE1455">
        <v>-7.3157999999999603</v>
      </c>
      <c r="AF1455">
        <v>6.3329698124937801</v>
      </c>
      <c r="AG1455">
        <v>-1.107077818806</v>
      </c>
      <c r="AH1455">
        <v>9.2755969941566896</v>
      </c>
      <c r="AI1455">
        <v>95.629478762355802</v>
      </c>
      <c r="AJ1455">
        <v>55.676456785376701</v>
      </c>
      <c r="AK1455">
        <v>11.285779881818399</v>
      </c>
      <c r="AL1455">
        <v>81.723571642147803</v>
      </c>
      <c r="AM1455">
        <v>64.589086049904594</v>
      </c>
      <c r="AN1455">
        <v>1.0000000336930499</v>
      </c>
    </row>
    <row r="1456" spans="1:40" x14ac:dyDescent="0.25">
      <c r="A1456" t="str">
        <f>"20190312164016930"</f>
        <v>20190312164016930</v>
      </c>
      <c r="B1456" t="str">
        <f>"1552380016917336"</f>
        <v>1552380016917336</v>
      </c>
      <c r="C1456" t="s">
        <v>40</v>
      </c>
      <c r="D1456">
        <v>5.414053</v>
      </c>
      <c r="E1456">
        <v>0.57243789999999894</v>
      </c>
      <c r="F1456" t="s">
        <v>45</v>
      </c>
      <c r="G1456">
        <v>-200.21289999999999</v>
      </c>
      <c r="H1456" s="1">
        <v>-2.7022979999999999E-6</v>
      </c>
      <c r="I1456">
        <v>359.89100000000002</v>
      </c>
      <c r="J1456">
        <v>-209.0147</v>
      </c>
      <c r="K1456">
        <v>1.1069869999999999</v>
      </c>
      <c r="L1456">
        <v>367.41079999999999</v>
      </c>
      <c r="M1456">
        <v>0.99423490000000003</v>
      </c>
      <c r="N1456">
        <v>0</v>
      </c>
      <c r="O1456">
        <v>-0.106306</v>
      </c>
      <c r="P1456">
        <v>0.84422569999999997</v>
      </c>
      <c r="Q1456">
        <v>0.13485510000000001</v>
      </c>
      <c r="R1456">
        <v>-0.51874549999999997</v>
      </c>
      <c r="S1456">
        <v>2.3784939999999999</v>
      </c>
      <c r="T1456">
        <v>-0.29274879999999998</v>
      </c>
      <c r="U1456">
        <v>-1.9949650000000001</v>
      </c>
      <c r="V1456">
        <v>0.42729099999999998</v>
      </c>
      <c r="W1456">
        <v>0.14372879999999999</v>
      </c>
      <c r="X1456">
        <v>0.89261659999999898</v>
      </c>
      <c r="Y1456">
        <v>0.55557909999999999</v>
      </c>
      <c r="Z1456">
        <v>-1.838849E-2</v>
      </c>
      <c r="AA1456">
        <v>0.83126029999999995</v>
      </c>
      <c r="AB1456">
        <v>24</v>
      </c>
      <c r="AC1456">
        <v>8.8018000000000107</v>
      </c>
      <c r="AD1456">
        <v>-1.106989702298</v>
      </c>
      <c r="AE1456">
        <v>-7.5198000000000302</v>
      </c>
      <c r="AF1456">
        <v>6.4821340380102903</v>
      </c>
      <c r="AG1456">
        <v>-1.106989702298</v>
      </c>
      <c r="AH1456">
        <v>9.4648492163126097</v>
      </c>
      <c r="AI1456">
        <v>95.511798274197901</v>
      </c>
      <c r="AJ1456">
        <v>55.594162460213802</v>
      </c>
      <c r="AK1456">
        <v>11.525053517240501</v>
      </c>
      <c r="AL1456">
        <v>81.736326097034194</v>
      </c>
      <c r="AM1456">
        <v>64.419800165206695</v>
      </c>
      <c r="AN1456">
        <v>0.999999980612999</v>
      </c>
    </row>
    <row r="1457" spans="1:40" x14ac:dyDescent="0.25">
      <c r="A1457" t="str">
        <f>"20190312164016945"</f>
        <v>20190312164016945</v>
      </c>
      <c r="B1457" t="str">
        <f>"1552380016937831"</f>
        <v>1552380016937831</v>
      </c>
      <c r="C1457" t="s">
        <v>40</v>
      </c>
      <c r="D1457">
        <v>6.1320670000000002</v>
      </c>
      <c r="E1457">
        <v>0.57203549999999903</v>
      </c>
      <c r="F1457" t="s">
        <v>45</v>
      </c>
      <c r="G1457">
        <v>-200.09200000000001</v>
      </c>
      <c r="H1457" s="1">
        <v>-2.6565220000000001E-6</v>
      </c>
      <c r="I1457">
        <v>359.81650000000002</v>
      </c>
      <c r="J1457">
        <v>-208.84620000000001</v>
      </c>
      <c r="K1457">
        <v>1.1069070000000001</v>
      </c>
      <c r="L1457">
        <v>367.3886</v>
      </c>
      <c r="M1457">
        <v>0.9938207</v>
      </c>
      <c r="N1457">
        <v>0</v>
      </c>
      <c r="O1457">
        <v>-0.1101109</v>
      </c>
      <c r="P1457">
        <v>0.84146779999999999</v>
      </c>
      <c r="Q1457">
        <v>0.1352246</v>
      </c>
      <c r="R1457">
        <v>-0.52311209999999997</v>
      </c>
      <c r="S1457">
        <v>2.3640590000000001</v>
      </c>
      <c r="T1457">
        <v>-0.29329539999999998</v>
      </c>
      <c r="U1457">
        <v>-2.0120849999999999</v>
      </c>
      <c r="V1457">
        <v>0.42853970000000002</v>
      </c>
      <c r="W1457">
        <v>0.14399960000000001</v>
      </c>
      <c r="X1457">
        <v>0.89197420000000005</v>
      </c>
      <c r="Y1457">
        <v>0.55838569999999998</v>
      </c>
      <c r="Z1457">
        <v>-1.8224919999999999E-2</v>
      </c>
      <c r="AA1457">
        <v>0.82938120000000004</v>
      </c>
      <c r="AB1457">
        <v>24</v>
      </c>
      <c r="AC1457">
        <v>8.7541999999999902</v>
      </c>
      <c r="AD1457">
        <v>-1.10690965652199</v>
      </c>
      <c r="AE1457">
        <v>-7.5720999999999696</v>
      </c>
      <c r="AF1457">
        <v>6.5025508583836</v>
      </c>
      <c r="AG1457">
        <v>-1.10690965652199</v>
      </c>
      <c r="AH1457">
        <v>9.4483999549253994</v>
      </c>
      <c r="AI1457">
        <v>95.512359783027506</v>
      </c>
      <c r="AJ1457">
        <v>55.463584741358197</v>
      </c>
      <c r="AK1457">
        <v>11.5230498723992</v>
      </c>
      <c r="AL1457">
        <v>81.720648014949504</v>
      </c>
      <c r="AM1457">
        <v>64.338528379214395</v>
      </c>
      <c r="AN1457">
        <v>1.0000000663709401</v>
      </c>
    </row>
    <row r="1458" spans="1:40" x14ac:dyDescent="0.25">
      <c r="A1458" t="str">
        <f>"20190312164016959"</f>
        <v>20190312164016959</v>
      </c>
      <c r="B1458" t="str">
        <f>"1552380016947592"</f>
        <v>1552380016947592</v>
      </c>
      <c r="C1458" t="s">
        <v>40</v>
      </c>
      <c r="D1458">
        <v>5.9420099999999998</v>
      </c>
      <c r="E1458">
        <v>0.57190699999999906</v>
      </c>
      <c r="F1458" t="s">
        <v>45</v>
      </c>
      <c r="G1458">
        <v>-199.75710000000001</v>
      </c>
      <c r="H1458" s="1">
        <v>-6.8049139999999998E-6</v>
      </c>
      <c r="I1458">
        <v>359.58159999999998</v>
      </c>
      <c r="J1458">
        <v>-208.6925</v>
      </c>
      <c r="K1458">
        <v>1.10683</v>
      </c>
      <c r="L1458">
        <v>367.36770000000001</v>
      </c>
      <c r="M1458">
        <v>0.99342129999999995</v>
      </c>
      <c r="N1458">
        <v>0</v>
      </c>
      <c r="O1458">
        <v>-0.1136578</v>
      </c>
      <c r="P1458">
        <v>0.83881249999999996</v>
      </c>
      <c r="Q1458">
        <v>0.13562679999999999</v>
      </c>
      <c r="R1458">
        <v>-0.52725610000000001</v>
      </c>
      <c r="S1458">
        <v>2.3542179999999999</v>
      </c>
      <c r="T1458">
        <v>-0.28670639999999997</v>
      </c>
      <c r="U1458">
        <v>-2.022125</v>
      </c>
      <c r="V1458">
        <v>0.42979610000000001</v>
      </c>
      <c r="W1458">
        <v>0.1443063</v>
      </c>
      <c r="X1458">
        <v>0.8913198</v>
      </c>
      <c r="Y1458">
        <v>0.55926980000000004</v>
      </c>
      <c r="Z1458">
        <v>-1.7537190000000001E-2</v>
      </c>
      <c r="AA1458">
        <v>0.82880010000000004</v>
      </c>
      <c r="AB1458">
        <v>24</v>
      </c>
      <c r="AC1458">
        <v>8.93539999999998</v>
      </c>
      <c r="AD1458">
        <v>-1.106836804914</v>
      </c>
      <c r="AE1458">
        <v>-7.7861000000000304</v>
      </c>
      <c r="AF1458">
        <v>6.66185580847546</v>
      </c>
      <c r="AG1458">
        <v>-1.106836804914</v>
      </c>
      <c r="AH1458">
        <v>9.6781152011404608</v>
      </c>
      <c r="AI1458">
        <v>95.381633780201398</v>
      </c>
      <c r="AJ1458">
        <v>55.4587201007677</v>
      </c>
      <c r="AK1458">
        <v>11.801327229264301</v>
      </c>
      <c r="AL1458">
        <v>81.702889293513607</v>
      </c>
      <c r="AM1458">
        <v>64.256546925886099</v>
      </c>
      <c r="AN1458">
        <v>0.99999999083347002</v>
      </c>
    </row>
    <row r="1459" spans="1:40" x14ac:dyDescent="0.25">
      <c r="A1459" t="str">
        <f>"20190312164016975"</f>
        <v>20190312164016975</v>
      </c>
      <c r="B1459" t="str">
        <f>"1552380016967111"</f>
        <v>1552380016967111</v>
      </c>
      <c r="C1459" t="s">
        <v>40</v>
      </c>
      <c r="D1459">
        <v>6.3773179999999998</v>
      </c>
      <c r="E1459">
        <v>0.57194540000000005</v>
      </c>
      <c r="F1459" t="s">
        <v>45</v>
      </c>
      <c r="G1459">
        <v>-199.5403</v>
      </c>
      <c r="H1459" s="1">
        <v>-6.720389E-6</v>
      </c>
      <c r="I1459">
        <v>359.43020000000001</v>
      </c>
      <c r="J1459">
        <v>-208.51769999999999</v>
      </c>
      <c r="K1459">
        <v>1.1067450000000001</v>
      </c>
      <c r="L1459">
        <v>367.34300000000002</v>
      </c>
      <c r="M1459">
        <v>0.99293710000000002</v>
      </c>
      <c r="N1459">
        <v>0</v>
      </c>
      <c r="O1459">
        <v>-0.11780980000000001</v>
      </c>
      <c r="P1459">
        <v>0.83486519999999997</v>
      </c>
      <c r="Q1459">
        <v>0.13689809999999999</v>
      </c>
      <c r="R1459">
        <v>-0.53315959999999996</v>
      </c>
      <c r="S1459">
        <v>2.3443299999999998</v>
      </c>
      <c r="T1459">
        <v>-0.28351470000000001</v>
      </c>
      <c r="U1459">
        <v>-2.0331730000000001</v>
      </c>
      <c r="V1459">
        <v>0.43242930000000002</v>
      </c>
      <c r="W1459">
        <v>0.1454453</v>
      </c>
      <c r="X1459">
        <v>0.88985990000000004</v>
      </c>
      <c r="Y1459">
        <v>0.55982019999999899</v>
      </c>
      <c r="Z1459">
        <v>-1.6984579999999999E-2</v>
      </c>
      <c r="AA1459">
        <v>0.82843999999999995</v>
      </c>
      <c r="AB1459">
        <v>24</v>
      </c>
      <c r="AC1459">
        <v>8.9773999999999798</v>
      </c>
      <c r="AD1459">
        <v>-1.106751720389</v>
      </c>
      <c r="AE1459">
        <v>-7.9127999999999998</v>
      </c>
      <c r="AF1459">
        <v>6.7422865383148398</v>
      </c>
      <c r="AG1459">
        <v>-1.106751720389</v>
      </c>
      <c r="AH1459">
        <v>9.7636552887497992</v>
      </c>
      <c r="AI1459">
        <v>95.328882870743996</v>
      </c>
      <c r="AJ1459">
        <v>55.373003665884603</v>
      </c>
      <c r="AK1459">
        <v>11.9168910263062</v>
      </c>
      <c r="AL1459">
        <v>81.636933952190006</v>
      </c>
      <c r="AM1459">
        <v>64.082467557880406</v>
      </c>
      <c r="AN1459">
        <v>1.00000003820929</v>
      </c>
    </row>
    <row r="1460" spans="1:40" x14ac:dyDescent="0.25">
      <c r="A1460" t="str">
        <f>"20190312164016989"</f>
        <v>20190312164016989</v>
      </c>
      <c r="B1460" t="str">
        <f>"1552380016977848"</f>
        <v>1552380016977848</v>
      </c>
      <c r="C1460" t="s">
        <v>40</v>
      </c>
      <c r="D1460">
        <v>5.6806760000000001</v>
      </c>
      <c r="E1460">
        <v>0.57212540000000001</v>
      </c>
      <c r="F1460" t="s">
        <v>45</v>
      </c>
      <c r="G1460">
        <v>-199.215</v>
      </c>
      <c r="H1460" s="1">
        <v>-6.5781779999999998E-6</v>
      </c>
      <c r="I1460">
        <v>359.15719999999999</v>
      </c>
      <c r="J1460">
        <v>-208.37620000000001</v>
      </c>
      <c r="K1460">
        <v>1.106673</v>
      </c>
      <c r="L1460">
        <v>367.32249999999999</v>
      </c>
      <c r="M1460">
        <v>0.99252180000000001</v>
      </c>
      <c r="N1460">
        <v>0</v>
      </c>
      <c r="O1460">
        <v>-0.1212578</v>
      </c>
      <c r="P1460">
        <v>0.83212830000000004</v>
      </c>
      <c r="Q1460">
        <v>0.13711660000000001</v>
      </c>
      <c r="R1460">
        <v>-0.53736509999999904</v>
      </c>
      <c r="S1460">
        <v>2.3296809999999999</v>
      </c>
      <c r="T1460">
        <v>-0.27716350000000001</v>
      </c>
      <c r="U1460">
        <v>-2.0499879999999999</v>
      </c>
      <c r="V1460">
        <v>0.43386360000000002</v>
      </c>
      <c r="W1460">
        <v>0.14557030000000001</v>
      </c>
      <c r="X1460">
        <v>0.88914099999999996</v>
      </c>
      <c r="Y1460">
        <v>0.56297089999999905</v>
      </c>
      <c r="Z1460">
        <v>-1.647067E-2</v>
      </c>
      <c r="AA1460">
        <v>0.82631259999999995</v>
      </c>
      <c r="AB1460">
        <v>24</v>
      </c>
      <c r="AC1460">
        <v>9.1611999999999991</v>
      </c>
      <c r="AD1460">
        <v>-1.1066795781779999</v>
      </c>
      <c r="AE1460">
        <v>-8.1653000000000002</v>
      </c>
      <c r="AF1460">
        <v>6.9376405354494004</v>
      </c>
      <c r="AG1460">
        <v>-1.1066795781779999</v>
      </c>
      <c r="AH1460">
        <v>10.0024463757329</v>
      </c>
      <c r="AI1460">
        <v>95.194667934982505</v>
      </c>
      <c r="AJ1460">
        <v>55.255040773990302</v>
      </c>
      <c r="AK1460">
        <v>12.2231145534712</v>
      </c>
      <c r="AL1460">
        <v>81.629694839443701</v>
      </c>
      <c r="AM1460">
        <v>63.989560618308403</v>
      </c>
      <c r="AN1460">
        <v>1.0000000267640199</v>
      </c>
    </row>
    <row r="1461" spans="1:40" x14ac:dyDescent="0.25">
      <c r="A1461" t="str">
        <f>"20190312164017004"</f>
        <v>20190312164017004</v>
      </c>
      <c r="B1461" t="str">
        <f>"1552380016997367"</f>
        <v>1552380016997367</v>
      </c>
      <c r="C1461" t="s">
        <v>40</v>
      </c>
      <c r="D1461">
        <v>5.9722809999999997</v>
      </c>
      <c r="E1461">
        <v>0.57237009999999999</v>
      </c>
      <c r="F1461" t="s">
        <v>45</v>
      </c>
      <c r="G1461">
        <v>-198.97139999999999</v>
      </c>
      <c r="H1461" s="1">
        <v>-6.4709400000000004E-6</v>
      </c>
      <c r="I1461">
        <v>358.95049999999998</v>
      </c>
      <c r="J1461">
        <v>-208.2183</v>
      </c>
      <c r="K1461">
        <v>1.1065969999999901</v>
      </c>
      <c r="L1461">
        <v>367.2989</v>
      </c>
      <c r="M1461">
        <v>0.99203520000000001</v>
      </c>
      <c r="N1461">
        <v>0</v>
      </c>
      <c r="O1461">
        <v>-0.12517710000000001</v>
      </c>
      <c r="P1461">
        <v>0.82917779999999996</v>
      </c>
      <c r="Q1461">
        <v>0.13729729999999901</v>
      </c>
      <c r="R1461">
        <v>-0.54186190000000001</v>
      </c>
      <c r="S1461">
        <v>2.3177639999999999</v>
      </c>
      <c r="T1461">
        <v>-0.2727349</v>
      </c>
      <c r="U1461">
        <v>-2.0632320000000002</v>
      </c>
      <c r="V1461">
        <v>0.43520209999999998</v>
      </c>
      <c r="W1461">
        <v>0.1456491</v>
      </c>
      <c r="X1461">
        <v>0.88847369999999903</v>
      </c>
      <c r="Y1461">
        <v>0.5645133</v>
      </c>
      <c r="Z1461">
        <v>-1.5940869999999999E-2</v>
      </c>
      <c r="AA1461">
        <v>0.82527009999999901</v>
      </c>
      <c r="AB1461">
        <v>24</v>
      </c>
      <c r="AC1461">
        <v>9.2469000000000001</v>
      </c>
      <c r="AD1461">
        <v>-1.1066034709399999</v>
      </c>
      <c r="AE1461">
        <v>-8.3484000000000194</v>
      </c>
      <c r="AF1461">
        <v>7.0693292421230103</v>
      </c>
      <c r="AG1461">
        <v>-1.1066034709399999</v>
      </c>
      <c r="AH1461">
        <v>10.139283418201501</v>
      </c>
      <c r="AI1461">
        <v>95.115927791646399</v>
      </c>
      <c r="AJ1461">
        <v>55.114951664933599</v>
      </c>
      <c r="AK1461">
        <v>12.4098773325947</v>
      </c>
      <c r="AL1461">
        <v>81.625131253221994</v>
      </c>
      <c r="AM1461">
        <v>63.902947510731998</v>
      </c>
      <c r="AN1461">
        <v>1.0000000218834499</v>
      </c>
    </row>
    <row r="1462" spans="1:40" x14ac:dyDescent="0.25">
      <c r="A1462" t="str">
        <f>"20190312164017018"</f>
        <v>20190312164017018</v>
      </c>
      <c r="B1462" t="str">
        <f>"1552380017007128"</f>
        <v>1552380017007128</v>
      </c>
      <c r="C1462" t="s">
        <v>40</v>
      </c>
      <c r="D1462">
        <v>5.7779629999999997</v>
      </c>
      <c r="E1462">
        <v>0.5839531</v>
      </c>
      <c r="F1462" t="s">
        <v>45</v>
      </c>
      <c r="G1462">
        <v>-198.68369999999999</v>
      </c>
      <c r="H1462" s="1">
        <v>-6.3425989999999998E-6</v>
      </c>
      <c r="I1462">
        <v>358.7013</v>
      </c>
      <c r="J1462">
        <v>-208.06440000000001</v>
      </c>
      <c r="K1462">
        <v>1.1065160000000001</v>
      </c>
      <c r="L1462">
        <v>367.27530000000002</v>
      </c>
      <c r="M1462">
        <v>0.99153570000000002</v>
      </c>
      <c r="N1462">
        <v>0</v>
      </c>
      <c r="O1462">
        <v>-0.12907249999999901</v>
      </c>
      <c r="P1462">
        <v>0.82558750000000003</v>
      </c>
      <c r="Q1462">
        <v>0.1375509</v>
      </c>
      <c r="R1462">
        <v>-0.54725279999999998</v>
      </c>
      <c r="S1462">
        <v>2.3043979999999999</v>
      </c>
      <c r="T1462">
        <v>-0.26745409999999997</v>
      </c>
      <c r="U1462">
        <v>-2.0779420000000002</v>
      </c>
      <c r="V1462">
        <v>0.43754219999999999</v>
      </c>
      <c r="W1462">
        <v>0.145784</v>
      </c>
      <c r="X1462">
        <v>0.88730140000000002</v>
      </c>
      <c r="Y1462">
        <v>0.56662480000000004</v>
      </c>
      <c r="Z1462">
        <v>-1.5404920000000001E-2</v>
      </c>
      <c r="AA1462">
        <v>0.82383189999999995</v>
      </c>
      <c r="AB1462">
        <v>24</v>
      </c>
      <c r="AC1462">
        <v>9.3807000000000098</v>
      </c>
      <c r="AD1462">
        <v>-1.1065223425990001</v>
      </c>
      <c r="AE1462">
        <v>-8.5740000000000105</v>
      </c>
      <c r="AF1462">
        <v>7.2364969782014796</v>
      </c>
      <c r="AG1462">
        <v>-1.1065223425990001</v>
      </c>
      <c r="AH1462">
        <v>10.330677788965</v>
      </c>
      <c r="AI1462">
        <v>95.013617730714699</v>
      </c>
      <c r="AJ1462">
        <v>54.989288887580798</v>
      </c>
      <c r="AK1462">
        <v>12.661523754651499</v>
      </c>
      <c r="AL1462">
        <v>81.617318166463207</v>
      </c>
      <c r="AM1462">
        <v>63.7513726658064</v>
      </c>
      <c r="AN1462">
        <v>0.99999996293939897</v>
      </c>
    </row>
    <row r="1463" spans="1:40" x14ac:dyDescent="0.25">
      <c r="A1463" t="str">
        <f>"20190312164017030"</f>
        <v>20190312164017030</v>
      </c>
      <c r="B1463" t="str">
        <f>"1552380017027624"</f>
        <v>1552380017027624</v>
      </c>
      <c r="C1463" t="s">
        <v>40</v>
      </c>
      <c r="D1463">
        <v>5.802543</v>
      </c>
      <c r="E1463">
        <v>0.58179859999999906</v>
      </c>
      <c r="F1463" t="s">
        <v>45</v>
      </c>
      <c r="G1463">
        <v>-194.13929999999999</v>
      </c>
      <c r="H1463" s="1">
        <v>-3.389343E-6</v>
      </c>
      <c r="I1463">
        <v>353.63330000000002</v>
      </c>
      <c r="J1463">
        <v>-207.93209999999999</v>
      </c>
      <c r="K1463">
        <v>1.1064480000000001</v>
      </c>
      <c r="L1463">
        <v>367.25420000000003</v>
      </c>
      <c r="M1463">
        <v>0.99107909999999999</v>
      </c>
      <c r="N1463">
        <v>0</v>
      </c>
      <c r="O1463">
        <v>-0.13253219999999999</v>
      </c>
      <c r="P1463">
        <v>0.82296150000000001</v>
      </c>
      <c r="Q1463">
        <v>0.13729359999999999</v>
      </c>
      <c r="R1463">
        <v>-0.55125780000000002</v>
      </c>
      <c r="S1463">
        <v>2.220917</v>
      </c>
      <c r="T1463">
        <v>-0.17647789999999999</v>
      </c>
      <c r="U1463">
        <v>-2.175751</v>
      </c>
      <c r="V1463">
        <v>0.43877660000000002</v>
      </c>
      <c r="W1463">
        <v>0.1454387</v>
      </c>
      <c r="X1463">
        <v>0.88674839999999999</v>
      </c>
      <c r="Y1463">
        <v>0.59822200000000003</v>
      </c>
      <c r="Z1463">
        <v>-1.1154560000000001E-2</v>
      </c>
      <c r="AA1463">
        <v>0.80125279999999999</v>
      </c>
      <c r="AB1463">
        <v>24</v>
      </c>
      <c r="AC1463">
        <v>13.7928</v>
      </c>
      <c r="AD1463">
        <v>-1.1064513893429999</v>
      </c>
      <c r="AE1463">
        <v>-13.620900000000001</v>
      </c>
      <c r="AF1463">
        <v>11.6346466072985</v>
      </c>
      <c r="AG1463">
        <v>-1.1064513893429999</v>
      </c>
      <c r="AH1463">
        <v>15.4262338657499</v>
      </c>
      <c r="AI1463">
        <v>93.277421803266805</v>
      </c>
      <c r="AJ1463">
        <v>52.975972952811802</v>
      </c>
      <c r="AK1463">
        <v>19.353499105704699</v>
      </c>
      <c r="AL1463">
        <v>81.637316036483199</v>
      </c>
      <c r="AM1463">
        <v>63.6730943965512</v>
      </c>
      <c r="AN1463">
        <v>1.0000000225339001</v>
      </c>
    </row>
    <row r="1464" spans="1:40" x14ac:dyDescent="0.25">
      <c r="A1464" t="str">
        <f>"20190312164017044"</f>
        <v>20190312164017044</v>
      </c>
      <c r="B1464" t="str">
        <f>"1552380017037383"</f>
        <v>1552380017037383</v>
      </c>
      <c r="C1464" t="s">
        <v>40</v>
      </c>
      <c r="D1464">
        <v>5.8121729999999996</v>
      </c>
      <c r="E1464">
        <v>0.58273079999999999</v>
      </c>
      <c r="F1464" t="s">
        <v>45</v>
      </c>
      <c r="G1464">
        <v>-195.1559</v>
      </c>
      <c r="H1464" s="1">
        <v>-4.1817159999999997E-6</v>
      </c>
      <c r="I1464">
        <v>354.77280000000002</v>
      </c>
      <c r="J1464">
        <v>-207.78630000000001</v>
      </c>
      <c r="K1464">
        <v>1.1063719999999999</v>
      </c>
      <c r="L1464">
        <v>367.23050000000001</v>
      </c>
      <c r="M1464">
        <v>0.99055499999999996</v>
      </c>
      <c r="N1464">
        <v>0</v>
      </c>
      <c r="O1464">
        <v>-0.13639209999999999</v>
      </c>
      <c r="P1464">
        <v>0.82022490000000003</v>
      </c>
      <c r="Q1464">
        <v>0.13759879999999999</v>
      </c>
      <c r="R1464">
        <v>-0.55524600000000002</v>
      </c>
      <c r="S1464">
        <v>2.222855</v>
      </c>
      <c r="T1464">
        <v>-0.1925057</v>
      </c>
      <c r="U1464">
        <v>-2.17157</v>
      </c>
      <c r="V1464">
        <v>0.43966559999999999</v>
      </c>
      <c r="W1464">
        <v>0.14565429999999999</v>
      </c>
      <c r="X1464">
        <v>0.88627250000000002</v>
      </c>
      <c r="Y1464">
        <v>0.59385169999999998</v>
      </c>
      <c r="Z1464">
        <v>-1.1737340000000001E-2</v>
      </c>
      <c r="AA1464">
        <v>0.80448889999999995</v>
      </c>
      <c r="AB1464">
        <v>24</v>
      </c>
      <c r="AC1464">
        <v>12.6304</v>
      </c>
      <c r="AD1464">
        <v>-1.1063761817159901</v>
      </c>
      <c r="AE1464">
        <v>-12.4576999999999</v>
      </c>
      <c r="AF1464">
        <v>10.5772625375242</v>
      </c>
      <c r="AG1464">
        <v>-1.1063761817159901</v>
      </c>
      <c r="AH1464">
        <v>14.1565844402521</v>
      </c>
      <c r="AI1464">
        <v>93.582463479252098</v>
      </c>
      <c r="AJ1464">
        <v>53.234310124992497</v>
      </c>
      <c r="AK1464">
        <v>17.706254094448401</v>
      </c>
      <c r="AL1464">
        <v>81.624829746970306</v>
      </c>
      <c r="AM1464">
        <v>63.614726412433797</v>
      </c>
      <c r="AN1464">
        <v>0.99999997959404896</v>
      </c>
    </row>
    <row r="1465" spans="1:40" x14ac:dyDescent="0.25">
      <c r="A1465" t="str">
        <f>"20190312164017056"</f>
        <v>20190312164017056</v>
      </c>
      <c r="B1465" t="str">
        <f>"1552380017047143"</f>
        <v>1552380017047143</v>
      </c>
      <c r="C1465" t="s">
        <v>40</v>
      </c>
      <c r="D1465">
        <v>5.7685810000000002</v>
      </c>
      <c r="E1465">
        <v>0.58384320000000001</v>
      </c>
      <c r="F1465" t="s">
        <v>45</v>
      </c>
      <c r="G1465">
        <v>-195.2319</v>
      </c>
      <c r="H1465" s="1">
        <v>-4.2072839999999999E-6</v>
      </c>
      <c r="I1465">
        <v>354.79149999999998</v>
      </c>
      <c r="J1465">
        <v>-207.64269999999999</v>
      </c>
      <c r="K1465">
        <v>1.1063000000000001</v>
      </c>
      <c r="L1465">
        <v>367.20659999999998</v>
      </c>
      <c r="M1465">
        <v>0.99001519999999998</v>
      </c>
      <c r="N1465">
        <v>0</v>
      </c>
      <c r="O1465">
        <v>-0.1402553</v>
      </c>
      <c r="P1465">
        <v>0.81755440000000001</v>
      </c>
      <c r="Q1465">
        <v>0.1373299</v>
      </c>
      <c r="R1465">
        <v>-0.55923610000000001</v>
      </c>
      <c r="S1465">
        <v>2.2087400000000001</v>
      </c>
      <c r="T1465">
        <v>-0.19464770000000001</v>
      </c>
      <c r="U1465">
        <v>-2.1884160000000001</v>
      </c>
      <c r="V1465">
        <v>0.44054589999999999</v>
      </c>
      <c r="W1465">
        <v>0.14529990000000001</v>
      </c>
      <c r="X1465">
        <v>0.8858935</v>
      </c>
      <c r="Y1465">
        <v>0.59636400000000001</v>
      </c>
      <c r="Z1465">
        <v>-1.1715629999999999E-2</v>
      </c>
      <c r="AA1465">
        <v>0.80262869999999997</v>
      </c>
      <c r="AB1465">
        <v>24</v>
      </c>
      <c r="AC1465">
        <v>12.410799999999901</v>
      </c>
      <c r="AD1465">
        <v>-1.1063042072839999</v>
      </c>
      <c r="AE1465">
        <v>-12.415099999999899</v>
      </c>
      <c r="AF1465">
        <v>10.5097628332077</v>
      </c>
      <c r="AG1465">
        <v>-1.1063042072839999</v>
      </c>
      <c r="AH1465">
        <v>13.9740558805257</v>
      </c>
      <c r="AI1465">
        <v>93.620346197543498</v>
      </c>
      <c r="AJ1465">
        <v>53.053500707133701</v>
      </c>
      <c r="AK1465">
        <v>17.520081665374299</v>
      </c>
      <c r="AL1465">
        <v>81.6453540715777</v>
      </c>
      <c r="AM1465">
        <v>63.5593047516737</v>
      </c>
      <c r="AN1465">
        <v>1.00000002214453</v>
      </c>
    </row>
    <row r="1466" spans="1:40" x14ac:dyDescent="0.25">
      <c r="A1466" t="str">
        <f>"20190312164017072"</f>
        <v>20190312164017072</v>
      </c>
      <c r="B1466" t="str">
        <f>"1552380017067640"</f>
        <v>1552380017067640</v>
      </c>
      <c r="C1466" t="s">
        <v>40</v>
      </c>
      <c r="D1466">
        <v>5.6357169999999996</v>
      </c>
      <c r="E1466">
        <v>0.58454379999999995</v>
      </c>
      <c r="F1466" t="s">
        <v>45</v>
      </c>
      <c r="G1466">
        <v>-195.84289999999999</v>
      </c>
      <c r="H1466" s="1">
        <v>-4.5993750000000003E-6</v>
      </c>
      <c r="I1466">
        <v>355.3424</v>
      </c>
      <c r="J1466">
        <v>-207.49299999999999</v>
      </c>
      <c r="K1466">
        <v>1.1062160000000001</v>
      </c>
      <c r="L1466">
        <v>367.1807</v>
      </c>
      <c r="M1466">
        <v>0.9894191</v>
      </c>
      <c r="N1466">
        <v>0</v>
      </c>
      <c r="O1466">
        <v>-0.14439949999999999</v>
      </c>
      <c r="P1466">
        <v>0.81468549999999995</v>
      </c>
      <c r="Q1466">
        <v>0.13741220000000001</v>
      </c>
      <c r="R1466">
        <v>-0.56338750000000004</v>
      </c>
      <c r="S1466">
        <v>2.1946560000000002</v>
      </c>
      <c r="T1466">
        <v>-0.205763</v>
      </c>
      <c r="U1466">
        <v>-2.2066349999999999</v>
      </c>
      <c r="V1466">
        <v>0.44137520000000002</v>
      </c>
      <c r="W1466">
        <v>0.145292899999999</v>
      </c>
      <c r="X1466">
        <v>0.88548169999999904</v>
      </c>
      <c r="Y1466">
        <v>0.59879769999999999</v>
      </c>
      <c r="Z1466">
        <v>-1.21954E-2</v>
      </c>
      <c r="AA1466">
        <v>0.80080750000000001</v>
      </c>
      <c r="AB1466">
        <v>24</v>
      </c>
      <c r="AC1466">
        <v>11.6501</v>
      </c>
      <c r="AD1466">
        <v>-1.1062205993750001</v>
      </c>
      <c r="AE1466">
        <v>-11.8383</v>
      </c>
      <c r="AF1466">
        <v>9.9874647786769994</v>
      </c>
      <c r="AG1466">
        <v>-1.1062205993750001</v>
      </c>
      <c r="AH1466">
        <v>13.1791299113147</v>
      </c>
      <c r="AI1466">
        <v>93.827256733998198</v>
      </c>
      <c r="AJ1466">
        <v>52.844266976041098</v>
      </c>
      <c r="AK1466">
        <v>16.572949102048899</v>
      </c>
      <c r="AL1466">
        <v>81.645758983989793</v>
      </c>
      <c r="AM1466">
        <v>63.505684777661003</v>
      </c>
      <c r="AN1466">
        <v>0.99999996750016895</v>
      </c>
    </row>
    <row r="1467" spans="1:40" x14ac:dyDescent="0.25">
      <c r="A1467" t="str">
        <f>"20190312164017087"</f>
        <v>20190312164017087</v>
      </c>
      <c r="B1467" t="str">
        <f>"1552380017077401"</f>
        <v>1552380017077401</v>
      </c>
      <c r="C1467" t="s">
        <v>40</v>
      </c>
      <c r="D1467">
        <v>5.9136110000000004</v>
      </c>
      <c r="E1467">
        <v>0.58566649999999998</v>
      </c>
      <c r="F1467" t="s">
        <v>45</v>
      </c>
      <c r="G1467">
        <v>-196.2158</v>
      </c>
      <c r="H1467" s="1">
        <v>-4.8469159999999997E-6</v>
      </c>
      <c r="I1467">
        <v>355.69630000000001</v>
      </c>
      <c r="J1467">
        <v>-207.33959999999999</v>
      </c>
      <c r="K1467">
        <v>1.1061350000000001</v>
      </c>
      <c r="L1467">
        <v>367.15350000000001</v>
      </c>
      <c r="M1467">
        <v>0.98877809999999999</v>
      </c>
      <c r="N1467">
        <v>0</v>
      </c>
      <c r="O1467">
        <v>-0.14872439999999901</v>
      </c>
      <c r="P1467">
        <v>0.81120040000000004</v>
      </c>
      <c r="Q1467">
        <v>0.13738</v>
      </c>
      <c r="R1467">
        <v>-0.56840190000000002</v>
      </c>
      <c r="S1467">
        <v>2.181915</v>
      </c>
      <c r="T1467">
        <v>-0.2140311</v>
      </c>
      <c r="U1467">
        <v>-2.2219850000000001</v>
      </c>
      <c r="V1467">
        <v>0.4429961</v>
      </c>
      <c r="W1467">
        <v>0.1451537</v>
      </c>
      <c r="X1467">
        <v>0.8846948</v>
      </c>
      <c r="Y1467">
        <v>0.60033049999999999</v>
      </c>
      <c r="Z1467">
        <v>-1.2437230000000001E-2</v>
      </c>
      <c r="AA1467">
        <v>0.79965529999999996</v>
      </c>
      <c r="AB1467">
        <v>24</v>
      </c>
      <c r="AC1467">
        <v>11.1237999999999</v>
      </c>
      <c r="AD1467">
        <v>-1.106139846916</v>
      </c>
      <c r="AE1467">
        <v>-11.4572</v>
      </c>
      <c r="AF1467">
        <v>9.6290093940577801</v>
      </c>
      <c r="AG1467">
        <v>-1.106139846916</v>
      </c>
      <c r="AH1467">
        <v>12.6435337511427</v>
      </c>
      <c r="AI1467">
        <v>93.981403187374099</v>
      </c>
      <c r="AJ1467">
        <v>52.707978863558601</v>
      </c>
      <c r="AK1467">
        <v>15.9311114799964</v>
      </c>
      <c r="AL1467">
        <v>81.653820413391401</v>
      </c>
      <c r="AM1467">
        <v>63.401349104835298</v>
      </c>
      <c r="AN1467">
        <v>1.00000001519296</v>
      </c>
    </row>
    <row r="1468" spans="1:40" x14ac:dyDescent="0.25">
      <c r="A1468" t="str">
        <f>"20190312164017100"</f>
        <v>20190312164017100</v>
      </c>
      <c r="B1468" t="str">
        <f>"1552380017097895"</f>
        <v>1552380017097895</v>
      </c>
      <c r="C1468" t="s">
        <v>40</v>
      </c>
      <c r="D1468">
        <v>5.7925240000000002</v>
      </c>
      <c r="E1468">
        <v>0.58508400000000005</v>
      </c>
      <c r="F1468" t="s">
        <v>45</v>
      </c>
      <c r="G1468">
        <v>-196.11670000000001</v>
      </c>
      <c r="H1468" s="1">
        <v>-4.7381849999999996E-6</v>
      </c>
      <c r="I1468">
        <v>355.51010000000002</v>
      </c>
      <c r="J1468">
        <v>-207.18860000000001</v>
      </c>
      <c r="K1468">
        <v>1.1060460000000001</v>
      </c>
      <c r="L1468">
        <v>367.12599999999998</v>
      </c>
      <c r="M1468">
        <v>0.98811640000000001</v>
      </c>
      <c r="N1468">
        <v>0</v>
      </c>
      <c r="O1468">
        <v>-0.15305759999999999</v>
      </c>
      <c r="P1468">
        <v>0.80826319999999996</v>
      </c>
      <c r="Q1468">
        <v>0.13765079999999999</v>
      </c>
      <c r="R1468">
        <v>-0.5725055</v>
      </c>
      <c r="S1468">
        <v>2.162369</v>
      </c>
      <c r="T1468">
        <v>-0.21312420000000001</v>
      </c>
      <c r="U1468">
        <v>-2.2433779999999999</v>
      </c>
      <c r="V1468">
        <v>0.44364209999999898</v>
      </c>
      <c r="W1468">
        <v>0.14533299999999999</v>
      </c>
      <c r="X1468">
        <v>0.88434159999999995</v>
      </c>
      <c r="Y1468">
        <v>0.60425260000000003</v>
      </c>
      <c r="Z1468">
        <v>-1.225117E-2</v>
      </c>
      <c r="AA1468">
        <v>0.79669860000000003</v>
      </c>
      <c r="AB1468">
        <v>24</v>
      </c>
      <c r="AC1468">
        <v>11.071899999999999</v>
      </c>
      <c r="AD1468">
        <v>-1.10605073818499</v>
      </c>
      <c r="AE1468">
        <v>-11.6158999999999</v>
      </c>
      <c r="AF1468">
        <v>9.7379373915212604</v>
      </c>
      <c r="AG1468">
        <v>-1.10605073818499</v>
      </c>
      <c r="AH1468">
        <v>12.659356473774601</v>
      </c>
      <c r="AI1468">
        <v>93.961511507495999</v>
      </c>
      <c r="AJ1468">
        <v>52.4314907917379</v>
      </c>
      <c r="AK1468">
        <v>16.0096870427478</v>
      </c>
      <c r="AL1468">
        <v>81.643437297580903</v>
      </c>
      <c r="AM1468">
        <v>63.358740111043097</v>
      </c>
      <c r="AN1468">
        <v>1.0000000296359799</v>
      </c>
    </row>
    <row r="1469" spans="1:40" x14ac:dyDescent="0.25">
      <c r="A1469" t="str">
        <f>"20190312164017113"</f>
        <v>20190312164017113</v>
      </c>
      <c r="B1469" t="str">
        <f>"1552380017107656"</f>
        <v>1552380017107656</v>
      </c>
      <c r="C1469" t="s">
        <v>40</v>
      </c>
      <c r="D1469">
        <v>5.8999739999999896</v>
      </c>
      <c r="E1469">
        <v>0.58508059999999995</v>
      </c>
      <c r="F1469" t="s">
        <v>45</v>
      </c>
      <c r="G1469">
        <v>-197.0214</v>
      </c>
      <c r="H1469" s="1">
        <v>-5.3546119999999999E-6</v>
      </c>
      <c r="I1469">
        <v>356.52550000000002</v>
      </c>
      <c r="J1469">
        <v>-207.0463</v>
      </c>
      <c r="K1469">
        <v>1.1059669999999999</v>
      </c>
      <c r="L1469">
        <v>367.0994</v>
      </c>
      <c r="M1469">
        <v>0.98745970000000005</v>
      </c>
      <c r="N1469">
        <v>0</v>
      </c>
      <c r="O1469">
        <v>-0.15723819999999999</v>
      </c>
      <c r="P1469">
        <v>0.80551219999999901</v>
      </c>
      <c r="Q1469">
        <v>0.13769400000000001</v>
      </c>
      <c r="R1469">
        <v>-0.57635970000000003</v>
      </c>
      <c r="S1469">
        <v>2.157959</v>
      </c>
      <c r="T1469">
        <v>-0.23475599999999999</v>
      </c>
      <c r="U1469">
        <v>-2.2499389999999999</v>
      </c>
      <c r="V1469">
        <v>0.44415389999999999</v>
      </c>
      <c r="W1469">
        <v>0.14529239999999999</v>
      </c>
      <c r="X1469">
        <v>0.88409130000000002</v>
      </c>
      <c r="Y1469">
        <v>0.60265740000000001</v>
      </c>
      <c r="Z1469">
        <v>-1.307111E-2</v>
      </c>
      <c r="AA1469">
        <v>0.79789299999999996</v>
      </c>
      <c r="AB1469">
        <v>24</v>
      </c>
      <c r="AC1469">
        <v>10.024900000000001</v>
      </c>
      <c r="AD1469">
        <v>-1.1059723546119999</v>
      </c>
      <c r="AE1469">
        <v>-10.573899999999901</v>
      </c>
      <c r="AF1469">
        <v>8.8151001423698094</v>
      </c>
      <c r="AG1469">
        <v>-1.1059723546119999</v>
      </c>
      <c r="AH1469">
        <v>11.4967221969044</v>
      </c>
      <c r="AI1469">
        <v>94.365552175217005</v>
      </c>
      <c r="AJ1469">
        <v>52.520849846730201</v>
      </c>
      <c r="AK1469">
        <v>14.529411090679799</v>
      </c>
      <c r="AL1469">
        <v>81.645788192046993</v>
      </c>
      <c r="AM1469">
        <v>63.325748725288697</v>
      </c>
      <c r="AN1469">
        <v>0.99999999755933</v>
      </c>
    </row>
    <row r="1470" spans="1:40" x14ac:dyDescent="0.25">
      <c r="A1470" t="str">
        <f>"20190312164017127"</f>
        <v>20190312164017127</v>
      </c>
      <c r="B1470" t="str">
        <f>"1552380017117415"</f>
        <v>1552380017117415</v>
      </c>
      <c r="C1470" t="s">
        <v>40</v>
      </c>
      <c r="D1470">
        <v>5.9504460000000003</v>
      </c>
      <c r="E1470">
        <v>0.58503340000000004</v>
      </c>
      <c r="F1470" t="s">
        <v>45</v>
      </c>
      <c r="G1470">
        <v>-197.24469999999999</v>
      </c>
      <c r="H1470" s="1">
        <v>-5.4762479999999998E-6</v>
      </c>
      <c r="I1470">
        <v>356.78469999999999</v>
      </c>
      <c r="J1470">
        <v>-206.90819999999999</v>
      </c>
      <c r="K1470">
        <v>1.1058950000000001</v>
      </c>
      <c r="L1470">
        <v>367.07279999999997</v>
      </c>
      <c r="M1470">
        <v>0.98679380000000005</v>
      </c>
      <c r="N1470">
        <v>0</v>
      </c>
      <c r="O1470">
        <v>-0.16136420000000001</v>
      </c>
      <c r="P1470">
        <v>0.80288660000000001</v>
      </c>
      <c r="Q1470">
        <v>0.13785349999999999</v>
      </c>
      <c r="R1470">
        <v>-0.57997390000000004</v>
      </c>
      <c r="S1470">
        <v>2.1482239999999999</v>
      </c>
      <c r="T1470">
        <v>-0.24239640000000001</v>
      </c>
      <c r="U1470">
        <v>-2.2606809999999999</v>
      </c>
      <c r="V1470">
        <v>0.4444649</v>
      </c>
      <c r="W1470">
        <v>0.1453769</v>
      </c>
      <c r="X1470">
        <v>0.88392109999999902</v>
      </c>
      <c r="Y1470">
        <v>0.60295489999999996</v>
      </c>
      <c r="Z1470">
        <v>-1.3169220000000001E-2</v>
      </c>
      <c r="AA1470">
        <v>0.79766649999999995</v>
      </c>
      <c r="AB1470">
        <v>24</v>
      </c>
      <c r="AC1470">
        <v>9.6635000000000009</v>
      </c>
      <c r="AD1470">
        <v>-1.105900476248</v>
      </c>
      <c r="AE1470">
        <v>-10.288099999999901</v>
      </c>
      <c r="AF1470">
        <v>8.5413148598070308</v>
      </c>
      <c r="AG1470">
        <v>-1.105900476248</v>
      </c>
      <c r="AH1470">
        <v>11.1288131927677</v>
      </c>
      <c r="AI1470">
        <v>94.507377264035597</v>
      </c>
      <c r="AJ1470">
        <v>52.493920890879799</v>
      </c>
      <c r="AK1470">
        <v>14.072226493247101</v>
      </c>
      <c r="AL1470">
        <v>81.640894769220594</v>
      </c>
      <c r="AM1470">
        <v>63.3052304485959</v>
      </c>
      <c r="AN1470">
        <v>1.00000000070541</v>
      </c>
    </row>
    <row r="1471" spans="1:40" x14ac:dyDescent="0.25">
      <c r="A1471" t="str">
        <f>"20190312164017142"</f>
        <v>20190312164017142</v>
      </c>
      <c r="B1471" t="str">
        <f>"1552380017137912"</f>
        <v>1552380017137912</v>
      </c>
      <c r="C1471" t="s">
        <v>40</v>
      </c>
      <c r="D1471">
        <v>5.6616849999999896</v>
      </c>
      <c r="E1471">
        <v>0.58330569999999904</v>
      </c>
      <c r="F1471" t="s">
        <v>45</v>
      </c>
      <c r="G1471">
        <v>-197.4522</v>
      </c>
      <c r="H1471" s="1">
        <v>-5.5941869999999898E-6</v>
      </c>
      <c r="I1471">
        <v>357.04020000000003</v>
      </c>
      <c r="J1471">
        <v>-206.7499</v>
      </c>
      <c r="K1471">
        <v>1.1058140000000001</v>
      </c>
      <c r="L1471">
        <v>367.04160000000002</v>
      </c>
      <c r="M1471">
        <v>0.98599680000000001</v>
      </c>
      <c r="N1471">
        <v>0</v>
      </c>
      <c r="O1471">
        <v>-0.16616249999999999</v>
      </c>
      <c r="P1471">
        <v>0.79992200000000002</v>
      </c>
      <c r="Q1471">
        <v>0.13769700000000001</v>
      </c>
      <c r="R1471">
        <v>-0.58409270000000002</v>
      </c>
      <c r="S1471">
        <v>2.1396329999999999</v>
      </c>
      <c r="T1471">
        <v>-0.25023570000000001</v>
      </c>
      <c r="U1471">
        <v>-2.270111</v>
      </c>
      <c r="V1471">
        <v>0.4447316</v>
      </c>
      <c r="W1471">
        <v>0.14513909999999999</v>
      </c>
      <c r="X1471">
        <v>0.88382609999999995</v>
      </c>
      <c r="Y1471">
        <v>0.60226359999999901</v>
      </c>
      <c r="Z1471">
        <v>-1.314596E-2</v>
      </c>
      <c r="AA1471">
        <v>0.79818900000000004</v>
      </c>
      <c r="AB1471">
        <v>24</v>
      </c>
      <c r="AC1471">
        <v>9.2976999999999901</v>
      </c>
      <c r="AD1471">
        <v>-1.1058195941869999</v>
      </c>
      <c r="AE1471">
        <v>-10.001399999999901</v>
      </c>
      <c r="AF1471">
        <v>8.2630662804424908</v>
      </c>
      <c r="AG1471">
        <v>-1.1058195941869999</v>
      </c>
      <c r="AH1471">
        <v>10.759885551465899</v>
      </c>
      <c r="AI1471">
        <v>94.659892957965099</v>
      </c>
      <c r="AJ1471">
        <v>52.477498614563501</v>
      </c>
      <c r="AK1471">
        <v>13.6116214467829</v>
      </c>
      <c r="AL1471">
        <v>81.6546663013646</v>
      </c>
      <c r="AM1471">
        <v>63.288960889118002</v>
      </c>
      <c r="AN1471">
        <v>1.0000000647142799</v>
      </c>
    </row>
    <row r="1472" spans="1:40" x14ac:dyDescent="0.25">
      <c r="A1472" t="str">
        <f>"20190312164017165"</f>
        <v>20190312164017165</v>
      </c>
      <c r="B1472" t="str">
        <f>"1552380017157432"</f>
        <v>1552380017157432</v>
      </c>
      <c r="C1472" t="s">
        <v>40</v>
      </c>
      <c r="D1472">
        <v>5.7907590000000004</v>
      </c>
      <c r="E1472">
        <v>0.58169510000000002</v>
      </c>
      <c r="F1472" t="s">
        <v>45</v>
      </c>
      <c r="G1472">
        <v>-197.54560000000001</v>
      </c>
      <c r="H1472" s="1">
        <v>-5.6818320000000004E-6</v>
      </c>
      <c r="I1472">
        <v>357.25839999999999</v>
      </c>
      <c r="J1472">
        <v>-206.51</v>
      </c>
      <c r="K1472">
        <v>1.1056999999999999</v>
      </c>
      <c r="L1472">
        <v>366.99239999999998</v>
      </c>
      <c r="M1472">
        <v>0.98471180000000003</v>
      </c>
      <c r="N1472">
        <v>0</v>
      </c>
      <c r="O1472">
        <v>-0.17361470000000001</v>
      </c>
      <c r="P1472">
        <v>0.79517720000000003</v>
      </c>
      <c r="Q1472">
        <v>0.13781119999999999</v>
      </c>
      <c r="R1472">
        <v>-0.59050959999999997</v>
      </c>
      <c r="S1472">
        <v>2.136444</v>
      </c>
      <c r="T1472">
        <v>-0.25667679999999998</v>
      </c>
      <c r="U1472">
        <v>-2.270813</v>
      </c>
      <c r="V1472">
        <v>0.44520500000000002</v>
      </c>
      <c r="W1472">
        <v>0.1451363</v>
      </c>
      <c r="X1472">
        <v>0.88358809999999999</v>
      </c>
      <c r="Y1472">
        <v>0.59690859999999901</v>
      </c>
      <c r="Z1472">
        <v>-1.254127E-2</v>
      </c>
      <c r="AA1472">
        <v>0.80221119999999901</v>
      </c>
      <c r="AB1472">
        <v>24</v>
      </c>
      <c r="AC1472">
        <v>8.9643999999999799</v>
      </c>
      <c r="AD1472">
        <v>-1.1057056818319999</v>
      </c>
      <c r="AE1472">
        <v>-9.7339999999999804</v>
      </c>
      <c r="AF1472">
        <v>7.9739661437528504</v>
      </c>
      <c r="AG1472">
        <v>-1.1057056818319999</v>
      </c>
      <c r="AH1472">
        <v>10.4454434213774</v>
      </c>
      <c r="AI1472">
        <v>94.809556626764802</v>
      </c>
      <c r="AJ1472">
        <v>52.642181686923102</v>
      </c>
      <c r="AK1472">
        <v>13.1876460896457</v>
      </c>
      <c r="AL1472">
        <v>81.654827768306902</v>
      </c>
      <c r="AM1472">
        <v>63.258277262217199</v>
      </c>
      <c r="AN1472">
        <v>0.99999998403214896</v>
      </c>
    </row>
    <row r="1473" spans="1:40" x14ac:dyDescent="0.25">
      <c r="A1473" t="str">
        <f>"20190312164017178"</f>
        <v>20190312164017178</v>
      </c>
      <c r="B1473" t="str">
        <f>"1552380017167193"</f>
        <v>1552380017167193</v>
      </c>
      <c r="C1473" t="s">
        <v>40</v>
      </c>
      <c r="D1473">
        <v>5.7456420000000001</v>
      </c>
      <c r="E1473">
        <v>0.58086000000000004</v>
      </c>
      <c r="F1473" t="s">
        <v>45</v>
      </c>
      <c r="G1473">
        <v>-197.0882</v>
      </c>
      <c r="H1473" s="1">
        <v>-5.4853160000000003E-6</v>
      </c>
      <c r="I1473">
        <v>356.88479999999998</v>
      </c>
      <c r="J1473">
        <v>-206.36920000000001</v>
      </c>
      <c r="K1473">
        <v>1.1056379999999999</v>
      </c>
      <c r="L1473">
        <v>366.96269999999998</v>
      </c>
      <c r="M1473">
        <v>0.98391709999999999</v>
      </c>
      <c r="N1473">
        <v>0</v>
      </c>
      <c r="O1473">
        <v>-0.17806240000000001</v>
      </c>
      <c r="P1473">
        <v>0.79182589999999997</v>
      </c>
      <c r="Q1473">
        <v>0.1385827</v>
      </c>
      <c r="R1473">
        <v>-0.59481649999999997</v>
      </c>
      <c r="S1473">
        <v>2.1239170000000001</v>
      </c>
      <c r="T1473">
        <v>-0.24925349999999999</v>
      </c>
      <c r="U1473">
        <v>-2.2785030000000002</v>
      </c>
      <c r="V1473">
        <v>0.4460652</v>
      </c>
      <c r="W1473">
        <v>0.14583070000000001</v>
      </c>
      <c r="X1473">
        <v>0.88303980000000004</v>
      </c>
      <c r="Y1473">
        <v>0.59708119999999998</v>
      </c>
      <c r="Z1473">
        <v>-1.182369E-2</v>
      </c>
      <c r="AA1473">
        <v>0.80209370000000002</v>
      </c>
      <c r="AB1473">
        <v>24</v>
      </c>
      <c r="AC1473">
        <v>9.2810000000000006</v>
      </c>
      <c r="AD1473">
        <v>-1.105643485316</v>
      </c>
      <c r="AE1473">
        <v>-10.0779</v>
      </c>
      <c r="AF1473">
        <v>8.2105779263501706</v>
      </c>
      <c r="AG1473">
        <v>-1.105643485316</v>
      </c>
      <c r="AH1473">
        <v>10.8566211687787</v>
      </c>
      <c r="AI1473">
        <v>94.643776138644697</v>
      </c>
      <c r="AJ1473">
        <v>52.900739186681101</v>
      </c>
      <c r="AK1473">
        <v>13.656583050077501</v>
      </c>
      <c r="AL1473">
        <v>81.614614048444807</v>
      </c>
      <c r="AM1473">
        <v>63.1994985570295</v>
      </c>
      <c r="AN1473">
        <v>1.0000000220487799</v>
      </c>
    </row>
    <row r="1474" spans="1:40" x14ac:dyDescent="0.25">
      <c r="A1474" t="str">
        <f>"20190312164017191"</f>
        <v>20190312164017191</v>
      </c>
      <c r="B1474" t="str">
        <f>"1552380017187689"</f>
        <v>1552380017187689</v>
      </c>
      <c r="C1474" t="s">
        <v>40</v>
      </c>
      <c r="D1474">
        <v>6.0137499999999999</v>
      </c>
      <c r="E1474">
        <v>0.57985469999999995</v>
      </c>
      <c r="F1474" t="s">
        <v>45</v>
      </c>
      <c r="G1474">
        <v>-196.7757</v>
      </c>
      <c r="H1474" s="1">
        <v>-5.3405480000000004E-6</v>
      </c>
      <c r="I1474">
        <v>356.59809999999999</v>
      </c>
      <c r="J1474">
        <v>-206.22819999999999</v>
      </c>
      <c r="K1474">
        <v>1.105585</v>
      </c>
      <c r="L1474">
        <v>366.93200000000002</v>
      </c>
      <c r="M1474">
        <v>0.98308549999999995</v>
      </c>
      <c r="N1474">
        <v>0</v>
      </c>
      <c r="O1474">
        <v>-0.18259639999999999</v>
      </c>
      <c r="P1474">
        <v>0.78806169999999998</v>
      </c>
      <c r="Q1474">
        <v>0.13959929999999901</v>
      </c>
      <c r="R1474">
        <v>-0.59955879999999995</v>
      </c>
      <c r="S1474">
        <v>2.1149439999999999</v>
      </c>
      <c r="T1474">
        <v>-0.2437463</v>
      </c>
      <c r="U1474">
        <v>-2.2849430000000002</v>
      </c>
      <c r="V1474">
        <v>0.44736179999999898</v>
      </c>
      <c r="W1474">
        <v>0.14676989999999901</v>
      </c>
      <c r="X1474">
        <v>0.88222780000000001</v>
      </c>
      <c r="Y1474">
        <v>0.59627790000000003</v>
      </c>
      <c r="Z1474">
        <v>-1.1149259999999999E-2</v>
      </c>
      <c r="AA1474">
        <v>0.80270069999999905</v>
      </c>
      <c r="AB1474">
        <v>24</v>
      </c>
      <c r="AC1474">
        <v>9.4524999999999793</v>
      </c>
      <c r="AD1474">
        <v>-1.1055903405480001</v>
      </c>
      <c r="AE1474">
        <v>-10.3338999999999</v>
      </c>
      <c r="AF1474">
        <v>8.3817298273446905</v>
      </c>
      <c r="AG1474">
        <v>-1.1055903405480001</v>
      </c>
      <c r="AH1474">
        <v>11.1114290097543</v>
      </c>
      <c r="AI1474">
        <v>94.541734704181394</v>
      </c>
      <c r="AJ1474">
        <v>52.971504210090202</v>
      </c>
      <c r="AK1474">
        <v>13.9620764766034</v>
      </c>
      <c r="AL1474">
        <v>81.560215826595496</v>
      </c>
      <c r="AM1474">
        <v>63.111256195948698</v>
      </c>
      <c r="AN1474">
        <v>0.99999993736904302</v>
      </c>
    </row>
    <row r="1475" spans="1:40" x14ac:dyDescent="0.25">
      <c r="A1475" t="str">
        <f>"20190312164017205"</f>
        <v>20190312164017205</v>
      </c>
      <c r="B1475" t="str">
        <f>"1552380017197449"</f>
        <v>1552380017197449</v>
      </c>
      <c r="C1475" t="s">
        <v>40</v>
      </c>
      <c r="D1475">
        <v>5.8877959999999998</v>
      </c>
      <c r="E1475">
        <v>0.57954059999999996</v>
      </c>
      <c r="F1475" t="s">
        <v>45</v>
      </c>
      <c r="G1475">
        <v>-196.5461</v>
      </c>
      <c r="H1475" s="1">
        <v>-5.2403009999999999E-6</v>
      </c>
      <c r="I1475">
        <v>356.4058</v>
      </c>
      <c r="J1475">
        <v>-206.09270000000001</v>
      </c>
      <c r="K1475">
        <v>1.1055429999999999</v>
      </c>
      <c r="L1475">
        <v>366.90179999999998</v>
      </c>
      <c r="M1475">
        <v>0.98225779999999996</v>
      </c>
      <c r="N1475">
        <v>0</v>
      </c>
      <c r="O1475">
        <v>-0.18699669999999999</v>
      </c>
      <c r="P1475">
        <v>0.7843173</v>
      </c>
      <c r="Q1475">
        <v>0.13998959999999999</v>
      </c>
      <c r="R1475">
        <v>-0.60435859999999997</v>
      </c>
      <c r="S1475">
        <v>2.1068419999999999</v>
      </c>
      <c r="T1475">
        <v>-0.24057609999999999</v>
      </c>
      <c r="U1475">
        <v>-2.2904969999999998</v>
      </c>
      <c r="V1475">
        <v>0.44883499999999998</v>
      </c>
      <c r="W1475">
        <v>0.147087299999999</v>
      </c>
      <c r="X1475">
        <v>0.88142640000000005</v>
      </c>
      <c r="Y1475">
        <v>0.59523780000000004</v>
      </c>
      <c r="Z1475">
        <v>-1.0594040000000001E-2</v>
      </c>
      <c r="AA1475">
        <v>0.80347979999999997</v>
      </c>
      <c r="AB1475">
        <v>24</v>
      </c>
      <c r="AC1475">
        <v>9.5466000000000104</v>
      </c>
      <c r="AD1475">
        <v>-1.105548240301</v>
      </c>
      <c r="AE1475">
        <v>-10.495999999999899</v>
      </c>
      <c r="AF1475">
        <v>8.4740047876009204</v>
      </c>
      <c r="AG1475">
        <v>-1.105548240301</v>
      </c>
      <c r="AH1475">
        <v>11.2726412417082</v>
      </c>
      <c r="AI1475">
        <v>94.4824573469146</v>
      </c>
      <c r="AJ1475">
        <v>53.066645074890999</v>
      </c>
      <c r="AK1475">
        <v>14.1457921169575</v>
      </c>
      <c r="AL1475">
        <v>81.541831272038493</v>
      </c>
      <c r="AM1475">
        <v>63.014151190178197</v>
      </c>
      <c r="AN1475">
        <v>1.0000000148316199</v>
      </c>
    </row>
    <row r="1476" spans="1:40" x14ac:dyDescent="0.25">
      <c r="A1476" t="str">
        <f>"20190312164017219"</f>
        <v>20190312164017219</v>
      </c>
      <c r="B1476" t="str">
        <f>"1552380017207207"</f>
        <v>1552380017207207</v>
      </c>
      <c r="C1476" t="s">
        <v>40</v>
      </c>
      <c r="D1476">
        <v>6.2642170000000004</v>
      </c>
      <c r="E1476">
        <v>0.57896819999999904</v>
      </c>
      <c r="F1476" t="s">
        <v>45</v>
      </c>
      <c r="G1476">
        <v>-196.40600000000001</v>
      </c>
      <c r="H1476" s="1">
        <v>-5.1536619999999997E-6</v>
      </c>
      <c r="I1476">
        <v>356.26429999999999</v>
      </c>
      <c r="J1476">
        <v>-205.94479999999999</v>
      </c>
      <c r="K1476">
        <v>1.1054980000000001</v>
      </c>
      <c r="L1476">
        <v>366.86829999999998</v>
      </c>
      <c r="M1476">
        <v>0.98132280000000005</v>
      </c>
      <c r="N1476">
        <v>0</v>
      </c>
      <c r="O1476">
        <v>-0.1918434</v>
      </c>
      <c r="P1476">
        <v>0.77950209999999998</v>
      </c>
      <c r="Q1476">
        <v>0.14056979999999999</v>
      </c>
      <c r="R1476">
        <v>-0.61042319999999906</v>
      </c>
      <c r="S1476">
        <v>2.0949399999999998</v>
      </c>
      <c r="T1476">
        <v>-0.23909569999999999</v>
      </c>
      <c r="U1476">
        <v>-2.3005680000000002</v>
      </c>
      <c r="V1476">
        <v>0.45136809999999999</v>
      </c>
      <c r="W1476">
        <v>0.14757400000000001</v>
      </c>
      <c r="X1476">
        <v>0.88005040000000001</v>
      </c>
      <c r="Y1476">
        <v>0.59532249999999998</v>
      </c>
      <c r="Z1476">
        <v>-1.013963E-2</v>
      </c>
      <c r="AA1476">
        <v>0.80342290000000005</v>
      </c>
      <c r="AB1476">
        <v>24</v>
      </c>
      <c r="AC1476">
        <v>9.5388000000000002</v>
      </c>
      <c r="AD1476">
        <v>-1.1055031536619999</v>
      </c>
      <c r="AE1476">
        <v>-10.6039999999999</v>
      </c>
      <c r="AF1476">
        <v>8.5256378442745593</v>
      </c>
      <c r="AG1476">
        <v>-1.1055031536619999</v>
      </c>
      <c r="AH1476">
        <v>11.328044728976</v>
      </c>
      <c r="AI1476">
        <v>94.458561359056802</v>
      </c>
      <c r="AJ1476">
        <v>53.034392299571401</v>
      </c>
      <c r="AK1476">
        <v>14.2208732241084</v>
      </c>
      <c r="AL1476">
        <v>81.513637424058999</v>
      </c>
      <c r="AM1476">
        <v>62.847215030077798</v>
      </c>
      <c r="AN1476">
        <v>0.99999997685688402</v>
      </c>
    </row>
    <row r="1477" spans="1:40" x14ac:dyDescent="0.25">
      <c r="A1477" t="str">
        <f>"20190312164017233"</f>
        <v>20190312164017233</v>
      </c>
      <c r="B1477" t="str">
        <f>"1552380017227704"</f>
        <v>1552380017227704</v>
      </c>
      <c r="C1477" t="s">
        <v>40</v>
      </c>
      <c r="D1477">
        <v>5.9916090000000004</v>
      </c>
      <c r="E1477">
        <v>0.57814779999999999</v>
      </c>
      <c r="F1477" t="s">
        <v>45</v>
      </c>
      <c r="G1477">
        <v>-196.2586</v>
      </c>
      <c r="H1477" s="1">
        <v>-5.0475399999999998E-6</v>
      </c>
      <c r="I1477">
        <v>356.10660000000001</v>
      </c>
      <c r="J1477">
        <v>-205.79040000000001</v>
      </c>
      <c r="K1477">
        <v>1.1054539999999999</v>
      </c>
      <c r="L1477">
        <v>366.8322</v>
      </c>
      <c r="M1477">
        <v>0.98030649999999997</v>
      </c>
      <c r="N1477">
        <v>0</v>
      </c>
      <c r="O1477">
        <v>-0.19696930000000001</v>
      </c>
      <c r="P1477">
        <v>0.77607199999999998</v>
      </c>
      <c r="Q1477">
        <v>0.13982820000000001</v>
      </c>
      <c r="R1477">
        <v>-0.61494729999999997</v>
      </c>
      <c r="S1477">
        <v>2.0809329999999999</v>
      </c>
      <c r="T1477">
        <v>-0.23750080000000001</v>
      </c>
      <c r="U1477">
        <v>-2.3119809999999998</v>
      </c>
      <c r="V1477">
        <v>0.45186860000000001</v>
      </c>
      <c r="W1477">
        <v>0.14678829999999901</v>
      </c>
      <c r="X1477">
        <v>0.87992499999999996</v>
      </c>
      <c r="Y1477">
        <v>0.5958118</v>
      </c>
      <c r="Z1477">
        <v>-9.6837950000000002E-3</v>
      </c>
      <c r="AA1477">
        <v>0.80306569999999899</v>
      </c>
      <c r="AB1477">
        <v>24</v>
      </c>
      <c r="AC1477">
        <v>9.5318000000000005</v>
      </c>
      <c r="AD1477">
        <v>-1.1054590475399999</v>
      </c>
      <c r="AE1477">
        <v>-10.725599999999901</v>
      </c>
      <c r="AF1477">
        <v>8.5868117558671901</v>
      </c>
      <c r="AG1477">
        <v>-1.1054590475399999</v>
      </c>
      <c r="AH1477">
        <v>11.3902537119597</v>
      </c>
      <c r="AI1477">
        <v>94.431457656033899</v>
      </c>
      <c r="AJ1477">
        <v>52.988323466498699</v>
      </c>
      <c r="AK1477">
        <v>14.307105069136</v>
      </c>
      <c r="AL1477">
        <v>81.559150753352895</v>
      </c>
      <c r="AM1477">
        <v>62.818104596509002</v>
      </c>
      <c r="AN1477">
        <v>1.0000000211539199</v>
      </c>
    </row>
    <row r="1478" spans="1:40" x14ac:dyDescent="0.25">
      <c r="A1478" t="str">
        <f>"20190312164017247"</f>
        <v>20190312164017247</v>
      </c>
      <c r="B1478" t="str">
        <f>"1552380017237463"</f>
        <v>1552380017237463</v>
      </c>
      <c r="C1478" t="s">
        <v>40</v>
      </c>
      <c r="D1478">
        <v>5.9577369999999998</v>
      </c>
      <c r="E1478">
        <v>0.57806569999999902</v>
      </c>
      <c r="F1478" t="s">
        <v>45</v>
      </c>
      <c r="G1478">
        <v>-196.13069999999999</v>
      </c>
      <c r="H1478" s="1">
        <v>-4.9773510000000001E-6</v>
      </c>
      <c r="I1478">
        <v>356.01679999999999</v>
      </c>
      <c r="J1478">
        <v>-205.6601</v>
      </c>
      <c r="K1478">
        <v>1.105424</v>
      </c>
      <c r="L1478">
        <v>366.80110000000002</v>
      </c>
      <c r="M1478">
        <v>0.97941990000000001</v>
      </c>
      <c r="N1478">
        <v>0</v>
      </c>
      <c r="O1478">
        <v>-0.20133100000000001</v>
      </c>
      <c r="P1478">
        <v>0.77292510000000003</v>
      </c>
      <c r="Q1478">
        <v>0.1393692</v>
      </c>
      <c r="R1478">
        <v>-0.61900159999999904</v>
      </c>
      <c r="S1478">
        <v>2.070999</v>
      </c>
      <c r="T1478">
        <v>-0.2370043</v>
      </c>
      <c r="U1478">
        <v>-2.318756</v>
      </c>
      <c r="V1478">
        <v>0.45254729999999999</v>
      </c>
      <c r="W1478">
        <v>0.14629249999999999</v>
      </c>
      <c r="X1478">
        <v>0.87965869999999902</v>
      </c>
      <c r="Y1478">
        <v>0.59533319999999901</v>
      </c>
      <c r="Z1478">
        <v>-9.2893239999999998E-3</v>
      </c>
      <c r="AA1478">
        <v>0.80342519999999995</v>
      </c>
      <c r="AB1478">
        <v>24</v>
      </c>
      <c r="AC1478">
        <v>9.5294000000000096</v>
      </c>
      <c r="AD1478">
        <v>-1.105428977351</v>
      </c>
      <c r="AE1478">
        <v>-10.7843</v>
      </c>
      <c r="AF1478">
        <v>8.5939644105476205</v>
      </c>
      <c r="AG1478">
        <v>-1.105428977351</v>
      </c>
      <c r="AH1478">
        <v>11.4381764498625</v>
      </c>
      <c r="AI1478">
        <v>94.418197919801898</v>
      </c>
      <c r="AJ1478">
        <v>53.080981348131097</v>
      </c>
      <c r="AK1478">
        <v>14.349567171587999</v>
      </c>
      <c r="AL1478">
        <v>81.587867760165196</v>
      </c>
      <c r="AM1478">
        <v>62.776090493908001</v>
      </c>
      <c r="AN1478">
        <v>0.99999999138961404</v>
      </c>
    </row>
    <row r="1479" spans="1:40" x14ac:dyDescent="0.25">
      <c r="A1479" t="str">
        <f>"20190312164017260"</f>
        <v>20190312164017260</v>
      </c>
      <c r="B1479" t="str">
        <f>"1552380017257961"</f>
        <v>1552380017257961</v>
      </c>
      <c r="C1479" t="s">
        <v>40</v>
      </c>
      <c r="D1479">
        <v>5.7617349999999998</v>
      </c>
      <c r="E1479">
        <v>0.57838230000000002</v>
      </c>
      <c r="F1479" t="s">
        <v>45</v>
      </c>
      <c r="G1479">
        <v>-196.0703</v>
      </c>
      <c r="H1479" s="1">
        <v>-4.9321510000000001E-6</v>
      </c>
      <c r="I1479">
        <v>355.94850000000002</v>
      </c>
      <c r="J1479">
        <v>-205.5188</v>
      </c>
      <c r="K1479">
        <v>1.1053930000000001</v>
      </c>
      <c r="L1479">
        <v>366.76670000000001</v>
      </c>
      <c r="M1479">
        <v>0.97843069999999999</v>
      </c>
      <c r="N1479">
        <v>0</v>
      </c>
      <c r="O1479">
        <v>-0.20608309999999999</v>
      </c>
      <c r="P1479">
        <v>0.76933569999999996</v>
      </c>
      <c r="Q1479">
        <v>0.1387031</v>
      </c>
      <c r="R1479">
        <v>-0.62360579999999999</v>
      </c>
      <c r="S1479">
        <v>2.0585019999999998</v>
      </c>
      <c r="T1479">
        <v>-0.23728659999999999</v>
      </c>
      <c r="U1479">
        <v>-2.3295590000000002</v>
      </c>
      <c r="V1479">
        <v>0.45350790000000002</v>
      </c>
      <c r="W1479">
        <v>0.145587299999999</v>
      </c>
      <c r="X1479">
        <v>0.87928090000000003</v>
      </c>
      <c r="Y1479">
        <v>0.59571189999999996</v>
      </c>
      <c r="Z1479">
        <v>-8.9332290000000009E-3</v>
      </c>
      <c r="AA1479">
        <v>0.80314849999999904</v>
      </c>
      <c r="AB1479">
        <v>24</v>
      </c>
      <c r="AC1479">
        <v>9.4484999999999904</v>
      </c>
      <c r="AD1479">
        <v>-1.1053979321509999</v>
      </c>
      <c r="AE1479">
        <v>-10.8181999999999</v>
      </c>
      <c r="AF1479">
        <v>8.5876975813549095</v>
      </c>
      <c r="AG1479">
        <v>-1.1053979321509999</v>
      </c>
      <c r="AH1479">
        <v>11.407751111083</v>
      </c>
      <c r="AI1479">
        <v>94.426729051355295</v>
      </c>
      <c r="AJ1479">
        <v>53.027750424542603</v>
      </c>
      <c r="AK1479">
        <v>14.3215655481385</v>
      </c>
      <c r="AL1479">
        <v>81.628710006063301</v>
      </c>
      <c r="AM1479">
        <v>62.716612753300403</v>
      </c>
      <c r="AN1479">
        <v>0.99999998919425503</v>
      </c>
    </row>
    <row r="1480" spans="1:40" x14ac:dyDescent="0.25">
      <c r="A1480" t="str">
        <f>"20190312164017277"</f>
        <v>20190312164017277</v>
      </c>
      <c r="B1480" t="str">
        <f>"1552380017267719"</f>
        <v>1552380017267719</v>
      </c>
      <c r="C1480" t="s">
        <v>40</v>
      </c>
      <c r="D1480">
        <v>5.6794840000000004</v>
      </c>
      <c r="E1480">
        <v>0.57838230000000002</v>
      </c>
      <c r="F1480" t="s">
        <v>45</v>
      </c>
      <c r="G1480">
        <v>-195.82230000000001</v>
      </c>
      <c r="H1480" s="1">
        <v>-4.7282830000000003E-6</v>
      </c>
      <c r="I1480">
        <v>355.62889999999999</v>
      </c>
      <c r="J1480">
        <v>-205.33920000000001</v>
      </c>
      <c r="K1480">
        <v>1.105364</v>
      </c>
      <c r="L1480">
        <v>366.72190000000001</v>
      </c>
      <c r="M1480">
        <v>0.97713019999999995</v>
      </c>
      <c r="N1480">
        <v>0</v>
      </c>
      <c r="O1480">
        <v>-0.2121642</v>
      </c>
      <c r="P1480">
        <v>0.76374849999999905</v>
      </c>
      <c r="Q1480">
        <v>0.1371164</v>
      </c>
      <c r="R1480">
        <v>-0.63078330000000005</v>
      </c>
      <c r="S1480">
        <v>2.0410460000000001</v>
      </c>
      <c r="T1480">
        <v>-0.23268079999999999</v>
      </c>
      <c r="U1480">
        <v>-2.344452</v>
      </c>
      <c r="V1480">
        <v>0.456206</v>
      </c>
      <c r="W1480">
        <v>0.1439317</v>
      </c>
      <c r="X1480">
        <v>0.87815699999999997</v>
      </c>
      <c r="Y1480">
        <v>0.5966998</v>
      </c>
      <c r="Z1480">
        <v>-8.3240290000000002E-3</v>
      </c>
      <c r="AA1480">
        <v>0.80242139999999995</v>
      </c>
      <c r="AB1480">
        <v>23</v>
      </c>
      <c r="AC1480">
        <v>9.5168999999999908</v>
      </c>
      <c r="AD1480">
        <v>-1.105368728283</v>
      </c>
      <c r="AE1480">
        <v>-11.093</v>
      </c>
      <c r="AF1480">
        <v>8.7708895372564992</v>
      </c>
      <c r="AG1480">
        <v>-1.105368728283</v>
      </c>
      <c r="AH1480">
        <v>11.587694230649801</v>
      </c>
      <c r="AI1480">
        <v>94.349548788997495</v>
      </c>
      <c r="AJ1480">
        <v>52.877406215984998</v>
      </c>
      <c r="AK1480">
        <v>14.5748070616134</v>
      </c>
      <c r="AL1480">
        <v>81.724578654614206</v>
      </c>
      <c r="AM1480">
        <v>62.547946612457203</v>
      </c>
      <c r="AN1480">
        <v>0.99999998267494405</v>
      </c>
    </row>
    <row r="1481" spans="1:40" x14ac:dyDescent="0.25">
      <c r="A1481" t="str">
        <f>"20190312164017293"</f>
        <v>20190312164017293</v>
      </c>
      <c r="B1481" t="str">
        <f>"1552380017287240"</f>
        <v>1552380017287240</v>
      </c>
      <c r="C1481" t="s">
        <v>40</v>
      </c>
      <c r="D1481">
        <v>5.8690480000000003</v>
      </c>
      <c r="E1481">
        <v>0.60234259999999995</v>
      </c>
      <c r="F1481" t="s">
        <v>45</v>
      </c>
      <c r="G1481">
        <v>-195.94110000000001</v>
      </c>
      <c r="H1481" s="1">
        <v>-4.7979749999999996E-6</v>
      </c>
      <c r="I1481">
        <v>355.72199999999998</v>
      </c>
      <c r="J1481">
        <v>-205.1909</v>
      </c>
      <c r="K1481">
        <v>1.1053500000000001</v>
      </c>
      <c r="L1481">
        <v>366.68380000000002</v>
      </c>
      <c r="M1481">
        <v>0.97601780000000005</v>
      </c>
      <c r="N1481">
        <v>0</v>
      </c>
      <c r="O1481">
        <v>-0.2172239</v>
      </c>
      <c r="P1481">
        <v>0.75976369999999904</v>
      </c>
      <c r="Q1481">
        <v>0.13596159999999999</v>
      </c>
      <c r="R1481">
        <v>-0.63582510000000003</v>
      </c>
      <c r="S1481">
        <v>2.0189509999999999</v>
      </c>
      <c r="T1481">
        <v>-0.23746139999999999</v>
      </c>
      <c r="U1481">
        <v>-2.3630680000000002</v>
      </c>
      <c r="V1481">
        <v>0.4574164</v>
      </c>
      <c r="W1481">
        <v>0.14274719999999999</v>
      </c>
      <c r="X1481">
        <v>0.87772059999999996</v>
      </c>
      <c r="Y1481">
        <v>0.5999565</v>
      </c>
      <c r="Z1481">
        <v>-8.2493949999999996E-3</v>
      </c>
      <c r="AA1481">
        <v>0.79999010000000004</v>
      </c>
      <c r="AB1481">
        <v>23</v>
      </c>
      <c r="AC1481">
        <v>9.2497999999999898</v>
      </c>
      <c r="AD1481">
        <v>-1.105354797975</v>
      </c>
      <c r="AE1481">
        <v>-10.9618</v>
      </c>
      <c r="AF1481">
        <v>8.6392066726571404</v>
      </c>
      <c r="AG1481">
        <v>-1.105354797975</v>
      </c>
      <c r="AH1481">
        <v>11.3429249947483</v>
      </c>
      <c r="AI1481">
        <v>94.432922923780296</v>
      </c>
      <c r="AJ1481">
        <v>52.705710862792799</v>
      </c>
      <c r="AK1481">
        <v>14.301036626719601</v>
      </c>
      <c r="AL1481">
        <v>81.793153696137395</v>
      </c>
      <c r="AM1481">
        <v>62.474121926924703</v>
      </c>
      <c r="AN1481">
        <v>0.99999998888057995</v>
      </c>
    </row>
    <row r="1482" spans="1:40" x14ac:dyDescent="0.25">
      <c r="A1482" t="str">
        <f>"20190312164017309"</f>
        <v>20190312164017309</v>
      </c>
      <c r="B1482" t="str">
        <f>"1552380017297975"</f>
        <v>1552380017297975</v>
      </c>
      <c r="C1482" t="s">
        <v>40</v>
      </c>
      <c r="D1482">
        <v>5.9341039999999996</v>
      </c>
      <c r="E1482">
        <v>0.60301269999999996</v>
      </c>
      <c r="F1482" t="s">
        <v>45</v>
      </c>
      <c r="G1482">
        <v>-197.2706</v>
      </c>
      <c r="H1482" s="1">
        <v>-5.2426649999999999E-6</v>
      </c>
      <c r="I1482">
        <v>356.07479999999998</v>
      </c>
      <c r="J1482">
        <v>-205.0206</v>
      </c>
      <c r="K1482">
        <v>1.1053269999999999</v>
      </c>
      <c r="L1482">
        <v>366.63900000000001</v>
      </c>
      <c r="M1482">
        <v>0.9747015</v>
      </c>
      <c r="N1482">
        <v>0</v>
      </c>
      <c r="O1482">
        <v>-0.22305510000000001</v>
      </c>
      <c r="P1482">
        <v>0.754320199999999</v>
      </c>
      <c r="Q1482">
        <v>0.13476869999999999</v>
      </c>
      <c r="R1482">
        <v>-0.64252529999999997</v>
      </c>
      <c r="S1482">
        <v>1.8838649999999999</v>
      </c>
      <c r="T1482">
        <v>-0.26291140000000002</v>
      </c>
      <c r="U1482">
        <v>-2.5233759999999998</v>
      </c>
      <c r="V1482">
        <v>0.45988240000000002</v>
      </c>
      <c r="W1482">
        <v>0.14150209999999999</v>
      </c>
      <c r="X1482">
        <v>0.87663289999999905</v>
      </c>
      <c r="Y1482">
        <v>0.64628319999999995</v>
      </c>
      <c r="Z1482">
        <v>-1.119445E-2</v>
      </c>
      <c r="AA1482">
        <v>0.76301560000000002</v>
      </c>
      <c r="AB1482">
        <v>23</v>
      </c>
      <c r="AC1482">
        <v>7.75</v>
      </c>
      <c r="AD1482">
        <v>-1.1053322426650001</v>
      </c>
      <c r="AE1482">
        <v>-10.5642</v>
      </c>
      <c r="AF1482">
        <v>8.5085795291623398</v>
      </c>
      <c r="AG1482">
        <v>-1.1053322426650001</v>
      </c>
      <c r="AH1482">
        <v>9.8413016501905908</v>
      </c>
      <c r="AI1482">
        <v>94.856384058360007</v>
      </c>
      <c r="AJ1482">
        <v>49.1540058604525</v>
      </c>
      <c r="AK1482">
        <v>13.0563740426199</v>
      </c>
      <c r="AL1482">
        <v>81.8652239945106</v>
      </c>
      <c r="AM1482">
        <v>62.318456477379101</v>
      </c>
      <c r="AN1482">
        <v>0.99999995374828798</v>
      </c>
    </row>
    <row r="1483" spans="1:40" x14ac:dyDescent="0.25">
      <c r="A1483" t="str">
        <f>"20190312164017322"</f>
        <v>20190312164017322</v>
      </c>
      <c r="B1483" t="str">
        <f>"1552380017317495"</f>
        <v>1552380017317495</v>
      </c>
      <c r="C1483" t="s">
        <v>40</v>
      </c>
      <c r="D1483">
        <v>5.8089449999999996</v>
      </c>
      <c r="E1483">
        <v>0.60213109999999903</v>
      </c>
      <c r="F1483" t="s">
        <v>45</v>
      </c>
      <c r="G1483">
        <v>-197.55850000000001</v>
      </c>
      <c r="H1483" s="1">
        <v>-5.406529E-6</v>
      </c>
      <c r="I1483">
        <v>356.43</v>
      </c>
      <c r="J1483">
        <v>-204.88650000000001</v>
      </c>
      <c r="K1483">
        <v>1.105318</v>
      </c>
      <c r="L1483">
        <v>366.60309999999998</v>
      </c>
      <c r="M1483">
        <v>0.97363500000000003</v>
      </c>
      <c r="N1483">
        <v>0</v>
      </c>
      <c r="O1483">
        <v>-0.2276649</v>
      </c>
      <c r="P1483">
        <v>0.75072150000000004</v>
      </c>
      <c r="Q1483">
        <v>0.13416320000000001</v>
      </c>
      <c r="R1483">
        <v>-0.64685190000000004</v>
      </c>
      <c r="S1483">
        <v>1.859421</v>
      </c>
      <c r="T1483">
        <v>-0.27542850000000002</v>
      </c>
      <c r="U1483">
        <v>-2.5439150000000001</v>
      </c>
      <c r="V1483">
        <v>0.46074660000000001</v>
      </c>
      <c r="W1483">
        <v>0.14087710000000001</v>
      </c>
      <c r="X1483">
        <v>0.87627980000000005</v>
      </c>
      <c r="Y1483">
        <v>0.65024759999999904</v>
      </c>
      <c r="Z1483">
        <v>-1.153333E-2</v>
      </c>
      <c r="AA1483">
        <v>0.7596349</v>
      </c>
      <c r="AB1483">
        <v>23</v>
      </c>
      <c r="AC1483">
        <v>7.3280000000000003</v>
      </c>
      <c r="AD1483">
        <v>-1.1053234065289901</v>
      </c>
      <c r="AE1483">
        <v>-10.1730999999999</v>
      </c>
      <c r="AF1483">
        <v>8.1738666170766301</v>
      </c>
      <c r="AG1483">
        <v>-1.1053234065289901</v>
      </c>
      <c r="AH1483">
        <v>9.3789214348973502</v>
      </c>
      <c r="AI1483">
        <v>95.077161725912006</v>
      </c>
      <c r="AJ1483">
        <v>48.927375280469398</v>
      </c>
      <c r="AK1483">
        <v>12.4899160360971</v>
      </c>
      <c r="AL1483">
        <v>81.901396892745097</v>
      </c>
      <c r="AM1483">
        <v>62.2646739005041</v>
      </c>
      <c r="AN1483">
        <v>1.0000000373019999</v>
      </c>
    </row>
    <row r="1484" spans="1:40" x14ac:dyDescent="0.25">
      <c r="A1484" t="str">
        <f>"20190312164017336"</f>
        <v>20190312164017336</v>
      </c>
      <c r="B1484" t="str">
        <f>"1552380017327256"</f>
        <v>1552380017327256</v>
      </c>
      <c r="C1484" t="s">
        <v>40</v>
      </c>
      <c r="D1484">
        <v>5.8092699999999997</v>
      </c>
      <c r="E1484">
        <v>0.60213109999999903</v>
      </c>
      <c r="F1484" t="s">
        <v>45</v>
      </c>
      <c r="G1484">
        <v>-197.55430000000001</v>
      </c>
      <c r="H1484" s="1">
        <v>-5.4279269999999998E-6</v>
      </c>
      <c r="I1484">
        <v>356.49579999999997</v>
      </c>
      <c r="J1484">
        <v>-204.7422</v>
      </c>
      <c r="K1484">
        <v>1.1053120000000001</v>
      </c>
      <c r="L1484">
        <v>366.56369999999998</v>
      </c>
      <c r="M1484">
        <v>0.97245809999999999</v>
      </c>
      <c r="N1484">
        <v>0</v>
      </c>
      <c r="O1484">
        <v>-0.23264070000000001</v>
      </c>
      <c r="P1484">
        <v>0.7467068</v>
      </c>
      <c r="Q1484">
        <v>0.1338802</v>
      </c>
      <c r="R1484">
        <v>-0.65154060000000003</v>
      </c>
      <c r="S1484">
        <v>1.84935</v>
      </c>
      <c r="T1484">
        <v>-0.27879100000000001</v>
      </c>
      <c r="U1484">
        <v>-2.5493160000000001</v>
      </c>
      <c r="V1484">
        <v>0.46174169999999998</v>
      </c>
      <c r="W1484">
        <v>0.140573</v>
      </c>
      <c r="X1484">
        <v>0.87580469999999899</v>
      </c>
      <c r="Y1484">
        <v>0.64907969999999904</v>
      </c>
      <c r="Z1484">
        <v>-1.1125970000000001E-2</v>
      </c>
      <c r="AA1484">
        <v>0.76063910000000001</v>
      </c>
      <c r="AB1484">
        <v>23</v>
      </c>
      <c r="AC1484">
        <v>7.1878999999999804</v>
      </c>
      <c r="AD1484">
        <v>-1.1053174279269999</v>
      </c>
      <c r="AE1484">
        <v>-10.0679</v>
      </c>
      <c r="AF1484">
        <v>8.0549314094125108</v>
      </c>
      <c r="AG1484">
        <v>-1.1053174279269999</v>
      </c>
      <c r="AH1484">
        <v>9.2591628506879395</v>
      </c>
      <c r="AI1484">
        <v>95.146438435654602</v>
      </c>
      <c r="AJ1484">
        <v>48.978633927016602</v>
      </c>
      <c r="AK1484">
        <v>12.3221647173854</v>
      </c>
      <c r="AL1484">
        <v>81.918995521823305</v>
      </c>
      <c r="AM1484">
        <v>62.200907890917101</v>
      </c>
      <c r="AN1484">
        <v>1.00000001919498</v>
      </c>
    </row>
    <row r="1485" spans="1:40" x14ac:dyDescent="0.25">
      <c r="A1485" t="str">
        <f>"20190312164017346"</f>
        <v>20190312164017346</v>
      </c>
      <c r="B1485" t="str">
        <f>"1552380017337992"</f>
        <v>1552380017337992</v>
      </c>
      <c r="C1485" t="s">
        <v>40</v>
      </c>
      <c r="D1485">
        <v>6.1159249999999998</v>
      </c>
      <c r="E1485">
        <v>0.60336880000000004</v>
      </c>
      <c r="F1485" t="s">
        <v>45</v>
      </c>
      <c r="G1485">
        <v>-197.4845</v>
      </c>
      <c r="H1485" s="1">
        <v>-5.3924399999999997E-6</v>
      </c>
      <c r="I1485">
        <v>356.42239999999998</v>
      </c>
      <c r="J1485">
        <v>-204.62979999999999</v>
      </c>
      <c r="K1485">
        <v>1.1053090000000001</v>
      </c>
      <c r="L1485">
        <v>366.53219999999999</v>
      </c>
      <c r="M1485">
        <v>0.9715182</v>
      </c>
      <c r="N1485">
        <v>0</v>
      </c>
      <c r="O1485">
        <v>-0.2365351</v>
      </c>
      <c r="P1485">
        <v>0.74347779999999997</v>
      </c>
      <c r="Q1485">
        <v>0.1335789</v>
      </c>
      <c r="R1485">
        <v>-0.65528430000000004</v>
      </c>
      <c r="S1485">
        <v>1.832916</v>
      </c>
      <c r="T1485">
        <v>-0.2791479</v>
      </c>
      <c r="U1485">
        <v>-2.561188</v>
      </c>
      <c r="V1485">
        <v>0.46261999999999998</v>
      </c>
      <c r="W1485">
        <v>0.1402525</v>
      </c>
      <c r="X1485">
        <v>0.87539249999999902</v>
      </c>
      <c r="Y1485">
        <v>0.65092890000000003</v>
      </c>
      <c r="Z1485">
        <v>-1.088357E-2</v>
      </c>
      <c r="AA1485">
        <v>0.75906070000000003</v>
      </c>
      <c r="AB1485">
        <v>23</v>
      </c>
      <c r="AC1485">
        <v>7.14529999999999</v>
      </c>
      <c r="AD1485">
        <v>-1.10531439244</v>
      </c>
      <c r="AE1485">
        <v>-10.1098</v>
      </c>
      <c r="AF1485">
        <v>8.0682530384769997</v>
      </c>
      <c r="AG1485">
        <v>-1.10531439244</v>
      </c>
      <c r="AH1485">
        <v>9.2602446041683795</v>
      </c>
      <c r="AI1485">
        <v>95.142438692306001</v>
      </c>
      <c r="AJ1485">
        <v>48.935059544581698</v>
      </c>
      <c r="AK1485">
        <v>12.3316891433435</v>
      </c>
      <c r="AL1485">
        <v>81.937542639766605</v>
      </c>
      <c r="AM1485">
        <v>62.144824029256299</v>
      </c>
      <c r="AN1485">
        <v>1.00000002860624</v>
      </c>
    </row>
    <row r="1486" spans="1:40" x14ac:dyDescent="0.25">
      <c r="A1486" t="str">
        <f>"20190312164017359"</f>
        <v>20190312164017359</v>
      </c>
      <c r="B1486" t="str">
        <f>"1552380017347752"</f>
        <v>1552380017347752</v>
      </c>
      <c r="C1486" t="s">
        <v>40</v>
      </c>
      <c r="D1486">
        <v>5.9101650000000001</v>
      </c>
      <c r="E1486">
        <v>0.60306990000000005</v>
      </c>
      <c r="F1486" t="s">
        <v>45</v>
      </c>
      <c r="G1486">
        <v>-197.6131</v>
      </c>
      <c r="H1486" s="1">
        <v>-5.458081E-6</v>
      </c>
      <c r="I1486">
        <v>356.55849999999998</v>
      </c>
      <c r="J1486">
        <v>-204.50489999999999</v>
      </c>
      <c r="K1486">
        <v>1.1053029999999999</v>
      </c>
      <c r="L1486">
        <v>366.49700000000001</v>
      </c>
      <c r="M1486">
        <v>0.97045360000000003</v>
      </c>
      <c r="N1486">
        <v>0</v>
      </c>
      <c r="O1486">
        <v>-0.24086550000000001</v>
      </c>
      <c r="P1486">
        <v>0.74014880000000005</v>
      </c>
      <c r="Q1486">
        <v>0.1332159</v>
      </c>
      <c r="R1486">
        <v>-0.65911529999999996</v>
      </c>
      <c r="S1486">
        <v>1.8139190000000001</v>
      </c>
      <c r="T1486">
        <v>-0.28573929999999997</v>
      </c>
      <c r="U1486">
        <v>-2.5783390000000002</v>
      </c>
      <c r="V1486">
        <v>0.46321990000000002</v>
      </c>
      <c r="W1486">
        <v>0.13987520000000001</v>
      </c>
      <c r="X1486">
        <v>0.87513549999999996</v>
      </c>
      <c r="Y1486">
        <v>0.65359750000000005</v>
      </c>
      <c r="Z1486">
        <v>-1.087754E-2</v>
      </c>
      <c r="AA1486">
        <v>0.7567642</v>
      </c>
      <c r="AB1486">
        <v>23</v>
      </c>
      <c r="AC1486">
        <v>6.8917999999999804</v>
      </c>
      <c r="AD1486">
        <v>-1.105308458081</v>
      </c>
      <c r="AE1486">
        <v>-9.9384999999999692</v>
      </c>
      <c r="AF1486">
        <v>7.9195225423142004</v>
      </c>
      <c r="AG1486">
        <v>-1.105308458081</v>
      </c>
      <c r="AH1486">
        <v>9.0077030181753006</v>
      </c>
      <c r="AI1486">
        <v>95.265200132877098</v>
      </c>
      <c r="AJ1486">
        <v>48.678244418238599</v>
      </c>
      <c r="AK1486">
        <v>12.0448851281103</v>
      </c>
      <c r="AL1486">
        <v>81.959374881531403</v>
      </c>
      <c r="AM1486">
        <v>62.107184773380403</v>
      </c>
      <c r="AN1486">
        <v>0.99999994534564796</v>
      </c>
    </row>
    <row r="1487" spans="1:40" x14ac:dyDescent="0.25">
      <c r="A1487" t="str">
        <f>"20190312164017371"</f>
        <v>20190312164017371</v>
      </c>
      <c r="B1487" t="str">
        <f>"1552380017367273"</f>
        <v>1552380017367273</v>
      </c>
      <c r="C1487" t="s">
        <v>40</v>
      </c>
      <c r="D1487">
        <v>5.6885940000000002</v>
      </c>
      <c r="E1487">
        <v>0.60388589999999998</v>
      </c>
      <c r="F1487" t="s">
        <v>45</v>
      </c>
      <c r="G1487">
        <v>-197.52209999999999</v>
      </c>
      <c r="H1487" s="1">
        <v>-5.4170300000000004E-6</v>
      </c>
      <c r="I1487">
        <v>356.47829999999999</v>
      </c>
      <c r="J1487">
        <v>-204.37989999999999</v>
      </c>
      <c r="K1487">
        <v>1.1052930000000001</v>
      </c>
      <c r="L1487">
        <v>366.46080000000001</v>
      </c>
      <c r="M1487">
        <v>0.96936040000000001</v>
      </c>
      <c r="N1487">
        <v>0</v>
      </c>
      <c r="O1487">
        <v>-0.2452278</v>
      </c>
      <c r="P1487">
        <v>0.73670170000000001</v>
      </c>
      <c r="Q1487">
        <v>0.13264570000000001</v>
      </c>
      <c r="R1487">
        <v>-0.66308089999999997</v>
      </c>
      <c r="S1487">
        <v>1.8020940000000001</v>
      </c>
      <c r="T1487">
        <v>-0.28525260000000002</v>
      </c>
      <c r="U1487">
        <v>-2.5855709999999998</v>
      </c>
      <c r="V1487">
        <v>0.46395550000000002</v>
      </c>
      <c r="W1487">
        <v>0.13928499999999999</v>
      </c>
      <c r="X1487">
        <v>0.87483999999999995</v>
      </c>
      <c r="Y1487">
        <v>0.65353859999999997</v>
      </c>
      <c r="Z1487">
        <v>-1.0426960000000001E-2</v>
      </c>
      <c r="AA1487">
        <v>0.75682130000000003</v>
      </c>
      <c r="AB1487">
        <v>23</v>
      </c>
      <c r="AC1487">
        <v>6.8577999999999903</v>
      </c>
      <c r="AD1487">
        <v>-1.10529841703</v>
      </c>
      <c r="AE1487">
        <v>-9.9825000000000106</v>
      </c>
      <c r="AF1487">
        <v>7.9296857908498604</v>
      </c>
      <c r="AG1487">
        <v>-1.10529841703</v>
      </c>
      <c r="AH1487">
        <v>9.0214539640282005</v>
      </c>
      <c r="AI1487">
        <v>95.257725774674896</v>
      </c>
      <c r="AJ1487">
        <v>48.685146150184103</v>
      </c>
      <c r="AK1487">
        <v>12.0618503123432</v>
      </c>
      <c r="AL1487">
        <v>81.993525770404403</v>
      </c>
      <c r="AM1487">
        <v>62.061569181995601</v>
      </c>
      <c r="AN1487">
        <v>1.0000000214026199</v>
      </c>
    </row>
    <row r="1488" spans="1:40" x14ac:dyDescent="0.25">
      <c r="A1488" t="str">
        <f>"20190312164017387"</f>
        <v>20190312164017387</v>
      </c>
      <c r="B1488" t="str">
        <f>"1552380017377031"</f>
        <v>1552380017377031</v>
      </c>
      <c r="C1488" t="s">
        <v>40</v>
      </c>
      <c r="D1488">
        <v>5.9847549999999998</v>
      </c>
      <c r="E1488">
        <v>0.60402540000000005</v>
      </c>
      <c r="F1488" t="s">
        <v>45</v>
      </c>
      <c r="G1488">
        <v>-196.9074</v>
      </c>
      <c r="H1488" s="1">
        <v>-4.9265449999999999E-6</v>
      </c>
      <c r="I1488">
        <v>355.53809999999999</v>
      </c>
      <c r="J1488">
        <v>-204.2193</v>
      </c>
      <c r="K1488">
        <v>1.1052770000000001</v>
      </c>
      <c r="L1488">
        <v>366.4135</v>
      </c>
      <c r="M1488">
        <v>0.96791890000000003</v>
      </c>
      <c r="N1488">
        <v>0</v>
      </c>
      <c r="O1488">
        <v>-0.25085639999999998</v>
      </c>
      <c r="P1488">
        <v>0.7320449</v>
      </c>
      <c r="Q1488">
        <v>0.13182739999999901</v>
      </c>
      <c r="R1488">
        <v>-0.66838009999999903</v>
      </c>
      <c r="S1488">
        <v>1.7790220000000001</v>
      </c>
      <c r="T1488">
        <v>-0.26314409999999999</v>
      </c>
      <c r="U1488">
        <v>-2.6004330000000002</v>
      </c>
      <c r="V1488">
        <v>0.46514509999999998</v>
      </c>
      <c r="W1488">
        <v>0.13843259999999999</v>
      </c>
      <c r="X1488">
        <v>0.87434349999999905</v>
      </c>
      <c r="Y1488">
        <v>0.65596709999999903</v>
      </c>
      <c r="Z1488">
        <v>-9.2570280000000005E-3</v>
      </c>
      <c r="AA1488">
        <v>0.75473269999999903</v>
      </c>
      <c r="AB1488">
        <v>23</v>
      </c>
      <c r="AC1488">
        <v>7.3118999999999996</v>
      </c>
      <c r="AD1488">
        <v>-1.105281926545</v>
      </c>
      <c r="AE1488">
        <v>-10.875400000000001</v>
      </c>
      <c r="AF1488">
        <v>8.6317539447100398</v>
      </c>
      <c r="AG1488">
        <v>-1.105281926545</v>
      </c>
      <c r="AH1488">
        <v>9.7372254560640101</v>
      </c>
      <c r="AI1488">
        <v>94.855113659078597</v>
      </c>
      <c r="AJ1488">
        <v>48.443988331843798</v>
      </c>
      <c r="AK1488">
        <v>13.0591877190499</v>
      </c>
      <c r="AL1488">
        <v>82.042842712356006</v>
      </c>
      <c r="AM1488">
        <v>61.987310741122698</v>
      </c>
      <c r="AN1488">
        <v>1.0000000523945001</v>
      </c>
    </row>
    <row r="1489" spans="1:40" x14ac:dyDescent="0.25">
      <c r="A1489" t="str">
        <f>"20190312164017400"</f>
        <v>20190312164017400</v>
      </c>
      <c r="B1489" t="str">
        <f>"1552380017387768"</f>
        <v>1552380017387768</v>
      </c>
      <c r="C1489" t="s">
        <v>40</v>
      </c>
      <c r="D1489">
        <v>5.7147220000000001</v>
      </c>
      <c r="E1489">
        <v>0.60428740000000003</v>
      </c>
      <c r="F1489" t="s">
        <v>45</v>
      </c>
      <c r="G1489">
        <v>-196.99950000000001</v>
      </c>
      <c r="H1489" s="1">
        <v>-5.0169670000000001E-6</v>
      </c>
      <c r="I1489">
        <v>355.68830000000003</v>
      </c>
      <c r="J1489">
        <v>-204.09129999999999</v>
      </c>
      <c r="K1489">
        <v>1.1052630000000001</v>
      </c>
      <c r="L1489">
        <v>366.37520000000001</v>
      </c>
      <c r="M1489">
        <v>0.96674040000000006</v>
      </c>
      <c r="N1489">
        <v>0</v>
      </c>
      <c r="O1489">
        <v>-0.25536019999999998</v>
      </c>
      <c r="P1489">
        <v>0.72869189999999995</v>
      </c>
      <c r="Q1489">
        <v>0.13129009999999999</v>
      </c>
      <c r="R1489">
        <v>-0.6721393</v>
      </c>
      <c r="S1489">
        <v>1.7597659999999999</v>
      </c>
      <c r="T1489">
        <v>-0.26940579999999997</v>
      </c>
      <c r="U1489">
        <v>-2.6141969999999999</v>
      </c>
      <c r="V1489">
        <v>0.46554879999999998</v>
      </c>
      <c r="W1489">
        <v>0.1378759</v>
      </c>
      <c r="X1489">
        <v>0.87421659999999901</v>
      </c>
      <c r="Y1489">
        <v>0.65806229999999999</v>
      </c>
      <c r="Z1489">
        <v>-9.1836120000000007E-3</v>
      </c>
      <c r="AA1489">
        <v>0.75290749999999995</v>
      </c>
      <c r="AB1489">
        <v>23</v>
      </c>
      <c r="AC1489">
        <v>7.0917999999999699</v>
      </c>
      <c r="AD1489">
        <v>-1.1052680169669999</v>
      </c>
      <c r="AE1489">
        <v>-10.6868999999999</v>
      </c>
      <c r="AF1489">
        <v>8.4585504985791609</v>
      </c>
      <c r="AG1489">
        <v>-1.1052680169669999</v>
      </c>
      <c r="AH1489">
        <v>9.5152559639896701</v>
      </c>
      <c r="AI1489">
        <v>94.961675948218797</v>
      </c>
      <c r="AJ1489">
        <v>48.364626827497503</v>
      </c>
      <c r="AK1489">
        <v>12.7792327620473</v>
      </c>
      <c r="AL1489">
        <v>82.075048129405602</v>
      </c>
      <c r="AM1489">
        <v>61.963245593465103</v>
      </c>
      <c r="AN1489">
        <v>1.0000000563489</v>
      </c>
    </row>
    <row r="1490" spans="1:40" x14ac:dyDescent="0.25">
      <c r="A1490" t="str">
        <f>"20190312164017412"</f>
        <v>20190312164017412</v>
      </c>
      <c r="B1490" t="str">
        <f>"1552380017407288"</f>
        <v>1552380017407288</v>
      </c>
      <c r="C1490" t="s">
        <v>40</v>
      </c>
      <c r="D1490">
        <v>5.7474669999999897</v>
      </c>
      <c r="E1490">
        <v>0.60464189999999995</v>
      </c>
      <c r="F1490" t="s">
        <v>45</v>
      </c>
      <c r="G1490">
        <v>-196.80969999999999</v>
      </c>
      <c r="H1490" s="1">
        <v>-4.8458420000000001E-6</v>
      </c>
      <c r="I1490">
        <v>355.41129999999998</v>
      </c>
      <c r="J1490">
        <v>-203.96619999999999</v>
      </c>
      <c r="K1490">
        <v>1.105246</v>
      </c>
      <c r="L1490">
        <v>366.33690000000001</v>
      </c>
      <c r="M1490">
        <v>0.96555800000000003</v>
      </c>
      <c r="N1490">
        <v>0</v>
      </c>
      <c r="O1490">
        <v>-0.25979479999999999</v>
      </c>
      <c r="P1490">
        <v>0.72535819999999995</v>
      </c>
      <c r="Q1490">
        <v>0.13099910000000001</v>
      </c>
      <c r="R1490">
        <v>-0.6757919</v>
      </c>
      <c r="S1490">
        <v>1.7433620000000001</v>
      </c>
      <c r="T1490">
        <v>-0.26462350000000001</v>
      </c>
      <c r="U1490">
        <v>-2.6249690000000001</v>
      </c>
      <c r="V1490">
        <v>0.46591779999999999</v>
      </c>
      <c r="W1490">
        <v>0.13756179999999901</v>
      </c>
      <c r="X1490">
        <v>0.87406949999999894</v>
      </c>
      <c r="Y1490">
        <v>0.65935250000000001</v>
      </c>
      <c r="Z1490">
        <v>-8.6914690000000003E-3</v>
      </c>
      <c r="AA1490">
        <v>0.75178369999999894</v>
      </c>
      <c r="AB1490">
        <v>23</v>
      </c>
      <c r="AC1490">
        <v>7.1564999999999896</v>
      </c>
      <c r="AD1490">
        <v>-1.1052508458419901</v>
      </c>
      <c r="AE1490">
        <v>-10.925599999999999</v>
      </c>
      <c r="AF1490">
        <v>8.6291724983269997</v>
      </c>
      <c r="AG1490">
        <v>-1.1052508458419901</v>
      </c>
      <c r="AH1490">
        <v>9.6801056878412606</v>
      </c>
      <c r="AI1490">
        <v>94.871522682386995</v>
      </c>
      <c r="AJ1490">
        <v>48.285112514210503</v>
      </c>
      <c r="AK1490">
        <v>13.0149392455706</v>
      </c>
      <c r="AL1490">
        <v>82.093217958378403</v>
      </c>
      <c r="AM1490">
        <v>61.9404058508483</v>
      </c>
      <c r="AN1490">
        <v>1.00000006800316</v>
      </c>
    </row>
    <row r="1491" spans="1:40" x14ac:dyDescent="0.25">
      <c r="A1491" t="str">
        <f>"20190312164017424"</f>
        <v>20190312164017424</v>
      </c>
      <c r="B1491" t="str">
        <f>"1552380017418024"</f>
        <v>1552380017418024</v>
      </c>
      <c r="C1491" t="s">
        <v>40</v>
      </c>
      <c r="D1491">
        <v>6.0598390000000002</v>
      </c>
      <c r="E1491">
        <v>0.60479539999999998</v>
      </c>
      <c r="F1491" t="s">
        <v>45</v>
      </c>
      <c r="G1491">
        <v>-196.45580000000001</v>
      </c>
      <c r="H1491" s="1">
        <v>-4.5132969999999998E-6</v>
      </c>
      <c r="I1491">
        <v>354.86590000000001</v>
      </c>
      <c r="J1491">
        <v>-203.84379999999999</v>
      </c>
      <c r="K1491">
        <v>1.105227</v>
      </c>
      <c r="L1491">
        <v>366.29880000000003</v>
      </c>
      <c r="M1491">
        <v>0.96437300000000004</v>
      </c>
      <c r="N1491">
        <v>0</v>
      </c>
      <c r="O1491">
        <v>-0.26415929999999999</v>
      </c>
      <c r="P1491">
        <v>0.72203580000000001</v>
      </c>
      <c r="Q1491">
        <v>0.13095670000000001</v>
      </c>
      <c r="R1491">
        <v>-0.67934869999999903</v>
      </c>
      <c r="S1491">
        <v>1.72587599999999</v>
      </c>
      <c r="T1491">
        <v>-0.25398470000000001</v>
      </c>
      <c r="U1491">
        <v>-2.6360169999999998</v>
      </c>
      <c r="V1491">
        <v>0.4662654</v>
      </c>
      <c r="W1491">
        <v>0.1374928</v>
      </c>
      <c r="X1491">
        <v>0.87389490000000003</v>
      </c>
      <c r="Y1491">
        <v>0.66099540000000001</v>
      </c>
      <c r="Z1491">
        <v>-8.0535469999999994E-3</v>
      </c>
      <c r="AA1491">
        <v>0.75034679999999998</v>
      </c>
      <c r="AB1491">
        <v>23</v>
      </c>
      <c r="AC1491">
        <v>7.3879999999999697</v>
      </c>
      <c r="AD1491">
        <v>-1.1052315132970001</v>
      </c>
      <c r="AE1491">
        <v>-11.4329</v>
      </c>
      <c r="AF1491">
        <v>9.0154656297362497</v>
      </c>
      <c r="AG1491">
        <v>-1.1052315132970001</v>
      </c>
      <c r="AH1491">
        <v>10.0794841422916</v>
      </c>
      <c r="AI1491">
        <v>94.672345856899994</v>
      </c>
      <c r="AJ1491">
        <v>48.189366332401001</v>
      </c>
      <c r="AK1491">
        <v>13.5682039265943</v>
      </c>
      <c r="AL1491">
        <v>82.097208710178506</v>
      </c>
      <c r="AM1491">
        <v>61.917911449946097</v>
      </c>
      <c r="AN1491">
        <v>0.99999999476750501</v>
      </c>
    </row>
    <row r="1492" spans="1:40" x14ac:dyDescent="0.25">
      <c r="A1492" t="str">
        <f>"20190312164017445"</f>
        <v>20190312164017445</v>
      </c>
      <c r="B1492" t="str">
        <f>"1552380017437544"</f>
        <v>1552380017437544</v>
      </c>
      <c r="C1492" t="s">
        <v>40</v>
      </c>
      <c r="D1492">
        <v>5.6708280000000002</v>
      </c>
      <c r="E1492">
        <v>0.60500559999999903</v>
      </c>
      <c r="F1492" t="s">
        <v>45</v>
      </c>
      <c r="G1492">
        <v>-196.05510000000001</v>
      </c>
      <c r="H1492" s="1">
        <v>-4.1209800000000003E-6</v>
      </c>
      <c r="I1492">
        <v>354.24310000000003</v>
      </c>
      <c r="J1492">
        <v>-203.64599999999999</v>
      </c>
      <c r="K1492">
        <v>1.1051899999999999</v>
      </c>
      <c r="L1492">
        <v>366.23610000000002</v>
      </c>
      <c r="M1492">
        <v>0.96239680000000005</v>
      </c>
      <c r="N1492">
        <v>0</v>
      </c>
      <c r="O1492">
        <v>-0.27127010000000001</v>
      </c>
      <c r="P1492">
        <v>0.71678839999999999</v>
      </c>
      <c r="Q1492">
        <v>0.13128870000000001</v>
      </c>
      <c r="R1492">
        <v>-0.68481950000000003</v>
      </c>
      <c r="S1492">
        <v>1.7094119999999999</v>
      </c>
      <c r="T1492">
        <v>-0.2425708</v>
      </c>
      <c r="U1492">
        <v>-2.6459350000000001</v>
      </c>
      <c r="V1492">
        <v>0.46649499999999999</v>
      </c>
      <c r="W1492">
        <v>0.1377804</v>
      </c>
      <c r="X1492">
        <v>0.87372700000000003</v>
      </c>
      <c r="Y1492">
        <v>0.66016109999999995</v>
      </c>
      <c r="Z1492">
        <v>-7.0424859999999997E-3</v>
      </c>
      <c r="AA1492">
        <v>0.75109099999999995</v>
      </c>
      <c r="AB1492">
        <v>23</v>
      </c>
      <c r="AC1492">
        <v>7.5908999999999702</v>
      </c>
      <c r="AD1492">
        <v>-1.10519412097999</v>
      </c>
      <c r="AE1492">
        <v>-11.992999999999901</v>
      </c>
      <c r="AF1492">
        <v>9.4266567671146095</v>
      </c>
      <c r="AG1492">
        <v>-1.10519412097999</v>
      </c>
      <c r="AH1492">
        <v>10.496241489215199</v>
      </c>
      <c r="AI1492">
        <v>94.479325844503293</v>
      </c>
      <c r="AJ1492">
        <v>48.073042623471899</v>
      </c>
      <c r="AK1492">
        <v>14.1511270664198</v>
      </c>
      <c r="AL1492">
        <v>82.080571729889897</v>
      </c>
      <c r="AM1492">
        <v>61.9016212092926</v>
      </c>
      <c r="AN1492">
        <v>0.99999994708907802</v>
      </c>
    </row>
    <row r="1493" spans="1:40" x14ac:dyDescent="0.25">
      <c r="A1493" t="str">
        <f>"20190312164017459"</f>
        <v>20190312164017459</v>
      </c>
      <c r="B1493" t="str">
        <f>"1552380017447304"</f>
        <v>1552380017447304</v>
      </c>
      <c r="C1493" t="s">
        <v>40</v>
      </c>
      <c r="D1493">
        <v>5.7799839999999998</v>
      </c>
      <c r="E1493">
        <v>0.6050063</v>
      </c>
      <c r="F1493" t="s">
        <v>45</v>
      </c>
      <c r="G1493">
        <v>-195.19450000000001</v>
      </c>
      <c r="H1493" s="1">
        <v>-3.2444819999999999E-6</v>
      </c>
      <c r="I1493">
        <v>352.88049999999998</v>
      </c>
      <c r="J1493">
        <v>-203.50739999999999</v>
      </c>
      <c r="K1493">
        <v>1.1051599999999999</v>
      </c>
      <c r="L1493">
        <v>366.19119999999998</v>
      </c>
      <c r="M1493">
        <v>0.9609664</v>
      </c>
      <c r="N1493">
        <v>0</v>
      </c>
      <c r="O1493">
        <v>-0.2762947</v>
      </c>
      <c r="P1493">
        <v>0.71329929999999997</v>
      </c>
      <c r="Q1493">
        <v>0.13092709999999999</v>
      </c>
      <c r="R1493">
        <v>-0.68852209999999903</v>
      </c>
      <c r="S1493">
        <v>1.6836850000000001</v>
      </c>
      <c r="T1493">
        <v>-0.22017490000000001</v>
      </c>
      <c r="U1493">
        <v>-2.6606749999999999</v>
      </c>
      <c r="V1493">
        <v>0.46644249999999998</v>
      </c>
      <c r="W1493">
        <v>0.13738789999999901</v>
      </c>
      <c r="X1493">
        <v>0.87381679999999995</v>
      </c>
      <c r="Y1493">
        <v>0.6634833</v>
      </c>
      <c r="Z1493">
        <v>-6.1777289999999999E-3</v>
      </c>
      <c r="AA1493">
        <v>0.74816569999999905</v>
      </c>
      <c r="AB1493">
        <v>23</v>
      </c>
      <c r="AC1493">
        <v>8.3128999999999795</v>
      </c>
      <c r="AD1493">
        <v>-1.1051632444820001</v>
      </c>
      <c r="AE1493">
        <v>-13.310699999999899</v>
      </c>
      <c r="AF1493">
        <v>10.4436065432009</v>
      </c>
      <c r="AG1493">
        <v>-1.1051632444820001</v>
      </c>
      <c r="AH1493">
        <v>11.609711629606499</v>
      </c>
      <c r="AI1493">
        <v>94.048184767539297</v>
      </c>
      <c r="AJ1493">
        <v>48.026788776717702</v>
      </c>
      <c r="AK1493">
        <v>15.6548940446354</v>
      </c>
      <c r="AL1493">
        <v>82.103276030820794</v>
      </c>
      <c r="AM1493">
        <v>61.906746618630301</v>
      </c>
      <c r="AN1493">
        <v>0.99999992041744601</v>
      </c>
    </row>
    <row r="1494" spans="1:40" x14ac:dyDescent="0.25">
      <c r="A1494" t="str">
        <f>"20190312164017471"</f>
        <v>20190312164017471</v>
      </c>
      <c r="B1494" t="str">
        <f>"1552380017467800"</f>
        <v>1552380017467800</v>
      </c>
      <c r="C1494" t="s">
        <v>40</v>
      </c>
      <c r="D1494">
        <v>5.6914439999999997</v>
      </c>
      <c r="E1494">
        <v>0.60487340000000001</v>
      </c>
      <c r="F1494" t="s">
        <v>45</v>
      </c>
      <c r="G1494">
        <v>-194.88659999999999</v>
      </c>
      <c r="H1494" s="1">
        <v>-2.9323970000000002E-6</v>
      </c>
      <c r="I1494">
        <v>352.39600000000002</v>
      </c>
      <c r="J1494">
        <v>-203.3716</v>
      </c>
      <c r="K1494">
        <v>1.105118</v>
      </c>
      <c r="L1494">
        <v>366.14609999999999</v>
      </c>
      <c r="M1494">
        <v>0.95951660000000005</v>
      </c>
      <c r="N1494">
        <v>0</v>
      </c>
      <c r="O1494">
        <v>-0.28128779999999998</v>
      </c>
      <c r="P1494">
        <v>0.70964689999999997</v>
      </c>
      <c r="Q1494">
        <v>0.1309641</v>
      </c>
      <c r="R1494">
        <v>-0.69227859999999997</v>
      </c>
      <c r="S1494">
        <v>1.6682589999999999</v>
      </c>
      <c r="T1494">
        <v>-0.2138642</v>
      </c>
      <c r="U1494">
        <v>-2.669556</v>
      </c>
      <c r="V1494">
        <v>0.4665279</v>
      </c>
      <c r="W1494">
        <v>0.13738699999999901</v>
      </c>
      <c r="X1494">
        <v>0.87377139999999998</v>
      </c>
      <c r="Y1494">
        <v>0.66387929999999995</v>
      </c>
      <c r="Z1494">
        <v>-5.6456659999999997E-3</v>
      </c>
      <c r="AA1494">
        <v>0.74781839999999999</v>
      </c>
      <c r="AB1494">
        <v>23</v>
      </c>
      <c r="AC1494">
        <v>8.4850000000000101</v>
      </c>
      <c r="AD1494">
        <v>-1.1051209323969999</v>
      </c>
      <c r="AE1494">
        <v>-13.7501</v>
      </c>
      <c r="AF1494">
        <v>10.757504720986599</v>
      </c>
      <c r="AG1494">
        <v>-1.1051209323969999</v>
      </c>
      <c r="AH1494">
        <v>11.9545395846734</v>
      </c>
      <c r="AI1494">
        <v>93.931032714168097</v>
      </c>
      <c r="AJ1494">
        <v>48.0169739511514</v>
      </c>
      <c r="AK1494">
        <v>16.1200563516011</v>
      </c>
      <c r="AL1494">
        <v>82.103328439845995</v>
      </c>
      <c r="AM1494">
        <v>61.901152057769202</v>
      </c>
      <c r="AN1494">
        <v>0.99999996435268401</v>
      </c>
    </row>
    <row r="1495" spans="1:40" x14ac:dyDescent="0.25">
      <c r="A1495" t="str">
        <f>"20190312164017489"</f>
        <v>20190312164017489</v>
      </c>
      <c r="B1495" t="str">
        <f>"1552380017477560"</f>
        <v>1552380017477560</v>
      </c>
      <c r="C1495" t="s">
        <v>40</v>
      </c>
      <c r="D1495">
        <v>5.7328210000000004</v>
      </c>
      <c r="E1495">
        <v>0.60492500000000005</v>
      </c>
      <c r="F1495" t="s">
        <v>45</v>
      </c>
      <c r="G1495">
        <v>-194.6369</v>
      </c>
      <c r="H1495" s="1">
        <v>-2.6501630000000001E-6</v>
      </c>
      <c r="I1495">
        <v>351.99560000000002</v>
      </c>
      <c r="J1495">
        <v>-203.20060000000001</v>
      </c>
      <c r="K1495">
        <v>1.1050690000000001</v>
      </c>
      <c r="L1495">
        <v>366.0883</v>
      </c>
      <c r="M1495">
        <v>0.95763419999999999</v>
      </c>
      <c r="N1495">
        <v>0</v>
      </c>
      <c r="O1495">
        <v>-0.28763040000000001</v>
      </c>
      <c r="P1495">
        <v>0.70517529999999995</v>
      </c>
      <c r="Q1495">
        <v>0.1312178</v>
      </c>
      <c r="R1495">
        <v>-0.69678490000000004</v>
      </c>
      <c r="S1495">
        <v>1.653259</v>
      </c>
      <c r="T1495">
        <v>-0.2091721</v>
      </c>
      <c r="U1495">
        <v>-2.6783450000000002</v>
      </c>
      <c r="V1495">
        <v>0.46634609999999899</v>
      </c>
      <c r="W1495">
        <v>0.13759479999999999</v>
      </c>
      <c r="X1495">
        <v>0.87383580000000005</v>
      </c>
      <c r="Y1495">
        <v>0.66311100000000001</v>
      </c>
      <c r="Z1495">
        <v>-5.0166919999999997E-3</v>
      </c>
      <c r="AA1495">
        <v>0.74850430000000001</v>
      </c>
      <c r="AB1495">
        <v>23</v>
      </c>
      <c r="AC1495">
        <v>8.5637000000000096</v>
      </c>
      <c r="AD1495">
        <v>-1.105071650163</v>
      </c>
      <c r="AE1495">
        <v>-14.092699999999899</v>
      </c>
      <c r="AF1495">
        <v>10.9842785709233</v>
      </c>
      <c r="AG1495">
        <v>-1.105071650163</v>
      </c>
      <c r="AH1495">
        <v>12.2008508800001</v>
      </c>
      <c r="AI1495">
        <v>93.850940758696495</v>
      </c>
      <c r="AJ1495">
        <v>48.003674898386997</v>
      </c>
      <c r="AK1495">
        <v>16.4540670131016</v>
      </c>
      <c r="AL1495">
        <v>82.091308581417294</v>
      </c>
      <c r="AM1495">
        <v>61.9121835403106</v>
      </c>
      <c r="AN1495">
        <v>1.0000000096669399</v>
      </c>
    </row>
    <row r="1496" spans="1:40" x14ac:dyDescent="0.25">
      <c r="A1496" t="str">
        <f>"20190312164017501"</f>
        <v>20190312164017501</v>
      </c>
      <c r="B1496" t="str">
        <f>"1552380017497080"</f>
        <v>1552380017497080</v>
      </c>
      <c r="C1496" t="s">
        <v>40</v>
      </c>
      <c r="D1496">
        <v>5.9064449999999997</v>
      </c>
      <c r="E1496">
        <v>0.60518689999999997</v>
      </c>
      <c r="F1496" t="s">
        <v>45</v>
      </c>
      <c r="G1496">
        <v>-194.54810000000001</v>
      </c>
      <c r="H1496" s="1">
        <v>-2.5475460000000002E-6</v>
      </c>
      <c r="I1496">
        <v>351.8621</v>
      </c>
      <c r="J1496">
        <v>-203.07470000000001</v>
      </c>
      <c r="K1496">
        <v>1.10503</v>
      </c>
      <c r="L1496">
        <v>366.04489999999998</v>
      </c>
      <c r="M1496">
        <v>0.95620459999999996</v>
      </c>
      <c r="N1496">
        <v>0</v>
      </c>
      <c r="O1496">
        <v>-0.29234759999999999</v>
      </c>
      <c r="P1496">
        <v>0.70154729999999998</v>
      </c>
      <c r="Q1496">
        <v>0.13123789999999999</v>
      </c>
      <c r="R1496">
        <v>-0.70043409999999995</v>
      </c>
      <c r="S1496">
        <v>1.6357269999999999</v>
      </c>
      <c r="T1496">
        <v>-0.2089094</v>
      </c>
      <c r="U1496">
        <v>-2.6893919999999998</v>
      </c>
      <c r="V1496">
        <v>0.46658739999999999</v>
      </c>
      <c r="W1496">
        <v>0.13757030000000001</v>
      </c>
      <c r="X1496">
        <v>0.87371080000000001</v>
      </c>
      <c r="Y1496">
        <v>0.66435679999999997</v>
      </c>
      <c r="Z1496">
        <v>-4.7216039999999999E-3</v>
      </c>
      <c r="AA1496">
        <v>0.74740069999999903</v>
      </c>
      <c r="AB1496">
        <v>23</v>
      </c>
      <c r="AC1496">
        <v>8.5266000000000002</v>
      </c>
      <c r="AD1496">
        <v>-1.1050325475460001</v>
      </c>
      <c r="AE1496">
        <v>-14.182799999999901</v>
      </c>
      <c r="AF1496">
        <v>11.020924412418699</v>
      </c>
      <c r="AG1496">
        <v>-1.1050325475460001</v>
      </c>
      <c r="AH1496">
        <v>12.2461419389744</v>
      </c>
      <c r="AI1496">
        <v>93.837247103015201</v>
      </c>
      <c r="AJ1496">
        <v>48.014347100647797</v>
      </c>
      <c r="AK1496">
        <v>16.512112651774501</v>
      </c>
      <c r="AL1496">
        <v>82.092725534738193</v>
      </c>
      <c r="AM1496">
        <v>61.8964648515352</v>
      </c>
      <c r="AN1496">
        <v>0.99999997565874399</v>
      </c>
    </row>
    <row r="1497" spans="1:40" x14ac:dyDescent="0.25">
      <c r="A1497" t="str">
        <f>"20190312164017513"</f>
        <v>20190312164017513</v>
      </c>
      <c r="B1497" t="str">
        <f>"1552380017507816"</f>
        <v>1552380017507816</v>
      </c>
      <c r="C1497" t="s">
        <v>40</v>
      </c>
      <c r="D1497">
        <v>5.6820629999999896</v>
      </c>
      <c r="E1497">
        <v>0.6050489</v>
      </c>
      <c r="F1497" t="s">
        <v>45</v>
      </c>
      <c r="G1497">
        <v>-194.54259999999999</v>
      </c>
      <c r="H1497" s="1">
        <v>-2.526913E-6</v>
      </c>
      <c r="I1497">
        <v>351.8297</v>
      </c>
      <c r="J1497">
        <v>-202.95160000000001</v>
      </c>
      <c r="K1497">
        <v>1.1049869999999999</v>
      </c>
      <c r="L1497">
        <v>366.00170000000003</v>
      </c>
      <c r="M1497">
        <v>0.95476570000000005</v>
      </c>
      <c r="N1497">
        <v>0</v>
      </c>
      <c r="O1497">
        <v>-0.29701270000000002</v>
      </c>
      <c r="P1497">
        <v>0.69783339999999905</v>
      </c>
      <c r="Q1497">
        <v>0.1314562</v>
      </c>
      <c r="R1497">
        <v>-0.70409350000000004</v>
      </c>
      <c r="S1497">
        <v>1.620285</v>
      </c>
      <c r="T1497">
        <v>-0.20985100000000001</v>
      </c>
      <c r="U1497">
        <v>-2.6995239999999998</v>
      </c>
      <c r="V1497">
        <v>0.46692149999999999</v>
      </c>
      <c r="W1497">
        <v>0.137738</v>
      </c>
      <c r="X1497">
        <v>0.87350589999999995</v>
      </c>
      <c r="Y1497">
        <v>0.66509069999999904</v>
      </c>
      <c r="Z1497">
        <v>-4.430402E-3</v>
      </c>
      <c r="AA1497">
        <v>0.74674940000000001</v>
      </c>
      <c r="AB1497">
        <v>23</v>
      </c>
      <c r="AC1497">
        <v>8.4090000000000096</v>
      </c>
      <c r="AD1497">
        <v>-1.1049895269129999</v>
      </c>
      <c r="AE1497">
        <v>-14.172000000000001</v>
      </c>
      <c r="AF1497">
        <v>10.9851034938971</v>
      </c>
      <c r="AG1497">
        <v>-1.1049895269129999</v>
      </c>
      <c r="AH1497">
        <v>12.1843643377129</v>
      </c>
      <c r="AI1497">
        <v>93.853392592836599</v>
      </c>
      <c r="AJ1497">
        <v>47.963008055395797</v>
      </c>
      <c r="AK1497">
        <v>16.4423913996823</v>
      </c>
      <c r="AL1497">
        <v>82.083024882101896</v>
      </c>
      <c r="AM1497">
        <v>61.8738332941953</v>
      </c>
      <c r="AN1497">
        <v>1.0000000005705201</v>
      </c>
    </row>
    <row r="1498" spans="1:40" x14ac:dyDescent="0.25">
      <c r="A1498" t="str">
        <f>"20190312164017526"</f>
        <v>20190312164017526</v>
      </c>
      <c r="B1498" t="str">
        <f>"1552380017517576"</f>
        <v>1552380017517576</v>
      </c>
      <c r="C1498" t="s">
        <v>40</v>
      </c>
      <c r="D1498">
        <v>5.7862850000000003</v>
      </c>
      <c r="E1498">
        <v>0.6051356</v>
      </c>
      <c r="F1498" t="s">
        <v>45</v>
      </c>
      <c r="G1498">
        <v>-194.3997</v>
      </c>
      <c r="H1498" s="1">
        <v>-2.347601E-6</v>
      </c>
      <c r="I1498">
        <v>351.59100000000001</v>
      </c>
      <c r="J1498">
        <v>-202.8381</v>
      </c>
      <c r="K1498">
        <v>1.1049450000000001</v>
      </c>
      <c r="L1498">
        <v>365.96120000000002</v>
      </c>
      <c r="M1498">
        <v>0.95339989999999997</v>
      </c>
      <c r="N1498">
        <v>0</v>
      </c>
      <c r="O1498">
        <v>-0.30136849999999998</v>
      </c>
      <c r="P1498">
        <v>0.69471700000000003</v>
      </c>
      <c r="Q1498">
        <v>0.13167760000000001</v>
      </c>
      <c r="R1498">
        <v>-0.70712790000000003</v>
      </c>
      <c r="S1498">
        <v>1.6065830000000001</v>
      </c>
      <c r="T1498">
        <v>-0.20758740000000001</v>
      </c>
      <c r="U1498">
        <v>-2.7072449999999999</v>
      </c>
      <c r="V1498">
        <v>0.46677020000000002</v>
      </c>
      <c r="W1498">
        <v>0.13791879999999901</v>
      </c>
      <c r="X1498">
        <v>0.87355830000000001</v>
      </c>
      <c r="Y1498">
        <v>0.66543540000000001</v>
      </c>
      <c r="Z1498">
        <v>-4.0785320000000002E-3</v>
      </c>
      <c r="AA1498">
        <v>0.74644429999999995</v>
      </c>
      <c r="AB1498">
        <v>23</v>
      </c>
      <c r="AC1498">
        <v>8.4383999999999997</v>
      </c>
      <c r="AD1498">
        <v>-1.1049473476010001</v>
      </c>
      <c r="AE1498">
        <v>-14.370200000000001</v>
      </c>
      <c r="AF1498">
        <v>11.109784217046</v>
      </c>
      <c r="AG1498">
        <v>-1.1049473476010001</v>
      </c>
      <c r="AH1498">
        <v>12.3229918745606</v>
      </c>
      <c r="AI1498">
        <v>93.810073573072003</v>
      </c>
      <c r="AJ1498">
        <v>47.963783215212203</v>
      </c>
      <c r="AK1498">
        <v>16.628419730412801</v>
      </c>
      <c r="AL1498">
        <v>82.072566454919297</v>
      </c>
      <c r="AM1498">
        <v>61.882981204334399</v>
      </c>
      <c r="AN1498">
        <v>1.0000000592501801</v>
      </c>
    </row>
    <row r="1499" spans="1:40" x14ac:dyDescent="0.25">
      <c r="A1499" t="str">
        <f>"20190312164017544"</f>
        <v>20190312164017544</v>
      </c>
      <c r="B1499" t="str">
        <f>"1552380017538089"</f>
        <v>1552380017538089</v>
      </c>
      <c r="C1499" t="s">
        <v>40</v>
      </c>
      <c r="D1499">
        <v>5.4743680000000001</v>
      </c>
      <c r="E1499">
        <v>0.60459890000000005</v>
      </c>
      <c r="F1499" t="s">
        <v>45</v>
      </c>
      <c r="G1499">
        <v>-194.29810000000001</v>
      </c>
      <c r="H1499" s="1">
        <v>-2.2135000000000001E-6</v>
      </c>
      <c r="I1499">
        <v>351.41019999999997</v>
      </c>
      <c r="J1499">
        <v>-202.6491</v>
      </c>
      <c r="K1499">
        <v>1.1048709999999999</v>
      </c>
      <c r="L1499">
        <v>365.89240000000001</v>
      </c>
      <c r="M1499">
        <v>0.95104630000000001</v>
      </c>
      <c r="N1499">
        <v>0</v>
      </c>
      <c r="O1499">
        <v>-0.30871409999999899</v>
      </c>
      <c r="P1499">
        <v>0.68919929999999996</v>
      </c>
      <c r="Q1499">
        <v>0.13177079999999999</v>
      </c>
      <c r="R1499">
        <v>-0.71248909999999999</v>
      </c>
      <c r="S1499">
        <v>1.5936129999999999</v>
      </c>
      <c r="T1499">
        <v>-0.20618900000000001</v>
      </c>
      <c r="U1499">
        <v>-2.7153019999999999</v>
      </c>
      <c r="V1499">
        <v>0.46683400000000003</v>
      </c>
      <c r="W1499">
        <v>0.13793159999999999</v>
      </c>
      <c r="X1499">
        <v>0.87352209999999997</v>
      </c>
      <c r="Y1499">
        <v>0.66332449999999998</v>
      </c>
      <c r="Z1499">
        <v>-3.4106129999999998E-3</v>
      </c>
      <c r="AA1499">
        <v>0.74832410000000005</v>
      </c>
      <c r="AB1499">
        <v>23</v>
      </c>
      <c r="AC1499">
        <v>8.3509999999999902</v>
      </c>
      <c r="AD1499">
        <v>-1.1048732134999999</v>
      </c>
      <c r="AE1499">
        <v>-14.482200000000001</v>
      </c>
      <c r="AF1499">
        <v>11.147634498125999</v>
      </c>
      <c r="AG1499">
        <v>-1.1048732134999999</v>
      </c>
      <c r="AH1499">
        <v>12.3603388849802</v>
      </c>
      <c r="AI1499">
        <v>93.797704071741606</v>
      </c>
      <c r="AJ1499">
        <v>47.953096128863798</v>
      </c>
      <c r="AK1499">
        <v>16.681381150050999</v>
      </c>
      <c r="AL1499">
        <v>82.071825395769807</v>
      </c>
      <c r="AM1499">
        <v>61.878739107333999</v>
      </c>
      <c r="AN1499">
        <v>0.99999998451148397</v>
      </c>
    </row>
    <row r="1500" spans="1:40" x14ac:dyDescent="0.25">
      <c r="A1500" t="str">
        <f>"20190312164017555"</f>
        <v>20190312164017555</v>
      </c>
      <c r="B1500" t="str">
        <f>"1552380017547832"</f>
        <v>1552380017547832</v>
      </c>
      <c r="C1500" t="s">
        <v>40</v>
      </c>
      <c r="D1500">
        <v>5.7572159999999997</v>
      </c>
      <c r="E1500">
        <v>0.6045102</v>
      </c>
      <c r="F1500" t="s">
        <v>45</v>
      </c>
      <c r="G1500">
        <v>-193.84800000000001</v>
      </c>
      <c r="H1500" s="1">
        <v>-1.6372810000000001E-6</v>
      </c>
      <c r="I1500">
        <v>350.63900000000001</v>
      </c>
      <c r="J1500">
        <v>-202.53909999999999</v>
      </c>
      <c r="K1500">
        <v>1.1048230000000001</v>
      </c>
      <c r="L1500">
        <v>365.85169999999999</v>
      </c>
      <c r="M1500">
        <v>0.94963089999999994</v>
      </c>
      <c r="N1500">
        <v>0</v>
      </c>
      <c r="O1500">
        <v>-0.3130405</v>
      </c>
      <c r="P1500">
        <v>0.68613819999999903</v>
      </c>
      <c r="Q1500">
        <v>0.13167980000000001</v>
      </c>
      <c r="R1500">
        <v>-0.71545400000000003</v>
      </c>
      <c r="S1500">
        <v>1.572754</v>
      </c>
      <c r="T1500">
        <v>-0.19744030000000001</v>
      </c>
      <c r="U1500">
        <v>-2.7257690000000001</v>
      </c>
      <c r="V1500">
        <v>0.46663369999999998</v>
      </c>
      <c r="W1500">
        <v>0.13779459999999999</v>
      </c>
      <c r="X1500">
        <v>0.8736507</v>
      </c>
      <c r="Y1500">
        <v>0.66551329999999997</v>
      </c>
      <c r="Z1500">
        <v>-3.0624739999999999E-3</v>
      </c>
      <c r="AA1500">
        <v>0.74637980000000004</v>
      </c>
      <c r="AB1500">
        <v>23</v>
      </c>
      <c r="AC1500">
        <v>8.6911000000000005</v>
      </c>
      <c r="AD1500">
        <v>-1.104824637281</v>
      </c>
      <c r="AE1500">
        <v>-15.2126999999999</v>
      </c>
      <c r="AF1500">
        <v>11.6805484319574</v>
      </c>
      <c r="AG1500">
        <v>-1.104824637281</v>
      </c>
      <c r="AH1500">
        <v>12.965317531913</v>
      </c>
      <c r="AI1500">
        <v>93.622583206352004</v>
      </c>
      <c r="AJ1500">
        <v>47.984081662466302</v>
      </c>
      <c r="AK1500">
        <v>17.485860226302201</v>
      </c>
      <c r="AL1500">
        <v>82.079750347373903</v>
      </c>
      <c r="AM1500">
        <v>61.892464561917599</v>
      </c>
      <c r="AN1500">
        <v>0.99999995368766803</v>
      </c>
    </row>
    <row r="1501" spans="1:40" x14ac:dyDescent="0.25">
      <c r="A1501" t="str">
        <f>"20190312164017567"</f>
        <v>20190312164017567</v>
      </c>
      <c r="B1501" t="str">
        <f>"1552380017557592"</f>
        <v>1552380017557592</v>
      </c>
      <c r="C1501" t="s">
        <v>40</v>
      </c>
      <c r="D1501">
        <v>5.7245549999999996</v>
      </c>
      <c r="E1501">
        <v>0.60443440000000004</v>
      </c>
      <c r="F1501" t="s">
        <v>45</v>
      </c>
      <c r="G1501">
        <v>-193.63419999999999</v>
      </c>
      <c r="H1501" s="1">
        <v>-1.3537090000000001E-6</v>
      </c>
      <c r="I1501">
        <v>350.25599999999997</v>
      </c>
      <c r="J1501">
        <v>-202.43010000000001</v>
      </c>
      <c r="K1501">
        <v>1.1047720000000001</v>
      </c>
      <c r="L1501">
        <v>365.81029999999998</v>
      </c>
      <c r="M1501">
        <v>0.94818270000000004</v>
      </c>
      <c r="N1501">
        <v>0</v>
      </c>
      <c r="O1501">
        <v>-0.31740000000000002</v>
      </c>
      <c r="P1501">
        <v>0.68291040000000003</v>
      </c>
      <c r="Q1501">
        <v>0.13193479999999999</v>
      </c>
      <c r="R1501">
        <v>-0.7184893</v>
      </c>
      <c r="S1501">
        <v>1.5602259999999999</v>
      </c>
      <c r="T1501">
        <v>-0.19357469999999999</v>
      </c>
      <c r="U1501">
        <v>-2.7324830000000002</v>
      </c>
      <c r="V1501">
        <v>0.4665301</v>
      </c>
      <c r="W1501">
        <v>0.13800100000000001</v>
      </c>
      <c r="X1501">
        <v>0.87367349999999999</v>
      </c>
      <c r="Y1501">
        <v>0.66548660000000004</v>
      </c>
      <c r="Z1501">
        <v>-2.6998429999999999E-3</v>
      </c>
      <c r="AA1501">
        <v>0.74640490000000004</v>
      </c>
      <c r="AB1501">
        <v>23</v>
      </c>
      <c r="AC1501">
        <v>8.7959000000000103</v>
      </c>
      <c r="AD1501">
        <v>-1.1047733537090001</v>
      </c>
      <c r="AE1501">
        <v>-15.5543</v>
      </c>
      <c r="AF1501">
        <v>11.912202244420101</v>
      </c>
      <c r="AG1501">
        <v>-1.1047733537090001</v>
      </c>
      <c r="AH1501">
        <v>13.2278652793308</v>
      </c>
      <c r="AI1501">
        <v>93.551352733933101</v>
      </c>
      <c r="AJ1501">
        <v>47.995745094231999</v>
      </c>
      <c r="AK1501">
        <v>17.8352882321302</v>
      </c>
      <c r="AL1501">
        <v>82.067810778461805</v>
      </c>
      <c r="AM1501">
        <v>61.898372340648599</v>
      </c>
      <c r="AN1501">
        <v>0.99999999740462997</v>
      </c>
    </row>
    <row r="1502" spans="1:40" x14ac:dyDescent="0.25">
      <c r="A1502" t="str">
        <f>"20190312164017580"</f>
        <v>20190312164017580</v>
      </c>
      <c r="B1502" t="str">
        <f>"1552380017567352"</f>
        <v>1552380017567352</v>
      </c>
      <c r="C1502" t="s">
        <v>40</v>
      </c>
      <c r="D1502">
        <v>5.7684800000000003</v>
      </c>
      <c r="E1502">
        <v>0.60428909999999902</v>
      </c>
      <c r="F1502" t="s">
        <v>45</v>
      </c>
      <c r="G1502">
        <v>-193.3938</v>
      </c>
      <c r="H1502" s="1">
        <v>-1.0280970000000001E-6</v>
      </c>
      <c r="I1502">
        <v>349.81400000000002</v>
      </c>
      <c r="J1502">
        <v>-202.30789999999999</v>
      </c>
      <c r="K1502">
        <v>1.1047129999999901</v>
      </c>
      <c r="L1502">
        <v>365.76369999999997</v>
      </c>
      <c r="M1502">
        <v>0.94652400000000003</v>
      </c>
      <c r="N1502">
        <v>0</v>
      </c>
      <c r="O1502">
        <v>-0.32231199999999999</v>
      </c>
      <c r="P1502">
        <v>0.67923529999999999</v>
      </c>
      <c r="Q1502">
        <v>0.1323619</v>
      </c>
      <c r="R1502">
        <v>-0.72188619999999903</v>
      </c>
      <c r="S1502">
        <v>1.5474399999999999</v>
      </c>
      <c r="T1502">
        <v>-0.18918869999999999</v>
      </c>
      <c r="U1502">
        <v>-2.7393190000000001</v>
      </c>
      <c r="V1502">
        <v>0.46641050000000001</v>
      </c>
      <c r="W1502">
        <v>0.1383713</v>
      </c>
      <c r="X1502">
        <v>0.87367879999999998</v>
      </c>
      <c r="Y1502">
        <v>0.66509149999999995</v>
      </c>
      <c r="Z1502">
        <v>-2.2886410000000001E-3</v>
      </c>
      <c r="AA1502">
        <v>0.74675839999999905</v>
      </c>
      <c r="AB1502">
        <v>23</v>
      </c>
      <c r="AC1502">
        <v>8.9140999999999906</v>
      </c>
      <c r="AD1502">
        <v>-1.10471402809699</v>
      </c>
      <c r="AE1502">
        <v>-15.949699999999901</v>
      </c>
      <c r="AF1502">
        <v>12.180394528714601</v>
      </c>
      <c r="AG1502">
        <v>-1.10471402809699</v>
      </c>
      <c r="AH1502">
        <v>13.5301378503138</v>
      </c>
      <c r="AI1502">
        <v>93.472534611224503</v>
      </c>
      <c r="AJ1502">
        <v>48.005136843584303</v>
      </c>
      <c r="AK1502">
        <v>18.238613823630001</v>
      </c>
      <c r="AL1502">
        <v>82.046388720723002</v>
      </c>
      <c r="AM1502">
        <v>61.904620230350901</v>
      </c>
      <c r="AN1502">
        <v>1.00000000837169</v>
      </c>
    </row>
    <row r="1503" spans="1:40" x14ac:dyDescent="0.25">
      <c r="A1503" t="str">
        <f>"20190312164017592"</f>
        <v>20190312164017592</v>
      </c>
      <c r="B1503" t="str">
        <f>"1552380017587848"</f>
        <v>1552380017587848</v>
      </c>
      <c r="C1503" t="s">
        <v>40</v>
      </c>
      <c r="D1503">
        <v>5.7084330000000003</v>
      </c>
      <c r="E1503">
        <v>0.60395030000000005</v>
      </c>
      <c r="F1503" t="s">
        <v>41</v>
      </c>
      <c r="G1503">
        <v>-193.09780000000001</v>
      </c>
      <c r="H1503" s="1">
        <v>-4.7287089999999998E-6</v>
      </c>
      <c r="I1503">
        <v>349.26760000000002</v>
      </c>
      <c r="J1503">
        <v>-202.1857</v>
      </c>
      <c r="K1503">
        <v>1.1046499999999999</v>
      </c>
      <c r="L1503">
        <v>365.71589999999998</v>
      </c>
      <c r="M1503">
        <v>0.94480410000000004</v>
      </c>
      <c r="N1503">
        <v>0</v>
      </c>
      <c r="O1503">
        <v>-0.32731870000000002</v>
      </c>
      <c r="P1503">
        <v>0.67534629999999995</v>
      </c>
      <c r="Q1503">
        <v>0.1326571</v>
      </c>
      <c r="R1503">
        <v>-0.72547200000000001</v>
      </c>
      <c r="S1503">
        <v>1.533493</v>
      </c>
      <c r="T1503">
        <v>-0.18393660000000001</v>
      </c>
      <c r="U1503">
        <v>-2.746613</v>
      </c>
      <c r="V1503">
        <v>0.46645540000000002</v>
      </c>
      <c r="W1503">
        <v>0.1386027</v>
      </c>
      <c r="X1503">
        <v>0.87361809999999995</v>
      </c>
      <c r="Y1503">
        <v>0.66491149999999999</v>
      </c>
      <c r="Z1503">
        <v>-1.8870530000000001E-3</v>
      </c>
      <c r="AA1503">
        <v>0.74691980000000002</v>
      </c>
      <c r="AB1503">
        <v>23</v>
      </c>
      <c r="AC1503">
        <v>9.0878999999999905</v>
      </c>
      <c r="AD1503">
        <v>-1.1046547287089901</v>
      </c>
      <c r="AE1503">
        <v>-16.4482999999999</v>
      </c>
      <c r="AF1503">
        <v>12.523810717428701</v>
      </c>
      <c r="AG1503">
        <v>-1.1046547287089901</v>
      </c>
      <c r="AH1503">
        <v>13.923459774019699</v>
      </c>
      <c r="AI1503">
        <v>93.375771647830405</v>
      </c>
      <c r="AJ1503">
        <v>48.029395459721101</v>
      </c>
      <c r="AK1503">
        <v>18.759766230803301</v>
      </c>
      <c r="AL1503">
        <v>82.033001146734904</v>
      </c>
      <c r="AM1503">
        <v>61.900674846479603</v>
      </c>
      <c r="AN1503">
        <v>0.99999996664202895</v>
      </c>
    </row>
    <row r="1504" spans="1:40" x14ac:dyDescent="0.25">
      <c r="A1504" t="str">
        <f>"20190312164017605"</f>
        <v>20190312164017605</v>
      </c>
      <c r="B1504" t="str">
        <f>"1552380017597607"</f>
        <v>1552380017597607</v>
      </c>
      <c r="C1504" t="s">
        <v>40</v>
      </c>
      <c r="D1504">
        <v>5.7913940000000004</v>
      </c>
      <c r="E1504">
        <v>0.60364609999999996</v>
      </c>
      <c r="F1504" t="s">
        <v>41</v>
      </c>
      <c r="G1504">
        <v>-192.90039999999999</v>
      </c>
      <c r="H1504" s="1">
        <v>-4.5668059999999998E-6</v>
      </c>
      <c r="I1504">
        <v>348.8947</v>
      </c>
      <c r="J1504">
        <v>-202.06649999999999</v>
      </c>
      <c r="K1504">
        <v>1.1045910000000001</v>
      </c>
      <c r="L1504">
        <v>365.66849999999999</v>
      </c>
      <c r="M1504">
        <v>0.94308029999999998</v>
      </c>
      <c r="N1504">
        <v>0</v>
      </c>
      <c r="O1504">
        <v>-0.33225179999999999</v>
      </c>
      <c r="P1504">
        <v>0.6715449</v>
      </c>
      <c r="Q1504">
        <v>0.1329158</v>
      </c>
      <c r="R1504">
        <v>-0.72894510000000001</v>
      </c>
      <c r="S1504">
        <v>1.5198969999999901</v>
      </c>
      <c r="T1504">
        <v>-0.1808208</v>
      </c>
      <c r="U1504">
        <v>-2.7534480000000001</v>
      </c>
      <c r="V1504">
        <v>0.4664374</v>
      </c>
      <c r="W1504">
        <v>0.13879910000000001</v>
      </c>
      <c r="X1504">
        <v>0.8735965</v>
      </c>
      <c r="Y1504">
        <v>0.66464440000000002</v>
      </c>
      <c r="Z1504">
        <v>-1.523228E-3</v>
      </c>
      <c r="AA1504">
        <v>0.74715830000000005</v>
      </c>
      <c r="AB1504">
        <v>23</v>
      </c>
      <c r="AC1504">
        <v>9.1661000000000001</v>
      </c>
      <c r="AD1504">
        <v>-1.1045955668059999</v>
      </c>
      <c r="AE1504">
        <v>-16.773799999999898</v>
      </c>
      <c r="AF1504">
        <v>12.7323994323273</v>
      </c>
      <c r="AG1504">
        <v>-1.1045955668059999</v>
      </c>
      <c r="AH1504">
        <v>14.1716501094131</v>
      </c>
      <c r="AI1504">
        <v>93.318308658361701</v>
      </c>
      <c r="AJ1504">
        <v>48.062158365441498</v>
      </c>
      <c r="AK1504">
        <v>19.083233308173099</v>
      </c>
      <c r="AL1504">
        <v>82.021638225262294</v>
      </c>
      <c r="AM1504">
        <v>61.901004899395701</v>
      </c>
      <c r="AN1504">
        <v>0.99999994154590799</v>
      </c>
    </row>
    <row r="1505" spans="1:40" x14ac:dyDescent="0.25">
      <c r="A1505" t="str">
        <f>"20190312164017616"</f>
        <v>20190312164017616</v>
      </c>
      <c r="B1505" t="str">
        <f>"1552380017607367"</f>
        <v>1552380017607367</v>
      </c>
      <c r="C1505" t="s">
        <v>40</v>
      </c>
      <c r="D1505">
        <v>5.7124990000000002</v>
      </c>
      <c r="E1505">
        <v>0.60352720000000004</v>
      </c>
      <c r="F1505" t="s">
        <v>41</v>
      </c>
      <c r="G1505">
        <v>-192.92939999999999</v>
      </c>
      <c r="H1505" s="1">
        <v>-4.5885070000000002E-6</v>
      </c>
      <c r="I1505">
        <v>348.9434</v>
      </c>
      <c r="J1505">
        <v>-201.94839999999999</v>
      </c>
      <c r="K1505">
        <v>1.1045290000000001</v>
      </c>
      <c r="L1505">
        <v>365.62110000000001</v>
      </c>
      <c r="M1505">
        <v>0.94132939999999998</v>
      </c>
      <c r="N1505">
        <v>0</v>
      </c>
      <c r="O1505">
        <v>-0.33718049999999999</v>
      </c>
      <c r="P1505">
        <v>0.66763649999999997</v>
      </c>
      <c r="Q1505">
        <v>0.13319810000000001</v>
      </c>
      <c r="R1505">
        <v>-0.73247530000000005</v>
      </c>
      <c r="S1505">
        <v>1.5076750000000001</v>
      </c>
      <c r="T1505">
        <v>-0.18226600000000001</v>
      </c>
      <c r="U1505">
        <v>-2.7597659999999999</v>
      </c>
      <c r="V1505">
        <v>0.4665184</v>
      </c>
      <c r="W1505">
        <v>0.1390168</v>
      </c>
      <c r="X1505">
        <v>0.87351869999999998</v>
      </c>
      <c r="Y1505">
        <v>0.66400419999999905</v>
      </c>
      <c r="Z1505">
        <v>-1.1847450000000001E-3</v>
      </c>
      <c r="AA1505">
        <v>0.7477279</v>
      </c>
      <c r="AB1505">
        <v>23</v>
      </c>
      <c r="AC1505">
        <v>9.0190000000000001</v>
      </c>
      <c r="AD1505">
        <v>-1.104533588507</v>
      </c>
      <c r="AE1505">
        <v>-16.677700000000002</v>
      </c>
      <c r="AF1505">
        <v>12.616679555646799</v>
      </c>
      <c r="AG1505">
        <v>-1.104533588507</v>
      </c>
      <c r="AH1505">
        <v>14.0669759117591</v>
      </c>
      <c r="AI1505">
        <v>93.345313395147897</v>
      </c>
      <c r="AJ1505">
        <v>48.111049796719897</v>
      </c>
      <c r="AK1505">
        <v>18.928296509723999</v>
      </c>
      <c r="AL1505">
        <v>82.009043324824702</v>
      </c>
      <c r="AM1505">
        <v>61.894750699994297</v>
      </c>
      <c r="AN1505">
        <v>1.0000000037352399</v>
      </c>
    </row>
    <row r="1506" spans="1:40" x14ac:dyDescent="0.25">
      <c r="A1506" t="str">
        <f>"20190312164017634"</f>
        <v>20190312164017634</v>
      </c>
      <c r="B1506" t="str">
        <f>"1552380017627867"</f>
        <v>1552380017627867</v>
      </c>
      <c r="C1506" t="s">
        <v>40</v>
      </c>
      <c r="D1506">
        <v>5.762734</v>
      </c>
      <c r="E1506">
        <v>0.60355890000000001</v>
      </c>
      <c r="F1506" t="s">
        <v>41</v>
      </c>
      <c r="G1506">
        <v>-192.87430000000001</v>
      </c>
      <c r="H1506" s="1">
        <v>-4.533766E-6</v>
      </c>
      <c r="I1506">
        <v>348.81119999999999</v>
      </c>
      <c r="J1506">
        <v>-201.78059999999999</v>
      </c>
      <c r="K1506">
        <v>1.1044320000000001</v>
      </c>
      <c r="L1506">
        <v>365.55189999999999</v>
      </c>
      <c r="M1506">
        <v>0.93873439999999997</v>
      </c>
      <c r="N1506">
        <v>0</v>
      </c>
      <c r="O1506">
        <v>-0.34433859999999999</v>
      </c>
      <c r="P1506">
        <v>0.66122130000000001</v>
      </c>
      <c r="Q1506">
        <v>0.13319879999999901</v>
      </c>
      <c r="R1506">
        <v>-0.73827180000000003</v>
      </c>
      <c r="S1506">
        <v>1.4937590000000001</v>
      </c>
      <c r="T1506">
        <v>-0.18182480000000001</v>
      </c>
      <c r="U1506">
        <v>-2.7671809999999999</v>
      </c>
      <c r="V1506">
        <v>0.46752250000000001</v>
      </c>
      <c r="W1506">
        <v>0.1389011</v>
      </c>
      <c r="X1506">
        <v>0.87300009999999995</v>
      </c>
      <c r="Y1506">
        <v>0.66207479999999996</v>
      </c>
      <c r="Z1506">
        <v>-6.3133799999999995E-4</v>
      </c>
      <c r="AA1506">
        <v>0.74943749999999998</v>
      </c>
      <c r="AB1506">
        <v>23</v>
      </c>
      <c r="AC1506">
        <v>8.9062999999999803</v>
      </c>
      <c r="AD1506">
        <v>-1.104436533766</v>
      </c>
      <c r="AE1506">
        <v>-16.7407</v>
      </c>
      <c r="AF1506">
        <v>12.6068416832022</v>
      </c>
      <c r="AG1506">
        <v>-1.104436533766</v>
      </c>
      <c r="AH1506">
        <v>14.0788336345068</v>
      </c>
      <c r="AI1506">
        <v>93.344620137021906</v>
      </c>
      <c r="AJ1506">
        <v>48.157257317705103</v>
      </c>
      <c r="AK1506">
        <v>18.9305518617541</v>
      </c>
      <c r="AL1506">
        <v>82.015737273711395</v>
      </c>
      <c r="AM1506">
        <v>61.829372180472397</v>
      </c>
      <c r="AN1506">
        <v>0.999999989093735</v>
      </c>
    </row>
    <row r="1507" spans="1:40" x14ac:dyDescent="0.25">
      <c r="A1507" t="str">
        <f>"20190312164017649"</f>
        <v>20190312164017649</v>
      </c>
      <c r="B1507" t="str">
        <f>"1552380017637624"</f>
        <v>1552380017637624</v>
      </c>
      <c r="C1507" t="s">
        <v>40</v>
      </c>
      <c r="D1507">
        <v>5.7848959999999998</v>
      </c>
      <c r="E1507">
        <v>0.60355890000000001</v>
      </c>
      <c r="F1507" t="s">
        <v>41</v>
      </c>
      <c r="G1507">
        <v>-192.8811</v>
      </c>
      <c r="H1507" s="1">
        <v>-4.5008670000000001E-6</v>
      </c>
      <c r="I1507">
        <v>348.71100000000001</v>
      </c>
      <c r="J1507">
        <v>-201.64789999999999</v>
      </c>
      <c r="K1507">
        <v>1.1043480000000001</v>
      </c>
      <c r="L1507">
        <v>365.49599999999998</v>
      </c>
      <c r="M1507">
        <v>0.93659630000000005</v>
      </c>
      <c r="N1507">
        <v>0</v>
      </c>
      <c r="O1507">
        <v>-0.35011120000000001</v>
      </c>
      <c r="P1507">
        <v>0.65634019999999904</v>
      </c>
      <c r="Q1507">
        <v>0.13325279999999901</v>
      </c>
      <c r="R1507">
        <v>-0.74260439999999905</v>
      </c>
      <c r="S1507">
        <v>1.46933</v>
      </c>
      <c r="T1507">
        <v>-0.18234410000000001</v>
      </c>
      <c r="U1507">
        <v>-2.7804570000000002</v>
      </c>
      <c r="V1507">
        <v>0.46792410000000001</v>
      </c>
      <c r="W1507">
        <v>0.13886470000000001</v>
      </c>
      <c r="X1507">
        <v>0.87279069999999903</v>
      </c>
      <c r="Y1507">
        <v>0.66408659999999997</v>
      </c>
      <c r="Z1507">
        <v>-3.3512340000000002E-4</v>
      </c>
      <c r="AA1507">
        <v>0.74765559999999998</v>
      </c>
      <c r="AB1507">
        <v>23</v>
      </c>
      <c r="AC1507">
        <v>8.7667999999999893</v>
      </c>
      <c r="AD1507">
        <v>-1.1043525008670001</v>
      </c>
      <c r="AE1507">
        <v>-16.784999999999901</v>
      </c>
      <c r="AF1507">
        <v>12.6098527884704</v>
      </c>
      <c r="AG1507">
        <v>-1.1043525008670001</v>
      </c>
      <c r="AH1507">
        <v>14.041289774555899</v>
      </c>
      <c r="AI1507">
        <v>93.348952768874298</v>
      </c>
      <c r="AJ1507">
        <v>48.074411109762998</v>
      </c>
      <c r="AK1507">
        <v>18.904650230197699</v>
      </c>
      <c r="AL1507">
        <v>82.017843233796398</v>
      </c>
      <c r="AM1507">
        <v>61.803169845366099</v>
      </c>
      <c r="AN1507">
        <v>0.99999998713669402</v>
      </c>
    </row>
    <row r="1508" spans="1:40" x14ac:dyDescent="0.25">
      <c r="A1508" t="str">
        <f>"20190312164017667"</f>
        <v>20190312164017667</v>
      </c>
      <c r="B1508" t="str">
        <f>"1552380017657144"</f>
        <v>1552380017657144</v>
      </c>
      <c r="C1508" t="s">
        <v>40</v>
      </c>
      <c r="D1508">
        <v>5.7285380000000004</v>
      </c>
      <c r="E1508">
        <v>0.60438359999999902</v>
      </c>
      <c r="F1508" t="s">
        <v>41</v>
      </c>
      <c r="G1508">
        <v>-192.83459999999999</v>
      </c>
      <c r="H1508" s="1">
        <v>-4.4355979999999999E-6</v>
      </c>
      <c r="I1508">
        <v>348.54349999999999</v>
      </c>
      <c r="J1508">
        <v>-201.46340000000001</v>
      </c>
      <c r="K1508">
        <v>1.1042160000000001</v>
      </c>
      <c r="L1508">
        <v>365.41660000000002</v>
      </c>
      <c r="M1508">
        <v>0.93349939999999998</v>
      </c>
      <c r="N1508">
        <v>0</v>
      </c>
      <c r="O1508">
        <v>-0.35828589999999999</v>
      </c>
      <c r="P1508">
        <v>0.64905599999999997</v>
      </c>
      <c r="Q1508">
        <v>0.13379089999999999</v>
      </c>
      <c r="R1508">
        <v>-0.74888369999999904</v>
      </c>
      <c r="S1508">
        <v>1.4506380000000001</v>
      </c>
      <c r="T1508">
        <v>-0.1817714</v>
      </c>
      <c r="U1508">
        <v>-2.790314</v>
      </c>
      <c r="V1508">
        <v>0.4687827</v>
      </c>
      <c r="W1508">
        <v>0.13925950000000001</v>
      </c>
      <c r="X1508">
        <v>0.87226689999999996</v>
      </c>
      <c r="Y1508">
        <v>0.66259129999999999</v>
      </c>
      <c r="Z1508">
        <v>2.6774410000000002E-4</v>
      </c>
      <c r="AA1508">
        <v>0.74898109999999996</v>
      </c>
      <c r="AB1508">
        <v>23</v>
      </c>
      <c r="AC1508">
        <v>8.6288000000000107</v>
      </c>
      <c r="AD1508">
        <v>-1.1042204355980001</v>
      </c>
      <c r="AE1508">
        <v>-16.873100000000001</v>
      </c>
      <c r="AF1508">
        <v>12.617944734757</v>
      </c>
      <c r="AG1508">
        <v>-1.1042204355980001</v>
      </c>
      <c r="AH1508">
        <v>14.0541424648326</v>
      </c>
      <c r="AI1508">
        <v>93.345905267299003</v>
      </c>
      <c r="AJ1508">
        <v>48.082198858263801</v>
      </c>
      <c r="AK1508">
        <v>18.919586478609599</v>
      </c>
      <c r="AL1508">
        <v>81.995000910771296</v>
      </c>
      <c r="AM1508">
        <v>61.745066901488798</v>
      </c>
      <c r="AN1508">
        <v>0.99999998649757404</v>
      </c>
    </row>
    <row r="1509" spans="1:40" x14ac:dyDescent="0.25">
      <c r="A1509" t="str">
        <f>"20190312164017690"</f>
        <v>20190312164017690</v>
      </c>
      <c r="B1509" t="str">
        <f>"1552380017677640"</f>
        <v>1552380017677640</v>
      </c>
      <c r="C1509" t="s">
        <v>40</v>
      </c>
      <c r="D1509">
        <v>5.831016</v>
      </c>
      <c r="E1509">
        <v>0.60506040000000005</v>
      </c>
      <c r="F1509" t="s">
        <v>41</v>
      </c>
      <c r="G1509">
        <v>-192.69880000000001</v>
      </c>
      <c r="H1509" s="1">
        <v>-4.2432180000000004E-6</v>
      </c>
      <c r="I1509">
        <v>348.0489</v>
      </c>
      <c r="J1509">
        <v>-201.2567</v>
      </c>
      <c r="K1509">
        <v>1.10407099999999</v>
      </c>
      <c r="L1509">
        <v>365.32510000000002</v>
      </c>
      <c r="M1509">
        <v>0.92984029999999995</v>
      </c>
      <c r="N1509">
        <v>0</v>
      </c>
      <c r="O1509">
        <v>-0.36767620000000001</v>
      </c>
      <c r="P1509">
        <v>0.64102599999999998</v>
      </c>
      <c r="Q1509">
        <v>0.13466449999999999</v>
      </c>
      <c r="R1509">
        <v>-0.75561350000000005</v>
      </c>
      <c r="S1509">
        <v>1.4176329999999999</v>
      </c>
      <c r="T1509">
        <v>-0.17860229999999999</v>
      </c>
      <c r="U1509">
        <v>-2.8091430000000002</v>
      </c>
      <c r="V1509">
        <v>0.46922340000000001</v>
      </c>
      <c r="W1509">
        <v>0.13997809999999999</v>
      </c>
      <c r="X1509">
        <v>0.87191489999999905</v>
      </c>
      <c r="Y1509">
        <v>0.66410639999999999</v>
      </c>
      <c r="Z1509">
        <v>8.1316750000000001E-4</v>
      </c>
      <c r="AA1509">
        <v>0.74763760000000001</v>
      </c>
      <c r="AB1509">
        <v>23</v>
      </c>
      <c r="AC1509">
        <v>8.5578999999999894</v>
      </c>
      <c r="AD1509">
        <v>-1.1040752432180001</v>
      </c>
      <c r="AE1509">
        <v>-17.276199999999999</v>
      </c>
      <c r="AF1509">
        <v>12.8767069894763</v>
      </c>
      <c r="AG1509">
        <v>-1.1040752432180001</v>
      </c>
      <c r="AH1509">
        <v>14.264260659805601</v>
      </c>
      <c r="AI1509">
        <v>93.288266305795005</v>
      </c>
      <c r="AJ1509">
        <v>47.926639012705799</v>
      </c>
      <c r="AK1509">
        <v>19.248316736961598</v>
      </c>
      <c r="AL1509">
        <v>81.953421253600993</v>
      </c>
      <c r="AM1509">
        <v>61.712961634522401</v>
      </c>
      <c r="AN1509">
        <v>1.0000000302145799</v>
      </c>
    </row>
    <row r="1510" spans="1:40" x14ac:dyDescent="0.25">
      <c r="A1510" t="str">
        <f>"20190312164017703"</f>
        <v>20190312164017703</v>
      </c>
      <c r="B1510" t="str">
        <f>"1552380017697160"</f>
        <v>1552380017697160</v>
      </c>
      <c r="C1510" t="s">
        <v>40</v>
      </c>
      <c r="D1510">
        <v>5.7085650000000001</v>
      </c>
      <c r="E1510">
        <v>0.6258148</v>
      </c>
      <c r="F1510" t="s">
        <v>41</v>
      </c>
      <c r="G1510">
        <v>-192.6123</v>
      </c>
      <c r="H1510" s="1">
        <v>-4.0926940000000001E-6</v>
      </c>
      <c r="I1510">
        <v>347.65170000000001</v>
      </c>
      <c r="J1510">
        <v>-201.1326</v>
      </c>
      <c r="K1510">
        <v>1.1039829999999999</v>
      </c>
      <c r="L1510">
        <v>365.2688</v>
      </c>
      <c r="M1510">
        <v>0.92754630000000005</v>
      </c>
      <c r="N1510">
        <v>0</v>
      </c>
      <c r="O1510">
        <v>-0.37342429999999999</v>
      </c>
      <c r="P1510">
        <v>0.63612550000000001</v>
      </c>
      <c r="Q1510">
        <v>0.135248799999999</v>
      </c>
      <c r="R1510">
        <v>-0.75963930000000002</v>
      </c>
      <c r="S1510">
        <v>1.3833310000000001</v>
      </c>
      <c r="T1510">
        <v>-0.17668020000000001</v>
      </c>
      <c r="U1510">
        <v>-2.8281860000000001</v>
      </c>
      <c r="V1510">
        <v>0.46941129999999998</v>
      </c>
      <c r="W1510">
        <v>0.1404706</v>
      </c>
      <c r="X1510">
        <v>0.87173459999999903</v>
      </c>
      <c r="Y1510">
        <v>0.66878490000000002</v>
      </c>
      <c r="Z1510">
        <v>9.8822819999999992E-4</v>
      </c>
      <c r="AA1510">
        <v>0.74345530000000004</v>
      </c>
      <c r="AB1510">
        <v>23</v>
      </c>
      <c r="AC1510">
        <v>8.52029999999999</v>
      </c>
      <c r="AD1510">
        <v>-1.1039870926940001</v>
      </c>
      <c r="AE1510">
        <v>-17.617099999999901</v>
      </c>
      <c r="AF1510">
        <v>13.1186340499256</v>
      </c>
      <c r="AG1510">
        <v>-1.1039870926940001</v>
      </c>
      <c r="AH1510">
        <v>14.437215021850401</v>
      </c>
      <c r="AI1510">
        <v>93.239128432206599</v>
      </c>
      <c r="AJ1510">
        <v>47.739583198263396</v>
      </c>
      <c r="AK1510">
        <v>19.538437102896498</v>
      </c>
      <c r="AL1510">
        <v>81.9249219471033</v>
      </c>
      <c r="AM1510">
        <v>61.698441928482801</v>
      </c>
      <c r="AN1510">
        <v>1.0000000854346001</v>
      </c>
    </row>
    <row r="1511" spans="1:40" x14ac:dyDescent="0.25">
      <c r="A1511" t="str">
        <f>"20190312164017715"</f>
        <v>20190312164017715</v>
      </c>
      <c r="B1511" t="str">
        <f>"1552380017707897"</f>
        <v>1552380017707897</v>
      </c>
      <c r="C1511" t="s">
        <v>40</v>
      </c>
      <c r="D1511">
        <v>5.7850469999999996</v>
      </c>
      <c r="E1511">
        <v>0.6258148</v>
      </c>
      <c r="F1511" t="s">
        <v>45</v>
      </c>
      <c r="G1511">
        <v>-198.01439999999999</v>
      </c>
      <c r="H1511" s="1">
        <v>-6.0411919999999996E-6</v>
      </c>
      <c r="I1511">
        <v>358.11320000000001</v>
      </c>
      <c r="J1511">
        <v>-201.0077</v>
      </c>
      <c r="K1511">
        <v>1.103891</v>
      </c>
      <c r="L1511">
        <v>365.21120000000002</v>
      </c>
      <c r="M1511">
        <v>0.92516240000000005</v>
      </c>
      <c r="N1511">
        <v>0</v>
      </c>
      <c r="O1511">
        <v>-0.37929170000000001</v>
      </c>
      <c r="P1511">
        <v>0.63085999999999998</v>
      </c>
      <c r="Q1511">
        <v>0.13577999999999901</v>
      </c>
      <c r="R1511">
        <v>-0.76392380000000004</v>
      </c>
      <c r="S1511">
        <v>1.2867740000000001</v>
      </c>
      <c r="T1511">
        <v>-0.45557920000000002</v>
      </c>
      <c r="U1511">
        <v>-2.9528810000000001</v>
      </c>
      <c r="V1511">
        <v>0.46987000000000001</v>
      </c>
      <c r="W1511">
        <v>0.14090250000000001</v>
      </c>
      <c r="X1511">
        <v>0.87141759999999902</v>
      </c>
      <c r="Y1511">
        <v>0.69384380000000001</v>
      </c>
      <c r="Z1511">
        <v>8.607469E-4</v>
      </c>
      <c r="AA1511">
        <v>0.72012500000000002</v>
      </c>
      <c r="AB1511">
        <v>23</v>
      </c>
      <c r="AC1511">
        <v>2.9933000000000001</v>
      </c>
      <c r="AD1511">
        <v>-1.1038970411919999</v>
      </c>
      <c r="AE1511">
        <v>-7.0980000000000096</v>
      </c>
      <c r="AF1511">
        <v>5.3227420340832703</v>
      </c>
      <c r="AG1511">
        <v>-1.1038970411919999</v>
      </c>
      <c r="AH1511">
        <v>5.3521730795593703</v>
      </c>
      <c r="AI1511">
        <v>98.320172312219299</v>
      </c>
      <c r="AJ1511">
        <v>45.157965698268498</v>
      </c>
      <c r="AK1511">
        <v>7.6286255716550597</v>
      </c>
      <c r="AL1511">
        <v>81.899926470517698</v>
      </c>
      <c r="AM1511">
        <v>61.666370789637703</v>
      </c>
      <c r="AN1511">
        <v>0.99999998249800404</v>
      </c>
    </row>
    <row r="1512" spans="1:40" x14ac:dyDescent="0.25">
      <c r="A1512" t="str">
        <f>"20190312164017727"</f>
        <v>20190312164017727</v>
      </c>
      <c r="B1512" t="str">
        <f>"1552380017717656"</f>
        <v>1552380017717656</v>
      </c>
      <c r="C1512" t="s">
        <v>40</v>
      </c>
      <c r="D1512">
        <v>5.8337969999999997</v>
      </c>
      <c r="E1512">
        <v>0.615386199999999</v>
      </c>
      <c r="F1512" t="s">
        <v>45</v>
      </c>
      <c r="G1512">
        <v>-197.92519999999999</v>
      </c>
      <c r="H1512" s="1">
        <v>-5.9883559999999998E-6</v>
      </c>
      <c r="I1512">
        <v>357.99700000000001</v>
      </c>
      <c r="J1512">
        <v>-200.9023</v>
      </c>
      <c r="K1512">
        <v>1.1038129999999999</v>
      </c>
      <c r="L1512">
        <v>365.16149999999999</v>
      </c>
      <c r="M1512">
        <v>0.9230718</v>
      </c>
      <c r="N1512">
        <v>0</v>
      </c>
      <c r="O1512">
        <v>-0.38435039999999998</v>
      </c>
      <c r="P1512">
        <v>0.62621879999999996</v>
      </c>
      <c r="Q1512">
        <v>0.1362621</v>
      </c>
      <c r="R1512">
        <v>-0.76764759999999999</v>
      </c>
      <c r="S1512">
        <v>1.2657929999999999</v>
      </c>
      <c r="T1512">
        <v>-0.45329320000000001</v>
      </c>
      <c r="U1512">
        <v>-2.9623719999999998</v>
      </c>
      <c r="V1512">
        <v>0.47033849999999999</v>
      </c>
      <c r="W1512">
        <v>0.14129810000000001</v>
      </c>
      <c r="X1512">
        <v>0.87110080000000001</v>
      </c>
      <c r="Y1512">
        <v>0.69510709999999998</v>
      </c>
      <c r="Z1512">
        <v>1.5513339999999999E-3</v>
      </c>
      <c r="AA1512">
        <v>0.71890459999999901</v>
      </c>
      <c r="AB1512">
        <v>23</v>
      </c>
      <c r="AC1512">
        <v>2.9771000000000001</v>
      </c>
      <c r="AD1512">
        <v>-1.1038189883559999</v>
      </c>
      <c r="AE1512">
        <v>-7.1645000000000296</v>
      </c>
      <c r="AF1512">
        <v>5.3611621058695302</v>
      </c>
      <c r="AG1512">
        <v>-1.1038189883559999</v>
      </c>
      <c r="AH1512">
        <v>5.3931747567712698</v>
      </c>
      <c r="AI1512">
        <v>98.258996830545897</v>
      </c>
      <c r="AJ1512">
        <v>45.170552995842499</v>
      </c>
      <c r="AK1512">
        <v>7.6841921788527401</v>
      </c>
      <c r="AL1512">
        <v>81.877031593603704</v>
      </c>
      <c r="AM1512">
        <v>61.6338020884466</v>
      </c>
      <c r="AN1512">
        <v>1.00000003070324</v>
      </c>
    </row>
    <row r="1513" spans="1:40" x14ac:dyDescent="0.25">
      <c r="A1513" t="str">
        <f>"20190312164017740"</f>
        <v>20190312164017740</v>
      </c>
      <c r="B1513" t="str">
        <f>"1552380017727417"</f>
        <v>1552380017727417</v>
      </c>
      <c r="C1513" t="s">
        <v>40</v>
      </c>
      <c r="D1513">
        <v>5.8343949999999998</v>
      </c>
      <c r="E1513">
        <v>0.615386199999999</v>
      </c>
      <c r="F1513" t="s">
        <v>45</v>
      </c>
      <c r="G1513">
        <v>-194.8306</v>
      </c>
      <c r="H1513" s="1">
        <v>-2.2903299999999999E-6</v>
      </c>
      <c r="I1513">
        <v>351.30059999999997</v>
      </c>
      <c r="J1513">
        <v>-200.78720000000001</v>
      </c>
      <c r="K1513">
        <v>1.103734</v>
      </c>
      <c r="L1513">
        <v>365.10669999999999</v>
      </c>
      <c r="M1513">
        <v>0.92073519999999998</v>
      </c>
      <c r="N1513">
        <v>0</v>
      </c>
      <c r="O1513">
        <v>-0.38991399999999998</v>
      </c>
      <c r="P1513">
        <v>0.62117939999999905</v>
      </c>
      <c r="Q1513">
        <v>0.13657949999999999</v>
      </c>
      <c r="R1513">
        <v>-0.77167489999999905</v>
      </c>
      <c r="S1513">
        <v>1.274521</v>
      </c>
      <c r="T1513">
        <v>-0.2317005</v>
      </c>
      <c r="U1513">
        <v>-2.9095149999999999</v>
      </c>
      <c r="V1513">
        <v>0.47077000000000002</v>
      </c>
      <c r="W1513">
        <v>0.14152139999999999</v>
      </c>
      <c r="X1513">
        <v>0.87083140000000003</v>
      </c>
      <c r="Y1513">
        <v>0.68627150000000003</v>
      </c>
      <c r="Z1513">
        <v>1.756627E-3</v>
      </c>
      <c r="AA1513">
        <v>0.72734330000000003</v>
      </c>
      <c r="AB1513">
        <v>23</v>
      </c>
      <c r="AC1513">
        <v>5.9565999999999999</v>
      </c>
      <c r="AD1513">
        <v>-1.1037362903299901</v>
      </c>
      <c r="AE1513">
        <v>-13.806100000000001</v>
      </c>
      <c r="AF1513">
        <v>10.3346252379057</v>
      </c>
      <c r="AG1513">
        <v>-1.1037362903299901</v>
      </c>
      <c r="AH1513">
        <v>10.8105543980561</v>
      </c>
      <c r="AI1513">
        <v>94.220802077726702</v>
      </c>
      <c r="AJ1513">
        <v>46.289377973966999</v>
      </c>
      <c r="AK1513">
        <v>14.9963595248941</v>
      </c>
      <c r="AL1513">
        <v>81.864107433109098</v>
      </c>
      <c r="AM1513">
        <v>61.604418268913797</v>
      </c>
      <c r="AN1513">
        <v>1.00000001339196</v>
      </c>
    </row>
    <row r="1514" spans="1:40" x14ac:dyDescent="0.25">
      <c r="A1514" t="str">
        <f>"20190312164017756"</f>
        <v>20190312164017756</v>
      </c>
      <c r="B1514" t="str">
        <f>"1552380017747915"</f>
        <v>1552380017747915</v>
      </c>
      <c r="C1514" t="s">
        <v>40</v>
      </c>
      <c r="D1514">
        <v>5.888579</v>
      </c>
      <c r="E1514">
        <v>0.61554430000000004</v>
      </c>
      <c r="F1514" t="s">
        <v>45</v>
      </c>
      <c r="G1514">
        <v>-194.7783</v>
      </c>
      <c r="H1514" s="1">
        <v>-2.182253E-6</v>
      </c>
      <c r="I1514">
        <v>351.14150000000001</v>
      </c>
      <c r="J1514">
        <v>-200.62479999999999</v>
      </c>
      <c r="K1514">
        <v>1.1036109999999999</v>
      </c>
      <c r="L1514">
        <v>365.0274</v>
      </c>
      <c r="M1514">
        <v>0.91728900000000002</v>
      </c>
      <c r="N1514">
        <v>0</v>
      </c>
      <c r="O1514">
        <v>-0.39795209999999998</v>
      </c>
      <c r="P1514">
        <v>0.61390369999999905</v>
      </c>
      <c r="Q1514">
        <v>0.13755020000000001</v>
      </c>
      <c r="R1514">
        <v>-0.77730410000000005</v>
      </c>
      <c r="S1514">
        <v>1.2554780000000001</v>
      </c>
      <c r="T1514">
        <v>-0.23061190000000001</v>
      </c>
      <c r="U1514">
        <v>-2.9178470000000001</v>
      </c>
      <c r="V1514">
        <v>0.47123939999999997</v>
      </c>
      <c r="W1514">
        <v>0.14235590000000001</v>
      </c>
      <c r="X1514">
        <v>0.87044140000000003</v>
      </c>
      <c r="Y1514">
        <v>0.68469729999999995</v>
      </c>
      <c r="Z1514">
        <v>2.513796E-3</v>
      </c>
      <c r="AA1514">
        <v>0.7288232</v>
      </c>
      <c r="AB1514">
        <v>23</v>
      </c>
      <c r="AC1514">
        <v>5.84649999999999</v>
      </c>
      <c r="AD1514">
        <v>-1.103613182253</v>
      </c>
      <c r="AE1514">
        <v>-13.8858999999999</v>
      </c>
      <c r="AF1514">
        <v>10.3563092586817</v>
      </c>
      <c r="AG1514">
        <v>-1.103613182253</v>
      </c>
      <c r="AH1514">
        <v>10.831905696140399</v>
      </c>
      <c r="AI1514">
        <v>94.211797763461206</v>
      </c>
      <c r="AJ1514">
        <v>46.285860730228102</v>
      </c>
      <c r="AK1514">
        <v>15.0266857466169</v>
      </c>
      <c r="AL1514">
        <v>81.815804975949902</v>
      </c>
      <c r="AM1514">
        <v>61.569780204211803</v>
      </c>
      <c r="AN1514">
        <v>1.00000000260556</v>
      </c>
    </row>
    <row r="1515" spans="1:40" x14ac:dyDescent="0.25">
      <c r="A1515" t="str">
        <f>"20190312164017770"</f>
        <v>20190312164017770</v>
      </c>
      <c r="B1515" t="str">
        <f>"1552380017767433"</f>
        <v>1552380017767433</v>
      </c>
      <c r="C1515" t="s">
        <v>40</v>
      </c>
      <c r="D1515">
        <v>5.858282</v>
      </c>
      <c r="E1515">
        <v>0.61497780000000002</v>
      </c>
      <c r="F1515" t="s">
        <v>45</v>
      </c>
      <c r="G1515">
        <v>-194.79179999999999</v>
      </c>
      <c r="H1515" s="1">
        <v>-2.1702610000000002E-6</v>
      </c>
      <c r="I1515">
        <v>351.11520000000002</v>
      </c>
      <c r="J1515">
        <v>-200.50790000000001</v>
      </c>
      <c r="K1515">
        <v>1.1035200000000001</v>
      </c>
      <c r="L1515">
        <v>364.96879999999999</v>
      </c>
      <c r="M1515">
        <v>0.91469480000000003</v>
      </c>
      <c r="N1515">
        <v>0</v>
      </c>
      <c r="O1515">
        <v>-0.40387859999999998</v>
      </c>
      <c r="P1515">
        <v>0.6085933</v>
      </c>
      <c r="Q1515">
        <v>0.13786199999999901</v>
      </c>
      <c r="R1515">
        <v>-0.78141430000000001</v>
      </c>
      <c r="S1515">
        <v>1.2285919999999999</v>
      </c>
      <c r="T1515">
        <v>-0.23245179999999999</v>
      </c>
      <c r="U1515">
        <v>-2.9302980000000001</v>
      </c>
      <c r="V1515">
        <v>0.47152840000000001</v>
      </c>
      <c r="W1515">
        <v>0.14257249999999999</v>
      </c>
      <c r="X1515">
        <v>0.87024950000000001</v>
      </c>
      <c r="Y1515">
        <v>0.68676949999999903</v>
      </c>
      <c r="Z1515">
        <v>2.9310579999999998E-3</v>
      </c>
      <c r="AA1515">
        <v>0.7268694</v>
      </c>
      <c r="AB1515">
        <v>23</v>
      </c>
      <c r="AC1515">
        <v>5.7161000000000097</v>
      </c>
      <c r="AD1515">
        <v>-1.1035221702609901</v>
      </c>
      <c r="AE1515">
        <v>-13.853599999999901</v>
      </c>
      <c r="AF1515">
        <v>10.3084298529356</v>
      </c>
      <c r="AG1515">
        <v>-1.1035221702609901</v>
      </c>
      <c r="AH1515">
        <v>10.7664501888401</v>
      </c>
      <c r="AI1515">
        <v>94.234084001237505</v>
      </c>
      <c r="AJ1515">
        <v>46.245013097525302</v>
      </c>
      <c r="AK1515">
        <v>14.946502496635301</v>
      </c>
      <c r="AL1515">
        <v>81.803267384888798</v>
      </c>
      <c r="AM1515">
        <v>61.5497797832573</v>
      </c>
      <c r="AN1515">
        <v>1.00000007100652</v>
      </c>
    </row>
    <row r="1516" spans="1:40" x14ac:dyDescent="0.25">
      <c r="A1516" t="str">
        <f>"20190312164017783"</f>
        <v>20190312164017783</v>
      </c>
      <c r="B1516" t="str">
        <f>"1552380017777193"</f>
        <v>1552380017777193</v>
      </c>
      <c r="C1516" t="s">
        <v>40</v>
      </c>
      <c r="D1516">
        <v>5.7842349999999998</v>
      </c>
      <c r="E1516">
        <v>0.6150658</v>
      </c>
      <c r="F1516" t="s">
        <v>45</v>
      </c>
      <c r="G1516">
        <v>-194.77330000000001</v>
      </c>
      <c r="H1516" s="1">
        <v>-2.1508420000000001E-6</v>
      </c>
      <c r="I1516">
        <v>351.09070000000003</v>
      </c>
      <c r="J1516">
        <v>-200.3861</v>
      </c>
      <c r="K1516">
        <v>1.103418</v>
      </c>
      <c r="L1516">
        <v>364.90699999999998</v>
      </c>
      <c r="M1516">
        <v>0.91191500000000003</v>
      </c>
      <c r="N1516">
        <v>0</v>
      </c>
      <c r="O1516">
        <v>-0.41011530000000002</v>
      </c>
      <c r="P1516">
        <v>0.60310620000000004</v>
      </c>
      <c r="Q1516">
        <v>0.13827900000000001</v>
      </c>
      <c r="R1516">
        <v>-0.7855837</v>
      </c>
      <c r="S1516">
        <v>1.2130430000000001</v>
      </c>
      <c r="T1516">
        <v>-0.23342840000000001</v>
      </c>
      <c r="U1516">
        <v>-2.935638</v>
      </c>
      <c r="V1516">
        <v>0.47165689999999999</v>
      </c>
      <c r="W1516">
        <v>0.14289209999999999</v>
      </c>
      <c r="X1516">
        <v>0.8701274</v>
      </c>
      <c r="Y1516">
        <v>0.68557029999999997</v>
      </c>
      <c r="Z1516">
        <v>3.5471019999999999E-3</v>
      </c>
      <c r="AA1516">
        <v>0.72799780000000003</v>
      </c>
      <c r="AB1516">
        <v>23</v>
      </c>
      <c r="AC1516">
        <v>5.6127999999999902</v>
      </c>
      <c r="AD1516">
        <v>-1.1034201508419901</v>
      </c>
      <c r="AE1516">
        <v>-13.816299999999901</v>
      </c>
      <c r="AF1516">
        <v>10.2424366477508</v>
      </c>
      <c r="AG1516">
        <v>-1.1034201508419901</v>
      </c>
      <c r="AH1516">
        <v>10.727112421455701</v>
      </c>
      <c r="AI1516">
        <v>94.254750973909196</v>
      </c>
      <c r="AJ1516">
        <v>46.324059598754197</v>
      </c>
      <c r="AK1516">
        <v>14.872658989401399</v>
      </c>
      <c r="AL1516">
        <v>81.784765953863101</v>
      </c>
      <c r="AM1516">
        <v>61.539871993566699</v>
      </c>
      <c r="AN1516">
        <v>1.0000000378953799</v>
      </c>
    </row>
    <row r="1517" spans="1:40" x14ac:dyDescent="0.25">
      <c r="A1517" t="str">
        <f>"20190312164017796"</f>
        <v>20190312164017796</v>
      </c>
      <c r="B1517" t="str">
        <f>"1552380017787929"</f>
        <v>1552380017787929</v>
      </c>
      <c r="C1517" t="s">
        <v>40</v>
      </c>
      <c r="D1517">
        <v>5.7823500000000001</v>
      </c>
      <c r="E1517">
        <v>0.61497239999999997</v>
      </c>
      <c r="F1517" t="s">
        <v>45</v>
      </c>
      <c r="G1517">
        <v>-194.44210000000001</v>
      </c>
      <c r="H1517" s="1">
        <v>-1.531534E-6</v>
      </c>
      <c r="I1517">
        <v>350.19330000000002</v>
      </c>
      <c r="J1517">
        <v>-200.25729999999999</v>
      </c>
      <c r="K1517">
        <v>1.1033059999999999</v>
      </c>
      <c r="L1517">
        <v>364.84039999999999</v>
      </c>
      <c r="M1517">
        <v>0.90886630000000002</v>
      </c>
      <c r="N1517">
        <v>0</v>
      </c>
      <c r="O1517">
        <v>-0.4168269</v>
      </c>
      <c r="P1517">
        <v>0.5969759</v>
      </c>
      <c r="Q1517">
        <v>0.1386829</v>
      </c>
      <c r="R1517">
        <v>-0.79018129999999998</v>
      </c>
      <c r="S1517">
        <v>1.189484</v>
      </c>
      <c r="T1517">
        <v>-0.22081010000000001</v>
      </c>
      <c r="U1517">
        <v>-2.9444270000000001</v>
      </c>
      <c r="V1517">
        <v>0.4719952</v>
      </c>
      <c r="W1517">
        <v>0.1431847</v>
      </c>
      <c r="X1517">
        <v>0.8698958</v>
      </c>
      <c r="Y1517">
        <v>0.68604770000000004</v>
      </c>
      <c r="Z1517">
        <v>3.8828249999999999E-3</v>
      </c>
      <c r="AA1517">
        <v>0.72754619999999903</v>
      </c>
      <c r="AB1517">
        <v>23</v>
      </c>
      <c r="AC1517">
        <v>5.8151999999999697</v>
      </c>
      <c r="AD1517">
        <v>-1.103307531534</v>
      </c>
      <c r="AE1517">
        <v>-14.647099999999901</v>
      </c>
      <c r="AF1517">
        <v>10.836393752709901</v>
      </c>
      <c r="AG1517">
        <v>-1.103307531534</v>
      </c>
      <c r="AH1517">
        <v>11.336219295409901</v>
      </c>
      <c r="AI1517">
        <v>94.024315518768205</v>
      </c>
      <c r="AJ1517">
        <v>46.291369880435802</v>
      </c>
      <c r="AK1517">
        <v>15.7211508798349</v>
      </c>
      <c r="AL1517">
        <v>81.767826838948295</v>
      </c>
      <c r="AM1517">
        <v>61.516264415673</v>
      </c>
      <c r="AN1517">
        <v>1.00000001499738</v>
      </c>
    </row>
    <row r="1518" spans="1:40" x14ac:dyDescent="0.25">
      <c r="A1518" t="str">
        <f>"20190312164017814"</f>
        <v>20190312164017814</v>
      </c>
      <c r="B1518" t="str">
        <f>"1552380017807449"</f>
        <v>1552380017807449</v>
      </c>
      <c r="C1518" t="s">
        <v>40</v>
      </c>
      <c r="D1518">
        <v>5.7550299999999996</v>
      </c>
      <c r="E1518">
        <v>0.61506249999999996</v>
      </c>
      <c r="F1518" t="s">
        <v>45</v>
      </c>
      <c r="G1518">
        <v>-194.27160000000001</v>
      </c>
      <c r="H1518" s="1">
        <v>-1.181368E-6</v>
      </c>
      <c r="I1518">
        <v>349.67829999999998</v>
      </c>
      <c r="J1518">
        <v>-200.10400000000001</v>
      </c>
      <c r="K1518">
        <v>1.1031759999999999</v>
      </c>
      <c r="L1518">
        <v>364.75900000000001</v>
      </c>
      <c r="M1518">
        <v>0.90507170000000003</v>
      </c>
      <c r="N1518">
        <v>0</v>
      </c>
      <c r="O1518">
        <v>-0.42500189999999999</v>
      </c>
      <c r="P1518">
        <v>0.58927600000000002</v>
      </c>
      <c r="Q1518">
        <v>0.139075</v>
      </c>
      <c r="R1518">
        <v>-0.79587189999999997</v>
      </c>
      <c r="S1518">
        <v>1.1659550000000001</v>
      </c>
      <c r="T1518">
        <v>-0.21491440000000001</v>
      </c>
      <c r="U1518">
        <v>-2.95343</v>
      </c>
      <c r="V1518">
        <v>0.47259400000000001</v>
      </c>
      <c r="W1518">
        <v>0.1434414</v>
      </c>
      <c r="X1518">
        <v>0.86952839999999998</v>
      </c>
      <c r="Y1518">
        <v>0.68530950000000002</v>
      </c>
      <c r="Z1518">
        <v>4.470346E-3</v>
      </c>
      <c r="AA1518">
        <v>0.72823830000000001</v>
      </c>
      <c r="AB1518">
        <v>23</v>
      </c>
      <c r="AC1518">
        <v>5.8323999999999998</v>
      </c>
      <c r="AD1518">
        <v>-1.103177181368</v>
      </c>
      <c r="AE1518">
        <v>-15.0807</v>
      </c>
      <c r="AF1518">
        <v>11.1197932130785</v>
      </c>
      <c r="AG1518">
        <v>-1.103177181368</v>
      </c>
      <c r="AH1518">
        <v>11.6351833488871</v>
      </c>
      <c r="AI1518">
        <v>93.921176262104495</v>
      </c>
      <c r="AJ1518">
        <v>46.297502173149503</v>
      </c>
      <c r="AK1518">
        <v>16.1320889086733</v>
      </c>
      <c r="AL1518">
        <v>81.752966156163495</v>
      </c>
      <c r="AM1518">
        <v>61.475649515477798</v>
      </c>
      <c r="AN1518">
        <v>1.0000000812382499</v>
      </c>
    </row>
    <row r="1519" spans="1:40" x14ac:dyDescent="0.25">
      <c r="A1519" t="str">
        <f>"20190312164017825"</f>
        <v>20190312164017825</v>
      </c>
      <c r="B1519" t="str">
        <f>"1552380017817209"</f>
        <v>1552380017817209</v>
      </c>
      <c r="C1519" t="s">
        <v>40</v>
      </c>
      <c r="D1519">
        <v>5.8877470000000001</v>
      </c>
      <c r="E1519">
        <v>0.61444969999999999</v>
      </c>
      <c r="F1519" t="s">
        <v>41</v>
      </c>
      <c r="G1519">
        <v>-193.98849999999999</v>
      </c>
      <c r="H1519" s="1">
        <v>-4.7222640000000004E-6</v>
      </c>
      <c r="I1519">
        <v>348.78440000000001</v>
      </c>
      <c r="J1519">
        <v>-199.9924</v>
      </c>
      <c r="K1519">
        <v>1.103078</v>
      </c>
      <c r="L1519">
        <v>364.69850000000002</v>
      </c>
      <c r="M1519">
        <v>0.90220149999999999</v>
      </c>
      <c r="N1519">
        <v>0</v>
      </c>
      <c r="O1519">
        <v>-0.43106040000000001</v>
      </c>
      <c r="P1519">
        <v>0.58379399999999904</v>
      </c>
      <c r="Q1519">
        <v>0.13911970000000001</v>
      </c>
      <c r="R1519">
        <v>-0.799894199999999</v>
      </c>
      <c r="S1519">
        <v>1.135025</v>
      </c>
      <c r="T1519">
        <v>-0.20474790000000001</v>
      </c>
      <c r="U1519">
        <v>-2.9648439999999998</v>
      </c>
      <c r="V1519">
        <v>0.47276750000000001</v>
      </c>
      <c r="W1519">
        <v>0.1433942</v>
      </c>
      <c r="X1519">
        <v>0.86944169999999998</v>
      </c>
      <c r="Y1519">
        <v>0.68803749999999997</v>
      </c>
      <c r="Z1519">
        <v>4.5974379999999997E-3</v>
      </c>
      <c r="AA1519">
        <v>0.72566059999999999</v>
      </c>
      <c r="AB1519">
        <v>23</v>
      </c>
      <c r="AC1519">
        <v>6.0039000000000096</v>
      </c>
      <c r="AD1519">
        <v>-1.1030827222640001</v>
      </c>
      <c r="AE1519">
        <v>-15.914099999999999</v>
      </c>
      <c r="AF1519">
        <v>11.721672353362401</v>
      </c>
      <c r="AG1519">
        <v>-1.1030827222640001</v>
      </c>
      <c r="AH1519">
        <v>12.226588884985301</v>
      </c>
      <c r="AI1519">
        <v>93.726167267188004</v>
      </c>
      <c r="AJ1519">
        <v>46.207824673831801</v>
      </c>
      <c r="AK1519">
        <v>16.973622772236499</v>
      </c>
      <c r="AL1519">
        <v>81.755697573994894</v>
      </c>
      <c r="AM1519">
        <v>61.464427233370401</v>
      </c>
      <c r="AN1519">
        <v>0.999999937674388</v>
      </c>
    </row>
    <row r="1520" spans="1:40" x14ac:dyDescent="0.25">
      <c r="A1520" t="str">
        <f>"20190312164017837"</f>
        <v>20190312164017837</v>
      </c>
      <c r="B1520" t="str">
        <f>"1552380017827944"</f>
        <v>1552380017827944</v>
      </c>
      <c r="C1520" t="s">
        <v>40</v>
      </c>
      <c r="D1520">
        <v>5.779115</v>
      </c>
      <c r="E1520">
        <v>0.61444969999999999</v>
      </c>
      <c r="F1520" t="s">
        <v>41</v>
      </c>
      <c r="G1520">
        <v>-194.06729999999999</v>
      </c>
      <c r="H1520" s="1">
        <v>-4.8034889999999997E-6</v>
      </c>
      <c r="I1520">
        <v>348.98200000000003</v>
      </c>
      <c r="J1520">
        <v>-199.88470000000001</v>
      </c>
      <c r="K1520">
        <v>1.1029789999999999</v>
      </c>
      <c r="L1520">
        <v>364.6395</v>
      </c>
      <c r="M1520">
        <v>0.89936130000000003</v>
      </c>
      <c r="N1520">
        <v>0</v>
      </c>
      <c r="O1520">
        <v>-0.43695430000000002</v>
      </c>
      <c r="P1520">
        <v>0.57811729999999995</v>
      </c>
      <c r="Q1520">
        <v>0.1392823</v>
      </c>
      <c r="R1520">
        <v>-0.80397779999999996</v>
      </c>
      <c r="S1520">
        <v>1.1195679999999999</v>
      </c>
      <c r="T1520">
        <v>-0.20843229999999999</v>
      </c>
      <c r="U1520">
        <v>-2.9696959999999999</v>
      </c>
      <c r="V1520">
        <v>0.47324539999999998</v>
      </c>
      <c r="W1520">
        <v>0.1434589</v>
      </c>
      <c r="X1520">
        <v>0.86917109999999997</v>
      </c>
      <c r="Y1520">
        <v>0.68698029999999999</v>
      </c>
      <c r="Z1520">
        <v>5.1921349999999996E-3</v>
      </c>
      <c r="AA1520">
        <v>0.72665749999999996</v>
      </c>
      <c r="AB1520">
        <v>23</v>
      </c>
      <c r="AC1520">
        <v>5.8174000000000197</v>
      </c>
      <c r="AD1520">
        <v>-1.102983803489</v>
      </c>
      <c r="AE1520">
        <v>-15.657500000000001</v>
      </c>
      <c r="AF1520">
        <v>11.490976062062501</v>
      </c>
      <c r="AG1520">
        <v>-1.102983803489</v>
      </c>
      <c r="AH1520">
        <v>12.0224620663802</v>
      </c>
      <c r="AI1520">
        <v>93.794409171831802</v>
      </c>
      <c r="AJ1520">
        <v>46.294864672542403</v>
      </c>
      <c r="AK1520">
        <v>16.667294269532899</v>
      </c>
      <c r="AL1520">
        <v>81.751952599650195</v>
      </c>
      <c r="AM1520">
        <v>61.432636609539699</v>
      </c>
      <c r="AN1520">
        <v>1.0000000328427801</v>
      </c>
    </row>
    <row r="1521" spans="1:40" x14ac:dyDescent="0.25">
      <c r="A1521" t="str">
        <f>"20190312164017850"</f>
        <v>20190312164017850</v>
      </c>
      <c r="B1521" t="str">
        <f>"1552380017847464"</f>
        <v>1552380017847464</v>
      </c>
      <c r="C1521" t="s">
        <v>40</v>
      </c>
      <c r="D1521">
        <v>5.7424330000000001</v>
      </c>
      <c r="E1521">
        <v>0.61268679999999998</v>
      </c>
      <c r="F1521" t="s">
        <v>41</v>
      </c>
      <c r="G1521">
        <v>-194.0583</v>
      </c>
      <c r="H1521" s="1">
        <v>-4.7565750000000003E-6</v>
      </c>
      <c r="I1521">
        <v>348.84879999999998</v>
      </c>
      <c r="J1521">
        <v>-199.77010000000001</v>
      </c>
      <c r="K1521">
        <v>1.1028800000000001</v>
      </c>
      <c r="L1521">
        <v>364.57490000000001</v>
      </c>
      <c r="M1521">
        <v>0.89620909999999998</v>
      </c>
      <c r="N1521">
        <v>0</v>
      </c>
      <c r="O1521">
        <v>-0.44338309999999997</v>
      </c>
      <c r="P1521">
        <v>0.57225109999999901</v>
      </c>
      <c r="Q1521">
        <v>0.13918440000000001</v>
      </c>
      <c r="R1521">
        <v>-0.80818100000000004</v>
      </c>
      <c r="S1521">
        <v>1.0986180000000001</v>
      </c>
      <c r="T1521">
        <v>-0.20797840000000001</v>
      </c>
      <c r="U1521">
        <v>-2.9774780000000001</v>
      </c>
      <c r="V1521">
        <v>0.47339619999999999</v>
      </c>
      <c r="W1521">
        <v>0.1432706</v>
      </c>
      <c r="X1521">
        <v>0.86912</v>
      </c>
      <c r="Y1521">
        <v>0.68690709999999999</v>
      </c>
      <c r="Z1521">
        <v>5.6872679999999997E-3</v>
      </c>
      <c r="AA1521">
        <v>0.72672300000000001</v>
      </c>
      <c r="AB1521">
        <v>22</v>
      </c>
      <c r="AC1521">
        <v>5.71180000000001</v>
      </c>
      <c r="AD1521">
        <v>-1.102884756575</v>
      </c>
      <c r="AE1521">
        <v>-15.726100000000001</v>
      </c>
      <c r="AF1521">
        <v>11.5126103598586</v>
      </c>
      <c r="AG1521">
        <v>-1.102884756575</v>
      </c>
      <c r="AH1521">
        <v>12.0406701595988</v>
      </c>
      <c r="AI1521">
        <v>93.787685747432107</v>
      </c>
      <c r="AJ1521">
        <v>46.284344661040201</v>
      </c>
      <c r="AK1521">
        <v>16.695337372346302</v>
      </c>
      <c r="AL1521">
        <v>81.762853740400601</v>
      </c>
      <c r="AM1521">
        <v>61.4235545522085</v>
      </c>
      <c r="AN1521">
        <v>1.0000000006994001</v>
      </c>
    </row>
    <row r="1522" spans="1:40" x14ac:dyDescent="0.25">
      <c r="A1522" t="str">
        <f>"20190312164017870"</f>
        <v>20190312164017870</v>
      </c>
      <c r="B1522" t="str">
        <f>"1552380017857224"</f>
        <v>1552380017857224</v>
      </c>
      <c r="C1522" t="s">
        <v>40</v>
      </c>
      <c r="D1522">
        <v>5.8327859999999996</v>
      </c>
      <c r="E1522">
        <v>0.61268679999999998</v>
      </c>
      <c r="F1522" t="s">
        <v>41</v>
      </c>
      <c r="G1522">
        <v>-194.126</v>
      </c>
      <c r="H1522" s="1">
        <v>-4.8675999999999998E-6</v>
      </c>
      <c r="I1522">
        <v>349.13979999999998</v>
      </c>
      <c r="J1522">
        <v>-199.60149999999999</v>
      </c>
      <c r="K1522">
        <v>1.1027359999999999</v>
      </c>
      <c r="L1522">
        <v>364.47809999999998</v>
      </c>
      <c r="M1522">
        <v>0.8913991</v>
      </c>
      <c r="N1522">
        <v>0</v>
      </c>
      <c r="O1522">
        <v>-0.45297359999999998</v>
      </c>
      <c r="P1522">
        <v>0.56298269999999995</v>
      </c>
      <c r="Q1522">
        <v>0.1388305</v>
      </c>
      <c r="R1522">
        <v>-0.81472480000000003</v>
      </c>
      <c r="S1522">
        <v>1.0888370000000001</v>
      </c>
      <c r="T1522">
        <v>-0.2127628</v>
      </c>
      <c r="U1522">
        <v>-2.9776609999999999</v>
      </c>
      <c r="V1522">
        <v>0.47409560000000001</v>
      </c>
      <c r="W1522">
        <v>0.1427783</v>
      </c>
      <c r="X1522">
        <v>0.86881969999999997</v>
      </c>
      <c r="Y1522">
        <v>0.68121209999999999</v>
      </c>
      <c r="Z1522">
        <v>6.8645240000000003E-3</v>
      </c>
      <c r="AA1522">
        <v>0.73205390000000004</v>
      </c>
      <c r="AB1522">
        <v>22</v>
      </c>
      <c r="AC1522">
        <v>5.47550000000001</v>
      </c>
      <c r="AD1522">
        <v>-1.1027408675999999</v>
      </c>
      <c r="AE1522">
        <v>-15.3383</v>
      </c>
      <c r="AF1522">
        <v>11.1424519963695</v>
      </c>
      <c r="AG1522">
        <v>-1.1027408675999999</v>
      </c>
      <c r="AH1522">
        <v>11.776029010244701</v>
      </c>
      <c r="AI1522">
        <v>93.891266131765803</v>
      </c>
      <c r="AJ1522">
        <v>46.583527527071702</v>
      </c>
      <c r="AK1522">
        <v>16.249465626986002</v>
      </c>
      <c r="AL1522">
        <v>81.791353249914906</v>
      </c>
      <c r="AM1522">
        <v>61.379683951760299</v>
      </c>
      <c r="AN1522">
        <v>0.99999997599916901</v>
      </c>
    </row>
    <row r="1523" spans="1:40" x14ac:dyDescent="0.25">
      <c r="A1523" t="str">
        <f>"20190312164017893"</f>
        <v>20190312164017893</v>
      </c>
      <c r="B1523" t="str">
        <f>"1552380017887480"</f>
        <v>1552380017887480</v>
      </c>
      <c r="C1523" t="s">
        <v>40</v>
      </c>
      <c r="D1523">
        <v>5.8389350000000002</v>
      </c>
      <c r="E1523">
        <v>0.6117359</v>
      </c>
      <c r="F1523" t="s">
        <v>41</v>
      </c>
      <c r="G1523">
        <v>-194.14529999999999</v>
      </c>
      <c r="H1523" s="1">
        <v>-4.823498E-6</v>
      </c>
      <c r="I1523">
        <v>349.00020000000001</v>
      </c>
      <c r="J1523">
        <v>-199.39490000000001</v>
      </c>
      <c r="K1523">
        <v>1.1025720000000001</v>
      </c>
      <c r="L1523">
        <v>364.35579999999999</v>
      </c>
      <c r="M1523">
        <v>0.88519230000000004</v>
      </c>
      <c r="N1523">
        <v>0</v>
      </c>
      <c r="O1523">
        <v>-0.46498440000000002</v>
      </c>
      <c r="P1523">
        <v>0.55182489999999995</v>
      </c>
      <c r="Q1523">
        <v>0.13824639999999999</v>
      </c>
      <c r="R1523">
        <v>-0.82242209999999905</v>
      </c>
      <c r="S1523">
        <v>1.0540620000000001</v>
      </c>
      <c r="T1523">
        <v>-0.2130339</v>
      </c>
      <c r="U1523">
        <v>-2.9901119999999999</v>
      </c>
      <c r="V1523">
        <v>0.47432479999999999</v>
      </c>
      <c r="W1523">
        <v>0.1420553</v>
      </c>
      <c r="X1523">
        <v>0.86881319999999995</v>
      </c>
      <c r="Y1523">
        <v>0.67986329999999995</v>
      </c>
      <c r="Z1523">
        <v>7.9063269999999995E-3</v>
      </c>
      <c r="AA1523">
        <v>0.73329630000000001</v>
      </c>
      <c r="AB1523">
        <v>22</v>
      </c>
      <c r="AC1523">
        <v>5.2496000000000098</v>
      </c>
      <c r="AD1523">
        <v>-1.10257682349799</v>
      </c>
      <c r="AE1523">
        <v>-15.3555999999999</v>
      </c>
      <c r="AF1523">
        <v>11.1016795183453</v>
      </c>
      <c r="AG1523">
        <v>-1.10257682349799</v>
      </c>
      <c r="AH1523">
        <v>11.734174205540199</v>
      </c>
      <c r="AI1523">
        <v>93.904717642001302</v>
      </c>
      <c r="AJ1523">
        <v>46.586540791380699</v>
      </c>
      <c r="AK1523">
        <v>16.191164506166</v>
      </c>
      <c r="AL1523">
        <v>81.833205312829307</v>
      </c>
      <c r="AM1523">
        <v>61.3678580187714</v>
      </c>
      <c r="AN1523">
        <v>1.0000000503236799</v>
      </c>
    </row>
    <row r="1524" spans="1:40" x14ac:dyDescent="0.25">
      <c r="A1524" t="str">
        <f>"20190312164017913"</f>
        <v>20190312164017913</v>
      </c>
      <c r="B1524" t="str">
        <f>"1552380017907977"</f>
        <v>1552380017907977</v>
      </c>
      <c r="C1524" t="s">
        <v>40</v>
      </c>
      <c r="D1524">
        <v>5.6081320000000003</v>
      </c>
      <c r="E1524">
        <v>0.61107029999999996</v>
      </c>
      <c r="F1524" t="s">
        <v>41</v>
      </c>
      <c r="G1524">
        <v>-194.16470000000001</v>
      </c>
      <c r="H1524" s="1">
        <v>-4.8104779999999998E-6</v>
      </c>
      <c r="I1524">
        <v>348.95179999999999</v>
      </c>
      <c r="J1524">
        <v>-199.21520000000001</v>
      </c>
      <c r="K1524">
        <v>1.1024419999999999</v>
      </c>
      <c r="L1524">
        <v>364.24599999999998</v>
      </c>
      <c r="M1524">
        <v>0.87949100000000002</v>
      </c>
      <c r="N1524">
        <v>0</v>
      </c>
      <c r="O1524">
        <v>-0.47567799999999999</v>
      </c>
      <c r="P1524">
        <v>0.54161749999999997</v>
      </c>
      <c r="Q1524">
        <v>0.13832169999999999</v>
      </c>
      <c r="R1524">
        <v>-0.82916679999999998</v>
      </c>
      <c r="S1524">
        <v>1.018707</v>
      </c>
      <c r="T1524">
        <v>-0.21475350000000001</v>
      </c>
      <c r="U1524">
        <v>-3.000305</v>
      </c>
      <c r="V1524">
        <v>0.47457080000000001</v>
      </c>
      <c r="W1524">
        <v>0.14201710000000001</v>
      </c>
      <c r="X1524">
        <v>0.86868509999999999</v>
      </c>
      <c r="Y1524">
        <v>0.67948759999999997</v>
      </c>
      <c r="Z1524">
        <v>8.8676529999999996E-3</v>
      </c>
      <c r="AA1524">
        <v>0.73363330000000004</v>
      </c>
      <c r="AB1524">
        <v>22</v>
      </c>
      <c r="AC1524">
        <v>5.0505000000000004</v>
      </c>
      <c r="AD1524">
        <v>-1.1024468104780001</v>
      </c>
      <c r="AE1524">
        <v>-15.294199999999901</v>
      </c>
      <c r="AF1524">
        <v>10.998420500026899</v>
      </c>
      <c r="AG1524">
        <v>-1.1024468104780001</v>
      </c>
      <c r="AH1524">
        <v>11.6636636071603</v>
      </c>
      <c r="AI1524">
        <v>93.9339170090972</v>
      </c>
      <c r="AJ1524">
        <v>46.681428753988698</v>
      </c>
      <c r="AK1524">
        <v>16.0692778682286</v>
      </c>
      <c r="AL1524">
        <v>81.835416442208498</v>
      </c>
      <c r="AM1524">
        <v>61.351807140942199</v>
      </c>
      <c r="AN1524">
        <v>1.0000000519335199</v>
      </c>
    </row>
    <row r="1525" spans="1:40" x14ac:dyDescent="0.25">
      <c r="A1525" t="str">
        <f>"20190312164017927"</f>
        <v>20190312164017927</v>
      </c>
      <c r="B1525" t="str">
        <f>"1552380017917736"</f>
        <v>1552380017917736</v>
      </c>
      <c r="C1525" t="s">
        <v>40</v>
      </c>
      <c r="D1525">
        <v>6.2979310000000002</v>
      </c>
      <c r="E1525">
        <v>0.61066869999999995</v>
      </c>
      <c r="F1525" t="s">
        <v>41</v>
      </c>
      <c r="G1525">
        <v>-193.99889999999999</v>
      </c>
      <c r="H1525" s="1">
        <v>-4.5598629999999998E-6</v>
      </c>
      <c r="I1525">
        <v>348.30169999999998</v>
      </c>
      <c r="J1525">
        <v>-199.1011</v>
      </c>
      <c r="K1525">
        <v>1.102363</v>
      </c>
      <c r="L1525">
        <v>364.17430000000002</v>
      </c>
      <c r="M1525">
        <v>0.87571279999999996</v>
      </c>
      <c r="N1525">
        <v>0</v>
      </c>
      <c r="O1525">
        <v>-0.48259770000000002</v>
      </c>
      <c r="P1525">
        <v>0.53505499999999995</v>
      </c>
      <c r="Q1525">
        <v>0.1379445</v>
      </c>
      <c r="R1525">
        <v>-0.83347950000000004</v>
      </c>
      <c r="S1525">
        <v>0.98461909999999997</v>
      </c>
      <c r="T1525">
        <v>-0.20809830000000001</v>
      </c>
      <c r="U1525">
        <v>-3.0096440000000002</v>
      </c>
      <c r="V1525">
        <v>0.47465499999999999</v>
      </c>
      <c r="W1525">
        <v>0.14157429999999999</v>
      </c>
      <c r="X1525">
        <v>0.86871139999999902</v>
      </c>
      <c r="Y1525">
        <v>0.68190580000000001</v>
      </c>
      <c r="Z1525">
        <v>9.0405329999999999E-3</v>
      </c>
      <c r="AA1525">
        <v>0.73138419999999904</v>
      </c>
      <c r="AB1525">
        <v>22</v>
      </c>
      <c r="AC1525">
        <v>5.1022000000000096</v>
      </c>
      <c r="AD1525">
        <v>-1.1023675598630001</v>
      </c>
      <c r="AE1525">
        <v>-15.8726</v>
      </c>
      <c r="AF1525">
        <v>11.3890351881876</v>
      </c>
      <c r="AG1525">
        <v>-1.1023675598630001</v>
      </c>
      <c r="AH1525">
        <v>12.0767201644049</v>
      </c>
      <c r="AI1525">
        <v>93.799320254020103</v>
      </c>
      <c r="AJ1525">
        <v>46.678623688075099</v>
      </c>
      <c r="AK1525">
        <v>16.636481198984399</v>
      </c>
      <c r="AL1525">
        <v>81.861046155043994</v>
      </c>
      <c r="AM1525">
        <v>61.348260144439799</v>
      </c>
      <c r="AN1525">
        <v>1.0000000739677199</v>
      </c>
    </row>
    <row r="1526" spans="1:40" x14ac:dyDescent="0.25">
      <c r="A1526" t="str">
        <f>"20190312164017939"</f>
        <v>20190312164017939</v>
      </c>
      <c r="B1526" t="str">
        <f>"1552380017927497"</f>
        <v>1552380017927497</v>
      </c>
      <c r="C1526" t="s">
        <v>40</v>
      </c>
      <c r="D1526">
        <v>5.8472099999999996</v>
      </c>
      <c r="E1526">
        <v>0.61015399999999997</v>
      </c>
      <c r="F1526" t="s">
        <v>41</v>
      </c>
      <c r="G1526">
        <v>-193.95099999999999</v>
      </c>
      <c r="H1526" s="1">
        <v>-4.4612529999999997E-6</v>
      </c>
      <c r="I1526">
        <v>348.0369</v>
      </c>
      <c r="J1526">
        <v>-198.9973</v>
      </c>
      <c r="K1526">
        <v>1.1022940000000001</v>
      </c>
      <c r="L1526">
        <v>364.10849999999999</v>
      </c>
      <c r="M1526">
        <v>0.8721913</v>
      </c>
      <c r="N1526">
        <v>0</v>
      </c>
      <c r="O1526">
        <v>-0.48893239999999999</v>
      </c>
      <c r="P1526">
        <v>0.52927209999999902</v>
      </c>
      <c r="Q1526">
        <v>0.13811699999999999</v>
      </c>
      <c r="R1526">
        <v>-0.83713490000000002</v>
      </c>
      <c r="S1526">
        <v>0.96241759999999998</v>
      </c>
      <c r="T1526">
        <v>-0.2060052</v>
      </c>
      <c r="U1526">
        <v>-3.0156860000000001</v>
      </c>
      <c r="V1526">
        <v>0.47437550000000001</v>
      </c>
      <c r="W1526">
        <v>0.1416965</v>
      </c>
      <c r="X1526">
        <v>0.86884399999999995</v>
      </c>
      <c r="Y1526">
        <v>0.68193130000000002</v>
      </c>
      <c r="Z1526">
        <v>9.4535869999999994E-3</v>
      </c>
      <c r="AA1526">
        <v>0.73135519999999998</v>
      </c>
      <c r="AB1526">
        <v>22</v>
      </c>
      <c r="AC1526">
        <v>5.0462999999999996</v>
      </c>
      <c r="AD1526">
        <v>-1.102298461253</v>
      </c>
      <c r="AE1526">
        <v>-16.071599999999901</v>
      </c>
      <c r="AF1526">
        <v>11.5022713319697</v>
      </c>
      <c r="AG1526">
        <v>-1.102298461253</v>
      </c>
      <c r="AH1526">
        <v>12.2083832117511</v>
      </c>
      <c r="AI1526">
        <v>93.759904019735899</v>
      </c>
      <c r="AJ1526">
        <v>46.705784914548602</v>
      </c>
      <c r="AK1526">
        <v>16.809578469934898</v>
      </c>
      <c r="AL1526">
        <v>81.853972331232001</v>
      </c>
      <c r="AM1526">
        <v>61.366136602441202</v>
      </c>
      <c r="AN1526">
        <v>0.99999995472424896</v>
      </c>
    </row>
    <row r="1527" spans="1:40" x14ac:dyDescent="0.25">
      <c r="A1527" t="str">
        <f>"20190312164017950"</f>
        <v>20190312164017950</v>
      </c>
      <c r="B1527" t="str">
        <f>"1552380017947993"</f>
        <v>1552380017947993</v>
      </c>
      <c r="C1527" t="s">
        <v>40</v>
      </c>
      <c r="D1527">
        <v>6.1020629999999896</v>
      </c>
      <c r="E1527">
        <v>0.6093478</v>
      </c>
      <c r="F1527" t="s">
        <v>41</v>
      </c>
      <c r="G1527">
        <v>-193.8408</v>
      </c>
      <c r="H1527" s="1">
        <v>-4.2990959999999999E-6</v>
      </c>
      <c r="I1527">
        <v>347.61790000000002</v>
      </c>
      <c r="J1527">
        <v>-198.89160000000001</v>
      </c>
      <c r="K1527">
        <v>1.102222</v>
      </c>
      <c r="L1527">
        <v>364.03949999999998</v>
      </c>
      <c r="M1527">
        <v>0.86846699999999999</v>
      </c>
      <c r="N1527">
        <v>0</v>
      </c>
      <c r="O1527">
        <v>-0.49551630000000002</v>
      </c>
      <c r="P1527">
        <v>0.52311609999999997</v>
      </c>
      <c r="Q1527">
        <v>0.13827590000000001</v>
      </c>
      <c r="R1527">
        <v>-0.84096959999999998</v>
      </c>
      <c r="S1527">
        <v>0.94430539999999996</v>
      </c>
      <c r="T1527">
        <v>-0.20186409999999999</v>
      </c>
      <c r="U1527">
        <v>-3.0199280000000002</v>
      </c>
      <c r="V1527">
        <v>0.47418290000000002</v>
      </c>
      <c r="W1527">
        <v>0.1418046</v>
      </c>
      <c r="X1527">
        <v>0.86893149999999997</v>
      </c>
      <c r="Y1527">
        <v>0.68071079999999995</v>
      </c>
      <c r="Z1527">
        <v>9.834364E-3</v>
      </c>
      <c r="AA1527">
        <v>0.73248619999999898</v>
      </c>
      <c r="AB1527">
        <v>22</v>
      </c>
      <c r="AC1527">
        <v>5.0507999999999997</v>
      </c>
      <c r="AD1527">
        <v>-1.1022262990959999</v>
      </c>
      <c r="AE1527">
        <v>-16.421599999999899</v>
      </c>
      <c r="AF1527">
        <v>11.712004235250401</v>
      </c>
      <c r="AG1527">
        <v>-1.1022262990959999</v>
      </c>
      <c r="AH1527">
        <v>12.473716262277801</v>
      </c>
      <c r="AI1527">
        <v>93.685822599256198</v>
      </c>
      <c r="AJ1527">
        <v>46.8038934705421</v>
      </c>
      <c r="AK1527">
        <v>17.145831662907302</v>
      </c>
      <c r="AL1527">
        <v>81.847715516933505</v>
      </c>
      <c r="AM1527">
        <v>61.378348034318201</v>
      </c>
      <c r="AN1527">
        <v>0.99999995946290898</v>
      </c>
    </row>
    <row r="1528" spans="1:40" x14ac:dyDescent="0.25">
      <c r="A1528" t="str">
        <f>"20190312164017969"</f>
        <v>20190312164017969</v>
      </c>
      <c r="B1528" t="str">
        <f>"1552380017957752"</f>
        <v>1552380017957752</v>
      </c>
      <c r="C1528" t="s">
        <v>40</v>
      </c>
      <c r="D1528">
        <v>6.3399219999999996</v>
      </c>
      <c r="E1528">
        <v>0.60931139999999995</v>
      </c>
      <c r="F1528" t="s">
        <v>41</v>
      </c>
      <c r="G1528">
        <v>-193.92429999999999</v>
      </c>
      <c r="H1528" s="1">
        <v>-4.395742E-6</v>
      </c>
      <c r="I1528">
        <v>347.85829999999999</v>
      </c>
      <c r="J1528">
        <v>-198.73609999999999</v>
      </c>
      <c r="K1528">
        <v>1.102123</v>
      </c>
      <c r="L1528">
        <v>363.93619999999999</v>
      </c>
      <c r="M1528">
        <v>0.86281269999999999</v>
      </c>
      <c r="N1528">
        <v>0</v>
      </c>
      <c r="O1528">
        <v>-0.50529619999999997</v>
      </c>
      <c r="P1528">
        <v>0.5139551</v>
      </c>
      <c r="Q1528">
        <v>0.1383363</v>
      </c>
      <c r="R1528">
        <v>-0.84658949999999999</v>
      </c>
      <c r="S1528">
        <v>0.92822269999999896</v>
      </c>
      <c r="T1528">
        <v>-0.20597119999999999</v>
      </c>
      <c r="U1528">
        <v>-3.0237430000000001</v>
      </c>
      <c r="V1528">
        <v>0.47382800000000003</v>
      </c>
      <c r="W1528">
        <v>0.14179710000000001</v>
      </c>
      <c r="X1528">
        <v>0.86912639999999997</v>
      </c>
      <c r="Y1528">
        <v>0.67624770000000001</v>
      </c>
      <c r="Z1528">
        <v>1.101457E-2</v>
      </c>
      <c r="AA1528">
        <v>0.73659200000000002</v>
      </c>
      <c r="AB1528">
        <v>22</v>
      </c>
      <c r="AC1528">
        <v>4.8117999999999999</v>
      </c>
      <c r="AD1528">
        <v>-1.1021273957419999</v>
      </c>
      <c r="AE1528">
        <v>-16.0779</v>
      </c>
      <c r="AF1528">
        <v>11.3930131798537</v>
      </c>
      <c r="AG1528">
        <v>-1.1021273957419999</v>
      </c>
      <c r="AH1528">
        <v>12.224475228300401</v>
      </c>
      <c r="AI1528">
        <v>93.773446580956701</v>
      </c>
      <c r="AJ1528">
        <v>47.016285489940202</v>
      </c>
      <c r="AK1528">
        <v>16.7467378530894</v>
      </c>
      <c r="AL1528">
        <v>81.848150325218796</v>
      </c>
      <c r="AM1528">
        <v>61.401783528725502</v>
      </c>
      <c r="AN1528">
        <v>1.00000004516468</v>
      </c>
    </row>
    <row r="1529" spans="1:40" x14ac:dyDescent="0.25">
      <c r="A1529" t="str">
        <f>"20190312164017993"</f>
        <v>20190312164017993</v>
      </c>
      <c r="B1529" t="str">
        <f>"1552380017988008"</f>
        <v>1552380017988008</v>
      </c>
      <c r="C1529" t="s">
        <v>40</v>
      </c>
      <c r="D1529">
        <v>5.9586980000000001</v>
      </c>
      <c r="E1529">
        <v>0.60828280000000001</v>
      </c>
      <c r="F1529" t="s">
        <v>41</v>
      </c>
      <c r="G1529">
        <v>-194.00829999999999</v>
      </c>
      <c r="H1529" s="1">
        <v>-4.4328649999999996E-6</v>
      </c>
      <c r="I1529">
        <v>347.9237</v>
      </c>
      <c r="J1529">
        <v>-198.53469999999999</v>
      </c>
      <c r="K1529">
        <v>1.101998</v>
      </c>
      <c r="L1529">
        <v>363.79840000000002</v>
      </c>
      <c r="M1529">
        <v>0.85513760000000005</v>
      </c>
      <c r="N1529">
        <v>0</v>
      </c>
      <c r="O1529">
        <v>-0.51817729999999995</v>
      </c>
      <c r="P1529">
        <v>0.50181390000000003</v>
      </c>
      <c r="Q1529">
        <v>0.1381088</v>
      </c>
      <c r="R1529">
        <v>-0.85387809999999897</v>
      </c>
      <c r="S1529">
        <v>0.89578250000000004</v>
      </c>
      <c r="T1529">
        <v>-0.2088207</v>
      </c>
      <c r="U1529">
        <v>-3.0339049999999999</v>
      </c>
      <c r="V1529">
        <v>0.4732748</v>
      </c>
      <c r="W1529">
        <v>0.14149400000000001</v>
      </c>
      <c r="X1529">
        <v>0.8694771</v>
      </c>
      <c r="Y1529">
        <v>0.67312479999999997</v>
      </c>
      <c r="Z1529">
        <v>1.23486E-2</v>
      </c>
      <c r="AA1529">
        <v>0.73942580000000002</v>
      </c>
      <c r="AB1529">
        <v>22</v>
      </c>
      <c r="AC1529">
        <v>4.52639999999999</v>
      </c>
      <c r="AD1529">
        <v>-1.102002432865</v>
      </c>
      <c r="AE1529">
        <v>-15.874700000000001</v>
      </c>
      <c r="AF1529">
        <v>11.1810479189588</v>
      </c>
      <c r="AG1529">
        <v>-1.102002432865</v>
      </c>
      <c r="AH1529">
        <v>12.0443300506486</v>
      </c>
      <c r="AI1529">
        <v>93.836259067828905</v>
      </c>
      <c r="AJ1529">
        <v>47.128691409685203</v>
      </c>
      <c r="AK1529">
        <v>16.471069433921102</v>
      </c>
      <c r="AL1529">
        <v>81.865693250659803</v>
      </c>
      <c r="AM1529">
        <v>61.439611262362099</v>
      </c>
      <c r="AN1529">
        <v>1.00000000788772</v>
      </c>
    </row>
    <row r="1530" spans="1:40" x14ac:dyDescent="0.25">
      <c r="A1530" t="str">
        <f>"20190312164018016"</f>
        <v>20190312164018016</v>
      </c>
      <c r="B1530" t="str">
        <f>"1552380018007528"</f>
        <v>1552380018007528</v>
      </c>
      <c r="C1530" t="s">
        <v>40</v>
      </c>
      <c r="D1530">
        <v>6.113194</v>
      </c>
      <c r="E1530">
        <v>0.6074541</v>
      </c>
      <c r="F1530" t="s">
        <v>41</v>
      </c>
      <c r="G1530">
        <v>-194.04759999999999</v>
      </c>
      <c r="H1530" s="1">
        <v>-4.4342389999999998E-6</v>
      </c>
      <c r="I1530">
        <v>347.90719999999999</v>
      </c>
      <c r="J1530">
        <v>-198.34899999999999</v>
      </c>
      <c r="K1530">
        <v>1.1018920000000001</v>
      </c>
      <c r="L1530">
        <v>363.66699999999997</v>
      </c>
      <c r="M1530">
        <v>0.84768679999999996</v>
      </c>
      <c r="N1530">
        <v>0</v>
      </c>
      <c r="O1530">
        <v>-0.53027690000000005</v>
      </c>
      <c r="P1530">
        <v>0.49046129999999999</v>
      </c>
      <c r="Q1530">
        <v>0.13748479999999999</v>
      </c>
      <c r="R1530">
        <v>-0.86054959999999903</v>
      </c>
      <c r="S1530">
        <v>0.85913090000000003</v>
      </c>
      <c r="T1530">
        <v>-0.21099470000000001</v>
      </c>
      <c r="U1530">
        <v>-3.0426030000000002</v>
      </c>
      <c r="V1530">
        <v>0.47254119999999999</v>
      </c>
      <c r="W1530">
        <v>0.1408171</v>
      </c>
      <c r="X1530">
        <v>0.86998589999999998</v>
      </c>
      <c r="Y1530">
        <v>0.67142409999999997</v>
      </c>
      <c r="Z1530">
        <v>1.355698E-2</v>
      </c>
      <c r="AA1530">
        <v>0.74094939999999998</v>
      </c>
      <c r="AB1530">
        <v>22</v>
      </c>
      <c r="AC1530">
        <v>4.3014000000000197</v>
      </c>
      <c r="AD1530">
        <v>-1.1018964342389901</v>
      </c>
      <c r="AE1530">
        <v>-15.759799999999901</v>
      </c>
      <c r="AF1530">
        <v>11.029554573148699</v>
      </c>
      <c r="AG1530">
        <v>-1.1018964342389901</v>
      </c>
      <c r="AH1530">
        <v>11.9503298956799</v>
      </c>
      <c r="AI1530">
        <v>93.876313561781501</v>
      </c>
      <c r="AJ1530">
        <v>47.294543015189802</v>
      </c>
      <c r="AK1530">
        <v>16.299559332983101</v>
      </c>
      <c r="AL1530">
        <v>81.904869388344906</v>
      </c>
      <c r="AM1530">
        <v>61.490977715069398</v>
      </c>
      <c r="AN1530">
        <v>1.0000000537743201</v>
      </c>
    </row>
    <row r="1531" spans="1:40" x14ac:dyDescent="0.25">
      <c r="A1531" t="str">
        <f>"20190312164018029"</f>
        <v>20190312164018029</v>
      </c>
      <c r="B1531" t="str">
        <f>"1552380018017288"</f>
        <v>1552380018017288</v>
      </c>
      <c r="C1531" t="s">
        <v>40</v>
      </c>
      <c r="D1531">
        <v>6.1148150000000001</v>
      </c>
      <c r="E1531">
        <v>0.60707909999999998</v>
      </c>
      <c r="F1531" t="s">
        <v>41</v>
      </c>
      <c r="G1531">
        <v>-193.92959999999999</v>
      </c>
      <c r="H1531" s="1">
        <v>-4.1965439999999999E-6</v>
      </c>
      <c r="I1531">
        <v>347.27019999999999</v>
      </c>
      <c r="J1531">
        <v>-198.24279999999999</v>
      </c>
      <c r="K1531">
        <v>1.1018349999999999</v>
      </c>
      <c r="L1531">
        <v>363.58949999999999</v>
      </c>
      <c r="M1531">
        <v>0.84324349999999904</v>
      </c>
      <c r="N1531">
        <v>0</v>
      </c>
      <c r="O1531">
        <v>-0.53731390000000001</v>
      </c>
      <c r="P1531">
        <v>0.48352079999999997</v>
      </c>
      <c r="Q1531">
        <v>0.137352</v>
      </c>
      <c r="R1531">
        <v>-0.86448939999999996</v>
      </c>
      <c r="S1531">
        <v>0.82212830000000003</v>
      </c>
      <c r="T1531">
        <v>-0.20498420000000001</v>
      </c>
      <c r="U1531">
        <v>-3.050262</v>
      </c>
      <c r="V1531">
        <v>0.472335</v>
      </c>
      <c r="W1531">
        <v>0.14065229999999901</v>
      </c>
      <c r="X1531">
        <v>0.87012449999999997</v>
      </c>
      <c r="Y1531">
        <v>0.67411569999999899</v>
      </c>
      <c r="Z1531">
        <v>1.363468E-2</v>
      </c>
      <c r="AA1531">
        <v>0.73849989999999999</v>
      </c>
      <c r="AB1531">
        <v>22</v>
      </c>
      <c r="AC1531">
        <v>4.3131999999999904</v>
      </c>
      <c r="AD1531">
        <v>-1.101839196544</v>
      </c>
      <c r="AE1531">
        <v>-16.319299999999998</v>
      </c>
      <c r="AF1531">
        <v>11.396381810892001</v>
      </c>
      <c r="AG1531">
        <v>-1.101839196544</v>
      </c>
      <c r="AH1531">
        <v>12.3544753230809</v>
      </c>
      <c r="AI1531">
        <v>93.750615478254204</v>
      </c>
      <c r="AJ1531">
        <v>47.310020532989803</v>
      </c>
      <c r="AK1531">
        <v>16.844127418874699</v>
      </c>
      <c r="AL1531">
        <v>81.914406489287103</v>
      </c>
      <c r="AM1531">
        <v>61.505292123215703</v>
      </c>
      <c r="AN1531">
        <v>1.0000000336102599</v>
      </c>
    </row>
    <row r="1532" spans="1:40" x14ac:dyDescent="0.25">
      <c r="A1532" t="str">
        <f>"20190312164018043"</f>
        <v>20190312164018043</v>
      </c>
      <c r="B1532" t="str">
        <f>"1552380018037785"</f>
        <v>1552380018037785</v>
      </c>
      <c r="C1532" t="s">
        <v>40</v>
      </c>
      <c r="D1532">
        <v>6.0016629999999997</v>
      </c>
      <c r="E1532">
        <v>0.60626289999999905</v>
      </c>
      <c r="F1532" t="s">
        <v>41</v>
      </c>
      <c r="G1532">
        <v>-193.8732</v>
      </c>
      <c r="H1532" s="1">
        <v>-4.0565379999999998E-6</v>
      </c>
      <c r="I1532">
        <v>346.88819999999998</v>
      </c>
      <c r="J1532">
        <v>-198.12690000000001</v>
      </c>
      <c r="K1532">
        <v>1.1017729999999999</v>
      </c>
      <c r="L1532">
        <v>363.50380000000001</v>
      </c>
      <c r="M1532">
        <v>0.8382695</v>
      </c>
      <c r="N1532">
        <v>0</v>
      </c>
      <c r="O1532">
        <v>-0.54504039999999998</v>
      </c>
      <c r="P1532">
        <v>0.47596280000000002</v>
      </c>
      <c r="Q1532">
        <v>0.13717109999999999</v>
      </c>
      <c r="R1532">
        <v>-0.86870219999999898</v>
      </c>
      <c r="S1532">
        <v>0.79933169999999898</v>
      </c>
      <c r="T1532">
        <v>-0.20156160000000001</v>
      </c>
      <c r="U1532">
        <v>-3.0552060000000001</v>
      </c>
      <c r="V1532">
        <v>0.47196700000000003</v>
      </c>
      <c r="W1532">
        <v>0.1404437</v>
      </c>
      <c r="X1532">
        <v>0.87035790000000002</v>
      </c>
      <c r="Y1532">
        <v>0.67279730000000004</v>
      </c>
      <c r="Z1532">
        <v>1.4082269999999999E-2</v>
      </c>
      <c r="AA1532">
        <v>0.73969280000000004</v>
      </c>
      <c r="AB1532">
        <v>22</v>
      </c>
      <c r="AC1532">
        <v>4.2537000000000003</v>
      </c>
      <c r="AD1532">
        <v>-1.1017770565379901</v>
      </c>
      <c r="AE1532">
        <v>-16.615600000000001</v>
      </c>
      <c r="AF1532">
        <v>11.563560485769001</v>
      </c>
      <c r="AG1532">
        <v>-1.1017770565379901</v>
      </c>
      <c r="AH1532">
        <v>12.5715279934987</v>
      </c>
      <c r="AI1532">
        <v>93.690649540146097</v>
      </c>
      <c r="AJ1532">
        <v>47.391486657446499</v>
      </c>
      <c r="AK1532">
        <v>17.116458742440699</v>
      </c>
      <c r="AL1532">
        <v>81.926478575047696</v>
      </c>
      <c r="AM1532">
        <v>61.5304520234425</v>
      </c>
      <c r="AN1532">
        <v>1.00000007802554</v>
      </c>
    </row>
    <row r="1533" spans="1:40" x14ac:dyDescent="0.25">
      <c r="A1533" t="str">
        <f>"20190312164018061"</f>
        <v>20190312164018061</v>
      </c>
      <c r="B1533" t="str">
        <f>"1552380018057305"</f>
        <v>1552380018057305</v>
      </c>
      <c r="C1533" t="s">
        <v>40</v>
      </c>
      <c r="D1533">
        <v>5.964931</v>
      </c>
      <c r="E1533">
        <v>0.60590080000000002</v>
      </c>
      <c r="F1533" t="s">
        <v>41</v>
      </c>
      <c r="G1533">
        <v>-193.79349999999999</v>
      </c>
      <c r="H1533" s="1">
        <v>-3.8963740000000002E-6</v>
      </c>
      <c r="I1533">
        <v>346.45909999999998</v>
      </c>
      <c r="J1533">
        <v>-197.9855</v>
      </c>
      <c r="K1533">
        <v>1.101709</v>
      </c>
      <c r="L1533">
        <v>363.39670000000001</v>
      </c>
      <c r="M1533">
        <v>0.83199679999999998</v>
      </c>
      <c r="N1533">
        <v>0</v>
      </c>
      <c r="O1533">
        <v>-0.55456729999999999</v>
      </c>
      <c r="P1533">
        <v>0.46625250000000001</v>
      </c>
      <c r="Q1533">
        <v>0.13679089999999999</v>
      </c>
      <c r="R1533">
        <v>-0.87401209999999996</v>
      </c>
      <c r="S1533">
        <v>0.77760309999999999</v>
      </c>
      <c r="T1533">
        <v>-0.19770940000000001</v>
      </c>
      <c r="U1533">
        <v>-3.0585939999999998</v>
      </c>
      <c r="V1533">
        <v>0.47180119999999998</v>
      </c>
      <c r="W1533">
        <v>0.14002870000000001</v>
      </c>
      <c r="X1533">
        <v>0.87051460000000003</v>
      </c>
      <c r="Y1533">
        <v>0.66950659999999995</v>
      </c>
      <c r="Z1533">
        <v>1.4703590000000001E-2</v>
      </c>
      <c r="AA1533">
        <v>0.74266049999999995</v>
      </c>
      <c r="AB1533">
        <v>22</v>
      </c>
      <c r="AC1533">
        <v>4.1920000000000002</v>
      </c>
      <c r="AD1533">
        <v>-1.1017128963739999</v>
      </c>
      <c r="AE1533">
        <v>-16.9376</v>
      </c>
      <c r="AF1533">
        <v>11.7219423561416</v>
      </c>
      <c r="AG1533">
        <v>-1.1017128963739999</v>
      </c>
      <c r="AH1533">
        <v>12.831138787716601</v>
      </c>
      <c r="AI1533">
        <v>93.627242764167093</v>
      </c>
      <c r="AJ1533">
        <v>47.586603845335503</v>
      </c>
      <c r="AK1533">
        <v>17.414242059199399</v>
      </c>
      <c r="AL1533">
        <v>81.950493320418303</v>
      </c>
      <c r="AM1533">
        <v>61.543208416306399</v>
      </c>
      <c r="AN1533">
        <v>1.0000000389791399</v>
      </c>
    </row>
    <row r="1534" spans="1:40" x14ac:dyDescent="0.25">
      <c r="A1534" t="str">
        <f>"20190312164018083"</f>
        <v>20190312164018083</v>
      </c>
      <c r="B1534" t="str">
        <f>"1552380018077800"</f>
        <v>1552380018077800</v>
      </c>
      <c r="C1534" t="s">
        <v>40</v>
      </c>
      <c r="D1534">
        <v>6.0136479999999999</v>
      </c>
      <c r="E1534">
        <v>0.60525229999999997</v>
      </c>
      <c r="F1534" t="s">
        <v>41</v>
      </c>
      <c r="G1534">
        <v>-193.8064</v>
      </c>
      <c r="H1534" s="1">
        <v>-3.8175159999999999E-6</v>
      </c>
      <c r="I1534">
        <v>346.22070000000002</v>
      </c>
      <c r="J1534">
        <v>-197.80719999999999</v>
      </c>
      <c r="K1534">
        <v>1.10164</v>
      </c>
      <c r="L1534">
        <v>363.25740000000002</v>
      </c>
      <c r="M1534">
        <v>0.82374419999999904</v>
      </c>
      <c r="N1534">
        <v>0</v>
      </c>
      <c r="O1534">
        <v>-0.56675149999999996</v>
      </c>
      <c r="P1534">
        <v>0.45448949999999999</v>
      </c>
      <c r="Q1534">
        <v>0.13554089999999999</v>
      </c>
      <c r="R1534">
        <v>-0.88037929999999998</v>
      </c>
      <c r="S1534">
        <v>0.74583440000000001</v>
      </c>
      <c r="T1534">
        <v>-0.1966183</v>
      </c>
      <c r="U1534">
        <v>-3.0653380000000001</v>
      </c>
      <c r="V1534">
        <v>0.47081650000000003</v>
      </c>
      <c r="W1534">
        <v>0.13877410000000001</v>
      </c>
      <c r="X1534">
        <v>0.87124829999999998</v>
      </c>
      <c r="Y1534">
        <v>0.66622919999999997</v>
      </c>
      <c r="Z1534">
        <v>1.571287E-2</v>
      </c>
      <c r="AA1534">
        <v>0.74558159999999996</v>
      </c>
      <c r="AB1534">
        <v>22</v>
      </c>
      <c r="AC1534">
        <v>4.0007999999999901</v>
      </c>
      <c r="AD1534">
        <v>-1.1016438175159999</v>
      </c>
      <c r="AE1534">
        <v>-17.0366999999999</v>
      </c>
      <c r="AF1534">
        <v>11.7213761481877</v>
      </c>
      <c r="AG1534">
        <v>-1.1016438175159999</v>
      </c>
      <c r="AH1534">
        <v>12.9016279023507</v>
      </c>
      <c r="AI1534">
        <v>93.616281518097907</v>
      </c>
      <c r="AJ1534">
        <v>47.744251908903699</v>
      </c>
      <c r="AK1534">
        <v>17.465860426520301</v>
      </c>
      <c r="AL1534">
        <v>82.023085198314405</v>
      </c>
      <c r="AM1534">
        <v>61.613522081922397</v>
      </c>
      <c r="AN1534">
        <v>1.0000000138779701</v>
      </c>
    </row>
    <row r="1535" spans="1:40" x14ac:dyDescent="0.25">
      <c r="A1535" t="str">
        <f>"20190312164018105"</f>
        <v>20190312164018105</v>
      </c>
      <c r="B1535" t="str">
        <f>"1552380018097321"</f>
        <v>1552380018097321</v>
      </c>
      <c r="C1535" t="s">
        <v>40</v>
      </c>
      <c r="D1535">
        <v>5.9467990000000004</v>
      </c>
      <c r="E1535">
        <v>0.60471229999999998</v>
      </c>
      <c r="F1535" t="s">
        <v>41</v>
      </c>
      <c r="G1535">
        <v>-193.95419999999999</v>
      </c>
      <c r="H1535" s="1">
        <v>-3.9572169999999998E-6</v>
      </c>
      <c r="I1535">
        <v>346.55410000000001</v>
      </c>
      <c r="J1535">
        <v>-197.63300000000001</v>
      </c>
      <c r="K1535">
        <v>1.1015980000000001</v>
      </c>
      <c r="L1535">
        <v>363.11720000000003</v>
      </c>
      <c r="M1535">
        <v>0.81533630000000001</v>
      </c>
      <c r="N1535">
        <v>0</v>
      </c>
      <c r="O1535">
        <v>-0.57878109999999905</v>
      </c>
      <c r="P1535">
        <v>0.44289689999999998</v>
      </c>
      <c r="Q1535">
        <v>0.13420370000000001</v>
      </c>
      <c r="R1535">
        <v>-0.88647149999999997</v>
      </c>
      <c r="S1535">
        <v>0.70881649999999996</v>
      </c>
      <c r="T1535">
        <v>-0.20266529999999999</v>
      </c>
      <c r="U1535">
        <v>-3.072845</v>
      </c>
      <c r="V1535">
        <v>0.46961180000000002</v>
      </c>
      <c r="W1535">
        <v>0.13745789999999999</v>
      </c>
      <c r="X1535">
        <v>0.87210669999999901</v>
      </c>
      <c r="Y1535">
        <v>0.66420539999999995</v>
      </c>
      <c r="Z1535">
        <v>1.7260169999999998E-2</v>
      </c>
      <c r="AA1535">
        <v>0.74735079999999998</v>
      </c>
      <c r="AB1535">
        <v>22</v>
      </c>
      <c r="AC1535">
        <v>3.6787999999999901</v>
      </c>
      <c r="AD1535">
        <v>-1.1016019572169999</v>
      </c>
      <c r="AE1535">
        <v>-16.563099999999999</v>
      </c>
      <c r="AF1535">
        <v>11.3288798914297</v>
      </c>
      <c r="AG1535">
        <v>-1.1016019572169999</v>
      </c>
      <c r="AH1535">
        <v>12.534533853138599</v>
      </c>
      <c r="AI1535">
        <v>93.730455727810394</v>
      </c>
      <c r="AJ1535">
        <v>47.892301896930803</v>
      </c>
      <c r="AK1535">
        <v>16.931378720649601</v>
      </c>
      <c r="AL1535">
        <v>82.099227594842404</v>
      </c>
      <c r="AM1535">
        <v>61.698435218903903</v>
      </c>
      <c r="AN1535">
        <v>1.0000000065782699</v>
      </c>
    </row>
    <row r="1536" spans="1:40" x14ac:dyDescent="0.25">
      <c r="A1536" t="str">
        <f>"20190312164018118"</f>
        <v>20190312164018118</v>
      </c>
      <c r="B1536" t="str">
        <f>"1552380018107081"</f>
        <v>1552380018107081</v>
      </c>
      <c r="C1536" t="s">
        <v>40</v>
      </c>
      <c r="D1536">
        <v>6.0282489999999997</v>
      </c>
      <c r="E1536">
        <v>0.60433000000000003</v>
      </c>
      <c r="F1536" t="s">
        <v>41</v>
      </c>
      <c r="G1536">
        <v>-194.0634</v>
      </c>
      <c r="H1536" s="1">
        <v>-4.0305419999999997E-6</v>
      </c>
      <c r="I1536">
        <v>346.71269999999998</v>
      </c>
      <c r="J1536">
        <v>-197.5292</v>
      </c>
      <c r="K1536">
        <v>1.101577</v>
      </c>
      <c r="L1536">
        <v>363.03179999999998</v>
      </c>
      <c r="M1536">
        <v>0.81017349999999999</v>
      </c>
      <c r="N1536">
        <v>0</v>
      </c>
      <c r="O1536">
        <v>-0.5859858</v>
      </c>
      <c r="P1536">
        <v>0.43559140000000002</v>
      </c>
      <c r="Q1536">
        <v>0.1340818</v>
      </c>
      <c r="R1536">
        <v>-0.89010259999999997</v>
      </c>
      <c r="S1536">
        <v>0.67033390000000004</v>
      </c>
      <c r="T1536">
        <v>-0.20686769999999999</v>
      </c>
      <c r="U1536">
        <v>-3.0805660000000001</v>
      </c>
      <c r="V1536">
        <v>0.46907179999999998</v>
      </c>
      <c r="W1536">
        <v>0.13734830000000001</v>
      </c>
      <c r="X1536">
        <v>0.87241449999999998</v>
      </c>
      <c r="Y1536">
        <v>0.66686869999999998</v>
      </c>
      <c r="Z1536">
        <v>1.8114060000000001E-2</v>
      </c>
      <c r="AA1536">
        <v>0.74495509999999998</v>
      </c>
      <c r="AB1536">
        <v>22</v>
      </c>
      <c r="AC1536">
        <v>3.4658000000000002</v>
      </c>
      <c r="AD1536">
        <v>-1.101581030542</v>
      </c>
      <c r="AE1536">
        <v>-16.319099999999899</v>
      </c>
      <c r="AF1536">
        <v>11.143149785095099</v>
      </c>
      <c r="AG1536">
        <v>-1.101581030542</v>
      </c>
      <c r="AH1536">
        <v>12.3184344030602</v>
      </c>
      <c r="AI1536">
        <v>93.794172260387199</v>
      </c>
      <c r="AJ1536">
        <v>47.867777621104203</v>
      </c>
      <c r="AK1536">
        <v>16.6471347096854</v>
      </c>
      <c r="AL1536">
        <v>82.105567167510102</v>
      </c>
      <c r="AM1536">
        <v>61.7343784590851</v>
      </c>
      <c r="AN1536">
        <v>0.99999998443919003</v>
      </c>
    </row>
    <row r="1537" spans="1:40" x14ac:dyDescent="0.25">
      <c r="A1537" t="str">
        <f>"20190312164018139"</f>
        <v>20190312164018139</v>
      </c>
      <c r="B1537" t="str">
        <f>"1552380018127576"</f>
        <v>1552380018127576</v>
      </c>
      <c r="C1537" t="s">
        <v>40</v>
      </c>
      <c r="D1537">
        <v>5.9922940000000002</v>
      </c>
      <c r="E1537">
        <v>0.60346109999999997</v>
      </c>
      <c r="F1537" t="s">
        <v>41</v>
      </c>
      <c r="G1537">
        <v>-194.10339999999999</v>
      </c>
      <c r="H1537" s="1">
        <v>-4.036414E-6</v>
      </c>
      <c r="I1537">
        <v>346.70909999999998</v>
      </c>
      <c r="J1537">
        <v>-197.36869999999999</v>
      </c>
      <c r="K1537">
        <v>1.1015629999999901</v>
      </c>
      <c r="L1537">
        <v>362.89589999999998</v>
      </c>
      <c r="M1537">
        <v>0.80191969999999901</v>
      </c>
      <c r="N1537">
        <v>0</v>
      </c>
      <c r="O1537">
        <v>-0.59723040000000005</v>
      </c>
      <c r="P1537">
        <v>0.42368549999999999</v>
      </c>
      <c r="Q1537">
        <v>0.13417750000000001</v>
      </c>
      <c r="R1537">
        <v>-0.89581630000000001</v>
      </c>
      <c r="S1537">
        <v>0.64747619999999995</v>
      </c>
      <c r="T1537">
        <v>-0.20819689999999999</v>
      </c>
      <c r="U1537">
        <v>-3.0849609999999998</v>
      </c>
      <c r="V1537">
        <v>0.46852719999999998</v>
      </c>
      <c r="W1537">
        <v>0.13747110000000001</v>
      </c>
      <c r="X1537">
        <v>0.87268780000000001</v>
      </c>
      <c r="Y1537">
        <v>0.66197589999999995</v>
      </c>
      <c r="Z1537">
        <v>1.9380359999999999E-2</v>
      </c>
      <c r="AA1537">
        <v>0.74927449999999995</v>
      </c>
      <c r="AB1537">
        <v>22</v>
      </c>
      <c r="AC1537">
        <v>3.2652999999999901</v>
      </c>
      <c r="AD1537">
        <v>-1.10156703641399</v>
      </c>
      <c r="AE1537">
        <v>-16.186800000000002</v>
      </c>
      <c r="AF1537">
        <v>10.982829303533901</v>
      </c>
      <c r="AG1537">
        <v>-1.10156703641399</v>
      </c>
      <c r="AH1537">
        <v>12.2327978626038</v>
      </c>
      <c r="AI1537">
        <v>93.833459183751401</v>
      </c>
      <c r="AJ1537">
        <v>48.081925701060101</v>
      </c>
      <c r="AK1537">
        <v>16.476569211871801</v>
      </c>
      <c r="AL1537">
        <v>82.098464135699899</v>
      </c>
      <c r="AM1537">
        <v>61.769611063908499</v>
      </c>
      <c r="AN1537">
        <v>1.00000001837194</v>
      </c>
    </row>
    <row r="1538" spans="1:40" x14ac:dyDescent="0.25">
      <c r="A1538" t="str">
        <f>"20190312164018160"</f>
        <v>20190312164018160</v>
      </c>
      <c r="B1538" t="str">
        <f>"1552380018157833"</f>
        <v>1552380018157833</v>
      </c>
      <c r="C1538" t="s">
        <v>40</v>
      </c>
      <c r="D1538">
        <v>5.9789430000000001</v>
      </c>
      <c r="E1538">
        <v>0.60259490000000004</v>
      </c>
      <c r="F1538" t="s">
        <v>41</v>
      </c>
      <c r="G1538">
        <v>-194.16399999999999</v>
      </c>
      <c r="H1538" s="1">
        <v>-4.0595440000000002E-6</v>
      </c>
      <c r="I1538">
        <v>346.74549999999999</v>
      </c>
      <c r="J1538">
        <v>-197.2063</v>
      </c>
      <c r="K1538">
        <v>1.1015680000000001</v>
      </c>
      <c r="L1538">
        <v>362.75439999999998</v>
      </c>
      <c r="M1538">
        <v>0.79327029999999998</v>
      </c>
      <c r="N1538">
        <v>0</v>
      </c>
      <c r="O1538">
        <v>-0.60867109999999902</v>
      </c>
      <c r="P1538">
        <v>0.41215410000000002</v>
      </c>
      <c r="Q1538">
        <v>0.13393079999999999</v>
      </c>
      <c r="R1538">
        <v>-0.90121669999999998</v>
      </c>
      <c r="S1538">
        <v>0.61323549999999905</v>
      </c>
      <c r="T1538">
        <v>-0.2107917</v>
      </c>
      <c r="U1538">
        <v>-3.0904850000000001</v>
      </c>
      <c r="V1538">
        <v>0.46722839999999999</v>
      </c>
      <c r="W1538">
        <v>0.13729069999999999</v>
      </c>
      <c r="X1538">
        <v>0.87341219999999997</v>
      </c>
      <c r="Y1538">
        <v>0.65947119999999904</v>
      </c>
      <c r="Z1538">
        <v>2.0713659999999998E-2</v>
      </c>
      <c r="AA1538">
        <v>0.75144449999999996</v>
      </c>
      <c r="AB1538">
        <v>22</v>
      </c>
      <c r="AC1538">
        <v>3.04229999999998</v>
      </c>
      <c r="AD1538">
        <v>-1.1015720595439999</v>
      </c>
      <c r="AE1538">
        <v>-16.008899999999901</v>
      </c>
      <c r="AF1538">
        <v>10.799584413242</v>
      </c>
      <c r="AG1538">
        <v>-1.1015720595439999</v>
      </c>
      <c r="AH1538">
        <v>12.1036795212241</v>
      </c>
      <c r="AI1538">
        <v>93.8849373662419</v>
      </c>
      <c r="AJ1538">
        <v>48.258861016746799</v>
      </c>
      <c r="AK1538">
        <v>16.2586451604556</v>
      </c>
      <c r="AL1538">
        <v>82.108899031981807</v>
      </c>
      <c r="AM1538">
        <v>61.855622406786402</v>
      </c>
      <c r="AN1538">
        <v>0.99999999259094396</v>
      </c>
    </row>
    <row r="1539" spans="1:40" x14ac:dyDescent="0.25">
      <c r="A1539" t="str">
        <f>"20190312164018183"</f>
        <v>20190312164018183</v>
      </c>
      <c r="B1539" t="str">
        <f>"1552380018177352"</f>
        <v>1552380018177352</v>
      </c>
      <c r="C1539" t="s">
        <v>40</v>
      </c>
      <c r="D1539">
        <v>6.0732980000000003</v>
      </c>
      <c r="E1539">
        <v>0.60226259999999998</v>
      </c>
      <c r="F1539" t="s">
        <v>41</v>
      </c>
      <c r="G1539">
        <v>-194.22040000000001</v>
      </c>
      <c r="H1539" s="1">
        <v>-4.0875079999999996E-6</v>
      </c>
      <c r="I1539">
        <v>346.79820000000001</v>
      </c>
      <c r="J1539">
        <v>-197.0386</v>
      </c>
      <c r="K1539">
        <v>1.1015870000000001</v>
      </c>
      <c r="L1539">
        <v>362.60379999999998</v>
      </c>
      <c r="M1539">
        <v>0.78401940000000003</v>
      </c>
      <c r="N1539">
        <v>0</v>
      </c>
      <c r="O1539">
        <v>-0.62054100000000001</v>
      </c>
      <c r="P1539">
        <v>0.40010709999999999</v>
      </c>
      <c r="Q1539">
        <v>0.1336791</v>
      </c>
      <c r="R1539">
        <v>-0.90666619999999998</v>
      </c>
      <c r="S1539">
        <v>0.57928469999999999</v>
      </c>
      <c r="T1539">
        <v>-0.21371660000000001</v>
      </c>
      <c r="U1539">
        <v>-3.0956730000000001</v>
      </c>
      <c r="V1539">
        <v>0.46573540000000002</v>
      </c>
      <c r="W1539">
        <v>0.13712729999999901</v>
      </c>
      <c r="X1539">
        <v>0.87423490000000004</v>
      </c>
      <c r="Y1539">
        <v>0.65634979999999998</v>
      </c>
      <c r="Z1539">
        <v>2.21744E-2</v>
      </c>
      <c r="AA1539">
        <v>0.75413079999999999</v>
      </c>
      <c r="AB1539">
        <v>22</v>
      </c>
      <c r="AC1539">
        <v>2.8181999999999898</v>
      </c>
      <c r="AD1539">
        <v>-1.1015910875079999</v>
      </c>
      <c r="AE1539">
        <v>-15.805599999999901</v>
      </c>
      <c r="AF1539">
        <v>10.594501036603701</v>
      </c>
      <c r="AG1539">
        <v>-1.1015910875079999</v>
      </c>
      <c r="AH1539">
        <v>11.9626843436949</v>
      </c>
      <c r="AI1539">
        <v>93.943566599207003</v>
      </c>
      <c r="AJ1539">
        <v>48.470965379863898</v>
      </c>
      <c r="AK1539">
        <v>16.017576965495</v>
      </c>
      <c r="AL1539">
        <v>82.1183506902847</v>
      </c>
      <c r="AM1539">
        <v>61.954216422063801</v>
      </c>
      <c r="AN1539">
        <v>1.00000000979823</v>
      </c>
    </row>
    <row r="1540" spans="1:40" x14ac:dyDescent="0.25">
      <c r="A1540" t="str">
        <f>"20190312164018194"</f>
        <v>20190312164018194</v>
      </c>
      <c r="B1540" t="str">
        <f>"1552380018187112"</f>
        <v>1552380018187112</v>
      </c>
      <c r="C1540" t="s">
        <v>40</v>
      </c>
      <c r="D1540">
        <v>5.93405</v>
      </c>
      <c r="E1540">
        <v>0.60184469999999901</v>
      </c>
      <c r="F1540" t="s">
        <v>41</v>
      </c>
      <c r="G1540">
        <v>-194.26580000000001</v>
      </c>
      <c r="H1540" s="1">
        <v>-4.041393E-6</v>
      </c>
      <c r="I1540">
        <v>346.63909999999998</v>
      </c>
      <c r="J1540">
        <v>-196.94720000000001</v>
      </c>
      <c r="K1540">
        <v>1.1015969999999999</v>
      </c>
      <c r="L1540">
        <v>362.51979999999998</v>
      </c>
      <c r="M1540">
        <v>0.77884430000000004</v>
      </c>
      <c r="N1540">
        <v>0</v>
      </c>
      <c r="O1540">
        <v>-0.62702400000000003</v>
      </c>
      <c r="P1540">
        <v>0.3933622</v>
      </c>
      <c r="Q1540">
        <v>0.1331611</v>
      </c>
      <c r="R1540">
        <v>-0.90968879999999996</v>
      </c>
      <c r="S1540">
        <v>0.53887940000000001</v>
      </c>
      <c r="T1540">
        <v>-0.214085</v>
      </c>
      <c r="U1540">
        <v>-3.1025999999999998</v>
      </c>
      <c r="V1540">
        <v>0.46501579999999898</v>
      </c>
      <c r="W1540">
        <v>0.13666059999999999</v>
      </c>
      <c r="X1540">
        <v>0.87469089999999905</v>
      </c>
      <c r="Y1540">
        <v>0.65990109999999902</v>
      </c>
      <c r="Z1540">
        <v>2.2643969999999999E-2</v>
      </c>
      <c r="AA1540">
        <v>0.75101110000000004</v>
      </c>
      <c r="AB1540">
        <v>22</v>
      </c>
      <c r="AC1540">
        <v>2.6813999999999898</v>
      </c>
      <c r="AD1540">
        <v>-1.101601041393</v>
      </c>
      <c r="AE1540">
        <v>-15.8806999999999</v>
      </c>
      <c r="AF1540">
        <v>10.6388133059951</v>
      </c>
      <c r="AG1540">
        <v>-1.101601041393</v>
      </c>
      <c r="AH1540">
        <v>11.9913329855457</v>
      </c>
      <c r="AI1540">
        <v>93.931136336595301</v>
      </c>
      <c r="AJ1540">
        <v>48.420287092018903</v>
      </c>
      <c r="AK1540">
        <v>16.068289896079602</v>
      </c>
      <c r="AL1540">
        <v>82.145344621456502</v>
      </c>
      <c r="AM1540">
        <v>62.003350147644397</v>
      </c>
      <c r="AN1540">
        <v>0.99999999219240499</v>
      </c>
    </row>
    <row r="1541" spans="1:40" x14ac:dyDescent="0.25">
      <c r="A1541" t="str">
        <f>"20190312164018207"</f>
        <v>20190312164018207</v>
      </c>
      <c r="B1541" t="str">
        <f>"1552380018197849"</f>
        <v>1552380018197849</v>
      </c>
      <c r="C1541" t="s">
        <v>40</v>
      </c>
      <c r="D1541">
        <v>5.9464940000000004</v>
      </c>
      <c r="E1541">
        <v>0.60194399999999904</v>
      </c>
      <c r="F1541" t="s">
        <v>41</v>
      </c>
      <c r="G1541">
        <v>-194.3064</v>
      </c>
      <c r="H1541" s="1">
        <v>-4.0693820000000003E-6</v>
      </c>
      <c r="I1541">
        <v>346.7002</v>
      </c>
      <c r="J1541">
        <v>-196.85980000000001</v>
      </c>
      <c r="K1541">
        <v>1.101615</v>
      </c>
      <c r="L1541">
        <v>362.43790000000001</v>
      </c>
      <c r="M1541">
        <v>0.77380170000000004</v>
      </c>
      <c r="N1541">
        <v>0</v>
      </c>
      <c r="O1541">
        <v>-0.63323619999999903</v>
      </c>
      <c r="P1541">
        <v>0.38666250000000002</v>
      </c>
      <c r="Q1541">
        <v>0.13283529999999999</v>
      </c>
      <c r="R1541">
        <v>-0.91260430000000003</v>
      </c>
      <c r="S1541">
        <v>0.51838679999999904</v>
      </c>
      <c r="T1541">
        <v>-0.2162434</v>
      </c>
      <c r="U1541">
        <v>-3.1053769999999998</v>
      </c>
      <c r="V1541">
        <v>0.46446959999999998</v>
      </c>
      <c r="W1541">
        <v>0.1363809</v>
      </c>
      <c r="X1541">
        <v>0.87502469999999999</v>
      </c>
      <c r="Y1541">
        <v>0.65882159999999901</v>
      </c>
      <c r="Z1541">
        <v>2.3476130000000001E-2</v>
      </c>
      <c r="AA1541">
        <v>0.75193290000000002</v>
      </c>
      <c r="AB1541">
        <v>22</v>
      </c>
      <c r="AC1541">
        <v>2.5534000000000101</v>
      </c>
      <c r="AD1541">
        <v>-1.101619069382</v>
      </c>
      <c r="AE1541">
        <v>-15.7377</v>
      </c>
      <c r="AF1541">
        <v>10.512050193260499</v>
      </c>
      <c r="AG1541">
        <v>-1.101619069382</v>
      </c>
      <c r="AH1541">
        <v>11.8862103153026</v>
      </c>
      <c r="AI1541">
        <v>93.971391410585994</v>
      </c>
      <c r="AJ1541">
        <v>48.510764339855001</v>
      </c>
      <c r="AK1541">
        <v>15.9059347257325</v>
      </c>
      <c r="AL1541">
        <v>82.161521715577294</v>
      </c>
      <c r="AM1541">
        <v>62.040305923435199</v>
      </c>
      <c r="AN1541">
        <v>0.99999999240952897</v>
      </c>
    </row>
    <row r="1542" spans="1:40" x14ac:dyDescent="0.25">
      <c r="A1542" t="str">
        <f>"20190312164018218"</f>
        <v>20190312164018218</v>
      </c>
      <c r="B1542" t="str">
        <f>"1552380018207217"</f>
        <v>1552380018207217</v>
      </c>
      <c r="C1542" t="s">
        <v>40</v>
      </c>
      <c r="D1542">
        <v>6.016521</v>
      </c>
      <c r="E1542">
        <v>0.60184989999999905</v>
      </c>
      <c r="F1542" t="s">
        <v>41</v>
      </c>
      <c r="G1542">
        <v>-194.3246</v>
      </c>
      <c r="H1542" s="1">
        <v>-3.9934419999999996E-6</v>
      </c>
      <c r="I1542">
        <v>346.46749999999997</v>
      </c>
      <c r="J1542">
        <v>-196.7739</v>
      </c>
      <c r="K1542">
        <v>1.101634</v>
      </c>
      <c r="L1542">
        <v>362.35669999999999</v>
      </c>
      <c r="M1542">
        <v>0.76877150000000005</v>
      </c>
      <c r="N1542">
        <v>0</v>
      </c>
      <c r="O1542">
        <v>-0.6393337</v>
      </c>
      <c r="P1542">
        <v>0.37998690000000002</v>
      </c>
      <c r="Q1542">
        <v>0.13251559999999901</v>
      </c>
      <c r="R1542">
        <v>-0.91545069999999995</v>
      </c>
      <c r="S1542">
        <v>0.49359130000000001</v>
      </c>
      <c r="T1542">
        <v>-0.214481</v>
      </c>
      <c r="U1542">
        <v>-3.109375</v>
      </c>
      <c r="V1542">
        <v>0.46396320000000002</v>
      </c>
      <c r="W1542">
        <v>0.1361069</v>
      </c>
      <c r="X1542">
        <v>0.87533589999999994</v>
      </c>
      <c r="Y1542">
        <v>0.658883199999999</v>
      </c>
      <c r="Z1542">
        <v>2.3826340000000001E-2</v>
      </c>
      <c r="AA1542">
        <v>0.75186779999999998</v>
      </c>
      <c r="AB1542">
        <v>22</v>
      </c>
      <c r="AC1542">
        <v>2.4492999999999898</v>
      </c>
      <c r="AD1542">
        <v>-1.101637993442</v>
      </c>
      <c r="AE1542">
        <v>-15.889200000000001</v>
      </c>
      <c r="AF1542">
        <v>10.600762072022601</v>
      </c>
      <c r="AG1542">
        <v>-1.101637993442</v>
      </c>
      <c r="AH1542">
        <v>11.9866328413039</v>
      </c>
      <c r="AI1542">
        <v>93.938308550340295</v>
      </c>
      <c r="AJ1542">
        <v>48.511034803848602</v>
      </c>
      <c r="AK1542">
        <v>16.039611268620401</v>
      </c>
      <c r="AL1542">
        <v>82.177368101378605</v>
      </c>
      <c r="AM1542">
        <v>62.074612925750401</v>
      </c>
      <c r="AN1542">
        <v>0.99999993850532798</v>
      </c>
    </row>
    <row r="1543" spans="1:40" x14ac:dyDescent="0.25">
      <c r="A1543" t="str">
        <f>"20190312164018231"</f>
        <v>20190312164018231</v>
      </c>
      <c r="B1543" t="str">
        <f>"1552380018227713"</f>
        <v>1552380018227713</v>
      </c>
      <c r="C1543" t="s">
        <v>40</v>
      </c>
      <c r="D1543">
        <v>6.0226989999999896</v>
      </c>
      <c r="E1543">
        <v>0.60167409999999999</v>
      </c>
      <c r="F1543" t="s">
        <v>41</v>
      </c>
      <c r="G1543">
        <v>-194.36439999999999</v>
      </c>
      <c r="H1543" s="1">
        <v>-3.98965E-6</v>
      </c>
      <c r="I1543">
        <v>346.43560000000002</v>
      </c>
      <c r="J1543">
        <v>-196.6832</v>
      </c>
      <c r="K1543">
        <v>1.1016600000000001</v>
      </c>
      <c r="L1543">
        <v>362.26889999999997</v>
      </c>
      <c r="M1543">
        <v>0.7633529</v>
      </c>
      <c r="N1543">
        <v>0</v>
      </c>
      <c r="O1543">
        <v>-0.64579379999999997</v>
      </c>
      <c r="P1543">
        <v>0.3726177</v>
      </c>
      <c r="Q1543">
        <v>0.13172010000000001</v>
      </c>
      <c r="R1543">
        <v>-0.91858930000000005</v>
      </c>
      <c r="S1543">
        <v>0.47106930000000002</v>
      </c>
      <c r="T1543">
        <v>-0.21537780000000001</v>
      </c>
      <c r="U1543">
        <v>-3.1126710000000002</v>
      </c>
      <c r="V1543">
        <v>0.46367710000000001</v>
      </c>
      <c r="W1543">
        <v>0.1353549</v>
      </c>
      <c r="X1543">
        <v>0.87560419999999906</v>
      </c>
      <c r="Y1543">
        <v>0.657981699999999</v>
      </c>
      <c r="Z1543">
        <v>2.4542850000000001E-2</v>
      </c>
      <c r="AA1543">
        <v>0.75263389999999997</v>
      </c>
      <c r="AB1543">
        <v>22</v>
      </c>
      <c r="AC1543">
        <v>2.3188</v>
      </c>
      <c r="AD1543">
        <v>-1.10166398965</v>
      </c>
      <c r="AE1543">
        <v>-15.8332999999999</v>
      </c>
      <c r="AF1543">
        <v>10.5402577810171</v>
      </c>
      <c r="AG1543">
        <v>-1.10166398965</v>
      </c>
      <c r="AH1543">
        <v>11.9399752712714</v>
      </c>
      <c r="AI1543">
        <v>93.956895163529097</v>
      </c>
      <c r="AJ1543">
        <v>48.562885957210803</v>
      </c>
      <c r="AK1543">
        <v>15.964764549311599</v>
      </c>
      <c r="AL1543">
        <v>82.220857928335406</v>
      </c>
      <c r="AM1543">
        <v>62.096497142816702</v>
      </c>
      <c r="AN1543">
        <v>1.00000005853802</v>
      </c>
    </row>
    <row r="1544" spans="1:40" x14ac:dyDescent="0.25">
      <c r="A1544" t="str">
        <f>"20190312164018249"</f>
        <v>20190312164018249</v>
      </c>
      <c r="B1544" t="str">
        <f>"1552380018237473"</f>
        <v>1552380018237473</v>
      </c>
      <c r="C1544" t="s">
        <v>40</v>
      </c>
      <c r="D1544">
        <v>6.3167739999999997</v>
      </c>
      <c r="E1544">
        <v>0.60172609999999904</v>
      </c>
      <c r="F1544" t="s">
        <v>41</v>
      </c>
      <c r="G1544">
        <v>-194.42789999999999</v>
      </c>
      <c r="H1544" s="1">
        <v>-4.0293410000000002E-6</v>
      </c>
      <c r="I1544">
        <v>346.51909999999998</v>
      </c>
      <c r="J1544">
        <v>-196.5573</v>
      </c>
      <c r="K1544">
        <v>1.1016950000000001</v>
      </c>
      <c r="L1544">
        <v>362.14479999999998</v>
      </c>
      <c r="M1544">
        <v>0.75567510000000004</v>
      </c>
      <c r="N1544">
        <v>0</v>
      </c>
      <c r="O1544">
        <v>-0.65476119999999904</v>
      </c>
      <c r="P1544">
        <v>0.36302259999999997</v>
      </c>
      <c r="Q1544">
        <v>0.13096169999999999</v>
      </c>
      <c r="R1544">
        <v>-0.9225312</v>
      </c>
      <c r="S1544">
        <v>0.44621280000000002</v>
      </c>
      <c r="T1544">
        <v>-0.21796679999999999</v>
      </c>
      <c r="U1544">
        <v>-3.1161189999999999</v>
      </c>
      <c r="V1544">
        <v>0.46251579999999898</v>
      </c>
      <c r="W1544">
        <v>0.13467779999999999</v>
      </c>
      <c r="X1544">
        <v>0.87632239999999995</v>
      </c>
      <c r="Y1544">
        <v>0.65509399999999995</v>
      </c>
      <c r="Z1544">
        <v>2.577113E-2</v>
      </c>
      <c r="AA1544">
        <v>0.7551078</v>
      </c>
      <c r="AB1544">
        <v>22</v>
      </c>
      <c r="AC1544">
        <v>2.1294</v>
      </c>
      <c r="AD1544">
        <v>-1.1016990293410001</v>
      </c>
      <c r="AE1544">
        <v>-15.625699999999901</v>
      </c>
      <c r="AF1544">
        <v>10.3643865794517</v>
      </c>
      <c r="AG1544">
        <v>-1.1016990293410001</v>
      </c>
      <c r="AH1544">
        <v>11.784163520347599</v>
      </c>
      <c r="AI1544">
        <v>94.015623003659897</v>
      </c>
      <c r="AJ1544">
        <v>48.667783130533898</v>
      </c>
      <c r="AK1544">
        <v>15.7321568703679</v>
      </c>
      <c r="AL1544">
        <v>82.260010660529403</v>
      </c>
      <c r="AM1544">
        <v>62.175274057459802</v>
      </c>
      <c r="AN1544">
        <v>0.99999996190211904</v>
      </c>
    </row>
    <row r="1545" spans="1:40" x14ac:dyDescent="0.25">
      <c r="A1545" t="str">
        <f>"20190312164018263"</f>
        <v>20190312164018263</v>
      </c>
      <c r="B1545" t="str">
        <f>"1552380018257969"</f>
        <v>1552380018257969</v>
      </c>
      <c r="C1545" t="s">
        <v>40</v>
      </c>
      <c r="D1545">
        <v>6.1131460000000004</v>
      </c>
      <c r="E1545">
        <v>0.60145630000000005</v>
      </c>
      <c r="F1545" t="s">
        <v>41</v>
      </c>
      <c r="G1545">
        <v>-194.4873</v>
      </c>
      <c r="H1545" s="1">
        <v>-4.0209820000000001E-6</v>
      </c>
      <c r="I1545">
        <v>346.46359999999999</v>
      </c>
      <c r="J1545">
        <v>-196.45490000000001</v>
      </c>
      <c r="K1545">
        <v>1.101721</v>
      </c>
      <c r="L1545">
        <v>362.04169999999999</v>
      </c>
      <c r="M1545">
        <v>0.74928839999999997</v>
      </c>
      <c r="N1545">
        <v>0</v>
      </c>
      <c r="O1545">
        <v>-0.66206030000000005</v>
      </c>
      <c r="P1545">
        <v>0.35441519999999999</v>
      </c>
      <c r="Q1545">
        <v>0.1307594</v>
      </c>
      <c r="R1545">
        <v>-0.92590059999999996</v>
      </c>
      <c r="S1545">
        <v>0.4119873</v>
      </c>
      <c r="T1545">
        <v>-0.21926519999999999</v>
      </c>
      <c r="U1545">
        <v>-3.1209410000000002</v>
      </c>
      <c r="V1545">
        <v>0.4621828</v>
      </c>
      <c r="W1545">
        <v>0.134522799999999</v>
      </c>
      <c r="X1545">
        <v>0.87652189999999996</v>
      </c>
      <c r="Y1545">
        <v>0.65605930000000001</v>
      </c>
      <c r="Z1545">
        <v>2.6558109999999999E-2</v>
      </c>
      <c r="AA1545">
        <v>0.75424190000000002</v>
      </c>
      <c r="AB1545">
        <v>22</v>
      </c>
      <c r="AC1545">
        <v>1.9676</v>
      </c>
      <c r="AD1545">
        <v>-1.101725020982</v>
      </c>
      <c r="AE1545">
        <v>-15.578099999999999</v>
      </c>
      <c r="AF1545">
        <v>10.3202718824835</v>
      </c>
      <c r="AG1545">
        <v>-1.101725020982</v>
      </c>
      <c r="AH1545">
        <v>11.7316176122255</v>
      </c>
      <c r="AI1545">
        <v>94.033287652347795</v>
      </c>
      <c r="AJ1545">
        <v>48.661999754036003</v>
      </c>
      <c r="AK1545">
        <v>15.6637371514501</v>
      </c>
      <c r="AL1545">
        <v>82.268973227036895</v>
      </c>
      <c r="AM1545">
        <v>62.197686693562503</v>
      </c>
      <c r="AN1545">
        <v>0.99999998275764401</v>
      </c>
    </row>
    <row r="1546" spans="1:40" x14ac:dyDescent="0.25">
      <c r="A1546" t="str">
        <f>"20190312164018285"</f>
        <v>20190312164018285</v>
      </c>
      <c r="B1546" t="str">
        <f>"1552380018277489"</f>
        <v>1552380018277489</v>
      </c>
      <c r="C1546" t="s">
        <v>40</v>
      </c>
      <c r="D1546">
        <v>5.9964950000000004</v>
      </c>
      <c r="E1546">
        <v>0.60119619999999996</v>
      </c>
      <c r="F1546" t="s">
        <v>41</v>
      </c>
      <c r="G1546">
        <v>-194.51929999999999</v>
      </c>
      <c r="H1546" s="1">
        <v>-3.9768849999999998E-6</v>
      </c>
      <c r="I1546">
        <v>346.31740000000002</v>
      </c>
      <c r="J1546">
        <v>-196.3083</v>
      </c>
      <c r="K1546">
        <v>1.1017699999999999</v>
      </c>
      <c r="L1546">
        <v>361.89060000000001</v>
      </c>
      <c r="M1546">
        <v>0.73992340000000001</v>
      </c>
      <c r="N1546">
        <v>0</v>
      </c>
      <c r="O1546">
        <v>-0.67251030000000001</v>
      </c>
      <c r="P1546">
        <v>0.3418582</v>
      </c>
      <c r="Q1546">
        <v>0.13185649999999999</v>
      </c>
      <c r="R1546">
        <v>-0.93045529999999999</v>
      </c>
      <c r="S1546">
        <v>0.38452150000000002</v>
      </c>
      <c r="T1546">
        <v>-0.2188734</v>
      </c>
      <c r="U1546">
        <v>-3.1238709999999998</v>
      </c>
      <c r="V1546">
        <v>0.46163149999999997</v>
      </c>
      <c r="W1546">
        <v>0.13568459999999999</v>
      </c>
      <c r="X1546">
        <v>0.87663329999999995</v>
      </c>
      <c r="Y1546">
        <v>0.65209259999999902</v>
      </c>
      <c r="Z1546">
        <v>2.7636810000000001E-2</v>
      </c>
      <c r="AA1546">
        <v>0.75763549999999902</v>
      </c>
      <c r="AB1546">
        <v>22</v>
      </c>
      <c r="AC1546">
        <v>1.7890000000000099</v>
      </c>
      <c r="AD1546">
        <v>-1.1017739768849999</v>
      </c>
      <c r="AE1546">
        <v>-15.5731999999999</v>
      </c>
      <c r="AF1546">
        <v>10.270372945830299</v>
      </c>
      <c r="AG1546">
        <v>-1.1017739768849999</v>
      </c>
      <c r="AH1546">
        <v>11.7402972564779</v>
      </c>
      <c r="AI1546">
        <v>94.040265425792001</v>
      </c>
      <c r="AJ1546">
        <v>48.820673698536702</v>
      </c>
      <c r="AK1546">
        <v>15.637424532609201</v>
      </c>
      <c r="AL1546">
        <v>82.201790746637201</v>
      </c>
      <c r="AM1546">
        <v>62.228893157601597</v>
      </c>
      <c r="AN1546">
        <v>0.99999994756914801</v>
      </c>
    </row>
    <row r="1547" spans="1:40" x14ac:dyDescent="0.25">
      <c r="A1547" t="str">
        <f>"20190312164018306"</f>
        <v>20190312164018306</v>
      </c>
      <c r="B1547" t="str">
        <f>"1552380018297988"</f>
        <v>1552380018297988</v>
      </c>
      <c r="C1547" t="s">
        <v>40</v>
      </c>
      <c r="D1547">
        <v>6.01525</v>
      </c>
      <c r="E1547">
        <v>0.6009177</v>
      </c>
      <c r="F1547" t="s">
        <v>41</v>
      </c>
      <c r="G1547">
        <v>-194.53530000000001</v>
      </c>
      <c r="H1547" s="1">
        <v>-3.796709E-6</v>
      </c>
      <c r="I1547">
        <v>345.77960000000002</v>
      </c>
      <c r="J1547">
        <v>-196.1585</v>
      </c>
      <c r="K1547">
        <v>1.1018209999999999</v>
      </c>
      <c r="L1547">
        <v>361.73169999999999</v>
      </c>
      <c r="M1547">
        <v>0.73006919999999897</v>
      </c>
      <c r="N1547">
        <v>0</v>
      </c>
      <c r="O1547">
        <v>-0.68319549999999996</v>
      </c>
      <c r="P1547">
        <v>0.32871479999999997</v>
      </c>
      <c r="Q1547">
        <v>0.13286129999999999</v>
      </c>
      <c r="R1547">
        <v>-0.93503729999999996</v>
      </c>
      <c r="S1547">
        <v>0.3442383</v>
      </c>
      <c r="T1547">
        <v>-0.21391579999999999</v>
      </c>
      <c r="U1547">
        <v>-3.1280519999999998</v>
      </c>
      <c r="V1547">
        <v>0.4611401</v>
      </c>
      <c r="W1547">
        <v>0.13675309999999999</v>
      </c>
      <c r="X1547">
        <v>0.87672600000000001</v>
      </c>
      <c r="Y1547">
        <v>0.65084039999999999</v>
      </c>
      <c r="Z1547">
        <v>2.8036350000000002E-2</v>
      </c>
      <c r="AA1547">
        <v>0.7586967</v>
      </c>
      <c r="AB1547">
        <v>22</v>
      </c>
      <c r="AC1547">
        <v>1.62319999999999</v>
      </c>
      <c r="AD1547">
        <v>-1.101824796709</v>
      </c>
      <c r="AE1547">
        <v>-15.9520999999999</v>
      </c>
      <c r="AF1547">
        <v>10.4889262278149</v>
      </c>
      <c r="AG1547">
        <v>-1.101824796709</v>
      </c>
      <c r="AH1547">
        <v>12.028123428416</v>
      </c>
      <c r="AI1547">
        <v>93.949460534679901</v>
      </c>
      <c r="AJ1547">
        <v>48.910482425973399</v>
      </c>
      <c r="AK1547">
        <v>15.9971042537203</v>
      </c>
      <c r="AL1547">
        <v>82.139994915891705</v>
      </c>
      <c r="AM1547">
        <v>62.256539776729802</v>
      </c>
      <c r="AN1547">
        <v>1.0000000406317999</v>
      </c>
    </row>
    <row r="1548" spans="1:40" x14ac:dyDescent="0.25">
      <c r="A1548" t="str">
        <f>"20190312164018327"</f>
        <v>20190312164018327</v>
      </c>
      <c r="B1548" t="str">
        <f>"1552380018317120"</f>
        <v>1552380018317120</v>
      </c>
      <c r="C1548" t="s">
        <v>40</v>
      </c>
      <c r="D1548">
        <v>5.9747309999999896</v>
      </c>
      <c r="E1548">
        <v>0.60064479999999998</v>
      </c>
      <c r="F1548" t="s">
        <v>41</v>
      </c>
      <c r="G1548">
        <v>-194.57560000000001</v>
      </c>
      <c r="H1548" s="1">
        <v>-3.6477779999999999E-6</v>
      </c>
      <c r="I1548">
        <v>345.32089999999999</v>
      </c>
      <c r="J1548">
        <v>-196.01519999999999</v>
      </c>
      <c r="K1548">
        <v>1.1018790000000001</v>
      </c>
      <c r="L1548">
        <v>361.57530000000003</v>
      </c>
      <c r="M1548">
        <v>0.72036339999999999</v>
      </c>
      <c r="N1548">
        <v>0</v>
      </c>
      <c r="O1548">
        <v>-0.69342179999999998</v>
      </c>
      <c r="P1548">
        <v>0.31663269999999999</v>
      </c>
      <c r="Q1548">
        <v>0.13277829999999999</v>
      </c>
      <c r="R1548">
        <v>-0.93920899999999996</v>
      </c>
      <c r="S1548">
        <v>0.30210880000000001</v>
      </c>
      <c r="T1548">
        <v>-0.21029100000000001</v>
      </c>
      <c r="U1548">
        <v>-3.1321110000000001</v>
      </c>
      <c r="V1548">
        <v>0.46006930000000001</v>
      </c>
      <c r="W1548">
        <v>0.13675029999999999</v>
      </c>
      <c r="X1548">
        <v>0.87728879999999998</v>
      </c>
      <c r="Y1548">
        <v>0.65035529999999997</v>
      </c>
      <c r="Z1548">
        <v>2.8504129999999999E-2</v>
      </c>
      <c r="AA1548">
        <v>0.75909519999999997</v>
      </c>
      <c r="AB1548">
        <v>22</v>
      </c>
      <c r="AC1548">
        <v>1.43959999999998</v>
      </c>
      <c r="AD1548">
        <v>-1.1018826477779999</v>
      </c>
      <c r="AE1548">
        <v>-16.2544</v>
      </c>
      <c r="AF1548">
        <v>10.6635029621577</v>
      </c>
      <c r="AG1548">
        <v>-1.1018826477779999</v>
      </c>
      <c r="AH1548">
        <v>12.2538112170083</v>
      </c>
      <c r="AI1548">
        <v>93.880621770393404</v>
      </c>
      <c r="AJ1548">
        <v>48.969580123281403</v>
      </c>
      <c r="AK1548">
        <v>16.2812877296453</v>
      </c>
      <c r="AL1548">
        <v>82.140156717992099</v>
      </c>
      <c r="AM1548">
        <v>62.326507383779301</v>
      </c>
      <c r="AN1548">
        <v>1.000000021979</v>
      </c>
    </row>
    <row r="1549" spans="1:40" x14ac:dyDescent="0.25">
      <c r="A1549" t="str">
        <f>"20190312164018340"</f>
        <v>20190312164018340</v>
      </c>
      <c r="B1549" t="str">
        <f>"1552380018337614"</f>
        <v>1552380018337614</v>
      </c>
      <c r="C1549" t="s">
        <v>40</v>
      </c>
      <c r="D1549">
        <v>6.0228769999999896</v>
      </c>
      <c r="E1549">
        <v>0.60025340000000005</v>
      </c>
      <c r="F1549" t="s">
        <v>41</v>
      </c>
      <c r="G1549">
        <v>-194.60740000000001</v>
      </c>
      <c r="H1549" s="1">
        <v>-3.4603769999999902E-6</v>
      </c>
      <c r="I1549">
        <v>344.79770000000002</v>
      </c>
      <c r="J1549">
        <v>-195.9333</v>
      </c>
      <c r="K1549">
        <v>1.101909</v>
      </c>
      <c r="L1549">
        <v>361.48419999999999</v>
      </c>
      <c r="M1549">
        <v>0.71470359999999999</v>
      </c>
      <c r="N1549">
        <v>0</v>
      </c>
      <c r="O1549">
        <v>-0.69925389999999998</v>
      </c>
      <c r="P1549">
        <v>0.30997000000000002</v>
      </c>
      <c r="Q1549">
        <v>0.1324456</v>
      </c>
      <c r="R1549">
        <v>-0.94147599999999998</v>
      </c>
      <c r="S1549">
        <v>0.26301570000000002</v>
      </c>
      <c r="T1549">
        <v>-0.20587050000000001</v>
      </c>
      <c r="U1549">
        <v>-3.1346440000000002</v>
      </c>
      <c r="V1549">
        <v>0.45916950000000001</v>
      </c>
      <c r="W1549">
        <v>0.1364735</v>
      </c>
      <c r="X1549">
        <v>0.87780309999999995</v>
      </c>
      <c r="Y1549">
        <v>0.65363319999999903</v>
      </c>
      <c r="Z1549">
        <v>2.831825E-2</v>
      </c>
      <c r="AA1549">
        <v>0.7562816</v>
      </c>
      <c r="AB1549">
        <v>22</v>
      </c>
      <c r="AC1549">
        <v>1.3258999999999901</v>
      </c>
      <c r="AD1549">
        <v>-1.1019124603770001</v>
      </c>
      <c r="AE1549">
        <v>-16.686499999999899</v>
      </c>
      <c r="AF1549">
        <v>10.9526337749656</v>
      </c>
      <c r="AG1549">
        <v>-1.1019124603770001</v>
      </c>
      <c r="AH1549">
        <v>12.562817304985501</v>
      </c>
      <c r="AI1549">
        <v>93.782544896851505</v>
      </c>
      <c r="AJ1549">
        <v>48.9171240727512</v>
      </c>
      <c r="AK1549">
        <v>16.703256458466299</v>
      </c>
      <c r="AL1549">
        <v>82.156165828372906</v>
      </c>
      <c r="AM1549">
        <v>62.386410722312803</v>
      </c>
      <c r="AN1549">
        <v>0.99999996415105397</v>
      </c>
    </row>
    <row r="1550" spans="1:40" x14ac:dyDescent="0.25">
      <c r="A1550" t="str">
        <f>"20190312164018353"</f>
        <v>20190312164018353</v>
      </c>
      <c r="B1550" t="str">
        <f>"1552380018347374"</f>
        <v>1552380018347374</v>
      </c>
      <c r="C1550" t="s">
        <v>40</v>
      </c>
      <c r="D1550">
        <v>6.0642149999999999</v>
      </c>
      <c r="E1550">
        <v>0.60009259999999998</v>
      </c>
      <c r="F1550" t="s">
        <v>41</v>
      </c>
      <c r="G1550">
        <v>-194.61850000000001</v>
      </c>
      <c r="H1550" s="1">
        <v>-3.3445560000000002E-6</v>
      </c>
      <c r="I1550">
        <v>344.52080000000001</v>
      </c>
      <c r="J1550">
        <v>-195.84739999999999</v>
      </c>
      <c r="K1550">
        <v>1.1019399999999999</v>
      </c>
      <c r="L1550">
        <v>361.38639999999998</v>
      </c>
      <c r="M1550">
        <v>0.70864919999999998</v>
      </c>
      <c r="N1550">
        <v>0</v>
      </c>
      <c r="O1550">
        <v>-0.70538919999999905</v>
      </c>
      <c r="P1550">
        <v>0.30280400000000002</v>
      </c>
      <c r="Q1550">
        <v>0.1320125</v>
      </c>
      <c r="R1550">
        <v>-0.94386599999999998</v>
      </c>
      <c r="S1550">
        <v>0.2429962</v>
      </c>
      <c r="T1550">
        <v>-0.2036511</v>
      </c>
      <c r="U1550">
        <v>-3.1351010000000001</v>
      </c>
      <c r="V1550">
        <v>0.45829589999999998</v>
      </c>
      <c r="W1550">
        <v>0.13609889999999999</v>
      </c>
      <c r="X1550">
        <v>0.87831769999999998</v>
      </c>
      <c r="Y1550">
        <v>0.65192479999999997</v>
      </c>
      <c r="Z1550">
        <v>2.8625020000000001E-2</v>
      </c>
      <c r="AA1550">
        <v>0.75774319999999995</v>
      </c>
      <c r="AB1550">
        <v>22</v>
      </c>
      <c r="AC1550">
        <v>1.2288999999999799</v>
      </c>
      <c r="AD1550">
        <v>-1.1019433445559901</v>
      </c>
      <c r="AE1550">
        <v>-16.865599999999901</v>
      </c>
      <c r="AF1550">
        <v>11.039407697268899</v>
      </c>
      <c r="AG1550">
        <v>-1.1019433445559901</v>
      </c>
      <c r="AH1550">
        <v>12.7152255041158</v>
      </c>
      <c r="AI1550">
        <v>93.744136963514407</v>
      </c>
      <c r="AJ1550">
        <v>49.0353589957707</v>
      </c>
      <c r="AK1550">
        <v>16.874826252784001</v>
      </c>
      <c r="AL1550">
        <v>82.177831354066598</v>
      </c>
      <c r="AM1550">
        <v>62.444974026471598</v>
      </c>
      <c r="AN1550">
        <v>1.0000000123356501</v>
      </c>
    </row>
    <row r="1551" spans="1:40" x14ac:dyDescent="0.25">
      <c r="A1551" t="str">
        <f>"20190312164018372"</f>
        <v>20190312164018372</v>
      </c>
      <c r="B1551" t="str">
        <f>"1552380018367870"</f>
        <v>1552380018367870</v>
      </c>
      <c r="C1551" t="s">
        <v>40</v>
      </c>
      <c r="D1551">
        <v>6.0858299999999996</v>
      </c>
      <c r="E1551">
        <v>0.5997555</v>
      </c>
      <c r="F1551" t="s">
        <v>41</v>
      </c>
      <c r="G1551">
        <v>-194.65270000000001</v>
      </c>
      <c r="H1551" s="1">
        <v>-3.2621180000000001E-6</v>
      </c>
      <c r="I1551">
        <v>344.3075</v>
      </c>
      <c r="J1551">
        <v>-195.7216</v>
      </c>
      <c r="K1551">
        <v>1.1019920000000001</v>
      </c>
      <c r="L1551">
        <v>361.24059999999997</v>
      </c>
      <c r="M1551">
        <v>0.69961759999999995</v>
      </c>
      <c r="N1551">
        <v>0</v>
      </c>
      <c r="O1551">
        <v>-0.71434799999999998</v>
      </c>
      <c r="P1551">
        <v>0.29358240000000002</v>
      </c>
      <c r="Q1551">
        <v>0.1310905</v>
      </c>
      <c r="R1551">
        <v>-0.94690319999999994</v>
      </c>
      <c r="S1551">
        <v>0.2193909</v>
      </c>
      <c r="T1551">
        <v>-0.20235919999999999</v>
      </c>
      <c r="U1551">
        <v>-3.1363530000000002</v>
      </c>
      <c r="V1551">
        <v>0.45573399999999997</v>
      </c>
      <c r="W1551">
        <v>0.1353047</v>
      </c>
      <c r="X1551">
        <v>0.8797722</v>
      </c>
      <c r="Y1551">
        <v>0.64797660000000001</v>
      </c>
      <c r="Z1551">
        <v>2.937153E-2</v>
      </c>
      <c r="AA1551">
        <v>0.76109369999999998</v>
      </c>
      <c r="AB1551">
        <v>22</v>
      </c>
      <c r="AC1551">
        <v>1.06889999999998</v>
      </c>
      <c r="AD1551">
        <v>-1.101995262118</v>
      </c>
      <c r="AE1551">
        <v>-16.9330999999999</v>
      </c>
      <c r="AF1551">
        <v>11.0379067782406</v>
      </c>
      <c r="AG1551">
        <v>-1.101995262118</v>
      </c>
      <c r="AH1551">
        <v>12.791541442426</v>
      </c>
      <c r="AI1551">
        <v>93.731778243875596</v>
      </c>
      <c r="AJ1551">
        <v>49.208870917578103</v>
      </c>
      <c r="AK1551">
        <v>16.9314297115206</v>
      </c>
      <c r="AL1551">
        <v>82.223760284762093</v>
      </c>
      <c r="AM1551">
        <v>62.615227174805803</v>
      </c>
      <c r="AN1551">
        <v>0.99999998224546405</v>
      </c>
    </row>
    <row r="1552" spans="1:40" x14ac:dyDescent="0.25">
      <c r="A1552" t="str">
        <f>"20190312164018386"</f>
        <v>20190312164018386</v>
      </c>
      <c r="B1552" t="str">
        <f>"1552380018377633"</f>
        <v>1552380018377633</v>
      </c>
      <c r="C1552" t="s">
        <v>40</v>
      </c>
      <c r="D1552">
        <v>6.1109140000000002</v>
      </c>
      <c r="E1552">
        <v>0.59959169999999995</v>
      </c>
      <c r="F1552" t="s">
        <v>41</v>
      </c>
      <c r="G1552">
        <v>-194.6987</v>
      </c>
      <c r="H1552" s="1">
        <v>-3.3070560000000001E-6</v>
      </c>
      <c r="I1552">
        <v>344.38369999999998</v>
      </c>
      <c r="J1552">
        <v>-195.63839999999999</v>
      </c>
      <c r="K1552">
        <v>1.102034</v>
      </c>
      <c r="L1552">
        <v>361.142</v>
      </c>
      <c r="M1552">
        <v>0.69352159999999996</v>
      </c>
      <c r="N1552">
        <v>0</v>
      </c>
      <c r="O1552">
        <v>-0.72026800000000002</v>
      </c>
      <c r="P1552">
        <v>0.28695859999999901</v>
      </c>
      <c r="Q1552">
        <v>0.13038239999999901</v>
      </c>
      <c r="R1552">
        <v>-0.94902880000000001</v>
      </c>
      <c r="S1552">
        <v>0.19039919999999999</v>
      </c>
      <c r="T1552">
        <v>-0.20511399999999999</v>
      </c>
      <c r="U1552">
        <v>-3.1375730000000002</v>
      </c>
      <c r="V1552">
        <v>0.45444050000000002</v>
      </c>
      <c r="W1552">
        <v>0.13467399999999999</v>
      </c>
      <c r="X1552">
        <v>0.88053769999999998</v>
      </c>
      <c r="Y1552">
        <v>0.64852580000000004</v>
      </c>
      <c r="Z1552">
        <v>3.0289320000000002E-2</v>
      </c>
      <c r="AA1552">
        <v>0.76058979999999998</v>
      </c>
      <c r="AB1552">
        <v>22</v>
      </c>
      <c r="AC1552">
        <v>0.93969999999998699</v>
      </c>
      <c r="AD1552">
        <v>-1.1020373070559999</v>
      </c>
      <c r="AE1552">
        <v>-16.758299999999998</v>
      </c>
      <c r="AF1552">
        <v>10.899742875716701</v>
      </c>
      <c r="AG1552">
        <v>-1.1020373070559999</v>
      </c>
      <c r="AH1552">
        <v>12.669092493513199</v>
      </c>
      <c r="AI1552">
        <v>93.772655732504504</v>
      </c>
      <c r="AJ1552">
        <v>49.293231375832001</v>
      </c>
      <c r="AK1552">
        <v>16.748874158941899</v>
      </c>
      <c r="AL1552">
        <v>82.260230275818401</v>
      </c>
      <c r="AM1552">
        <v>62.701998595634301</v>
      </c>
      <c r="AN1552">
        <v>0.99999994771876799</v>
      </c>
    </row>
    <row r="1553" spans="1:40" x14ac:dyDescent="0.25">
      <c r="A1553" t="str">
        <f>"20190312164018406"</f>
        <v>20190312164018406</v>
      </c>
      <c r="B1553" t="str">
        <f>"1552380018397150"</f>
        <v>1552380018397150</v>
      </c>
      <c r="C1553" t="s">
        <v>40</v>
      </c>
      <c r="D1553">
        <v>6.0083659999999997</v>
      </c>
      <c r="E1553">
        <v>0.59915430000000003</v>
      </c>
      <c r="F1553" t="s">
        <v>41</v>
      </c>
      <c r="G1553">
        <v>-194.73869999999999</v>
      </c>
      <c r="H1553" s="1">
        <v>-3.3652130000000001E-6</v>
      </c>
      <c r="I1553">
        <v>344.49450000000002</v>
      </c>
      <c r="J1553">
        <v>-195.50700000000001</v>
      </c>
      <c r="K1553">
        <v>1.102101</v>
      </c>
      <c r="L1553">
        <v>360.98289999999997</v>
      </c>
      <c r="M1553">
        <v>0.68370379999999997</v>
      </c>
      <c r="N1553">
        <v>0</v>
      </c>
      <c r="O1553">
        <v>-0.72959399999999996</v>
      </c>
      <c r="P1553">
        <v>0.2773272</v>
      </c>
      <c r="Q1553">
        <v>0.12964289999999901</v>
      </c>
      <c r="R1553">
        <v>-0.95198870000000002</v>
      </c>
      <c r="S1553">
        <v>0.16961670000000001</v>
      </c>
      <c r="T1553">
        <v>-0.20775589999999999</v>
      </c>
      <c r="U1553">
        <v>-3.1383969999999999</v>
      </c>
      <c r="V1553">
        <v>0.45145879999999999</v>
      </c>
      <c r="W1553">
        <v>0.13408809999999999</v>
      </c>
      <c r="X1553">
        <v>0.88215949999999999</v>
      </c>
      <c r="Y1553">
        <v>0.6432409</v>
      </c>
      <c r="Z1553">
        <v>3.1712230000000001E-2</v>
      </c>
      <c r="AA1553">
        <v>0.76500679999999999</v>
      </c>
      <c r="AB1553">
        <v>22</v>
      </c>
      <c r="AC1553">
        <v>0.76830000000000997</v>
      </c>
      <c r="AD1553">
        <v>-1.102104365213</v>
      </c>
      <c r="AE1553">
        <v>-16.488399999999899</v>
      </c>
      <c r="AF1553">
        <v>10.666378153642301</v>
      </c>
      <c r="AG1553">
        <v>-1.102104365213</v>
      </c>
      <c r="AH1553">
        <v>12.500915054531999</v>
      </c>
      <c r="AI1553">
        <v>93.836876443407405</v>
      </c>
      <c r="AJ1553">
        <v>49.527604657546597</v>
      </c>
      <c r="AK1553">
        <v>16.469946391805401</v>
      </c>
      <c r="AL1553">
        <v>82.294107747173697</v>
      </c>
      <c r="AM1553">
        <v>62.8981997283379</v>
      </c>
      <c r="AN1553">
        <v>1.0000000250496399</v>
      </c>
    </row>
    <row r="1554" spans="1:40" x14ac:dyDescent="0.25">
      <c r="A1554" t="str">
        <f>"20190312164018428"</f>
        <v>20190312164018428</v>
      </c>
      <c r="B1554" t="str">
        <f>"1552380018418201"</f>
        <v>1552380018418201</v>
      </c>
      <c r="C1554" t="s">
        <v>40</v>
      </c>
      <c r="D1554">
        <v>6.0098599999999998</v>
      </c>
      <c r="E1554">
        <v>0.59867019999999904</v>
      </c>
      <c r="F1554" t="s">
        <v>41</v>
      </c>
      <c r="G1554">
        <v>-194.76939999999999</v>
      </c>
      <c r="H1554" s="1">
        <v>-3.3631750000000002E-6</v>
      </c>
      <c r="I1554">
        <v>344.47059999999999</v>
      </c>
      <c r="J1554">
        <v>-195.3723</v>
      </c>
      <c r="K1554">
        <v>1.1021890000000001</v>
      </c>
      <c r="L1554">
        <v>360.81529999999998</v>
      </c>
      <c r="M1554">
        <v>0.67339159999999998</v>
      </c>
      <c r="N1554">
        <v>0</v>
      </c>
      <c r="O1554">
        <v>-0.73912309999999903</v>
      </c>
      <c r="P1554">
        <v>0.26775090000000001</v>
      </c>
      <c r="Q1554">
        <v>0.12918959999999999</v>
      </c>
      <c r="R1554">
        <v>-0.95478799999999997</v>
      </c>
      <c r="S1554">
        <v>0.140213</v>
      </c>
      <c r="T1554">
        <v>-0.20951330000000001</v>
      </c>
      <c r="U1554">
        <v>-3.1390380000000002</v>
      </c>
      <c r="V1554">
        <v>0.44792520000000002</v>
      </c>
      <c r="W1554">
        <v>0.13381170000000001</v>
      </c>
      <c r="X1554">
        <v>0.88400080000000003</v>
      </c>
      <c r="Y1554">
        <v>0.63964560000000004</v>
      </c>
      <c r="Z1554">
        <v>3.2990310000000002E-2</v>
      </c>
      <c r="AA1554">
        <v>0.76796169999999997</v>
      </c>
      <c r="AB1554">
        <v>21</v>
      </c>
      <c r="AC1554">
        <v>0.60290000000000499</v>
      </c>
      <c r="AD1554">
        <v>-1.1021923631749999</v>
      </c>
      <c r="AE1554">
        <v>-16.3446999999999</v>
      </c>
      <c r="AF1554">
        <v>10.514290623686501</v>
      </c>
      <c r="AG1554">
        <v>-1.1021923631749999</v>
      </c>
      <c r="AH1554">
        <v>12.4317816038497</v>
      </c>
      <c r="AI1554">
        <v>93.872696814944405</v>
      </c>
      <c r="AJ1554">
        <v>49.7768295047374</v>
      </c>
      <c r="AK1554">
        <v>16.319139964183201</v>
      </c>
      <c r="AL1554">
        <v>82.310088006620703</v>
      </c>
      <c r="AM1554">
        <v>63.128564335140702</v>
      </c>
      <c r="AN1554">
        <v>0.99999998512628496</v>
      </c>
    </row>
    <row r="1555" spans="1:40" x14ac:dyDescent="0.25">
      <c r="A1555" t="str">
        <f>"20190312164018442"</f>
        <v>20190312164018442</v>
      </c>
      <c r="B1555" t="str">
        <f>"1552380018437721"</f>
        <v>1552380018437721</v>
      </c>
      <c r="C1555" t="s">
        <v>40</v>
      </c>
      <c r="D1555">
        <v>6.1544210000000001</v>
      </c>
      <c r="E1555">
        <v>0.59835430000000001</v>
      </c>
      <c r="F1555" t="s">
        <v>41</v>
      </c>
      <c r="G1555">
        <v>-194.78790000000001</v>
      </c>
      <c r="H1555" s="1">
        <v>-3.3279400000000002E-6</v>
      </c>
      <c r="I1555">
        <v>344.37699999999899</v>
      </c>
      <c r="J1555">
        <v>-195.29069999999999</v>
      </c>
      <c r="K1555">
        <v>1.102244</v>
      </c>
      <c r="L1555">
        <v>360.71170000000001</v>
      </c>
      <c r="M1555">
        <v>0.6670315</v>
      </c>
      <c r="N1555">
        <v>0</v>
      </c>
      <c r="O1555">
        <v>-0.74486819999999998</v>
      </c>
      <c r="P1555">
        <v>0.26129910000000001</v>
      </c>
      <c r="Q1555">
        <v>0.12908140000000001</v>
      </c>
      <c r="R1555">
        <v>-0.95658829999999995</v>
      </c>
      <c r="S1555">
        <v>0.11158750000000001</v>
      </c>
      <c r="T1555">
        <v>-0.2104877</v>
      </c>
      <c r="U1555">
        <v>-3.1392519999999999</v>
      </c>
      <c r="V1555">
        <v>0.44630120000000001</v>
      </c>
      <c r="W1555">
        <v>0.133797</v>
      </c>
      <c r="X1555">
        <v>0.88482399999999894</v>
      </c>
      <c r="Y1555">
        <v>0.64005219999999996</v>
      </c>
      <c r="Z1555">
        <v>3.3677390000000001E-2</v>
      </c>
      <c r="AA1555">
        <v>0.76759299999999997</v>
      </c>
      <c r="AB1555">
        <v>21</v>
      </c>
      <c r="AC1555">
        <v>0.50279999999997904</v>
      </c>
      <c r="AD1555">
        <v>-1.10224732794</v>
      </c>
      <c r="AE1555">
        <v>-16.334700000000002</v>
      </c>
      <c r="AF1555">
        <v>10.4748532448628</v>
      </c>
      <c r="AG1555">
        <v>-1.10224732794</v>
      </c>
      <c r="AH1555">
        <v>12.4474601353794</v>
      </c>
      <c r="AI1555">
        <v>93.876080689163004</v>
      </c>
      <c r="AJ1555">
        <v>49.918538524227699</v>
      </c>
      <c r="AK1555">
        <v>16.305727935152898</v>
      </c>
      <c r="AL1555">
        <v>82.310937661277904</v>
      </c>
      <c r="AM1555">
        <v>63.2338306470403</v>
      </c>
      <c r="AN1555">
        <v>0.999999954653218</v>
      </c>
    </row>
    <row r="1556" spans="1:40" x14ac:dyDescent="0.25">
      <c r="A1556" t="str">
        <f>"20190312164018464"</f>
        <v>20190312164018464</v>
      </c>
      <c r="B1556" t="str">
        <f>"1552380018457241"</f>
        <v>1552380018457241</v>
      </c>
      <c r="C1556" t="s">
        <v>40</v>
      </c>
      <c r="D1556">
        <v>6.0842049999999999</v>
      </c>
      <c r="E1556">
        <v>0.582013</v>
      </c>
      <c r="F1556" t="s">
        <v>41</v>
      </c>
      <c r="G1556">
        <v>-194.80799999999999</v>
      </c>
      <c r="H1556" s="1">
        <v>-3.2866480000000001E-6</v>
      </c>
      <c r="I1556">
        <v>344.26830000000001</v>
      </c>
      <c r="J1556">
        <v>-195.16159999999999</v>
      </c>
      <c r="K1556">
        <v>1.1023320000000001</v>
      </c>
      <c r="L1556">
        <v>360.54360000000003</v>
      </c>
      <c r="M1556">
        <v>0.65675810000000001</v>
      </c>
      <c r="N1556">
        <v>0</v>
      </c>
      <c r="O1556">
        <v>-0.75394240000000001</v>
      </c>
      <c r="P1556">
        <v>0.2515694</v>
      </c>
      <c r="Q1556">
        <v>0.12910569999999999</v>
      </c>
      <c r="R1556">
        <v>-0.95918999999999999</v>
      </c>
      <c r="S1556">
        <v>9.2163090000000003E-2</v>
      </c>
      <c r="T1556">
        <v>-0.21044299999999999</v>
      </c>
      <c r="U1556">
        <v>-3.1394039999999999</v>
      </c>
      <c r="V1556">
        <v>0.44311810000000001</v>
      </c>
      <c r="W1556">
        <v>0.13398650000000001</v>
      </c>
      <c r="X1556">
        <v>0.88639380000000001</v>
      </c>
      <c r="Y1556">
        <v>0.63425769999999904</v>
      </c>
      <c r="Z1556">
        <v>3.4716839999999999E-2</v>
      </c>
      <c r="AA1556">
        <v>0.77234179999999997</v>
      </c>
      <c r="AB1556">
        <v>21</v>
      </c>
      <c r="AC1556">
        <v>0.35360000000000003</v>
      </c>
      <c r="AD1556">
        <v>-1.1023352866479901</v>
      </c>
      <c r="AE1556">
        <v>-16.275300000000001</v>
      </c>
      <c r="AF1556">
        <v>10.3760134091018</v>
      </c>
      <c r="AG1556">
        <v>-1.1023352866479901</v>
      </c>
      <c r="AH1556">
        <v>12.447292728400299</v>
      </c>
      <c r="AI1556">
        <v>93.891554539972603</v>
      </c>
      <c r="AJ1556">
        <v>50.1855483245578</v>
      </c>
      <c r="AK1556">
        <v>16.242287203978901</v>
      </c>
      <c r="AL1556">
        <v>82.299981817250895</v>
      </c>
      <c r="AM1556">
        <v>63.439023822519701</v>
      </c>
      <c r="AN1556">
        <v>1.0000000007041501</v>
      </c>
    </row>
    <row r="1557" spans="1:40" x14ac:dyDescent="0.25">
      <c r="A1557" t="str">
        <f>"20190312164018486"</f>
        <v>20190312164018486</v>
      </c>
      <c r="B1557" t="str">
        <f>"1552380018477736"</f>
        <v>1552380018477736</v>
      </c>
      <c r="C1557" t="s">
        <v>40</v>
      </c>
      <c r="D1557">
        <v>6.0541499999999999</v>
      </c>
      <c r="E1557">
        <v>0.58168940000000002</v>
      </c>
      <c r="F1557" t="s">
        <v>41</v>
      </c>
      <c r="G1557">
        <v>-193.86969999999999</v>
      </c>
      <c r="H1557" s="1">
        <v>-4.5457329999999998E-6</v>
      </c>
      <c r="I1557">
        <v>338.32749999999999</v>
      </c>
      <c r="J1557">
        <v>-195.02770000000001</v>
      </c>
      <c r="K1557">
        <v>1.1024320000000001</v>
      </c>
      <c r="L1557">
        <v>360.36430000000001</v>
      </c>
      <c r="M1557">
        <v>0.64586449999999995</v>
      </c>
      <c r="N1557">
        <v>0</v>
      </c>
      <c r="O1557">
        <v>-0.76329550000000002</v>
      </c>
      <c r="P1557">
        <v>0.2408759</v>
      </c>
      <c r="Q1557">
        <v>0.12865789999999999</v>
      </c>
      <c r="R1557">
        <v>-0.96199080000000003</v>
      </c>
      <c r="S1557">
        <v>0.1803284</v>
      </c>
      <c r="T1557">
        <v>-0.1538707</v>
      </c>
      <c r="U1557">
        <v>-3.1010439999999999</v>
      </c>
      <c r="V1557">
        <v>0.44024679999999999</v>
      </c>
      <c r="W1557">
        <v>0.1336997</v>
      </c>
      <c r="X1557">
        <v>0.88786659999999995</v>
      </c>
      <c r="Y1557">
        <v>0.60047139999999999</v>
      </c>
      <c r="Z1557">
        <v>2.7111090000000001E-2</v>
      </c>
      <c r="AA1557">
        <v>0.79918659999999997</v>
      </c>
      <c r="AB1557">
        <v>21</v>
      </c>
      <c r="AC1557">
        <v>1.1580000000000099</v>
      </c>
      <c r="AD1557">
        <v>-1.1024365457330001</v>
      </c>
      <c r="AE1557">
        <v>-22.036799999999999</v>
      </c>
      <c r="AF1557">
        <v>13.3172488829022</v>
      </c>
      <c r="AG1557">
        <v>-1.1024365457330001</v>
      </c>
      <c r="AH1557">
        <v>17.526857606539799</v>
      </c>
      <c r="AI1557">
        <v>92.867139099758205</v>
      </c>
      <c r="AJ1557">
        <v>52.771720594793599</v>
      </c>
      <c r="AK1557">
        <v>22.039855301395502</v>
      </c>
      <c r="AL1557">
        <v>82.316563256530301</v>
      </c>
      <c r="AM1557">
        <v>63.625582413259998</v>
      </c>
      <c r="AN1557">
        <v>0.99999997704294397</v>
      </c>
    </row>
    <row r="1558" spans="1:40" x14ac:dyDescent="0.25">
      <c r="A1558" t="str">
        <f>"20190312164018509"</f>
        <v>20190312164018509</v>
      </c>
      <c r="B1558" t="str">
        <f>"1552380018497256"</f>
        <v>1552380018497256</v>
      </c>
      <c r="C1558" t="s">
        <v>40</v>
      </c>
      <c r="D1558">
        <v>6.1088370000000003</v>
      </c>
      <c r="E1558">
        <v>0.58063189999999998</v>
      </c>
      <c r="F1558" t="s">
        <v>41</v>
      </c>
      <c r="G1558">
        <v>-194.19390000000001</v>
      </c>
      <c r="H1558" s="1">
        <v>-2.7695139999999999E-6</v>
      </c>
      <c r="I1558">
        <v>343.44369999999998</v>
      </c>
      <c r="J1558">
        <v>-194.89599999999999</v>
      </c>
      <c r="K1558">
        <v>1.10253</v>
      </c>
      <c r="L1558">
        <v>360.18270000000001</v>
      </c>
      <c r="M1558">
        <v>0.63489180000000001</v>
      </c>
      <c r="N1558">
        <v>0</v>
      </c>
      <c r="O1558">
        <v>-0.77244699999999999</v>
      </c>
      <c r="P1558">
        <v>0.23067209999999999</v>
      </c>
      <c r="Q1558">
        <v>0.12755079999999999</v>
      </c>
      <c r="R1558">
        <v>-0.96463540000000003</v>
      </c>
      <c r="S1558">
        <v>0.15312190000000001</v>
      </c>
      <c r="T1558">
        <v>-0.2024533</v>
      </c>
      <c r="U1558">
        <v>-3.1073300000000001</v>
      </c>
      <c r="V1558">
        <v>0.4369942</v>
      </c>
      <c r="W1558">
        <v>0.13276160000000001</v>
      </c>
      <c r="X1558">
        <v>0.88961259999999998</v>
      </c>
      <c r="Y1558">
        <v>0.59606519999999996</v>
      </c>
      <c r="Z1558">
        <v>3.6547360000000001E-2</v>
      </c>
      <c r="AA1558">
        <v>0.80210389999999998</v>
      </c>
      <c r="AB1558">
        <v>21</v>
      </c>
      <c r="AC1558">
        <v>0.70209999999997297</v>
      </c>
      <c r="AD1558">
        <v>-1.1025327695139999</v>
      </c>
      <c r="AE1558">
        <v>-16.739000000000001</v>
      </c>
      <c r="AF1558">
        <v>10.042826598042099</v>
      </c>
      <c r="AG1558">
        <v>-1.1025327695139999</v>
      </c>
      <c r="AH1558">
        <v>13.3196563252364</v>
      </c>
      <c r="AI1558">
        <v>93.781364156349596</v>
      </c>
      <c r="AJ1558">
        <v>52.984239342856498</v>
      </c>
      <c r="AK1558">
        <v>16.717870355060299</v>
      </c>
      <c r="AL1558">
        <v>82.3707966685419</v>
      </c>
      <c r="AM1558">
        <v>63.838873582244702</v>
      </c>
      <c r="AN1558">
        <v>1.0000000756734699</v>
      </c>
    </row>
    <row r="1559" spans="1:40" x14ac:dyDescent="0.25">
      <c r="A1559" t="str">
        <f>"20190312164018529"</f>
        <v>20190312164018529</v>
      </c>
      <c r="B1559" t="str">
        <f>"1552380018518047"</f>
        <v>1552380018518047</v>
      </c>
      <c r="C1559" t="s">
        <v>40</v>
      </c>
      <c r="D1559">
        <v>6.1540999999999997</v>
      </c>
      <c r="E1559">
        <v>0.57981959999999999</v>
      </c>
      <c r="F1559" t="s">
        <v>41</v>
      </c>
      <c r="G1559">
        <v>-194.24879999999999</v>
      </c>
      <c r="H1559" s="1">
        <v>-3.283316E-6</v>
      </c>
      <c r="I1559">
        <v>344.60739999999998</v>
      </c>
      <c r="J1559">
        <v>-194.78129999999999</v>
      </c>
      <c r="K1559">
        <v>1.102614</v>
      </c>
      <c r="L1559">
        <v>360.02019999999999</v>
      </c>
      <c r="M1559">
        <v>0.62513439999999998</v>
      </c>
      <c r="N1559">
        <v>0</v>
      </c>
      <c r="O1559">
        <v>-0.78036510000000003</v>
      </c>
      <c r="P1559">
        <v>0.2224554</v>
      </c>
      <c r="Q1559">
        <v>0.1271958</v>
      </c>
      <c r="R1559">
        <v>-0.96660999999999997</v>
      </c>
      <c r="S1559">
        <v>0.1291504</v>
      </c>
      <c r="T1559">
        <v>-0.22002140000000001</v>
      </c>
      <c r="U1559">
        <v>-3.108215</v>
      </c>
      <c r="V1559">
        <v>0.4333668</v>
      </c>
      <c r="W1559">
        <v>0.13257339999999901</v>
      </c>
      <c r="X1559">
        <v>0.89141319999999902</v>
      </c>
      <c r="Y1559">
        <v>0.59213919999999998</v>
      </c>
      <c r="Z1559">
        <v>4.0613929999999999E-2</v>
      </c>
      <c r="AA1559">
        <v>0.80481150000000001</v>
      </c>
      <c r="AB1559">
        <v>21</v>
      </c>
      <c r="AC1559">
        <v>0.53249999999999797</v>
      </c>
      <c r="AD1559">
        <v>-1.102617283316</v>
      </c>
      <c r="AE1559">
        <v>-15.412800000000001</v>
      </c>
      <c r="AF1559">
        <v>9.17372744896665</v>
      </c>
      <c r="AG1559">
        <v>-1.102617283316</v>
      </c>
      <c r="AH1559">
        <v>12.299092355881999</v>
      </c>
      <c r="AI1559">
        <v>94.110316550784802</v>
      </c>
      <c r="AJ1559">
        <v>53.281238090692</v>
      </c>
      <c r="AK1559">
        <v>15.3831307918742</v>
      </c>
      <c r="AL1559">
        <v>82.381675253720402</v>
      </c>
      <c r="AM1559">
        <v>64.072970125518594</v>
      </c>
      <c r="AN1559">
        <v>0.99999999143201901</v>
      </c>
    </row>
    <row r="1560" spans="1:40" x14ac:dyDescent="0.25">
      <c r="A1560" t="str">
        <f>"20190312164018543"</f>
        <v>20190312164018543</v>
      </c>
      <c r="B1560" t="str">
        <f>"1552380018537563"</f>
        <v>1552380018537563</v>
      </c>
      <c r="C1560" t="s">
        <v>40</v>
      </c>
      <c r="D1560">
        <v>6.2815539999999999</v>
      </c>
      <c r="E1560">
        <v>0.57917209999999997</v>
      </c>
      <c r="F1560" t="s">
        <v>41</v>
      </c>
      <c r="G1560">
        <v>-194.26179999999999</v>
      </c>
      <c r="H1560" s="1">
        <v>-3.530511E-6</v>
      </c>
      <c r="I1560">
        <v>345.1755</v>
      </c>
      <c r="J1560">
        <v>-194.70240000000001</v>
      </c>
      <c r="K1560">
        <v>1.1026800000000001</v>
      </c>
      <c r="L1560">
        <v>359.90609999999998</v>
      </c>
      <c r="M1560">
        <v>0.61831480000000005</v>
      </c>
      <c r="N1560">
        <v>0</v>
      </c>
      <c r="O1560">
        <v>-0.78578009999999998</v>
      </c>
      <c r="P1560">
        <v>0.216113</v>
      </c>
      <c r="Q1560">
        <v>0.1269023</v>
      </c>
      <c r="R1560">
        <v>-0.96808620000000001</v>
      </c>
      <c r="S1560">
        <v>0.10879519999999999</v>
      </c>
      <c r="T1560">
        <v>-0.23092760000000001</v>
      </c>
      <c r="U1560">
        <v>-3.1090089999999999</v>
      </c>
      <c r="V1560">
        <v>0.43144090000000002</v>
      </c>
      <c r="W1560">
        <v>0.1323802</v>
      </c>
      <c r="X1560">
        <v>0.89237559999999905</v>
      </c>
      <c r="Y1560">
        <v>0.5903813</v>
      </c>
      <c r="Z1560">
        <v>4.323917E-2</v>
      </c>
      <c r="AA1560">
        <v>0.8059655</v>
      </c>
      <c r="AB1560">
        <v>21</v>
      </c>
      <c r="AC1560">
        <v>0.44060000000001698</v>
      </c>
      <c r="AD1560">
        <v>-1.1026835305110001</v>
      </c>
      <c r="AE1560">
        <v>-14.7305999999999</v>
      </c>
      <c r="AF1560">
        <v>8.7141828624319597</v>
      </c>
      <c r="AG1560">
        <v>-1.1026835305110001</v>
      </c>
      <c r="AH1560">
        <v>11.7828761477434</v>
      </c>
      <c r="AI1560">
        <v>94.302946632114498</v>
      </c>
      <c r="AJ1560">
        <v>53.514729614401197</v>
      </c>
      <c r="AK1560">
        <v>14.6965664099279</v>
      </c>
      <c r="AL1560">
        <v>82.392843217101401</v>
      </c>
      <c r="AM1560">
        <v>64.197414543865094</v>
      </c>
      <c r="AN1560">
        <v>0.99999998951010405</v>
      </c>
    </row>
    <row r="1561" spans="1:40" x14ac:dyDescent="0.25">
      <c r="A1561" t="str">
        <f>"20190312164018563"</f>
        <v>20190312164018563</v>
      </c>
      <c r="B1561" t="str">
        <f>"1552380018558059"</f>
        <v>1552380018558059</v>
      </c>
      <c r="C1561" t="s">
        <v>40</v>
      </c>
      <c r="D1561">
        <v>6.1737979999999997</v>
      </c>
      <c r="E1561">
        <v>0.57845429999999998</v>
      </c>
      <c r="F1561" t="s">
        <v>41</v>
      </c>
      <c r="G1561">
        <v>-194.26779999999999</v>
      </c>
      <c r="H1561" s="1">
        <v>-3.6504970000000002E-6</v>
      </c>
      <c r="I1561">
        <v>345.48930000000001</v>
      </c>
      <c r="J1561">
        <v>-194.59209999999999</v>
      </c>
      <c r="K1561">
        <v>1.102776</v>
      </c>
      <c r="L1561">
        <v>359.74299999999999</v>
      </c>
      <c r="M1561">
        <v>0.6086319</v>
      </c>
      <c r="N1561">
        <v>0</v>
      </c>
      <c r="O1561">
        <v>-0.79330409999999996</v>
      </c>
      <c r="P1561">
        <v>0.20730850000000001</v>
      </c>
      <c r="Q1561">
        <v>0.12751669999999901</v>
      </c>
      <c r="R1561">
        <v>-0.96992909999999999</v>
      </c>
      <c r="S1561">
        <v>9.3719479999999994E-2</v>
      </c>
      <c r="T1561">
        <v>-0.2378054</v>
      </c>
      <c r="U1561">
        <v>-3.1091310000000001</v>
      </c>
      <c r="V1561">
        <v>0.42852859999999998</v>
      </c>
      <c r="W1561">
        <v>0.1331406</v>
      </c>
      <c r="X1561">
        <v>0.89366480000000004</v>
      </c>
      <c r="Y1561">
        <v>0.58437309999999998</v>
      </c>
      <c r="Z1561">
        <v>4.5530630000000002E-2</v>
      </c>
      <c r="AA1561">
        <v>0.8102068</v>
      </c>
      <c r="AB1561">
        <v>21</v>
      </c>
      <c r="AC1561">
        <v>0.32429999999999298</v>
      </c>
      <c r="AD1561">
        <v>-1.102779650497</v>
      </c>
      <c r="AE1561">
        <v>-14.2537</v>
      </c>
      <c r="AF1561">
        <v>8.3689119920531994</v>
      </c>
      <c r="AG1561">
        <v>-1.102779650497</v>
      </c>
      <c r="AH1561">
        <v>11.437825607337601</v>
      </c>
      <c r="AI1561">
        <v>94.449259228717395</v>
      </c>
      <c r="AJ1561">
        <v>53.807538837382801</v>
      </c>
      <c r="AK1561">
        <v>14.215437577230899</v>
      </c>
      <c r="AL1561">
        <v>82.348886314254301</v>
      </c>
      <c r="AM1561">
        <v>64.381430951664001</v>
      </c>
      <c r="AN1561">
        <v>0.999999977572679</v>
      </c>
    </row>
    <row r="1562" spans="1:40" x14ac:dyDescent="0.25">
      <c r="A1562" t="str">
        <f>"20190312164018586"</f>
        <v>20190312164018586</v>
      </c>
      <c r="B1562" t="str">
        <f>"1552380018577579"</f>
        <v>1552380018577579</v>
      </c>
      <c r="C1562" t="s">
        <v>40</v>
      </c>
      <c r="D1562">
        <v>6.2492549999999998</v>
      </c>
      <c r="E1562">
        <v>0.57789089999999999</v>
      </c>
      <c r="F1562" t="s">
        <v>41</v>
      </c>
      <c r="G1562">
        <v>-194.26089999999999</v>
      </c>
      <c r="H1562" s="1">
        <v>-3.6250629999999999E-6</v>
      </c>
      <c r="I1562">
        <v>345.41820000000001</v>
      </c>
      <c r="J1562">
        <v>-194.4736</v>
      </c>
      <c r="K1562">
        <v>1.102887</v>
      </c>
      <c r="L1562">
        <v>359.56290000000001</v>
      </c>
      <c r="M1562">
        <v>0.59802250000000001</v>
      </c>
      <c r="N1562">
        <v>0</v>
      </c>
      <c r="O1562">
        <v>-0.80133279999999996</v>
      </c>
      <c r="P1562">
        <v>0.19831869999999999</v>
      </c>
      <c r="Q1562">
        <v>0.12756619999999999</v>
      </c>
      <c r="R1562">
        <v>-0.97180080000000002</v>
      </c>
      <c r="S1562">
        <v>7.1899409999999997E-2</v>
      </c>
      <c r="T1562">
        <v>-0.2393517</v>
      </c>
      <c r="U1562">
        <v>-3.1091000000000002</v>
      </c>
      <c r="V1562">
        <v>0.42486299999999999</v>
      </c>
      <c r="W1562">
        <v>0.13336509999999999</v>
      </c>
      <c r="X1562">
        <v>0.89537999999999995</v>
      </c>
      <c r="Y1562">
        <v>0.57925329999999997</v>
      </c>
      <c r="Z1562">
        <v>4.6871719999999999E-2</v>
      </c>
      <c r="AA1562">
        <v>0.81379899999999905</v>
      </c>
      <c r="AB1562">
        <v>21</v>
      </c>
      <c r="AC1562">
        <v>0.21270000000001199</v>
      </c>
      <c r="AD1562">
        <v>-1.102890625063</v>
      </c>
      <c r="AE1562">
        <v>-14.1447</v>
      </c>
      <c r="AF1562">
        <v>8.2392981470971307</v>
      </c>
      <c r="AG1562">
        <v>-1.102890625063</v>
      </c>
      <c r="AH1562">
        <v>11.3939023936681</v>
      </c>
      <c r="AI1562">
        <v>94.484930550864803</v>
      </c>
      <c r="AJ1562">
        <v>54.128095320615003</v>
      </c>
      <c r="AK1562">
        <v>14.1040211799347</v>
      </c>
      <c r="AL1562">
        <v>82.335908470386897</v>
      </c>
      <c r="AM1562">
        <v>64.615389450173396</v>
      </c>
      <c r="AN1562">
        <v>1.0000000815335</v>
      </c>
    </row>
    <row r="1563" spans="1:40" x14ac:dyDescent="0.25">
      <c r="A1563" t="str">
        <f>"20190312164018607"</f>
        <v>20190312164018607</v>
      </c>
      <c r="B1563" t="str">
        <f>"1552380018598079"</f>
        <v>1552380018598079</v>
      </c>
      <c r="C1563" t="s">
        <v>40</v>
      </c>
      <c r="D1563">
        <v>6.2556149999999997</v>
      </c>
      <c r="E1563">
        <v>0.57740719999999901</v>
      </c>
      <c r="F1563" t="s">
        <v>41</v>
      </c>
      <c r="G1563">
        <v>-194.2569</v>
      </c>
      <c r="H1563" s="1">
        <v>-3.6007320000000001E-6</v>
      </c>
      <c r="I1563">
        <v>345.34879999999998</v>
      </c>
      <c r="J1563">
        <v>-194.357</v>
      </c>
      <c r="K1563">
        <v>1.103</v>
      </c>
      <c r="L1563">
        <v>359.38069999999999</v>
      </c>
      <c r="M1563">
        <v>0.58737320000000004</v>
      </c>
      <c r="N1563">
        <v>0</v>
      </c>
      <c r="O1563">
        <v>-0.80917169999999905</v>
      </c>
      <c r="P1563">
        <v>0.18982399999999999</v>
      </c>
      <c r="Q1563">
        <v>0.1267982</v>
      </c>
      <c r="R1563">
        <v>-0.97359580000000001</v>
      </c>
      <c r="S1563">
        <v>4.7409060000000003E-2</v>
      </c>
      <c r="T1563">
        <v>-0.24123240000000001</v>
      </c>
      <c r="U1563">
        <v>-3.1090089999999999</v>
      </c>
      <c r="V1563">
        <v>0.42083759999999998</v>
      </c>
      <c r="W1563">
        <v>0.13278239999999999</v>
      </c>
      <c r="X1563">
        <v>0.89736530000000003</v>
      </c>
      <c r="Y1563">
        <v>0.57487829999999995</v>
      </c>
      <c r="Z1563">
        <v>4.8249199999999999E-2</v>
      </c>
      <c r="AA1563">
        <v>0.81681510000000002</v>
      </c>
      <c r="AB1563">
        <v>21</v>
      </c>
      <c r="AC1563">
        <v>0.100099999999997</v>
      </c>
      <c r="AD1563">
        <v>-1.1030036007320001</v>
      </c>
      <c r="AE1563">
        <v>-14.0319</v>
      </c>
      <c r="AF1563">
        <v>8.1117978836883609</v>
      </c>
      <c r="AG1563">
        <v>-1.1030036007320001</v>
      </c>
      <c r="AH1563">
        <v>11.3442543116648</v>
      </c>
      <c r="AI1563">
        <v>94.522140556607496</v>
      </c>
      <c r="AJ1563">
        <v>54.433039488965399</v>
      </c>
      <c r="AK1563">
        <v>13.989638584922901</v>
      </c>
      <c r="AL1563">
        <v>82.369593433000304</v>
      </c>
      <c r="AM1563">
        <v>64.874821426125294</v>
      </c>
      <c r="AN1563">
        <v>0.99999996648380396</v>
      </c>
    </row>
    <row r="1564" spans="1:40" x14ac:dyDescent="0.25">
      <c r="A1564" t="str">
        <f>"20190312164018630"</f>
        <v>20190312164018630</v>
      </c>
      <c r="B1564" t="str">
        <f>"1552380018627307"</f>
        <v>1552380018627307</v>
      </c>
      <c r="C1564" t="s">
        <v>40</v>
      </c>
      <c r="D1564">
        <v>6.0849060000000001</v>
      </c>
      <c r="E1564">
        <v>0.57737590000000005</v>
      </c>
      <c r="F1564" t="s">
        <v>41</v>
      </c>
      <c r="G1564">
        <v>-194.2534</v>
      </c>
      <c r="H1564" s="1">
        <v>-3.6279419999999999E-6</v>
      </c>
      <c r="I1564">
        <v>345.43060000000003</v>
      </c>
      <c r="J1564">
        <v>-194.24379999999999</v>
      </c>
      <c r="K1564">
        <v>1.103111</v>
      </c>
      <c r="L1564">
        <v>359.19889999999998</v>
      </c>
      <c r="M1564">
        <v>0.57684409999999997</v>
      </c>
      <c r="N1564">
        <v>0</v>
      </c>
      <c r="O1564">
        <v>-0.81671199999999999</v>
      </c>
      <c r="P1564">
        <v>0.18155180000000001</v>
      </c>
      <c r="Q1564">
        <v>0.12587490000000001</v>
      </c>
      <c r="R1564">
        <v>-0.9752921</v>
      </c>
      <c r="S1564">
        <v>2.3086550000000001E-2</v>
      </c>
      <c r="T1564">
        <v>-0.24581549999999999</v>
      </c>
      <c r="U1564">
        <v>-3.1089169999999999</v>
      </c>
      <c r="V1564">
        <v>0.41683680000000001</v>
      </c>
      <c r="W1564">
        <v>0.1320422</v>
      </c>
      <c r="X1564">
        <v>0.89933969999999896</v>
      </c>
      <c r="Y1564">
        <v>0.5706639</v>
      </c>
      <c r="Z1564">
        <v>5.0151290000000001E-2</v>
      </c>
      <c r="AA1564">
        <v>0.81965089999999996</v>
      </c>
      <c r="AB1564">
        <v>21</v>
      </c>
      <c r="AC1564">
        <v>-9.6000000000060395E-3</v>
      </c>
      <c r="AD1564">
        <v>-1.1031146279420001</v>
      </c>
      <c r="AE1564">
        <v>-13.768299999999901</v>
      </c>
      <c r="AF1564">
        <v>7.9002139836580696</v>
      </c>
      <c r="AG1564">
        <v>-1.1031146279420001</v>
      </c>
      <c r="AH1564">
        <v>11.1688095668434</v>
      </c>
      <c r="AI1564">
        <v>94.610023719595404</v>
      </c>
      <c r="AJ1564">
        <v>54.726469718665797</v>
      </c>
      <c r="AK1564">
        <v>13.724887978063</v>
      </c>
      <c r="AL1564">
        <v>82.412380613045201</v>
      </c>
      <c r="AM1564">
        <v>65.132652156075295</v>
      </c>
      <c r="AN1564">
        <v>0.99999997820558395</v>
      </c>
    </row>
    <row r="1565" spans="1:40" x14ac:dyDescent="0.25">
      <c r="A1565" t="str">
        <f>"20190312164018643"</f>
        <v>20190312164018643</v>
      </c>
      <c r="B1565" t="str">
        <f>"1552380018638042"</f>
        <v>1552380018638042</v>
      </c>
      <c r="C1565" t="s">
        <v>40</v>
      </c>
      <c r="D1565">
        <v>6.1250119999999999</v>
      </c>
      <c r="E1565">
        <v>0.57666099999999998</v>
      </c>
      <c r="F1565" t="s">
        <v>41</v>
      </c>
      <c r="G1565">
        <v>-194.26070000000001</v>
      </c>
      <c r="H1565" s="1">
        <v>-3.6636430000000001E-6</v>
      </c>
      <c r="I1565">
        <v>345.5317</v>
      </c>
      <c r="J1565">
        <v>-194.17599999999999</v>
      </c>
      <c r="K1565">
        <v>1.103178</v>
      </c>
      <c r="L1565">
        <v>359.08760000000001</v>
      </c>
      <c r="M1565">
        <v>0.57044680000000003</v>
      </c>
      <c r="N1565">
        <v>0</v>
      </c>
      <c r="O1565">
        <v>-0.82119349999999902</v>
      </c>
      <c r="P1565">
        <v>0.17615520000000001</v>
      </c>
      <c r="Q1565">
        <v>0.12541040000000001</v>
      </c>
      <c r="R1565">
        <v>-0.97634100000000001</v>
      </c>
      <c r="S1565">
        <v>-3.860474E-3</v>
      </c>
      <c r="T1565">
        <v>-0.25094070000000002</v>
      </c>
      <c r="U1565">
        <v>-3.10907</v>
      </c>
      <c r="V1565">
        <v>0.41478290000000001</v>
      </c>
      <c r="W1565">
        <v>0.1316802</v>
      </c>
      <c r="X1565">
        <v>0.90034190000000003</v>
      </c>
      <c r="Y1565">
        <v>0.57134790000000002</v>
      </c>
      <c r="Z1565">
        <v>5.1690229999999997E-2</v>
      </c>
      <c r="AA1565">
        <v>0.81907859999999999</v>
      </c>
      <c r="AB1565">
        <v>21</v>
      </c>
      <c r="AC1565">
        <v>-8.4700000000026393E-2</v>
      </c>
      <c r="AD1565">
        <v>-1.1031816636430001</v>
      </c>
      <c r="AE1565">
        <v>-13.555899999999999</v>
      </c>
      <c r="AF1565">
        <v>7.7520411690301696</v>
      </c>
      <c r="AG1565">
        <v>-1.1031816636430001</v>
      </c>
      <c r="AH1565">
        <v>11.0120572173096</v>
      </c>
      <c r="AI1565">
        <v>94.683071928005006</v>
      </c>
      <c r="AJ1565">
        <v>54.856009959600698</v>
      </c>
      <c r="AK1565">
        <v>13.5120892620881</v>
      </c>
      <c r="AL1565">
        <v>82.433304805666694</v>
      </c>
      <c r="AM1565">
        <v>65.264718205422</v>
      </c>
      <c r="AN1565">
        <v>1.0000000330500201</v>
      </c>
    </row>
    <row r="1566" spans="1:40" x14ac:dyDescent="0.25">
      <c r="A1566" t="str">
        <f>"20190312164018665"</f>
        <v>20190312164018665</v>
      </c>
      <c r="B1566" t="str">
        <f>"1552380018657563"</f>
        <v>1552380018657563</v>
      </c>
      <c r="C1566" t="s">
        <v>40</v>
      </c>
      <c r="D1566">
        <v>5.9641169999999999</v>
      </c>
      <c r="E1566">
        <v>0.57492180000000004</v>
      </c>
      <c r="F1566" t="s">
        <v>41</v>
      </c>
      <c r="G1566">
        <v>-194.24639999999999</v>
      </c>
      <c r="H1566" s="1">
        <v>-3.554691E-6</v>
      </c>
      <c r="I1566">
        <v>345.24149999999997</v>
      </c>
      <c r="J1566">
        <v>-194.0712</v>
      </c>
      <c r="K1566">
        <v>1.103286</v>
      </c>
      <c r="L1566">
        <v>358.9119</v>
      </c>
      <c r="M1566">
        <v>0.56043520000000002</v>
      </c>
      <c r="N1566">
        <v>0</v>
      </c>
      <c r="O1566">
        <v>-0.82805899999999999</v>
      </c>
      <c r="P1566">
        <v>0.1686889</v>
      </c>
      <c r="Q1566">
        <v>0.124220899999999</v>
      </c>
      <c r="R1566">
        <v>-0.97781079999999998</v>
      </c>
      <c r="S1566">
        <v>-1.580811E-2</v>
      </c>
      <c r="T1566">
        <v>-0.24757850000000001</v>
      </c>
      <c r="U1566">
        <v>-3.1073909999999998</v>
      </c>
      <c r="V1566">
        <v>0.41074680000000002</v>
      </c>
      <c r="W1566">
        <v>0.1306737</v>
      </c>
      <c r="X1566">
        <v>0.90233669999999999</v>
      </c>
      <c r="Y1566">
        <v>0.56452819999999904</v>
      </c>
      <c r="Z1566">
        <v>5.2024859999999999E-2</v>
      </c>
      <c r="AA1566">
        <v>0.82377269999999903</v>
      </c>
      <c r="AB1566">
        <v>21</v>
      </c>
      <c r="AC1566">
        <v>-0.175199999999989</v>
      </c>
      <c r="AD1566">
        <v>-1.103289554691</v>
      </c>
      <c r="AE1566">
        <v>-13.670400000000001</v>
      </c>
      <c r="AF1566">
        <v>7.7568337535024101</v>
      </c>
      <c r="AG1566">
        <v>-1.103289554691</v>
      </c>
      <c r="AH1566">
        <v>11.150387555783301</v>
      </c>
      <c r="AI1566">
        <v>94.643677324168806</v>
      </c>
      <c r="AJ1566">
        <v>55.1753639876992</v>
      </c>
      <c r="AK1566">
        <v>13.627797340918001</v>
      </c>
      <c r="AL1566">
        <v>82.491475678316803</v>
      </c>
      <c r="AM1566">
        <v>65.524807034868402</v>
      </c>
      <c r="AN1566">
        <v>1.0000000348744</v>
      </c>
    </row>
    <row r="1567" spans="1:40" x14ac:dyDescent="0.25">
      <c r="A1567" t="str">
        <f>"20190312164018688"</f>
        <v>20190312164018688</v>
      </c>
      <c r="B1567" t="str">
        <f>"1552380018678058"</f>
        <v>1552380018678058</v>
      </c>
      <c r="C1567" t="s">
        <v>40</v>
      </c>
      <c r="D1567">
        <v>6.2287119999999998</v>
      </c>
      <c r="E1567">
        <v>0.57321999999999995</v>
      </c>
      <c r="F1567" t="s">
        <v>41</v>
      </c>
      <c r="G1567">
        <v>-194.196</v>
      </c>
      <c r="H1567" s="1">
        <v>-3.3159260000000002E-6</v>
      </c>
      <c r="I1567">
        <v>344.71620000000001</v>
      </c>
      <c r="J1567">
        <v>-193.95480000000001</v>
      </c>
      <c r="K1567">
        <v>1.103415</v>
      </c>
      <c r="L1567">
        <v>358.71140000000003</v>
      </c>
      <c r="M1567">
        <v>0.54914410000000002</v>
      </c>
      <c r="N1567">
        <v>0</v>
      </c>
      <c r="O1567">
        <v>-0.83559039999999996</v>
      </c>
      <c r="P1567">
        <v>0.1644378</v>
      </c>
      <c r="Q1567">
        <v>0.1224644</v>
      </c>
      <c r="R1567">
        <v>-0.97875579999999995</v>
      </c>
      <c r="S1567">
        <v>-2.7297970000000001E-2</v>
      </c>
      <c r="T1567">
        <v>-0.24119889999999999</v>
      </c>
      <c r="U1567">
        <v>-3.1034549999999999</v>
      </c>
      <c r="V1567">
        <v>0.40243329999999999</v>
      </c>
      <c r="W1567">
        <v>0.12921659999999999</v>
      </c>
      <c r="X1567">
        <v>0.90628390000000003</v>
      </c>
      <c r="Y1567">
        <v>0.55637029999999998</v>
      </c>
      <c r="Z1567">
        <v>5.1836960000000001E-2</v>
      </c>
      <c r="AA1567">
        <v>0.82931599999999905</v>
      </c>
      <c r="AB1567">
        <v>21</v>
      </c>
      <c r="AC1567">
        <v>-0.241199999999992</v>
      </c>
      <c r="AD1567">
        <v>-1.103418315926</v>
      </c>
      <c r="AE1567">
        <v>-13.995200000000001</v>
      </c>
      <c r="AF1567">
        <v>7.83911613239556</v>
      </c>
      <c r="AG1567">
        <v>-1.103418315926</v>
      </c>
      <c r="AH1567">
        <v>11.4917146909143</v>
      </c>
      <c r="AI1567">
        <v>94.535251314333095</v>
      </c>
      <c r="AJ1567">
        <v>55.700000444675098</v>
      </c>
      <c r="AK1567">
        <v>13.9545254399596</v>
      </c>
      <c r="AL1567">
        <v>82.575675008890997</v>
      </c>
      <c r="AM1567">
        <v>66.056495044779595</v>
      </c>
      <c r="AN1567">
        <v>0.99999999903183001</v>
      </c>
    </row>
    <row r="1568" spans="1:40" x14ac:dyDescent="0.25">
      <c r="A1568" t="str">
        <f>"20190312164018710"</f>
        <v>20190312164018710</v>
      </c>
      <c r="B1568" t="str">
        <f>"1552380018697578"</f>
        <v>1552380018697578</v>
      </c>
      <c r="C1568" t="s">
        <v>40</v>
      </c>
      <c r="D1568">
        <v>6.026402</v>
      </c>
      <c r="E1568">
        <v>0.57208709999999996</v>
      </c>
      <c r="F1568" t="s">
        <v>41</v>
      </c>
      <c r="G1568">
        <v>-194.08699999999999</v>
      </c>
      <c r="H1568" s="1">
        <v>-3.155457E-6</v>
      </c>
      <c r="I1568">
        <v>344.40969999999999</v>
      </c>
      <c r="J1568">
        <v>-193.85499999999999</v>
      </c>
      <c r="K1568">
        <v>1.103531</v>
      </c>
      <c r="L1568">
        <v>358.53449999999998</v>
      </c>
      <c r="M1568">
        <v>0.5393019</v>
      </c>
      <c r="N1568">
        <v>0</v>
      </c>
      <c r="O1568">
        <v>-0.84197679999999997</v>
      </c>
      <c r="P1568">
        <v>0.157906399999999</v>
      </c>
      <c r="Q1568">
        <v>0.1217844</v>
      </c>
      <c r="R1568">
        <v>-0.97991530000000004</v>
      </c>
      <c r="S1568">
        <v>-2.8656009999999999E-2</v>
      </c>
      <c r="T1568">
        <v>-0.2391624</v>
      </c>
      <c r="U1568">
        <v>-3.0998540000000001</v>
      </c>
      <c r="V1568">
        <v>0.39782459999999997</v>
      </c>
      <c r="W1568">
        <v>0.1287296</v>
      </c>
      <c r="X1568">
        <v>0.90838549999999996</v>
      </c>
      <c r="Y1568">
        <v>0.54696849999999997</v>
      </c>
      <c r="Z1568">
        <v>5.2436629999999998E-2</v>
      </c>
      <c r="AA1568">
        <v>0.83550939999999996</v>
      </c>
      <c r="AB1568">
        <v>21</v>
      </c>
      <c r="AC1568">
        <v>-0.23200000000002699</v>
      </c>
      <c r="AD1568">
        <v>-1.103534155457</v>
      </c>
      <c r="AE1568">
        <v>-14.124799999999899</v>
      </c>
      <c r="AF1568">
        <v>7.7663706675400697</v>
      </c>
      <c r="AG1568">
        <v>-1.103534155457</v>
      </c>
      <c r="AH1568">
        <v>11.697599075784201</v>
      </c>
      <c r="AI1568">
        <v>94.493842311677099</v>
      </c>
      <c r="AJ1568">
        <v>56.418678461719097</v>
      </c>
      <c r="AK1568">
        <v>14.084321961517199</v>
      </c>
      <c r="AL1568">
        <v>82.603812840188894</v>
      </c>
      <c r="AM1568">
        <v>66.349134707415502</v>
      </c>
      <c r="AN1568">
        <v>0.99999996944578395</v>
      </c>
    </row>
    <row r="1569" spans="1:40" x14ac:dyDescent="0.25">
      <c r="A1569" t="str">
        <f>"20190312164018731"</f>
        <v>20190312164018731</v>
      </c>
      <c r="B1569" t="str">
        <f>"1552380018727834"</f>
        <v>1552380018727834</v>
      </c>
      <c r="C1569" t="s">
        <v>40</v>
      </c>
      <c r="D1569">
        <v>6.4097530000000003</v>
      </c>
      <c r="E1569">
        <v>0.5713355</v>
      </c>
      <c r="F1569" t="s">
        <v>41</v>
      </c>
      <c r="G1569">
        <v>-194.0497</v>
      </c>
      <c r="H1569" s="1">
        <v>-2.9830489999999999E-6</v>
      </c>
      <c r="I1569">
        <v>344.03100000000001</v>
      </c>
      <c r="J1569">
        <v>-193.7569</v>
      </c>
      <c r="K1569">
        <v>1.103647</v>
      </c>
      <c r="L1569">
        <v>358.35610000000003</v>
      </c>
      <c r="M1569">
        <v>0.52949650000000004</v>
      </c>
      <c r="N1569">
        <v>0</v>
      </c>
      <c r="O1569">
        <v>-0.84817849999999995</v>
      </c>
      <c r="P1569">
        <v>0.1512858</v>
      </c>
      <c r="Q1569">
        <v>0.12078700000000001</v>
      </c>
      <c r="R1569">
        <v>-0.98108269999999997</v>
      </c>
      <c r="S1569">
        <v>-4.1564940000000002E-2</v>
      </c>
      <c r="T1569">
        <v>-0.2356828</v>
      </c>
      <c r="U1569">
        <v>-3.097534</v>
      </c>
      <c r="V1569">
        <v>0.39341419999999999</v>
      </c>
      <c r="W1569">
        <v>0.127919899999999</v>
      </c>
      <c r="X1569">
        <v>0.91041850000000002</v>
      </c>
      <c r="Y1569">
        <v>0.54073800000000005</v>
      </c>
      <c r="Z1569">
        <v>5.2567330000000002E-2</v>
      </c>
      <c r="AA1569">
        <v>0.83954699999999904</v>
      </c>
      <c r="AB1569">
        <v>21</v>
      </c>
      <c r="AC1569">
        <v>-0.29279999999999901</v>
      </c>
      <c r="AD1569">
        <v>-1.1036499830490001</v>
      </c>
      <c r="AE1569">
        <v>-14.325100000000001</v>
      </c>
      <c r="AF1569">
        <v>7.7881168668301903</v>
      </c>
      <c r="AG1569">
        <v>-1.1036499830490001</v>
      </c>
      <c r="AH1569">
        <v>11.925807361904299</v>
      </c>
      <c r="AI1569">
        <v>94.430654368181294</v>
      </c>
      <c r="AJ1569">
        <v>56.853561540962197</v>
      </c>
      <c r="AK1569">
        <v>14.286276241545201</v>
      </c>
      <c r="AL1569">
        <v>82.650592512978903</v>
      </c>
      <c r="AM1569">
        <v>66.629641122315604</v>
      </c>
      <c r="AN1569">
        <v>1.00000003935994</v>
      </c>
    </row>
    <row r="1570" spans="1:40" x14ac:dyDescent="0.25">
      <c r="A1570" t="str">
        <f>"20190312164018754"</f>
        <v>20190312164018754</v>
      </c>
      <c r="B1570" t="str">
        <f>"1552380018747355"</f>
        <v>1552380018747355</v>
      </c>
      <c r="C1570" t="s">
        <v>40</v>
      </c>
      <c r="D1570">
        <v>5.9135859999999996</v>
      </c>
      <c r="E1570">
        <v>0.54147909999999999</v>
      </c>
      <c r="F1570" t="s">
        <v>41</v>
      </c>
      <c r="G1570">
        <v>-194.03020000000001</v>
      </c>
      <c r="H1570" s="1">
        <v>-2.829372E-6</v>
      </c>
      <c r="I1570">
        <v>343.6848</v>
      </c>
      <c r="J1570">
        <v>-193.65389999999999</v>
      </c>
      <c r="K1570">
        <v>1.103782</v>
      </c>
      <c r="L1570">
        <v>358.16399999999999</v>
      </c>
      <c r="M1570">
        <v>0.51907559999999997</v>
      </c>
      <c r="N1570">
        <v>0</v>
      </c>
      <c r="O1570">
        <v>-0.85459629999999998</v>
      </c>
      <c r="P1570">
        <v>0.1447175</v>
      </c>
      <c r="Q1570">
        <v>0.1196509</v>
      </c>
      <c r="R1570">
        <v>-0.98221199999999997</v>
      </c>
      <c r="S1570">
        <v>-5.7662959999999999E-2</v>
      </c>
      <c r="T1570">
        <v>-0.23284879999999999</v>
      </c>
      <c r="U1570">
        <v>-3.095367</v>
      </c>
      <c r="V1570">
        <v>0.38835740000000002</v>
      </c>
      <c r="W1570">
        <v>0.12699059999999901</v>
      </c>
      <c r="X1570">
        <v>0.91271670000000005</v>
      </c>
      <c r="Y1570">
        <v>0.53481119999999904</v>
      </c>
      <c r="Z1570">
        <v>5.2829139999999997E-2</v>
      </c>
      <c r="AA1570">
        <v>0.84331849999999997</v>
      </c>
      <c r="AB1570">
        <v>21</v>
      </c>
      <c r="AC1570">
        <v>-0.37630000000001401</v>
      </c>
      <c r="AD1570">
        <v>-1.1037848293719901</v>
      </c>
      <c r="AE1570">
        <v>-14.479199999999899</v>
      </c>
      <c r="AF1570">
        <v>7.7930109322007803</v>
      </c>
      <c r="AG1570">
        <v>-1.1037848293719901</v>
      </c>
      <c r="AH1570">
        <v>12.1095910862092</v>
      </c>
      <c r="AI1570">
        <v>94.383109999749394</v>
      </c>
      <c r="AJ1570">
        <v>57.237082655887399</v>
      </c>
      <c r="AK1570">
        <v>14.4426990764936</v>
      </c>
      <c r="AL1570">
        <v>82.704274487414494</v>
      </c>
      <c r="AM1570">
        <v>66.950436339359499</v>
      </c>
      <c r="AN1570">
        <v>0.99999992854100195</v>
      </c>
    </row>
    <row r="1571" spans="1:40" x14ac:dyDescent="0.25">
      <c r="A1571" t="str">
        <f>"20190312164018775"</f>
        <v>20190312164018775</v>
      </c>
      <c r="B1571" t="str">
        <f>"1552380018767850"</f>
        <v>1552380018767850</v>
      </c>
      <c r="C1571" t="s">
        <v>40</v>
      </c>
      <c r="D1571">
        <v>5.9099719999999998</v>
      </c>
      <c r="E1571">
        <v>0.54043699999999995</v>
      </c>
      <c r="F1571" t="s">
        <v>41</v>
      </c>
      <c r="G1571">
        <v>-191.53800000000001</v>
      </c>
      <c r="H1571" s="1">
        <v>-2.1684159999999999E-6</v>
      </c>
      <c r="I1571">
        <v>313.31310000000002</v>
      </c>
      <c r="J1571">
        <v>-193.55410000000001</v>
      </c>
      <c r="K1571">
        <v>1.103917</v>
      </c>
      <c r="L1571">
        <v>357.97269999999997</v>
      </c>
      <c r="M1571">
        <v>0.50884229999999997</v>
      </c>
      <c r="N1571">
        <v>0</v>
      </c>
      <c r="O1571">
        <v>-0.86072950000000004</v>
      </c>
      <c r="P1571">
        <v>0.13745189999999999</v>
      </c>
      <c r="Q1571">
        <v>0.1183656</v>
      </c>
      <c r="R1571">
        <v>-0.98341069999999997</v>
      </c>
      <c r="S1571">
        <v>0.14352419999999999</v>
      </c>
      <c r="T1571">
        <v>-7.4871179999999996E-2</v>
      </c>
      <c r="U1571">
        <v>-3.042297</v>
      </c>
      <c r="V1571">
        <v>0.38421889999999997</v>
      </c>
      <c r="W1571">
        <v>0.125888</v>
      </c>
      <c r="X1571">
        <v>0.91461910000000002</v>
      </c>
      <c r="Y1571">
        <v>0.46776770000000001</v>
      </c>
      <c r="Z1571">
        <v>1.8050179999999999E-2</v>
      </c>
      <c r="AA1571">
        <v>0.88366710000000004</v>
      </c>
      <c r="AB1571">
        <v>21</v>
      </c>
      <c r="AC1571">
        <v>2.0161000000000202</v>
      </c>
      <c r="AD1571">
        <v>-1.1039191684159999</v>
      </c>
      <c r="AE1571">
        <v>-44.659599999999898</v>
      </c>
      <c r="AF1571">
        <v>20.978938407153102</v>
      </c>
      <c r="AG1571">
        <v>-1.1039191684159999</v>
      </c>
      <c r="AH1571">
        <v>39.4460850661442</v>
      </c>
      <c r="AI1571">
        <v>91.415400587064994</v>
      </c>
      <c r="AJ1571">
        <v>61.994244540952401</v>
      </c>
      <c r="AK1571">
        <v>44.691477053986603</v>
      </c>
      <c r="AL1571">
        <v>82.767960639696696</v>
      </c>
      <c r="AM1571">
        <v>67.213394070512194</v>
      </c>
      <c r="AN1571">
        <v>1.0000000248730001</v>
      </c>
    </row>
    <row r="1572" spans="1:40" x14ac:dyDescent="0.25">
      <c r="A1572" t="str">
        <f>"20190312164018799"</f>
        <v>20190312164018799</v>
      </c>
      <c r="B1572" t="str">
        <f>"1552380018787370"</f>
        <v>1552380018787370</v>
      </c>
      <c r="C1572" t="s">
        <v>40</v>
      </c>
      <c r="D1572">
        <v>5.9045759999999996</v>
      </c>
      <c r="E1572">
        <v>0.53921809999999903</v>
      </c>
      <c r="F1572" t="s">
        <v>41</v>
      </c>
      <c r="G1572">
        <v>-177.38470000000001</v>
      </c>
      <c r="H1572">
        <v>7.9985630000000002E-2</v>
      </c>
      <c r="I1572">
        <v>-39.829909999999998</v>
      </c>
      <c r="J1572">
        <v>-193.45769999999999</v>
      </c>
      <c r="K1572">
        <v>1.1040479999999999</v>
      </c>
      <c r="L1572">
        <v>357.78300000000002</v>
      </c>
      <c r="M1572">
        <v>0.49885160000000001</v>
      </c>
      <c r="N1572">
        <v>0</v>
      </c>
      <c r="O1572">
        <v>-0.86655899999999997</v>
      </c>
      <c r="P1572">
        <v>0.130482399999999</v>
      </c>
      <c r="Q1572">
        <v>0.11695079999999999</v>
      </c>
      <c r="R1572">
        <v>-0.98452879999999998</v>
      </c>
      <c r="S1572">
        <v>0.1233368</v>
      </c>
      <c r="T1572">
        <v>-7.8103540000000003E-3</v>
      </c>
      <c r="U1572">
        <v>-3.0343629999999999</v>
      </c>
      <c r="V1572">
        <v>0.38012570000000001</v>
      </c>
      <c r="W1572">
        <v>0.124649499999999</v>
      </c>
      <c r="X1572">
        <v>0.91649709999999995</v>
      </c>
      <c r="Y1572">
        <v>0.46329789999999998</v>
      </c>
      <c r="Z1572">
        <v>1.9137340000000001E-3</v>
      </c>
      <c r="AA1572">
        <v>0.88620049999999995</v>
      </c>
      <c r="AB1572">
        <v>21</v>
      </c>
      <c r="AC1572">
        <v>16.072999999999901</v>
      </c>
      <c r="AD1572">
        <v>-1.02406237</v>
      </c>
      <c r="AE1572">
        <v>-397.61291</v>
      </c>
      <c r="AF1572">
        <v>184.44093983946601</v>
      </c>
      <c r="AG1572">
        <v>-1.02406237</v>
      </c>
      <c r="AH1572">
        <v>352.60999681257198</v>
      </c>
      <c r="AI1572">
        <v>90.147446997971599</v>
      </c>
      <c r="AJ1572">
        <v>62.387126850650098</v>
      </c>
      <c r="AK1572">
        <v>397.936325113409</v>
      </c>
      <c r="AL1572">
        <v>82.839484621942006</v>
      </c>
      <c r="AM1572">
        <v>67.473315616039102</v>
      </c>
      <c r="AN1572">
        <v>0.99999998997957396</v>
      </c>
    </row>
    <row r="1573" spans="1:40" x14ac:dyDescent="0.25">
      <c r="A1573" t="str">
        <f>"20190312164018820"</f>
        <v>20190312164018820</v>
      </c>
      <c r="B1573" t="str">
        <f>"1552380018807405"</f>
        <v>1552380018807405</v>
      </c>
      <c r="C1573" t="s">
        <v>40</v>
      </c>
      <c r="D1573">
        <v>5.8817279999999998</v>
      </c>
      <c r="E1573">
        <v>0.53780190000000005</v>
      </c>
      <c r="F1573" t="s">
        <v>41</v>
      </c>
      <c r="G1573">
        <v>-188.88399999999999</v>
      </c>
      <c r="H1573" s="1">
        <v>-2.9157049999999998E-6</v>
      </c>
      <c r="I1573">
        <v>235.38059999999999</v>
      </c>
      <c r="J1573">
        <v>-193.36580000000001</v>
      </c>
      <c r="K1573">
        <v>1.1041749999999999</v>
      </c>
      <c r="L1573">
        <v>357.59699999999998</v>
      </c>
      <c r="M1573">
        <v>0.48920849999999999</v>
      </c>
      <c r="N1573">
        <v>0</v>
      </c>
      <c r="O1573">
        <v>-0.87203999999999904</v>
      </c>
      <c r="P1573">
        <v>0.12415660000000001</v>
      </c>
      <c r="Q1573">
        <v>0.1158629</v>
      </c>
      <c r="R1573">
        <v>-0.9854752</v>
      </c>
      <c r="S1573">
        <v>0.11341859999999999</v>
      </c>
      <c r="T1573">
        <v>-2.737856E-2</v>
      </c>
      <c r="U1573">
        <v>-3.0353699999999999</v>
      </c>
      <c r="V1573">
        <v>0.37583949999999999</v>
      </c>
      <c r="W1573">
        <v>0.12373439999999999</v>
      </c>
      <c r="X1573">
        <v>0.91838690000000001</v>
      </c>
      <c r="Y1573">
        <v>0.45635599999999998</v>
      </c>
      <c r="Z1573">
        <v>6.7958510000000003E-3</v>
      </c>
      <c r="AA1573">
        <v>0.88977129999999904</v>
      </c>
      <c r="AB1573">
        <v>21</v>
      </c>
      <c r="AC1573">
        <v>4.48179999999999</v>
      </c>
      <c r="AD1573">
        <v>-1.104177915705</v>
      </c>
      <c r="AE1573">
        <v>-122.21639999999999</v>
      </c>
      <c r="AF1573">
        <v>55.882621349950902</v>
      </c>
      <c r="AG1573">
        <v>-1.104177915705</v>
      </c>
      <c r="AH1573">
        <v>108.77329392657199</v>
      </c>
      <c r="AI1573">
        <v>90.517325617124996</v>
      </c>
      <c r="AJ1573">
        <v>62.808025326472297</v>
      </c>
      <c r="AK1573">
        <v>122.293565036955</v>
      </c>
      <c r="AL1573">
        <v>82.8923252491158</v>
      </c>
      <c r="AM1573">
        <v>67.743720809035295</v>
      </c>
      <c r="AN1573">
        <v>1.00000001479761</v>
      </c>
    </row>
    <row r="1574" spans="1:40" x14ac:dyDescent="0.25">
      <c r="A1574" t="str">
        <f>"20190312164018842"</f>
        <v>20190312164018842</v>
      </c>
      <c r="B1574" t="str">
        <f>"1552380018837657"</f>
        <v>1552380018837657</v>
      </c>
      <c r="C1574" t="s">
        <v>40</v>
      </c>
      <c r="D1574">
        <v>5.8623510000000003</v>
      </c>
      <c r="E1574">
        <v>0.53578490000000001</v>
      </c>
      <c r="F1574" t="s">
        <v>41</v>
      </c>
      <c r="G1574">
        <v>-190.1009</v>
      </c>
      <c r="H1574" s="1">
        <v>-1.7363870000000001E-6</v>
      </c>
      <c r="I1574">
        <v>263.57409999999999</v>
      </c>
      <c r="J1574">
        <v>-193.27189999999999</v>
      </c>
      <c r="K1574">
        <v>1.1042959999999999</v>
      </c>
      <c r="L1574">
        <v>357.40210000000002</v>
      </c>
      <c r="M1574">
        <v>0.47922209999999898</v>
      </c>
      <c r="N1574">
        <v>0</v>
      </c>
      <c r="O1574">
        <v>-0.87756829999999997</v>
      </c>
      <c r="P1574">
        <v>0.1178351</v>
      </c>
      <c r="Q1574">
        <v>0.1147566</v>
      </c>
      <c r="R1574">
        <v>-0.98638029999999999</v>
      </c>
      <c r="S1574">
        <v>0.1053925</v>
      </c>
      <c r="T1574">
        <v>-3.5643220000000003E-2</v>
      </c>
      <c r="U1574">
        <v>-3.0350950000000001</v>
      </c>
      <c r="V1574">
        <v>0.37124069999999998</v>
      </c>
      <c r="W1574">
        <v>0.12279279999999999</v>
      </c>
      <c r="X1574">
        <v>0.92038160000000002</v>
      </c>
      <c r="Y1574">
        <v>0.44852760000000003</v>
      </c>
      <c r="Z1574">
        <v>8.967984E-3</v>
      </c>
      <c r="AA1574">
        <v>0.89372399999999996</v>
      </c>
      <c r="AB1574">
        <v>21</v>
      </c>
      <c r="AC1574">
        <v>3.17099999999999</v>
      </c>
      <c r="AD1574">
        <v>-1.1042977363869999</v>
      </c>
      <c r="AE1574">
        <v>-93.828000000000003</v>
      </c>
      <c r="AF1574">
        <v>42.180487980109199</v>
      </c>
      <c r="AG1574">
        <v>-1.1042977363869999</v>
      </c>
      <c r="AH1574">
        <v>83.857717700076407</v>
      </c>
      <c r="AI1574">
        <v>90.674013399372797</v>
      </c>
      <c r="AJ1574">
        <v>63.297573505704001</v>
      </c>
      <c r="AK1574">
        <v>93.8750758060755</v>
      </c>
      <c r="AL1574">
        <v>82.946689501776007</v>
      </c>
      <c r="AM1574">
        <v>68.033059618185405</v>
      </c>
      <c r="AN1574">
        <v>1.00000000934344</v>
      </c>
    </row>
    <row r="1575" spans="1:40" x14ac:dyDescent="0.25">
      <c r="A1575" t="str">
        <f>"20190312164018865"</f>
        <v>20190312164018865</v>
      </c>
      <c r="B1575" t="str">
        <f>"1552380018858155"</f>
        <v>1552380018858155</v>
      </c>
      <c r="C1575" t="s">
        <v>40</v>
      </c>
      <c r="D1575">
        <v>5.9108710000000002</v>
      </c>
      <c r="E1575">
        <v>0.53478870000000001</v>
      </c>
      <c r="F1575" t="s">
        <v>46</v>
      </c>
      <c r="G1575">
        <v>-190.96260000000001</v>
      </c>
      <c r="H1575" s="1">
        <v>3.4223510000000002E-6</v>
      </c>
      <c r="I1575">
        <v>288.86579999999998</v>
      </c>
      <c r="J1575">
        <v>-193.17859999999999</v>
      </c>
      <c r="K1575">
        <v>1.1043959999999999</v>
      </c>
      <c r="L1575">
        <v>357.2029</v>
      </c>
      <c r="M1575">
        <v>0.4691282</v>
      </c>
      <c r="N1575">
        <v>0</v>
      </c>
      <c r="O1575">
        <v>-0.88300599999999996</v>
      </c>
      <c r="P1575">
        <v>0.11044470000000001</v>
      </c>
      <c r="Q1575">
        <v>0.11423419999999899</v>
      </c>
      <c r="R1575">
        <v>-0.98729560000000005</v>
      </c>
      <c r="S1575">
        <v>0.10226440000000001</v>
      </c>
      <c r="T1575">
        <v>-4.890108E-2</v>
      </c>
      <c r="U1575">
        <v>-3.0349729999999999</v>
      </c>
      <c r="V1575">
        <v>0.36756050000000001</v>
      </c>
      <c r="W1575">
        <v>0.12240090000000001</v>
      </c>
      <c r="X1575">
        <v>0.9219096</v>
      </c>
      <c r="Y1575">
        <v>0.4391737</v>
      </c>
      <c r="Z1575">
        <v>1.2471599999999999E-2</v>
      </c>
      <c r="AA1575">
        <v>0.89831559999999899</v>
      </c>
      <c r="AB1575">
        <v>21</v>
      </c>
      <c r="AC1575">
        <v>2.2159999999999802</v>
      </c>
      <c r="AD1575">
        <v>-1.104392577649</v>
      </c>
      <c r="AE1575">
        <v>-68.337100000000007</v>
      </c>
      <c r="AF1575">
        <v>30.097565674865798</v>
      </c>
      <c r="AG1575">
        <v>-1.104392577649</v>
      </c>
      <c r="AH1575">
        <v>61.372371807249202</v>
      </c>
      <c r="AI1575">
        <v>90.925628794169796</v>
      </c>
      <c r="AJ1575">
        <v>63.876250555344598</v>
      </c>
      <c r="AK1575">
        <v>68.364107276886699</v>
      </c>
      <c r="AL1575">
        <v>82.969314363862594</v>
      </c>
      <c r="AM1575">
        <v>68.263090554898895</v>
      </c>
      <c r="AN1575">
        <v>1.0000000060266001</v>
      </c>
    </row>
    <row r="1576" spans="1:40" x14ac:dyDescent="0.25">
      <c r="A1576" t="str">
        <f>"20190312164018890"</f>
        <v>20190312164018890</v>
      </c>
      <c r="B1576" t="str">
        <f>"1552380018877673"</f>
        <v>1552380018877673</v>
      </c>
      <c r="C1576" t="s">
        <v>40</v>
      </c>
      <c r="D1576">
        <v>5.8926619999999996</v>
      </c>
      <c r="E1576">
        <v>0.53362509999999996</v>
      </c>
      <c r="F1576" t="s">
        <v>46</v>
      </c>
      <c r="G1576">
        <v>-191.23169999999999</v>
      </c>
      <c r="H1576" s="1">
        <v>3.3693300000000001E-6</v>
      </c>
      <c r="I1576">
        <v>288.92630000000003</v>
      </c>
      <c r="J1576">
        <v>-193.0839</v>
      </c>
      <c r="K1576">
        <v>1.1044909999999999</v>
      </c>
      <c r="L1576">
        <v>356.9948</v>
      </c>
      <c r="M1576">
        <v>0.45870899999999998</v>
      </c>
      <c r="N1576">
        <v>0</v>
      </c>
      <c r="O1576">
        <v>-0.88846389999999997</v>
      </c>
      <c r="P1576">
        <v>0.1032482</v>
      </c>
      <c r="Q1576">
        <v>0.1130517</v>
      </c>
      <c r="R1576">
        <v>-0.98821000000000003</v>
      </c>
      <c r="S1576">
        <v>8.6532590000000006E-2</v>
      </c>
      <c r="T1576">
        <v>-4.9085139999999999E-2</v>
      </c>
      <c r="U1576">
        <v>-3.0345759999999999</v>
      </c>
      <c r="V1576">
        <v>0.36343910000000001</v>
      </c>
      <c r="W1576">
        <v>0.1213497</v>
      </c>
      <c r="X1576">
        <v>0.92368079999999997</v>
      </c>
      <c r="Y1576">
        <v>0.43324449999999998</v>
      </c>
      <c r="Z1576">
        <v>1.26751E-2</v>
      </c>
      <c r="AA1576">
        <v>0.90118730000000002</v>
      </c>
      <c r="AB1576">
        <v>21</v>
      </c>
      <c r="AC1576">
        <v>1.8522000000000101</v>
      </c>
      <c r="AD1576">
        <v>-1.10448763067</v>
      </c>
      <c r="AE1576">
        <v>-68.068499999999901</v>
      </c>
      <c r="AF1576">
        <v>29.5734640015575</v>
      </c>
      <c r="AG1576">
        <v>-1.10448763067</v>
      </c>
      <c r="AH1576">
        <v>61.316578024879398</v>
      </c>
      <c r="AI1576">
        <v>90.929507135895193</v>
      </c>
      <c r="AJ1576">
        <v>64.251624013669399</v>
      </c>
      <c r="AK1576">
        <v>68.0847443019275</v>
      </c>
      <c r="AL1576">
        <v>83.029995826828198</v>
      </c>
      <c r="AM1576">
        <v>68.521935811582196</v>
      </c>
      <c r="AN1576">
        <v>0.999999974693769</v>
      </c>
    </row>
    <row r="1577" spans="1:40" x14ac:dyDescent="0.25">
      <c r="A1577" t="str">
        <f>"20190312164018911"</f>
        <v>20190312164018911</v>
      </c>
      <c r="B1577" t="str">
        <f>"1552380018907931"</f>
        <v>1552380018907931</v>
      </c>
      <c r="C1577" t="s">
        <v>40</v>
      </c>
      <c r="D1577">
        <v>5.9140430000000004</v>
      </c>
      <c r="E1577">
        <v>0.53286829999999996</v>
      </c>
      <c r="F1577" t="s">
        <v>46</v>
      </c>
      <c r="G1577">
        <v>-191.6258</v>
      </c>
      <c r="H1577" s="1">
        <v>7.4351780000000004E-7</v>
      </c>
      <c r="I1577">
        <v>297.09449999999998</v>
      </c>
      <c r="J1577">
        <v>-193.00129999999999</v>
      </c>
      <c r="K1577">
        <v>1.104568</v>
      </c>
      <c r="L1577">
        <v>356.8082</v>
      </c>
      <c r="M1577">
        <v>0.44946520000000001</v>
      </c>
      <c r="N1577">
        <v>0</v>
      </c>
      <c r="O1577">
        <v>-0.89317639999999998</v>
      </c>
      <c r="P1577">
        <v>9.7494890000000001E-2</v>
      </c>
      <c r="Q1577">
        <v>0.1119078</v>
      </c>
      <c r="R1577">
        <v>-0.98892440000000004</v>
      </c>
      <c r="S1577">
        <v>7.3867799999999997E-2</v>
      </c>
      <c r="T1577">
        <v>-5.5952910000000002E-2</v>
      </c>
      <c r="U1577">
        <v>-3.0345149999999999</v>
      </c>
      <c r="V1577">
        <v>0.3592381</v>
      </c>
      <c r="W1577">
        <v>0.1203283</v>
      </c>
      <c r="X1577">
        <v>0.92545619999999995</v>
      </c>
      <c r="Y1577">
        <v>0.42764180000000002</v>
      </c>
      <c r="Z1577">
        <v>1.46026E-2</v>
      </c>
      <c r="AA1577">
        <v>0.90383029999999998</v>
      </c>
      <c r="AB1577">
        <v>21</v>
      </c>
      <c r="AC1577">
        <v>1.37549999999998</v>
      </c>
      <c r="AD1577">
        <v>-1.10456725648219</v>
      </c>
      <c r="AE1577">
        <v>-59.713700000000003</v>
      </c>
      <c r="AF1577">
        <v>25.604688178105</v>
      </c>
      <c r="AG1577">
        <v>-1.10456725648219</v>
      </c>
      <c r="AH1577">
        <v>53.940513760585603</v>
      </c>
      <c r="AI1577">
        <v>91.0598016436889</v>
      </c>
      <c r="AJ1577">
        <v>64.607065372917305</v>
      </c>
      <c r="AK1577">
        <v>59.719336485580698</v>
      </c>
      <c r="AL1577">
        <v>83.088950237147998</v>
      </c>
      <c r="AM1577">
        <v>68.785078880653202</v>
      </c>
      <c r="AN1577">
        <v>1.00000004519546</v>
      </c>
    </row>
    <row r="1578" spans="1:40" x14ac:dyDescent="0.25">
      <c r="A1578" t="str">
        <f>"20190312164018932"</f>
        <v>20190312164018932</v>
      </c>
      <c r="B1578" t="str">
        <f>"1552380018927450"</f>
        <v>1552380018927450</v>
      </c>
      <c r="C1578" t="s">
        <v>40</v>
      </c>
      <c r="D1578">
        <v>5.907349</v>
      </c>
      <c r="E1578">
        <v>0.53192189999999995</v>
      </c>
      <c r="F1578" t="s">
        <v>41</v>
      </c>
      <c r="G1578">
        <v>-191.91139999999999</v>
      </c>
      <c r="H1578" s="1">
        <v>-2.2681520000000001E-6</v>
      </c>
      <c r="I1578">
        <v>303.69080000000002</v>
      </c>
      <c r="J1578">
        <v>-192.92339999999999</v>
      </c>
      <c r="K1578">
        <v>1.104644</v>
      </c>
      <c r="L1578">
        <v>356.6275</v>
      </c>
      <c r="M1578">
        <v>0.44058979999999998</v>
      </c>
      <c r="N1578">
        <v>0</v>
      </c>
      <c r="O1578">
        <v>-0.89758839999999995</v>
      </c>
      <c r="P1578">
        <v>9.2302510000000004E-2</v>
      </c>
      <c r="Q1578">
        <v>0.1106728</v>
      </c>
      <c r="R1578">
        <v>-0.98956160000000004</v>
      </c>
      <c r="S1578">
        <v>6.2271119999999999E-2</v>
      </c>
      <c r="T1578">
        <v>-6.3104270000000004E-2</v>
      </c>
      <c r="U1578">
        <v>-3.0346069999999998</v>
      </c>
      <c r="V1578">
        <v>0.354933</v>
      </c>
      <c r="W1578">
        <v>0.119213899999999</v>
      </c>
      <c r="X1578">
        <v>0.92725970000000002</v>
      </c>
      <c r="Y1578">
        <v>0.4221261</v>
      </c>
      <c r="Z1578">
        <v>1.6631599999999899E-2</v>
      </c>
      <c r="AA1578">
        <v>0.90638450000000004</v>
      </c>
      <c r="AB1578">
        <v>21</v>
      </c>
      <c r="AC1578">
        <v>1.012</v>
      </c>
      <c r="AD1578">
        <v>-1.104646268152</v>
      </c>
      <c r="AE1578">
        <v>-52.936699999999902</v>
      </c>
      <c r="AF1578">
        <v>22.407674636579799</v>
      </c>
      <c r="AG1578">
        <v>-1.104646268152</v>
      </c>
      <c r="AH1578">
        <v>47.945548010774999</v>
      </c>
      <c r="AI1578">
        <v>91.195736802052394</v>
      </c>
      <c r="AJ1578">
        <v>64.950647907387904</v>
      </c>
      <c r="AK1578">
        <v>52.934862803733502</v>
      </c>
      <c r="AL1578">
        <v>83.153263093738602</v>
      </c>
      <c r="AM1578">
        <v>69.054340440387804</v>
      </c>
      <c r="AN1578">
        <v>0.99999996984314898</v>
      </c>
    </row>
    <row r="1579" spans="1:40" x14ac:dyDescent="0.25">
      <c r="A1579" t="str">
        <f>"20190312164018955"</f>
        <v>20190312164018955</v>
      </c>
      <c r="B1579" t="str">
        <f>"1552380018947946"</f>
        <v>1552380018947946</v>
      </c>
      <c r="C1579" t="s">
        <v>40</v>
      </c>
      <c r="D1579">
        <v>5.9292400000000001</v>
      </c>
      <c r="E1579">
        <v>0.53061829999999999</v>
      </c>
      <c r="F1579" t="s">
        <v>41</v>
      </c>
      <c r="G1579">
        <v>-192.11959999999999</v>
      </c>
      <c r="H1579" s="1">
        <v>-1.5038469999999999E-6</v>
      </c>
      <c r="I1579">
        <v>311.57990000000001</v>
      </c>
      <c r="J1579">
        <v>-192.83930000000001</v>
      </c>
      <c r="K1579">
        <v>1.104724</v>
      </c>
      <c r="L1579">
        <v>356.4271</v>
      </c>
      <c r="M1579">
        <v>0.43083080000000001</v>
      </c>
      <c r="N1579">
        <v>0</v>
      </c>
      <c r="O1579">
        <v>-0.90231360000000005</v>
      </c>
      <c r="P1579">
        <v>8.673053E-2</v>
      </c>
      <c r="Q1579">
        <v>0.110453</v>
      </c>
      <c r="R1579">
        <v>-0.99008980000000002</v>
      </c>
      <c r="S1579">
        <v>5.4153439999999997E-2</v>
      </c>
      <c r="T1579">
        <v>-7.4421409999999993E-2</v>
      </c>
      <c r="U1579">
        <v>-3.0349119999999998</v>
      </c>
      <c r="V1579">
        <v>0.3500685</v>
      </c>
      <c r="W1579">
        <v>0.1191272</v>
      </c>
      <c r="X1579">
        <v>0.92911829999999995</v>
      </c>
      <c r="Y1579">
        <v>0.41470669999999998</v>
      </c>
      <c r="Z1579">
        <v>1.9825780000000001E-2</v>
      </c>
      <c r="AA1579">
        <v>0.90973910000000002</v>
      </c>
      <c r="AB1579">
        <v>21</v>
      </c>
      <c r="AC1579">
        <v>0.71970000000001699</v>
      </c>
      <c r="AD1579">
        <v>-1.1047255038470001</v>
      </c>
      <c r="AE1579">
        <v>-44.847200000000001</v>
      </c>
      <c r="AF1579">
        <v>18.662845930027999</v>
      </c>
      <c r="AG1579">
        <v>-1.1047255038470001</v>
      </c>
      <c r="AH1579">
        <v>40.755967416915801</v>
      </c>
      <c r="AI1579">
        <v>91.411761190877698</v>
      </c>
      <c r="AJ1579">
        <v>65.396156473743503</v>
      </c>
      <c r="AK1579">
        <v>44.839392466173202</v>
      </c>
      <c r="AL1579">
        <v>83.158266704859997</v>
      </c>
      <c r="AM1579">
        <v>69.354847765928199</v>
      </c>
      <c r="AN1579">
        <v>1.0000000299334799</v>
      </c>
    </row>
    <row r="1580" spans="1:40" x14ac:dyDescent="0.25">
      <c r="A1580" t="str">
        <f>"20190312164018979"</f>
        <v>20190312164018979</v>
      </c>
      <c r="B1580" t="str">
        <f>"1552380018967469"</f>
        <v>1552380018967469</v>
      </c>
      <c r="C1580" t="s">
        <v>40</v>
      </c>
      <c r="D1580">
        <v>5.9294390000000003</v>
      </c>
      <c r="E1580">
        <v>0.53001560000000003</v>
      </c>
      <c r="F1580" t="s">
        <v>41</v>
      </c>
      <c r="G1580">
        <v>-192.21250000000001</v>
      </c>
      <c r="H1580" s="1">
        <v>-3.964543E-6</v>
      </c>
      <c r="I1580">
        <v>316.73320000000001</v>
      </c>
      <c r="J1580">
        <v>-192.75470000000001</v>
      </c>
      <c r="K1580">
        <v>1.104808</v>
      </c>
      <c r="L1580">
        <v>356.21960000000001</v>
      </c>
      <c r="M1580">
        <v>0.42080830000000002</v>
      </c>
      <c r="N1580">
        <v>0</v>
      </c>
      <c r="O1580">
        <v>-0.90703180000000005</v>
      </c>
      <c r="P1580">
        <v>7.9658480000000004E-2</v>
      </c>
      <c r="Q1580">
        <v>0.1110873</v>
      </c>
      <c r="R1580">
        <v>-0.99061310000000002</v>
      </c>
      <c r="S1580">
        <v>4.7927860000000003E-2</v>
      </c>
      <c r="T1580">
        <v>-8.4474439999999998E-2</v>
      </c>
      <c r="U1580">
        <v>-3.0352480000000002</v>
      </c>
      <c r="V1580">
        <v>0.346356099999999</v>
      </c>
      <c r="W1580">
        <v>0.1198705</v>
      </c>
      <c r="X1580">
        <v>0.93041309999999999</v>
      </c>
      <c r="Y1580">
        <v>0.4064758</v>
      </c>
      <c r="Z1580">
        <v>2.2747389999999999E-2</v>
      </c>
      <c r="AA1580">
        <v>0.91337840000000003</v>
      </c>
      <c r="AB1580">
        <v>21</v>
      </c>
      <c r="AC1580">
        <v>0.54220000000000801</v>
      </c>
      <c r="AD1580">
        <v>-1.1048119645429999</v>
      </c>
      <c r="AE1580">
        <v>-39.486400000000003</v>
      </c>
      <c r="AF1580">
        <v>16.113523107955601</v>
      </c>
      <c r="AG1580">
        <v>-1.1048119645429999</v>
      </c>
      <c r="AH1580">
        <v>36.019241844458797</v>
      </c>
      <c r="AI1580">
        <v>91.603795043078193</v>
      </c>
      <c r="AJ1580">
        <v>65.898227072794498</v>
      </c>
      <c r="AK1580">
        <v>39.474701005545697</v>
      </c>
      <c r="AL1580">
        <v>83.115371245886095</v>
      </c>
      <c r="AM1580">
        <v>69.581685970502704</v>
      </c>
      <c r="AN1580">
        <v>1.0000000107145299</v>
      </c>
    </row>
    <row r="1581" spans="1:40" x14ac:dyDescent="0.25">
      <c r="A1581" t="str">
        <f>"20190312164018999"</f>
        <v>20190312164018999</v>
      </c>
      <c r="B1581" t="str">
        <f>"1552380018987961"</f>
        <v>1552380018987961</v>
      </c>
      <c r="C1581" t="s">
        <v>40</v>
      </c>
      <c r="D1581">
        <v>5.9014739999999897</v>
      </c>
      <c r="E1581">
        <v>0.52926459999999997</v>
      </c>
      <c r="F1581" t="s">
        <v>41</v>
      </c>
      <c r="G1581">
        <v>-192.3287</v>
      </c>
      <c r="H1581" s="1">
        <v>-3.0737290000000001E-6</v>
      </c>
      <c r="I1581">
        <v>314.7833</v>
      </c>
      <c r="J1581">
        <v>-192.6842</v>
      </c>
      <c r="K1581">
        <v>1.1048770000000001</v>
      </c>
      <c r="L1581">
        <v>356.04169999999999</v>
      </c>
      <c r="M1581">
        <v>0.41229389999999999</v>
      </c>
      <c r="N1581">
        <v>0</v>
      </c>
      <c r="O1581">
        <v>-0.91093389999999996</v>
      </c>
      <c r="P1581">
        <v>7.4072070000000004E-2</v>
      </c>
      <c r="Q1581">
        <v>0.1114441</v>
      </c>
      <c r="R1581">
        <v>-0.99100630000000001</v>
      </c>
      <c r="S1581">
        <v>3.1204220000000001E-2</v>
      </c>
      <c r="T1581">
        <v>-8.0922720000000004E-2</v>
      </c>
      <c r="U1581">
        <v>-3.035034</v>
      </c>
      <c r="V1581">
        <v>0.34284690000000001</v>
      </c>
      <c r="W1581">
        <v>0.1203254</v>
      </c>
      <c r="X1581">
        <v>0.93165330000000002</v>
      </c>
      <c r="Y1581">
        <v>0.40294619999999998</v>
      </c>
      <c r="Z1581">
        <v>2.1969079999999998E-2</v>
      </c>
      <c r="AA1581">
        <v>0.91496</v>
      </c>
      <c r="AB1581">
        <v>21</v>
      </c>
      <c r="AC1581">
        <v>0.35550000000000598</v>
      </c>
      <c r="AD1581">
        <v>-1.1048800737289901</v>
      </c>
      <c r="AE1581">
        <v>-41.258400000000002</v>
      </c>
      <c r="AF1581">
        <v>16.6765698919309</v>
      </c>
      <c r="AG1581">
        <v>-1.1048800737289901</v>
      </c>
      <c r="AH1581">
        <v>37.707228367624097</v>
      </c>
      <c r="AI1581">
        <v>91.535029269939102</v>
      </c>
      <c r="AJ1581">
        <v>66.141892881037506</v>
      </c>
      <c r="AK1581">
        <v>41.245167165450297</v>
      </c>
      <c r="AL1581">
        <v>83.089117540617096</v>
      </c>
      <c r="AM1581">
        <v>69.796466857586395</v>
      </c>
      <c r="AN1581">
        <v>1.00000003506282</v>
      </c>
    </row>
    <row r="1582" spans="1:40" x14ac:dyDescent="0.25">
      <c r="A1582" t="str">
        <f>"20190312164019022"</f>
        <v>20190312164019022</v>
      </c>
      <c r="B1582" t="str">
        <f>"1552380019017241"</f>
        <v>1552380019017241</v>
      </c>
      <c r="C1582" t="s">
        <v>40</v>
      </c>
      <c r="D1582">
        <v>5.8983460000000001</v>
      </c>
      <c r="E1582">
        <v>0.52839990000000003</v>
      </c>
      <c r="F1582" t="s">
        <v>41</v>
      </c>
      <c r="G1582">
        <v>-192.42339999999999</v>
      </c>
      <c r="H1582" s="1">
        <v>-4.4656890000000002E-6</v>
      </c>
      <c r="I1582">
        <v>317.79570000000001</v>
      </c>
      <c r="J1582">
        <v>-192.60910000000001</v>
      </c>
      <c r="K1582">
        <v>1.1049389999999999</v>
      </c>
      <c r="L1582">
        <v>355.84660000000002</v>
      </c>
      <c r="M1582">
        <v>0.40303080000000002</v>
      </c>
      <c r="N1582">
        <v>0</v>
      </c>
      <c r="O1582">
        <v>-0.91507070000000001</v>
      </c>
      <c r="P1582">
        <v>6.8227910000000003E-2</v>
      </c>
      <c r="Q1582">
        <v>0.1097147</v>
      </c>
      <c r="R1582">
        <v>-0.99161920000000003</v>
      </c>
      <c r="S1582">
        <v>2.0706180000000001E-2</v>
      </c>
      <c r="T1582">
        <v>-8.7695239999999994E-2</v>
      </c>
      <c r="U1582">
        <v>-3.0356139999999998</v>
      </c>
      <c r="V1582">
        <v>0.3389122</v>
      </c>
      <c r="W1582">
        <v>0.1187021</v>
      </c>
      <c r="X1582">
        <v>0.93329969999999995</v>
      </c>
      <c r="Y1582">
        <v>0.39681680000000003</v>
      </c>
      <c r="Z1582">
        <v>2.401878E-2</v>
      </c>
      <c r="AA1582">
        <v>0.9175835</v>
      </c>
      <c r="AB1582">
        <v>21</v>
      </c>
      <c r="AC1582">
        <v>0.18570000000002501</v>
      </c>
      <c r="AD1582">
        <v>-1.10494346568899</v>
      </c>
      <c r="AE1582">
        <v>-38.050899999999999</v>
      </c>
      <c r="AF1582">
        <v>15.1545836395672</v>
      </c>
      <c r="AG1582">
        <v>-1.10494346568899</v>
      </c>
      <c r="AH1582">
        <v>34.868400520714196</v>
      </c>
      <c r="AI1582">
        <v>91.664701635744507</v>
      </c>
      <c r="AJ1582">
        <v>66.509160627025295</v>
      </c>
      <c r="AK1582">
        <v>38.035347510229897</v>
      </c>
      <c r="AL1582">
        <v>83.182796984471906</v>
      </c>
      <c r="AM1582">
        <v>70.042354771426005</v>
      </c>
      <c r="AN1582">
        <v>0.99999999893667002</v>
      </c>
    </row>
    <row r="1583" spans="1:40" x14ac:dyDescent="0.25">
      <c r="A1583" t="str">
        <f>"20190312164019044"</f>
        <v>20190312164019044</v>
      </c>
      <c r="B1583" t="str">
        <f>"1552380019037739"</f>
        <v>1552380019037739</v>
      </c>
      <c r="C1583" t="s">
        <v>40</v>
      </c>
      <c r="D1583">
        <v>5.8838889999999999</v>
      </c>
      <c r="E1583">
        <v>0.52762290000000001</v>
      </c>
      <c r="F1583" t="s">
        <v>41</v>
      </c>
      <c r="G1583">
        <v>-192.49889999999999</v>
      </c>
      <c r="H1583" s="1">
        <v>-1.0258209999999999E-6</v>
      </c>
      <c r="I1583">
        <v>320.43040000000002</v>
      </c>
      <c r="J1583">
        <v>-192.5333</v>
      </c>
      <c r="K1583">
        <v>1.1049979999999999</v>
      </c>
      <c r="L1583">
        <v>355.64370000000002</v>
      </c>
      <c r="M1583">
        <v>0.39346750000000003</v>
      </c>
      <c r="N1583">
        <v>0</v>
      </c>
      <c r="O1583">
        <v>-0.91922349999999997</v>
      </c>
      <c r="P1583">
        <v>6.210475E-2</v>
      </c>
      <c r="Q1583">
        <v>0.10758189999999999</v>
      </c>
      <c r="R1583">
        <v>-0.99225469999999905</v>
      </c>
      <c r="S1583">
        <v>9.4451899999999991E-3</v>
      </c>
      <c r="T1583">
        <v>-9.4692949999999998E-2</v>
      </c>
      <c r="U1583">
        <v>-3.0351560000000002</v>
      </c>
      <c r="V1583">
        <v>0.33497690000000002</v>
      </c>
      <c r="W1583">
        <v>0.116673</v>
      </c>
      <c r="X1583">
        <v>0.93497479999999999</v>
      </c>
      <c r="Y1583">
        <v>0.39063959999999998</v>
      </c>
      <c r="Z1583">
        <v>2.61722E-2</v>
      </c>
      <c r="AA1583">
        <v>0.92017159999999998</v>
      </c>
      <c r="AB1583">
        <v>21</v>
      </c>
      <c r="AC1583">
        <v>3.4400000000005003E-2</v>
      </c>
      <c r="AD1583">
        <v>-1.1049990258209901</v>
      </c>
      <c r="AE1583">
        <v>-35.213299999999997</v>
      </c>
      <c r="AF1583">
        <v>13.811529399600801</v>
      </c>
      <c r="AG1583">
        <v>-1.1049990258209901</v>
      </c>
      <c r="AH1583">
        <v>32.353993455878602</v>
      </c>
      <c r="AI1583">
        <v>91.799128847345301</v>
      </c>
      <c r="AJ1583">
        <v>66.882948815487296</v>
      </c>
      <c r="AK1583">
        <v>35.196026192542497</v>
      </c>
      <c r="AL1583">
        <v>83.299869417088104</v>
      </c>
      <c r="AM1583">
        <v>70.288732452448599</v>
      </c>
      <c r="AN1583">
        <v>0.99999999454882504</v>
      </c>
    </row>
    <row r="1584" spans="1:40" x14ac:dyDescent="0.25">
      <c r="A1584" t="str">
        <f>"20190312164019067"</f>
        <v>20190312164019067</v>
      </c>
      <c r="B1584" t="str">
        <f>"1552380019058234"</f>
        <v>1552380019058234</v>
      </c>
      <c r="C1584" t="s">
        <v>40</v>
      </c>
      <c r="D1584">
        <v>5.91073</v>
      </c>
      <c r="E1584">
        <v>0.52670150000000004</v>
      </c>
      <c r="F1584" t="s">
        <v>41</v>
      </c>
      <c r="G1584">
        <v>-192.56569999999999</v>
      </c>
      <c r="H1584" s="1">
        <v>-2.1214199999999998E-6</v>
      </c>
      <c r="I1584">
        <v>322.94290000000001</v>
      </c>
      <c r="J1584">
        <v>-192.46170000000001</v>
      </c>
      <c r="K1584">
        <v>1.105056</v>
      </c>
      <c r="L1584">
        <v>355.44630000000001</v>
      </c>
      <c r="M1584">
        <v>0.38424900000000001</v>
      </c>
      <c r="N1584">
        <v>0</v>
      </c>
      <c r="O1584">
        <v>-0.92311540000000003</v>
      </c>
      <c r="P1584">
        <v>5.689582E-2</v>
      </c>
      <c r="Q1584">
        <v>0.10574500000000001</v>
      </c>
      <c r="R1584">
        <v>-0.99276439999999999</v>
      </c>
      <c r="S1584">
        <v>-3.005981E-3</v>
      </c>
      <c r="T1584">
        <v>-0.1025461</v>
      </c>
      <c r="U1584">
        <v>-3.0346980000000001</v>
      </c>
      <c r="V1584">
        <v>0.330549599999999</v>
      </c>
      <c r="W1584">
        <v>0.1149486</v>
      </c>
      <c r="X1584">
        <v>0.9367624</v>
      </c>
      <c r="Y1584">
        <v>0.3851945</v>
      </c>
      <c r="Z1584">
        <v>2.8579480000000001E-2</v>
      </c>
      <c r="AA1584">
        <v>0.92239269999999995</v>
      </c>
      <c r="AB1584">
        <v>21</v>
      </c>
      <c r="AC1584">
        <v>-0.10399999999998499</v>
      </c>
      <c r="AD1584">
        <v>-1.1050581214199999</v>
      </c>
      <c r="AE1584">
        <v>-32.503399999999999</v>
      </c>
      <c r="AF1584">
        <v>12.5721970059302</v>
      </c>
      <c r="AG1584">
        <v>-1.1050581214199999</v>
      </c>
      <c r="AH1584">
        <v>29.932985334917099</v>
      </c>
      <c r="AI1584">
        <v>91.949444173463107</v>
      </c>
      <c r="AJ1584">
        <v>67.217035903308499</v>
      </c>
      <c r="AK1584">
        <v>32.484841111940199</v>
      </c>
      <c r="AL1584">
        <v>83.399339656883299</v>
      </c>
      <c r="AM1584">
        <v>70.563904279806806</v>
      </c>
      <c r="AN1584">
        <v>1.00000000637794</v>
      </c>
    </row>
    <row r="1585" spans="1:40" x14ac:dyDescent="0.25">
      <c r="A1585" t="str">
        <f>"20190312164019090"</f>
        <v>20190312164019090</v>
      </c>
      <c r="B1585" t="str">
        <f>"1552380019077754"</f>
        <v>1552380019077754</v>
      </c>
      <c r="C1585" t="s">
        <v>40</v>
      </c>
      <c r="D1585">
        <v>5.8404850000000001</v>
      </c>
      <c r="E1585">
        <v>0.52600999999999998</v>
      </c>
      <c r="F1585" t="s">
        <v>41</v>
      </c>
      <c r="G1585">
        <v>-192.5711</v>
      </c>
      <c r="H1585" s="1">
        <v>-3.2213139999999999E-6</v>
      </c>
      <c r="I1585">
        <v>325.5034</v>
      </c>
      <c r="J1585">
        <v>-192.3895</v>
      </c>
      <c r="K1585">
        <v>1.1051329999999999</v>
      </c>
      <c r="L1585">
        <v>355.24149999999997</v>
      </c>
      <c r="M1585">
        <v>0.3747798</v>
      </c>
      <c r="N1585">
        <v>0</v>
      </c>
      <c r="O1585">
        <v>-0.92700059999999995</v>
      </c>
      <c r="P1585">
        <v>5.1773609999999998E-2</v>
      </c>
      <c r="Q1585">
        <v>0.1042812</v>
      </c>
      <c r="R1585">
        <v>-0.99319950000000001</v>
      </c>
      <c r="S1585">
        <v>-1.109314E-2</v>
      </c>
      <c r="T1585">
        <v>-0.111986</v>
      </c>
      <c r="U1585">
        <v>-3.0343930000000001</v>
      </c>
      <c r="V1585">
        <v>0.32579910000000001</v>
      </c>
      <c r="W1585">
        <v>0.113607</v>
      </c>
      <c r="X1585">
        <v>0.93858850000000005</v>
      </c>
      <c r="Y1585">
        <v>0.37819409999999998</v>
      </c>
      <c r="Z1585">
        <v>3.1477659999999998E-2</v>
      </c>
      <c r="AA1585">
        <v>0.92519099999999999</v>
      </c>
      <c r="AB1585">
        <v>21</v>
      </c>
      <c r="AC1585">
        <v>-0.18160000000000301</v>
      </c>
      <c r="AD1585">
        <v>-1.1051362213139999</v>
      </c>
      <c r="AE1585">
        <v>-29.7380999999999</v>
      </c>
      <c r="AF1585">
        <v>11.299166550234499</v>
      </c>
      <c r="AG1585">
        <v>-1.1051362213139999</v>
      </c>
      <c r="AH1585">
        <v>27.464136685926999</v>
      </c>
      <c r="AI1585">
        <v>92.131160316595796</v>
      </c>
      <c r="AJ1585">
        <v>67.636983381941903</v>
      </c>
      <c r="AK1585">
        <v>29.718198039263399</v>
      </c>
      <c r="AL1585">
        <v>83.476714456962995</v>
      </c>
      <c r="AM1585">
        <v>70.857293218328394</v>
      </c>
      <c r="AN1585">
        <v>0.99999998817102997</v>
      </c>
    </row>
    <row r="1586" spans="1:40" x14ac:dyDescent="0.25">
      <c r="A1586" t="str">
        <f>"20190312164019112"</f>
        <v>20190312164019112</v>
      </c>
      <c r="B1586" t="str">
        <f>"1552380019108011"</f>
        <v>1552380019108011</v>
      </c>
      <c r="C1586" t="s">
        <v>40</v>
      </c>
      <c r="D1586">
        <v>6.004651</v>
      </c>
      <c r="E1586">
        <v>0.52534440000000004</v>
      </c>
      <c r="F1586" t="s">
        <v>41</v>
      </c>
      <c r="G1586">
        <v>-192.5831</v>
      </c>
      <c r="H1586" s="1">
        <v>-4.2552639999999996E-6</v>
      </c>
      <c r="I1586">
        <v>328.14460000000003</v>
      </c>
      <c r="J1586">
        <v>-192.3227</v>
      </c>
      <c r="K1586">
        <v>1.1052169999999999</v>
      </c>
      <c r="L1586">
        <v>355.04590000000002</v>
      </c>
      <c r="M1586">
        <v>0.36583189999999999</v>
      </c>
      <c r="N1586">
        <v>0</v>
      </c>
      <c r="O1586">
        <v>-0.93056859999999997</v>
      </c>
      <c r="P1586">
        <v>4.719657E-2</v>
      </c>
      <c r="Q1586">
        <v>0.1038278</v>
      </c>
      <c r="R1586">
        <v>-0.99347510000000006</v>
      </c>
      <c r="S1586">
        <v>-2.1682739999999999E-2</v>
      </c>
      <c r="T1586">
        <v>-0.1237692</v>
      </c>
      <c r="U1586">
        <v>-3.0346980000000001</v>
      </c>
      <c r="V1586">
        <v>0.32105929999999999</v>
      </c>
      <c r="W1586">
        <v>0.1132773</v>
      </c>
      <c r="X1586">
        <v>0.94026019999999999</v>
      </c>
      <c r="Y1586">
        <v>0.3724942</v>
      </c>
      <c r="Z1586">
        <v>3.5045090000000001E-2</v>
      </c>
      <c r="AA1586">
        <v>0.92737259999999999</v>
      </c>
      <c r="AB1586">
        <v>21</v>
      </c>
      <c r="AC1586">
        <v>-0.26040000000000402</v>
      </c>
      <c r="AD1586">
        <v>-1.1052212552639999</v>
      </c>
      <c r="AE1586">
        <v>-26.9012999999999</v>
      </c>
      <c r="AF1586">
        <v>10.0677362329558</v>
      </c>
      <c r="AG1586">
        <v>-1.1052212552639999</v>
      </c>
      <c r="AH1586">
        <v>24.8988268786673</v>
      </c>
      <c r="AI1586">
        <v>92.356490217966694</v>
      </c>
      <c r="AJ1586">
        <v>67.984260660102393</v>
      </c>
      <c r="AK1586">
        <v>26.879962924329099</v>
      </c>
      <c r="AL1586">
        <v>83.495727901243797</v>
      </c>
      <c r="AM1586">
        <v>71.147122752994207</v>
      </c>
      <c r="AN1586">
        <v>1.0000000322578999</v>
      </c>
    </row>
    <row r="1587" spans="1:40" x14ac:dyDescent="0.25">
      <c r="A1587" t="str">
        <f>"20190312164019136"</f>
        <v>20190312164019136</v>
      </c>
      <c r="B1587" t="str">
        <f>"1552380019127530"</f>
        <v>1552380019127530</v>
      </c>
      <c r="C1587" t="s">
        <v>40</v>
      </c>
      <c r="D1587">
        <v>5.9220090000000001</v>
      </c>
      <c r="E1587">
        <v>0.5246982</v>
      </c>
      <c r="F1587" t="s">
        <v>41</v>
      </c>
      <c r="G1587">
        <v>-192.5976</v>
      </c>
      <c r="H1587" s="1">
        <v>-4.3528680000000002E-6</v>
      </c>
      <c r="I1587">
        <v>328.4239</v>
      </c>
      <c r="J1587">
        <v>-192.25280000000001</v>
      </c>
      <c r="K1587">
        <v>1.105308</v>
      </c>
      <c r="L1587">
        <v>354.83510000000001</v>
      </c>
      <c r="M1587">
        <v>0.35629739999999999</v>
      </c>
      <c r="N1587">
        <v>0</v>
      </c>
      <c r="O1587">
        <v>-0.93426120000000001</v>
      </c>
      <c r="P1587">
        <v>4.1985660000000001E-2</v>
      </c>
      <c r="Q1587">
        <v>0.1034448</v>
      </c>
      <c r="R1587">
        <v>-0.99374870000000004</v>
      </c>
      <c r="S1587">
        <v>-3.1341550000000003E-2</v>
      </c>
      <c r="T1587">
        <v>-0.1259739</v>
      </c>
      <c r="U1587">
        <v>-3.0343930000000001</v>
      </c>
      <c r="V1587">
        <v>0.3163475</v>
      </c>
      <c r="W1587">
        <v>0.11302379999999999</v>
      </c>
      <c r="X1587">
        <v>0.94188640000000001</v>
      </c>
      <c r="Y1587">
        <v>0.36594759999999998</v>
      </c>
      <c r="Z1587">
        <v>3.5954399999999997E-2</v>
      </c>
      <c r="AA1587">
        <v>0.92994060000000001</v>
      </c>
      <c r="AB1587">
        <v>20</v>
      </c>
      <c r="AC1587">
        <v>-0.344799999999992</v>
      </c>
      <c r="AD1587">
        <v>-1.105312352868</v>
      </c>
      <c r="AE1587">
        <v>-26.411200000000001</v>
      </c>
      <c r="AF1587">
        <v>9.7163736319759302</v>
      </c>
      <c r="AG1587">
        <v>-1.105312352868</v>
      </c>
      <c r="AH1587">
        <v>24.511740622488499</v>
      </c>
      <c r="AI1587">
        <v>92.4004251111527</v>
      </c>
      <c r="AJ1587">
        <v>68.376787752310406</v>
      </c>
      <c r="AK1587">
        <v>26.390435015317799</v>
      </c>
      <c r="AL1587">
        <v>83.510346412424894</v>
      </c>
      <c r="AM1587">
        <v>71.434556987226401</v>
      </c>
      <c r="AN1587">
        <v>1.00000005531382</v>
      </c>
    </row>
    <row r="1588" spans="1:40" x14ac:dyDescent="0.25">
      <c r="A1588" t="str">
        <f>"20190312164019157"</f>
        <v>20190312164019157</v>
      </c>
      <c r="B1588" t="str">
        <f>"1552380019148027"</f>
        <v>1552380019148027</v>
      </c>
      <c r="C1588" t="s">
        <v>40</v>
      </c>
      <c r="D1588">
        <v>5.920839</v>
      </c>
      <c r="E1588">
        <v>0.52411809999999903</v>
      </c>
      <c r="F1588" t="s">
        <v>41</v>
      </c>
      <c r="G1588">
        <v>-192.6163</v>
      </c>
      <c r="H1588" s="1">
        <v>-4.4165859999999901E-6</v>
      </c>
      <c r="I1588">
        <v>328.60140000000001</v>
      </c>
      <c r="J1588">
        <v>-192.19040000000001</v>
      </c>
      <c r="K1588">
        <v>1.1053959999999901</v>
      </c>
      <c r="L1588">
        <v>354.64089999999999</v>
      </c>
      <c r="M1588">
        <v>0.34761799999999998</v>
      </c>
      <c r="N1588">
        <v>0</v>
      </c>
      <c r="O1588">
        <v>-0.93752550000000001</v>
      </c>
      <c r="P1588">
        <v>3.7661489999999999E-2</v>
      </c>
      <c r="Q1588">
        <v>0.1025785</v>
      </c>
      <c r="R1588">
        <v>-0.99401170000000005</v>
      </c>
      <c r="S1588">
        <v>-4.2037959999999999E-2</v>
      </c>
      <c r="T1588">
        <v>-0.12782969999999999</v>
      </c>
      <c r="U1588">
        <v>-3.0339360000000002</v>
      </c>
      <c r="V1588">
        <v>0.31169550000000001</v>
      </c>
      <c r="W1588">
        <v>0.1122823</v>
      </c>
      <c r="X1588">
        <v>0.94352449999999999</v>
      </c>
      <c r="Y1588">
        <v>0.36059049999999998</v>
      </c>
      <c r="Z1588">
        <v>3.6737249999999999E-2</v>
      </c>
      <c r="AA1588">
        <v>0.93200050000000001</v>
      </c>
      <c r="AB1588">
        <v>20</v>
      </c>
      <c r="AC1588">
        <v>-0.42589999999998401</v>
      </c>
      <c r="AD1588">
        <v>-1.1054004165860001</v>
      </c>
      <c r="AE1588">
        <v>-26.039499999999901</v>
      </c>
      <c r="AF1588">
        <v>9.4350742874821201</v>
      </c>
      <c r="AG1588">
        <v>-1.1054004165860001</v>
      </c>
      <c r="AH1588">
        <v>24.2235235345766</v>
      </c>
      <c r="AI1588">
        <v>92.434847183563306</v>
      </c>
      <c r="AJ1588">
        <v>68.719062012109404</v>
      </c>
      <c r="AK1588">
        <v>26.0196393003724</v>
      </c>
      <c r="AL1588">
        <v>83.553102665131902</v>
      </c>
      <c r="AM1588">
        <v>71.718908350179305</v>
      </c>
      <c r="AN1588">
        <v>0.99999994085689303</v>
      </c>
    </row>
    <row r="1589" spans="1:40" x14ac:dyDescent="0.25">
      <c r="A1589" t="str">
        <f>"20190312164019181"</f>
        <v>20190312164019181</v>
      </c>
      <c r="B1589" t="str">
        <f>"1552380019177306"</f>
        <v>1552380019177306</v>
      </c>
      <c r="C1589" t="s">
        <v>40</v>
      </c>
      <c r="D1589">
        <v>5.7908939999999998</v>
      </c>
      <c r="E1589">
        <v>0.52314240000000001</v>
      </c>
      <c r="F1589" t="s">
        <v>41</v>
      </c>
      <c r="G1589">
        <v>-192.6123</v>
      </c>
      <c r="H1589" s="1">
        <v>-4.6183000000000003E-6</v>
      </c>
      <c r="I1589">
        <v>329.19619999999998</v>
      </c>
      <c r="J1589">
        <v>-192.12700000000001</v>
      </c>
      <c r="K1589">
        <v>1.105486</v>
      </c>
      <c r="L1589">
        <v>354.43699999999899</v>
      </c>
      <c r="M1589">
        <v>0.33862199999999998</v>
      </c>
      <c r="N1589">
        <v>0</v>
      </c>
      <c r="O1589">
        <v>-0.94081250000000005</v>
      </c>
      <c r="P1589">
        <v>3.2509799999999998E-2</v>
      </c>
      <c r="Q1589">
        <v>0.1026817</v>
      </c>
      <c r="R1589">
        <v>-0.99418309999999999</v>
      </c>
      <c r="S1589">
        <v>-5.0308230000000002E-2</v>
      </c>
      <c r="T1589">
        <v>-0.13178960000000001</v>
      </c>
      <c r="U1589">
        <v>-3.0335999999999999</v>
      </c>
      <c r="V1589">
        <v>0.3075117</v>
      </c>
      <c r="W1589">
        <v>0.1124974</v>
      </c>
      <c r="X1589">
        <v>0.94487080000000001</v>
      </c>
      <c r="Y1589">
        <v>0.35418870000000002</v>
      </c>
      <c r="Z1589">
        <v>3.8143370000000003E-2</v>
      </c>
      <c r="AA1589">
        <v>0.9343958</v>
      </c>
      <c r="AB1589">
        <v>20</v>
      </c>
      <c r="AC1589">
        <v>-0.48529999999999501</v>
      </c>
      <c r="AD1589">
        <v>-1.1054906182999999</v>
      </c>
      <c r="AE1589">
        <v>-25.240799999999901</v>
      </c>
      <c r="AF1589">
        <v>8.9873648326620792</v>
      </c>
      <c r="AG1589">
        <v>-1.1054906182999999</v>
      </c>
      <c r="AH1589">
        <v>23.5398293847533</v>
      </c>
      <c r="AI1589">
        <v>92.512163333589697</v>
      </c>
      <c r="AJ1589">
        <v>69.103445412319402</v>
      </c>
      <c r="AK1589">
        <v>25.221387820772598</v>
      </c>
      <c r="AL1589">
        <v>83.540699946630895</v>
      </c>
      <c r="AM1589">
        <v>71.972329739963598</v>
      </c>
      <c r="AN1589">
        <v>0.99999996966814397</v>
      </c>
    </row>
    <row r="1590" spans="1:40" x14ac:dyDescent="0.25">
      <c r="A1590" t="str">
        <f>"20190312164019200"</f>
        <v>20190312164019200</v>
      </c>
      <c r="B1590" t="str">
        <f>"1552380019197801"</f>
        <v>1552380019197801</v>
      </c>
      <c r="C1590" t="s">
        <v>40</v>
      </c>
      <c r="D1590">
        <v>6.0541919999999996</v>
      </c>
      <c r="E1590">
        <v>0.52276099999999903</v>
      </c>
      <c r="F1590" t="s">
        <v>41</v>
      </c>
      <c r="G1590">
        <v>-192.59229999999999</v>
      </c>
      <c r="H1590" s="1">
        <v>-8.7412949999999999E-7</v>
      </c>
      <c r="I1590">
        <v>330.01889999999997</v>
      </c>
      <c r="J1590">
        <v>-192.07470000000001</v>
      </c>
      <c r="K1590">
        <v>1.1055459999999999</v>
      </c>
      <c r="L1590">
        <v>354.26409999999998</v>
      </c>
      <c r="M1590">
        <v>0.33106010000000002</v>
      </c>
      <c r="N1590">
        <v>0</v>
      </c>
      <c r="O1590">
        <v>-0.94350029999999996</v>
      </c>
      <c r="P1590">
        <v>2.654219E-2</v>
      </c>
      <c r="Q1590">
        <v>0.1025973</v>
      </c>
      <c r="R1590">
        <v>-0.99436860000000005</v>
      </c>
      <c r="S1590">
        <v>-5.781555E-2</v>
      </c>
      <c r="T1590">
        <v>-0.13734209999999999</v>
      </c>
      <c r="U1590">
        <v>-3.03363</v>
      </c>
      <c r="V1590">
        <v>0.30557960000000001</v>
      </c>
      <c r="W1590">
        <v>0.1124728</v>
      </c>
      <c r="X1590">
        <v>0.94550040000000002</v>
      </c>
      <c r="Y1590">
        <v>0.348987099999999</v>
      </c>
      <c r="Z1590">
        <v>3.9972189999999998E-2</v>
      </c>
      <c r="AA1590">
        <v>0.93627459999999996</v>
      </c>
      <c r="AB1590">
        <v>20</v>
      </c>
      <c r="AC1590">
        <v>-0.51759999999998696</v>
      </c>
      <c r="AD1590">
        <v>-1.10554687412949</v>
      </c>
      <c r="AE1590">
        <v>-24.245200000000001</v>
      </c>
      <c r="AF1590">
        <v>8.4981912931489099</v>
      </c>
      <c r="AG1590">
        <v>-1.10554687412949</v>
      </c>
      <c r="AH1590">
        <v>22.659247762199101</v>
      </c>
      <c r="AI1590">
        <v>92.615621430350402</v>
      </c>
      <c r="AJ1590">
        <v>69.441796978472496</v>
      </c>
      <c r="AK1590">
        <v>24.225668170239899</v>
      </c>
      <c r="AL1590">
        <v>83.542118716348995</v>
      </c>
      <c r="AM1590">
        <v>72.089503720782304</v>
      </c>
      <c r="AN1590">
        <v>1.0000000145380801</v>
      </c>
    </row>
    <row r="1591" spans="1:40" x14ac:dyDescent="0.25">
      <c r="A1591" t="str">
        <f>"20190312164019223"</f>
        <v>20190312164019223</v>
      </c>
      <c r="B1591" t="str">
        <f>"1552380019217322"</f>
        <v>1552380019217322</v>
      </c>
      <c r="C1591" t="s">
        <v>40</v>
      </c>
      <c r="D1591">
        <v>5.9757290000000003</v>
      </c>
      <c r="E1591">
        <v>0.52214419999999995</v>
      </c>
      <c r="F1591" t="s">
        <v>41</v>
      </c>
      <c r="G1591">
        <v>-192.6524</v>
      </c>
      <c r="H1591" s="1">
        <v>-9.486664E-7</v>
      </c>
      <c r="I1591">
        <v>330.15539999999999</v>
      </c>
      <c r="J1591">
        <v>-192.0155</v>
      </c>
      <c r="K1591">
        <v>1.105604</v>
      </c>
      <c r="L1591">
        <v>354.06199999999899</v>
      </c>
      <c r="M1591">
        <v>0.32229099999999999</v>
      </c>
      <c r="N1591">
        <v>0</v>
      </c>
      <c r="O1591">
        <v>-0.94653220000000005</v>
      </c>
      <c r="P1591">
        <v>2.1300429999999999E-2</v>
      </c>
      <c r="Q1591">
        <v>0.102274</v>
      </c>
      <c r="R1591">
        <v>-0.99452819999999997</v>
      </c>
      <c r="S1591">
        <v>-7.2692870000000007E-2</v>
      </c>
      <c r="T1591">
        <v>-0.1390969</v>
      </c>
      <c r="U1591">
        <v>-3.0332949999999999</v>
      </c>
      <c r="V1591">
        <v>0.30177310000000002</v>
      </c>
      <c r="W1591">
        <v>0.1122326</v>
      </c>
      <c r="X1591">
        <v>0.94675069999999995</v>
      </c>
      <c r="Y1591">
        <v>0.3448794</v>
      </c>
      <c r="Z1591">
        <v>4.0726539999999999E-2</v>
      </c>
      <c r="AA1591">
        <v>0.93776300000000001</v>
      </c>
      <c r="AB1591">
        <v>20</v>
      </c>
      <c r="AC1591">
        <v>-0.63689999999999702</v>
      </c>
      <c r="AD1591">
        <v>-1.1056049486663999</v>
      </c>
      <c r="AE1591">
        <v>-23.906599999999901</v>
      </c>
      <c r="AF1591">
        <v>8.2908616429150808</v>
      </c>
      <c r="AG1591">
        <v>-1.1056049486663999</v>
      </c>
      <c r="AH1591">
        <v>22.3775751368469</v>
      </c>
      <c r="AI1591">
        <v>92.652573935126597</v>
      </c>
      <c r="AJ1591">
        <v>69.670399559726704</v>
      </c>
      <c r="AK1591">
        <v>23.889675972890601</v>
      </c>
      <c r="AL1591">
        <v>83.555968918414095</v>
      </c>
      <c r="AM1591">
        <v>72.320521498811004</v>
      </c>
      <c r="AN1591">
        <v>1.0000000241684199</v>
      </c>
    </row>
    <row r="1592" spans="1:40" x14ac:dyDescent="0.25">
      <c r="A1592" t="str">
        <f>"20190312164019245"</f>
        <v>20190312164019245</v>
      </c>
      <c r="B1592" t="str">
        <f>"1552380019237819"</f>
        <v>1552380019237819</v>
      </c>
      <c r="C1592" t="s">
        <v>40</v>
      </c>
      <c r="D1592">
        <v>5.8896240000000004</v>
      </c>
      <c r="E1592">
        <v>0.52155640000000003</v>
      </c>
      <c r="F1592" t="s">
        <v>41</v>
      </c>
      <c r="G1592">
        <v>-192.68020000000001</v>
      </c>
      <c r="H1592" s="1">
        <v>-9.3264000000000002E-7</v>
      </c>
      <c r="I1592">
        <v>330.10079999999999</v>
      </c>
      <c r="J1592">
        <v>-191.9571</v>
      </c>
      <c r="K1592">
        <v>1.1056429999999999</v>
      </c>
      <c r="L1592">
        <v>353.85599999999999</v>
      </c>
      <c r="M1592">
        <v>0.31340380000000001</v>
      </c>
      <c r="N1592">
        <v>0</v>
      </c>
      <c r="O1592">
        <v>-0.94951209999999997</v>
      </c>
      <c r="P1592">
        <v>1.6603819999999998E-2</v>
      </c>
      <c r="Q1592">
        <v>0.10229480000000001</v>
      </c>
      <c r="R1592">
        <v>-0.99461549999999999</v>
      </c>
      <c r="S1592">
        <v>-8.4136959999999997E-2</v>
      </c>
      <c r="T1592">
        <v>-0.13993259999999999</v>
      </c>
      <c r="U1592">
        <v>-3.0326840000000002</v>
      </c>
      <c r="V1592">
        <v>0.29734840000000001</v>
      </c>
      <c r="W1592">
        <v>0.112333</v>
      </c>
      <c r="X1592">
        <v>0.94813780000000003</v>
      </c>
      <c r="Y1592">
        <v>0.33961570000000002</v>
      </c>
      <c r="Z1592">
        <v>4.1226770000000003E-2</v>
      </c>
      <c r="AA1592">
        <v>0.9396603</v>
      </c>
      <c r="AB1592">
        <v>20</v>
      </c>
      <c r="AC1592">
        <v>-0.72310000000001595</v>
      </c>
      <c r="AD1592">
        <v>-1.1056439326399901</v>
      </c>
      <c r="AE1592">
        <v>-23.755199999999999</v>
      </c>
      <c r="AF1592">
        <v>8.1148324021231204</v>
      </c>
      <c r="AG1592">
        <v>-1.1056439326399901</v>
      </c>
      <c r="AH1592">
        <v>22.283287751114599</v>
      </c>
      <c r="AI1592">
        <v>92.669332419831505</v>
      </c>
      <c r="AJ1592">
        <v>69.990058395718705</v>
      </c>
      <c r="AK1592">
        <v>23.740637447619299</v>
      </c>
      <c r="AL1592">
        <v>83.5501798568297</v>
      </c>
      <c r="AM1592">
        <v>72.587893781584796</v>
      </c>
      <c r="AN1592">
        <v>1.00000003083019</v>
      </c>
    </row>
    <row r="1593" spans="1:40" x14ac:dyDescent="0.25">
      <c r="A1593" t="str">
        <f>"20190312164019269"</f>
        <v>20190312164019269</v>
      </c>
      <c r="B1593" t="str">
        <f>"1552380019257338"</f>
        <v>1552380019257338</v>
      </c>
      <c r="C1593" t="s">
        <v>40</v>
      </c>
      <c r="D1593">
        <v>5.9152189999999996</v>
      </c>
      <c r="E1593">
        <v>0.52093250000000002</v>
      </c>
      <c r="F1593" t="s">
        <v>41</v>
      </c>
      <c r="G1593">
        <v>-192.69220000000001</v>
      </c>
      <c r="H1593" s="1">
        <v>-9.408954E-7</v>
      </c>
      <c r="I1593">
        <v>330.11250000000001</v>
      </c>
      <c r="J1593">
        <v>-191.90110000000001</v>
      </c>
      <c r="K1593">
        <v>1.1056589999999999</v>
      </c>
      <c r="L1593">
        <v>353.65129999999999</v>
      </c>
      <c r="M1593">
        <v>0.30458669999999999</v>
      </c>
      <c r="N1593">
        <v>0</v>
      </c>
      <c r="O1593">
        <v>-0.95237729999999998</v>
      </c>
      <c r="P1593">
        <v>1.195012E-2</v>
      </c>
      <c r="Q1593">
        <v>0.10172779999999999</v>
      </c>
      <c r="R1593">
        <v>-0.99474050000000003</v>
      </c>
      <c r="S1593">
        <v>-9.3887330000000005E-2</v>
      </c>
      <c r="T1593">
        <v>-0.141205</v>
      </c>
      <c r="U1593">
        <v>-3.032349</v>
      </c>
      <c r="V1593">
        <v>0.29298980000000002</v>
      </c>
      <c r="W1593">
        <v>0.1118345</v>
      </c>
      <c r="X1593">
        <v>0.94955250000000002</v>
      </c>
      <c r="Y1593">
        <v>0.33391019999999999</v>
      </c>
      <c r="Z1593">
        <v>4.185059E-2</v>
      </c>
      <c r="AA1593">
        <v>0.94167540000000005</v>
      </c>
      <c r="AB1593">
        <v>20</v>
      </c>
      <c r="AC1593">
        <v>-0.79110000000000003</v>
      </c>
      <c r="AD1593">
        <v>-1.1056599408954</v>
      </c>
      <c r="AE1593">
        <v>-23.538799999999899</v>
      </c>
      <c r="AF1593">
        <v>7.9064163911291097</v>
      </c>
      <c r="AG1593">
        <v>-1.1056599408954</v>
      </c>
      <c r="AH1593">
        <v>22.130355070801201</v>
      </c>
      <c r="AI1593">
        <v>92.693709040612504</v>
      </c>
      <c r="AJ1593">
        <v>70.339934932797703</v>
      </c>
      <c r="AK1593">
        <v>23.5262942176313</v>
      </c>
      <c r="AL1593">
        <v>83.578922490011294</v>
      </c>
      <c r="AM1593">
        <v>72.852093647668397</v>
      </c>
      <c r="AN1593">
        <v>0.99999996427526905</v>
      </c>
    </row>
    <row r="1594" spans="1:40" x14ac:dyDescent="0.25">
      <c r="A1594" t="str">
        <f>"20190312164019292"</f>
        <v>20190312164019292</v>
      </c>
      <c r="B1594" t="str">
        <f>"1552380019287595"</f>
        <v>1552380019287595</v>
      </c>
      <c r="C1594" t="s">
        <v>40</v>
      </c>
      <c r="D1594">
        <v>5.918679</v>
      </c>
      <c r="E1594">
        <v>0.52013279999999995</v>
      </c>
      <c r="F1594" t="s">
        <v>41</v>
      </c>
      <c r="G1594">
        <v>-192.69450000000001</v>
      </c>
      <c r="H1594" s="1">
        <v>-1.009084E-6</v>
      </c>
      <c r="I1594">
        <v>330.27010000000001</v>
      </c>
      <c r="J1594">
        <v>-191.84620000000001</v>
      </c>
      <c r="K1594">
        <v>1.105664</v>
      </c>
      <c r="L1594">
        <v>353.44310000000002</v>
      </c>
      <c r="M1594">
        <v>0.29562460000000002</v>
      </c>
      <c r="N1594">
        <v>0</v>
      </c>
      <c r="O1594">
        <v>-0.95519730000000003</v>
      </c>
      <c r="P1594">
        <v>7.1217569999999899E-3</v>
      </c>
      <c r="Q1594">
        <v>0.1008888</v>
      </c>
      <c r="R1594">
        <v>-0.99487199999999998</v>
      </c>
      <c r="S1594">
        <v>-0.1028748</v>
      </c>
      <c r="T1594">
        <v>-0.14336789999999999</v>
      </c>
      <c r="U1594">
        <v>-3.0317690000000002</v>
      </c>
      <c r="V1594">
        <v>0.28868059999999901</v>
      </c>
      <c r="W1594">
        <v>0.1110574</v>
      </c>
      <c r="X1594">
        <v>0.95096250000000004</v>
      </c>
      <c r="Y1594">
        <v>0.32783970000000001</v>
      </c>
      <c r="Z1594">
        <v>4.2746270000000003E-2</v>
      </c>
      <c r="AA1594">
        <v>0.94376579999999999</v>
      </c>
      <c r="AB1594">
        <v>20</v>
      </c>
      <c r="AC1594">
        <v>-0.84829999999999395</v>
      </c>
      <c r="AD1594">
        <v>-1.1056650090839999</v>
      </c>
      <c r="AE1594">
        <v>-23.172999999999998</v>
      </c>
      <c r="AF1594">
        <v>7.6442057229856504</v>
      </c>
      <c r="AG1594">
        <v>-1.1056650090839999</v>
      </c>
      <c r="AH1594">
        <v>21.836597341838999</v>
      </c>
      <c r="AI1594">
        <v>92.736081922949694</v>
      </c>
      <c r="AJ1594">
        <v>70.706689171009103</v>
      </c>
      <c r="AK1594">
        <v>23.1623263019337</v>
      </c>
      <c r="AL1594">
        <v>83.623726092419105</v>
      </c>
      <c r="AM1594">
        <v>73.113454071362597</v>
      </c>
      <c r="AN1594">
        <v>0.99999995565868405</v>
      </c>
    </row>
    <row r="1595" spans="1:40" x14ac:dyDescent="0.25">
      <c r="A1595" t="str">
        <f>"20190312164019314"</f>
        <v>20190312164019314</v>
      </c>
      <c r="B1595" t="str">
        <f>"1552380019308090"</f>
        <v>1552380019308090</v>
      </c>
      <c r="C1595" t="s">
        <v>40</v>
      </c>
      <c r="D1595">
        <v>5.8462820000000004</v>
      </c>
      <c r="E1595">
        <v>0.51946789999999998</v>
      </c>
      <c r="F1595" t="s">
        <v>41</v>
      </c>
      <c r="G1595">
        <v>-192.68639999999999</v>
      </c>
      <c r="H1595" s="1">
        <v>-1.118693E-6</v>
      </c>
      <c r="I1595">
        <v>330.53059999999999</v>
      </c>
      <c r="J1595">
        <v>-191.7963</v>
      </c>
      <c r="K1595">
        <v>1.105658</v>
      </c>
      <c r="L1595">
        <v>353.24700000000001</v>
      </c>
      <c r="M1595">
        <v>0.28717179999999998</v>
      </c>
      <c r="N1595">
        <v>0</v>
      </c>
      <c r="O1595">
        <v>-0.95777270000000003</v>
      </c>
      <c r="P1595">
        <v>3.188116E-3</v>
      </c>
      <c r="Q1595">
        <v>9.9956160000000002E-2</v>
      </c>
      <c r="R1595">
        <v>-0.99498690000000001</v>
      </c>
      <c r="S1595">
        <v>-0.1111603</v>
      </c>
      <c r="T1595">
        <v>-0.14626749999999999</v>
      </c>
      <c r="U1595">
        <v>-3.0310670000000002</v>
      </c>
      <c r="V1595">
        <v>0.28404230000000003</v>
      </c>
      <c r="W1595">
        <v>0.1101901</v>
      </c>
      <c r="X1595">
        <v>0.95245899999999994</v>
      </c>
      <c r="Y1595">
        <v>0.3220673</v>
      </c>
      <c r="Z1595">
        <v>4.3850769999999997E-2</v>
      </c>
      <c r="AA1595">
        <v>0.9457006</v>
      </c>
      <c r="AB1595">
        <v>20</v>
      </c>
      <c r="AC1595">
        <v>-0.89009999999998901</v>
      </c>
      <c r="AD1595">
        <v>-1.1056591186929901</v>
      </c>
      <c r="AE1595">
        <v>-22.716399999999901</v>
      </c>
      <c r="AF1595">
        <v>7.3593671836140597</v>
      </c>
      <c r="AG1595">
        <v>-1.1056591186929901</v>
      </c>
      <c r="AH1595">
        <v>21.452983592154201</v>
      </c>
      <c r="AI1595">
        <v>92.790959942706493</v>
      </c>
      <c r="AJ1595">
        <v>71.065656953268601</v>
      </c>
      <c r="AK1595">
        <v>22.707119421785801</v>
      </c>
      <c r="AL1595">
        <v>83.673725991480197</v>
      </c>
      <c r="AM1595">
        <v>73.394368398099999</v>
      </c>
      <c r="AN1595">
        <v>1.0000000165041401</v>
      </c>
    </row>
    <row r="1596" spans="1:40" x14ac:dyDescent="0.25">
      <c r="A1596" t="str">
        <f>"20190312164019335"</f>
        <v>20190312164019335</v>
      </c>
      <c r="B1596" t="str">
        <f>"1552380019327610"</f>
        <v>1552380019327610</v>
      </c>
      <c r="C1596" t="s">
        <v>40</v>
      </c>
      <c r="D1596">
        <v>5.8472239999999998</v>
      </c>
      <c r="E1596">
        <v>0.51885309999999996</v>
      </c>
      <c r="F1596" t="s">
        <v>41</v>
      </c>
      <c r="G1596">
        <v>-192.66650000000001</v>
      </c>
      <c r="H1596" s="1">
        <v>-1.279078E-6</v>
      </c>
      <c r="I1596">
        <v>330.91680000000002</v>
      </c>
      <c r="J1596">
        <v>-191.75139999999999</v>
      </c>
      <c r="K1596">
        <v>1.1056509999999999</v>
      </c>
      <c r="L1596">
        <v>353.06330000000003</v>
      </c>
      <c r="M1596">
        <v>0.27923350000000002</v>
      </c>
      <c r="N1596">
        <v>0</v>
      </c>
      <c r="O1596">
        <v>-0.96011729999999995</v>
      </c>
      <c r="P1596" s="1">
        <v>4.1329769999999996E-6</v>
      </c>
      <c r="Q1596">
        <v>9.8752729999999997E-2</v>
      </c>
      <c r="R1596">
        <v>-0.9951122</v>
      </c>
      <c r="S1596">
        <v>-0.118103</v>
      </c>
      <c r="T1596">
        <v>-0.1500551</v>
      </c>
      <c r="U1596">
        <v>-3.030548</v>
      </c>
      <c r="V1596">
        <v>0.27921459999999998</v>
      </c>
      <c r="W1596">
        <v>0.1090559</v>
      </c>
      <c r="X1596">
        <v>0.95401570000000002</v>
      </c>
      <c r="Y1596">
        <v>0.3163917</v>
      </c>
      <c r="Z1596">
        <v>4.5210500000000001E-2</v>
      </c>
      <c r="AA1596">
        <v>0.94755069999999997</v>
      </c>
      <c r="AB1596">
        <v>20</v>
      </c>
      <c r="AC1596">
        <v>-0.91510000000002301</v>
      </c>
      <c r="AD1596">
        <v>-1.1056522790779999</v>
      </c>
      <c r="AE1596">
        <v>-22.1465</v>
      </c>
      <c r="AF1596">
        <v>7.04583503207978</v>
      </c>
      <c r="AG1596">
        <v>-1.1056522790779999</v>
      </c>
      <c r="AH1596">
        <v>20.9577012121884</v>
      </c>
      <c r="AI1596">
        <v>92.862749364605506</v>
      </c>
      <c r="AJ1596">
        <v>71.417709395539802</v>
      </c>
      <c r="AK1596">
        <v>22.138010262010301</v>
      </c>
      <c r="AL1596">
        <v>83.739104591703693</v>
      </c>
      <c r="AM1596">
        <v>73.686673507560798</v>
      </c>
      <c r="AN1596">
        <v>0.99999996901222898</v>
      </c>
    </row>
    <row r="1597" spans="1:40" x14ac:dyDescent="0.25">
      <c r="A1597" t="str">
        <f>"20190312164019359"</f>
        <v>20190312164019359</v>
      </c>
      <c r="B1597" t="str">
        <f>"1552380019348108"</f>
        <v>1552380019348108</v>
      </c>
      <c r="C1597" t="s">
        <v>40</v>
      </c>
      <c r="D1597">
        <v>5.9093660000000003</v>
      </c>
      <c r="E1597">
        <v>0.51821329999999999</v>
      </c>
      <c r="F1597" t="s">
        <v>41</v>
      </c>
      <c r="G1597">
        <v>-192.64230000000001</v>
      </c>
      <c r="H1597" s="1">
        <v>-1.4492179999999999E-6</v>
      </c>
      <c r="I1597">
        <v>331.32850000000002</v>
      </c>
      <c r="J1597">
        <v>-191.7003</v>
      </c>
      <c r="K1597">
        <v>1.105648</v>
      </c>
      <c r="L1597">
        <v>352.84649999999999</v>
      </c>
      <c r="M1597">
        <v>0.26983439999999997</v>
      </c>
      <c r="N1597">
        <v>0</v>
      </c>
      <c r="O1597">
        <v>-0.96280120000000002</v>
      </c>
      <c r="P1597">
        <v>-4.3762540000000004E-3</v>
      </c>
      <c r="Q1597">
        <v>9.7273760000000001E-2</v>
      </c>
      <c r="R1597">
        <v>-0.99524829999999997</v>
      </c>
      <c r="S1597">
        <v>-0.1242065</v>
      </c>
      <c r="T1597">
        <v>-0.1541361</v>
      </c>
      <c r="U1597">
        <v>-3.0299990000000001</v>
      </c>
      <c r="V1597">
        <v>0.27409850000000002</v>
      </c>
      <c r="W1597">
        <v>0.10765230000000001</v>
      </c>
      <c r="X1597">
        <v>0.95565739999999999</v>
      </c>
      <c r="Y1597">
        <v>0.30901859999999998</v>
      </c>
      <c r="Z1597">
        <v>4.6709840000000002E-2</v>
      </c>
      <c r="AA1597">
        <v>0.94990830000000004</v>
      </c>
      <c r="AB1597">
        <v>20</v>
      </c>
      <c r="AC1597">
        <v>-0.94200000000000705</v>
      </c>
      <c r="AD1597">
        <v>-1.105649449218</v>
      </c>
      <c r="AE1597">
        <v>-21.517999999999901</v>
      </c>
      <c r="AF1597">
        <v>6.6962921735027399</v>
      </c>
      <c r="AG1597">
        <v>-1.105649449218</v>
      </c>
      <c r="AH1597">
        <v>20.4116649945388</v>
      </c>
      <c r="AI1597">
        <v>92.946336149355801</v>
      </c>
      <c r="AJ1597">
        <v>71.837300958008299</v>
      </c>
      <c r="AK1597">
        <v>21.5104360120094</v>
      </c>
      <c r="AL1597">
        <v>83.820001661733201</v>
      </c>
      <c r="AM1597">
        <v>73.996224604063997</v>
      </c>
      <c r="AN1597">
        <v>1.0000000357861401</v>
      </c>
    </row>
    <row r="1598" spans="1:40" x14ac:dyDescent="0.25">
      <c r="A1598" t="str">
        <f>"20190312164019379"</f>
        <v>20190312164019379</v>
      </c>
      <c r="B1598" t="str">
        <f>"1552380019367626"</f>
        <v>1552380019367626</v>
      </c>
      <c r="C1598" t="s">
        <v>40</v>
      </c>
      <c r="D1598">
        <v>5.9771580000000002</v>
      </c>
      <c r="E1598">
        <v>0.49378319999999998</v>
      </c>
      <c r="F1598" t="s">
        <v>41</v>
      </c>
      <c r="G1598">
        <v>-192.6249</v>
      </c>
      <c r="H1598" s="1">
        <v>-1.643178E-6</v>
      </c>
      <c r="I1598">
        <v>331.79140000000001</v>
      </c>
      <c r="J1598">
        <v>-191.65960000000001</v>
      </c>
      <c r="K1598">
        <v>1.1056549999999901</v>
      </c>
      <c r="L1598">
        <v>352.66590000000002</v>
      </c>
      <c r="M1598">
        <v>0.26198500000000002</v>
      </c>
      <c r="N1598">
        <v>0</v>
      </c>
      <c r="O1598">
        <v>-0.96496660000000001</v>
      </c>
      <c r="P1598">
        <v>-7.5354180000000003E-3</v>
      </c>
      <c r="Q1598">
        <v>9.5681840000000004E-2</v>
      </c>
      <c r="R1598">
        <v>-0.99538340000000003</v>
      </c>
      <c r="S1598">
        <v>-0.13302610000000001</v>
      </c>
      <c r="T1598">
        <v>-0.1590731</v>
      </c>
      <c r="U1598">
        <v>-3.0292659999999998</v>
      </c>
      <c r="V1598">
        <v>0.26936070000000001</v>
      </c>
      <c r="W1598">
        <v>0.1061323</v>
      </c>
      <c r="X1598">
        <v>0.9571733</v>
      </c>
      <c r="Y1598">
        <v>0.30403619999999998</v>
      </c>
      <c r="Z1598">
        <v>4.8423019999999997E-2</v>
      </c>
      <c r="AA1598">
        <v>0.95142899999999997</v>
      </c>
      <c r="AB1598">
        <v>20</v>
      </c>
      <c r="AC1598">
        <v>-0.96529999999998495</v>
      </c>
      <c r="AD1598">
        <v>-1.1056566431779999</v>
      </c>
      <c r="AE1598">
        <v>-20.874500000000001</v>
      </c>
      <c r="AF1598">
        <v>6.3830694843450502</v>
      </c>
      <c r="AG1598">
        <v>-1.1056566431779999</v>
      </c>
      <c r="AH1598">
        <v>19.836790412214299</v>
      </c>
      <c r="AI1598">
        <v>93.037176554735694</v>
      </c>
      <c r="AJ1598">
        <v>72.162896943558593</v>
      </c>
      <c r="AK1598">
        <v>20.8677815426724</v>
      </c>
      <c r="AL1598">
        <v>83.907592812147698</v>
      </c>
      <c r="AM1598">
        <v>74.282725108123699</v>
      </c>
      <c r="AN1598">
        <v>0.99999998902033504</v>
      </c>
    </row>
    <row r="1599" spans="1:40" x14ac:dyDescent="0.25">
      <c r="A1599" t="str">
        <f>"20190312164019401"</f>
        <v>20190312164019401</v>
      </c>
      <c r="B1599" t="str">
        <f>"1552380019397881"</f>
        <v>1552380019397881</v>
      </c>
      <c r="C1599" t="s">
        <v>40</v>
      </c>
      <c r="D1599">
        <v>5.9877399999999996</v>
      </c>
      <c r="E1599">
        <v>0.49970609999999999</v>
      </c>
      <c r="F1599" t="s">
        <v>41</v>
      </c>
      <c r="G1599">
        <v>-191.37110000000001</v>
      </c>
      <c r="H1599" s="1">
        <v>-3.4532510000000002E-6</v>
      </c>
      <c r="I1599">
        <v>336.78840000000002</v>
      </c>
      <c r="J1599">
        <v>-191.61709999999999</v>
      </c>
      <c r="K1599">
        <v>1.1056569999999999</v>
      </c>
      <c r="L1599">
        <v>352.46940000000001</v>
      </c>
      <c r="M1599">
        <v>0.25342530000000002</v>
      </c>
      <c r="N1599">
        <v>0</v>
      </c>
      <c r="O1599">
        <v>-0.9672501</v>
      </c>
      <c r="P1599">
        <v>-1.1293330000000001E-2</v>
      </c>
      <c r="Q1599">
        <v>9.4642110000000002E-2</v>
      </c>
      <c r="R1599">
        <v>-0.99544750000000004</v>
      </c>
      <c r="S1599">
        <v>5.5145260000000001E-2</v>
      </c>
      <c r="T1599">
        <v>-0.2113215</v>
      </c>
      <c r="U1599">
        <v>-3.034637</v>
      </c>
      <c r="V1599">
        <v>0.26449549999999999</v>
      </c>
      <c r="W1599">
        <v>0.105167899999999</v>
      </c>
      <c r="X1599">
        <v>0.95863540000000003</v>
      </c>
      <c r="Y1599">
        <v>0.2358645</v>
      </c>
      <c r="Z1599">
        <v>6.5086060000000001E-2</v>
      </c>
      <c r="AA1599">
        <v>0.96960389999999996</v>
      </c>
      <c r="AB1599">
        <v>20</v>
      </c>
      <c r="AC1599">
        <v>0.24599999999998001</v>
      </c>
      <c r="AD1599">
        <v>-1.1056604532509999</v>
      </c>
      <c r="AE1599">
        <v>-15.6809999999999</v>
      </c>
      <c r="AF1599">
        <v>3.7179181610805001</v>
      </c>
      <c r="AG1599">
        <v>-1.1056604532509999</v>
      </c>
      <c r="AH1599">
        <v>15.1560054117704</v>
      </c>
      <c r="AI1599">
        <v>94.052708326912693</v>
      </c>
      <c r="AJ1599">
        <v>76.216950040941896</v>
      </c>
      <c r="AK1599">
        <v>15.6444846681502</v>
      </c>
      <c r="AL1599">
        <v>83.963159879765996</v>
      </c>
      <c r="AM1599">
        <v>74.5753751634483</v>
      </c>
      <c r="AN1599">
        <v>0.99999999342190904</v>
      </c>
    </row>
    <row r="1600" spans="1:40" x14ac:dyDescent="0.25">
      <c r="A1600" t="str">
        <f>"20190312164019425"</f>
        <v>20190312164019425</v>
      </c>
      <c r="B1600" t="str">
        <f>"1552380019417403"</f>
        <v>1552380019417403</v>
      </c>
      <c r="C1600" t="s">
        <v>40</v>
      </c>
      <c r="D1600">
        <v>5.9116619999999998</v>
      </c>
      <c r="E1600">
        <v>0.4997896</v>
      </c>
      <c r="F1600" t="s">
        <v>41</v>
      </c>
      <c r="G1600">
        <v>-191.8151</v>
      </c>
      <c r="H1600" s="1">
        <v>-1.9181989999999999E-6</v>
      </c>
      <c r="I1600">
        <v>302.93470000000002</v>
      </c>
      <c r="J1600">
        <v>-191.57419999999999</v>
      </c>
      <c r="K1600">
        <v>1.105661</v>
      </c>
      <c r="L1600">
        <v>352.26159999999999</v>
      </c>
      <c r="M1600">
        <v>0.24435889999999999</v>
      </c>
      <c r="N1600">
        <v>0</v>
      </c>
      <c r="O1600">
        <v>-0.96958040000000001</v>
      </c>
      <c r="P1600">
        <v>-1.592532E-2</v>
      </c>
      <c r="Q1600">
        <v>9.3260770000000007E-2</v>
      </c>
      <c r="R1600">
        <v>-0.99551469999999997</v>
      </c>
      <c r="S1600">
        <v>-1.2069699999999999E-2</v>
      </c>
      <c r="T1600">
        <v>-6.7408919999999997E-2</v>
      </c>
      <c r="U1600">
        <v>-3.0199889999999998</v>
      </c>
      <c r="V1600">
        <v>0.2599863</v>
      </c>
      <c r="W1600">
        <v>0.10385709999999999</v>
      </c>
      <c r="X1600">
        <v>0.96001080000000005</v>
      </c>
      <c r="Y1600">
        <v>0.24825530000000001</v>
      </c>
      <c r="Z1600">
        <v>2.0950949999999999E-2</v>
      </c>
      <c r="AA1600">
        <v>0.96846810000000005</v>
      </c>
      <c r="AB1600">
        <v>20</v>
      </c>
      <c r="AC1600">
        <v>-0.24090000000001</v>
      </c>
      <c r="AD1600">
        <v>-1.1056629181990001</v>
      </c>
      <c r="AE1600">
        <v>-49.326899999999902</v>
      </c>
      <c r="AF1600">
        <v>12.2821128738401</v>
      </c>
      <c r="AG1600">
        <v>-1.1056629181990001</v>
      </c>
      <c r="AH1600">
        <v>47.748378613066201</v>
      </c>
      <c r="AI1600">
        <v>91.284700013676201</v>
      </c>
      <c r="AJ1600">
        <v>75.574771695278301</v>
      </c>
      <c r="AK1600">
        <v>49.315113781792597</v>
      </c>
      <c r="AL1600">
        <v>84.038676525028606</v>
      </c>
      <c r="AM1600">
        <v>74.846856367751798</v>
      </c>
      <c r="AN1600">
        <v>0.99999995476236903</v>
      </c>
    </row>
    <row r="1601" spans="1:40" x14ac:dyDescent="0.25">
      <c r="A1601" t="str">
        <f>"20190312164019446"</f>
        <v>20190312164019446</v>
      </c>
      <c r="B1601" t="str">
        <f>"1552380019437898"</f>
        <v>1552380019437898</v>
      </c>
      <c r="C1601" t="s">
        <v>40</v>
      </c>
      <c r="D1601">
        <v>5.8249950000000004</v>
      </c>
      <c r="E1601">
        <v>0.49966070000000001</v>
      </c>
      <c r="F1601" t="s">
        <v>41</v>
      </c>
      <c r="G1601">
        <v>-191.83539999999999</v>
      </c>
      <c r="H1601" s="1">
        <v>-1.0896290000000001E-6</v>
      </c>
      <c r="I1601">
        <v>320.9907</v>
      </c>
      <c r="J1601">
        <v>-191.53460000000001</v>
      </c>
      <c r="K1601">
        <v>1.105658</v>
      </c>
      <c r="L1601">
        <v>352.0609</v>
      </c>
      <c r="M1601">
        <v>0.235595</v>
      </c>
      <c r="N1601">
        <v>0</v>
      </c>
      <c r="O1601">
        <v>-0.97174700000000003</v>
      </c>
      <c r="P1601">
        <v>-2.0674600000000001E-2</v>
      </c>
      <c r="Q1601">
        <v>9.1162770000000004E-2</v>
      </c>
      <c r="R1601">
        <v>-0.9956216</v>
      </c>
      <c r="S1601">
        <v>-2.5253299999999999E-2</v>
      </c>
      <c r="T1601">
        <v>-0.1068906</v>
      </c>
      <c r="U1601">
        <v>-3.0231319999999999</v>
      </c>
      <c r="V1601">
        <v>0.25590950000000001</v>
      </c>
      <c r="W1601">
        <v>0.1018261</v>
      </c>
      <c r="X1601">
        <v>0.96132289999999998</v>
      </c>
      <c r="Y1601">
        <v>0.24372150000000001</v>
      </c>
      <c r="Z1601">
        <v>3.3309650000000003E-2</v>
      </c>
      <c r="AA1601">
        <v>0.9692731</v>
      </c>
      <c r="AB1601">
        <v>20</v>
      </c>
      <c r="AC1601">
        <v>-0.30079999999998103</v>
      </c>
      <c r="AD1601">
        <v>-1.1056590896289999</v>
      </c>
      <c r="AE1601">
        <v>-31.0702</v>
      </c>
      <c r="AF1601">
        <v>7.6034294181544997</v>
      </c>
      <c r="AG1601">
        <v>-1.1056590896289999</v>
      </c>
      <c r="AH1601">
        <v>30.086464427248998</v>
      </c>
      <c r="AI1601">
        <v>92.040541224467304</v>
      </c>
      <c r="AJ1601">
        <v>75.8172126213844</v>
      </c>
      <c r="AK1601">
        <v>31.0520524711565</v>
      </c>
      <c r="AL1601">
        <v>84.155664683539101</v>
      </c>
      <c r="AM1601">
        <v>75.093251180743806</v>
      </c>
      <c r="AN1601">
        <v>0.99999997244793404</v>
      </c>
    </row>
    <row r="1602" spans="1:40" x14ac:dyDescent="0.25">
      <c r="A1602" t="str">
        <f>"20190312164019469"</f>
        <v>20190312164019469</v>
      </c>
      <c r="B1602" t="str">
        <f>"1552380019457422"</f>
        <v>1552380019457422</v>
      </c>
      <c r="C1602" t="s">
        <v>40</v>
      </c>
      <c r="D1602">
        <v>6.4718640000000001</v>
      </c>
      <c r="E1602">
        <v>0.49979760000000001</v>
      </c>
      <c r="F1602" t="s">
        <v>41</v>
      </c>
      <c r="G1602">
        <v>-191.85749999999999</v>
      </c>
      <c r="H1602" s="1">
        <v>-3.4245430000000001E-6</v>
      </c>
      <c r="I1602">
        <v>326.41980000000001</v>
      </c>
      <c r="J1602">
        <v>-191.49799999999999</v>
      </c>
      <c r="K1602">
        <v>1.1056569999999999</v>
      </c>
      <c r="L1602">
        <v>351.86630000000002</v>
      </c>
      <c r="M1602">
        <v>0.22709029999999999</v>
      </c>
      <c r="N1602">
        <v>0</v>
      </c>
      <c r="O1602">
        <v>-0.97376980000000002</v>
      </c>
      <c r="P1602">
        <v>-2.4547759999999998E-2</v>
      </c>
      <c r="Q1602">
        <v>8.9676569999999997E-2</v>
      </c>
      <c r="R1602">
        <v>-0.99566880000000002</v>
      </c>
      <c r="S1602">
        <v>-3.8085939999999999E-2</v>
      </c>
      <c r="T1602">
        <v>-0.13041340000000001</v>
      </c>
      <c r="U1602">
        <v>-3.024384</v>
      </c>
      <c r="V1602">
        <v>0.25124629999999998</v>
      </c>
      <c r="W1602">
        <v>0.100412</v>
      </c>
      <c r="X1602">
        <v>0.96270069999999996</v>
      </c>
      <c r="Y1602">
        <v>0.23934440000000001</v>
      </c>
      <c r="Z1602">
        <v>4.0763960000000002E-2</v>
      </c>
      <c r="AA1602">
        <v>0.97007860000000001</v>
      </c>
      <c r="AB1602">
        <v>20</v>
      </c>
      <c r="AC1602">
        <v>-0.35949999999999699</v>
      </c>
      <c r="AD1602">
        <v>-1.105660424543</v>
      </c>
      <c r="AE1602">
        <v>-25.4465</v>
      </c>
      <c r="AF1602">
        <v>6.1177960913629397</v>
      </c>
      <c r="AG1602">
        <v>-1.105660424543</v>
      </c>
      <c r="AH1602">
        <v>24.653358973886501</v>
      </c>
      <c r="AI1602">
        <v>92.492401068931599</v>
      </c>
      <c r="AJ1602">
        <v>76.063419502445996</v>
      </c>
      <c r="AK1602">
        <v>25.4251454801189</v>
      </c>
      <c r="AL1602">
        <v>84.237103987310803</v>
      </c>
      <c r="AM1602">
        <v>75.373164483033605</v>
      </c>
      <c r="AN1602">
        <v>0.99999995539408904</v>
      </c>
    </row>
    <row r="1603" spans="1:40" x14ac:dyDescent="0.25">
      <c r="A1603" t="str">
        <f>"20190312164019493"</f>
        <v>20190312164019493</v>
      </c>
      <c r="B1603" t="str">
        <f>"1552380019487674"</f>
        <v>1552380019487674</v>
      </c>
      <c r="C1603" t="s">
        <v>40</v>
      </c>
      <c r="D1603">
        <v>6.0574029999999999</v>
      </c>
      <c r="E1603">
        <v>0.4993841</v>
      </c>
      <c r="F1603" t="s">
        <v>41</v>
      </c>
      <c r="G1603">
        <v>-191.94800000000001</v>
      </c>
      <c r="H1603" s="1">
        <v>-3.0059579999999998E-6</v>
      </c>
      <c r="I1603">
        <v>325.3879</v>
      </c>
      <c r="J1603">
        <v>-191.45959999999999</v>
      </c>
      <c r="K1603">
        <v>1.105661</v>
      </c>
      <c r="L1603">
        <v>351.65159999999997</v>
      </c>
      <c r="M1603">
        <v>0.21770310000000001</v>
      </c>
      <c r="N1603">
        <v>0</v>
      </c>
      <c r="O1603">
        <v>-0.97591159999999999</v>
      </c>
      <c r="P1603">
        <v>-2.9366529999999998E-2</v>
      </c>
      <c r="Q1603">
        <v>8.8278099999999998E-2</v>
      </c>
      <c r="R1603">
        <v>-0.99566290000000002</v>
      </c>
      <c r="S1603">
        <v>-5.137634E-2</v>
      </c>
      <c r="T1603">
        <v>-0.12623719999999999</v>
      </c>
      <c r="U1603">
        <v>-3.0231319999999999</v>
      </c>
      <c r="V1603">
        <v>0.24663460000000001</v>
      </c>
      <c r="W1603">
        <v>9.9075899999999995E-2</v>
      </c>
      <c r="X1603">
        <v>0.96403079999999997</v>
      </c>
      <c r="Y1603">
        <v>0.23426169999999999</v>
      </c>
      <c r="Z1603">
        <v>3.9635539999999997E-2</v>
      </c>
      <c r="AA1603">
        <v>0.97136529999999999</v>
      </c>
      <c r="AB1603">
        <v>20</v>
      </c>
      <c r="AC1603">
        <v>-0.48839999999998401</v>
      </c>
      <c r="AD1603">
        <v>-1.1056640059580001</v>
      </c>
      <c r="AE1603">
        <v>-26.263699999999901</v>
      </c>
      <c r="AF1603">
        <v>6.18399353866476</v>
      </c>
      <c r="AG1603">
        <v>-1.1056640059580001</v>
      </c>
      <c r="AH1603">
        <v>25.4821543956872</v>
      </c>
      <c r="AI1603">
        <v>92.414495368218397</v>
      </c>
      <c r="AJ1603">
        <v>76.359198833239105</v>
      </c>
      <c r="AK1603">
        <v>26.245084523124699</v>
      </c>
      <c r="AL1603">
        <v>84.314040937536006</v>
      </c>
      <c r="AM1603">
        <v>75.649436844448999</v>
      </c>
      <c r="AN1603">
        <v>1.0000000216133</v>
      </c>
    </row>
    <row r="1604" spans="1:40" x14ac:dyDescent="0.25">
      <c r="A1604" t="str">
        <f>"20190312164019516"</f>
        <v>20190312164019516</v>
      </c>
      <c r="B1604" t="str">
        <f>"1552380019508171"</f>
        <v>1552380019508171</v>
      </c>
      <c r="C1604" t="s">
        <v>40</v>
      </c>
      <c r="D1604">
        <v>6.1725079999999997</v>
      </c>
      <c r="E1604">
        <v>0.49885109999999999</v>
      </c>
      <c r="F1604" t="s">
        <v>41</v>
      </c>
      <c r="G1604">
        <v>-191.9299</v>
      </c>
      <c r="H1604" s="1">
        <v>-4.33259E-6</v>
      </c>
      <c r="I1604">
        <v>328.7124</v>
      </c>
      <c r="J1604">
        <v>-191.42420000000001</v>
      </c>
      <c r="K1604">
        <v>1.1056760000000001</v>
      </c>
      <c r="L1604">
        <v>351.44199999999898</v>
      </c>
      <c r="M1604">
        <v>0.2085378</v>
      </c>
      <c r="N1604">
        <v>0</v>
      </c>
      <c r="O1604">
        <v>-0.97791139999999999</v>
      </c>
      <c r="P1604">
        <v>-3.379977E-2</v>
      </c>
      <c r="Q1604">
        <v>8.6581350000000001E-2</v>
      </c>
      <c r="R1604">
        <v>-0.99567119999999998</v>
      </c>
      <c r="S1604">
        <v>-6.1996460000000003E-2</v>
      </c>
      <c r="T1604">
        <v>-0.1457627</v>
      </c>
      <c r="U1604">
        <v>-3.0241389999999999</v>
      </c>
      <c r="V1604">
        <v>0.2418814</v>
      </c>
      <c r="W1604">
        <v>9.7441609999999998E-2</v>
      </c>
      <c r="X1604">
        <v>0.9654007</v>
      </c>
      <c r="Y1604">
        <v>0.22853519999999999</v>
      </c>
      <c r="Z1604">
        <v>4.5913339999999997E-2</v>
      </c>
      <c r="AA1604">
        <v>0.97245239999999999</v>
      </c>
      <c r="AB1604">
        <v>20</v>
      </c>
      <c r="AC1604">
        <v>-0.50569999999999005</v>
      </c>
      <c r="AD1604">
        <v>-1.10568033259</v>
      </c>
      <c r="AE1604">
        <v>-22.729599999999898</v>
      </c>
      <c r="AF1604">
        <v>5.22268496435969</v>
      </c>
      <c r="AG1604">
        <v>-1.10568033259</v>
      </c>
      <c r="AH1604">
        <v>22.072100026401699</v>
      </c>
      <c r="AI1604">
        <v>92.790842108290803</v>
      </c>
      <c r="AJ1604">
        <v>76.687556828782604</v>
      </c>
      <c r="AK1604">
        <v>22.7085130911363</v>
      </c>
      <c r="AL1604">
        <v>84.408134044835506</v>
      </c>
      <c r="AM1604">
        <v>75.934087162076807</v>
      </c>
      <c r="AN1604">
        <v>0.99999999529292005</v>
      </c>
    </row>
    <row r="1605" spans="1:40" x14ac:dyDescent="0.25">
      <c r="A1605" t="str">
        <f>"20190312164019536"</f>
        <v>20190312164019536</v>
      </c>
      <c r="B1605" t="str">
        <f>"1552380019527690"</f>
        <v>1552380019527690</v>
      </c>
      <c r="C1605" t="s">
        <v>40</v>
      </c>
      <c r="D1605">
        <v>6.3941339999999904</v>
      </c>
      <c r="E1605">
        <v>0.49860359999999998</v>
      </c>
      <c r="F1605" t="s">
        <v>41</v>
      </c>
      <c r="G1605">
        <v>-191.9907</v>
      </c>
      <c r="H1605" s="1">
        <v>-3.9980469999999999E-6</v>
      </c>
      <c r="I1605">
        <v>327.69760000000002</v>
      </c>
      <c r="J1605">
        <v>-191.3947</v>
      </c>
      <c r="K1605">
        <v>1.105688</v>
      </c>
      <c r="L1605">
        <v>351.25749999999999</v>
      </c>
      <c r="M1605">
        <v>0.20048340000000001</v>
      </c>
      <c r="N1605">
        <v>0</v>
      </c>
      <c r="O1605">
        <v>-0.97959470000000004</v>
      </c>
      <c r="P1605">
        <v>-3.7774660000000002E-2</v>
      </c>
      <c r="Q1605">
        <v>8.6220619999999998E-2</v>
      </c>
      <c r="R1605">
        <v>-0.99555990000000005</v>
      </c>
      <c r="S1605">
        <v>-7.2128300000000006E-2</v>
      </c>
      <c r="T1605">
        <v>-0.14076069999999999</v>
      </c>
      <c r="U1605">
        <v>-3.0228269999999999</v>
      </c>
      <c r="V1605">
        <v>0.2377813</v>
      </c>
      <c r="W1605">
        <v>9.7137879999999996E-2</v>
      </c>
      <c r="X1605">
        <v>0.96644929999999996</v>
      </c>
      <c r="Y1605">
        <v>0.2237895</v>
      </c>
      <c r="Z1605">
        <v>4.4501720000000002E-2</v>
      </c>
      <c r="AA1605">
        <v>0.97362099999999996</v>
      </c>
      <c r="AB1605">
        <v>20</v>
      </c>
      <c r="AC1605">
        <v>-0.59600000000000297</v>
      </c>
      <c r="AD1605">
        <v>-1.1056919980469999</v>
      </c>
      <c r="AE1605">
        <v>-23.559899999999899</v>
      </c>
      <c r="AF1605">
        <v>5.2960824595589804</v>
      </c>
      <c r="AG1605">
        <v>-1.1056919980469999</v>
      </c>
      <c r="AH1605">
        <v>22.9115375813608</v>
      </c>
      <c r="AI1605">
        <v>92.692028033926505</v>
      </c>
      <c r="AJ1605">
        <v>76.984480335007206</v>
      </c>
      <c r="AK1605">
        <v>23.5416566654749</v>
      </c>
      <c r="AL1605">
        <v>84.425619366255404</v>
      </c>
      <c r="AM1605">
        <v>76.177716658229002</v>
      </c>
      <c r="AN1605">
        <v>0.99999998191553696</v>
      </c>
    </row>
    <row r="1606" spans="1:40" x14ac:dyDescent="0.25">
      <c r="A1606" t="str">
        <f>"20190312164019559"</f>
        <v>20190312164019559</v>
      </c>
      <c r="B1606" t="str">
        <f>"1552380019548186"</f>
        <v>1552380019548186</v>
      </c>
      <c r="C1606" t="s">
        <v>40</v>
      </c>
      <c r="D1606">
        <v>5.8341459999999996</v>
      </c>
      <c r="E1606">
        <v>0.49827860000000002</v>
      </c>
      <c r="F1606" t="s">
        <v>41</v>
      </c>
      <c r="G1606">
        <v>-192.0155</v>
      </c>
      <c r="H1606" s="1">
        <v>-4.2282880000000003E-6</v>
      </c>
      <c r="I1606">
        <v>328.36130000000003</v>
      </c>
      <c r="J1606">
        <v>-191.36359999999999</v>
      </c>
      <c r="K1606">
        <v>1.10572</v>
      </c>
      <c r="L1606">
        <v>351.05119999999999</v>
      </c>
      <c r="M1606">
        <v>0.1914942</v>
      </c>
      <c r="N1606">
        <v>0</v>
      </c>
      <c r="O1606">
        <v>-0.98139169999999998</v>
      </c>
      <c r="P1606">
        <v>-4.2375749999999997E-2</v>
      </c>
      <c r="Q1606">
        <v>8.6149039999999996E-2</v>
      </c>
      <c r="R1606">
        <v>-0.99538079999999995</v>
      </c>
      <c r="S1606">
        <v>-8.1954959999999993E-2</v>
      </c>
      <c r="T1606">
        <v>-0.14597929999999901</v>
      </c>
      <c r="U1606">
        <v>-3.022888</v>
      </c>
      <c r="V1606">
        <v>0.2333731</v>
      </c>
      <c r="W1606">
        <v>9.7132679999999999E-2</v>
      </c>
      <c r="X1606">
        <v>0.96752380000000004</v>
      </c>
      <c r="Y1606">
        <v>0.2180106</v>
      </c>
      <c r="Z1606">
        <v>4.6306550000000002E-2</v>
      </c>
      <c r="AA1606">
        <v>0.97484720000000002</v>
      </c>
      <c r="AB1606">
        <v>20</v>
      </c>
      <c r="AC1606">
        <v>-0.65190000000001103</v>
      </c>
      <c r="AD1606">
        <v>-1.105724228288</v>
      </c>
      <c r="AE1606">
        <v>-22.689899999999898</v>
      </c>
      <c r="AF1606">
        <v>4.97345155156885</v>
      </c>
      <c r="AG1606">
        <v>-1.105724228288</v>
      </c>
      <c r="AH1606">
        <v>22.0926399285819</v>
      </c>
      <c r="AI1606">
        <v>92.795388776293294</v>
      </c>
      <c r="AJ1606">
        <v>77.313179976807405</v>
      </c>
      <c r="AK1606">
        <v>22.672507259207102</v>
      </c>
      <c r="AL1606">
        <v>84.425919002460006</v>
      </c>
      <c r="AM1606">
        <v>76.438918211660805</v>
      </c>
      <c r="AN1606">
        <v>1.00000003244701</v>
      </c>
    </row>
    <row r="1607" spans="1:40" x14ac:dyDescent="0.25">
      <c r="A1607" t="str">
        <f>"20190312164019580"</f>
        <v>20190312164019580</v>
      </c>
      <c r="B1607" t="str">
        <f>"1552380019577467"</f>
        <v>1552380019577467</v>
      </c>
      <c r="C1607" t="s">
        <v>40</v>
      </c>
      <c r="D1607">
        <v>5.9632129999999997</v>
      </c>
      <c r="E1607">
        <v>0.49774200000000002</v>
      </c>
      <c r="F1607" t="s">
        <v>41</v>
      </c>
      <c r="G1607">
        <v>-192.05850000000001</v>
      </c>
      <c r="H1607" s="1">
        <v>-4.2177710000000003E-6</v>
      </c>
      <c r="I1607">
        <v>328.30790000000002</v>
      </c>
      <c r="J1607">
        <v>-191.33770000000001</v>
      </c>
      <c r="K1607">
        <v>1.105753</v>
      </c>
      <c r="L1607">
        <v>350.86900000000003</v>
      </c>
      <c r="M1607">
        <v>0.18358169999999999</v>
      </c>
      <c r="N1607">
        <v>0</v>
      </c>
      <c r="O1607">
        <v>-0.98290279999999997</v>
      </c>
      <c r="P1607">
        <v>-4.533852E-2</v>
      </c>
      <c r="Q1607">
        <v>8.6021249999999994E-2</v>
      </c>
      <c r="R1607">
        <v>-0.99526119999999996</v>
      </c>
      <c r="S1607">
        <v>-9.2361449999999998E-2</v>
      </c>
      <c r="T1607">
        <v>-0.14695659999999999</v>
      </c>
      <c r="U1607">
        <v>-3.0227050000000002</v>
      </c>
      <c r="V1607">
        <v>0.22844120000000001</v>
      </c>
      <c r="W1607">
        <v>9.7082829999999995E-2</v>
      </c>
      <c r="X1607">
        <v>0.96870509999999999</v>
      </c>
      <c r="Y1607">
        <v>0.21350040000000001</v>
      </c>
      <c r="Z1607">
        <v>4.6750529999999998E-2</v>
      </c>
      <c r="AA1607">
        <v>0.97582380000000002</v>
      </c>
      <c r="AB1607">
        <v>20</v>
      </c>
      <c r="AC1607">
        <v>-0.720799999999997</v>
      </c>
      <c r="AD1607">
        <v>-1.105757217771</v>
      </c>
      <c r="AE1607">
        <v>-22.5611</v>
      </c>
      <c r="AF1607">
        <v>4.8391536650258802</v>
      </c>
      <c r="AG1607">
        <v>-1.105757217771</v>
      </c>
      <c r="AH1607">
        <v>21.9924703896525</v>
      </c>
      <c r="AI1607">
        <v>92.811207088721204</v>
      </c>
      <c r="AJ1607">
        <v>77.590568214797102</v>
      </c>
      <c r="AK1607">
        <v>22.5457060447911</v>
      </c>
      <c r="AL1607">
        <v>84.428788658122599</v>
      </c>
      <c r="AM1607">
        <v>76.730868047364595</v>
      </c>
      <c r="AN1607">
        <v>1.0000000142521199</v>
      </c>
    </row>
    <row r="1608" spans="1:40" x14ac:dyDescent="0.25">
      <c r="A1608" t="str">
        <f>"20190312164019602"</f>
        <v>20190312164019602</v>
      </c>
      <c r="B1608" t="str">
        <f>"1552380019597962"</f>
        <v>1552380019597962</v>
      </c>
      <c r="C1608" t="s">
        <v>40</v>
      </c>
      <c r="D1608">
        <v>5.981312</v>
      </c>
      <c r="E1608">
        <v>0.4976701</v>
      </c>
      <c r="F1608" t="s">
        <v>41</v>
      </c>
      <c r="G1608">
        <v>-192.02600000000001</v>
      </c>
      <c r="H1608" s="1">
        <v>-4.551056E-6</v>
      </c>
      <c r="I1608">
        <v>329.30430000000001</v>
      </c>
      <c r="J1608">
        <v>-191.31039999999999</v>
      </c>
      <c r="K1608">
        <v>1.1057920000000001</v>
      </c>
      <c r="L1608">
        <v>350.66419999999999</v>
      </c>
      <c r="M1608">
        <v>0.1747235</v>
      </c>
      <c r="N1608">
        <v>0</v>
      </c>
      <c r="O1608">
        <v>-0.98451630000000001</v>
      </c>
      <c r="P1608">
        <v>-4.8598799999999998E-2</v>
      </c>
      <c r="Q1608">
        <v>8.4866699999999906E-2</v>
      </c>
      <c r="R1608">
        <v>-0.99520640000000005</v>
      </c>
      <c r="S1608">
        <v>-9.6496579999999998E-2</v>
      </c>
      <c r="T1608">
        <v>-0.15502099999999999</v>
      </c>
      <c r="U1608">
        <v>-3.0232540000000001</v>
      </c>
      <c r="V1608">
        <v>0.22287409999999999</v>
      </c>
      <c r="W1608">
        <v>9.6017820000000004E-2</v>
      </c>
      <c r="X1608">
        <v>0.9701071</v>
      </c>
      <c r="Y1608">
        <v>0.20602090000000001</v>
      </c>
      <c r="Z1608">
        <v>4.9464580000000001E-2</v>
      </c>
      <c r="AA1608">
        <v>0.97729659999999996</v>
      </c>
      <c r="AB1608">
        <v>20</v>
      </c>
      <c r="AC1608">
        <v>-0.71559999999999402</v>
      </c>
      <c r="AD1608">
        <v>-1.1057965510559999</v>
      </c>
      <c r="AE1608">
        <v>-21.3598999999999</v>
      </c>
      <c r="AF1608">
        <v>4.4251919551339602</v>
      </c>
      <c r="AG1608">
        <v>-1.1057965510559999</v>
      </c>
      <c r="AH1608">
        <v>20.8504029010371</v>
      </c>
      <c r="AI1608">
        <v>92.969798507611202</v>
      </c>
      <c r="AJ1608">
        <v>78.017611248460895</v>
      </c>
      <c r="AK1608">
        <v>21.343486383149401</v>
      </c>
      <c r="AL1608">
        <v>84.490095777613703</v>
      </c>
      <c r="AM1608">
        <v>77.061289658314905</v>
      </c>
      <c r="AN1608">
        <v>1.0000000358393799</v>
      </c>
    </row>
    <row r="1609" spans="1:40" x14ac:dyDescent="0.25">
      <c r="A1609" t="str">
        <f>"20190312164019626"</f>
        <v>20190312164019626</v>
      </c>
      <c r="B1609" t="str">
        <f>"1552380019617482"</f>
        <v>1552380019617482</v>
      </c>
      <c r="C1609" t="s">
        <v>40</v>
      </c>
      <c r="D1609">
        <v>5.8543349999999998</v>
      </c>
      <c r="E1609">
        <v>0.49703229999999998</v>
      </c>
      <c r="F1609" t="s">
        <v>41</v>
      </c>
      <c r="G1609">
        <v>-192.13659999999999</v>
      </c>
      <c r="H1609" s="1">
        <v>-3.8889119999999996E-6</v>
      </c>
      <c r="I1609">
        <v>327.32909999999998</v>
      </c>
      <c r="J1609">
        <v>-191.28450000000001</v>
      </c>
      <c r="K1609">
        <v>1.1058380000000001</v>
      </c>
      <c r="L1609">
        <v>350.45670000000001</v>
      </c>
      <c r="M1609">
        <v>0.1658017</v>
      </c>
      <c r="N1609">
        <v>0</v>
      </c>
      <c r="O1609">
        <v>-0.98605849999999995</v>
      </c>
      <c r="P1609">
        <v>-5.2424360000000003E-2</v>
      </c>
      <c r="Q1609">
        <v>8.4476490000000001E-2</v>
      </c>
      <c r="R1609">
        <v>-0.99504559999999997</v>
      </c>
      <c r="S1609">
        <v>-0.1069794</v>
      </c>
      <c r="T1609">
        <v>-0.14317849999999999</v>
      </c>
      <c r="U1609">
        <v>-3.021423</v>
      </c>
      <c r="V1609">
        <v>0.21779879999999999</v>
      </c>
      <c r="W1609">
        <v>9.5709760000000005E-2</v>
      </c>
      <c r="X1609">
        <v>0.97128950000000003</v>
      </c>
      <c r="Y1609">
        <v>0.20056959999999999</v>
      </c>
      <c r="Z1609">
        <v>4.5855760000000002E-2</v>
      </c>
      <c r="AA1609">
        <v>0.97860570000000002</v>
      </c>
      <c r="AB1609">
        <v>20</v>
      </c>
      <c r="AC1609">
        <v>-0.85209999999997799</v>
      </c>
      <c r="AD1609">
        <v>-1.1058418889120001</v>
      </c>
      <c r="AE1609">
        <v>-23.127600000000001</v>
      </c>
      <c r="AF1609">
        <v>4.6646296449951299</v>
      </c>
      <c r="AG1609">
        <v>-1.1058418889120001</v>
      </c>
      <c r="AH1609">
        <v>22.614503412128599</v>
      </c>
      <c r="AI1609">
        <v>92.741885202833302</v>
      </c>
      <c r="AJ1609">
        <v>78.345215728576704</v>
      </c>
      <c r="AK1609">
        <v>23.117037452610901</v>
      </c>
      <c r="AL1609">
        <v>84.507827696338097</v>
      </c>
      <c r="AM1609">
        <v>77.361247148853295</v>
      </c>
      <c r="AN1609">
        <v>0.99999998412547297</v>
      </c>
    </row>
    <row r="1610" spans="1:40" x14ac:dyDescent="0.25">
      <c r="A1610" t="str">
        <f>"20190312164019647"</f>
        <v>20190312164019647</v>
      </c>
      <c r="B1610" t="str">
        <f>"1552380019637982"</f>
        <v>1552380019637982</v>
      </c>
      <c r="C1610" t="s">
        <v>40</v>
      </c>
      <c r="D1610">
        <v>5.7658969999999998</v>
      </c>
      <c r="E1610">
        <v>0.49675799999999998</v>
      </c>
      <c r="F1610" t="s">
        <v>41</v>
      </c>
      <c r="G1610">
        <v>-192.1233</v>
      </c>
      <c r="H1610" s="1">
        <v>-4.1379730000000003E-6</v>
      </c>
      <c r="I1610">
        <v>328.03969999999998</v>
      </c>
      <c r="J1610">
        <v>-191.262</v>
      </c>
      <c r="K1610">
        <v>1.1059000000000001</v>
      </c>
      <c r="L1610">
        <v>350.26319999999998</v>
      </c>
      <c r="M1610">
        <v>0.15754570000000001</v>
      </c>
      <c r="N1610">
        <v>0</v>
      </c>
      <c r="O1610">
        <v>-0.98741159999999994</v>
      </c>
      <c r="P1610">
        <v>-5.5554260000000001E-2</v>
      </c>
      <c r="Q1610">
        <v>8.4473270000000003E-2</v>
      </c>
      <c r="R1610">
        <v>-0.99487599999999998</v>
      </c>
      <c r="S1610">
        <v>-0.113052399999999</v>
      </c>
      <c r="T1610">
        <v>-0.14905550000000001</v>
      </c>
      <c r="U1610">
        <v>-3.021576</v>
      </c>
      <c r="V1610">
        <v>0.21270530000000001</v>
      </c>
      <c r="W1610">
        <v>9.5789979999999997E-2</v>
      </c>
      <c r="X1610">
        <v>0.97240979999999999</v>
      </c>
      <c r="Y1610">
        <v>0.19432779999999999</v>
      </c>
      <c r="Z1610">
        <v>4.7860369999999999E-2</v>
      </c>
      <c r="AA1610">
        <v>0.97976839999999998</v>
      </c>
      <c r="AB1610">
        <v>20</v>
      </c>
      <c r="AC1610">
        <v>-0.86129999999999995</v>
      </c>
      <c r="AD1610">
        <v>-1.1059041379729999</v>
      </c>
      <c r="AE1610">
        <v>-22.223500000000001</v>
      </c>
      <c r="AF1610">
        <v>4.3413700892572402</v>
      </c>
      <c r="AG1610">
        <v>-1.1059041379729999</v>
      </c>
      <c r="AH1610">
        <v>21.756408025769002</v>
      </c>
      <c r="AI1610">
        <v>92.853743427174393</v>
      </c>
      <c r="AJ1610">
        <v>78.715167900518793</v>
      </c>
      <c r="AK1610">
        <v>22.212874834159301</v>
      </c>
      <c r="AL1610">
        <v>84.503210532712998</v>
      </c>
      <c r="AM1610">
        <v>77.661438128391396</v>
      </c>
      <c r="AN1610">
        <v>1.00000004202626</v>
      </c>
    </row>
    <row r="1611" spans="1:40" x14ac:dyDescent="0.25">
      <c r="A1611" t="str">
        <f>"20190312164019669"</f>
        <v>20190312164019669</v>
      </c>
      <c r="B1611" t="str">
        <f>"1552380019657503"</f>
        <v>1552380019657503</v>
      </c>
      <c r="C1611" t="s">
        <v>40</v>
      </c>
      <c r="D1611">
        <v>5.8490570000000002</v>
      </c>
      <c r="E1611">
        <v>0.49643039999999999</v>
      </c>
      <c r="F1611" t="s">
        <v>41</v>
      </c>
      <c r="G1611">
        <v>-192.12950000000001</v>
      </c>
      <c r="H1611" s="1">
        <v>-4.2634450000000003E-6</v>
      </c>
      <c r="I1611">
        <v>328.40519999999998</v>
      </c>
      <c r="J1611">
        <v>-191.2414</v>
      </c>
      <c r="K1611">
        <v>1.1059680000000001</v>
      </c>
      <c r="L1611">
        <v>350.07299999999998</v>
      </c>
      <c r="M1611">
        <v>0.1495117</v>
      </c>
      <c r="N1611">
        <v>0</v>
      </c>
      <c r="O1611">
        <v>-0.98865990000000004</v>
      </c>
      <c r="P1611">
        <v>-5.8266070000000003E-2</v>
      </c>
      <c r="Q1611">
        <v>8.3391380000000001E-2</v>
      </c>
      <c r="R1611">
        <v>-0.99481189999999997</v>
      </c>
      <c r="S1611">
        <v>-0.11991880000000001</v>
      </c>
      <c r="T1611">
        <v>-0.15288209999999999</v>
      </c>
      <c r="U1611">
        <v>-3.0216980000000002</v>
      </c>
      <c r="V1611">
        <v>0.207426</v>
      </c>
      <c r="W1611">
        <v>9.4798869999999993E-2</v>
      </c>
      <c r="X1611">
        <v>0.97364660000000003</v>
      </c>
      <c r="Y1611">
        <v>0.1885674</v>
      </c>
      <c r="Z1611">
        <v>4.9204869999999998E-2</v>
      </c>
      <c r="AA1611">
        <v>0.9808268</v>
      </c>
      <c r="AB1611">
        <v>20</v>
      </c>
      <c r="AC1611">
        <v>-0.88810000000000799</v>
      </c>
      <c r="AD1611">
        <v>-1.105972263445</v>
      </c>
      <c r="AE1611">
        <v>-21.6678</v>
      </c>
      <c r="AF1611">
        <v>4.1073429331109796</v>
      </c>
      <c r="AG1611">
        <v>-1.105972263445</v>
      </c>
      <c r="AH1611">
        <v>21.236176077503298</v>
      </c>
      <c r="AI1611">
        <v>92.927100339080098</v>
      </c>
      <c r="AJ1611">
        <v>79.053439500988006</v>
      </c>
      <c r="AK1611">
        <v>21.657991943216</v>
      </c>
      <c r="AL1611">
        <v>84.560256531380404</v>
      </c>
      <c r="AM1611">
        <v>77.9734824997511</v>
      </c>
      <c r="AN1611">
        <v>1.00000003646041</v>
      </c>
    </row>
    <row r="1612" spans="1:40" x14ac:dyDescent="0.25">
      <c r="A1612" t="str">
        <f>"20190312164019694"</f>
        <v>20190312164019694</v>
      </c>
      <c r="B1612" t="str">
        <f>"1552380019687755"</f>
        <v>1552380019687755</v>
      </c>
      <c r="C1612" t="s">
        <v>40</v>
      </c>
      <c r="D1612">
        <v>5.8406909999999996</v>
      </c>
      <c r="E1612">
        <v>0.49552970000000002</v>
      </c>
      <c r="F1612" t="s">
        <v>41</v>
      </c>
      <c r="G1612">
        <v>-192.1045</v>
      </c>
      <c r="H1612" s="1">
        <v>-4.5437779999999901E-6</v>
      </c>
      <c r="I1612">
        <v>329.24189999999999</v>
      </c>
      <c r="J1612">
        <v>-191.21879999999999</v>
      </c>
      <c r="K1612">
        <v>1.106058</v>
      </c>
      <c r="L1612">
        <v>349.84649999999999</v>
      </c>
      <c r="M1612">
        <v>0.1400612</v>
      </c>
      <c r="N1612">
        <v>0</v>
      </c>
      <c r="O1612">
        <v>-0.99004349999999997</v>
      </c>
      <c r="P1612">
        <v>-6.171492E-2</v>
      </c>
      <c r="Q1612">
        <v>8.2723099999999994E-2</v>
      </c>
      <c r="R1612">
        <v>-0.99466010000000005</v>
      </c>
      <c r="S1612">
        <v>-0.12519839999999999</v>
      </c>
      <c r="T1612">
        <v>-0.1604323</v>
      </c>
      <c r="U1612">
        <v>-3.0217589999999999</v>
      </c>
      <c r="V1612">
        <v>0.2014696</v>
      </c>
      <c r="W1612">
        <v>9.4235410000000006E-2</v>
      </c>
      <c r="X1612">
        <v>0.97495109999999996</v>
      </c>
      <c r="Y1612">
        <v>0.18088589999999999</v>
      </c>
      <c r="Z1612">
        <v>5.1773710000000001E-2</v>
      </c>
      <c r="AA1612">
        <v>0.98214040000000002</v>
      </c>
      <c r="AB1612">
        <v>20</v>
      </c>
      <c r="AC1612">
        <v>-0.88570000000001403</v>
      </c>
      <c r="AD1612">
        <v>-1.1060625437780001</v>
      </c>
      <c r="AE1612">
        <v>-20.604600000000001</v>
      </c>
      <c r="AF1612">
        <v>3.7523639053883202</v>
      </c>
      <c r="AG1612">
        <v>-1.1060625437780001</v>
      </c>
      <c r="AH1612">
        <v>20.219236829985299</v>
      </c>
      <c r="AI1612">
        <v>93.0786928410093</v>
      </c>
      <c r="AJ1612">
        <v>79.486439860484396</v>
      </c>
      <c r="AK1612">
        <v>20.594201786334001</v>
      </c>
      <c r="AL1612">
        <v>84.592685280586196</v>
      </c>
      <c r="AM1612">
        <v>78.324405956280302</v>
      </c>
      <c r="AN1612">
        <v>0.99999997980661803</v>
      </c>
    </row>
    <row r="1613" spans="1:40" x14ac:dyDescent="0.25">
      <c r="A1613" t="str">
        <f>"20190312164019716"</f>
        <v>20190312164019716</v>
      </c>
      <c r="B1613" t="str">
        <f>"1552380019707274"</f>
        <v>1552380019707274</v>
      </c>
      <c r="C1613" t="s">
        <v>40</v>
      </c>
      <c r="D1613">
        <v>5.9629029999999998</v>
      </c>
      <c r="E1613">
        <v>0.49504999999999999</v>
      </c>
      <c r="F1613" t="s">
        <v>41</v>
      </c>
      <c r="G1613">
        <v>-192.0368</v>
      </c>
      <c r="H1613" s="1">
        <v>-9.5943229999999993E-7</v>
      </c>
      <c r="I1613">
        <v>330.56229999999999</v>
      </c>
      <c r="J1613">
        <v>-191.2013</v>
      </c>
      <c r="K1613">
        <v>1.106149</v>
      </c>
      <c r="L1613">
        <v>349.6567</v>
      </c>
      <c r="M1613">
        <v>0.13225770000000001</v>
      </c>
      <c r="N1613">
        <v>0</v>
      </c>
      <c r="O1613">
        <v>-0.99111640000000001</v>
      </c>
      <c r="P1613">
        <v>-6.0596369999999997E-2</v>
      </c>
      <c r="Q1613">
        <v>8.2933480000000004E-2</v>
      </c>
      <c r="R1613">
        <v>-0.99471100000000001</v>
      </c>
      <c r="S1613">
        <v>-0.12821959999999999</v>
      </c>
      <c r="T1613">
        <v>-0.1733624</v>
      </c>
      <c r="U1613">
        <v>-3.022583</v>
      </c>
      <c r="V1613">
        <v>0.19265399999999999</v>
      </c>
      <c r="W1613">
        <v>9.4585279999999994E-2</v>
      </c>
      <c r="X1613">
        <v>0.9766975</v>
      </c>
      <c r="Y1613">
        <v>0.174093</v>
      </c>
      <c r="Z1613">
        <v>5.6044160000000003E-2</v>
      </c>
      <c r="AA1613">
        <v>0.98313309999999998</v>
      </c>
      <c r="AB1613">
        <v>20</v>
      </c>
      <c r="AC1613">
        <v>-0.83549999999999602</v>
      </c>
      <c r="AD1613">
        <v>-1.1061499594323001</v>
      </c>
      <c r="AE1613">
        <v>-19.0944</v>
      </c>
      <c r="AF1613">
        <v>3.3425920240220099</v>
      </c>
      <c r="AG1613">
        <v>-1.1061499594323001</v>
      </c>
      <c r="AH1613">
        <v>18.7533025143217</v>
      </c>
      <c r="AI1613">
        <v>93.323380652613693</v>
      </c>
      <c r="AJ1613">
        <v>79.893722018814898</v>
      </c>
      <c r="AK1613">
        <v>19.080955017122999</v>
      </c>
      <c r="AL1613">
        <v>84.572549226877896</v>
      </c>
      <c r="AM1613">
        <v>78.841626989997593</v>
      </c>
      <c r="AN1613">
        <v>0.99999997270746299</v>
      </c>
    </row>
    <row r="1614" spans="1:40" x14ac:dyDescent="0.25">
      <c r="A1614" t="str">
        <f>"20190312164019751"</f>
        <v>20190312164019751</v>
      </c>
      <c r="B1614" t="str">
        <f>"1552380019747290"</f>
        <v>1552380019747290</v>
      </c>
      <c r="C1614" t="s">
        <v>40</v>
      </c>
      <c r="D1614">
        <v>5.8192820000000003</v>
      </c>
      <c r="E1614">
        <v>0.4947163</v>
      </c>
      <c r="F1614" t="s">
        <v>41</v>
      </c>
      <c r="G1614">
        <v>-191.95519999999999</v>
      </c>
      <c r="H1614" s="1">
        <v>-1.0106610000000001E-6</v>
      </c>
      <c r="I1614">
        <v>330.73239999999998</v>
      </c>
      <c r="J1614">
        <v>-191.17580000000001</v>
      </c>
      <c r="K1614">
        <v>1.1062959999999999</v>
      </c>
      <c r="L1614">
        <v>349.34589999999997</v>
      </c>
      <c r="M1614">
        <v>0.11973979999999999</v>
      </c>
      <c r="N1614">
        <v>0</v>
      </c>
      <c r="O1614">
        <v>-0.99270700000000001</v>
      </c>
      <c r="P1614">
        <v>-6.3053529999999997E-2</v>
      </c>
      <c r="Q1614">
        <v>8.1505869999999994E-2</v>
      </c>
      <c r="R1614">
        <v>-0.99467649999999996</v>
      </c>
      <c r="S1614">
        <v>-0.12043760000000001</v>
      </c>
      <c r="T1614">
        <v>-0.17671619999999999</v>
      </c>
      <c r="U1614">
        <v>-3.0233150000000002</v>
      </c>
      <c r="V1614">
        <v>0.18268300000000001</v>
      </c>
      <c r="W1614">
        <v>9.3324870000000004E-2</v>
      </c>
      <c r="X1614">
        <v>0.97873250000000001</v>
      </c>
      <c r="Y1614">
        <v>0.15910759999999999</v>
      </c>
      <c r="Z1614">
        <v>5.7327110000000001E-2</v>
      </c>
      <c r="AA1614">
        <v>0.98559540000000001</v>
      </c>
      <c r="AB1614">
        <v>20</v>
      </c>
      <c r="AC1614">
        <v>-0.779399999999981</v>
      </c>
      <c r="AD1614">
        <v>-1.1062970106609999</v>
      </c>
      <c r="AE1614">
        <v>-18.613499999999899</v>
      </c>
      <c r="AF1614">
        <v>2.9922339849891801</v>
      </c>
      <c r="AG1614">
        <v>-1.1062970106609999</v>
      </c>
      <c r="AH1614">
        <v>18.321612464202001</v>
      </c>
      <c r="AI1614">
        <v>93.410369250110193</v>
      </c>
      <c r="AJ1614">
        <v>80.724503551479103</v>
      </c>
      <c r="AK1614">
        <v>18.597280462076299</v>
      </c>
      <c r="AL1614">
        <v>84.645086201526397</v>
      </c>
      <c r="AM1614">
        <v>79.427253473369703</v>
      </c>
      <c r="AN1614">
        <v>0.99999995820288201</v>
      </c>
    </row>
    <row r="1615" spans="1:40" x14ac:dyDescent="0.25">
      <c r="A1615" t="str">
        <f>"20190312164019771"</f>
        <v>20190312164019771</v>
      </c>
      <c r="B1615" t="str">
        <f>"1552380019767787"</f>
        <v>1552380019767787</v>
      </c>
      <c r="C1615" t="s">
        <v>40</v>
      </c>
      <c r="D1615">
        <v>5.8666839999999896</v>
      </c>
      <c r="E1615">
        <v>0.49459930000000002</v>
      </c>
      <c r="F1615" t="s">
        <v>41</v>
      </c>
      <c r="G1615">
        <v>-191.93530000000001</v>
      </c>
      <c r="H1615" s="1">
        <v>-1.1437059999999999E-6</v>
      </c>
      <c r="I1615">
        <v>331.0548</v>
      </c>
      <c r="J1615">
        <v>-191.16200000000001</v>
      </c>
      <c r="K1615">
        <v>1.106379</v>
      </c>
      <c r="L1615">
        <v>349.15780000000001</v>
      </c>
      <c r="M1615">
        <v>0.112312</v>
      </c>
      <c r="N1615">
        <v>0</v>
      </c>
      <c r="O1615">
        <v>-0.99357510000000004</v>
      </c>
      <c r="P1615">
        <v>-6.2716220000000003E-2</v>
      </c>
      <c r="Q1615">
        <v>8.0052520000000002E-2</v>
      </c>
      <c r="R1615">
        <v>-0.99481580000000003</v>
      </c>
      <c r="S1615">
        <v>-0.12553410000000001</v>
      </c>
      <c r="T1615">
        <v>-0.1828437</v>
      </c>
      <c r="U1615">
        <v>-3.0230709999999998</v>
      </c>
      <c r="V1615">
        <v>0.1749946</v>
      </c>
      <c r="W1615">
        <v>9.1987860000000005E-2</v>
      </c>
      <c r="X1615">
        <v>0.98026279999999999</v>
      </c>
      <c r="Y1615">
        <v>0.1533783</v>
      </c>
      <c r="Z1615">
        <v>5.9416440000000001E-2</v>
      </c>
      <c r="AA1615">
        <v>0.98637960000000002</v>
      </c>
      <c r="AB1615">
        <v>20</v>
      </c>
      <c r="AC1615">
        <v>-0.77330000000000598</v>
      </c>
      <c r="AD1615">
        <v>-1.1063801437059999</v>
      </c>
      <c r="AE1615">
        <v>-18.103000000000002</v>
      </c>
      <c r="AF1615">
        <v>2.79138107039411</v>
      </c>
      <c r="AG1615">
        <v>-1.1063801437059999</v>
      </c>
      <c r="AH1615">
        <v>17.835085173831299</v>
      </c>
      <c r="AI1615">
        <v>93.507146351082895</v>
      </c>
      <c r="AJ1615">
        <v>81.104762266846905</v>
      </c>
      <c r="AK1615">
        <v>18.086076093513501</v>
      </c>
      <c r="AL1615">
        <v>84.722022518128398</v>
      </c>
      <c r="AM1615">
        <v>79.878292428839501</v>
      </c>
      <c r="AN1615">
        <v>1.0000000167401799</v>
      </c>
    </row>
    <row r="1616" spans="1:40" x14ac:dyDescent="0.25">
      <c r="A1616" t="str">
        <f>"20190312164019793"</f>
        <v>20190312164019793</v>
      </c>
      <c r="B1616" t="str">
        <f>"1552380019787307"</f>
        <v>1552380019787307</v>
      </c>
      <c r="C1616" t="s">
        <v>40</v>
      </c>
      <c r="D1616">
        <v>5.8924669999999999</v>
      </c>
      <c r="E1616">
        <v>0.494336</v>
      </c>
      <c r="F1616" t="s">
        <v>41</v>
      </c>
      <c r="G1616">
        <v>-191.93360000000001</v>
      </c>
      <c r="H1616" s="1">
        <v>-9.281576E-7</v>
      </c>
      <c r="I1616">
        <v>330.55340000000001</v>
      </c>
      <c r="J1616">
        <v>-191.14949999999999</v>
      </c>
      <c r="K1616">
        <v>1.1064620000000001</v>
      </c>
      <c r="L1616">
        <v>348.96949999999998</v>
      </c>
      <c r="M1616">
        <v>0.1049852</v>
      </c>
      <c r="N1616">
        <v>0</v>
      </c>
      <c r="O1616">
        <v>-0.99437609999999999</v>
      </c>
      <c r="P1616">
        <v>-6.2374829999999999E-2</v>
      </c>
      <c r="Q1616">
        <v>7.9638470000000003E-2</v>
      </c>
      <c r="R1616">
        <v>-0.99487040000000004</v>
      </c>
      <c r="S1616">
        <v>-0.12533569999999999</v>
      </c>
      <c r="T1616">
        <v>-0.17972560000000001</v>
      </c>
      <c r="U1616">
        <v>-3.022186</v>
      </c>
      <c r="V1616">
        <v>0.1673992</v>
      </c>
      <c r="W1616">
        <v>9.1681600000000002E-2</v>
      </c>
      <c r="X1616">
        <v>0.98161699999999996</v>
      </c>
      <c r="Y1616">
        <v>0.14604</v>
      </c>
      <c r="Z1616">
        <v>5.8528209999999997E-2</v>
      </c>
      <c r="AA1616">
        <v>0.98754580000000003</v>
      </c>
      <c r="AB1616">
        <v>20</v>
      </c>
      <c r="AC1616">
        <v>-0.784100000000023</v>
      </c>
      <c r="AD1616">
        <v>-1.1064629281575999</v>
      </c>
      <c r="AE1616">
        <v>-18.416099999999901</v>
      </c>
      <c r="AF1616">
        <v>2.7036300333721202</v>
      </c>
      <c r="AG1616">
        <v>-1.1064629281575999</v>
      </c>
      <c r="AH1616">
        <v>18.1665237955485</v>
      </c>
      <c r="AI1616">
        <v>93.447513988626397</v>
      </c>
      <c r="AJ1616">
        <v>81.535095685129903</v>
      </c>
      <c r="AK1616">
        <v>18.3999038688513</v>
      </c>
      <c r="AL1616">
        <v>84.739644149100698</v>
      </c>
      <c r="AM1616">
        <v>80.322213574080095</v>
      </c>
      <c r="AN1616">
        <v>0.99999997131409901</v>
      </c>
    </row>
    <row r="1617" spans="1:40" x14ac:dyDescent="0.25">
      <c r="A1617" t="str">
        <f>"20190312164019815"</f>
        <v>20190312164019815</v>
      </c>
      <c r="B1617" t="str">
        <f>"1552380019807802"</f>
        <v>1552380019807802</v>
      </c>
      <c r="C1617" t="s">
        <v>40</v>
      </c>
      <c r="D1617">
        <v>5.9034339999999998</v>
      </c>
      <c r="E1617">
        <v>0.49418570000000001</v>
      </c>
      <c r="F1617" t="s">
        <v>41</v>
      </c>
      <c r="G1617">
        <v>-191.88679999999999</v>
      </c>
      <c r="H1617" s="1">
        <v>-9.6902339999999992E-7</v>
      </c>
      <c r="I1617">
        <v>330.67770000000002</v>
      </c>
      <c r="J1617">
        <v>-191.13759999999999</v>
      </c>
      <c r="K1617">
        <v>1.106552</v>
      </c>
      <c r="L1617">
        <v>348.76920000000001</v>
      </c>
      <c r="M1617">
        <v>9.7323610000000005E-2</v>
      </c>
      <c r="N1617">
        <v>0</v>
      </c>
      <c r="O1617">
        <v>-0.99515560000000003</v>
      </c>
      <c r="P1617">
        <v>-6.2917490000000006E-2</v>
      </c>
      <c r="Q1617">
        <v>8.0843120000000004E-2</v>
      </c>
      <c r="R1617">
        <v>-0.99473900000000004</v>
      </c>
      <c r="S1617">
        <v>-0.1218262</v>
      </c>
      <c r="T1617">
        <v>-0.18282390000000001</v>
      </c>
      <c r="U1617">
        <v>-3.0224000000000002</v>
      </c>
      <c r="V1617">
        <v>0.16034489999999901</v>
      </c>
      <c r="W1617">
        <v>9.2981610000000006E-2</v>
      </c>
      <c r="X1617">
        <v>0.98267190000000004</v>
      </c>
      <c r="Y1617">
        <v>0.137265</v>
      </c>
      <c r="Z1617">
        <v>5.9639240000000003E-2</v>
      </c>
      <c r="AA1617">
        <v>0.98873730000000004</v>
      </c>
      <c r="AB1617">
        <v>20</v>
      </c>
      <c r="AC1617">
        <v>-0.74920000000000098</v>
      </c>
      <c r="AD1617">
        <v>-1.1065529690233999</v>
      </c>
      <c r="AE1617">
        <v>-18.0915</v>
      </c>
      <c r="AF1617">
        <v>2.4972168619344202</v>
      </c>
      <c r="AG1617">
        <v>-1.1065529690233999</v>
      </c>
      <c r="AH1617">
        <v>17.865954010710499</v>
      </c>
      <c r="AI1617">
        <v>93.510130833848805</v>
      </c>
      <c r="AJ1617">
        <v>82.043023852096994</v>
      </c>
      <c r="AK1617">
        <v>18.073540445679299</v>
      </c>
      <c r="AL1617">
        <v>84.664840014010693</v>
      </c>
      <c r="AM1617">
        <v>80.732585057570404</v>
      </c>
      <c r="AN1617">
        <v>1.0000000649019001</v>
      </c>
    </row>
    <row r="1618" spans="1:40" x14ac:dyDescent="0.25">
      <c r="A1618" t="str">
        <f>"20190312164019837"</f>
        <v>20190312164019837</v>
      </c>
      <c r="B1618" t="str">
        <f>"1552380019827643"</f>
        <v>1552380019827643</v>
      </c>
      <c r="C1618" t="s">
        <v>40</v>
      </c>
      <c r="D1618">
        <v>5.8992820000000004</v>
      </c>
      <c r="E1618">
        <v>0.49396950000000001</v>
      </c>
      <c r="F1618" t="s">
        <v>41</v>
      </c>
      <c r="G1618">
        <v>-191.8817</v>
      </c>
      <c r="H1618" s="1">
        <v>-7.8257000000000005E-7</v>
      </c>
      <c r="I1618">
        <v>330.24619999999999</v>
      </c>
      <c r="J1618">
        <v>-191.12719999999999</v>
      </c>
      <c r="K1618">
        <v>1.1066549999999999</v>
      </c>
      <c r="L1618">
        <v>348.57170000000002</v>
      </c>
      <c r="M1618">
        <v>8.9913409999999999E-2</v>
      </c>
      <c r="N1618">
        <v>0</v>
      </c>
      <c r="O1618">
        <v>-0.99585279999999998</v>
      </c>
      <c r="P1618">
        <v>-6.2820989999999993E-2</v>
      </c>
      <c r="Q1618">
        <v>8.2290660000000002E-2</v>
      </c>
      <c r="R1618">
        <v>-0.99462640000000002</v>
      </c>
      <c r="S1618">
        <v>-0.12142940000000001</v>
      </c>
      <c r="T1618">
        <v>-0.18058450000000001</v>
      </c>
      <c r="U1618">
        <v>-3.0228579999999998</v>
      </c>
      <c r="V1618">
        <v>0.1529047</v>
      </c>
      <c r="W1618">
        <v>9.4524979999999995E-2</v>
      </c>
      <c r="X1618">
        <v>0.98370990000000003</v>
      </c>
      <c r="Y1618">
        <v>0.12975419999999999</v>
      </c>
      <c r="Z1618">
        <v>5.8995119999999998E-2</v>
      </c>
      <c r="AA1618">
        <v>0.98978960000000005</v>
      </c>
      <c r="AB1618">
        <v>20</v>
      </c>
      <c r="AC1618">
        <v>-0.75450000000000705</v>
      </c>
      <c r="AD1618">
        <v>-1.1066557825700001</v>
      </c>
      <c r="AE1618">
        <v>-18.325500000000002</v>
      </c>
      <c r="AF1618">
        <v>2.3906070699399402</v>
      </c>
      <c r="AG1618">
        <v>-1.1066557825700001</v>
      </c>
      <c r="AH1618">
        <v>18.1174544458637</v>
      </c>
      <c r="AI1618">
        <v>93.465451079314093</v>
      </c>
      <c r="AJ1618">
        <v>82.483217583076296</v>
      </c>
      <c r="AK1618">
        <v>18.307972164657901</v>
      </c>
      <c r="AL1618">
        <v>84.576019823257795</v>
      </c>
      <c r="AM1618">
        <v>81.164830076601802</v>
      </c>
      <c r="AN1618">
        <v>0.99999999324205002</v>
      </c>
    </row>
    <row r="1619" spans="1:40" x14ac:dyDescent="0.25">
      <c r="A1619" t="str">
        <f>"20190312164019859"</f>
        <v>20190312164019859</v>
      </c>
      <c r="B1619" t="str">
        <f>"1552380019848143"</f>
        <v>1552380019848143</v>
      </c>
      <c r="C1619" t="s">
        <v>40</v>
      </c>
      <c r="D1619">
        <v>5.8279690000000004</v>
      </c>
      <c r="E1619">
        <v>0.49378569999999999</v>
      </c>
      <c r="F1619" t="s">
        <v>41</v>
      </c>
      <c r="G1619">
        <v>-191.869</v>
      </c>
      <c r="H1619" s="1">
        <v>-5.8491340000000001E-7</v>
      </c>
      <c r="I1619">
        <v>329.79340000000002</v>
      </c>
      <c r="J1619">
        <v>-191.1183</v>
      </c>
      <c r="K1619">
        <v>1.1067560000000001</v>
      </c>
      <c r="L1619">
        <v>348.37880000000001</v>
      </c>
      <c r="M1619">
        <v>8.2819660000000003E-2</v>
      </c>
      <c r="N1619">
        <v>0</v>
      </c>
      <c r="O1619">
        <v>-0.99646809999999997</v>
      </c>
      <c r="P1619">
        <v>-6.1503639999999998E-2</v>
      </c>
      <c r="Q1619">
        <v>8.3118529999999996E-2</v>
      </c>
      <c r="R1619">
        <v>-0.99464019999999997</v>
      </c>
      <c r="S1619">
        <v>-0.11943049999999999</v>
      </c>
      <c r="T1619">
        <v>-0.17817720000000001</v>
      </c>
      <c r="U1619">
        <v>-3.0234070000000002</v>
      </c>
      <c r="V1619">
        <v>0.14456160000000001</v>
      </c>
      <c r="W1619">
        <v>9.5458210000000002E-2</v>
      </c>
      <c r="X1619">
        <v>0.98488059999999999</v>
      </c>
      <c r="Y1619">
        <v>0.12203079999999999</v>
      </c>
      <c r="Z1619">
        <v>5.8284740000000002E-2</v>
      </c>
      <c r="AA1619">
        <v>0.99081350000000001</v>
      </c>
      <c r="AB1619">
        <v>20</v>
      </c>
      <c r="AC1619">
        <v>-0.75070000000002302</v>
      </c>
      <c r="AD1619">
        <v>-1.10675658491339</v>
      </c>
      <c r="AE1619">
        <v>-18.5854</v>
      </c>
      <c r="AF1619">
        <v>2.27943487230102</v>
      </c>
      <c r="AG1619">
        <v>-1.10675658491339</v>
      </c>
      <c r="AH1619">
        <v>18.394236839598399</v>
      </c>
      <c r="AI1619">
        <v>93.417183822760805</v>
      </c>
      <c r="AJ1619">
        <v>82.935854622878594</v>
      </c>
      <c r="AK1619">
        <v>18.567947716065699</v>
      </c>
      <c r="AL1619">
        <v>84.522307167389499</v>
      </c>
      <c r="AM1619">
        <v>81.649704726406398</v>
      </c>
      <c r="AN1619">
        <v>1.0000000611536599</v>
      </c>
    </row>
    <row r="1620" spans="1:40" x14ac:dyDescent="0.25">
      <c r="A1620" t="str">
        <f>"20190312164019882"</f>
        <v>20190312164019882</v>
      </c>
      <c r="B1620" t="str">
        <f>"1552380019877420"</f>
        <v>1552380019877420</v>
      </c>
      <c r="C1620" t="s">
        <v>40</v>
      </c>
      <c r="D1620">
        <v>5.9637089999999997</v>
      </c>
      <c r="E1620">
        <v>0.4918804</v>
      </c>
      <c r="F1620" t="s">
        <v>41</v>
      </c>
      <c r="G1620">
        <v>-191.83969999999999</v>
      </c>
      <c r="H1620" s="1">
        <v>-4.552521E-6</v>
      </c>
      <c r="I1620">
        <v>329.40570000000002</v>
      </c>
      <c r="J1620">
        <v>-191.1104</v>
      </c>
      <c r="K1620">
        <v>1.106865</v>
      </c>
      <c r="L1620">
        <v>348.178</v>
      </c>
      <c r="M1620">
        <v>7.5590640000000001E-2</v>
      </c>
      <c r="N1620">
        <v>0</v>
      </c>
      <c r="O1620">
        <v>-0.99704280000000001</v>
      </c>
      <c r="P1620">
        <v>-6.0586250000000001E-2</v>
      </c>
      <c r="Q1620">
        <v>8.3712030000000007E-2</v>
      </c>
      <c r="R1620">
        <v>-0.99464640000000004</v>
      </c>
      <c r="S1620">
        <v>-0.1149597</v>
      </c>
      <c r="T1620">
        <v>-0.17638619999999999</v>
      </c>
      <c r="U1620">
        <v>-3.0237729999999998</v>
      </c>
      <c r="V1620">
        <v>0.13647239999999999</v>
      </c>
      <c r="W1620">
        <v>9.6152130000000002E-2</v>
      </c>
      <c r="X1620">
        <v>0.98596660000000003</v>
      </c>
      <c r="Y1620">
        <v>0.1133617</v>
      </c>
      <c r="Z1620">
        <v>5.7775649999999998E-2</v>
      </c>
      <c r="AA1620">
        <v>0.99187250000000005</v>
      </c>
      <c r="AB1620">
        <v>20</v>
      </c>
      <c r="AC1620">
        <v>-0.72929999999999495</v>
      </c>
      <c r="AD1620">
        <v>-1.1068695525209999</v>
      </c>
      <c r="AE1620">
        <v>-18.772300000000001</v>
      </c>
      <c r="AF1620">
        <v>2.1389341682062399</v>
      </c>
      <c r="AG1620">
        <v>-1.1068695525209999</v>
      </c>
      <c r="AH1620">
        <v>18.598883466588799</v>
      </c>
      <c r="AI1620">
        <v>93.383559525030293</v>
      </c>
      <c r="AJ1620">
        <v>83.439613363423405</v>
      </c>
      <c r="AK1620">
        <v>18.7541639585978</v>
      </c>
      <c r="AL1620">
        <v>84.482364645824305</v>
      </c>
      <c r="AM1620">
        <v>82.119486517286902</v>
      </c>
      <c r="AN1620">
        <v>1.00000004219042</v>
      </c>
    </row>
    <row r="1621" spans="1:40" x14ac:dyDescent="0.25">
      <c r="A1621" t="str">
        <f>"20190312164019906"</f>
        <v>20190312164019906</v>
      </c>
      <c r="B1621" t="str">
        <f>"1552380019897916"</f>
        <v>1552380019897916</v>
      </c>
      <c r="C1621" t="s">
        <v>40</v>
      </c>
      <c r="D1621">
        <v>5.8052510000000002</v>
      </c>
      <c r="E1621">
        <v>0.49193720000000002</v>
      </c>
      <c r="F1621" t="s">
        <v>47</v>
      </c>
      <c r="G1621">
        <v>-207.19730000000001</v>
      </c>
      <c r="H1621">
        <v>22.06503</v>
      </c>
      <c r="I1621">
        <v>-81.822479999999999</v>
      </c>
      <c r="J1621">
        <v>-191.10339999999999</v>
      </c>
      <c r="K1621">
        <v>1.1069789999999999</v>
      </c>
      <c r="L1621">
        <v>347.9622</v>
      </c>
      <c r="M1621">
        <v>6.797077E-2</v>
      </c>
      <c r="N1621">
        <v>0</v>
      </c>
      <c r="O1621">
        <v>-0.99759169999999997</v>
      </c>
      <c r="P1621">
        <v>-6.06188E-2</v>
      </c>
      <c r="Q1621">
        <v>8.4871680000000005E-2</v>
      </c>
      <c r="R1621">
        <v>-0.99454609999999999</v>
      </c>
      <c r="S1621">
        <v>-0.1121216</v>
      </c>
      <c r="T1621">
        <v>0.146073799999999</v>
      </c>
      <c r="U1621">
        <v>-2.9970089999999998</v>
      </c>
      <c r="V1621">
        <v>0.12893640000000001</v>
      </c>
      <c r="W1621">
        <v>9.7400329999999993E-2</v>
      </c>
      <c r="X1621">
        <v>0.98685800000000001</v>
      </c>
      <c r="Y1621">
        <v>0.10518420000000001</v>
      </c>
      <c r="Z1621">
        <v>-4.8361220000000003E-2</v>
      </c>
      <c r="AA1621">
        <v>0.9932761</v>
      </c>
      <c r="AB1621">
        <v>19</v>
      </c>
      <c r="AC1621">
        <v>-16.093900000000001</v>
      </c>
      <c r="AD1621">
        <v>20.958051000000001</v>
      </c>
      <c r="AE1621">
        <v>-429.78467999999998</v>
      </c>
      <c r="AF1621">
        <v>45.165006249489899</v>
      </c>
      <c r="AG1621">
        <v>20.958051000000001</v>
      </c>
      <c r="AH1621">
        <v>426.68330922706298</v>
      </c>
      <c r="AI1621">
        <v>87.203573979470093</v>
      </c>
      <c r="AJ1621">
        <v>83.957664228952297</v>
      </c>
      <c r="AK1621">
        <v>429.57858892662802</v>
      </c>
      <c r="AL1621">
        <v>84.410510914499298</v>
      </c>
      <c r="AM1621">
        <v>82.556273378809806</v>
      </c>
      <c r="AN1621">
        <v>1.00000006584653</v>
      </c>
    </row>
    <row r="1622" spans="1:40" x14ac:dyDescent="0.25">
      <c r="A1622" t="str">
        <f>"20190312164019930"</f>
        <v>20190312164019930</v>
      </c>
      <c r="B1622" t="str">
        <f>"1552380019917435"</f>
        <v>1552380019917435</v>
      </c>
      <c r="C1622" t="s">
        <v>40</v>
      </c>
      <c r="D1622">
        <v>5.969659</v>
      </c>
      <c r="E1622">
        <v>0.4918363</v>
      </c>
      <c r="F1622" t="s">
        <v>41</v>
      </c>
      <c r="G1622">
        <v>-192.15950000000001</v>
      </c>
      <c r="H1622" s="1">
        <v>-3.7609069999999998E-6</v>
      </c>
      <c r="I1622">
        <v>316.3322</v>
      </c>
      <c r="J1622">
        <v>-191.09800000000001</v>
      </c>
      <c r="K1622">
        <v>1.107086</v>
      </c>
      <c r="L1622">
        <v>347.76029999999997</v>
      </c>
      <c r="M1622">
        <v>6.0994949999999999E-2</v>
      </c>
      <c r="N1622">
        <v>0</v>
      </c>
      <c r="O1622">
        <v>-0.99804280000000001</v>
      </c>
      <c r="P1622">
        <v>-5.922003E-2</v>
      </c>
      <c r="Q1622">
        <v>8.6072620000000002E-2</v>
      </c>
      <c r="R1622">
        <v>-0.9945273</v>
      </c>
      <c r="S1622">
        <v>-0.1008148</v>
      </c>
      <c r="T1622">
        <v>-0.1056687</v>
      </c>
      <c r="U1622">
        <v>-3.0192869999999998</v>
      </c>
      <c r="V1622">
        <v>0.12061529999999999</v>
      </c>
      <c r="W1622">
        <v>9.8692500000000002E-2</v>
      </c>
      <c r="X1622">
        <v>0.98778120000000003</v>
      </c>
      <c r="Y1622">
        <v>9.4255980000000003E-2</v>
      </c>
      <c r="Z1622">
        <v>3.4791210000000003E-2</v>
      </c>
      <c r="AA1622">
        <v>0.99493989999999999</v>
      </c>
      <c r="AB1622">
        <v>19</v>
      </c>
      <c r="AC1622">
        <v>-1.0615000000000201</v>
      </c>
      <c r="AD1622">
        <v>-1.1070897609070001</v>
      </c>
      <c r="AE1622">
        <v>-31.428099999999901</v>
      </c>
      <c r="AF1622">
        <v>2.97297599290347</v>
      </c>
      <c r="AG1622">
        <v>-1.1070897609070001</v>
      </c>
      <c r="AH1622">
        <v>31.266066590642499</v>
      </c>
      <c r="AI1622">
        <v>92.018821602941301</v>
      </c>
      <c r="AJ1622">
        <v>84.568284589519905</v>
      </c>
      <c r="AK1622">
        <v>31.426599466750801</v>
      </c>
      <c r="AL1622">
        <v>84.336116093062202</v>
      </c>
      <c r="AM1622">
        <v>83.038230725179801</v>
      </c>
      <c r="AN1622">
        <v>0.99999997961188902</v>
      </c>
    </row>
    <row r="1623" spans="1:40" x14ac:dyDescent="0.25">
      <c r="A1623" t="str">
        <f>"20190312164019949"</f>
        <v>20190312164019949</v>
      </c>
      <c r="B1623" t="str">
        <f>"1552380019937935"</f>
        <v>1552380019937935</v>
      </c>
      <c r="C1623" t="s">
        <v>40</v>
      </c>
      <c r="D1623">
        <v>6.1176199999999996</v>
      </c>
      <c r="E1623">
        <v>0.4916373</v>
      </c>
      <c r="F1623" t="s">
        <v>41</v>
      </c>
      <c r="G1623">
        <v>-191.8098</v>
      </c>
      <c r="H1623" s="1">
        <v>-2.693742E-6</v>
      </c>
      <c r="I1623">
        <v>324.74579999999997</v>
      </c>
      <c r="J1623">
        <v>-191.0943</v>
      </c>
      <c r="K1623">
        <v>1.107189</v>
      </c>
      <c r="L1623">
        <v>347.58420000000001</v>
      </c>
      <c r="M1623">
        <v>5.5066160000000003E-2</v>
      </c>
      <c r="N1623">
        <v>0</v>
      </c>
      <c r="O1623">
        <v>-0.99838780000000005</v>
      </c>
      <c r="P1623">
        <v>-5.667875E-2</v>
      </c>
      <c r="Q1623">
        <v>8.7029460000000003E-2</v>
      </c>
      <c r="R1623">
        <v>-0.99459209999999998</v>
      </c>
      <c r="S1623">
        <v>-9.3505859999999996E-2</v>
      </c>
      <c r="T1623">
        <v>-0.14544370000000001</v>
      </c>
      <c r="U1623">
        <v>-3.0235289999999999</v>
      </c>
      <c r="V1623">
        <v>0.112190899999999</v>
      </c>
      <c r="W1623">
        <v>9.9737790000000007E-2</v>
      </c>
      <c r="X1623">
        <v>0.98866860000000001</v>
      </c>
      <c r="Y1623">
        <v>8.5873889999999994E-2</v>
      </c>
      <c r="Z1623">
        <v>4.7838840000000001E-2</v>
      </c>
      <c r="AA1623">
        <v>0.99515679999999995</v>
      </c>
      <c r="AB1623">
        <v>19</v>
      </c>
      <c r="AC1623">
        <v>-0.71549999999999103</v>
      </c>
      <c r="AD1623">
        <v>-1.1071916937420001</v>
      </c>
      <c r="AE1623">
        <v>-22.8384</v>
      </c>
      <c r="AF1623">
        <v>1.9675366773798399</v>
      </c>
      <c r="AG1623">
        <v>-1.1071916937420001</v>
      </c>
      <c r="AH1623">
        <v>22.711013082716001</v>
      </c>
      <c r="AI1623">
        <v>92.780635785060994</v>
      </c>
      <c r="AJ1623">
        <v>85.048623348277204</v>
      </c>
      <c r="AK1623">
        <v>22.822953123266601</v>
      </c>
      <c r="AL1623">
        <v>84.275928608056006</v>
      </c>
      <c r="AM1623">
        <v>83.525955042642707</v>
      </c>
      <c r="AN1623">
        <v>1.0000000127114199</v>
      </c>
    </row>
    <row r="1624" spans="1:40" x14ac:dyDescent="0.25">
      <c r="A1624" t="str">
        <f>"20190312164019972"</f>
        <v>20190312164019972</v>
      </c>
      <c r="B1624" t="str">
        <f>"1552380019968188"</f>
        <v>1552380019968188</v>
      </c>
      <c r="C1624" t="s">
        <v>40</v>
      </c>
      <c r="D1624">
        <v>5.9037110000000004</v>
      </c>
      <c r="E1624">
        <v>0.48992229999999998</v>
      </c>
      <c r="F1624" t="s">
        <v>41</v>
      </c>
      <c r="G1624">
        <v>-191.70480000000001</v>
      </c>
      <c r="H1624" s="1">
        <v>-3.124697E-6</v>
      </c>
      <c r="I1624">
        <v>325.81549999999999</v>
      </c>
      <c r="J1624">
        <v>-191.09119999999999</v>
      </c>
      <c r="K1624">
        <v>1.1073139999999999</v>
      </c>
      <c r="L1624">
        <v>347.38549999999998</v>
      </c>
      <c r="M1624">
        <v>4.8580119999999997E-2</v>
      </c>
      <c r="N1624">
        <v>0</v>
      </c>
      <c r="O1624">
        <v>-0.99872470000000002</v>
      </c>
      <c r="P1624">
        <v>-5.4877080000000002E-2</v>
      </c>
      <c r="Q1624">
        <v>8.7145440000000005E-2</v>
      </c>
      <c r="R1624">
        <v>-0.99468290000000004</v>
      </c>
      <c r="S1624">
        <v>-8.4823609999999994E-2</v>
      </c>
      <c r="T1624">
        <v>-0.15385309999999999</v>
      </c>
      <c r="U1624">
        <v>-3.0249329999999999</v>
      </c>
      <c r="V1624">
        <v>0.1039342</v>
      </c>
      <c r="W1624">
        <v>9.9939440000000004E-2</v>
      </c>
      <c r="X1624">
        <v>0.98955029999999999</v>
      </c>
      <c r="Y1624">
        <v>7.6526910000000004E-2</v>
      </c>
      <c r="Z1624">
        <v>5.0621600000000003E-2</v>
      </c>
      <c r="AA1624">
        <v>0.99578169999999999</v>
      </c>
      <c r="AB1624">
        <v>19</v>
      </c>
      <c r="AC1624">
        <v>-0.61360000000001902</v>
      </c>
      <c r="AD1624">
        <v>-1.1073171246969999</v>
      </c>
      <c r="AE1624">
        <v>-21.57</v>
      </c>
      <c r="AF1624">
        <v>1.65648563231683</v>
      </c>
      <c r="AG1624">
        <v>-1.1073171246969999</v>
      </c>
      <c r="AH1624">
        <v>21.458210789332998</v>
      </c>
      <c r="AI1624">
        <v>92.945290817606406</v>
      </c>
      <c r="AJ1624">
        <v>85.5857560046787</v>
      </c>
      <c r="AK1624">
        <v>21.550519857863499</v>
      </c>
      <c r="AL1624">
        <v>84.264316841618793</v>
      </c>
      <c r="AM1624">
        <v>84.004107737229205</v>
      </c>
      <c r="AN1624">
        <v>1.00000000291362</v>
      </c>
    </row>
    <row r="1625" spans="1:40" x14ac:dyDescent="0.25">
      <c r="A1625" t="str">
        <f>"20190312164019996"</f>
        <v>20190312164019996</v>
      </c>
      <c r="B1625" t="str">
        <f>"1552380019987708"</f>
        <v>1552380019987708</v>
      </c>
      <c r="C1625" t="s">
        <v>40</v>
      </c>
      <c r="D1625">
        <v>5.8321139999999998</v>
      </c>
      <c r="E1625">
        <v>0.49003289999999999</v>
      </c>
      <c r="F1625" t="s">
        <v>41</v>
      </c>
      <c r="G1625">
        <v>-191.4742</v>
      </c>
      <c r="H1625" s="1">
        <v>-4.5335129999999996E-6</v>
      </c>
      <c r="I1625">
        <v>329.5403</v>
      </c>
      <c r="J1625">
        <v>-191.089</v>
      </c>
      <c r="K1625">
        <v>1.1074809999999999</v>
      </c>
      <c r="L1625">
        <v>347.17360000000002</v>
      </c>
      <c r="M1625">
        <v>4.1919030000000003E-2</v>
      </c>
      <c r="N1625">
        <v>0</v>
      </c>
      <c r="O1625">
        <v>-0.999027</v>
      </c>
      <c r="P1625">
        <v>-5.4465640000000003E-2</v>
      </c>
      <c r="Q1625">
        <v>8.869842E-2</v>
      </c>
      <c r="R1625">
        <v>-0.99456860000000002</v>
      </c>
      <c r="S1625">
        <v>-6.5017699999999998E-2</v>
      </c>
      <c r="T1625">
        <v>-0.1879507</v>
      </c>
      <c r="U1625">
        <v>-3.0289609999999998</v>
      </c>
      <c r="V1625">
        <v>9.6881179999999997E-2</v>
      </c>
      <c r="W1625">
        <v>0.1015648</v>
      </c>
      <c r="X1625">
        <v>0.99010030000000004</v>
      </c>
      <c r="Y1625">
        <v>6.3313750000000002E-2</v>
      </c>
      <c r="Z1625">
        <v>6.1781240000000001E-2</v>
      </c>
      <c r="AA1625">
        <v>0.99607959999999995</v>
      </c>
      <c r="AB1625">
        <v>19</v>
      </c>
      <c r="AC1625">
        <v>-0.38519999999996901</v>
      </c>
      <c r="AD1625">
        <v>-1.1074855335129901</v>
      </c>
      <c r="AE1625">
        <v>-17.633299999999998</v>
      </c>
      <c r="AF1625">
        <v>1.1196869462424699</v>
      </c>
      <c r="AG1625">
        <v>-1.1074855335129901</v>
      </c>
      <c r="AH1625">
        <v>17.532522136970101</v>
      </c>
      <c r="AI1625">
        <v>93.607099815180803</v>
      </c>
      <c r="AJ1625">
        <v>86.345857632567601</v>
      </c>
      <c r="AK1625">
        <v>17.603112098372701</v>
      </c>
      <c r="AL1625">
        <v>84.170714183757099</v>
      </c>
      <c r="AM1625">
        <v>84.411406611327806</v>
      </c>
      <c r="AN1625">
        <v>0.99999998784866095</v>
      </c>
    </row>
    <row r="1626" spans="1:40" x14ac:dyDescent="0.25">
      <c r="A1626" t="str">
        <f>"20190312164020016"</f>
        <v>20190312164020016</v>
      </c>
      <c r="B1626" t="str">
        <f>"1552380020007227"</f>
        <v>1552380020007227</v>
      </c>
      <c r="C1626" t="s">
        <v>40</v>
      </c>
      <c r="D1626">
        <v>6.0224489999999999</v>
      </c>
      <c r="E1626">
        <v>0.48994910000000003</v>
      </c>
      <c r="F1626" t="s">
        <v>41</v>
      </c>
      <c r="G1626">
        <v>-191.45930000000001</v>
      </c>
      <c r="H1626" s="1">
        <v>-4.4776479999999998E-6</v>
      </c>
      <c r="I1626">
        <v>329.38389999999998</v>
      </c>
      <c r="J1626">
        <v>-191.08789999999999</v>
      </c>
      <c r="K1626">
        <v>1.107653</v>
      </c>
      <c r="L1626">
        <v>346.99090000000001</v>
      </c>
      <c r="M1626">
        <v>3.6420590000000003E-2</v>
      </c>
      <c r="N1626">
        <v>0</v>
      </c>
      <c r="O1626">
        <v>-0.99924279999999999</v>
      </c>
      <c r="P1626">
        <v>-5.2329380000000002E-2</v>
      </c>
      <c r="Q1626">
        <v>9.0102790000000002E-2</v>
      </c>
      <c r="R1626">
        <v>-0.99455680000000002</v>
      </c>
      <c r="S1626">
        <v>-6.3079830000000003E-2</v>
      </c>
      <c r="T1626">
        <v>-0.18861510000000001</v>
      </c>
      <c r="U1626">
        <v>-3.0297550000000002</v>
      </c>
      <c r="V1626">
        <v>8.9258840000000006E-2</v>
      </c>
      <c r="W1626">
        <v>0.1030423</v>
      </c>
      <c r="X1626">
        <v>0.99066399999999999</v>
      </c>
      <c r="Y1626">
        <v>5.7177770000000003E-2</v>
      </c>
      <c r="Z1626">
        <v>6.2014609999999998E-2</v>
      </c>
      <c r="AA1626">
        <v>0.99643610000000005</v>
      </c>
      <c r="AB1626">
        <v>19</v>
      </c>
      <c r="AC1626">
        <v>-0.37140000000002199</v>
      </c>
      <c r="AD1626">
        <v>-1.1076574776479999</v>
      </c>
      <c r="AE1626">
        <v>-17.606999999999999</v>
      </c>
      <c r="AF1626">
        <v>1.00848149256088</v>
      </c>
      <c r="AG1626">
        <v>-1.1076574776479999</v>
      </c>
      <c r="AH1626">
        <v>17.5125105579021</v>
      </c>
      <c r="AI1626">
        <v>93.613138205323693</v>
      </c>
      <c r="AJ1626">
        <v>86.704185379150601</v>
      </c>
      <c r="AK1626">
        <v>17.576460566600499</v>
      </c>
      <c r="AL1626">
        <v>84.085613277307104</v>
      </c>
      <c r="AM1626">
        <v>84.851551171375704</v>
      </c>
      <c r="AN1626">
        <v>1.00000000850171</v>
      </c>
    </row>
    <row r="1627" spans="1:40" x14ac:dyDescent="0.25">
      <c r="A1627" t="str">
        <f>"20190312164020040"</f>
        <v>20190312164020040</v>
      </c>
      <c r="B1627" t="str">
        <f>"1552380020027723"</f>
        <v>1552380020027723</v>
      </c>
      <c r="C1627" t="s">
        <v>40</v>
      </c>
      <c r="D1627">
        <v>6.0876659999999996</v>
      </c>
      <c r="E1627">
        <v>0.4904481</v>
      </c>
      <c r="F1627" t="s">
        <v>41</v>
      </c>
      <c r="G1627">
        <v>-191.44890000000001</v>
      </c>
      <c r="H1627" s="1">
        <v>-3.833193E-6</v>
      </c>
      <c r="I1627">
        <v>327.62569999999999</v>
      </c>
      <c r="J1627">
        <v>-191.08760000000001</v>
      </c>
      <c r="K1627">
        <v>1.107842</v>
      </c>
      <c r="L1627">
        <v>346.79689999999999</v>
      </c>
      <c r="M1627">
        <v>3.0864530000000001E-2</v>
      </c>
      <c r="N1627">
        <v>0</v>
      </c>
      <c r="O1627">
        <v>-0.99943040000000005</v>
      </c>
      <c r="P1627">
        <v>-4.9162209999999998E-2</v>
      </c>
      <c r="Q1627">
        <v>9.0000759999999999E-2</v>
      </c>
      <c r="R1627">
        <v>-0.99472780000000005</v>
      </c>
      <c r="S1627">
        <v>-5.647278E-2</v>
      </c>
      <c r="T1627">
        <v>-0.17326179999999999</v>
      </c>
      <c r="U1627">
        <v>-3.0291440000000001</v>
      </c>
      <c r="V1627">
        <v>8.0533939999999998E-2</v>
      </c>
      <c r="W1627">
        <v>0.1030215</v>
      </c>
      <c r="X1627">
        <v>0.99141360000000001</v>
      </c>
      <c r="Y1627">
        <v>4.9462689999999997E-2</v>
      </c>
      <c r="Z1627">
        <v>5.7024209999999999E-2</v>
      </c>
      <c r="AA1627">
        <v>0.9971468</v>
      </c>
      <c r="AB1627">
        <v>19</v>
      </c>
      <c r="AC1627">
        <v>-0.36130000000000001</v>
      </c>
      <c r="AD1627">
        <v>-1.1078458331929999</v>
      </c>
      <c r="AE1627">
        <v>-19.171199999999999</v>
      </c>
      <c r="AF1627">
        <v>0.94972270956849503</v>
      </c>
      <c r="AG1627">
        <v>-1.1078458331929999</v>
      </c>
      <c r="AH1627">
        <v>19.087196378858501</v>
      </c>
      <c r="AI1627">
        <v>93.317699953648997</v>
      </c>
      <c r="AJ1627">
        <v>87.151479864006404</v>
      </c>
      <c r="AK1627">
        <v>19.142893230133801</v>
      </c>
      <c r="AL1627">
        <v>84.086811566753795</v>
      </c>
      <c r="AM1627">
        <v>85.355978835892202</v>
      </c>
      <c r="AN1627">
        <v>1.00000003560956</v>
      </c>
    </row>
    <row r="1628" spans="1:40" x14ac:dyDescent="0.25">
      <c r="A1628" t="str">
        <f>"20190312164020060"</f>
        <v>20190312164020060</v>
      </c>
      <c r="B1628" t="str">
        <f>"1552380020057980"</f>
        <v>1552380020057980</v>
      </c>
      <c r="C1628" t="s">
        <v>40</v>
      </c>
      <c r="D1628">
        <v>6.1548439999999998</v>
      </c>
      <c r="E1628">
        <v>0.49105670000000001</v>
      </c>
      <c r="F1628" t="s">
        <v>41</v>
      </c>
      <c r="G1628">
        <v>-191.45439999999999</v>
      </c>
      <c r="H1628" s="1">
        <v>-3.0868849999999998E-6</v>
      </c>
      <c r="I1628">
        <v>325.8827</v>
      </c>
      <c r="J1628">
        <v>-191.08799999999999</v>
      </c>
      <c r="K1628">
        <v>1.1080289999999999</v>
      </c>
      <c r="L1628">
        <v>346.6121</v>
      </c>
      <c r="M1628">
        <v>2.586366E-2</v>
      </c>
      <c r="N1628">
        <v>0</v>
      </c>
      <c r="O1628">
        <v>-0.99957249999999997</v>
      </c>
      <c r="P1628">
        <v>-4.6751050000000002E-2</v>
      </c>
      <c r="Q1628">
        <v>9.0171109999999999E-2</v>
      </c>
      <c r="R1628">
        <v>-0.9948283</v>
      </c>
      <c r="S1628">
        <v>-5.3100590000000003E-2</v>
      </c>
      <c r="T1628">
        <v>-0.16038540000000001</v>
      </c>
      <c r="U1628">
        <v>-3.0278019999999999</v>
      </c>
      <c r="V1628">
        <v>7.3112419999999997E-2</v>
      </c>
      <c r="W1628">
        <v>0.10325429999999999</v>
      </c>
      <c r="X1628">
        <v>0.99196430000000002</v>
      </c>
      <c r="Y1628">
        <v>4.3366670000000003E-2</v>
      </c>
      <c r="Z1628">
        <v>5.2841260000000001E-2</v>
      </c>
      <c r="AA1628">
        <v>0.99766080000000001</v>
      </c>
      <c r="AB1628">
        <v>19</v>
      </c>
      <c r="AC1628">
        <v>-0.36639999999999801</v>
      </c>
      <c r="AD1628">
        <v>-1.108032086885</v>
      </c>
      <c r="AE1628">
        <v>-20.729399999999998</v>
      </c>
      <c r="AF1628">
        <v>0.89989507903010202</v>
      </c>
      <c r="AG1628">
        <v>-1.108032086885</v>
      </c>
      <c r="AH1628">
        <v>20.653994097341801</v>
      </c>
      <c r="AI1628">
        <v>93.067918075858998</v>
      </c>
      <c r="AJ1628">
        <v>87.505199211349705</v>
      </c>
      <c r="AK1628">
        <v>20.703261057907302</v>
      </c>
      <c r="AL1628">
        <v>84.073401528876801</v>
      </c>
      <c r="AM1628">
        <v>85.784654498186498</v>
      </c>
      <c r="AN1628">
        <v>1.00000002445061</v>
      </c>
    </row>
    <row r="1629" spans="1:40" x14ac:dyDescent="0.25">
      <c r="A1629" t="str">
        <f>"20190312164020083"</f>
        <v>20190312164020083</v>
      </c>
      <c r="B1629" t="str">
        <f>"1552380020077500"</f>
        <v>1552380020077500</v>
      </c>
      <c r="C1629" t="s">
        <v>40</v>
      </c>
      <c r="D1629">
        <v>6.0384039999999999</v>
      </c>
      <c r="E1629">
        <v>0.4914443</v>
      </c>
      <c r="F1629" t="s">
        <v>41</v>
      </c>
      <c r="G1629">
        <v>-191.5052</v>
      </c>
      <c r="H1629" s="1">
        <v>-1.5758889999999999E-6</v>
      </c>
      <c r="I1629">
        <v>322.32900000000001</v>
      </c>
      <c r="J1629">
        <v>-191.089</v>
      </c>
      <c r="K1629">
        <v>1.108198</v>
      </c>
      <c r="L1629">
        <v>346.41480000000001</v>
      </c>
      <c r="M1629">
        <v>2.0797340000000001E-2</v>
      </c>
      <c r="N1629">
        <v>0</v>
      </c>
      <c r="O1629">
        <v>-0.99969129999999995</v>
      </c>
      <c r="P1629">
        <v>-4.5638329999999998E-2</v>
      </c>
      <c r="Q1629">
        <v>9.1962340000000004E-2</v>
      </c>
      <c r="R1629">
        <v>-0.9947163</v>
      </c>
      <c r="S1629">
        <v>-5.1986690000000002E-2</v>
      </c>
      <c r="T1629">
        <v>-0.13806009999999999</v>
      </c>
      <c r="U1629">
        <v>-3.025665</v>
      </c>
      <c r="V1629">
        <v>6.6928979999999999E-2</v>
      </c>
      <c r="W1629">
        <v>0.10508729999999999</v>
      </c>
      <c r="X1629">
        <v>0.99220819999999998</v>
      </c>
      <c r="Y1629">
        <v>3.7954010000000003E-2</v>
      </c>
      <c r="Z1629">
        <v>4.554768E-2</v>
      </c>
      <c r="AA1629">
        <v>0.99824089999999999</v>
      </c>
      <c r="AB1629">
        <v>19</v>
      </c>
      <c r="AC1629">
        <v>-0.41619999999997498</v>
      </c>
      <c r="AD1629">
        <v>-1.108199575889</v>
      </c>
      <c r="AE1629">
        <v>-24.085799999999999</v>
      </c>
      <c r="AF1629">
        <v>0.91514007954624599</v>
      </c>
      <c r="AG1629">
        <v>-1.108199575889</v>
      </c>
      <c r="AH1629">
        <v>24.0210962576447</v>
      </c>
      <c r="AI1629">
        <v>92.639523068354194</v>
      </c>
      <c r="AJ1629">
        <v>87.818237844712897</v>
      </c>
      <c r="AK1629">
        <v>24.064053130846901</v>
      </c>
      <c r="AL1629">
        <v>83.967803513589104</v>
      </c>
      <c r="AM1629">
        <v>86.140983594832903</v>
      </c>
      <c r="AN1629">
        <v>0.99999997056618395</v>
      </c>
    </row>
    <row r="1630" spans="1:40" x14ac:dyDescent="0.25">
      <c r="A1630" t="str">
        <f>"20190312164020107"</f>
        <v>20190312164020107</v>
      </c>
      <c r="B1630" t="str">
        <f>"1552380020097996"</f>
        <v>1552380020097996</v>
      </c>
      <c r="C1630" t="s">
        <v>40</v>
      </c>
      <c r="D1630">
        <v>6.0196449999999997</v>
      </c>
      <c r="E1630">
        <v>0.4917511</v>
      </c>
      <c r="F1630" t="s">
        <v>41</v>
      </c>
      <c r="G1630">
        <v>-191.52250000000001</v>
      </c>
      <c r="H1630" s="1">
        <v>-7.361978E-7</v>
      </c>
      <c r="I1630">
        <v>320.36090000000002</v>
      </c>
      <c r="J1630">
        <v>-191.0909</v>
      </c>
      <c r="K1630">
        <v>1.1083590000000001</v>
      </c>
      <c r="L1630">
        <v>346.20549999999997</v>
      </c>
      <c r="M1630">
        <v>1.5729320000000001E-2</v>
      </c>
      <c r="N1630">
        <v>0</v>
      </c>
      <c r="O1630">
        <v>-0.99978400000000001</v>
      </c>
      <c r="P1630">
        <v>-4.5439460000000001E-2</v>
      </c>
      <c r="Q1630">
        <v>9.3456839999999999E-2</v>
      </c>
      <c r="R1630">
        <v>-0.99458579999999996</v>
      </c>
      <c r="S1630">
        <v>-5.0338750000000002E-2</v>
      </c>
      <c r="T1630">
        <v>-0.12868859999999999</v>
      </c>
      <c r="U1630">
        <v>-3.0254819999999998</v>
      </c>
      <c r="V1630">
        <v>6.1657459999999997E-2</v>
      </c>
      <c r="W1630">
        <v>0.1066107</v>
      </c>
      <c r="X1630">
        <v>0.99238729999999997</v>
      </c>
      <c r="Y1630">
        <v>3.2347470000000003E-2</v>
      </c>
      <c r="Z1630">
        <v>4.2474530000000003E-2</v>
      </c>
      <c r="AA1630">
        <v>0.99857379999999996</v>
      </c>
      <c r="AB1630">
        <v>19</v>
      </c>
      <c r="AC1630">
        <v>-0.43160000000000298</v>
      </c>
      <c r="AD1630">
        <v>-1.1083597361977999</v>
      </c>
      <c r="AE1630">
        <v>-25.8445999999999</v>
      </c>
      <c r="AF1630">
        <v>0.83656393983584199</v>
      </c>
      <c r="AG1630">
        <v>-1.1083597361977999</v>
      </c>
      <c r="AH1630">
        <v>25.7871988682056</v>
      </c>
      <c r="AI1630">
        <v>92.459822977320599</v>
      </c>
      <c r="AJ1630">
        <v>88.1419161054163</v>
      </c>
      <c r="AK1630">
        <v>25.8245605189835</v>
      </c>
      <c r="AL1630">
        <v>83.880026290679396</v>
      </c>
      <c r="AM1630">
        <v>86.444757924578496</v>
      </c>
      <c r="AN1630">
        <v>1.00000001846471</v>
      </c>
    </row>
    <row r="1631" spans="1:40" x14ac:dyDescent="0.25">
      <c r="A1631" t="str">
        <f>"20190312164020133"</f>
        <v>20190312164020133</v>
      </c>
      <c r="B1631" t="str">
        <f>"1552380020127276"</f>
        <v>1552380020127276</v>
      </c>
      <c r="C1631" t="s">
        <v>40</v>
      </c>
      <c r="D1631">
        <v>6.9194050000000002</v>
      </c>
      <c r="E1631">
        <v>0.4919306</v>
      </c>
      <c r="F1631" t="s">
        <v>41</v>
      </c>
      <c r="G1631">
        <v>-191.5214</v>
      </c>
      <c r="H1631" s="1">
        <v>-8.3696820000000004E-7</v>
      </c>
      <c r="I1631">
        <v>320.59649999999999</v>
      </c>
      <c r="J1631">
        <v>-191.09360000000001</v>
      </c>
      <c r="K1631">
        <v>1.1085259999999999</v>
      </c>
      <c r="L1631">
        <v>345.98869999999999</v>
      </c>
      <c r="M1631">
        <v>1.08317E-2</v>
      </c>
      <c r="N1631">
        <v>0</v>
      </c>
      <c r="O1631">
        <v>-0.99984960000000001</v>
      </c>
      <c r="P1631">
        <v>-4.3208669999999998E-2</v>
      </c>
      <c r="Q1631">
        <v>9.2931340000000001E-2</v>
      </c>
      <c r="R1631">
        <v>-0.99473469999999997</v>
      </c>
      <c r="S1631">
        <v>-5.0872800000000003E-2</v>
      </c>
      <c r="T1631">
        <v>-0.13097890000000001</v>
      </c>
      <c r="U1631">
        <v>-3.0263059999999999</v>
      </c>
      <c r="V1631">
        <v>5.4515010000000003E-2</v>
      </c>
      <c r="W1631">
        <v>0.10612240000000001</v>
      </c>
      <c r="X1631">
        <v>0.99285760000000001</v>
      </c>
      <c r="Y1631">
        <v>2.7622279999999999E-2</v>
      </c>
      <c r="Z1631">
        <v>4.322455E-2</v>
      </c>
      <c r="AA1631">
        <v>0.99868349999999995</v>
      </c>
      <c r="AB1631">
        <v>19</v>
      </c>
      <c r="AC1631">
        <v>-0.42779999999999002</v>
      </c>
      <c r="AD1631">
        <v>-1.1085268369682</v>
      </c>
      <c r="AE1631">
        <v>-25.392199999999999</v>
      </c>
      <c r="AF1631">
        <v>0.70150423139933205</v>
      </c>
      <c r="AG1631">
        <v>-1.1085268369682</v>
      </c>
      <c r="AH1631">
        <v>25.3377991972038</v>
      </c>
      <c r="AI1631">
        <v>92.504130303405404</v>
      </c>
      <c r="AJ1631">
        <v>88.414109822444701</v>
      </c>
      <c r="AK1631">
        <v>25.371736402792202</v>
      </c>
      <c r="AL1631">
        <v>83.908163524699503</v>
      </c>
      <c r="AM1631">
        <v>86.857206137736597</v>
      </c>
      <c r="AN1631">
        <v>1.0000000319874001</v>
      </c>
    </row>
    <row r="1632" spans="1:40" x14ac:dyDescent="0.25">
      <c r="A1632" t="str">
        <f>"20190312164020153"</f>
        <v>20190312164020153</v>
      </c>
      <c r="B1632" t="str">
        <f>"1552380020147772"</f>
        <v>1552380020147772</v>
      </c>
      <c r="C1632" t="s">
        <v>40</v>
      </c>
      <c r="D1632">
        <v>6.0888770000000001</v>
      </c>
      <c r="E1632">
        <v>0.49230750000000001</v>
      </c>
      <c r="F1632" t="s">
        <v>41</v>
      </c>
      <c r="G1632">
        <v>-191.45740000000001</v>
      </c>
      <c r="H1632" s="1">
        <v>-1.6374509999999999E-6</v>
      </c>
      <c r="I1632">
        <v>322.50209999999998</v>
      </c>
      <c r="J1632">
        <v>-191.09630000000001</v>
      </c>
      <c r="K1632">
        <v>1.1086819999999999</v>
      </c>
      <c r="L1632">
        <v>345.8073</v>
      </c>
      <c r="M1632">
        <v>7.0332569999999898E-3</v>
      </c>
      <c r="N1632">
        <v>0</v>
      </c>
      <c r="O1632">
        <v>-0.99988390000000005</v>
      </c>
      <c r="P1632">
        <v>-4.0444199999999902E-2</v>
      </c>
      <c r="Q1632">
        <v>9.1394790000000004E-2</v>
      </c>
      <c r="R1632">
        <v>-0.99499360000000003</v>
      </c>
      <c r="S1632">
        <v>-4.6890260000000003E-2</v>
      </c>
      <c r="T1632">
        <v>-0.142879799999999</v>
      </c>
      <c r="U1632">
        <v>-3.0272220000000001</v>
      </c>
      <c r="V1632">
        <v>4.7928510000000001E-2</v>
      </c>
      <c r="W1632">
        <v>0.1046188</v>
      </c>
      <c r="X1632">
        <v>0.99335680000000004</v>
      </c>
      <c r="Y1632">
        <v>2.2503140000000001E-2</v>
      </c>
      <c r="Z1632">
        <v>4.7135320000000001E-2</v>
      </c>
      <c r="AA1632">
        <v>0.99863500000000005</v>
      </c>
      <c r="AB1632">
        <v>19</v>
      </c>
      <c r="AC1632">
        <v>-0.36109999999999298</v>
      </c>
      <c r="AD1632">
        <v>-1.1086836374509901</v>
      </c>
      <c r="AE1632">
        <v>-23.305199999999999</v>
      </c>
      <c r="AF1632">
        <v>0.52383228875477295</v>
      </c>
      <c r="AG1632">
        <v>-1.1086836374509901</v>
      </c>
      <c r="AH1632">
        <v>23.2494795521438</v>
      </c>
      <c r="AI1632">
        <v>92.729468750028801</v>
      </c>
      <c r="AJ1632">
        <v>88.709291444249004</v>
      </c>
      <c r="AK1632">
        <v>23.281792867394199</v>
      </c>
      <c r="AL1632">
        <v>83.9947954533</v>
      </c>
      <c r="AM1632">
        <v>87.237675962955805</v>
      </c>
      <c r="AN1632">
        <v>0.99999998374525001</v>
      </c>
    </row>
    <row r="1633" spans="1:40" x14ac:dyDescent="0.25">
      <c r="A1633" t="str">
        <f>"20190312164020174"</f>
        <v>20190312164020174</v>
      </c>
      <c r="B1633" t="str">
        <f>"1552380020167292"</f>
        <v>1552380020167292</v>
      </c>
      <c r="C1633" t="s">
        <v>40</v>
      </c>
      <c r="D1633">
        <v>5.9699030000000004</v>
      </c>
      <c r="E1633">
        <v>0.49276589999999998</v>
      </c>
      <c r="F1633" t="s">
        <v>41</v>
      </c>
      <c r="G1633">
        <v>-191.40880000000001</v>
      </c>
      <c r="H1633" s="1">
        <v>-2.2839389999999999E-6</v>
      </c>
      <c r="I1633">
        <v>324.03919999999999</v>
      </c>
      <c r="J1633">
        <v>-191.0993</v>
      </c>
      <c r="K1633">
        <v>1.1088469999999999</v>
      </c>
      <c r="L1633">
        <v>345.63240000000002</v>
      </c>
      <c r="M1633">
        <v>3.639261E-3</v>
      </c>
      <c r="N1633">
        <v>0</v>
      </c>
      <c r="O1633">
        <v>-0.99990219999999996</v>
      </c>
      <c r="P1633">
        <v>-3.9223870000000001E-2</v>
      </c>
      <c r="Q1633">
        <v>9.2067579999999996E-2</v>
      </c>
      <c r="R1633">
        <v>-0.99498010000000003</v>
      </c>
      <c r="S1633">
        <v>-4.3457030000000001E-2</v>
      </c>
      <c r="T1633">
        <v>-0.15419530000000001</v>
      </c>
      <c r="U1633">
        <v>-3.0274960000000002</v>
      </c>
      <c r="V1633">
        <v>4.3290679999999998E-2</v>
      </c>
      <c r="W1633">
        <v>0.10530920000000001</v>
      </c>
      <c r="X1633">
        <v>0.99349679999999996</v>
      </c>
      <c r="Y1633">
        <v>1.797319E-2</v>
      </c>
      <c r="Z1633">
        <v>5.0858479999999998E-2</v>
      </c>
      <c r="AA1633">
        <v>0.99854419999999999</v>
      </c>
      <c r="AB1633">
        <v>19</v>
      </c>
      <c r="AC1633">
        <v>-0.30950000000001399</v>
      </c>
      <c r="AD1633">
        <v>-1.1088492839389901</v>
      </c>
      <c r="AE1633">
        <v>-21.5932</v>
      </c>
      <c r="AF1633">
        <v>0.387067915814306</v>
      </c>
      <c r="AG1633">
        <v>-1.1088492839389901</v>
      </c>
      <c r="AH1633">
        <v>21.535153873195899</v>
      </c>
      <c r="AI1633">
        <v>92.947092665596301</v>
      </c>
      <c r="AJ1633">
        <v>88.970289677283205</v>
      </c>
      <c r="AK1633">
        <v>21.567156063054998</v>
      </c>
      <c r="AL1633">
        <v>83.955018825129002</v>
      </c>
      <c r="AM1633">
        <v>87.504969099339306</v>
      </c>
      <c r="AN1633">
        <v>1.00000000109487</v>
      </c>
    </row>
    <row r="1634" spans="1:40" x14ac:dyDescent="0.25">
      <c r="A1634" t="str">
        <f>"20190312164020196"</f>
        <v>20190312164020196</v>
      </c>
      <c r="B1634" t="str">
        <f>"1552380020187787"</f>
        <v>1552380020187787</v>
      </c>
      <c r="C1634" t="s">
        <v>40</v>
      </c>
      <c r="D1634">
        <v>5.9799540000000002</v>
      </c>
      <c r="E1634">
        <v>0.49300490000000002</v>
      </c>
      <c r="F1634" t="s">
        <v>41</v>
      </c>
      <c r="G1634">
        <v>-191.41040000000001</v>
      </c>
      <c r="H1634" s="1">
        <v>-2.0696730000000002E-6</v>
      </c>
      <c r="I1634">
        <v>323.53879999999998</v>
      </c>
      <c r="J1634">
        <v>-191.10300000000001</v>
      </c>
      <c r="K1634">
        <v>1.109062</v>
      </c>
      <c r="L1634">
        <v>345.43699999999899</v>
      </c>
      <c r="M1634">
        <v>1.541704E-4</v>
      </c>
      <c r="N1634">
        <v>0</v>
      </c>
      <c r="O1634">
        <v>-0.9999091</v>
      </c>
      <c r="P1634">
        <v>-3.9011270000000001E-2</v>
      </c>
      <c r="Q1634">
        <v>9.347606E-2</v>
      </c>
      <c r="R1634">
        <v>-0.99485679999999999</v>
      </c>
      <c r="S1634">
        <v>-4.2617799999999997E-2</v>
      </c>
      <c r="T1634">
        <v>-0.15194769999999999</v>
      </c>
      <c r="U1634">
        <v>-3.0275270000000001</v>
      </c>
      <c r="V1634">
        <v>3.956018E-2</v>
      </c>
      <c r="W1634">
        <v>0.1067288</v>
      </c>
      <c r="X1634">
        <v>0.99350079999999996</v>
      </c>
      <c r="Y1634">
        <v>1.421185E-2</v>
      </c>
      <c r="Z1634">
        <v>5.0120629999999999E-2</v>
      </c>
      <c r="AA1634">
        <v>0.99864200000000003</v>
      </c>
      <c r="AB1634">
        <v>19</v>
      </c>
      <c r="AC1634">
        <v>-0.30740000000002898</v>
      </c>
      <c r="AD1634">
        <v>-1.1090640696730001</v>
      </c>
      <c r="AE1634">
        <v>-21.8981999999999</v>
      </c>
      <c r="AF1634">
        <v>0.30998139524600099</v>
      </c>
      <c r="AG1634">
        <v>-1.1090640696730001</v>
      </c>
      <c r="AH1634">
        <v>21.842137130289</v>
      </c>
      <c r="AI1634">
        <v>92.906482153581194</v>
      </c>
      <c r="AJ1634">
        <v>89.186918691875604</v>
      </c>
      <c r="AK1634">
        <v>21.872472791030901</v>
      </c>
      <c r="AL1634">
        <v>83.873220361042698</v>
      </c>
      <c r="AM1634">
        <v>87.719745634505003</v>
      </c>
      <c r="AN1634">
        <v>0.99999994209585397</v>
      </c>
    </row>
    <row r="1635" spans="1:40" x14ac:dyDescent="0.25">
      <c r="A1635" t="str">
        <f>"20190312164020219"</f>
        <v>20190312164020219</v>
      </c>
      <c r="B1635" t="str">
        <f>"1552380020207311"</f>
        <v>1552380020207311</v>
      </c>
      <c r="C1635" t="s">
        <v>40</v>
      </c>
      <c r="D1635">
        <v>5.890873</v>
      </c>
      <c r="E1635">
        <v>0.49324390000000001</v>
      </c>
      <c r="F1635" t="s">
        <v>41</v>
      </c>
      <c r="G1635">
        <v>-191.4187</v>
      </c>
      <c r="H1635" s="1">
        <v>-1.7764409999999999E-6</v>
      </c>
      <c r="I1635">
        <v>322.8501</v>
      </c>
      <c r="J1635">
        <v>-191.10679999999999</v>
      </c>
      <c r="K1635">
        <v>1.109291</v>
      </c>
      <c r="L1635">
        <v>345.24650000000003</v>
      </c>
      <c r="M1635">
        <v>-2.9046160000000001E-3</v>
      </c>
      <c r="N1635">
        <v>0</v>
      </c>
      <c r="O1635">
        <v>-0.9999055</v>
      </c>
      <c r="P1635">
        <v>-3.8376800000000003E-2</v>
      </c>
      <c r="Q1635">
        <v>9.3774969999999999E-2</v>
      </c>
      <c r="R1635">
        <v>-0.99485389999999996</v>
      </c>
      <c r="S1635">
        <v>-4.2327879999999998E-2</v>
      </c>
      <c r="T1635">
        <v>-0.14867149999999901</v>
      </c>
      <c r="U1635">
        <v>-3.0278019999999999</v>
      </c>
      <c r="V1635">
        <v>3.5825490000000002E-2</v>
      </c>
      <c r="W1635">
        <v>0.10703840000000001</v>
      </c>
      <c r="X1635">
        <v>0.99360919999999997</v>
      </c>
      <c r="Y1635">
        <v>1.10569E-2</v>
      </c>
      <c r="Z1635">
        <v>4.9038850000000002E-2</v>
      </c>
      <c r="AA1635">
        <v>0.9987357</v>
      </c>
      <c r="AB1635">
        <v>19</v>
      </c>
      <c r="AC1635">
        <v>-0.311900000000008</v>
      </c>
      <c r="AD1635">
        <v>-1.1092927764409899</v>
      </c>
      <c r="AE1635">
        <v>-22.3964</v>
      </c>
      <c r="AF1635">
        <v>0.246235915705321</v>
      </c>
      <c r="AG1635">
        <v>-1.1092927764409899</v>
      </c>
      <c r="AH1635">
        <v>22.342411385380199</v>
      </c>
      <c r="AI1635">
        <v>92.842208706681006</v>
      </c>
      <c r="AJ1635">
        <v>89.368568265835194</v>
      </c>
      <c r="AK1635">
        <v>22.371287604955</v>
      </c>
      <c r="AL1635">
        <v>83.855379517720294</v>
      </c>
      <c r="AM1635">
        <v>87.935042703035094</v>
      </c>
      <c r="AN1635">
        <v>0.99999996356646903</v>
      </c>
    </row>
    <row r="1636" spans="1:40" x14ac:dyDescent="0.25">
      <c r="A1636" t="str">
        <f>"20190312164020240"</f>
        <v>20190312164020240</v>
      </c>
      <c r="B1636" t="str">
        <f>"1552380020227803"</f>
        <v>1552380020227803</v>
      </c>
      <c r="C1636" t="s">
        <v>40</v>
      </c>
      <c r="D1636">
        <v>5.9664279999999996</v>
      </c>
      <c r="E1636">
        <v>0.49348789999999998</v>
      </c>
      <c r="F1636" t="s">
        <v>41</v>
      </c>
      <c r="G1636">
        <v>-191.4248</v>
      </c>
      <c r="H1636" s="1">
        <v>-1.702362E-6</v>
      </c>
      <c r="I1636">
        <v>322.6737</v>
      </c>
      <c r="J1636">
        <v>-191.11070000000001</v>
      </c>
      <c r="K1636">
        <v>1.109505</v>
      </c>
      <c r="L1636">
        <v>345.05799999999999</v>
      </c>
      <c r="M1636">
        <v>-5.5642599999999997E-3</v>
      </c>
      <c r="N1636">
        <v>0</v>
      </c>
      <c r="O1636">
        <v>-0.99989439999999996</v>
      </c>
      <c r="P1636">
        <v>-3.8907310000000001E-2</v>
      </c>
      <c r="Q1636">
        <v>9.2896629999999994E-2</v>
      </c>
      <c r="R1636">
        <v>-0.99491549999999995</v>
      </c>
      <c r="S1636">
        <v>-4.2663569999999998E-2</v>
      </c>
      <c r="T1636">
        <v>-0.14880070000000001</v>
      </c>
      <c r="U1636">
        <v>-3.0279240000000001</v>
      </c>
      <c r="V1636">
        <v>3.3651489999999999E-2</v>
      </c>
      <c r="W1636">
        <v>0.1061646</v>
      </c>
      <c r="X1636">
        <v>0.99377899999999997</v>
      </c>
      <c r="Y1636">
        <v>8.5072410000000005E-3</v>
      </c>
      <c r="Z1636">
        <v>4.9079150000000002E-2</v>
      </c>
      <c r="AA1636">
        <v>0.9987587</v>
      </c>
      <c r="AB1636">
        <v>19</v>
      </c>
      <c r="AC1636">
        <v>-0.31409999999999599</v>
      </c>
      <c r="AD1636">
        <v>-1.109506702362</v>
      </c>
      <c r="AE1636">
        <v>-22.3843</v>
      </c>
      <c r="AF1636">
        <v>0.18906743349250599</v>
      </c>
      <c r="AG1636">
        <v>-1.109506702362</v>
      </c>
      <c r="AH1636">
        <v>22.330849294620599</v>
      </c>
      <c r="AI1636">
        <v>92.844296051076697</v>
      </c>
      <c r="AJ1636">
        <v>89.514908411904599</v>
      </c>
      <c r="AK1636">
        <v>22.359194570378701</v>
      </c>
      <c r="AL1636">
        <v>83.905731850992694</v>
      </c>
      <c r="AM1636">
        <v>88.060582973018498</v>
      </c>
      <c r="AN1636">
        <v>1.0000000229566799</v>
      </c>
    </row>
    <row r="1637" spans="1:40" x14ac:dyDescent="0.25">
      <c r="A1637" t="str">
        <f>"20190312164020261"</f>
        <v>20190312164020261</v>
      </c>
      <c r="B1637" t="str">
        <f>"1552380020258060"</f>
        <v>1552380020258060</v>
      </c>
      <c r="C1637" t="s">
        <v>40</v>
      </c>
      <c r="D1637">
        <v>5.8088050000000004</v>
      </c>
      <c r="E1637">
        <v>0.4937937</v>
      </c>
      <c r="F1637" t="s">
        <v>41</v>
      </c>
      <c r="G1637">
        <v>-191.45419999999999</v>
      </c>
      <c r="H1637" s="1">
        <v>-1.889153E-6</v>
      </c>
      <c r="I1637">
        <v>323.09089999999998</v>
      </c>
      <c r="J1637">
        <v>-191.1146</v>
      </c>
      <c r="K1637">
        <v>1.109667</v>
      </c>
      <c r="L1637">
        <v>344.8732</v>
      </c>
      <c r="M1637">
        <v>-7.8901690000000007E-3</v>
      </c>
      <c r="N1637">
        <v>0</v>
      </c>
      <c r="O1637">
        <v>-0.99987910000000002</v>
      </c>
      <c r="P1637">
        <v>-3.7888690000000003E-2</v>
      </c>
      <c r="Q1637">
        <v>9.2707890000000001E-2</v>
      </c>
      <c r="R1637">
        <v>-0.99497250000000004</v>
      </c>
      <c r="S1637">
        <v>-4.7348019999999998E-2</v>
      </c>
      <c r="T1637">
        <v>-0.15292549999999999</v>
      </c>
      <c r="U1637">
        <v>-3.027771</v>
      </c>
      <c r="V1637">
        <v>3.0273939999999999E-2</v>
      </c>
      <c r="W1637">
        <v>0.1059792</v>
      </c>
      <c r="X1637">
        <v>0.9939074</v>
      </c>
      <c r="Y1637">
        <v>7.7257009999999997E-3</v>
      </c>
      <c r="Z1637">
        <v>5.0437129999999997E-2</v>
      </c>
      <c r="AA1637">
        <v>0.99869730000000001</v>
      </c>
      <c r="AB1637">
        <v>19</v>
      </c>
      <c r="AC1637">
        <v>-0.33959999999999002</v>
      </c>
      <c r="AD1637">
        <v>-1.109668889153</v>
      </c>
      <c r="AE1637">
        <v>-21.782299999999999</v>
      </c>
      <c r="AF1637">
        <v>0.167273956792276</v>
      </c>
      <c r="AG1637">
        <v>-1.109668889153</v>
      </c>
      <c r="AH1637">
        <v>21.727925867624201</v>
      </c>
      <c r="AI1637">
        <v>92.923531428462198</v>
      </c>
      <c r="AJ1637">
        <v>89.558913148520304</v>
      </c>
      <c r="AK1637">
        <v>21.7568864530095</v>
      </c>
      <c r="AL1637">
        <v>83.916414683434297</v>
      </c>
      <c r="AM1637">
        <v>88.255337614385894</v>
      </c>
      <c r="AN1637">
        <v>1.00000001102526</v>
      </c>
    </row>
    <row r="1638" spans="1:40" x14ac:dyDescent="0.25">
      <c r="A1638" t="str">
        <f>"20190312164020285"</f>
        <v>20190312164020285</v>
      </c>
      <c r="B1638" t="str">
        <f>"1552380020277580"</f>
        <v>1552380020277580</v>
      </c>
      <c r="C1638" t="s">
        <v>40</v>
      </c>
      <c r="D1638">
        <v>5.9111840000000004</v>
      </c>
      <c r="E1638">
        <v>0.49395050000000001</v>
      </c>
      <c r="F1638" t="s">
        <v>41</v>
      </c>
      <c r="G1638">
        <v>-191.45349999999999</v>
      </c>
      <c r="H1638" s="1">
        <v>-1.9175869999999999E-6</v>
      </c>
      <c r="I1638">
        <v>323.15750000000003</v>
      </c>
      <c r="J1638">
        <v>-191.1189</v>
      </c>
      <c r="K1638">
        <v>1.109796</v>
      </c>
      <c r="L1638">
        <v>344.67689999999999</v>
      </c>
      <c r="M1638">
        <v>-1.0064429999999999E-2</v>
      </c>
      <c r="N1638">
        <v>0</v>
      </c>
      <c r="O1638">
        <v>-0.99985959999999996</v>
      </c>
      <c r="P1638">
        <v>-3.8791300000000001E-2</v>
      </c>
      <c r="Q1638">
        <v>9.4176969999999999E-2</v>
      </c>
      <c r="R1638">
        <v>-0.9947994</v>
      </c>
      <c r="S1638">
        <v>-4.7256470000000002E-2</v>
      </c>
      <c r="T1638">
        <v>-0.15472049999999901</v>
      </c>
      <c r="U1638">
        <v>-3.0278019999999999</v>
      </c>
      <c r="V1638">
        <v>2.8981429999999999E-2</v>
      </c>
      <c r="W1638">
        <v>0.10744040000000001</v>
      </c>
      <c r="X1638">
        <v>0.99378900000000003</v>
      </c>
      <c r="Y1638">
        <v>5.5203930000000002E-3</v>
      </c>
      <c r="Z1638">
        <v>5.1026019999999998E-2</v>
      </c>
      <c r="AA1638">
        <v>0.99868210000000002</v>
      </c>
      <c r="AB1638">
        <v>19</v>
      </c>
      <c r="AC1638">
        <v>-0.33459999999999401</v>
      </c>
      <c r="AD1638">
        <v>-1.1097979175870001</v>
      </c>
      <c r="AE1638">
        <v>-21.519399999999901</v>
      </c>
      <c r="AF1638">
        <v>0.11767022780023099</v>
      </c>
      <c r="AG1638">
        <v>-1.1097979175870001</v>
      </c>
      <c r="AH1638">
        <v>21.464602830282001</v>
      </c>
      <c r="AI1638">
        <v>92.959719948003396</v>
      </c>
      <c r="AJ1638">
        <v>89.6859042795855</v>
      </c>
      <c r="AK1638">
        <v>21.4935960779517</v>
      </c>
      <c r="AL1638">
        <v>83.832213055259899</v>
      </c>
      <c r="AM1638">
        <v>88.329581900483603</v>
      </c>
      <c r="AN1638">
        <v>0.99999996967900195</v>
      </c>
    </row>
    <row r="1639" spans="1:40" x14ac:dyDescent="0.25">
      <c r="A1639" t="str">
        <f>"20190312164020307"</f>
        <v>20190312164020307</v>
      </c>
      <c r="B1639" t="str">
        <f>"1552380020298076"</f>
        <v>1552380020298076</v>
      </c>
      <c r="C1639" t="s">
        <v>40</v>
      </c>
      <c r="D1639">
        <v>5.9695349999999996</v>
      </c>
      <c r="E1639">
        <v>0.49413390000000001</v>
      </c>
      <c r="F1639" t="s">
        <v>41</v>
      </c>
      <c r="G1639">
        <v>-191.4725</v>
      </c>
      <c r="H1639" s="1">
        <v>-1.7360059999999999E-6</v>
      </c>
      <c r="I1639">
        <v>322.72250000000003</v>
      </c>
      <c r="J1639">
        <v>-191.1233</v>
      </c>
      <c r="K1639">
        <v>1.109909</v>
      </c>
      <c r="L1639">
        <v>344.48180000000002</v>
      </c>
      <c r="M1639">
        <v>-1.1928609999999999E-2</v>
      </c>
      <c r="N1639">
        <v>0</v>
      </c>
      <c r="O1639">
        <v>-0.99983949999999999</v>
      </c>
      <c r="P1639">
        <v>-3.9790699999999998E-2</v>
      </c>
      <c r="Q1639">
        <v>9.4580520000000001E-2</v>
      </c>
      <c r="R1639">
        <v>-0.99472179999999999</v>
      </c>
      <c r="S1639">
        <v>-4.8767089999999999E-2</v>
      </c>
      <c r="T1639">
        <v>-0.15307899999999999</v>
      </c>
      <c r="U1639">
        <v>-3.0282589999999998</v>
      </c>
      <c r="V1639">
        <v>2.8095999999999999E-2</v>
      </c>
      <c r="W1639">
        <v>0.1078358</v>
      </c>
      <c r="X1639">
        <v>0.99377159999999998</v>
      </c>
      <c r="Y1639">
        <v>4.1521120000000003E-3</v>
      </c>
      <c r="Z1639">
        <v>5.0476849999999997E-2</v>
      </c>
      <c r="AA1639">
        <v>0.99871659999999995</v>
      </c>
      <c r="AB1639">
        <v>19</v>
      </c>
      <c r="AC1639">
        <v>-0.34919999999999601</v>
      </c>
      <c r="AD1639">
        <v>-1.1099107360060001</v>
      </c>
      <c r="AE1639">
        <v>-21.7593</v>
      </c>
      <c r="AF1639">
        <v>8.9361307604407997E-2</v>
      </c>
      <c r="AG1639">
        <v>-1.1099107360060001</v>
      </c>
      <c r="AH1639">
        <v>21.7054571030834</v>
      </c>
      <c r="AI1639">
        <v>92.927251058248899</v>
      </c>
      <c r="AJ1639">
        <v>89.764114764968795</v>
      </c>
      <c r="AK1639">
        <v>21.733999984793201</v>
      </c>
      <c r="AL1639">
        <v>83.809425908748906</v>
      </c>
      <c r="AM1639">
        <v>88.380559958446895</v>
      </c>
      <c r="AN1639">
        <v>0.99999996897209897</v>
      </c>
    </row>
    <row r="1640" spans="1:40" x14ac:dyDescent="0.25">
      <c r="A1640" t="str">
        <f>"20190312164020330"</f>
        <v>20190312164020330</v>
      </c>
      <c r="B1640" t="str">
        <f>"1552380020318136"</f>
        <v>1552380020318136</v>
      </c>
      <c r="C1640" t="s">
        <v>40</v>
      </c>
      <c r="D1640">
        <v>6.0435059999999998</v>
      </c>
      <c r="E1640">
        <v>0.49446839999999997</v>
      </c>
      <c r="F1640" t="s">
        <v>41</v>
      </c>
      <c r="G1640">
        <v>-191.51070000000001</v>
      </c>
      <c r="H1640" s="1">
        <v>-1.654614E-6</v>
      </c>
      <c r="I1640">
        <v>322.50909999999999</v>
      </c>
      <c r="J1640">
        <v>-191.12780000000001</v>
      </c>
      <c r="K1640">
        <v>1.1100319999999999</v>
      </c>
      <c r="L1640">
        <v>344.28609999999998</v>
      </c>
      <c r="M1640">
        <v>-1.350993E-2</v>
      </c>
      <c r="N1640">
        <v>0</v>
      </c>
      <c r="O1640">
        <v>-0.99981960000000003</v>
      </c>
      <c r="P1640">
        <v>-3.9626469999999997E-2</v>
      </c>
      <c r="Q1640">
        <v>9.3463699999999997E-2</v>
      </c>
      <c r="R1640">
        <v>-0.99483390000000005</v>
      </c>
      <c r="S1640">
        <v>-5.33905E-2</v>
      </c>
      <c r="T1640">
        <v>-0.1529703</v>
      </c>
      <c r="U1640">
        <v>-3.0283199999999999</v>
      </c>
      <c r="V1640">
        <v>2.632199E-2</v>
      </c>
      <c r="W1640">
        <v>0.10671650000000001</v>
      </c>
      <c r="X1640">
        <v>0.99394099999999996</v>
      </c>
      <c r="Y1640">
        <v>4.0945820000000003E-3</v>
      </c>
      <c r="Z1640">
        <v>5.0437919999999997E-2</v>
      </c>
      <c r="AA1640">
        <v>0.99871880000000002</v>
      </c>
      <c r="AB1640">
        <v>19</v>
      </c>
      <c r="AC1640">
        <v>-0.38290000000000601</v>
      </c>
      <c r="AD1640">
        <v>-1.1100336546139999</v>
      </c>
      <c r="AE1640">
        <v>-21.776999999999902</v>
      </c>
      <c r="AF1640">
        <v>8.8403458184806605E-2</v>
      </c>
      <c r="AG1640">
        <v>-1.1100336546139999</v>
      </c>
      <c r="AH1640">
        <v>21.723759920560699</v>
      </c>
      <c r="AI1640">
        <v>92.925112974963398</v>
      </c>
      <c r="AJ1640">
        <v>89.766839759460396</v>
      </c>
      <c r="AK1640">
        <v>21.752281144099701</v>
      </c>
      <c r="AL1640">
        <v>83.873929411043804</v>
      </c>
      <c r="AM1640">
        <v>88.483022109966896</v>
      </c>
      <c r="AN1640">
        <v>0.99999998500540399</v>
      </c>
    </row>
    <row r="1641" spans="1:40" x14ac:dyDescent="0.25">
      <c r="A1641" t="str">
        <f>"20190312164020352"</f>
        <v>20190312164020352</v>
      </c>
      <c r="B1641" t="str">
        <f>"1552380020347416"</f>
        <v>1552380020347416</v>
      </c>
      <c r="C1641" t="s">
        <v>40</v>
      </c>
      <c r="D1641">
        <v>5.9627080000000001</v>
      </c>
      <c r="E1641">
        <v>0.49457960000000001</v>
      </c>
      <c r="F1641" t="s">
        <v>41</v>
      </c>
      <c r="G1641">
        <v>-191.5395</v>
      </c>
      <c r="H1641" s="1">
        <v>-1.579659E-6</v>
      </c>
      <c r="I1641">
        <v>322.31650000000002</v>
      </c>
      <c r="J1641">
        <v>-191.1319</v>
      </c>
      <c r="K1641">
        <v>1.1101639999999999</v>
      </c>
      <c r="L1641">
        <v>344.1037</v>
      </c>
      <c r="M1641">
        <v>-1.473787E-2</v>
      </c>
      <c r="N1641">
        <v>0</v>
      </c>
      <c r="O1641">
        <v>-0.99980279999999999</v>
      </c>
      <c r="P1641">
        <v>-3.92857E-2</v>
      </c>
      <c r="Q1641">
        <v>9.127499E-2</v>
      </c>
      <c r="R1641">
        <v>-0.99505080000000001</v>
      </c>
      <c r="S1641">
        <v>-5.6747440000000003E-2</v>
      </c>
      <c r="T1641">
        <v>-0.15297729999999901</v>
      </c>
      <c r="U1641">
        <v>-3.0277099999999999</v>
      </c>
      <c r="V1641">
        <v>2.471862E-2</v>
      </c>
      <c r="W1641">
        <v>0.1045249</v>
      </c>
      <c r="X1641">
        <v>0.99421499999999996</v>
      </c>
      <c r="Y1641">
        <v>3.9769109999999996E-3</v>
      </c>
      <c r="Z1641">
        <v>5.0448560000000003E-2</v>
      </c>
      <c r="AA1641">
        <v>0.99871869999999996</v>
      </c>
      <c r="AB1641">
        <v>19</v>
      </c>
      <c r="AC1641">
        <v>-0.40760000000000202</v>
      </c>
      <c r="AD1641">
        <v>-1.110165579659</v>
      </c>
      <c r="AE1641">
        <v>-21.787199999999899</v>
      </c>
      <c r="AF1641">
        <v>8.6206607118925097E-2</v>
      </c>
      <c r="AG1641">
        <v>-1.110165579659</v>
      </c>
      <c r="AH1641">
        <v>21.734429329772802</v>
      </c>
      <c r="AI1641">
        <v>92.924027610650597</v>
      </c>
      <c r="AJ1641">
        <v>89.772745408781503</v>
      </c>
      <c r="AK1641">
        <v>21.762934486972501</v>
      </c>
      <c r="AL1641">
        <v>84.000205077338194</v>
      </c>
      <c r="AM1641">
        <v>88.575779996611104</v>
      </c>
      <c r="AN1641">
        <v>0.99999996555985604</v>
      </c>
    </row>
    <row r="1642" spans="1:40" x14ac:dyDescent="0.25">
      <c r="A1642" t="str">
        <f>"20190312164020373"</f>
        <v>20190312164020373</v>
      </c>
      <c r="B1642" t="str">
        <f>"1552380020367912"</f>
        <v>1552380020367912</v>
      </c>
      <c r="C1642" t="s">
        <v>40</v>
      </c>
      <c r="D1642">
        <v>5.9650720000000002</v>
      </c>
      <c r="E1642">
        <v>0.49473549999999999</v>
      </c>
      <c r="F1642" t="s">
        <v>41</v>
      </c>
      <c r="G1642">
        <v>-191.53450000000001</v>
      </c>
      <c r="H1642" s="1">
        <v>-1.9921730000000001E-6</v>
      </c>
      <c r="I1642">
        <v>323.28120000000001</v>
      </c>
      <c r="J1642">
        <v>-191.1361</v>
      </c>
      <c r="K1642">
        <v>1.1102989999999999</v>
      </c>
      <c r="L1642">
        <v>343.91410000000002</v>
      </c>
      <c r="M1642">
        <v>-1.5781219999999999E-2</v>
      </c>
      <c r="N1642">
        <v>0</v>
      </c>
      <c r="O1642">
        <v>-0.99978699999999998</v>
      </c>
      <c r="P1642">
        <v>-3.9381670000000001E-2</v>
      </c>
      <c r="Q1642">
        <v>9.0720159999999994E-2</v>
      </c>
      <c r="R1642">
        <v>-0.99509760000000003</v>
      </c>
      <c r="S1642">
        <v>-5.8532710000000002E-2</v>
      </c>
      <c r="T1642">
        <v>-0.16140660000000001</v>
      </c>
      <c r="U1642">
        <v>-3.027374</v>
      </c>
      <c r="V1642">
        <v>2.37361E-2</v>
      </c>
      <c r="W1642">
        <v>0.103956199999999</v>
      </c>
      <c r="X1642">
        <v>0.99429860000000003</v>
      </c>
      <c r="Y1642">
        <v>3.5213900000000001E-3</v>
      </c>
      <c r="Z1642">
        <v>5.3225050000000003E-2</v>
      </c>
      <c r="AA1642">
        <v>0.99857629999999997</v>
      </c>
      <c r="AB1642">
        <v>19</v>
      </c>
      <c r="AC1642">
        <v>-0.39840000000000902</v>
      </c>
      <c r="AD1642">
        <v>-1.1103009921729901</v>
      </c>
      <c r="AE1642">
        <v>-20.632899999999999</v>
      </c>
      <c r="AF1642">
        <v>7.2499376609081997E-2</v>
      </c>
      <c r="AG1642">
        <v>-1.1103009921729901</v>
      </c>
      <c r="AH1642">
        <v>20.577054124098499</v>
      </c>
      <c r="AI1642">
        <v>93.088563393314899</v>
      </c>
      <c r="AJ1642">
        <v>89.798129942040603</v>
      </c>
      <c r="AK1642">
        <v>20.607114812096</v>
      </c>
      <c r="AL1642">
        <v>84.032967881659303</v>
      </c>
      <c r="AM1642">
        <v>88.632483141455197</v>
      </c>
      <c r="AN1642">
        <v>0.999999999961805</v>
      </c>
    </row>
    <row r="1643" spans="1:40" x14ac:dyDescent="0.25">
      <c r="A1643" t="str">
        <f>"20190312164020396"</f>
        <v>20190312164020396</v>
      </c>
      <c r="B1643" t="str">
        <f>"1552380020387432"</f>
        <v>1552380020387432</v>
      </c>
      <c r="C1643" t="s">
        <v>40</v>
      </c>
      <c r="D1643">
        <v>6.0287980000000001</v>
      </c>
      <c r="E1643">
        <v>0.49482350000000003</v>
      </c>
      <c r="F1643" t="s">
        <v>41</v>
      </c>
      <c r="G1643">
        <v>-191.54669999999999</v>
      </c>
      <c r="H1643" s="1">
        <v>-2.1142220000000002E-6</v>
      </c>
      <c r="I1643">
        <v>323.55810000000002</v>
      </c>
      <c r="J1643">
        <v>-191.14019999999999</v>
      </c>
      <c r="K1643">
        <v>1.110439</v>
      </c>
      <c r="L1643">
        <v>343.72519999999997</v>
      </c>
      <c r="M1643">
        <v>-1.658666E-2</v>
      </c>
      <c r="N1643">
        <v>0</v>
      </c>
      <c r="O1643">
        <v>-0.99977419999999995</v>
      </c>
      <c r="P1643">
        <v>-4.0664110000000003E-2</v>
      </c>
      <c r="Q1643">
        <v>9.2538599999999999E-2</v>
      </c>
      <c r="R1643">
        <v>-0.99487859999999995</v>
      </c>
      <c r="S1643">
        <v>-6.1065670000000002E-2</v>
      </c>
      <c r="T1643">
        <v>-0.1651291</v>
      </c>
      <c r="U1643">
        <v>-3.0274350000000001</v>
      </c>
      <c r="V1643">
        <v>2.4183099999999999E-2</v>
      </c>
      <c r="W1643">
        <v>0.10574119999999999</v>
      </c>
      <c r="X1643">
        <v>0.99409959999999997</v>
      </c>
      <c r="Y1643">
        <v>3.5492169999999999E-3</v>
      </c>
      <c r="Z1643">
        <v>5.4446340000000003E-2</v>
      </c>
      <c r="AA1643">
        <v>0.99851040000000002</v>
      </c>
      <c r="AB1643">
        <v>19</v>
      </c>
      <c r="AC1643">
        <v>-0.40649999999999398</v>
      </c>
      <c r="AD1643">
        <v>-1.1104411142220001</v>
      </c>
      <c r="AE1643">
        <v>-20.167099999999898</v>
      </c>
      <c r="AF1643">
        <v>7.1692454554166299E-2</v>
      </c>
      <c r="AG1643">
        <v>-1.1104411142220001</v>
      </c>
      <c r="AH1643">
        <v>20.110122617111099</v>
      </c>
      <c r="AI1643">
        <v>93.1605297502485</v>
      </c>
      <c r="AJ1643">
        <v>89.795741789072906</v>
      </c>
      <c r="AK1643">
        <v>20.140885058791199</v>
      </c>
      <c r="AL1643">
        <v>83.930128184288193</v>
      </c>
      <c r="AM1643">
        <v>88.606461225089404</v>
      </c>
      <c r="AN1643">
        <v>1.0000000192116001</v>
      </c>
    </row>
    <row r="1644" spans="1:40" x14ac:dyDescent="0.25">
      <c r="A1644" t="str">
        <f>"20190312164020419"</f>
        <v>20190312164020419</v>
      </c>
      <c r="B1644" t="str">
        <f>"1552380020407931"</f>
        <v>1552380020407931</v>
      </c>
      <c r="C1644" t="s">
        <v>40</v>
      </c>
      <c r="D1644">
        <v>5.909211</v>
      </c>
      <c r="E1644">
        <v>0.4948882</v>
      </c>
      <c r="F1644" t="s">
        <v>41</v>
      </c>
      <c r="G1644">
        <v>-191.58869999999999</v>
      </c>
      <c r="H1644" s="1">
        <v>-1.7469350000000001E-6</v>
      </c>
      <c r="I1644">
        <v>322.67590000000001</v>
      </c>
      <c r="J1644">
        <v>-191.14410000000001</v>
      </c>
      <c r="K1644">
        <v>1.110563</v>
      </c>
      <c r="L1644">
        <v>343.53609999999998</v>
      </c>
      <c r="M1644">
        <v>-1.714692E-2</v>
      </c>
      <c r="N1644">
        <v>0</v>
      </c>
      <c r="O1644">
        <v>-0.99976589999999999</v>
      </c>
      <c r="P1644">
        <v>-4.1769309999999997E-2</v>
      </c>
      <c r="Q1644">
        <v>9.4581810000000002E-2</v>
      </c>
      <c r="R1644">
        <v>-0.99464090000000005</v>
      </c>
      <c r="S1644">
        <v>-6.4514160000000001E-2</v>
      </c>
      <c r="T1644">
        <v>-0.159724799999999</v>
      </c>
      <c r="U1644">
        <v>-3.0277099999999999</v>
      </c>
      <c r="V1644">
        <v>2.470089E-2</v>
      </c>
      <c r="W1644">
        <v>0.10772959999999999</v>
      </c>
      <c r="X1644">
        <v>0.99387340000000002</v>
      </c>
      <c r="Y1644">
        <v>4.1258570000000001E-3</v>
      </c>
      <c r="Z1644">
        <v>5.2663300000000003E-2</v>
      </c>
      <c r="AA1644">
        <v>0.99860380000000004</v>
      </c>
      <c r="AB1644">
        <v>19</v>
      </c>
      <c r="AC1644">
        <v>-0.44459999999997901</v>
      </c>
      <c r="AD1644">
        <v>-1.110564746935</v>
      </c>
      <c r="AE1644">
        <v>-20.860199999999899</v>
      </c>
      <c r="AF1644">
        <v>8.6570040497632395E-2</v>
      </c>
      <c r="AG1644">
        <v>-1.110564746935</v>
      </c>
      <c r="AH1644">
        <v>20.805812978655599</v>
      </c>
      <c r="AI1644">
        <v>93.055386264501294</v>
      </c>
      <c r="AJ1644">
        <v>89.761601753611899</v>
      </c>
      <c r="AK1644">
        <v>20.8356113932814</v>
      </c>
      <c r="AL1644">
        <v>83.815546990196694</v>
      </c>
      <c r="AM1644">
        <v>88.576312170596495</v>
      </c>
      <c r="AN1644">
        <v>1.0000000679552501</v>
      </c>
    </row>
    <row r="1645" spans="1:40" x14ac:dyDescent="0.25">
      <c r="A1645" t="str">
        <f>"20190312164020440"</f>
        <v>20190312164020440</v>
      </c>
      <c r="B1645" t="str">
        <f>"1552380020427449"</f>
        <v>1552380020427449</v>
      </c>
      <c r="C1645" t="s">
        <v>40</v>
      </c>
      <c r="D1645">
        <v>9.1596130000000002</v>
      </c>
      <c r="E1645">
        <v>0.4949945</v>
      </c>
      <c r="F1645" t="s">
        <v>41</v>
      </c>
      <c r="G1645">
        <v>-191.63579999999999</v>
      </c>
      <c r="H1645" s="1">
        <v>-1.3544380000000001E-6</v>
      </c>
      <c r="I1645">
        <v>321.73180000000002</v>
      </c>
      <c r="J1645">
        <v>-191.14769999999999</v>
      </c>
      <c r="K1645">
        <v>1.110643</v>
      </c>
      <c r="L1645">
        <v>343.35449999999997</v>
      </c>
      <c r="M1645">
        <v>-1.7452390000000002E-2</v>
      </c>
      <c r="N1645">
        <v>0</v>
      </c>
      <c r="O1645">
        <v>-0.99976140000000002</v>
      </c>
      <c r="P1645">
        <v>-4.1674599999999999E-2</v>
      </c>
      <c r="Q1645">
        <v>9.4135689999999994E-2</v>
      </c>
      <c r="R1645">
        <v>-0.99468699999999999</v>
      </c>
      <c r="S1645">
        <v>-6.8283079999999996E-2</v>
      </c>
      <c r="T1645">
        <v>-0.15422179999999999</v>
      </c>
      <c r="U1645">
        <v>-3.0279240000000001</v>
      </c>
      <c r="V1645">
        <v>2.4275120000000001E-2</v>
      </c>
      <c r="W1645">
        <v>0.1072095</v>
      </c>
      <c r="X1645">
        <v>0.99394009999999999</v>
      </c>
      <c r="Y1645">
        <v>5.0633249999999996E-3</v>
      </c>
      <c r="Z1645">
        <v>5.0848860000000003E-2</v>
      </c>
      <c r="AA1645">
        <v>0.99869350000000001</v>
      </c>
      <c r="AB1645">
        <v>19</v>
      </c>
      <c r="AC1645">
        <v>-0.48810000000000198</v>
      </c>
      <c r="AD1645">
        <v>-1.110644354438</v>
      </c>
      <c r="AE1645">
        <v>-21.622699999999899</v>
      </c>
      <c r="AF1645">
        <v>0.110334340235267</v>
      </c>
      <c r="AG1645">
        <v>-1.110644354438</v>
      </c>
      <c r="AH1645">
        <v>21.5710427589269</v>
      </c>
      <c r="AI1645">
        <v>92.947389319257894</v>
      </c>
      <c r="AJ1645">
        <v>89.706938743205498</v>
      </c>
      <c r="AK1645">
        <v>21.599897922354401</v>
      </c>
      <c r="AL1645">
        <v>83.845519946026201</v>
      </c>
      <c r="AM1645">
        <v>88.600936336554298</v>
      </c>
      <c r="AN1645">
        <v>1.0000000403646301</v>
      </c>
    </row>
    <row r="1646" spans="1:40" x14ac:dyDescent="0.25">
      <c r="A1646" t="str">
        <f>"20190312164020462"</f>
        <v>20190312164020462</v>
      </c>
      <c r="B1646" t="str">
        <f>"1552380020457704"</f>
        <v>1552380020457704</v>
      </c>
      <c r="C1646" t="s">
        <v>40</v>
      </c>
      <c r="D1646">
        <v>5.9671440000000002</v>
      </c>
      <c r="E1646">
        <v>0.49510959999999898</v>
      </c>
      <c r="F1646" t="s">
        <v>41</v>
      </c>
      <c r="G1646">
        <v>-191.64410000000001</v>
      </c>
      <c r="H1646" s="1">
        <v>-1.3761419999999999E-6</v>
      </c>
      <c r="I1646">
        <v>321.77730000000003</v>
      </c>
      <c r="J1646">
        <v>-191.15119999999999</v>
      </c>
      <c r="K1646">
        <v>1.11069</v>
      </c>
      <c r="L1646">
        <v>343.1651</v>
      </c>
      <c r="M1646">
        <v>-1.759136E-2</v>
      </c>
      <c r="N1646">
        <v>0</v>
      </c>
      <c r="O1646">
        <v>-0.99976010000000004</v>
      </c>
      <c r="P1646">
        <v>-4.0832670000000001E-2</v>
      </c>
      <c r="Q1646">
        <v>9.2435890000000007E-2</v>
      </c>
      <c r="R1646">
        <v>-0.99488120000000002</v>
      </c>
      <c r="S1646">
        <v>-6.9656369999999995E-2</v>
      </c>
      <c r="T1646">
        <v>-0.1558532</v>
      </c>
      <c r="U1646">
        <v>-3.027863</v>
      </c>
      <c r="V1646">
        <v>2.3274280000000001E-2</v>
      </c>
      <c r="W1646">
        <v>0.1054187</v>
      </c>
      <c r="X1646">
        <v>0.99415549999999997</v>
      </c>
      <c r="Y1646">
        <v>5.3768959999999999E-3</v>
      </c>
      <c r="Z1646">
        <v>5.138587E-2</v>
      </c>
      <c r="AA1646">
        <v>0.99866440000000001</v>
      </c>
      <c r="AB1646">
        <v>19</v>
      </c>
      <c r="AC1646">
        <v>-0.49290000000001999</v>
      </c>
      <c r="AD1646">
        <v>-1.1106913761420001</v>
      </c>
      <c r="AE1646">
        <v>-21.387799999999899</v>
      </c>
      <c r="AF1646">
        <v>0.116237879729695</v>
      </c>
      <c r="AG1646">
        <v>-1.1106913761420001</v>
      </c>
      <c r="AH1646">
        <v>21.3356531901048</v>
      </c>
      <c r="AI1646">
        <v>92.979969352733207</v>
      </c>
      <c r="AJ1646">
        <v>89.687852348464901</v>
      </c>
      <c r="AK1646">
        <v>21.3648600188756</v>
      </c>
      <c r="AL1646">
        <v>83.948709669028105</v>
      </c>
      <c r="AM1646">
        <v>88.658887396905399</v>
      </c>
      <c r="AN1646">
        <v>0.99999997629972803</v>
      </c>
    </row>
    <row r="1647" spans="1:40" x14ac:dyDescent="0.25">
      <c r="A1647" t="str">
        <f>"20190312164020486"</f>
        <v>20190312164020486</v>
      </c>
      <c r="B1647" t="str">
        <f>"1552380020477225"</f>
        <v>1552380020477225</v>
      </c>
      <c r="C1647" t="s">
        <v>40</v>
      </c>
      <c r="D1647">
        <v>5.9663000000000004</v>
      </c>
      <c r="E1647">
        <v>0.49511280000000002</v>
      </c>
      <c r="F1647" t="s">
        <v>41</v>
      </c>
      <c r="G1647">
        <v>-191.63059999999999</v>
      </c>
      <c r="H1647" s="1">
        <v>-1.577318E-6</v>
      </c>
      <c r="I1647">
        <v>322.25459999999998</v>
      </c>
      <c r="J1647">
        <v>-191.1549</v>
      </c>
      <c r="K1647">
        <v>1.1107009999999999</v>
      </c>
      <c r="L1647">
        <v>342.96080000000001</v>
      </c>
      <c r="M1647">
        <v>-1.758332E-2</v>
      </c>
      <c r="N1647">
        <v>0</v>
      </c>
      <c r="O1647">
        <v>-0.99976229999999999</v>
      </c>
      <c r="P1647">
        <v>-3.9961919999999998E-2</v>
      </c>
      <c r="Q1647">
        <v>9.2508489999999999E-2</v>
      </c>
      <c r="R1647">
        <v>-0.99490990000000001</v>
      </c>
      <c r="S1647">
        <v>-6.9396970000000002E-2</v>
      </c>
      <c r="T1647">
        <v>-0.1608115</v>
      </c>
      <c r="U1647">
        <v>-3.0275270000000001</v>
      </c>
      <c r="V1647">
        <v>2.2400179999999999E-2</v>
      </c>
      <c r="W1647">
        <v>0.1053552</v>
      </c>
      <c r="X1647">
        <v>0.99418229999999996</v>
      </c>
      <c r="Y1647">
        <v>5.3000360000000002E-3</v>
      </c>
      <c r="Z1647">
        <v>5.3022090000000001E-2</v>
      </c>
      <c r="AA1647">
        <v>0.99857929999999995</v>
      </c>
      <c r="AB1647">
        <v>19</v>
      </c>
      <c r="AC1647">
        <v>-0.47569999999998902</v>
      </c>
      <c r="AD1647">
        <v>-1.1107025773179999</v>
      </c>
      <c r="AE1647">
        <v>-20.706199999999999</v>
      </c>
      <c r="AF1647">
        <v>0.111192677949699</v>
      </c>
      <c r="AG1647">
        <v>-1.1107025773179999</v>
      </c>
      <c r="AH1647">
        <v>20.6519715153715</v>
      </c>
      <c r="AI1647">
        <v>93.078466305507604</v>
      </c>
      <c r="AJ1647">
        <v>89.691515669851299</v>
      </c>
      <c r="AK1647">
        <v>20.682116707402201</v>
      </c>
      <c r="AL1647">
        <v>83.952368262176293</v>
      </c>
      <c r="AM1647">
        <v>88.709272274861704</v>
      </c>
      <c r="AN1647">
        <v>0.99999996593217999</v>
      </c>
    </row>
    <row r="1648" spans="1:40" x14ac:dyDescent="0.25">
      <c r="A1648" t="str">
        <f>"20190312164020510"</f>
        <v>20190312164020510</v>
      </c>
      <c r="B1648" t="str">
        <f>"1552380020497720"</f>
        <v>1552380020497720</v>
      </c>
      <c r="C1648" t="s">
        <v>40</v>
      </c>
      <c r="D1648">
        <v>5.8469329999999999</v>
      </c>
      <c r="E1648">
        <v>0.49514209999999897</v>
      </c>
      <c r="F1648" t="s">
        <v>41</v>
      </c>
      <c r="G1648">
        <v>-191.61750000000001</v>
      </c>
      <c r="H1648" s="1">
        <v>-1.5140330000000001E-6</v>
      </c>
      <c r="I1648">
        <v>322.11509999999998</v>
      </c>
      <c r="J1648">
        <v>-191.1583</v>
      </c>
      <c r="K1648">
        <v>1.110681</v>
      </c>
      <c r="L1648">
        <v>342.76780000000002</v>
      </c>
      <c r="M1648">
        <v>-1.748092E-2</v>
      </c>
      <c r="N1648">
        <v>0</v>
      </c>
      <c r="O1648">
        <v>-0.9997663</v>
      </c>
      <c r="P1648">
        <v>-3.9981219999999998E-2</v>
      </c>
      <c r="Q1648">
        <v>9.3363000000000002E-2</v>
      </c>
      <c r="R1648">
        <v>-0.99482919999999997</v>
      </c>
      <c r="S1648">
        <v>-6.7184450000000007E-2</v>
      </c>
      <c r="T1648">
        <v>-0.1613185</v>
      </c>
      <c r="U1648">
        <v>-3.0276179999999999</v>
      </c>
      <c r="V1648">
        <v>2.251792E-2</v>
      </c>
      <c r="W1648">
        <v>0.1060275</v>
      </c>
      <c r="X1648">
        <v>0.9941082</v>
      </c>
      <c r="Y1648">
        <v>4.6722370000000001E-3</v>
      </c>
      <c r="Z1648">
        <v>5.3187850000000002E-2</v>
      </c>
      <c r="AA1648">
        <v>0.99857359999999995</v>
      </c>
      <c r="AB1648">
        <v>19</v>
      </c>
      <c r="AC1648">
        <v>-0.45920000000000899</v>
      </c>
      <c r="AD1648">
        <v>-1.1106825140329999</v>
      </c>
      <c r="AE1648">
        <v>-20.652699999999999</v>
      </c>
      <c r="AF1648">
        <v>9.7789734697098493E-2</v>
      </c>
      <c r="AG1648">
        <v>-1.1106825140329999</v>
      </c>
      <c r="AH1648">
        <v>20.5980276960167</v>
      </c>
      <c r="AI1648">
        <v>93.086467167982406</v>
      </c>
      <c r="AJ1648">
        <v>89.727988666382799</v>
      </c>
      <c r="AK1648">
        <v>20.6281827470347</v>
      </c>
      <c r="AL1648">
        <v>83.913631551923999</v>
      </c>
      <c r="AM1648">
        <v>88.702393572729093</v>
      </c>
      <c r="AN1648">
        <v>1.0000000003923</v>
      </c>
    </row>
    <row r="1649" spans="1:40" x14ac:dyDescent="0.25">
      <c r="A1649" t="str">
        <f>"20190312164020531"</f>
        <v>20190312164020531</v>
      </c>
      <c r="B1649" t="str">
        <f>"1552380020527976"</f>
        <v>1552380020527976</v>
      </c>
      <c r="C1649" t="s">
        <v>40</v>
      </c>
      <c r="D1649">
        <v>5.884201</v>
      </c>
      <c r="E1649">
        <v>0.52780380000000005</v>
      </c>
      <c r="F1649" t="s">
        <v>41</v>
      </c>
      <c r="G1649">
        <v>-191.62549999999999</v>
      </c>
      <c r="H1649" s="1">
        <v>-1.3663989999999999E-6</v>
      </c>
      <c r="I1649">
        <v>321.76600000000002</v>
      </c>
      <c r="J1649">
        <v>-191.16139999999999</v>
      </c>
      <c r="K1649">
        <v>1.110646</v>
      </c>
      <c r="L1649">
        <v>342.58260000000001</v>
      </c>
      <c r="M1649">
        <v>-1.7340080000000001E-2</v>
      </c>
      <c r="N1649">
        <v>0</v>
      </c>
      <c r="O1649">
        <v>-0.99977159999999998</v>
      </c>
      <c r="P1649">
        <v>-4.0601640000000001E-2</v>
      </c>
      <c r="Q1649">
        <v>9.4509070000000001E-2</v>
      </c>
      <c r="R1649">
        <v>-0.99469600000000002</v>
      </c>
      <c r="S1649">
        <v>-6.7367549999999998E-2</v>
      </c>
      <c r="T1649">
        <v>-0.16013250000000001</v>
      </c>
      <c r="U1649">
        <v>-3.0279240000000001</v>
      </c>
      <c r="V1649">
        <v>2.3279930000000001E-2</v>
      </c>
      <c r="W1649">
        <v>0.1069464</v>
      </c>
      <c r="X1649">
        <v>0.99399219999999999</v>
      </c>
      <c r="Y1649">
        <v>4.8717550000000002E-3</v>
      </c>
      <c r="Z1649">
        <v>5.2792739999999998E-2</v>
      </c>
      <c r="AA1649">
        <v>0.99859359999999997</v>
      </c>
      <c r="AB1649">
        <v>19</v>
      </c>
      <c r="AC1649">
        <v>-0.46410000000000201</v>
      </c>
      <c r="AD1649">
        <v>-1.110647366399</v>
      </c>
      <c r="AE1649">
        <v>-20.816600000000001</v>
      </c>
      <c r="AF1649">
        <v>0.10274818932791401</v>
      </c>
      <c r="AG1649">
        <v>-1.110647366399</v>
      </c>
      <c r="AH1649">
        <v>20.762444011174701</v>
      </c>
      <c r="AI1649">
        <v>93.061972655906501</v>
      </c>
      <c r="AJ1649">
        <v>89.716459702889594</v>
      </c>
      <c r="AK1649">
        <v>20.7923826455763</v>
      </c>
      <c r="AL1649">
        <v>83.860681328761501</v>
      </c>
      <c r="AM1649">
        <v>88.658341650761201</v>
      </c>
      <c r="AN1649">
        <v>0.99999999063730205</v>
      </c>
    </row>
    <row r="1650" spans="1:40" x14ac:dyDescent="0.25">
      <c r="A1650" t="str">
        <f>"20190312164020555"</f>
        <v>20190312164020555</v>
      </c>
      <c r="B1650" t="str">
        <f>"1552380020547496"</f>
        <v>1552380020547496</v>
      </c>
      <c r="C1650" t="s">
        <v>40</v>
      </c>
      <c r="D1650">
        <v>5.9654619999999996</v>
      </c>
      <c r="E1650">
        <v>0.52587530000000005</v>
      </c>
      <c r="F1650" t="s">
        <v>41</v>
      </c>
      <c r="G1650">
        <v>-194.51519999999999</v>
      </c>
      <c r="H1650" s="1">
        <v>-2.3904940000000001E-6</v>
      </c>
      <c r="I1650">
        <v>312.10719999999998</v>
      </c>
      <c r="J1650">
        <v>-191.16470000000001</v>
      </c>
      <c r="K1650">
        <v>1.1105879999999999</v>
      </c>
      <c r="L1650">
        <v>342.38299999999998</v>
      </c>
      <c r="M1650">
        <v>-1.7164829999999999E-2</v>
      </c>
      <c r="N1650">
        <v>0</v>
      </c>
      <c r="O1650">
        <v>-0.99977850000000001</v>
      </c>
      <c r="P1650">
        <v>-4.1136010000000001E-2</v>
      </c>
      <c r="Q1650">
        <v>9.4990309999999994E-2</v>
      </c>
      <c r="R1650">
        <v>-0.99462839999999997</v>
      </c>
      <c r="S1650">
        <v>-0.33155820000000003</v>
      </c>
      <c r="T1650">
        <v>-0.1098017</v>
      </c>
      <c r="U1650">
        <v>-3.0128780000000002</v>
      </c>
      <c r="V1650">
        <v>2.399246E-2</v>
      </c>
      <c r="W1650">
        <v>0.1071356</v>
      </c>
      <c r="X1650">
        <v>0.99395489999999997</v>
      </c>
      <c r="Y1650">
        <v>9.2235659999999997E-2</v>
      </c>
      <c r="Z1650">
        <v>3.6225069999999998E-2</v>
      </c>
      <c r="AA1650">
        <v>0.99507800000000002</v>
      </c>
      <c r="AB1650">
        <v>19</v>
      </c>
      <c r="AC1650">
        <v>-3.3504999999999798</v>
      </c>
      <c r="AD1650">
        <v>-1.110590390494</v>
      </c>
      <c r="AE1650">
        <v>-30.2758</v>
      </c>
      <c r="AF1650">
        <v>2.8265314359619498</v>
      </c>
      <c r="AG1650">
        <v>-1.110590390494</v>
      </c>
      <c r="AH1650">
        <v>30.288590657158</v>
      </c>
      <c r="AI1650">
        <v>92.090844676920298</v>
      </c>
      <c r="AJ1650">
        <v>84.668598173429004</v>
      </c>
      <c r="AK1650">
        <v>30.440456878483602</v>
      </c>
      <c r="AL1650">
        <v>83.849778438980294</v>
      </c>
      <c r="AM1650">
        <v>88.617241282217805</v>
      </c>
      <c r="AN1650">
        <v>1.0000000090791099</v>
      </c>
    </row>
    <row r="1651" spans="1:40" x14ac:dyDescent="0.25">
      <c r="A1651" t="str">
        <f>"20190312164020575"</f>
        <v>20190312164020575</v>
      </c>
      <c r="B1651" t="str">
        <f>"1552380020567992"</f>
        <v>1552380020567992</v>
      </c>
      <c r="C1651" t="s">
        <v>40</v>
      </c>
      <c r="D1651">
        <v>6.2537070000000003</v>
      </c>
      <c r="E1651">
        <v>0.52822069999999999</v>
      </c>
      <c r="F1651" t="s">
        <v>41</v>
      </c>
      <c r="G1651">
        <v>-194.07380000000001</v>
      </c>
      <c r="H1651" s="1">
        <v>-3.5508329999999998E-6</v>
      </c>
      <c r="I1651">
        <v>314.81029999999998</v>
      </c>
      <c r="J1651">
        <v>-191.16749999999999</v>
      </c>
      <c r="K1651">
        <v>1.1105320000000001</v>
      </c>
      <c r="L1651">
        <v>342.20979999999997</v>
      </c>
      <c r="M1651">
        <v>-1.7005340000000001E-2</v>
      </c>
      <c r="N1651">
        <v>0</v>
      </c>
      <c r="O1651">
        <v>-0.99978449999999996</v>
      </c>
      <c r="P1651">
        <v>-4.0824029999999997E-2</v>
      </c>
      <c r="Q1651">
        <v>9.5519649999999998E-2</v>
      </c>
      <c r="R1651">
        <v>-0.99458990000000003</v>
      </c>
      <c r="S1651">
        <v>-0.31806950000000001</v>
      </c>
      <c r="T1651">
        <v>-0.1214259</v>
      </c>
      <c r="U1651">
        <v>-3.0146480000000002</v>
      </c>
      <c r="V1651">
        <v>2.3844089999999998E-2</v>
      </c>
      <c r="W1651">
        <v>0.1073897</v>
      </c>
      <c r="X1651">
        <v>0.99393109999999996</v>
      </c>
      <c r="Y1651">
        <v>8.7913569999999996E-2</v>
      </c>
      <c r="Z1651">
        <v>4.0048390000000003E-2</v>
      </c>
      <c r="AA1651">
        <v>0.9953227</v>
      </c>
      <c r="AB1651">
        <v>19</v>
      </c>
      <c r="AC1651">
        <v>-2.9063000000000101</v>
      </c>
      <c r="AD1651">
        <v>-1.1105355508329999</v>
      </c>
      <c r="AE1651">
        <v>-27.3994999999999</v>
      </c>
      <c r="AF1651">
        <v>2.43595162862804</v>
      </c>
      <c r="AG1651">
        <v>-1.1105355508329999</v>
      </c>
      <c r="AH1651">
        <v>27.400451431302599</v>
      </c>
      <c r="AI1651">
        <v>92.311809930345902</v>
      </c>
      <c r="AJ1651">
        <v>84.9196536742175</v>
      </c>
      <c r="AK1651">
        <v>27.530926032116099</v>
      </c>
      <c r="AL1651">
        <v>83.835135414617</v>
      </c>
      <c r="AM1651">
        <v>88.625756115809295</v>
      </c>
      <c r="AN1651">
        <v>1.00000005992061</v>
      </c>
    </row>
    <row r="1652" spans="1:40" x14ac:dyDescent="0.25">
      <c r="A1652" t="str">
        <f>"20190312164020598"</f>
        <v>20190312164020598</v>
      </c>
      <c r="B1652" t="str">
        <f>"1552380020587515"</f>
        <v>1552380020587515</v>
      </c>
      <c r="C1652" t="s">
        <v>40</v>
      </c>
      <c r="D1652">
        <v>5.8461679999999996</v>
      </c>
      <c r="E1652">
        <v>0.52748189999999995</v>
      </c>
      <c r="F1652" t="s">
        <v>41</v>
      </c>
      <c r="G1652">
        <v>-193.6335</v>
      </c>
      <c r="H1652" s="1">
        <v>-1.17204E-6</v>
      </c>
      <c r="I1652">
        <v>320.06760000000003</v>
      </c>
      <c r="J1652">
        <v>-191.1705</v>
      </c>
      <c r="K1652">
        <v>1.1104639999999999</v>
      </c>
      <c r="L1652">
        <v>342.01819999999998</v>
      </c>
      <c r="M1652">
        <v>-1.683306E-2</v>
      </c>
      <c r="N1652">
        <v>0</v>
      </c>
      <c r="O1652">
        <v>-0.99979110000000004</v>
      </c>
      <c r="P1652">
        <v>-4.1099469999999999E-2</v>
      </c>
      <c r="Q1652">
        <v>9.6674899999999994E-2</v>
      </c>
      <c r="R1652">
        <v>-0.99446710000000005</v>
      </c>
      <c r="S1652">
        <v>-0.33601379999999997</v>
      </c>
      <c r="T1652">
        <v>-0.151317799999999</v>
      </c>
      <c r="U1652">
        <v>-3.017029</v>
      </c>
      <c r="V1652">
        <v>2.4299000000000001E-2</v>
      </c>
      <c r="W1652">
        <v>0.108242</v>
      </c>
      <c r="X1652">
        <v>0.99382760000000003</v>
      </c>
      <c r="Y1652">
        <v>9.3804219999999994E-2</v>
      </c>
      <c r="Z1652">
        <v>4.981696E-2</v>
      </c>
      <c r="AA1652">
        <v>0.99434350000000005</v>
      </c>
      <c r="AB1652">
        <v>19</v>
      </c>
      <c r="AC1652">
        <v>-2.4629999999999899</v>
      </c>
      <c r="AD1652">
        <v>-1.1104651720399901</v>
      </c>
      <c r="AE1652">
        <v>-21.950599999999898</v>
      </c>
      <c r="AF1652">
        <v>2.0878534258636501</v>
      </c>
      <c r="AG1652">
        <v>-1.1104651720399901</v>
      </c>
      <c r="AH1652">
        <v>21.933516140535499</v>
      </c>
      <c r="AI1652">
        <v>92.885315030693107</v>
      </c>
      <c r="AJ1652">
        <v>84.562393624754804</v>
      </c>
      <c r="AK1652">
        <v>22.060629979974099</v>
      </c>
      <c r="AL1652">
        <v>83.786015745750603</v>
      </c>
      <c r="AM1652">
        <v>88.599402128127295</v>
      </c>
      <c r="AN1652">
        <v>1.00000003524337</v>
      </c>
    </row>
    <row r="1653" spans="1:40" x14ac:dyDescent="0.25">
      <c r="A1653" t="str">
        <f>"20190312164020619"</f>
        <v>20190312164020619</v>
      </c>
      <c r="B1653" t="str">
        <f>"1552380020608011"</f>
        <v>1552380020608011</v>
      </c>
      <c r="C1653" t="s">
        <v>40</v>
      </c>
      <c r="D1653">
        <v>5.926285</v>
      </c>
      <c r="E1653">
        <v>0.5277326</v>
      </c>
      <c r="F1653" t="s">
        <v>41</v>
      </c>
      <c r="G1653">
        <v>-193.4461</v>
      </c>
      <c r="H1653" s="1">
        <v>-1.63372E-6</v>
      </c>
      <c r="I1653">
        <v>321.26</v>
      </c>
      <c r="J1653">
        <v>-191.17339999999999</v>
      </c>
      <c r="K1653">
        <v>1.1104050000000001</v>
      </c>
      <c r="L1653">
        <v>341.8338</v>
      </c>
      <c r="M1653">
        <v>-1.6681499999999998E-2</v>
      </c>
      <c r="N1653">
        <v>0</v>
      </c>
      <c r="O1653">
        <v>-0.99979649999999998</v>
      </c>
      <c r="P1653">
        <v>-4.1155219999999999E-2</v>
      </c>
      <c r="Q1653">
        <v>9.7474080000000005E-2</v>
      </c>
      <c r="R1653">
        <v>-0.99438689999999996</v>
      </c>
      <c r="S1653">
        <v>-0.33091739999999997</v>
      </c>
      <c r="T1653">
        <v>-0.16148670000000001</v>
      </c>
      <c r="U1653">
        <v>-3.018707</v>
      </c>
      <c r="V1653">
        <v>2.451393E-2</v>
      </c>
      <c r="W1653">
        <v>0.1087692</v>
      </c>
      <c r="X1653">
        <v>0.9937648</v>
      </c>
      <c r="Y1653">
        <v>9.2217110000000005E-2</v>
      </c>
      <c r="Z1653">
        <v>5.313532E-2</v>
      </c>
      <c r="AA1653">
        <v>0.99432019999999999</v>
      </c>
      <c r="AB1653">
        <v>19</v>
      </c>
      <c r="AC1653">
        <v>-2.2727000000000102</v>
      </c>
      <c r="AD1653">
        <v>-1.11040663371999</v>
      </c>
      <c r="AE1653">
        <v>-20.573799999999999</v>
      </c>
      <c r="AF1653">
        <v>1.9236238991200001</v>
      </c>
      <c r="AG1653">
        <v>-1.11040663371999</v>
      </c>
      <c r="AH1653">
        <v>20.549712443682001</v>
      </c>
      <c r="AI1653">
        <v>93.079540891610606</v>
      </c>
      <c r="AJ1653">
        <v>84.652222444082994</v>
      </c>
      <c r="AK1653">
        <v>20.669397991124299</v>
      </c>
      <c r="AL1653">
        <v>83.755630256395804</v>
      </c>
      <c r="AM1653">
        <v>88.586929276408995</v>
      </c>
      <c r="AN1653">
        <v>1.0000000746758499</v>
      </c>
    </row>
    <row r="1654" spans="1:40" x14ac:dyDescent="0.25">
      <c r="A1654" t="str">
        <f>"20190312164020641"</f>
        <v>20190312164020641</v>
      </c>
      <c r="B1654" t="str">
        <f>"1552380020637288"</f>
        <v>1552380020637288</v>
      </c>
      <c r="C1654" t="s">
        <v>40</v>
      </c>
      <c r="D1654">
        <v>5.9191940000000001</v>
      </c>
      <c r="E1654">
        <v>0.52786929999999999</v>
      </c>
      <c r="F1654" t="s">
        <v>41</v>
      </c>
      <c r="G1654">
        <v>-193.63239999999999</v>
      </c>
      <c r="H1654" s="1">
        <v>-5.3546990000000003E-6</v>
      </c>
      <c r="I1654">
        <v>319.55220000000003</v>
      </c>
      <c r="J1654">
        <v>-191.1763</v>
      </c>
      <c r="K1654">
        <v>1.1103419999999999</v>
      </c>
      <c r="L1654">
        <v>341.64479999999998</v>
      </c>
      <c r="M1654">
        <v>-1.6542230000000002E-2</v>
      </c>
      <c r="N1654">
        <v>0</v>
      </c>
      <c r="O1654">
        <v>-0.99980179999999996</v>
      </c>
      <c r="P1654">
        <v>-4.1102529999999998E-2</v>
      </c>
      <c r="Q1654">
        <v>9.7654450000000004E-2</v>
      </c>
      <c r="R1654">
        <v>-0.99437140000000002</v>
      </c>
      <c r="S1654">
        <v>-0.33305359999999901</v>
      </c>
      <c r="T1654">
        <v>-0.1503969</v>
      </c>
      <c r="U1654">
        <v>-3.0178829999999999</v>
      </c>
      <c r="V1654">
        <v>2.460795E-2</v>
      </c>
      <c r="W1654">
        <v>0.1086881</v>
      </c>
      <c r="X1654">
        <v>0.99377130000000002</v>
      </c>
      <c r="Y1654">
        <v>9.3101110000000001E-2</v>
      </c>
      <c r="Z1654">
        <v>4.950529E-2</v>
      </c>
      <c r="AA1654">
        <v>0.99442520000000001</v>
      </c>
      <c r="AB1654">
        <v>19</v>
      </c>
      <c r="AC1654">
        <v>-2.45609999999999</v>
      </c>
      <c r="AD1654">
        <v>-1.1103473546989999</v>
      </c>
      <c r="AE1654">
        <v>-22.092599999999901</v>
      </c>
      <c r="AF1654">
        <v>2.0850780943202101</v>
      </c>
      <c r="AG1654">
        <v>-1.1103473546989999</v>
      </c>
      <c r="AH1654">
        <v>22.0751286892968</v>
      </c>
      <c r="AI1654">
        <v>92.866731022292996</v>
      </c>
      <c r="AJ1654">
        <v>84.604208500122098</v>
      </c>
      <c r="AK1654">
        <v>22.201165027009601</v>
      </c>
      <c r="AL1654">
        <v>83.760304348002194</v>
      </c>
      <c r="AM1654">
        <v>88.581521111096095</v>
      </c>
      <c r="AN1654">
        <v>1.00000002549425</v>
      </c>
    </row>
    <row r="1655" spans="1:40" x14ac:dyDescent="0.25">
      <c r="A1655" t="str">
        <f>"20190312164020663"</f>
        <v>20190312164020663</v>
      </c>
      <c r="B1655" t="str">
        <f>"1552380020657784"</f>
        <v>1552380020657784</v>
      </c>
      <c r="C1655" t="s">
        <v>40</v>
      </c>
      <c r="D1655">
        <v>5.8413620000000002</v>
      </c>
      <c r="E1655">
        <v>0.527092</v>
      </c>
      <c r="F1655" t="s">
        <v>41</v>
      </c>
      <c r="G1655">
        <v>-193.71100000000001</v>
      </c>
      <c r="H1655" s="1">
        <v>-5.0529299999999999E-6</v>
      </c>
      <c r="I1655">
        <v>318.73009999999999</v>
      </c>
      <c r="J1655">
        <v>-191.17939999999999</v>
      </c>
      <c r="K1655">
        <v>1.1102749999999999</v>
      </c>
      <c r="L1655">
        <v>341.44869999999997</v>
      </c>
      <c r="M1655">
        <v>-1.6412940000000001E-2</v>
      </c>
      <c r="N1655">
        <v>0</v>
      </c>
      <c r="O1655">
        <v>-0.99980670000000005</v>
      </c>
      <c r="P1655">
        <v>-4.1319380000000003E-2</v>
      </c>
      <c r="Q1655">
        <v>9.6760380000000007E-2</v>
      </c>
      <c r="R1655">
        <v>-0.9944499</v>
      </c>
      <c r="S1655">
        <v>-0.33377079999999998</v>
      </c>
      <c r="T1655">
        <v>-0.1462157</v>
      </c>
      <c r="U1655">
        <v>-3.0175169999999998</v>
      </c>
      <c r="V1655">
        <v>2.4960159999999999E-2</v>
      </c>
      <c r="W1655">
        <v>0.1075414</v>
      </c>
      <c r="X1655">
        <v>0.99388719999999997</v>
      </c>
      <c r="Y1655">
        <v>9.3483919999999998E-2</v>
      </c>
      <c r="Z1655">
        <v>4.8136680000000001E-2</v>
      </c>
      <c r="AA1655">
        <v>0.99445649999999997</v>
      </c>
      <c r="AB1655">
        <v>19</v>
      </c>
      <c r="AC1655">
        <v>-2.5315999999999899</v>
      </c>
      <c r="AD1655">
        <v>-1.1102800529300001</v>
      </c>
      <c r="AE1655">
        <v>-22.718599999999899</v>
      </c>
      <c r="AF1655">
        <v>2.1532783302545901</v>
      </c>
      <c r="AG1655">
        <v>-1.1102800529300001</v>
      </c>
      <c r="AH1655">
        <v>22.703533431208999</v>
      </c>
      <c r="AI1655">
        <v>92.787240102709006</v>
      </c>
      <c r="AJ1655">
        <v>84.582084832041602</v>
      </c>
      <c r="AK1655">
        <v>22.8324278083936</v>
      </c>
      <c r="AL1655">
        <v>83.826392423942494</v>
      </c>
      <c r="AM1655">
        <v>88.561394812100104</v>
      </c>
      <c r="AN1655">
        <v>0.99999996431251204</v>
      </c>
    </row>
    <row r="1656" spans="1:40" x14ac:dyDescent="0.25">
      <c r="A1656" t="str">
        <f>"20190312164020687"</f>
        <v>20190312164020687</v>
      </c>
      <c r="B1656" t="str">
        <f>"1552380020677304"</f>
        <v>1552380020677304</v>
      </c>
      <c r="C1656" t="s">
        <v>40</v>
      </c>
      <c r="D1656">
        <v>5.8508370000000003</v>
      </c>
      <c r="E1656">
        <v>0.52673890000000001</v>
      </c>
      <c r="F1656" t="s">
        <v>41</v>
      </c>
      <c r="G1656">
        <v>-193.51259999999999</v>
      </c>
      <c r="H1656" s="1">
        <v>-1.103366E-6</v>
      </c>
      <c r="I1656">
        <v>319.98250000000002</v>
      </c>
      <c r="J1656">
        <v>-191.1825</v>
      </c>
      <c r="K1656">
        <v>1.1102270000000001</v>
      </c>
      <c r="L1656">
        <v>341.25029999999998</v>
      </c>
      <c r="M1656">
        <v>-1.6293740000000001E-2</v>
      </c>
      <c r="N1656">
        <v>0</v>
      </c>
      <c r="O1656">
        <v>-0.99981120000000001</v>
      </c>
      <c r="P1656">
        <v>-4.2170480000000003E-2</v>
      </c>
      <c r="Q1656">
        <v>9.5753450000000004E-2</v>
      </c>
      <c r="R1656">
        <v>-0.9945117</v>
      </c>
      <c r="S1656">
        <v>-0.32806400000000002</v>
      </c>
      <c r="T1656">
        <v>-0.15611120000000001</v>
      </c>
      <c r="U1656">
        <v>-3.0182799999999999</v>
      </c>
      <c r="V1656">
        <v>2.5935679999999999E-2</v>
      </c>
      <c r="W1656">
        <v>0.1063026</v>
      </c>
      <c r="X1656">
        <v>0.99399550000000003</v>
      </c>
      <c r="Y1656">
        <v>9.1699649999999994E-2</v>
      </c>
      <c r="Z1656">
        <v>5.1382909999999997E-2</v>
      </c>
      <c r="AA1656">
        <v>0.99446020000000002</v>
      </c>
      <c r="AB1656">
        <v>19</v>
      </c>
      <c r="AC1656">
        <v>-2.3300999999999799</v>
      </c>
      <c r="AD1656">
        <v>-1.110228103366</v>
      </c>
      <c r="AE1656">
        <v>-21.267799999999902</v>
      </c>
      <c r="AF1656">
        <v>1.9779131742100799</v>
      </c>
      <c r="AG1656">
        <v>-1.110228103366</v>
      </c>
      <c r="AH1656">
        <v>21.245734893023801</v>
      </c>
      <c r="AI1656">
        <v>92.978500762923701</v>
      </c>
      <c r="AJ1656">
        <v>84.681268069247693</v>
      </c>
      <c r="AK1656">
        <v>21.3664690136407</v>
      </c>
      <c r="AL1656">
        <v>83.897779761358706</v>
      </c>
      <c r="AM1656">
        <v>88.505357508090995</v>
      </c>
      <c r="AN1656">
        <v>0.99999997814203601</v>
      </c>
    </row>
    <row r="1657" spans="1:40" x14ac:dyDescent="0.25">
      <c r="A1657" t="str">
        <f>"20190312164020709"</f>
        <v>20190312164020709</v>
      </c>
      <c r="B1657" t="str">
        <f>"1552380020697800"</f>
        <v>1552380020697800</v>
      </c>
      <c r="C1657" t="s">
        <v>40</v>
      </c>
      <c r="D1657">
        <v>5.77339</v>
      </c>
      <c r="E1657">
        <v>0.52653629999999996</v>
      </c>
      <c r="F1657" t="s">
        <v>41</v>
      </c>
      <c r="G1657">
        <v>-193.36590000000001</v>
      </c>
      <c r="H1657" s="1">
        <v>-1.5581829999999999E-6</v>
      </c>
      <c r="I1657">
        <v>321.13369999999998</v>
      </c>
      <c r="J1657">
        <v>-191.18549999999999</v>
      </c>
      <c r="K1657">
        <v>1.110198</v>
      </c>
      <c r="L1657">
        <v>341.05520000000001</v>
      </c>
      <c r="M1657">
        <v>-1.618379E-2</v>
      </c>
      <c r="N1657">
        <v>0</v>
      </c>
      <c r="O1657">
        <v>-0.99981500000000001</v>
      </c>
      <c r="P1657">
        <v>-4.2608069999999998E-2</v>
      </c>
      <c r="Q1657">
        <v>9.521773E-2</v>
      </c>
      <c r="R1657">
        <v>-0.99454410000000004</v>
      </c>
      <c r="S1657">
        <v>-0.3276367</v>
      </c>
      <c r="T1657">
        <v>-0.16659949999999901</v>
      </c>
      <c r="U1657">
        <v>-3.0186769999999998</v>
      </c>
      <c r="V1657">
        <v>2.6487159999999999E-2</v>
      </c>
      <c r="W1657">
        <v>0.1055634</v>
      </c>
      <c r="X1657">
        <v>0.99405969999999999</v>
      </c>
      <c r="Y1657">
        <v>9.1636339999999997E-2</v>
      </c>
      <c r="Z1657">
        <v>5.4818539999999999E-2</v>
      </c>
      <c r="AA1657">
        <v>0.99428249999999996</v>
      </c>
      <c r="AB1657">
        <v>19</v>
      </c>
      <c r="AC1657">
        <v>-2.1804000000000201</v>
      </c>
      <c r="AD1657">
        <v>-1.110199558183</v>
      </c>
      <c r="AE1657">
        <v>-19.921500000000002</v>
      </c>
      <c r="AF1657">
        <v>1.8520079430826</v>
      </c>
      <c r="AG1657">
        <v>-1.110199558183</v>
      </c>
      <c r="AH1657">
        <v>19.893129174798801</v>
      </c>
      <c r="AI1657">
        <v>93.180535307232802</v>
      </c>
      <c r="AJ1657">
        <v>84.681215988175595</v>
      </c>
      <c r="AK1657">
        <v>20.009974134052801</v>
      </c>
      <c r="AL1657">
        <v>83.940372254185704</v>
      </c>
      <c r="AM1657">
        <v>88.473689782798402</v>
      </c>
      <c r="AN1657">
        <v>0.99999994411425597</v>
      </c>
    </row>
    <row r="1658" spans="1:40" x14ac:dyDescent="0.25">
      <c r="A1658" t="str">
        <f>"20190312164020732"</f>
        <v>20190312164020732</v>
      </c>
      <c r="B1658" t="str">
        <f>"1552380020728056"</f>
        <v>1552380020728056</v>
      </c>
      <c r="C1658" t="s">
        <v>40</v>
      </c>
      <c r="D1658">
        <v>6.5943079999999998</v>
      </c>
      <c r="E1658">
        <v>0.52633269999999999</v>
      </c>
      <c r="F1658" t="s">
        <v>41</v>
      </c>
      <c r="G1658">
        <v>-193.31800000000001</v>
      </c>
      <c r="H1658" s="1">
        <v>-1.6451839999999999E-6</v>
      </c>
      <c r="I1658">
        <v>321.36610000000002</v>
      </c>
      <c r="J1658">
        <v>-191.18860000000001</v>
      </c>
      <c r="K1658">
        <v>1.110179</v>
      </c>
      <c r="L1658">
        <v>340.8546</v>
      </c>
      <c r="M1658">
        <v>-1.607099E-2</v>
      </c>
      <c r="N1658">
        <v>0</v>
      </c>
      <c r="O1658">
        <v>-0.99981900000000001</v>
      </c>
      <c r="P1658">
        <v>-4.3182890000000002E-2</v>
      </c>
      <c r="Q1658">
        <v>9.5872040000000006E-2</v>
      </c>
      <c r="R1658">
        <v>-0.99445689999999998</v>
      </c>
      <c r="S1658">
        <v>-0.32696530000000001</v>
      </c>
      <c r="T1658">
        <v>-0.17021849999999999</v>
      </c>
      <c r="U1658">
        <v>-3.0187680000000001</v>
      </c>
      <c r="V1658">
        <v>2.7178399999999998E-2</v>
      </c>
      <c r="W1658">
        <v>0.1060333</v>
      </c>
      <c r="X1658">
        <v>0.99399110000000002</v>
      </c>
      <c r="Y1658">
        <v>9.1519829999999996E-2</v>
      </c>
      <c r="Z1658">
        <v>5.6005060000000002E-2</v>
      </c>
      <c r="AA1658">
        <v>0.99422710000000003</v>
      </c>
      <c r="AB1658">
        <v>19</v>
      </c>
      <c r="AC1658">
        <v>-2.1293999999999702</v>
      </c>
      <c r="AD1658">
        <v>-1.1101806451839999</v>
      </c>
      <c r="AE1658">
        <v>-19.488499999999899</v>
      </c>
      <c r="AF1658">
        <v>1.8101045368230999</v>
      </c>
      <c r="AG1658">
        <v>-1.1101806451839999</v>
      </c>
      <c r="AH1658">
        <v>19.457808273861598</v>
      </c>
      <c r="AI1658">
        <v>93.251506892389102</v>
      </c>
      <c r="AJ1658">
        <v>84.6852328673871</v>
      </c>
      <c r="AK1658">
        <v>19.573330894907102</v>
      </c>
      <c r="AL1658">
        <v>83.913297450941499</v>
      </c>
      <c r="AM1658">
        <v>88.433768954557706</v>
      </c>
      <c r="AN1658">
        <v>1.0000000165073299</v>
      </c>
    </row>
    <row r="1659" spans="1:40" x14ac:dyDescent="0.25">
      <c r="A1659" t="str">
        <f>"20190312164020756"</f>
        <v>20190312164020756</v>
      </c>
      <c r="B1659" t="str">
        <f>"1552380020747576"</f>
        <v>1552380020747576</v>
      </c>
      <c r="C1659" t="s">
        <v>40</v>
      </c>
      <c r="D1659">
        <v>6.0177680000000002</v>
      </c>
      <c r="E1659">
        <v>0.52612639999999999</v>
      </c>
      <c r="F1659" t="s">
        <v>41</v>
      </c>
      <c r="G1659">
        <v>-193.38800000000001</v>
      </c>
      <c r="H1659" s="1">
        <v>-1.3151130000000001E-6</v>
      </c>
      <c r="I1659">
        <v>320.55329999999998</v>
      </c>
      <c r="J1659">
        <v>-191.1917</v>
      </c>
      <c r="K1659">
        <v>1.110177</v>
      </c>
      <c r="L1659">
        <v>340.65140000000002</v>
      </c>
      <c r="M1659">
        <v>-1.594307E-2</v>
      </c>
      <c r="N1659">
        <v>0</v>
      </c>
      <c r="O1659">
        <v>-0.99982260000000001</v>
      </c>
      <c r="P1659">
        <v>-4.4579220000000003E-2</v>
      </c>
      <c r="Q1659">
        <v>9.7193210000000002E-2</v>
      </c>
      <c r="R1659">
        <v>-0.99426700000000001</v>
      </c>
      <c r="S1659">
        <v>-0.3270111</v>
      </c>
      <c r="T1659">
        <v>-0.1650645</v>
      </c>
      <c r="U1659">
        <v>-3.0184329999999999</v>
      </c>
      <c r="V1659">
        <v>2.8704739999999999E-2</v>
      </c>
      <c r="W1659">
        <v>0.1071901</v>
      </c>
      <c r="X1659">
        <v>0.99382409999999999</v>
      </c>
      <c r="Y1659">
        <v>9.1684009999999996E-2</v>
      </c>
      <c r="Z1659">
        <v>5.4320090000000001E-2</v>
      </c>
      <c r="AA1659">
        <v>0.99430549999999995</v>
      </c>
      <c r="AB1659">
        <v>19</v>
      </c>
      <c r="AC1659">
        <v>-2.1962999999999999</v>
      </c>
      <c r="AD1659">
        <v>-1.110178315113</v>
      </c>
      <c r="AE1659">
        <v>-20.098099999999999</v>
      </c>
      <c r="AF1659">
        <v>1.8699409979963399</v>
      </c>
      <c r="AG1659">
        <v>-1.110178315113</v>
      </c>
      <c r="AH1659">
        <v>20.07004709237</v>
      </c>
      <c r="AI1659">
        <v>93.152474252592995</v>
      </c>
      <c r="AJ1659">
        <v>84.677077118148205</v>
      </c>
      <c r="AK1659">
        <v>20.187520043761801</v>
      </c>
      <c r="AL1659">
        <v>83.846637743155199</v>
      </c>
      <c r="AM1659">
        <v>88.345579123511996</v>
      </c>
      <c r="AN1659">
        <v>1.00000001068864</v>
      </c>
    </row>
    <row r="1660" spans="1:40" x14ac:dyDescent="0.25">
      <c r="A1660" t="str">
        <f>"20190312164020788"</f>
        <v>20190312164020788</v>
      </c>
      <c r="B1660" t="str">
        <f>"1552380020777841"</f>
        <v>1552380020777841</v>
      </c>
      <c r="C1660" t="s">
        <v>40</v>
      </c>
      <c r="D1660">
        <v>5.898091</v>
      </c>
      <c r="E1660">
        <v>0.52590490000000001</v>
      </c>
      <c r="F1660" t="s">
        <v>41</v>
      </c>
      <c r="G1660">
        <v>-193.4913</v>
      </c>
      <c r="H1660" s="1">
        <v>-5.3216290000000002E-6</v>
      </c>
      <c r="I1660">
        <v>319.53129999999999</v>
      </c>
      <c r="J1660">
        <v>-191.1961</v>
      </c>
      <c r="K1660">
        <v>1.110195</v>
      </c>
      <c r="L1660">
        <v>340.36360000000002</v>
      </c>
      <c r="M1660">
        <v>-1.568874E-2</v>
      </c>
      <c r="N1660">
        <v>0</v>
      </c>
      <c r="O1660">
        <v>-0.99982839999999995</v>
      </c>
      <c r="P1660">
        <v>-4.5736440000000003E-2</v>
      </c>
      <c r="Q1660">
        <v>9.9062360000000002E-2</v>
      </c>
      <c r="R1660">
        <v>-0.99402950000000001</v>
      </c>
      <c r="S1660">
        <v>-0.3286133</v>
      </c>
      <c r="T1660">
        <v>-0.15864339999999999</v>
      </c>
      <c r="U1660">
        <v>-3.0180359999999999</v>
      </c>
      <c r="V1660">
        <v>3.0110580000000001E-2</v>
      </c>
      <c r="W1660">
        <v>0.10885209999999999</v>
      </c>
      <c r="X1660">
        <v>0.99360179999999998</v>
      </c>
      <c r="Y1660">
        <v>9.2485129999999999E-2</v>
      </c>
      <c r="Z1660">
        <v>5.2216609999999997E-2</v>
      </c>
      <c r="AA1660">
        <v>0.99434400000000001</v>
      </c>
      <c r="AB1660">
        <v>19</v>
      </c>
      <c r="AC1660">
        <v>-2.2951999999999901</v>
      </c>
      <c r="AD1660">
        <v>-1.110200321629</v>
      </c>
      <c r="AE1660">
        <v>-20.8323</v>
      </c>
      <c r="AF1660">
        <v>1.96256213522283</v>
      </c>
      <c r="AG1660">
        <v>-1.110200321629</v>
      </c>
      <c r="AH1660">
        <v>20.807360802872399</v>
      </c>
      <c r="AI1660">
        <v>93.040714944702003</v>
      </c>
      <c r="AJ1660">
        <v>84.611770236894102</v>
      </c>
      <c r="AK1660">
        <v>20.929177204794001</v>
      </c>
      <c r="AL1660">
        <v>83.7508514835976</v>
      </c>
      <c r="AM1660">
        <v>88.264212764291301</v>
      </c>
      <c r="AN1660">
        <v>0.99999998183279304</v>
      </c>
    </row>
    <row r="1661" spans="1:40" x14ac:dyDescent="0.25">
      <c r="A1661" t="str">
        <f>"20190312164020810"</f>
        <v>20190312164020810</v>
      </c>
      <c r="B1661" t="str">
        <f>"1552380020798328"</f>
        <v>1552380020798328</v>
      </c>
      <c r="C1661" t="s">
        <v>40</v>
      </c>
      <c r="D1661">
        <v>5.9817640000000001</v>
      </c>
      <c r="E1661">
        <v>0.52573009999999998</v>
      </c>
      <c r="F1661" t="s">
        <v>41</v>
      </c>
      <c r="G1661">
        <v>-193.6266</v>
      </c>
      <c r="H1661" s="1">
        <v>-4.7788379999999997E-6</v>
      </c>
      <c r="I1661">
        <v>318.05529999999999</v>
      </c>
      <c r="J1661">
        <v>-191.19880000000001</v>
      </c>
      <c r="K1661">
        <v>1.110209</v>
      </c>
      <c r="L1661">
        <v>340.17779999999999</v>
      </c>
      <c r="M1661">
        <v>-1.546346E-2</v>
      </c>
      <c r="N1661">
        <v>0</v>
      </c>
      <c r="O1661">
        <v>-0.99983339999999998</v>
      </c>
      <c r="P1661">
        <v>-4.6250369999999999E-2</v>
      </c>
      <c r="Q1661">
        <v>9.9215739999999997E-2</v>
      </c>
      <c r="R1661">
        <v>-0.9939907</v>
      </c>
      <c r="S1661">
        <v>-0.32879639999999999</v>
      </c>
      <c r="T1661">
        <v>-0.15018589999999901</v>
      </c>
      <c r="U1661">
        <v>-3.0178219999999998</v>
      </c>
      <c r="V1661">
        <v>3.0840079999999999E-2</v>
      </c>
      <c r="W1661">
        <v>0.10887769999999999</v>
      </c>
      <c r="X1661">
        <v>0.99357660000000003</v>
      </c>
      <c r="Y1661">
        <v>9.2791979999999996E-2</v>
      </c>
      <c r="Z1661">
        <v>4.9442779999999999E-2</v>
      </c>
      <c r="AA1661">
        <v>0.99445720000000004</v>
      </c>
      <c r="AB1661">
        <v>20</v>
      </c>
      <c r="AC1661">
        <v>-2.4277999999999902</v>
      </c>
      <c r="AD1661">
        <v>-1.110213778838</v>
      </c>
      <c r="AE1661">
        <v>-22.122499999999999</v>
      </c>
      <c r="AF1661">
        <v>2.0802264686833398</v>
      </c>
      <c r="AG1661">
        <v>-1.110213778838</v>
      </c>
      <c r="AH1661">
        <v>22.102395779094099</v>
      </c>
      <c r="AI1661">
        <v>92.862946190898796</v>
      </c>
      <c r="AJ1661">
        <v>84.623292044582698</v>
      </c>
      <c r="AK1661">
        <v>22.227816266368801</v>
      </c>
      <c r="AL1661">
        <v>83.749375817851103</v>
      </c>
      <c r="AM1661">
        <v>88.222140820627303</v>
      </c>
      <c r="AN1661">
        <v>0.99999996207962705</v>
      </c>
    </row>
    <row r="1662" spans="1:40" x14ac:dyDescent="0.25">
      <c r="A1662" t="str">
        <f>"20190312164020831"</f>
        <v>20190312164020831</v>
      </c>
      <c r="B1662" t="str">
        <f>"1552380020827609"</f>
        <v>1552380020827609</v>
      </c>
      <c r="C1662" t="s">
        <v>40</v>
      </c>
      <c r="D1662">
        <v>5.9521470000000001</v>
      </c>
      <c r="E1662">
        <v>0.52540189999999998</v>
      </c>
      <c r="F1662" t="s">
        <v>41</v>
      </c>
      <c r="G1662">
        <v>-193.63980000000001</v>
      </c>
      <c r="H1662" s="1">
        <v>-4.6517800000000004E-6</v>
      </c>
      <c r="I1662">
        <v>317.7183</v>
      </c>
      <c r="J1662">
        <v>-191.20140000000001</v>
      </c>
      <c r="K1662">
        <v>1.1102320000000001</v>
      </c>
      <c r="L1662">
        <v>339.99020000000002</v>
      </c>
      <c r="M1662">
        <v>-1.517367E-2</v>
      </c>
      <c r="N1662">
        <v>0</v>
      </c>
      <c r="O1662">
        <v>-0.99983920000000004</v>
      </c>
      <c r="P1662">
        <v>-4.6846480000000003E-2</v>
      </c>
      <c r="Q1662">
        <v>9.8443459999999997E-2</v>
      </c>
      <c r="R1662">
        <v>-0.99403960000000002</v>
      </c>
      <c r="S1662">
        <v>-0.32798769999999999</v>
      </c>
      <c r="T1662">
        <v>-0.14917179999999999</v>
      </c>
      <c r="U1662">
        <v>-3.0177309999999999</v>
      </c>
      <c r="V1662">
        <v>3.171235E-2</v>
      </c>
      <c r="W1662">
        <v>0.10797850000000001</v>
      </c>
      <c r="X1662">
        <v>0.99364730000000001</v>
      </c>
      <c r="Y1662">
        <v>9.2822219999999997E-2</v>
      </c>
      <c r="Z1662">
        <v>4.9112179999999998E-2</v>
      </c>
      <c r="AA1662">
        <v>0.99447070000000004</v>
      </c>
      <c r="AB1662">
        <v>20</v>
      </c>
      <c r="AC1662">
        <v>-2.4384000000000001</v>
      </c>
      <c r="AD1662">
        <v>-1.11023665178</v>
      </c>
      <c r="AE1662">
        <v>-22.271899999999999</v>
      </c>
      <c r="AF1662">
        <v>2.09501302745673</v>
      </c>
      <c r="AG1662">
        <v>-1.11023665178</v>
      </c>
      <c r="AH1662">
        <v>22.2516975594217</v>
      </c>
      <c r="AI1662">
        <v>92.843818121161107</v>
      </c>
      <c r="AJ1662">
        <v>84.621417090179406</v>
      </c>
      <c r="AK1662">
        <v>22.377661836843899</v>
      </c>
      <c r="AL1662">
        <v>83.801201930644794</v>
      </c>
      <c r="AM1662">
        <v>88.172020112451193</v>
      </c>
      <c r="AN1662">
        <v>0.99999999320103095</v>
      </c>
    </row>
    <row r="1663" spans="1:40" x14ac:dyDescent="0.25">
      <c r="A1663" t="str">
        <f>"20190312164020854"</f>
        <v>20190312164020854</v>
      </c>
      <c r="B1663" t="str">
        <f>"1552380020848104"</f>
        <v>1552380020848104</v>
      </c>
      <c r="C1663" t="s">
        <v>40</v>
      </c>
      <c r="D1663">
        <v>5.9102889999999997</v>
      </c>
      <c r="E1663">
        <v>0.52532690000000004</v>
      </c>
      <c r="F1663" t="s">
        <v>41</v>
      </c>
      <c r="G1663">
        <v>-193.60759999999999</v>
      </c>
      <c r="H1663" s="1">
        <v>-4.6571580000000002E-6</v>
      </c>
      <c r="I1663">
        <v>317.74720000000002</v>
      </c>
      <c r="J1663">
        <v>-191.20410000000001</v>
      </c>
      <c r="K1663">
        <v>1.1102669999999999</v>
      </c>
      <c r="L1663">
        <v>339.78219999999999</v>
      </c>
      <c r="M1663">
        <v>-1.476035E-2</v>
      </c>
      <c r="N1663">
        <v>0</v>
      </c>
      <c r="O1663">
        <v>-0.99984689999999998</v>
      </c>
      <c r="P1663">
        <v>-4.7289459999999998E-2</v>
      </c>
      <c r="Q1663">
        <v>9.7865659999999993E-2</v>
      </c>
      <c r="R1663">
        <v>-0.99407579999999995</v>
      </c>
      <c r="S1663">
        <v>-0.32643129999999998</v>
      </c>
      <c r="T1663">
        <v>-0.1506149</v>
      </c>
      <c r="U1663">
        <v>-3.017487</v>
      </c>
      <c r="V1663">
        <v>3.255077E-2</v>
      </c>
      <c r="W1663">
        <v>0.1072574</v>
      </c>
      <c r="X1663">
        <v>0.99369830000000003</v>
      </c>
      <c r="Y1663">
        <v>9.2732960000000003E-2</v>
      </c>
      <c r="Z1663">
        <v>4.9592120000000003E-2</v>
      </c>
      <c r="AA1663">
        <v>0.99445519999999998</v>
      </c>
      <c r="AB1663">
        <v>20</v>
      </c>
      <c r="AC1663">
        <v>-2.4034999999999802</v>
      </c>
      <c r="AD1663">
        <v>-1.110271657158</v>
      </c>
      <c r="AE1663">
        <v>-22.034999999999901</v>
      </c>
      <c r="AF1663">
        <v>2.0727789216007899</v>
      </c>
      <c r="AG1663">
        <v>-1.110271657158</v>
      </c>
      <c r="AH1663">
        <v>22.012847748472002</v>
      </c>
      <c r="AI1663">
        <v>92.874710810498399</v>
      </c>
      <c r="AJ1663">
        <v>84.620762367278402</v>
      </c>
      <c r="AK1663">
        <v>22.138079898851402</v>
      </c>
      <c r="AL1663">
        <v>83.842759355040798</v>
      </c>
      <c r="AM1663">
        <v>88.123821794933704</v>
      </c>
      <c r="AN1663">
        <v>1.00000000695262</v>
      </c>
    </row>
    <row r="1664" spans="1:40" x14ac:dyDescent="0.25">
      <c r="A1664" t="str">
        <f>"20190312164020876"</f>
        <v>20190312164020876</v>
      </c>
      <c r="B1664" t="str">
        <f>"1552380020867624"</f>
        <v>1552380020867624</v>
      </c>
      <c r="C1664" t="s">
        <v>40</v>
      </c>
      <c r="D1664">
        <v>5.921475</v>
      </c>
      <c r="E1664">
        <v>0.52532999999999996</v>
      </c>
      <c r="F1664" t="s">
        <v>41</v>
      </c>
      <c r="G1664">
        <v>-193.49549999999999</v>
      </c>
      <c r="H1664" s="1">
        <v>-4.9604750000000001E-6</v>
      </c>
      <c r="I1664">
        <v>318.58879999999999</v>
      </c>
      <c r="J1664">
        <v>-191.20650000000001</v>
      </c>
      <c r="K1664">
        <v>1.1103080000000001</v>
      </c>
      <c r="L1664">
        <v>339.58749999999998</v>
      </c>
      <c r="M1664">
        <v>-1.42714E-2</v>
      </c>
      <c r="N1664">
        <v>0</v>
      </c>
      <c r="O1664">
        <v>-0.9998551</v>
      </c>
      <c r="P1664">
        <v>-4.7747680000000001E-2</v>
      </c>
      <c r="Q1664">
        <v>9.7671129999999995E-2</v>
      </c>
      <c r="R1664">
        <v>-0.99407270000000003</v>
      </c>
      <c r="S1664">
        <v>-0.32629390000000003</v>
      </c>
      <c r="T1664">
        <v>-0.15809999999999999</v>
      </c>
      <c r="U1664">
        <v>-3.0178829999999999</v>
      </c>
      <c r="V1664">
        <v>3.3479340000000003E-2</v>
      </c>
      <c r="W1664">
        <v>0.10692790000000001</v>
      </c>
      <c r="X1664">
        <v>0.99370289999999994</v>
      </c>
      <c r="Y1664">
        <v>9.3147759999999996E-2</v>
      </c>
      <c r="Z1664">
        <v>5.204305E-2</v>
      </c>
      <c r="AA1664">
        <v>0.99429120000000004</v>
      </c>
      <c r="AB1664">
        <v>20</v>
      </c>
      <c r="AC1664">
        <v>-2.2889999999999802</v>
      </c>
      <c r="AD1664">
        <v>-1.1103129604749999</v>
      </c>
      <c r="AE1664">
        <v>-20.9986999999999</v>
      </c>
      <c r="AF1664">
        <v>1.98359251072233</v>
      </c>
      <c r="AG1664">
        <v>-1.1103129604749999</v>
      </c>
      <c r="AH1664">
        <v>20.971286911060901</v>
      </c>
      <c r="AI1664">
        <v>93.017221356391701</v>
      </c>
      <c r="AJ1664">
        <v>84.596690297428694</v>
      </c>
      <c r="AK1664">
        <v>21.0941297242818</v>
      </c>
      <c r="AL1664">
        <v>83.861747149510407</v>
      </c>
      <c r="AM1664">
        <v>88.070349222563806</v>
      </c>
      <c r="AN1664">
        <v>0.99999994773682599</v>
      </c>
    </row>
    <row r="1665" spans="1:40" x14ac:dyDescent="0.25">
      <c r="A1665" t="str">
        <f>"20190312164020897"</f>
        <v>20190312164020897</v>
      </c>
      <c r="B1665" t="str">
        <f>"1552380020888120"</f>
        <v>1552380020888120</v>
      </c>
      <c r="C1665" t="s">
        <v>40</v>
      </c>
      <c r="D1665">
        <v>5.8657260000000004</v>
      </c>
      <c r="E1665">
        <v>0.5252057</v>
      </c>
      <c r="F1665" t="s">
        <v>41</v>
      </c>
      <c r="G1665">
        <v>-193.4256</v>
      </c>
      <c r="H1665" s="1">
        <v>-5.1406169999999901E-6</v>
      </c>
      <c r="I1665">
        <v>319.09019999999998</v>
      </c>
      <c r="J1665">
        <v>-191.20869999999999</v>
      </c>
      <c r="K1665">
        <v>1.1103510000000001</v>
      </c>
      <c r="L1665">
        <v>339.39580000000001</v>
      </c>
      <c r="M1665">
        <v>-1.369183E-2</v>
      </c>
      <c r="N1665">
        <v>0</v>
      </c>
      <c r="O1665">
        <v>-0.99986450000000004</v>
      </c>
      <c r="P1665">
        <v>-4.9273999999999998E-2</v>
      </c>
      <c r="Q1665">
        <v>9.8078029999999997E-2</v>
      </c>
      <c r="R1665">
        <v>-0.99395809999999996</v>
      </c>
      <c r="S1665">
        <v>-0.32676699999999997</v>
      </c>
      <c r="T1665">
        <v>-0.163498799999999</v>
      </c>
      <c r="U1665">
        <v>-3.0183110000000002</v>
      </c>
      <c r="V1665">
        <v>3.5566710000000001E-2</v>
      </c>
      <c r="W1665">
        <v>0.1072067</v>
      </c>
      <c r="X1665">
        <v>0.99360040000000005</v>
      </c>
      <c r="Y1665">
        <v>9.3853800000000001E-2</v>
      </c>
      <c r="Z1665">
        <v>5.3805980000000003E-2</v>
      </c>
      <c r="AA1665">
        <v>0.99413099999999999</v>
      </c>
      <c r="AB1665">
        <v>20</v>
      </c>
      <c r="AC1665">
        <v>-2.2168999999999999</v>
      </c>
      <c r="AD1665">
        <v>-1.1103561406169999</v>
      </c>
      <c r="AE1665">
        <v>-20.305599999999998</v>
      </c>
      <c r="AF1665">
        <v>1.9329480196640101</v>
      </c>
      <c r="AG1665">
        <v>-1.1103561406169999</v>
      </c>
      <c r="AH1665">
        <v>20.274142492710801</v>
      </c>
      <c r="AI1665">
        <v>93.120669493979506</v>
      </c>
      <c r="AJ1665">
        <v>84.553850219652105</v>
      </c>
      <c r="AK1665">
        <v>20.396323997732299</v>
      </c>
      <c r="AL1665">
        <v>83.845681123575204</v>
      </c>
      <c r="AM1665">
        <v>87.949927694651606</v>
      </c>
      <c r="AN1665">
        <v>1.0000000111326299</v>
      </c>
    </row>
    <row r="1666" spans="1:40" x14ac:dyDescent="0.25">
      <c r="A1666" t="str">
        <f>"20190312164020920"</f>
        <v>20190312164020920</v>
      </c>
      <c r="B1666" t="str">
        <f>"1552380020907640"</f>
        <v>1552380020907640</v>
      </c>
      <c r="C1666" t="s">
        <v>40</v>
      </c>
      <c r="D1666">
        <v>5.8568660000000001</v>
      </c>
      <c r="E1666">
        <v>0.52507789999999999</v>
      </c>
      <c r="F1666" t="s">
        <v>41</v>
      </c>
      <c r="G1666">
        <v>-193.46979999999999</v>
      </c>
      <c r="H1666" s="1">
        <v>-5.0024289999999999E-6</v>
      </c>
      <c r="I1666">
        <v>318.70999999999998</v>
      </c>
      <c r="J1666">
        <v>-191.2106</v>
      </c>
      <c r="K1666">
        <v>1.1103940000000001</v>
      </c>
      <c r="L1666">
        <v>339.20179999999999</v>
      </c>
      <c r="M1666">
        <v>-1.300549E-2</v>
      </c>
      <c r="N1666">
        <v>0</v>
      </c>
      <c r="O1666">
        <v>-0.99987470000000001</v>
      </c>
      <c r="P1666">
        <v>-5.0655640000000002E-2</v>
      </c>
      <c r="Q1666">
        <v>9.8571590000000001E-2</v>
      </c>
      <c r="R1666">
        <v>-0.99383999999999995</v>
      </c>
      <c r="S1666">
        <v>-0.3298798</v>
      </c>
      <c r="T1666">
        <v>-0.16198950000000001</v>
      </c>
      <c r="U1666">
        <v>-3.0178530000000001</v>
      </c>
      <c r="V1666">
        <v>3.7615999999999997E-2</v>
      </c>
      <c r="W1666">
        <v>0.10757410000000001</v>
      </c>
      <c r="X1666">
        <v>0.99348519999999896</v>
      </c>
      <c r="Y1666">
        <v>9.5569479999999998E-2</v>
      </c>
      <c r="Z1666">
        <v>5.3312129999999999E-2</v>
      </c>
      <c r="AA1666">
        <v>0.99399409999999999</v>
      </c>
      <c r="AB1666">
        <v>20</v>
      </c>
      <c r="AC1666">
        <v>-2.2591999999999901</v>
      </c>
      <c r="AD1666">
        <v>-1.110399002429</v>
      </c>
      <c r="AE1666">
        <v>-20.491800000000001</v>
      </c>
      <c r="AF1666">
        <v>1.98672861719559</v>
      </c>
      <c r="AG1666">
        <v>-1.110399002429</v>
      </c>
      <c r="AH1666">
        <v>20.460094789416502</v>
      </c>
      <c r="AI1666">
        <v>93.091963155436403</v>
      </c>
      <c r="AJ1666">
        <v>84.453818114844694</v>
      </c>
      <c r="AK1666">
        <v>20.586295328079</v>
      </c>
      <c r="AL1666">
        <v>83.824508119321393</v>
      </c>
      <c r="AM1666">
        <v>87.831664705298394</v>
      </c>
      <c r="AN1666">
        <v>0.99999999653292404</v>
      </c>
    </row>
    <row r="1667" spans="1:40" x14ac:dyDescent="0.25">
      <c r="A1667" t="str">
        <f>"20190312164020945"</f>
        <v>20190312164020945</v>
      </c>
      <c r="B1667" t="str">
        <f>"1552380020937896"</f>
        <v>1552380020937896</v>
      </c>
      <c r="C1667" t="s">
        <v>40</v>
      </c>
      <c r="D1667">
        <v>5.8492879999999996</v>
      </c>
      <c r="E1667">
        <v>0.52496949999999998</v>
      </c>
      <c r="F1667" t="s">
        <v>41</v>
      </c>
      <c r="G1667">
        <v>-193.49</v>
      </c>
      <c r="H1667" s="1">
        <v>-4.927193E-6</v>
      </c>
      <c r="I1667">
        <v>318.50470000000001</v>
      </c>
      <c r="J1667">
        <v>-191.21260000000001</v>
      </c>
      <c r="K1667">
        <v>1.1104270000000001</v>
      </c>
      <c r="L1667">
        <v>338.97559999999999</v>
      </c>
      <c r="M1667">
        <v>-1.210692E-2</v>
      </c>
      <c r="N1667">
        <v>0</v>
      </c>
      <c r="O1667">
        <v>-0.99988750000000004</v>
      </c>
      <c r="P1667">
        <v>-5.2159990000000003E-2</v>
      </c>
      <c r="Q1667">
        <v>9.8560709999999996E-2</v>
      </c>
      <c r="R1667">
        <v>-0.99376350000000002</v>
      </c>
      <c r="S1667">
        <v>-0.33233639999999998</v>
      </c>
      <c r="T1667">
        <v>-0.16189829999999999</v>
      </c>
      <c r="U1667">
        <v>-3.0176699999999999</v>
      </c>
      <c r="V1667">
        <v>3.9999760000000002E-2</v>
      </c>
      <c r="W1667">
        <v>0.1074191</v>
      </c>
      <c r="X1667">
        <v>0.99340890000000004</v>
      </c>
      <c r="Y1667">
        <v>9.7270200000000001E-2</v>
      </c>
      <c r="Z1667">
        <v>5.3279559999999997E-2</v>
      </c>
      <c r="AA1667">
        <v>0.99383089999999996</v>
      </c>
      <c r="AB1667">
        <v>20</v>
      </c>
      <c r="AC1667">
        <v>-2.2774000000000001</v>
      </c>
      <c r="AD1667">
        <v>-1.1104319271930001</v>
      </c>
      <c r="AE1667">
        <v>-20.470899999999901</v>
      </c>
      <c r="AF1667">
        <v>2.0235025304690799</v>
      </c>
      <c r="AG1667">
        <v>-1.1104319271930001</v>
      </c>
      <c r="AH1667">
        <v>20.437571456315101</v>
      </c>
      <c r="AI1667">
        <v>93.094883701572897</v>
      </c>
      <c r="AJ1667">
        <v>84.345633024996701</v>
      </c>
      <c r="AK1667">
        <v>20.567497382708801</v>
      </c>
      <c r="AL1667">
        <v>83.8334410146294</v>
      </c>
      <c r="AM1667">
        <v>87.694222316850997</v>
      </c>
      <c r="AN1667">
        <v>1.00000004322203</v>
      </c>
    </row>
    <row r="1668" spans="1:40" x14ac:dyDescent="0.25">
      <c r="A1668" t="str">
        <f>"20190312164020967"</f>
        <v>20190312164020967</v>
      </c>
      <c r="B1668" t="str">
        <f>"1552380020957416"</f>
        <v>1552380020957416</v>
      </c>
      <c r="C1668" t="s">
        <v>40</v>
      </c>
      <c r="D1668">
        <v>5.9807509999999997</v>
      </c>
      <c r="E1668">
        <v>0.52498140000000004</v>
      </c>
      <c r="F1668" t="s">
        <v>41</v>
      </c>
      <c r="G1668">
        <v>-193.4469</v>
      </c>
      <c r="H1668" s="1">
        <v>-5.062906E-6</v>
      </c>
      <c r="I1668">
        <v>318.87810000000002</v>
      </c>
      <c r="J1668">
        <v>-191.2141</v>
      </c>
      <c r="K1668">
        <v>1.110444</v>
      </c>
      <c r="L1668">
        <v>338.7783</v>
      </c>
      <c r="M1668">
        <v>-1.1265519999999999E-2</v>
      </c>
      <c r="N1668">
        <v>0</v>
      </c>
      <c r="O1668">
        <v>-0.99989830000000002</v>
      </c>
      <c r="P1668">
        <v>-5.2796450000000002E-2</v>
      </c>
      <c r="Q1668">
        <v>9.8344089999999995E-2</v>
      </c>
      <c r="R1668">
        <v>-0.9937511</v>
      </c>
      <c r="S1668">
        <v>-0.33549499999999999</v>
      </c>
      <c r="T1668">
        <v>-0.16673740000000001</v>
      </c>
      <c r="U1668">
        <v>-3.0177610000000001</v>
      </c>
      <c r="V1668">
        <v>4.1464559999999998E-2</v>
      </c>
      <c r="W1668">
        <v>0.107082</v>
      </c>
      <c r="X1668">
        <v>0.99338519999999997</v>
      </c>
      <c r="Y1668">
        <v>9.9122429999999997E-2</v>
      </c>
      <c r="Z1668">
        <v>5.485835E-2</v>
      </c>
      <c r="AA1668">
        <v>0.9935619</v>
      </c>
      <c r="AB1668">
        <v>20</v>
      </c>
      <c r="AC1668">
        <v>-2.2327999999999899</v>
      </c>
      <c r="AD1668">
        <v>-1.110449062906</v>
      </c>
      <c r="AE1668">
        <v>-19.900199999999899</v>
      </c>
      <c r="AF1668">
        <v>2.0023064746205002</v>
      </c>
      <c r="AG1668">
        <v>-1.110449062906</v>
      </c>
      <c r="AH1668">
        <v>19.863012344249199</v>
      </c>
      <c r="AI1668">
        <v>93.183709191963402</v>
      </c>
      <c r="AJ1668">
        <v>84.243699769227902</v>
      </c>
      <c r="AK1668">
        <v>19.994538947608</v>
      </c>
      <c r="AL1668">
        <v>83.852867267590696</v>
      </c>
      <c r="AM1668">
        <v>87.609823472186307</v>
      </c>
      <c r="AN1668">
        <v>1.0000000100195101</v>
      </c>
    </row>
    <row r="1669" spans="1:40" x14ac:dyDescent="0.25">
      <c r="A1669" t="str">
        <f>"20190312164020990"</f>
        <v>20190312164020990</v>
      </c>
      <c r="B1669" t="str">
        <f>"1552380020977912"</f>
        <v>1552380020977912</v>
      </c>
      <c r="C1669" t="s">
        <v>40</v>
      </c>
      <c r="D1669">
        <v>5.9224899999999998</v>
      </c>
      <c r="E1669">
        <v>0.52482289999999998</v>
      </c>
      <c r="F1669" t="s">
        <v>41</v>
      </c>
      <c r="G1669">
        <v>-193.5026</v>
      </c>
      <c r="H1669" s="1">
        <v>-4.8675189999999999E-6</v>
      </c>
      <c r="I1669">
        <v>318.34350000000001</v>
      </c>
      <c r="J1669">
        <v>-191.21539999999999</v>
      </c>
      <c r="K1669">
        <v>1.110444</v>
      </c>
      <c r="L1669">
        <v>338.57049999999998</v>
      </c>
      <c r="M1669">
        <v>-1.034058E-2</v>
      </c>
      <c r="N1669">
        <v>0</v>
      </c>
      <c r="O1669">
        <v>-0.99990959999999995</v>
      </c>
      <c r="P1669">
        <v>-5.3755560000000001E-2</v>
      </c>
      <c r="Q1669">
        <v>9.8435389999999998E-2</v>
      </c>
      <c r="R1669">
        <v>-0.99369070000000004</v>
      </c>
      <c r="S1669">
        <v>-0.33790589999999998</v>
      </c>
      <c r="T1669">
        <v>-0.16395709999999999</v>
      </c>
      <c r="U1669">
        <v>-3.0171809999999999</v>
      </c>
      <c r="V1669">
        <v>4.3339229999999999E-2</v>
      </c>
      <c r="W1669">
        <v>0.1070521</v>
      </c>
      <c r="X1669">
        <v>0.99330839999999998</v>
      </c>
      <c r="Y1669">
        <v>0.1008534</v>
      </c>
      <c r="Z1669">
        <v>5.39503E-2</v>
      </c>
      <c r="AA1669">
        <v>0.99343749999999997</v>
      </c>
      <c r="AB1669">
        <v>20</v>
      </c>
      <c r="AC1669">
        <v>-2.2872000000000101</v>
      </c>
      <c r="AD1669">
        <v>-1.1104488675190001</v>
      </c>
      <c r="AE1669">
        <v>-20.226999999999901</v>
      </c>
      <c r="AF1669">
        <v>2.0717457882754702</v>
      </c>
      <c r="AG1669">
        <v>-1.1104488675190001</v>
      </c>
      <c r="AH1669">
        <v>20.1894887008668</v>
      </c>
      <c r="AI1669">
        <v>93.131760146167807</v>
      </c>
      <c r="AJ1669">
        <v>84.141096632255199</v>
      </c>
      <c r="AK1669">
        <v>20.325862375334601</v>
      </c>
      <c r="AL1669">
        <v>83.854590310999399</v>
      </c>
      <c r="AM1669">
        <v>87.501701332550795</v>
      </c>
      <c r="AN1669">
        <v>1.00000000924098</v>
      </c>
    </row>
    <row r="1670" spans="1:40" x14ac:dyDescent="0.25">
      <c r="A1670" t="str">
        <f>"20190312164021011"</f>
        <v>20190312164021011</v>
      </c>
      <c r="B1670" t="str">
        <f>"1552380020997436"</f>
        <v>1552380020997436</v>
      </c>
      <c r="C1670" t="s">
        <v>40</v>
      </c>
      <c r="D1670">
        <v>6.2210939999999999</v>
      </c>
      <c r="E1670">
        <v>0.52475269999999996</v>
      </c>
      <c r="F1670" t="s">
        <v>41</v>
      </c>
      <c r="G1670">
        <v>-193.52619999999999</v>
      </c>
      <c r="H1670" s="1">
        <v>-4.7609919999999996E-6</v>
      </c>
      <c r="I1670">
        <v>318.05520000000001</v>
      </c>
      <c r="J1670">
        <v>-191.21639999999999</v>
      </c>
      <c r="K1670">
        <v>1.11043</v>
      </c>
      <c r="L1670">
        <v>338.38369999999998</v>
      </c>
      <c r="M1670">
        <v>-9.4929639999999996E-3</v>
      </c>
      <c r="N1670">
        <v>0</v>
      </c>
      <c r="O1670">
        <v>-0.99991890000000005</v>
      </c>
      <c r="P1670">
        <v>-5.518489E-2</v>
      </c>
      <c r="Q1670">
        <v>9.8594440000000005E-2</v>
      </c>
      <c r="R1670">
        <v>-0.9935967</v>
      </c>
      <c r="S1670">
        <v>-0.33981319999999998</v>
      </c>
      <c r="T1670">
        <v>-0.16329730000000001</v>
      </c>
      <c r="U1670">
        <v>-3.0168759999999999</v>
      </c>
      <c r="V1670">
        <v>4.5611119999999998E-2</v>
      </c>
      <c r="W1670">
        <v>0.1071086</v>
      </c>
      <c r="X1670">
        <v>0.99320059999999999</v>
      </c>
      <c r="Y1670">
        <v>0.1023293</v>
      </c>
      <c r="Z1670">
        <v>5.3733929999999999E-2</v>
      </c>
      <c r="AA1670">
        <v>0.99329820000000002</v>
      </c>
      <c r="AB1670">
        <v>20</v>
      </c>
      <c r="AC1670">
        <v>-2.3097999999999899</v>
      </c>
      <c r="AD1670">
        <v>-1.110434760992</v>
      </c>
      <c r="AE1670">
        <v>-20.328499999999899</v>
      </c>
      <c r="AF1670">
        <v>2.1104941308455198</v>
      </c>
      <c r="AG1670">
        <v>-1.110434760992</v>
      </c>
      <c r="AH1670">
        <v>20.2897419050541</v>
      </c>
      <c r="AI1670">
        <v>93.115830998279904</v>
      </c>
      <c r="AJ1670">
        <v>84.061575466264998</v>
      </c>
      <c r="AK1670">
        <v>20.429412067126702</v>
      </c>
      <c r="AL1670">
        <v>83.8513345019756</v>
      </c>
      <c r="AM1670">
        <v>87.370632008204296</v>
      </c>
      <c r="AN1670">
        <v>1.0000000291509801</v>
      </c>
    </row>
    <row r="1671" spans="1:40" x14ac:dyDescent="0.25">
      <c r="A1671" t="str">
        <f>"20190312164021032"</f>
        <v>20190312164021032</v>
      </c>
      <c r="B1671" t="str">
        <f>"1552380021027688"</f>
        <v>1552380021027688</v>
      </c>
      <c r="C1671" t="s">
        <v>40</v>
      </c>
      <c r="D1671">
        <v>5.8808999999999996</v>
      </c>
      <c r="E1671">
        <v>0.5245301</v>
      </c>
      <c r="F1671" t="s">
        <v>41</v>
      </c>
      <c r="G1671">
        <v>-193.55590000000001</v>
      </c>
      <c r="H1671" s="1">
        <v>-4.6684239999999999E-6</v>
      </c>
      <c r="I1671">
        <v>317.80040000000002</v>
      </c>
      <c r="J1671">
        <v>-191.21729999999999</v>
      </c>
      <c r="K1671">
        <v>1.110409</v>
      </c>
      <c r="L1671">
        <v>338.18369999999999</v>
      </c>
      <c r="M1671">
        <v>-8.5844409999999999E-3</v>
      </c>
      <c r="N1671">
        <v>0</v>
      </c>
      <c r="O1671">
        <v>-0.99992820000000004</v>
      </c>
      <c r="P1671">
        <v>-5.6258519999999999E-2</v>
      </c>
      <c r="Q1671">
        <v>9.8029480000000002E-2</v>
      </c>
      <c r="R1671">
        <v>-0.99359260000000005</v>
      </c>
      <c r="S1671">
        <v>-0.34284969999999998</v>
      </c>
      <c r="T1671">
        <v>-0.1627325</v>
      </c>
      <c r="U1671">
        <v>-3.0164490000000002</v>
      </c>
      <c r="V1671">
        <v>4.7590050000000002E-2</v>
      </c>
      <c r="W1671">
        <v>0.10643809999999999</v>
      </c>
      <c r="X1671">
        <v>0.99317979999999995</v>
      </c>
      <c r="Y1671">
        <v>0.10423689999999999</v>
      </c>
      <c r="Z1671">
        <v>5.3548449999999997E-2</v>
      </c>
      <c r="AA1671">
        <v>0.99310989999999999</v>
      </c>
      <c r="AB1671">
        <v>20</v>
      </c>
      <c r="AC1671">
        <v>-2.3386000000000098</v>
      </c>
      <c r="AD1671">
        <v>-1.110413668424</v>
      </c>
      <c r="AE1671">
        <v>-20.383299999999899</v>
      </c>
      <c r="AF1671">
        <v>2.15720968686353</v>
      </c>
      <c r="AG1671">
        <v>-1.110413668424</v>
      </c>
      <c r="AH1671">
        <v>20.343037410925</v>
      </c>
      <c r="AI1671">
        <v>93.106973102625005</v>
      </c>
      <c r="AJ1671">
        <v>83.946880920592406</v>
      </c>
      <c r="AK1671">
        <v>20.487209259692101</v>
      </c>
      <c r="AL1671">
        <v>83.889972010927906</v>
      </c>
      <c r="AM1671">
        <v>87.256664887659198</v>
      </c>
      <c r="AN1671">
        <v>0.99999999855932598</v>
      </c>
    </row>
    <row r="1672" spans="1:40" x14ac:dyDescent="0.25">
      <c r="A1672" t="str">
        <f>"20190312164021055"</f>
        <v>20190312164021055</v>
      </c>
      <c r="B1672" t="str">
        <f>"1552380021048185"</f>
        <v>1552380021048185</v>
      </c>
      <c r="C1672" t="s">
        <v>40</v>
      </c>
      <c r="D1672">
        <v>5.8775490000000001</v>
      </c>
      <c r="E1672">
        <v>0.52441759999999904</v>
      </c>
      <c r="F1672" t="s">
        <v>41</v>
      </c>
      <c r="G1672">
        <v>-193.5035</v>
      </c>
      <c r="H1672" s="1">
        <v>-4.7829170000000002E-6</v>
      </c>
      <c r="I1672">
        <v>318.12279999999998</v>
      </c>
      <c r="J1672">
        <v>-191.21809999999999</v>
      </c>
      <c r="K1672">
        <v>1.1103809999999901</v>
      </c>
      <c r="L1672">
        <v>337.97739999999999</v>
      </c>
      <c r="M1672">
        <v>-7.6584640000000002E-3</v>
      </c>
      <c r="N1672">
        <v>0</v>
      </c>
      <c r="O1672">
        <v>-0.99993650000000001</v>
      </c>
      <c r="P1672">
        <v>-5.7650920000000001E-2</v>
      </c>
      <c r="Q1672">
        <v>9.7380359999999999E-2</v>
      </c>
      <c r="R1672">
        <v>-0.99357649999999997</v>
      </c>
      <c r="S1672">
        <v>-0.34375</v>
      </c>
      <c r="T1672">
        <v>-0.16696359999999999</v>
      </c>
      <c r="U1672">
        <v>-3.0163880000000001</v>
      </c>
      <c r="V1672">
        <v>4.9906539999999999E-2</v>
      </c>
      <c r="W1672">
        <v>0.1056885</v>
      </c>
      <c r="X1672">
        <v>0.99314610000000003</v>
      </c>
      <c r="Y1672">
        <v>0.1054442</v>
      </c>
      <c r="Z1672">
        <v>5.4933849999999999E-2</v>
      </c>
      <c r="AA1672">
        <v>0.99290670000000003</v>
      </c>
      <c r="AB1672">
        <v>20</v>
      </c>
      <c r="AC1672">
        <v>-2.2854000000000099</v>
      </c>
      <c r="AD1672">
        <v>-1.1103857829170001</v>
      </c>
      <c r="AE1672">
        <v>-19.854600000000001</v>
      </c>
      <c r="AF1672">
        <v>2.1267073082399102</v>
      </c>
      <c r="AG1672">
        <v>-1.1103857829170001</v>
      </c>
      <c r="AH1672">
        <v>19.810370214764799</v>
      </c>
      <c r="AI1672">
        <v>93.1898235786595</v>
      </c>
      <c r="AJ1672">
        <v>83.872579797634202</v>
      </c>
      <c r="AK1672">
        <v>19.9551148482755</v>
      </c>
      <c r="AL1672">
        <v>83.933164258458902</v>
      </c>
      <c r="AM1672">
        <v>87.123252147194094</v>
      </c>
      <c r="AN1672">
        <v>0.99999994885611398</v>
      </c>
    </row>
    <row r="1673" spans="1:40" x14ac:dyDescent="0.25">
      <c r="A1673" t="str">
        <f>"20190312164021077"</f>
        <v>20190312164021077</v>
      </c>
      <c r="B1673" t="str">
        <f>"1552380021067704"</f>
        <v>1552380021067704</v>
      </c>
      <c r="C1673" t="s">
        <v>40</v>
      </c>
      <c r="D1673">
        <v>5.8747600000000002</v>
      </c>
      <c r="E1673">
        <v>0.52426019999999995</v>
      </c>
      <c r="F1673" t="s">
        <v>41</v>
      </c>
      <c r="G1673">
        <v>-193.4615</v>
      </c>
      <c r="H1673" s="1">
        <v>-4.8981300000000001E-6</v>
      </c>
      <c r="I1673">
        <v>318.44220000000001</v>
      </c>
      <c r="J1673">
        <v>-191.21870000000001</v>
      </c>
      <c r="K1673">
        <v>1.110352</v>
      </c>
      <c r="L1673">
        <v>337.77019999999999</v>
      </c>
      <c r="M1673">
        <v>-6.7478399999999997E-3</v>
      </c>
      <c r="N1673">
        <v>0</v>
      </c>
      <c r="O1673">
        <v>-0.99994380000000005</v>
      </c>
      <c r="P1673">
        <v>-5.8196619999999998E-2</v>
      </c>
      <c r="Q1673">
        <v>9.6776180000000003E-2</v>
      </c>
      <c r="R1673">
        <v>-0.99360349999999997</v>
      </c>
      <c r="S1673">
        <v>-0.34637449999999997</v>
      </c>
      <c r="T1673">
        <v>-0.17143849999999999</v>
      </c>
      <c r="U1673">
        <v>-3.0161440000000002</v>
      </c>
      <c r="V1673">
        <v>5.1360860000000001E-2</v>
      </c>
      <c r="W1673">
        <v>0.1049943</v>
      </c>
      <c r="X1673">
        <v>0.99314559999999996</v>
      </c>
      <c r="Y1673">
        <v>0.1072022</v>
      </c>
      <c r="Z1673">
        <v>5.6398499999999997E-2</v>
      </c>
      <c r="AA1673">
        <v>0.99263630000000003</v>
      </c>
      <c r="AB1673">
        <v>20</v>
      </c>
      <c r="AC1673">
        <v>-2.2427999999999799</v>
      </c>
      <c r="AD1673">
        <v>-1.1103568981299901</v>
      </c>
      <c r="AE1673">
        <v>-19.3279999999999</v>
      </c>
      <c r="AF1673">
        <v>2.1054660069655302</v>
      </c>
      <c r="AG1673">
        <v>-1.1103568981299901</v>
      </c>
      <c r="AH1673">
        <v>19.279910691546998</v>
      </c>
      <c r="AI1673">
        <v>93.276665145104104</v>
      </c>
      <c r="AJ1673">
        <v>83.767701100175699</v>
      </c>
      <c r="AK1673">
        <v>19.4262923848516</v>
      </c>
      <c r="AL1673">
        <v>83.973161610483601</v>
      </c>
      <c r="AM1673">
        <v>87.039566741924304</v>
      </c>
      <c r="AN1673">
        <v>0.99999996188589402</v>
      </c>
    </row>
    <row r="1674" spans="1:40" x14ac:dyDescent="0.25">
      <c r="A1674" t="str">
        <f>"20190312164021098"</f>
        <v>20190312164021098</v>
      </c>
      <c r="B1674" t="str">
        <f>"1552380021088203"</f>
        <v>1552380021088203</v>
      </c>
      <c r="C1674" t="s">
        <v>40</v>
      </c>
      <c r="D1674">
        <v>5.9201769999999998</v>
      </c>
      <c r="E1674">
        <v>0.52406109999999995</v>
      </c>
      <c r="F1674" t="s">
        <v>41</v>
      </c>
      <c r="G1674">
        <v>-193.4016</v>
      </c>
      <c r="H1674" s="1">
        <v>-5.004549E-6</v>
      </c>
      <c r="I1674">
        <v>318.74700000000001</v>
      </c>
      <c r="J1674">
        <v>-191.21899999999999</v>
      </c>
      <c r="K1674">
        <v>1.110325</v>
      </c>
      <c r="L1674">
        <v>337.57679999999999</v>
      </c>
      <c r="M1674">
        <v>-5.91765E-3</v>
      </c>
      <c r="N1674">
        <v>0</v>
      </c>
      <c r="O1674">
        <v>-0.9999498</v>
      </c>
      <c r="P1674">
        <v>-5.9086519999999997E-2</v>
      </c>
      <c r="Q1674">
        <v>9.5961119999999997E-2</v>
      </c>
      <c r="R1674">
        <v>-0.99362989999999995</v>
      </c>
      <c r="S1674">
        <v>-0.34611510000000001</v>
      </c>
      <c r="T1674">
        <v>-0.17604919999999999</v>
      </c>
      <c r="U1674">
        <v>-3.0161739999999999</v>
      </c>
      <c r="V1674">
        <v>5.307924E-2</v>
      </c>
      <c r="W1674">
        <v>0.104101399999999</v>
      </c>
      <c r="X1674">
        <v>0.99314930000000001</v>
      </c>
      <c r="Y1674">
        <v>0.10793229999999999</v>
      </c>
      <c r="Z1674">
        <v>5.7908139999999997E-2</v>
      </c>
      <c r="AA1674">
        <v>0.99247030000000003</v>
      </c>
      <c r="AB1674">
        <v>20</v>
      </c>
      <c r="AC1674">
        <v>-2.1825999999999701</v>
      </c>
      <c r="AD1674">
        <v>-1.1103300045489899</v>
      </c>
      <c r="AE1674">
        <v>-18.829799999999899</v>
      </c>
      <c r="AF1674">
        <v>2.0640482904453998</v>
      </c>
      <c r="AG1674">
        <v>-1.1103300045489899</v>
      </c>
      <c r="AH1674">
        <v>18.7779599968067</v>
      </c>
      <c r="AI1674">
        <v>93.363714084867297</v>
      </c>
      <c r="AJ1674">
        <v>83.727306001153806</v>
      </c>
      <c r="AK1674">
        <v>18.923660050475601</v>
      </c>
      <c r="AL1674">
        <v>84.024603267864094</v>
      </c>
      <c r="AM1674">
        <v>86.940716031067197</v>
      </c>
      <c r="AN1674">
        <v>1.0000000196457099</v>
      </c>
    </row>
    <row r="1675" spans="1:40" x14ac:dyDescent="0.25">
      <c r="A1675" t="str">
        <f>"20190312164021122"</f>
        <v>20190312164021122</v>
      </c>
      <c r="B1675" t="str">
        <f>"1552380021117481"</f>
        <v>1552380021117481</v>
      </c>
      <c r="C1675" t="s">
        <v>40</v>
      </c>
      <c r="D1675">
        <v>5.9098100000000002</v>
      </c>
      <c r="E1675">
        <v>0.52292429999999901</v>
      </c>
      <c r="F1675" t="s">
        <v>41</v>
      </c>
      <c r="G1675">
        <v>-193.36689999999999</v>
      </c>
      <c r="H1675" s="1">
        <v>-5.0610380000000001E-6</v>
      </c>
      <c r="I1675">
        <v>318.9101</v>
      </c>
      <c r="J1675">
        <v>-191.2193</v>
      </c>
      <c r="K1675">
        <v>1.110298</v>
      </c>
      <c r="L1675">
        <v>337.36309999999997</v>
      </c>
      <c r="M1675">
        <v>-5.0216449999999999E-3</v>
      </c>
      <c r="N1675">
        <v>0</v>
      </c>
      <c r="O1675">
        <v>-0.99995520000000004</v>
      </c>
      <c r="P1675">
        <v>-5.9371739999999999E-2</v>
      </c>
      <c r="Q1675">
        <v>9.5447809999999994E-2</v>
      </c>
      <c r="R1675">
        <v>-0.99366239999999995</v>
      </c>
      <c r="S1675">
        <v>-0.34703060000000002</v>
      </c>
      <c r="T1675">
        <v>-0.17939379999999999</v>
      </c>
      <c r="U1675">
        <v>-3.01593</v>
      </c>
      <c r="V1675">
        <v>5.4258000000000001E-2</v>
      </c>
      <c r="W1675">
        <v>0.10350620000000001</v>
      </c>
      <c r="X1675">
        <v>0.99314780000000003</v>
      </c>
      <c r="Y1675">
        <v>0.1091221</v>
      </c>
      <c r="Z1675">
        <v>5.900474E-2</v>
      </c>
      <c r="AA1675">
        <v>0.99227560000000004</v>
      </c>
      <c r="AB1675">
        <v>21</v>
      </c>
      <c r="AC1675">
        <v>-2.1475999999999802</v>
      </c>
      <c r="AD1675">
        <v>-1.110303061038</v>
      </c>
      <c r="AE1675">
        <v>-18.4529999999999</v>
      </c>
      <c r="AF1675">
        <v>2.0475916137961598</v>
      </c>
      <c r="AG1675">
        <v>-1.110303061038</v>
      </c>
      <c r="AH1675">
        <v>18.397835882685499</v>
      </c>
      <c r="AI1675">
        <v>93.432450193413402</v>
      </c>
      <c r="AJ1675">
        <v>83.649387147432407</v>
      </c>
      <c r="AK1675">
        <v>18.544696532175099</v>
      </c>
      <c r="AL1675">
        <v>84.058890877277193</v>
      </c>
      <c r="AM1675">
        <v>86.8729054845153</v>
      </c>
      <c r="AN1675">
        <v>1.00000000832364</v>
      </c>
    </row>
    <row r="1676" spans="1:40" x14ac:dyDescent="0.25">
      <c r="A1676" t="str">
        <f>"20190312164021146"</f>
        <v>20190312164021146</v>
      </c>
      <c r="B1676" t="str">
        <f>"1552380021137977"</f>
        <v>1552380021137977</v>
      </c>
      <c r="C1676" t="s">
        <v>40</v>
      </c>
      <c r="D1676">
        <v>5.9099899999999996</v>
      </c>
      <c r="E1676">
        <v>0.52206260000000004</v>
      </c>
      <c r="F1676" t="s">
        <v>41</v>
      </c>
      <c r="G1676">
        <v>-193.3449</v>
      </c>
      <c r="H1676" s="1">
        <v>-4.8660249999999997E-6</v>
      </c>
      <c r="I1676">
        <v>318.41250000000002</v>
      </c>
      <c r="J1676">
        <v>-191.2193</v>
      </c>
      <c r="K1676">
        <v>1.1102780000000001</v>
      </c>
      <c r="L1676">
        <v>337.14010000000002</v>
      </c>
      <c r="M1676">
        <v>-4.1034549999999998E-3</v>
      </c>
      <c r="N1676">
        <v>0</v>
      </c>
      <c r="O1676">
        <v>-0.99996019999999997</v>
      </c>
      <c r="P1676">
        <v>-5.9956719999999998E-2</v>
      </c>
      <c r="Q1676">
        <v>9.510101E-2</v>
      </c>
      <c r="R1676">
        <v>-0.99366069999999995</v>
      </c>
      <c r="S1676">
        <v>-0.33828740000000002</v>
      </c>
      <c r="T1676">
        <v>-0.17669949999999901</v>
      </c>
      <c r="U1676">
        <v>-3.0158999999999998</v>
      </c>
      <c r="V1676">
        <v>5.5758340000000003E-2</v>
      </c>
      <c r="W1676">
        <v>0.1030826</v>
      </c>
      <c r="X1676">
        <v>0.99310869999999996</v>
      </c>
      <c r="Y1676">
        <v>0.10720150000000001</v>
      </c>
      <c r="Z1676">
        <v>5.8138099999999998E-2</v>
      </c>
      <c r="AA1676">
        <v>0.99253610000000003</v>
      </c>
      <c r="AB1676">
        <v>21</v>
      </c>
      <c r="AC1676">
        <v>-2.1255999999999902</v>
      </c>
      <c r="AD1676">
        <v>-1.1102828660249999</v>
      </c>
      <c r="AE1676">
        <v>-18.727599999999899</v>
      </c>
      <c r="AF1676">
        <v>2.0416470756540201</v>
      </c>
      <c r="AG1676">
        <v>-1.1102828660249999</v>
      </c>
      <c r="AH1676">
        <v>18.671373068432501</v>
      </c>
      <c r="AI1676">
        <v>93.382937579526697</v>
      </c>
      <c r="AJ1676">
        <v>83.759706014241701</v>
      </c>
      <c r="AK1676">
        <v>18.815451710886499</v>
      </c>
      <c r="AL1676">
        <v>84.083291563022001</v>
      </c>
      <c r="AM1676">
        <v>86.7864877248862</v>
      </c>
      <c r="AN1676">
        <v>0.99999995245900097</v>
      </c>
    </row>
    <row r="1677" spans="1:40" x14ac:dyDescent="0.25">
      <c r="A1677" t="str">
        <f>"20190312164021169"</f>
        <v>20190312164021169</v>
      </c>
      <c r="B1677" t="str">
        <f>"1552380021157506"</f>
        <v>1552380021157506</v>
      </c>
      <c r="C1677" t="s">
        <v>40</v>
      </c>
      <c r="D1677">
        <v>5.9980320000000003</v>
      </c>
      <c r="E1677">
        <v>0.52120169999999999</v>
      </c>
      <c r="F1677" t="s">
        <v>41</v>
      </c>
      <c r="G1677">
        <v>-193.3304</v>
      </c>
      <c r="H1677" s="1">
        <v>-4.7086290000000003E-6</v>
      </c>
      <c r="I1677">
        <v>318.0093</v>
      </c>
      <c r="J1677">
        <v>-191.2192</v>
      </c>
      <c r="K1677">
        <v>1.110263</v>
      </c>
      <c r="L1677">
        <v>336.92970000000003</v>
      </c>
      <c r="M1677">
        <v>-3.247659E-3</v>
      </c>
      <c r="N1677">
        <v>0</v>
      </c>
      <c r="O1677">
        <v>-0.99996370000000001</v>
      </c>
      <c r="P1677">
        <v>-6.0789160000000002E-2</v>
      </c>
      <c r="Q1677">
        <v>9.5102759999999995E-2</v>
      </c>
      <c r="R1677">
        <v>-0.99360979999999999</v>
      </c>
      <c r="S1677">
        <v>-0.33279419999999998</v>
      </c>
      <c r="T1677">
        <v>-0.17502690000000001</v>
      </c>
      <c r="U1677">
        <v>-3.0158079999999998</v>
      </c>
      <c r="V1677">
        <v>5.7443439999999998E-2</v>
      </c>
      <c r="W1677">
        <v>0.1030215</v>
      </c>
      <c r="X1677">
        <v>0.99301899999999999</v>
      </c>
      <c r="Y1677">
        <v>0.1062733</v>
      </c>
      <c r="Z1677">
        <v>5.7600249999999999E-2</v>
      </c>
      <c r="AA1677">
        <v>0.99266719999999997</v>
      </c>
      <c r="AB1677">
        <v>21</v>
      </c>
      <c r="AC1677">
        <v>-2.11119999999999</v>
      </c>
      <c r="AD1677">
        <v>-1.110267708629</v>
      </c>
      <c r="AE1677">
        <v>-18.920400000000001</v>
      </c>
      <c r="AF1677">
        <v>2.04279218797905</v>
      </c>
      <c r="AG1677">
        <v>-1.110267708629</v>
      </c>
      <c r="AH1677">
        <v>18.863001715107501</v>
      </c>
      <c r="AI1677">
        <v>93.348980770643905</v>
      </c>
      <c r="AJ1677">
        <v>83.8191703991005</v>
      </c>
      <c r="AK1677">
        <v>19.005749867138601</v>
      </c>
      <c r="AL1677">
        <v>84.086811096175296</v>
      </c>
      <c r="AM1677">
        <v>86.689285069033701</v>
      </c>
      <c r="AN1677">
        <v>0.99999995631114003</v>
      </c>
    </row>
    <row r="1678" spans="1:40" x14ac:dyDescent="0.25">
      <c r="A1678" t="str">
        <f>"20190312164021192"</f>
        <v>20190312164021192</v>
      </c>
      <c r="B1678" t="str">
        <f>"1552380021177993"</f>
        <v>1552380021177993</v>
      </c>
      <c r="C1678" t="s">
        <v>40</v>
      </c>
      <c r="D1678">
        <v>5.9067309999999997</v>
      </c>
      <c r="E1678">
        <v>0.52047429999999995</v>
      </c>
      <c r="F1678" t="s">
        <v>41</v>
      </c>
      <c r="G1678">
        <v>-193.29929999999999</v>
      </c>
      <c r="H1678" s="1">
        <v>-4.6373590000000002E-6</v>
      </c>
      <c r="I1678">
        <v>317.83800000000002</v>
      </c>
      <c r="J1678">
        <v>-191.21879999999999</v>
      </c>
      <c r="K1678">
        <v>1.110247</v>
      </c>
      <c r="L1678">
        <v>336.71080000000001</v>
      </c>
      <c r="M1678">
        <v>-2.3663059999999999E-3</v>
      </c>
      <c r="N1678">
        <v>0</v>
      </c>
      <c r="O1678">
        <v>-0.99996660000000004</v>
      </c>
      <c r="P1678">
        <v>-6.1358999999999997E-2</v>
      </c>
      <c r="Q1678">
        <v>9.4802999999999998E-2</v>
      </c>
      <c r="R1678">
        <v>-0.99360320000000002</v>
      </c>
      <c r="S1678">
        <v>-0.3286133</v>
      </c>
      <c r="T1678">
        <v>-0.1753942</v>
      </c>
      <c r="U1678">
        <v>-3.0159910000000001</v>
      </c>
      <c r="V1678">
        <v>5.8891239999999997E-2</v>
      </c>
      <c r="W1678">
        <v>0.1026648</v>
      </c>
      <c r="X1678">
        <v>0.99297120000000005</v>
      </c>
      <c r="Y1678">
        <v>0.1057826</v>
      </c>
      <c r="Z1678">
        <v>5.7723299999999998E-2</v>
      </c>
      <c r="AA1678">
        <v>0.9927125</v>
      </c>
      <c r="AB1678">
        <v>21</v>
      </c>
      <c r="AC1678">
        <v>-2.0804999999999998</v>
      </c>
      <c r="AD1678">
        <v>-1.1102516373589999</v>
      </c>
      <c r="AE1678">
        <v>-18.872800000000002</v>
      </c>
      <c r="AF1678">
        <v>2.0288967885111999</v>
      </c>
      <c r="AG1678">
        <v>-1.1102516373589999</v>
      </c>
      <c r="AH1678">
        <v>18.813343860921599</v>
      </c>
      <c r="AI1678">
        <v>93.357913742431194</v>
      </c>
      <c r="AJ1678">
        <v>83.844811292995203</v>
      </c>
      <c r="AK1678">
        <v>18.954972648515302</v>
      </c>
      <c r="AL1678">
        <v>84.107357833504594</v>
      </c>
      <c r="AM1678">
        <v>86.605871738005902</v>
      </c>
      <c r="AN1678">
        <v>1.0000000216686</v>
      </c>
    </row>
    <row r="1679" spans="1:40" x14ac:dyDescent="0.25">
      <c r="A1679" t="str">
        <f>"20190312164021211"</f>
        <v>20190312164021211</v>
      </c>
      <c r="B1679" t="str">
        <f>"1552380021208249"</f>
        <v>1552380021208249</v>
      </c>
      <c r="C1679" t="s">
        <v>40</v>
      </c>
      <c r="D1679">
        <v>6.4530649999999996</v>
      </c>
      <c r="E1679">
        <v>0.51961919999999995</v>
      </c>
      <c r="F1679" t="s">
        <v>41</v>
      </c>
      <c r="G1679">
        <v>-193.30690000000001</v>
      </c>
      <c r="H1679" s="1">
        <v>-4.4423980000000004E-6</v>
      </c>
      <c r="I1679">
        <v>317.32690000000002</v>
      </c>
      <c r="J1679">
        <v>-191.2184</v>
      </c>
      <c r="K1679">
        <v>1.1102350000000001</v>
      </c>
      <c r="L1679">
        <v>336.5283</v>
      </c>
      <c r="M1679">
        <v>-1.63699299999999E-3</v>
      </c>
      <c r="N1679">
        <v>0</v>
      </c>
      <c r="O1679">
        <v>-0.99996850000000004</v>
      </c>
      <c r="P1679">
        <v>-6.1775950000000003E-2</v>
      </c>
      <c r="Q1679">
        <v>9.4526059999999995E-2</v>
      </c>
      <c r="R1679">
        <v>-0.99360400000000004</v>
      </c>
      <c r="S1679">
        <v>-0.32485960000000003</v>
      </c>
      <c r="T1679">
        <v>-0.1727322</v>
      </c>
      <c r="U1679">
        <v>-3.0157470000000002</v>
      </c>
      <c r="V1679">
        <v>6.0034509999999999E-2</v>
      </c>
      <c r="W1679">
        <v>0.10234650000000001</v>
      </c>
      <c r="X1679">
        <v>0.99293560000000003</v>
      </c>
      <c r="Y1679">
        <v>0.10530050000000001</v>
      </c>
      <c r="Z1679">
        <v>5.6860040000000001E-2</v>
      </c>
      <c r="AA1679">
        <v>0.99281350000000002</v>
      </c>
      <c r="AB1679">
        <v>21</v>
      </c>
      <c r="AC1679">
        <v>-2.08850000000001</v>
      </c>
      <c r="AD1679">
        <v>-1.110239442398</v>
      </c>
      <c r="AE1679">
        <v>-19.2013999999999</v>
      </c>
      <c r="AF1679">
        <v>2.0502892330294999</v>
      </c>
      <c r="AG1679">
        <v>-1.110239442398</v>
      </c>
      <c r="AH1679">
        <v>19.141546693618199</v>
      </c>
      <c r="AI1679">
        <v>93.300686799612194</v>
      </c>
      <c r="AJ1679">
        <v>83.886244702603705</v>
      </c>
      <c r="AK1679">
        <v>19.283026924798399</v>
      </c>
      <c r="AL1679">
        <v>84.125691686653795</v>
      </c>
      <c r="AM1679">
        <v>86.540015497047605</v>
      </c>
      <c r="AN1679">
        <v>1.00000002710027</v>
      </c>
    </row>
    <row r="1680" spans="1:40" x14ac:dyDescent="0.25">
      <c r="A1680" t="str">
        <f>"20190312164021234"</f>
        <v>20190312164021234</v>
      </c>
      <c r="B1680" t="str">
        <f>"1552380021227769"</f>
        <v>1552380021227769</v>
      </c>
      <c r="C1680" t="s">
        <v>40</v>
      </c>
      <c r="D1680">
        <v>5.8326269999999996</v>
      </c>
      <c r="E1680">
        <v>0.51881690000000003</v>
      </c>
      <c r="F1680" t="s">
        <v>41</v>
      </c>
      <c r="G1680">
        <v>-193.32570000000001</v>
      </c>
      <c r="H1680" s="1">
        <v>-4.1876039999999996E-6</v>
      </c>
      <c r="I1680">
        <v>316.65469999999999</v>
      </c>
      <c r="J1680">
        <v>-191.21780000000001</v>
      </c>
      <c r="K1680">
        <v>1.110223</v>
      </c>
      <c r="L1680">
        <v>336.31319999999999</v>
      </c>
      <c r="M1680">
        <v>-7.8431799999999999E-4</v>
      </c>
      <c r="N1680">
        <v>0</v>
      </c>
      <c r="O1680">
        <v>-0.99996960000000001</v>
      </c>
      <c r="P1680">
        <v>-6.2104300000000001E-2</v>
      </c>
      <c r="Q1680">
        <v>9.4613680000000006E-2</v>
      </c>
      <c r="R1680">
        <v>-0.99357499999999999</v>
      </c>
      <c r="S1680">
        <v>-0.31974789999999997</v>
      </c>
      <c r="T1680">
        <v>-0.16846120000000001</v>
      </c>
      <c r="U1680">
        <v>-3.0155029999999998</v>
      </c>
      <c r="V1680">
        <v>6.1211359999999999E-2</v>
      </c>
      <c r="W1680">
        <v>0.1023896</v>
      </c>
      <c r="X1680">
        <v>0.99285919999999905</v>
      </c>
      <c r="Y1680">
        <v>0.1045012</v>
      </c>
      <c r="Z1680">
        <v>5.5470350000000002E-2</v>
      </c>
      <c r="AA1680">
        <v>0.99297659999999999</v>
      </c>
      <c r="AB1680">
        <v>21</v>
      </c>
      <c r="AC1680">
        <v>-2.1078999999999999</v>
      </c>
      <c r="AD1680">
        <v>-1.110227187604</v>
      </c>
      <c r="AE1680">
        <v>-19.6585</v>
      </c>
      <c r="AF1680">
        <v>2.0859030017301499</v>
      </c>
      <c r="AG1680">
        <v>-1.110227187604</v>
      </c>
      <c r="AH1680">
        <v>19.598348803014598</v>
      </c>
      <c r="AI1680">
        <v>93.224113203371004</v>
      </c>
      <c r="AJ1680">
        <v>83.924732961409006</v>
      </c>
      <c r="AK1680">
        <v>19.740285498070801</v>
      </c>
      <c r="AL1680">
        <v>84.123208600283604</v>
      </c>
      <c r="AM1680">
        <v>86.4720886671698</v>
      </c>
      <c r="AN1680">
        <v>0.99999992590292097</v>
      </c>
    </row>
    <row r="1681" spans="1:40" x14ac:dyDescent="0.25">
      <c r="A1681" t="str">
        <f>"20190312164021256"</f>
        <v>20190312164021256</v>
      </c>
      <c r="B1681" t="str">
        <f>"1552380021247289"</f>
        <v>1552380021247289</v>
      </c>
      <c r="C1681" t="s">
        <v>40</v>
      </c>
      <c r="D1681">
        <v>5.7538470000000004</v>
      </c>
      <c r="E1681">
        <v>0.51816839999999997</v>
      </c>
      <c r="F1681" t="s">
        <v>41</v>
      </c>
      <c r="G1681">
        <v>-193.2576</v>
      </c>
      <c r="H1681" s="1">
        <v>-4.1975540000000003E-6</v>
      </c>
      <c r="I1681">
        <v>316.71210000000002</v>
      </c>
      <c r="J1681">
        <v>-191.21700000000001</v>
      </c>
      <c r="K1681">
        <v>1.1102099999999999</v>
      </c>
      <c r="L1681">
        <v>336.10449999999997</v>
      </c>
      <c r="M1681" s="1">
        <v>3.7010020000000001E-5</v>
      </c>
      <c r="N1681">
        <v>0</v>
      </c>
      <c r="O1681">
        <v>-0.99997029999999998</v>
      </c>
      <c r="P1681">
        <v>-6.2088850000000001E-2</v>
      </c>
      <c r="Q1681">
        <v>9.5140719999999998E-2</v>
      </c>
      <c r="R1681">
        <v>-0.99352589999999996</v>
      </c>
      <c r="S1681">
        <v>-0.31385800000000003</v>
      </c>
      <c r="T1681">
        <v>-0.17083010000000001</v>
      </c>
      <c r="U1681">
        <v>-3.016022</v>
      </c>
      <c r="V1681">
        <v>6.2012299999999999E-2</v>
      </c>
      <c r="W1681">
        <v>0.1028787</v>
      </c>
      <c r="X1681">
        <v>0.99275899999999995</v>
      </c>
      <c r="Y1681">
        <v>0.1033776</v>
      </c>
      <c r="Z1681">
        <v>5.6247360000000003E-2</v>
      </c>
      <c r="AA1681">
        <v>0.99305049999999995</v>
      </c>
      <c r="AB1681">
        <v>21</v>
      </c>
      <c r="AC1681">
        <v>-2.04059999999998</v>
      </c>
      <c r="AD1681">
        <v>-1.1102141975540001</v>
      </c>
      <c r="AE1681">
        <v>-19.392399999999899</v>
      </c>
      <c r="AF1681">
        <v>2.0347218475553799</v>
      </c>
      <c r="AG1681">
        <v>-1.1102141975540001</v>
      </c>
      <c r="AH1681">
        <v>19.329664176672299</v>
      </c>
      <c r="AI1681">
        <v>93.269193008895996</v>
      </c>
      <c r="AJ1681">
        <v>83.990934367898404</v>
      </c>
      <c r="AK1681">
        <v>19.468142842713501</v>
      </c>
      <c r="AL1681">
        <v>84.095036852621504</v>
      </c>
      <c r="AM1681">
        <v>86.425685653316805</v>
      </c>
      <c r="AN1681">
        <v>0.99999999217298896</v>
      </c>
    </row>
    <row r="1682" spans="1:40" x14ac:dyDescent="0.25">
      <c r="A1682" t="str">
        <f>"20190312164021279"</f>
        <v>20190312164021279</v>
      </c>
      <c r="B1682" t="str">
        <f>"1552380021267784"</f>
        <v>1552380021267784</v>
      </c>
      <c r="C1682" t="s">
        <v>40</v>
      </c>
      <c r="D1682">
        <v>5.8171520000000001</v>
      </c>
      <c r="E1682">
        <v>0.51754359999999999</v>
      </c>
      <c r="F1682" t="s">
        <v>41</v>
      </c>
      <c r="G1682">
        <v>-193.2423</v>
      </c>
      <c r="H1682" s="1">
        <v>-4.0368449999999998E-6</v>
      </c>
      <c r="I1682">
        <v>316.30650000000003</v>
      </c>
      <c r="J1682">
        <v>-191.21610000000001</v>
      </c>
      <c r="K1682">
        <v>1.1102069999999999</v>
      </c>
      <c r="L1682">
        <v>335.88850000000002</v>
      </c>
      <c r="M1682">
        <v>8.8134089999999997E-4</v>
      </c>
      <c r="N1682">
        <v>0</v>
      </c>
      <c r="O1682">
        <v>-0.99997009999999997</v>
      </c>
      <c r="P1682">
        <v>-6.1301319999999999E-2</v>
      </c>
      <c r="Q1682">
        <v>9.4799750000000002E-2</v>
      </c>
      <c r="R1682">
        <v>-0.99360729999999997</v>
      </c>
      <c r="S1682">
        <v>-0.30857849999999998</v>
      </c>
      <c r="T1682">
        <v>-0.1691549</v>
      </c>
      <c r="U1682">
        <v>-3.0164789999999999</v>
      </c>
      <c r="V1682">
        <v>6.2064599999999998E-2</v>
      </c>
      <c r="W1682">
        <v>0.102505399999999</v>
      </c>
      <c r="X1682">
        <v>0.99279430000000002</v>
      </c>
      <c r="Y1682">
        <v>0.1024853</v>
      </c>
      <c r="Z1682">
        <v>5.569665E-2</v>
      </c>
      <c r="AA1682">
        <v>0.993174</v>
      </c>
      <c r="AB1682">
        <v>21</v>
      </c>
      <c r="AC1682">
        <v>-2.0261999999999798</v>
      </c>
      <c r="AD1682">
        <v>-1.110211036845</v>
      </c>
      <c r="AE1682">
        <v>-19.581999999999901</v>
      </c>
      <c r="AF1682">
        <v>2.0369798759475701</v>
      </c>
      <c r="AG1682">
        <v>-1.110211036845</v>
      </c>
      <c r="AH1682">
        <v>19.518132507465801</v>
      </c>
      <c r="AI1682">
        <v>93.237985481373997</v>
      </c>
      <c r="AJ1682">
        <v>84.041982677004</v>
      </c>
      <c r="AK1682">
        <v>19.655517091655</v>
      </c>
      <c r="AL1682">
        <v>84.116538777730895</v>
      </c>
      <c r="AM1682">
        <v>86.422805834768397</v>
      </c>
      <c r="AN1682">
        <v>0.99999994685740301</v>
      </c>
    </row>
    <row r="1683" spans="1:40" x14ac:dyDescent="0.25">
      <c r="A1683" t="str">
        <f>"20190312164021300"</f>
        <v>20190312164021300</v>
      </c>
      <c r="B1683" t="str">
        <f>"1552380021298041"</f>
        <v>1552380021298041</v>
      </c>
      <c r="C1683" t="s">
        <v>40</v>
      </c>
      <c r="D1683">
        <v>5.9366250000000003</v>
      </c>
      <c r="E1683">
        <v>0.51655709999999999</v>
      </c>
      <c r="F1683" t="s">
        <v>41</v>
      </c>
      <c r="G1683">
        <v>-193.2285</v>
      </c>
      <c r="H1683" s="1">
        <v>-3.7600539999999998E-6</v>
      </c>
      <c r="I1683">
        <v>315.7287</v>
      </c>
      <c r="J1683">
        <v>-191.2149</v>
      </c>
      <c r="K1683">
        <v>1.1101939999999999</v>
      </c>
      <c r="L1683">
        <v>335.67630000000003</v>
      </c>
      <c r="M1683">
        <v>1.703703E-3</v>
      </c>
      <c r="N1683">
        <v>0</v>
      </c>
      <c r="O1683">
        <v>-0.99996940000000001</v>
      </c>
      <c r="P1683">
        <v>-6.1146869999999999E-2</v>
      </c>
      <c r="Q1683">
        <v>9.4675079999999995E-2</v>
      </c>
      <c r="R1683">
        <v>-0.99362859999999997</v>
      </c>
      <c r="S1683">
        <v>-0.30113220000000002</v>
      </c>
      <c r="T1683">
        <v>-0.16612399999999999</v>
      </c>
      <c r="U1683">
        <v>-3.0165709999999999</v>
      </c>
      <c r="V1683">
        <v>6.2727649999999996E-2</v>
      </c>
      <c r="W1683">
        <v>0.1023531</v>
      </c>
      <c r="X1683">
        <v>0.9927684</v>
      </c>
      <c r="Y1683">
        <v>0.1008787</v>
      </c>
      <c r="Z1683">
        <v>5.4711219999999998E-2</v>
      </c>
      <c r="AA1683">
        <v>0.99339319999999998</v>
      </c>
      <c r="AB1683">
        <v>21</v>
      </c>
      <c r="AC1683">
        <v>-2.0135999999999901</v>
      </c>
      <c r="AD1683">
        <v>-1.1101977600540001</v>
      </c>
      <c r="AE1683">
        <v>-19.947600000000001</v>
      </c>
      <c r="AF1683">
        <v>2.0413235181992602</v>
      </c>
      <c r="AG1683">
        <v>-1.1101977600540001</v>
      </c>
      <c r="AH1683">
        <v>19.883172351350201</v>
      </c>
      <c r="AI1683">
        <v>93.179175200036795</v>
      </c>
      <c r="AJ1683">
        <v>84.138215385945401</v>
      </c>
      <c r="AK1683">
        <v>20.0184935378734</v>
      </c>
      <c r="AL1683">
        <v>84.125311411384601</v>
      </c>
      <c r="AM1683">
        <v>86.384596624664596</v>
      </c>
      <c r="AN1683">
        <v>1.0000000055963401</v>
      </c>
    </row>
    <row r="1684" spans="1:40" x14ac:dyDescent="0.25">
      <c r="A1684" t="str">
        <f>"20190312164021324"</f>
        <v>20190312164021324</v>
      </c>
      <c r="B1684" t="str">
        <f>"1552380021317560"</f>
        <v>1552380021317560</v>
      </c>
      <c r="C1684" t="s">
        <v>40</v>
      </c>
      <c r="D1684">
        <v>5.8397009999999998</v>
      </c>
      <c r="E1684">
        <v>0.51598290000000002</v>
      </c>
      <c r="F1684" t="s">
        <v>41</v>
      </c>
      <c r="G1684">
        <v>-193.1337</v>
      </c>
      <c r="H1684" s="1">
        <v>-3.8198630000000001E-6</v>
      </c>
      <c r="I1684">
        <v>315.9085</v>
      </c>
      <c r="J1684">
        <v>-191.21360000000001</v>
      </c>
      <c r="K1684">
        <v>1.110187</v>
      </c>
      <c r="L1684">
        <v>335.4554</v>
      </c>
      <c r="M1684">
        <v>2.5538190000000001E-3</v>
      </c>
      <c r="N1684">
        <v>0</v>
      </c>
      <c r="O1684">
        <v>-0.99996770000000001</v>
      </c>
      <c r="P1684">
        <v>-6.0806449999999998E-2</v>
      </c>
      <c r="Q1684">
        <v>9.4484689999999996E-2</v>
      </c>
      <c r="R1684">
        <v>-0.99366759999999998</v>
      </c>
      <c r="S1684">
        <v>-0.2928925</v>
      </c>
      <c r="T1684">
        <v>-0.1694629</v>
      </c>
      <c r="U1684">
        <v>-3.017395</v>
      </c>
      <c r="V1684">
        <v>6.3232129999999998E-2</v>
      </c>
      <c r="W1684">
        <v>0.1021387</v>
      </c>
      <c r="X1684">
        <v>0.99275849999999999</v>
      </c>
      <c r="Y1684">
        <v>9.9004969999999998E-2</v>
      </c>
      <c r="Z1684">
        <v>5.5804880000000001E-2</v>
      </c>
      <c r="AA1684">
        <v>0.99352090000000004</v>
      </c>
      <c r="AB1684">
        <v>21</v>
      </c>
      <c r="AC1684">
        <v>-1.9200999999999899</v>
      </c>
      <c r="AD1684">
        <v>-1.1101908198629999</v>
      </c>
      <c r="AE1684">
        <v>-19.546899999999901</v>
      </c>
      <c r="AF1684">
        <v>1.9637403094918799</v>
      </c>
      <c r="AG1684">
        <v>-1.1101908198629999</v>
      </c>
      <c r="AH1684">
        <v>19.479695168707298</v>
      </c>
      <c r="AI1684">
        <v>93.245470275137293</v>
      </c>
      <c r="AJ1684">
        <v>84.243483072839993</v>
      </c>
      <c r="AK1684">
        <v>19.609878212915799</v>
      </c>
      <c r="AL1684">
        <v>84.137660476012101</v>
      </c>
      <c r="AM1684">
        <v>86.355561959753103</v>
      </c>
      <c r="AN1684">
        <v>1.0000000278121299</v>
      </c>
    </row>
    <row r="1685" spans="1:40" x14ac:dyDescent="0.25">
      <c r="A1685" t="str">
        <f>"20190312164021346"</f>
        <v>20190312164021346</v>
      </c>
      <c r="B1685" t="str">
        <f>"1552380021338056"</f>
        <v>1552380021338056</v>
      </c>
      <c r="C1685" t="s">
        <v>40</v>
      </c>
      <c r="D1685">
        <v>5.9548829999999997</v>
      </c>
      <c r="E1685">
        <v>0.51548419999999995</v>
      </c>
      <c r="F1685" t="s">
        <v>41</v>
      </c>
      <c r="G1685">
        <v>-193.09270000000001</v>
      </c>
      <c r="H1685" s="1">
        <v>-3.7122370000000002E-6</v>
      </c>
      <c r="I1685">
        <v>315.70400000000001</v>
      </c>
      <c r="J1685">
        <v>-191.21209999999999</v>
      </c>
      <c r="K1685">
        <v>1.1101859999999999</v>
      </c>
      <c r="L1685">
        <v>335.23700000000002</v>
      </c>
      <c r="M1685">
        <v>3.3841539999999999E-3</v>
      </c>
      <c r="N1685">
        <v>0</v>
      </c>
      <c r="O1685">
        <v>-0.99996549999999995</v>
      </c>
      <c r="P1685">
        <v>-6.0360850000000001E-2</v>
      </c>
      <c r="Q1685">
        <v>9.4502100000000006E-2</v>
      </c>
      <c r="R1685">
        <v>-0.9936933</v>
      </c>
      <c r="S1685">
        <v>-0.28709410000000002</v>
      </c>
      <c r="T1685">
        <v>-0.16961619999999999</v>
      </c>
      <c r="U1685">
        <v>-3.017639</v>
      </c>
      <c r="V1685">
        <v>6.3611840000000003E-2</v>
      </c>
      <c r="W1685">
        <v>0.1021349</v>
      </c>
      <c r="X1685">
        <v>0.99273460000000002</v>
      </c>
      <c r="Y1685">
        <v>9.7931599999999994E-2</v>
      </c>
      <c r="Z1685">
        <v>5.585859E-2</v>
      </c>
      <c r="AA1685">
        <v>0.99362430000000002</v>
      </c>
      <c r="AB1685">
        <v>21</v>
      </c>
      <c r="AC1685">
        <v>-1.88060000000001</v>
      </c>
      <c r="AD1685">
        <v>-1.1101897122369999</v>
      </c>
      <c r="AE1685">
        <v>-19.532999999999902</v>
      </c>
      <c r="AF1685">
        <v>1.9404828464780699</v>
      </c>
      <c r="AG1685">
        <v>-1.1101897122369999</v>
      </c>
      <c r="AH1685">
        <v>19.4642239478937</v>
      </c>
      <c r="AI1685">
        <v>93.248399824338804</v>
      </c>
      <c r="AJ1685">
        <v>84.306718202788502</v>
      </c>
      <c r="AK1685">
        <v>19.592192546225899</v>
      </c>
      <c r="AL1685">
        <v>84.137879151617398</v>
      </c>
      <c r="AM1685">
        <v>86.333648536434197</v>
      </c>
      <c r="AN1685">
        <v>0.99999999501167702</v>
      </c>
    </row>
    <row r="1686" spans="1:40" x14ac:dyDescent="0.25">
      <c r="A1686" t="str">
        <f>"20190312164021370"</f>
        <v>20190312164021370</v>
      </c>
      <c r="B1686" t="str">
        <f>"1552380021357576"</f>
        <v>1552380021357576</v>
      </c>
      <c r="C1686" t="s">
        <v>40</v>
      </c>
      <c r="D1686">
        <v>5.766127</v>
      </c>
      <c r="E1686">
        <v>0.51495029999999997</v>
      </c>
      <c r="F1686" t="s">
        <v>41</v>
      </c>
      <c r="G1686">
        <v>-193.05670000000001</v>
      </c>
      <c r="H1686" s="1">
        <v>-3.5952380000000001E-6</v>
      </c>
      <c r="I1686">
        <v>315.47669999999999</v>
      </c>
      <c r="J1686">
        <v>-191.21039999999999</v>
      </c>
      <c r="K1686">
        <v>1.1101730000000001</v>
      </c>
      <c r="L1686">
        <v>335.01670000000001</v>
      </c>
      <c r="M1686">
        <v>4.204396E-3</v>
      </c>
      <c r="N1686">
        <v>0</v>
      </c>
      <c r="O1686">
        <v>-0.99996240000000003</v>
      </c>
      <c r="P1686">
        <v>-5.9779850000000002E-2</v>
      </c>
      <c r="Q1686">
        <v>9.461261E-2</v>
      </c>
      <c r="R1686">
        <v>-0.99371799999999999</v>
      </c>
      <c r="S1686">
        <v>-0.2817383</v>
      </c>
      <c r="T1686">
        <v>-0.16956189999999999</v>
      </c>
      <c r="U1686">
        <v>-3.0180359999999999</v>
      </c>
      <c r="V1686">
        <v>6.3847050000000002E-2</v>
      </c>
      <c r="W1686">
        <v>0.1022265</v>
      </c>
      <c r="X1686">
        <v>0.99271010000000004</v>
      </c>
      <c r="Y1686">
        <v>9.6987879999999999E-2</v>
      </c>
      <c r="Z1686">
        <v>5.584041E-2</v>
      </c>
      <c r="AA1686">
        <v>0.99371779999999998</v>
      </c>
      <c r="AB1686">
        <v>22</v>
      </c>
      <c r="AC1686">
        <v>-1.84630000000001</v>
      </c>
      <c r="AD1686">
        <v>-1.1101765952379901</v>
      </c>
      <c r="AE1686">
        <v>-19.54</v>
      </c>
      <c r="AF1686">
        <v>1.9222896786057599</v>
      </c>
      <c r="AG1686">
        <v>-1.1101765952379901</v>
      </c>
      <c r="AH1686">
        <v>19.469771995292501</v>
      </c>
      <c r="AI1686">
        <v>93.247744414504695</v>
      </c>
      <c r="AJ1686">
        <v>84.361347150514902</v>
      </c>
      <c r="AK1686">
        <v>19.595910574141801</v>
      </c>
      <c r="AL1686">
        <v>84.132603407335594</v>
      </c>
      <c r="AM1686">
        <v>86.320038512942006</v>
      </c>
      <c r="AN1686">
        <v>1.00000002286898</v>
      </c>
    </row>
    <row r="1687" spans="1:40" x14ac:dyDescent="0.25">
      <c r="A1687" t="str">
        <f>"20190312164021391"</f>
        <v>20190312164021391</v>
      </c>
      <c r="B1687" t="str">
        <f>"1552380021387833"</f>
        <v>1552380021387833</v>
      </c>
      <c r="C1687" t="s">
        <v>40</v>
      </c>
      <c r="D1687">
        <v>6.2502630000000003</v>
      </c>
      <c r="E1687">
        <v>0.51470320000000003</v>
      </c>
      <c r="F1687" t="s">
        <v>41</v>
      </c>
      <c r="G1687">
        <v>-193.0181</v>
      </c>
      <c r="H1687" s="1">
        <v>-3.466678E-6</v>
      </c>
      <c r="I1687">
        <v>315.22649999999999</v>
      </c>
      <c r="J1687">
        <v>-191.20859999999999</v>
      </c>
      <c r="K1687">
        <v>1.1101529999999999</v>
      </c>
      <c r="L1687">
        <v>334.80380000000002</v>
      </c>
      <c r="M1687">
        <v>4.9696300000000001E-3</v>
      </c>
      <c r="N1687">
        <v>0</v>
      </c>
      <c r="O1687">
        <v>-0.9999593</v>
      </c>
      <c r="P1687">
        <v>-5.9161360000000003E-2</v>
      </c>
      <c r="Q1687">
        <v>9.4422210000000006E-2</v>
      </c>
      <c r="R1687">
        <v>-0.99377320000000002</v>
      </c>
      <c r="S1687">
        <v>-0.27572629999999998</v>
      </c>
      <c r="T1687">
        <v>-0.16932900000000001</v>
      </c>
      <c r="U1687">
        <v>-3.018494</v>
      </c>
      <c r="V1687">
        <v>6.3992430000000003E-2</v>
      </c>
      <c r="W1687">
        <v>0.1020197</v>
      </c>
      <c r="X1687">
        <v>0.99272199999999999</v>
      </c>
      <c r="Y1687">
        <v>9.5773419999999998E-2</v>
      </c>
      <c r="Z1687">
        <v>5.5763640000000003E-2</v>
      </c>
      <c r="AA1687">
        <v>0.99383999999999995</v>
      </c>
      <c r="AB1687">
        <v>22</v>
      </c>
      <c r="AC1687">
        <v>-1.8095000000000101</v>
      </c>
      <c r="AD1687">
        <v>-1.1101564666779999</v>
      </c>
      <c r="AE1687">
        <v>-19.577300000000001</v>
      </c>
      <c r="AF1687">
        <v>1.9007121807588401</v>
      </c>
      <c r="AG1687">
        <v>-1.1101564666779999</v>
      </c>
      <c r="AH1687">
        <v>19.505873539896999</v>
      </c>
      <c r="AI1687">
        <v>93.242092754499794</v>
      </c>
      <c r="AJ1687">
        <v>84.434494130753905</v>
      </c>
      <c r="AK1687">
        <v>19.629677957853701</v>
      </c>
      <c r="AL1687">
        <v>84.1445143710759</v>
      </c>
      <c r="AM1687">
        <v>86.311726419356802</v>
      </c>
      <c r="AN1687">
        <v>1.0000000097846899</v>
      </c>
    </row>
    <row r="1688" spans="1:40" x14ac:dyDescent="0.25">
      <c r="A1688" t="str">
        <f>"20190312164021413"</f>
        <v>20190312164021413</v>
      </c>
      <c r="B1688" t="str">
        <f>"1552380021407353"</f>
        <v>1552380021407353</v>
      </c>
      <c r="C1688" t="s">
        <v>40</v>
      </c>
      <c r="D1688">
        <v>5.849348</v>
      </c>
      <c r="E1688">
        <v>0.51422040000000002</v>
      </c>
      <c r="F1688" t="s">
        <v>41</v>
      </c>
      <c r="G1688">
        <v>-192.95959999999999</v>
      </c>
      <c r="H1688" s="1">
        <v>-3.5164930000000001E-6</v>
      </c>
      <c r="I1688">
        <v>315.3648</v>
      </c>
      <c r="J1688">
        <v>-191.20679999999999</v>
      </c>
      <c r="K1688">
        <v>1.1101240000000001</v>
      </c>
      <c r="L1688">
        <v>334.5994</v>
      </c>
      <c r="M1688">
        <v>5.6658189999999999E-3</v>
      </c>
      <c r="N1688">
        <v>0</v>
      </c>
      <c r="O1688">
        <v>-0.99995540000000005</v>
      </c>
      <c r="P1688">
        <v>-5.858874E-2</v>
      </c>
      <c r="Q1688">
        <v>9.4268959999999999E-2</v>
      </c>
      <c r="R1688">
        <v>-0.99382139999999997</v>
      </c>
      <c r="S1688">
        <v>-0.27194210000000002</v>
      </c>
      <c r="T1688">
        <v>-0.17241319999999999</v>
      </c>
      <c r="U1688">
        <v>-3.0189819999999998</v>
      </c>
      <c r="V1688">
        <v>6.4117309999999997E-2</v>
      </c>
      <c r="W1688">
        <v>0.10185080000000001</v>
      </c>
      <c r="X1688">
        <v>0.99273129999999998</v>
      </c>
      <c r="Y1688">
        <v>9.5211169999999998E-2</v>
      </c>
      <c r="Z1688">
        <v>5.6771370000000002E-2</v>
      </c>
      <c r="AA1688">
        <v>0.99383690000000002</v>
      </c>
      <c r="AB1688">
        <v>22</v>
      </c>
      <c r="AC1688">
        <v>-1.7527999999999999</v>
      </c>
      <c r="AD1688">
        <v>-1.11012751649299</v>
      </c>
      <c r="AE1688">
        <v>-19.2346</v>
      </c>
      <c r="AF1688">
        <v>1.8556244914556099</v>
      </c>
      <c r="AG1688">
        <v>-1.11012751649299</v>
      </c>
      <c r="AH1688">
        <v>19.161059388129999</v>
      </c>
      <c r="AI1688">
        <v>93.300412350869294</v>
      </c>
      <c r="AJ1688">
        <v>84.468524457943005</v>
      </c>
      <c r="AK1688">
        <v>19.282684518282402</v>
      </c>
      <c r="AL1688">
        <v>84.154242386623295</v>
      </c>
      <c r="AM1688">
        <v>86.304583272822597</v>
      </c>
      <c r="AN1688">
        <v>1.0000000244509799</v>
      </c>
    </row>
    <row r="1689" spans="1:40" x14ac:dyDescent="0.25">
      <c r="A1689" t="str">
        <f>"20190312164021435"</f>
        <v>20190312164021435</v>
      </c>
      <c r="B1689" t="str">
        <f>"1552380021427849"</f>
        <v>1552380021427849</v>
      </c>
      <c r="C1689" t="s">
        <v>40</v>
      </c>
      <c r="D1689">
        <v>5.9032339999999897</v>
      </c>
      <c r="E1689">
        <v>0.51377029999999901</v>
      </c>
      <c r="F1689" t="s">
        <v>41</v>
      </c>
      <c r="G1689">
        <v>-192.91480000000001</v>
      </c>
      <c r="H1689" s="1">
        <v>-3.4583669999999999E-6</v>
      </c>
      <c r="I1689">
        <v>315.26710000000003</v>
      </c>
      <c r="J1689">
        <v>-191.2047</v>
      </c>
      <c r="K1689">
        <v>1.110079</v>
      </c>
      <c r="L1689">
        <v>334.37979999999999</v>
      </c>
      <c r="M1689">
        <v>6.3591580000000002E-3</v>
      </c>
      <c r="N1689">
        <v>0</v>
      </c>
      <c r="O1689">
        <v>-0.99995149999999999</v>
      </c>
      <c r="P1689">
        <v>-5.814254E-2</v>
      </c>
      <c r="Q1689">
        <v>9.3941689999999994E-2</v>
      </c>
      <c r="R1689">
        <v>-0.99387859999999995</v>
      </c>
      <c r="S1689">
        <v>-0.2667542</v>
      </c>
      <c r="T1689">
        <v>-0.17338120000000001</v>
      </c>
      <c r="U1689">
        <v>-3.0193479999999999</v>
      </c>
      <c r="V1689">
        <v>6.4369220000000005E-2</v>
      </c>
      <c r="W1689">
        <v>0.1015069</v>
      </c>
      <c r="X1689">
        <v>0.99275020000000003</v>
      </c>
      <c r="Y1689">
        <v>9.4194799999999995E-2</v>
      </c>
      <c r="Z1689">
        <v>5.7088930000000003E-2</v>
      </c>
      <c r="AA1689">
        <v>0.99391560000000001</v>
      </c>
      <c r="AB1689">
        <v>22</v>
      </c>
      <c r="AC1689">
        <v>-1.7101000000000099</v>
      </c>
      <c r="AD1689">
        <v>-1.1100824583669999</v>
      </c>
      <c r="AE1689">
        <v>-19.112699999999901</v>
      </c>
      <c r="AF1689">
        <v>1.8255003229827</v>
      </c>
      <c r="AG1689">
        <v>-1.1100824583669999</v>
      </c>
      <c r="AH1689">
        <v>19.037726824160799</v>
      </c>
      <c r="AI1689">
        <v>93.3219134410094</v>
      </c>
      <c r="AJ1689">
        <v>84.522736022638995</v>
      </c>
      <c r="AK1689">
        <v>19.157238243675899</v>
      </c>
      <c r="AL1689">
        <v>84.174048934355795</v>
      </c>
      <c r="AM1689">
        <v>86.290175278412605</v>
      </c>
      <c r="AN1689">
        <v>1.0000000034155201</v>
      </c>
    </row>
    <row r="1690" spans="1:40" x14ac:dyDescent="0.25">
      <c r="A1690" t="str">
        <f>"20190312164021457"</f>
        <v>20190312164021457</v>
      </c>
      <c r="B1690" t="str">
        <f>"1552380021447372"</f>
        <v>1552380021447372</v>
      </c>
      <c r="C1690" t="s">
        <v>40</v>
      </c>
      <c r="D1690">
        <v>6.0517029999999998</v>
      </c>
      <c r="E1690">
        <v>0.51337840000000001</v>
      </c>
      <c r="F1690" t="s">
        <v>41</v>
      </c>
      <c r="G1690">
        <v>-192.869</v>
      </c>
      <c r="H1690" s="1">
        <v>-3.4048209999999999E-6</v>
      </c>
      <c r="I1690">
        <v>315.17950000000002</v>
      </c>
      <c r="J1690">
        <v>-191.20259999999999</v>
      </c>
      <c r="K1690">
        <v>1.1100289999999999</v>
      </c>
      <c r="L1690">
        <v>334.1619</v>
      </c>
      <c r="M1690">
        <v>6.9766450000000001E-3</v>
      </c>
      <c r="N1690">
        <v>0</v>
      </c>
      <c r="O1690">
        <v>-0.99994740000000004</v>
      </c>
      <c r="P1690">
        <v>-5.7891640000000001E-2</v>
      </c>
      <c r="Q1690">
        <v>9.3737529999999999E-2</v>
      </c>
      <c r="R1690">
        <v>-0.99391260000000003</v>
      </c>
      <c r="S1690">
        <v>-0.26174930000000002</v>
      </c>
      <c r="T1690">
        <v>-0.17458280000000001</v>
      </c>
      <c r="U1690">
        <v>-3.0196230000000002</v>
      </c>
      <c r="V1690">
        <v>6.4743380000000003E-2</v>
      </c>
      <c r="W1690">
        <v>0.1012868</v>
      </c>
      <c r="X1690">
        <v>0.99274830000000003</v>
      </c>
      <c r="Y1690">
        <v>9.3164789999999997E-2</v>
      </c>
      <c r="Z1690">
        <v>5.7484670000000002E-2</v>
      </c>
      <c r="AA1690">
        <v>0.99398989999999998</v>
      </c>
      <c r="AB1690">
        <v>22</v>
      </c>
      <c r="AC1690">
        <v>-1.6664000000000301</v>
      </c>
      <c r="AD1690">
        <v>-1.110032404821</v>
      </c>
      <c r="AE1690">
        <v>-18.982399999999899</v>
      </c>
      <c r="AF1690">
        <v>1.79271325873342</v>
      </c>
      <c r="AG1690">
        <v>-1.110032404821</v>
      </c>
      <c r="AH1690">
        <v>18.906155644480901</v>
      </c>
      <c r="AI1690">
        <v>93.345164879384299</v>
      </c>
      <c r="AJ1690">
        <v>84.583313817281194</v>
      </c>
      <c r="AK1690">
        <v>19.023372835044999</v>
      </c>
      <c r="AL1690">
        <v>84.186724779971698</v>
      </c>
      <c r="AM1690">
        <v>86.268664743472996</v>
      </c>
      <c r="AN1690">
        <v>0.99999995413047604</v>
      </c>
    </row>
    <row r="1691" spans="1:40" x14ac:dyDescent="0.25">
      <c r="A1691" t="str">
        <f>"20190312164021479"</f>
        <v>20190312164021479</v>
      </c>
      <c r="B1691" t="str">
        <f>"1552380021467868"</f>
        <v>1552380021467868</v>
      </c>
      <c r="C1691" t="s">
        <v>40</v>
      </c>
      <c r="D1691">
        <v>5.9710489999999998</v>
      </c>
      <c r="E1691">
        <v>0.51300349999999995</v>
      </c>
      <c r="F1691" t="s">
        <v>41</v>
      </c>
      <c r="G1691">
        <v>-192.87020000000001</v>
      </c>
      <c r="H1691" s="1">
        <v>-3.152828E-6</v>
      </c>
      <c r="I1691">
        <v>314.64580000000001</v>
      </c>
      <c r="J1691">
        <v>-191.20050000000001</v>
      </c>
      <c r="K1691">
        <v>1.1099699999999999</v>
      </c>
      <c r="L1691">
        <v>333.94699999999898</v>
      </c>
      <c r="M1691">
        <v>7.5020140000000004E-3</v>
      </c>
      <c r="N1691">
        <v>0</v>
      </c>
      <c r="O1691">
        <v>-0.99994349999999999</v>
      </c>
      <c r="P1691">
        <v>-5.7805530000000001E-2</v>
      </c>
      <c r="Q1691">
        <v>9.3529260000000003E-2</v>
      </c>
      <c r="R1691">
        <v>-0.99393710000000002</v>
      </c>
      <c r="S1691">
        <v>-0.25801089999999999</v>
      </c>
      <c r="T1691">
        <v>-0.1717427</v>
      </c>
      <c r="U1691">
        <v>-3.019501</v>
      </c>
      <c r="V1691">
        <v>6.51925E-2</v>
      </c>
      <c r="W1691">
        <v>0.1010624</v>
      </c>
      <c r="X1691">
        <v>0.99274180000000001</v>
      </c>
      <c r="Y1691">
        <v>9.2474219999999996E-2</v>
      </c>
      <c r="Z1691">
        <v>5.6559270000000002E-2</v>
      </c>
      <c r="AA1691">
        <v>0.99410739999999997</v>
      </c>
      <c r="AB1691">
        <v>22</v>
      </c>
      <c r="AC1691">
        <v>-1.6697</v>
      </c>
      <c r="AD1691">
        <v>-1.1099731528279999</v>
      </c>
      <c r="AE1691">
        <v>-19.301199999999898</v>
      </c>
      <c r="AF1691">
        <v>1.8085183424565101</v>
      </c>
      <c r="AG1691">
        <v>-1.1099731528279999</v>
      </c>
      <c r="AH1691">
        <v>19.2250222404857</v>
      </c>
      <c r="AI1691">
        <v>93.289860224359202</v>
      </c>
      <c r="AJ1691">
        <v>84.625940028683203</v>
      </c>
      <c r="AK1691">
        <v>19.341774973930701</v>
      </c>
      <c r="AL1691">
        <v>84.199648395925195</v>
      </c>
      <c r="AM1691">
        <v>86.242830102634898</v>
      </c>
      <c r="AN1691">
        <v>0.99999997610862401</v>
      </c>
    </row>
    <row r="1692" spans="1:40" x14ac:dyDescent="0.25">
      <c r="A1692" t="str">
        <f>"20190312164021502"</f>
        <v>20190312164021502</v>
      </c>
      <c r="B1692" t="str">
        <f>"1552380021498120"</f>
        <v>1552380021498120</v>
      </c>
      <c r="C1692" t="s">
        <v>40</v>
      </c>
      <c r="D1692">
        <v>5.9636209999999998</v>
      </c>
      <c r="E1692">
        <v>0.51241419999999904</v>
      </c>
      <c r="F1692" t="s">
        <v>42</v>
      </c>
      <c r="G1692">
        <v>-191.27940000000001</v>
      </c>
      <c r="H1692">
        <v>1.0567679999999999</v>
      </c>
      <c r="I1692">
        <v>333.0127</v>
      </c>
      <c r="J1692">
        <v>-191.19829999999999</v>
      </c>
      <c r="K1692">
        <v>1.1099209999999999</v>
      </c>
      <c r="L1692">
        <v>333.72859999999997</v>
      </c>
      <c r="M1692">
        <v>7.947193E-3</v>
      </c>
      <c r="N1692">
        <v>0</v>
      </c>
      <c r="O1692">
        <v>-0.9999403</v>
      </c>
      <c r="P1692">
        <v>-5.7522539999999997E-2</v>
      </c>
      <c r="Q1692">
        <v>9.4236929999999997E-2</v>
      </c>
      <c r="R1692">
        <v>-0.99388710000000002</v>
      </c>
      <c r="S1692">
        <v>-0.25454710000000003</v>
      </c>
      <c r="T1692">
        <v>-0.17218900000000001</v>
      </c>
      <c r="U1692">
        <v>-3.019714</v>
      </c>
      <c r="V1692">
        <v>6.5364710000000006E-2</v>
      </c>
      <c r="W1692">
        <v>0.1017545</v>
      </c>
      <c r="X1692">
        <v>0.99265979999999998</v>
      </c>
      <c r="Y1692">
        <v>9.1778680000000001E-2</v>
      </c>
      <c r="Z1692">
        <v>5.6706060000000003E-2</v>
      </c>
      <c r="AA1692">
        <v>0.99416349999999998</v>
      </c>
      <c r="AB1692">
        <v>22</v>
      </c>
      <c r="AC1692">
        <v>-8.11000000000206E-2</v>
      </c>
      <c r="AD1692">
        <v>-5.3152999999999999E-2</v>
      </c>
      <c r="AE1692">
        <v>-0.715899999999976</v>
      </c>
      <c r="AF1692">
        <v>8.6317197248057004E-2</v>
      </c>
      <c r="AG1692">
        <v>-5.3152999999999999E-2</v>
      </c>
      <c r="AH1692">
        <v>0.71136114372483905</v>
      </c>
      <c r="AI1692">
        <v>94.242206208925097</v>
      </c>
      <c r="AJ1692">
        <v>83.081501679500803</v>
      </c>
      <c r="AK1692">
        <v>0.71854754661836395</v>
      </c>
      <c r="AL1692">
        <v>84.159788648655194</v>
      </c>
      <c r="AM1692">
        <v>86.232623559208207</v>
      </c>
      <c r="AN1692">
        <v>1.00000000105983</v>
      </c>
    </row>
    <row r="1693" spans="1:40" x14ac:dyDescent="0.25">
      <c r="A1693" t="str">
        <f>"20190312164021524"</f>
        <v>20190312164021524</v>
      </c>
      <c r="B1693" t="str">
        <f>"1552380021517640"</f>
        <v>1552380021517640</v>
      </c>
      <c r="C1693" t="s">
        <v>40</v>
      </c>
      <c r="D1693">
        <v>5.9030319999999996</v>
      </c>
      <c r="E1693">
        <v>0.51204649999999996</v>
      </c>
      <c r="F1693" t="s">
        <v>41</v>
      </c>
      <c r="G1693">
        <v>-192.8203</v>
      </c>
      <c r="H1693" s="1">
        <v>-2.8712769999999999E-6</v>
      </c>
      <c r="I1693">
        <v>314.07830000000001</v>
      </c>
      <c r="J1693">
        <v>-191.196</v>
      </c>
      <c r="K1693">
        <v>1.109866</v>
      </c>
      <c r="L1693">
        <v>333.50009999999997</v>
      </c>
      <c r="M1693">
        <v>8.3336039999999997E-3</v>
      </c>
      <c r="N1693">
        <v>0</v>
      </c>
      <c r="O1693">
        <v>-0.99993690000000002</v>
      </c>
      <c r="P1693">
        <v>-5.7467409999999997E-2</v>
      </c>
      <c r="Q1693">
        <v>9.4648469999999998E-2</v>
      </c>
      <c r="R1693">
        <v>-0.99385060000000003</v>
      </c>
      <c r="S1693">
        <v>-0.24929809999999999</v>
      </c>
      <c r="T1693">
        <v>-0.17059199999999999</v>
      </c>
      <c r="U1693">
        <v>-3.020203</v>
      </c>
      <c r="V1693">
        <v>6.5705589999999994E-2</v>
      </c>
      <c r="W1693">
        <v>0.10215200000000001</v>
      </c>
      <c r="X1693">
        <v>0.99259640000000005</v>
      </c>
      <c r="Y1693">
        <v>9.0436520000000006E-2</v>
      </c>
      <c r="Z1693">
        <v>5.6180000000000001E-2</v>
      </c>
      <c r="AA1693">
        <v>0.99431639999999999</v>
      </c>
      <c r="AB1693">
        <v>22</v>
      </c>
      <c r="AC1693">
        <v>-1.6243000000000001</v>
      </c>
      <c r="AD1693">
        <v>-1.109868871277</v>
      </c>
      <c r="AE1693">
        <v>-19.421799999999902</v>
      </c>
      <c r="AF1693">
        <v>1.7803282990373099</v>
      </c>
      <c r="AG1693">
        <v>-1.109868871277</v>
      </c>
      <c r="AH1693">
        <v>19.344854908974199</v>
      </c>
      <c r="AI1693">
        <v>93.269832827320201</v>
      </c>
      <c r="AJ1693">
        <v>84.741818054376097</v>
      </c>
      <c r="AK1693">
        <v>19.458283305909699</v>
      </c>
      <c r="AL1693">
        <v>84.136893886227298</v>
      </c>
      <c r="AM1693">
        <v>86.212792357282495</v>
      </c>
      <c r="AN1693">
        <v>0.999999934477101</v>
      </c>
    </row>
    <row r="1694" spans="1:40" x14ac:dyDescent="0.25">
      <c r="A1694" t="str">
        <f>"20190312164021548"</f>
        <v>20190312164021548</v>
      </c>
      <c r="B1694" t="str">
        <f>"1552380021537392"</f>
        <v>1552380021537392</v>
      </c>
      <c r="C1694" t="s">
        <v>40</v>
      </c>
      <c r="D1694">
        <v>5.9657660000000003</v>
      </c>
      <c r="E1694">
        <v>0.51172629999999997</v>
      </c>
      <c r="F1694" t="s">
        <v>41</v>
      </c>
      <c r="G1694">
        <v>-192.7997</v>
      </c>
      <c r="H1694" s="1">
        <v>-2.7291729999999999E-6</v>
      </c>
      <c r="I1694">
        <v>313.78919999999999</v>
      </c>
      <c r="J1694">
        <v>-191.19370000000001</v>
      </c>
      <c r="K1694">
        <v>1.1098209999999999</v>
      </c>
      <c r="L1694">
        <v>333.26749999999998</v>
      </c>
      <c r="M1694">
        <v>8.6486779999999999E-3</v>
      </c>
      <c r="N1694">
        <v>0</v>
      </c>
      <c r="O1694">
        <v>-0.99993430000000005</v>
      </c>
      <c r="P1694">
        <v>-5.7519760000000003E-2</v>
      </c>
      <c r="Q1694">
        <v>9.4874860000000005E-2</v>
      </c>
      <c r="R1694">
        <v>-0.99382630000000005</v>
      </c>
      <c r="S1694">
        <v>-0.24575810000000001</v>
      </c>
      <c r="T1694">
        <v>-0.17007890000000001</v>
      </c>
      <c r="U1694">
        <v>-3.0205380000000002</v>
      </c>
      <c r="V1694">
        <v>6.6081440000000005E-2</v>
      </c>
      <c r="W1694">
        <v>0.1023664</v>
      </c>
      <c r="X1694">
        <v>0.99254940000000003</v>
      </c>
      <c r="Y1694">
        <v>8.9584440000000001E-2</v>
      </c>
      <c r="Z1694">
        <v>5.6009980000000001E-2</v>
      </c>
      <c r="AA1694">
        <v>0.99440309999999998</v>
      </c>
      <c r="AB1694">
        <v>22</v>
      </c>
      <c r="AC1694">
        <v>-1.6059999999999901</v>
      </c>
      <c r="AD1694">
        <v>-1.109823729173</v>
      </c>
      <c r="AE1694">
        <v>-19.478299999999901</v>
      </c>
      <c r="AF1694">
        <v>1.76870304553855</v>
      </c>
      <c r="AG1694">
        <v>-1.109823729173</v>
      </c>
      <c r="AH1694">
        <v>19.401122208559599</v>
      </c>
      <c r="AI1694">
        <v>93.260493747806507</v>
      </c>
      <c r="AJ1694">
        <v>84.791029865062498</v>
      </c>
      <c r="AK1694">
        <v>19.513163816372799</v>
      </c>
      <c r="AL1694">
        <v>84.124545167471396</v>
      </c>
      <c r="AM1694">
        <v>86.191012479838506</v>
      </c>
      <c r="AN1694">
        <v>0.99999997400089602</v>
      </c>
    </row>
    <row r="1695" spans="1:40" x14ac:dyDescent="0.25">
      <c r="A1695" t="str">
        <f>"20190312164021571"</f>
        <v>20190312164021571</v>
      </c>
      <c r="B1695" t="str">
        <f>"1552380021567645"</f>
        <v>1552380021567645</v>
      </c>
      <c r="C1695" t="s">
        <v>40</v>
      </c>
      <c r="D1695">
        <v>5.9817119999999999</v>
      </c>
      <c r="E1695">
        <v>0.51141619999999999</v>
      </c>
      <c r="F1695" t="s">
        <v>41</v>
      </c>
      <c r="G1695">
        <v>-192.7833</v>
      </c>
      <c r="H1695" s="1">
        <v>-2.6038200000000001E-6</v>
      </c>
      <c r="I1695">
        <v>313.5333</v>
      </c>
      <c r="J1695">
        <v>-191.19139999999999</v>
      </c>
      <c r="K1695">
        <v>1.1097859999999999</v>
      </c>
      <c r="L1695">
        <v>333.0412</v>
      </c>
      <c r="M1695">
        <v>8.8828299999999995E-3</v>
      </c>
      <c r="N1695">
        <v>0</v>
      </c>
      <c r="O1695">
        <v>-0.9999325</v>
      </c>
      <c r="P1695">
        <v>-5.743732E-2</v>
      </c>
      <c r="Q1695">
        <v>9.5109180000000001E-2</v>
      </c>
      <c r="R1695">
        <v>-0.9938089</v>
      </c>
      <c r="S1695">
        <v>-0.24333189999999999</v>
      </c>
      <c r="T1695">
        <v>-0.1698827</v>
      </c>
      <c r="U1695">
        <v>-3.0207519999999999</v>
      </c>
      <c r="V1695">
        <v>6.6240519999999997E-2</v>
      </c>
      <c r="W1695">
        <v>0.10259169999999999</v>
      </c>
      <c r="X1695">
        <v>0.99251560000000005</v>
      </c>
      <c r="Y1695">
        <v>8.901879E-2</v>
      </c>
      <c r="Z1695">
        <v>5.5944689999999998E-2</v>
      </c>
      <c r="AA1695">
        <v>0.99445749999999999</v>
      </c>
      <c r="AB1695">
        <v>22</v>
      </c>
      <c r="AC1695">
        <v>-1.5919000000000001</v>
      </c>
      <c r="AD1695">
        <v>-1.10978860382</v>
      </c>
      <c r="AE1695">
        <v>-19.507899999999999</v>
      </c>
      <c r="AF1695">
        <v>1.7594707626178201</v>
      </c>
      <c r="AG1695">
        <v>-1.10978860382</v>
      </c>
      <c r="AH1695">
        <v>19.4305207706964</v>
      </c>
      <c r="AI1695">
        <v>93.255647866834295</v>
      </c>
      <c r="AJ1695">
        <v>84.825868974135901</v>
      </c>
      <c r="AK1695">
        <v>19.541558421224799</v>
      </c>
      <c r="AL1695">
        <v>84.111568494811905</v>
      </c>
      <c r="AM1695">
        <v>86.181740428722804</v>
      </c>
      <c r="AN1695">
        <v>1.00000003982105</v>
      </c>
    </row>
    <row r="1696" spans="1:40" x14ac:dyDescent="0.25">
      <c r="A1696" t="str">
        <f>"20190312164021593"</f>
        <v>20190312164021593</v>
      </c>
      <c r="B1696" t="str">
        <f>"1552380021588141"</f>
        <v>1552380021588141</v>
      </c>
      <c r="C1696" t="s">
        <v>40</v>
      </c>
      <c r="D1696">
        <v>5.9019709999999996</v>
      </c>
      <c r="E1696">
        <v>0.51112120000000005</v>
      </c>
      <c r="F1696" t="s">
        <v>41</v>
      </c>
      <c r="G1696">
        <v>-192.7723</v>
      </c>
      <c r="H1696" s="1">
        <v>-2.417871E-6</v>
      </c>
      <c r="I1696">
        <v>313.14609999999999</v>
      </c>
      <c r="J1696">
        <v>-191.1892</v>
      </c>
      <c r="K1696">
        <v>1.10975</v>
      </c>
      <c r="L1696">
        <v>332.82040000000001</v>
      </c>
      <c r="M1696">
        <v>9.0494089999999996E-3</v>
      </c>
      <c r="N1696">
        <v>0</v>
      </c>
      <c r="O1696">
        <v>-0.99993089999999996</v>
      </c>
      <c r="P1696">
        <v>-5.7692939999999998E-2</v>
      </c>
      <c r="Q1696">
        <v>9.5457310000000004E-2</v>
      </c>
      <c r="R1696">
        <v>-0.99376050000000005</v>
      </c>
      <c r="S1696">
        <v>-0.2400513</v>
      </c>
      <c r="T1696">
        <v>-0.16851250000000001</v>
      </c>
      <c r="U1696">
        <v>-3.020905</v>
      </c>
      <c r="V1696">
        <v>6.6669259999999994E-2</v>
      </c>
      <c r="W1696">
        <v>0.1029318</v>
      </c>
      <c r="X1696">
        <v>0.99245170000000005</v>
      </c>
      <c r="Y1696">
        <v>8.8109560000000003E-2</v>
      </c>
      <c r="Z1696">
        <v>5.5496610000000002E-2</v>
      </c>
      <c r="AA1696">
        <v>0.99456359999999999</v>
      </c>
      <c r="AB1696">
        <v>22</v>
      </c>
      <c r="AC1696">
        <v>-1.5831</v>
      </c>
      <c r="AD1696">
        <v>-1.1097524178710001</v>
      </c>
      <c r="AE1696">
        <v>-19.674299999999999</v>
      </c>
      <c r="AF1696">
        <v>1.7555314029423199</v>
      </c>
      <c r="AG1696">
        <v>-1.1097524178710001</v>
      </c>
      <c r="AH1696">
        <v>19.597217282058299</v>
      </c>
      <c r="AI1696">
        <v>93.228188199302096</v>
      </c>
      <c r="AJ1696">
        <v>84.881070435591198</v>
      </c>
      <c r="AK1696">
        <v>19.7069623771878</v>
      </c>
      <c r="AL1696">
        <v>84.091978618463202</v>
      </c>
      <c r="AM1696">
        <v>86.156853971212698</v>
      </c>
      <c r="AN1696">
        <v>1.0000000612565301</v>
      </c>
    </row>
    <row r="1697" spans="1:40" x14ac:dyDescent="0.25">
      <c r="A1697" t="str">
        <f>"20190312164021613"</f>
        <v>20190312164021613</v>
      </c>
      <c r="B1697" t="str">
        <f>"1552380021607661"</f>
        <v>1552380021607661</v>
      </c>
      <c r="C1697" t="s">
        <v>40</v>
      </c>
      <c r="D1697">
        <v>5.9596660000000004</v>
      </c>
      <c r="E1697">
        <v>0.51085639999999999</v>
      </c>
      <c r="F1697" t="s">
        <v>41</v>
      </c>
      <c r="G1697">
        <v>-192.76609999999999</v>
      </c>
      <c r="H1697" s="1">
        <v>-2.270466E-6</v>
      </c>
      <c r="I1697">
        <v>312.83780000000002</v>
      </c>
      <c r="J1697">
        <v>-191.18700000000001</v>
      </c>
      <c r="K1697">
        <v>1.1097170000000001</v>
      </c>
      <c r="L1697">
        <v>332.60289999999998</v>
      </c>
      <c r="M1697">
        <v>9.1644670000000008E-3</v>
      </c>
      <c r="N1697">
        <v>0</v>
      </c>
      <c r="O1697">
        <v>-0.99992990000000004</v>
      </c>
      <c r="P1697">
        <v>-5.8035040000000003E-2</v>
      </c>
      <c r="Q1697">
        <v>9.5592300000000005E-2</v>
      </c>
      <c r="R1697">
        <v>-0.99372749999999999</v>
      </c>
      <c r="S1697">
        <v>-0.23840330000000001</v>
      </c>
      <c r="T1697">
        <v>-0.1677823</v>
      </c>
      <c r="U1697">
        <v>-3.0211489999999999</v>
      </c>
      <c r="V1697">
        <v>6.7132849999999994E-2</v>
      </c>
      <c r="W1697">
        <v>0.1030599</v>
      </c>
      <c r="X1697">
        <v>0.99240709999999999</v>
      </c>
      <c r="Y1697">
        <v>8.7679750000000001E-2</v>
      </c>
      <c r="Z1697">
        <v>5.5254589999999999E-2</v>
      </c>
      <c r="AA1697">
        <v>0.99461509999999997</v>
      </c>
      <c r="AB1697">
        <v>22</v>
      </c>
      <c r="AC1697">
        <v>-1.57909999999998</v>
      </c>
      <c r="AD1697">
        <v>-1.1097192704659999</v>
      </c>
      <c r="AE1697">
        <v>-19.765099999999901</v>
      </c>
      <c r="AF1697">
        <v>1.7546791782425599</v>
      </c>
      <c r="AG1697">
        <v>-1.1097192704659999</v>
      </c>
      <c r="AH1697">
        <v>19.688128556294501</v>
      </c>
      <c r="AI1697">
        <v>93.213347231014197</v>
      </c>
      <c r="AJ1697">
        <v>84.907043288253305</v>
      </c>
      <c r="AK1697">
        <v>19.7972922877595</v>
      </c>
      <c r="AL1697">
        <v>84.084599467239002</v>
      </c>
      <c r="AM1697">
        <v>86.130037882569397</v>
      </c>
      <c r="AN1697">
        <v>1.00000000733377</v>
      </c>
    </row>
    <row r="1698" spans="1:40" x14ac:dyDescent="0.25">
      <c r="A1698" t="str">
        <f>"20190312164021635"</f>
        <v>20190312164021635</v>
      </c>
      <c r="B1698" t="str">
        <f>"1552380021628157"</f>
        <v>1552380021628157</v>
      </c>
      <c r="C1698" t="s">
        <v>40</v>
      </c>
      <c r="D1698">
        <v>5.9051470000000004</v>
      </c>
      <c r="E1698">
        <v>0.51057699999999995</v>
      </c>
      <c r="F1698" t="s">
        <v>41</v>
      </c>
      <c r="G1698">
        <v>-192.75489999999999</v>
      </c>
      <c r="H1698" s="1">
        <v>-2.1803699999999999E-6</v>
      </c>
      <c r="I1698">
        <v>312.65350000000001</v>
      </c>
      <c r="J1698">
        <v>-191.1849</v>
      </c>
      <c r="K1698">
        <v>1.1096870000000001</v>
      </c>
      <c r="L1698">
        <v>332.3793</v>
      </c>
      <c r="M1698">
        <v>9.2429950000000004E-3</v>
      </c>
      <c r="N1698">
        <v>0</v>
      </c>
      <c r="O1698">
        <v>-0.99992919999999996</v>
      </c>
      <c r="P1698">
        <v>-5.8297759999999997E-2</v>
      </c>
      <c r="Q1698">
        <v>9.5805760000000004E-2</v>
      </c>
      <c r="R1698">
        <v>-0.99369189999999996</v>
      </c>
      <c r="S1698">
        <v>-0.23744199999999999</v>
      </c>
      <c r="T1698">
        <v>-0.16806299999999999</v>
      </c>
      <c r="U1698">
        <v>-3.021271</v>
      </c>
      <c r="V1698">
        <v>6.7480090000000006E-2</v>
      </c>
      <c r="W1698">
        <v>0.1032676</v>
      </c>
      <c r="X1698">
        <v>0.99236199999999997</v>
      </c>
      <c r="Y1698">
        <v>8.7439909999999996E-2</v>
      </c>
      <c r="Z1698">
        <v>5.5345739999999997E-2</v>
      </c>
      <c r="AA1698">
        <v>0.99463120000000005</v>
      </c>
      <c r="AB1698">
        <v>22</v>
      </c>
      <c r="AC1698">
        <v>-1.5699999999999901</v>
      </c>
      <c r="AD1698">
        <v>-1.10968918037</v>
      </c>
      <c r="AE1698">
        <v>-19.7257999999999</v>
      </c>
      <c r="AF1698">
        <v>1.7467703035034401</v>
      </c>
      <c r="AG1698">
        <v>-1.10968918037</v>
      </c>
      <c r="AH1698">
        <v>19.648654611216301</v>
      </c>
      <c r="AI1698">
        <v>93.219765529708795</v>
      </c>
      <c r="AJ1698">
        <v>84.919746310262397</v>
      </c>
      <c r="AK1698">
        <v>19.757333944667401</v>
      </c>
      <c r="AL1698">
        <v>84.072635547944699</v>
      </c>
      <c r="AM1698">
        <v>86.1099058256994</v>
      </c>
      <c r="AN1698">
        <v>1.00000004940008</v>
      </c>
    </row>
    <row r="1699" spans="1:40" x14ac:dyDescent="0.25">
      <c r="A1699" t="str">
        <f>"20190312164021659"</f>
        <v>20190312164021659</v>
      </c>
      <c r="B1699" t="str">
        <f>"1552380021647677"</f>
        <v>1552380021647677</v>
      </c>
      <c r="C1699" t="s">
        <v>40</v>
      </c>
      <c r="D1699">
        <v>5.9040730000000003</v>
      </c>
      <c r="E1699">
        <v>0.51034409999999997</v>
      </c>
      <c r="F1699" t="s">
        <v>41</v>
      </c>
      <c r="G1699">
        <v>-192.74270000000001</v>
      </c>
      <c r="H1699" s="1">
        <v>-2.0657750000000001E-6</v>
      </c>
      <c r="I1699">
        <v>312.41800000000001</v>
      </c>
      <c r="J1699">
        <v>-191.18260000000001</v>
      </c>
      <c r="K1699">
        <v>1.1096600000000001</v>
      </c>
      <c r="L1699">
        <v>332.14690000000002</v>
      </c>
      <c r="M1699">
        <v>9.2890200000000003E-3</v>
      </c>
      <c r="N1699">
        <v>0</v>
      </c>
      <c r="O1699">
        <v>-0.99992899999999996</v>
      </c>
      <c r="P1699">
        <v>-5.948051E-2</v>
      </c>
      <c r="Q1699">
        <v>9.5776269999999997E-2</v>
      </c>
      <c r="R1699">
        <v>-0.99362470000000003</v>
      </c>
      <c r="S1699">
        <v>-0.23579410000000001</v>
      </c>
      <c r="T1699">
        <v>-0.16796659999999999</v>
      </c>
      <c r="U1699">
        <v>-3.021423</v>
      </c>
      <c r="V1699">
        <v>6.8713670000000004E-2</v>
      </c>
      <c r="W1699">
        <v>0.10323350000000001</v>
      </c>
      <c r="X1699">
        <v>0.99228079999999996</v>
      </c>
      <c r="Y1699">
        <v>8.6942779999999997E-2</v>
      </c>
      <c r="Z1699">
        <v>5.5313639999999997E-2</v>
      </c>
      <c r="AA1699">
        <v>0.99467649999999996</v>
      </c>
      <c r="AB1699">
        <v>23</v>
      </c>
      <c r="AC1699">
        <v>-1.5601</v>
      </c>
      <c r="AD1699">
        <v>-1.109662065775</v>
      </c>
      <c r="AE1699">
        <v>-19.728899999999999</v>
      </c>
      <c r="AF1699">
        <v>1.73783635837595</v>
      </c>
      <c r="AG1699">
        <v>-1.109662065775</v>
      </c>
      <c r="AH1699">
        <v>19.6517733916033</v>
      </c>
      <c r="AI1699">
        <v>93.219309593026395</v>
      </c>
      <c r="AJ1699">
        <v>84.9463925807393</v>
      </c>
      <c r="AK1699">
        <v>19.759646316258799</v>
      </c>
      <c r="AL1699">
        <v>84.074599270968903</v>
      </c>
      <c r="AM1699">
        <v>86.038693609908194</v>
      </c>
      <c r="AN1699">
        <v>0.99999995500787797</v>
      </c>
    </row>
    <row r="1700" spans="1:40" x14ac:dyDescent="0.25">
      <c r="A1700" t="str">
        <f>"20190312164021679"</f>
        <v>20190312164021679</v>
      </c>
      <c r="B1700" t="str">
        <f>"1552380021668176"</f>
        <v>1552380021668176</v>
      </c>
      <c r="C1700" t="s">
        <v>40</v>
      </c>
      <c r="D1700">
        <v>5.9063949999999998</v>
      </c>
      <c r="E1700">
        <v>0.51011930000000005</v>
      </c>
      <c r="F1700" t="s">
        <v>41</v>
      </c>
      <c r="G1700">
        <v>-192.74600000000001</v>
      </c>
      <c r="H1700" s="1">
        <v>-1.9878650000000002E-6</v>
      </c>
      <c r="I1700">
        <v>312.25130000000001</v>
      </c>
      <c r="J1700">
        <v>-191.1806</v>
      </c>
      <c r="K1700">
        <v>1.1096379999999999</v>
      </c>
      <c r="L1700">
        <v>331.93599999999998</v>
      </c>
      <c r="M1700">
        <v>9.3046699999999993E-3</v>
      </c>
      <c r="N1700">
        <v>0</v>
      </c>
      <c r="O1700">
        <v>-0.9999287</v>
      </c>
      <c r="P1700">
        <v>-6.0408200000000002E-2</v>
      </c>
      <c r="Q1700">
        <v>9.5856490000000003E-2</v>
      </c>
      <c r="R1700">
        <v>-0.99356089999999997</v>
      </c>
      <c r="S1700">
        <v>-0.2373962</v>
      </c>
      <c r="T1700">
        <v>-0.16850689999999999</v>
      </c>
      <c r="U1700">
        <v>-3.0212400000000001</v>
      </c>
      <c r="V1700">
        <v>6.9660189999999997E-2</v>
      </c>
      <c r="W1700">
        <v>0.10331029999999999</v>
      </c>
      <c r="X1700">
        <v>0.9922069</v>
      </c>
      <c r="Y1700">
        <v>8.7486540000000002E-2</v>
      </c>
      <c r="Z1700">
        <v>5.549188E-2</v>
      </c>
      <c r="AA1700">
        <v>0.99461889999999997</v>
      </c>
      <c r="AB1700">
        <v>23</v>
      </c>
      <c r="AC1700">
        <v>-1.5653999999999799</v>
      </c>
      <c r="AD1700">
        <v>-1.1096399878649901</v>
      </c>
      <c r="AE1700">
        <v>-19.6846999999999</v>
      </c>
      <c r="AF1700">
        <v>1.7429931760583099</v>
      </c>
      <c r="AG1700">
        <v>-1.1096399878649901</v>
      </c>
      <c r="AH1700">
        <v>19.6073679900408</v>
      </c>
      <c r="AI1700">
        <v>93.226389795846401</v>
      </c>
      <c r="AJ1700">
        <v>84.920055765391993</v>
      </c>
      <c r="AK1700">
        <v>19.715937857766999</v>
      </c>
      <c r="AL1700">
        <v>84.070175843834704</v>
      </c>
      <c r="AM1700">
        <v>85.984006437125899</v>
      </c>
      <c r="AN1700">
        <v>1.00000004628226</v>
      </c>
    </row>
    <row r="1701" spans="1:40" x14ac:dyDescent="0.25">
      <c r="A1701" t="str">
        <f>"20190312164021703"</f>
        <v>20190312164021703</v>
      </c>
      <c r="B1701" t="str">
        <f>"1552380021697453"</f>
        <v>1552380021697453</v>
      </c>
      <c r="C1701" t="s">
        <v>40</v>
      </c>
      <c r="D1701">
        <v>5.9045519999999998</v>
      </c>
      <c r="E1701">
        <v>0.50977380000000005</v>
      </c>
      <c r="F1701" t="s">
        <v>41</v>
      </c>
      <c r="G1701">
        <v>-192.74799999999999</v>
      </c>
      <c r="H1701" s="1">
        <v>-1.8881289999999999E-6</v>
      </c>
      <c r="I1701">
        <v>312.03919999999999</v>
      </c>
      <c r="J1701">
        <v>-191.17840000000001</v>
      </c>
      <c r="K1701">
        <v>1.1096280000000001</v>
      </c>
      <c r="L1701">
        <v>331.69600000000003</v>
      </c>
      <c r="M1701">
        <v>9.3026519999999998E-3</v>
      </c>
      <c r="N1701">
        <v>0</v>
      </c>
      <c r="O1701">
        <v>-0.9999285</v>
      </c>
      <c r="P1701">
        <v>-6.1135990000000001E-2</v>
      </c>
      <c r="Q1701">
        <v>9.65559E-2</v>
      </c>
      <c r="R1701">
        <v>-0.99344840000000001</v>
      </c>
      <c r="S1701">
        <v>-0.23799129999999999</v>
      </c>
      <c r="T1701">
        <v>-0.16849349999999999</v>
      </c>
      <c r="U1701">
        <v>-3.0212400000000001</v>
      </c>
      <c r="V1701">
        <v>7.0387549999999993E-2</v>
      </c>
      <c r="W1701">
        <v>0.1040089</v>
      </c>
      <c r="X1701">
        <v>0.99208249999999998</v>
      </c>
      <c r="Y1701">
        <v>8.7679240000000006E-2</v>
      </c>
      <c r="Z1701">
        <v>5.5486590000000002E-2</v>
      </c>
      <c r="AA1701">
        <v>0.99460219999999999</v>
      </c>
      <c r="AB1701">
        <v>23</v>
      </c>
      <c r="AC1701">
        <v>-1.5695999999999799</v>
      </c>
      <c r="AD1701">
        <v>-1.1096298881290001</v>
      </c>
      <c r="AE1701">
        <v>-19.656799999999901</v>
      </c>
      <c r="AF1701">
        <v>1.74686627470764</v>
      </c>
      <c r="AG1701">
        <v>-1.1096298881290001</v>
      </c>
      <c r="AH1701">
        <v>19.579350825271199</v>
      </c>
      <c r="AI1701">
        <v>93.230874905645507</v>
      </c>
      <c r="AJ1701">
        <v>84.901580030606894</v>
      </c>
      <c r="AK1701">
        <v>19.688417889952198</v>
      </c>
      <c r="AL1701">
        <v>84.029931772885206</v>
      </c>
      <c r="AM1701">
        <v>85.941705499017104</v>
      </c>
      <c r="AN1701">
        <v>0.99999997264022999</v>
      </c>
    </row>
    <row r="1702" spans="1:40" x14ac:dyDescent="0.25">
      <c r="A1702" t="str">
        <f>"20190312164021725"</f>
        <v>20190312164021725</v>
      </c>
      <c r="B1702" t="str">
        <f>"1552380021717950"</f>
        <v>1552380021717950</v>
      </c>
      <c r="C1702" t="s">
        <v>40</v>
      </c>
      <c r="D1702">
        <v>5.8460989999999997</v>
      </c>
      <c r="E1702">
        <v>0.50956000000000001</v>
      </c>
      <c r="F1702" t="s">
        <v>41</v>
      </c>
      <c r="G1702">
        <v>-192.7567</v>
      </c>
      <c r="H1702" s="1">
        <v>-1.672666E-6</v>
      </c>
      <c r="I1702">
        <v>311.57839999999999</v>
      </c>
      <c r="J1702">
        <v>-191.1763</v>
      </c>
      <c r="K1702">
        <v>1.1096239999999999</v>
      </c>
      <c r="L1702">
        <v>331.46629999999999</v>
      </c>
      <c r="M1702">
        <v>9.2887030000000006E-3</v>
      </c>
      <c r="N1702">
        <v>0</v>
      </c>
      <c r="O1702">
        <v>-0.9999285</v>
      </c>
      <c r="P1702">
        <v>-6.2017570000000001E-2</v>
      </c>
      <c r="Q1702">
        <v>9.7002309999999994E-2</v>
      </c>
      <c r="R1702">
        <v>-0.99335030000000002</v>
      </c>
      <c r="S1702">
        <v>-0.23704529999999999</v>
      </c>
      <c r="T1702">
        <v>-0.16665139999999901</v>
      </c>
      <c r="U1702">
        <v>-3.0213930000000002</v>
      </c>
      <c r="V1702">
        <v>7.1255280000000004E-2</v>
      </c>
      <c r="W1702">
        <v>0.10446130000000001</v>
      </c>
      <c r="X1702">
        <v>0.99197299999999999</v>
      </c>
      <c r="Y1702">
        <v>8.7354509999999996E-2</v>
      </c>
      <c r="Z1702">
        <v>5.488051E-2</v>
      </c>
      <c r="AA1702">
        <v>0.9946644</v>
      </c>
      <c r="AB1702">
        <v>23</v>
      </c>
      <c r="AC1702">
        <v>-1.58039999999999</v>
      </c>
      <c r="AD1702">
        <v>-1.1096256726660001</v>
      </c>
      <c r="AE1702">
        <v>-19.887899999999998</v>
      </c>
      <c r="AF1702">
        <v>1.7596265571848699</v>
      </c>
      <c r="AG1702">
        <v>-1.1096256726660001</v>
      </c>
      <c r="AH1702">
        <v>19.8110773633143</v>
      </c>
      <c r="AI1702">
        <v>93.193262945828806</v>
      </c>
      <c r="AJ1702">
        <v>84.924289137082894</v>
      </c>
      <c r="AK1702">
        <v>19.919998520316501</v>
      </c>
      <c r="AL1702">
        <v>84.003869086607494</v>
      </c>
      <c r="AM1702">
        <v>85.891393616081203</v>
      </c>
      <c r="AN1702">
        <v>0.99999995542728304</v>
      </c>
    </row>
    <row r="1703" spans="1:40" x14ac:dyDescent="0.25">
      <c r="A1703" t="str">
        <f>"20190312164021749"</f>
        <v>20190312164021749</v>
      </c>
      <c r="B1703" t="str">
        <f>"1552380021737472"</f>
        <v>1552380021737472</v>
      </c>
      <c r="C1703" t="s">
        <v>40</v>
      </c>
      <c r="D1703">
        <v>5.8710579999999997</v>
      </c>
      <c r="E1703">
        <v>0.50935129999999995</v>
      </c>
      <c r="F1703" t="s">
        <v>41</v>
      </c>
      <c r="G1703">
        <v>-192.7688</v>
      </c>
      <c r="H1703" s="1">
        <v>-1.5253320000000001E-6</v>
      </c>
      <c r="I1703">
        <v>311.25990000000002</v>
      </c>
      <c r="J1703">
        <v>-191.17410000000001</v>
      </c>
      <c r="K1703">
        <v>1.109631</v>
      </c>
      <c r="L1703">
        <v>331.23480000000001</v>
      </c>
      <c r="M1703">
        <v>9.2698669999999993E-3</v>
      </c>
      <c r="N1703">
        <v>0</v>
      </c>
      <c r="O1703">
        <v>-0.99992899999999996</v>
      </c>
      <c r="P1703">
        <v>-6.2695790000000001E-2</v>
      </c>
      <c r="Q1703">
        <v>9.7417840000000006E-2</v>
      </c>
      <c r="R1703">
        <v>-0.99326749999999997</v>
      </c>
      <c r="S1703">
        <v>-0.2381287</v>
      </c>
      <c r="T1703">
        <v>-0.1659224</v>
      </c>
      <c r="U1703">
        <v>-3.0214539999999999</v>
      </c>
      <c r="V1703">
        <v>7.1913759999999993E-2</v>
      </c>
      <c r="W1703">
        <v>0.1048905</v>
      </c>
      <c r="X1703">
        <v>0.99188019999999999</v>
      </c>
      <c r="Y1703">
        <v>8.7689680000000006E-2</v>
      </c>
      <c r="Z1703">
        <v>5.4638529999999998E-2</v>
      </c>
      <c r="AA1703">
        <v>0.99464830000000004</v>
      </c>
      <c r="AB1703">
        <v>23</v>
      </c>
      <c r="AC1703">
        <v>-1.59469999999998</v>
      </c>
      <c r="AD1703">
        <v>-1.1096325253319901</v>
      </c>
      <c r="AE1703">
        <v>-19.974899999999899</v>
      </c>
      <c r="AF1703">
        <v>1.7743604230889101</v>
      </c>
      <c r="AG1703">
        <v>-1.1096325253319901</v>
      </c>
      <c r="AH1703">
        <v>19.8982425161505</v>
      </c>
      <c r="AI1703">
        <v>93.1792246292664</v>
      </c>
      <c r="AJ1703">
        <v>84.9043147971378</v>
      </c>
      <c r="AK1703">
        <v>20.0079907657875</v>
      </c>
      <c r="AL1703">
        <v>83.9791419742009</v>
      </c>
      <c r="AM1703">
        <v>85.853170648831593</v>
      </c>
      <c r="AN1703">
        <v>0.99999996850981299</v>
      </c>
    </row>
    <row r="1704" spans="1:40" x14ac:dyDescent="0.25">
      <c r="A1704" t="str">
        <f>"20190312164021770"</f>
        <v>20190312164021770</v>
      </c>
      <c r="B1704" t="str">
        <f>"1552380021767725"</f>
        <v>1552380021767725</v>
      </c>
      <c r="C1704" t="s">
        <v>40</v>
      </c>
      <c r="D1704">
        <v>5.9623309999999998</v>
      </c>
      <c r="E1704">
        <v>0.50904680000000002</v>
      </c>
      <c r="F1704" t="s">
        <v>41</v>
      </c>
      <c r="G1704">
        <v>-192.75579999999999</v>
      </c>
      <c r="H1704" s="1">
        <v>-1.482484E-6</v>
      </c>
      <c r="I1704">
        <v>311.17660000000001</v>
      </c>
      <c r="J1704">
        <v>-191.172</v>
      </c>
      <c r="K1704">
        <v>1.1096469999999901</v>
      </c>
      <c r="L1704">
        <v>331.00209999999998</v>
      </c>
      <c r="M1704">
        <v>9.2513560000000005E-3</v>
      </c>
      <c r="N1704">
        <v>0</v>
      </c>
      <c r="O1704">
        <v>-0.9999287</v>
      </c>
      <c r="P1704">
        <v>-6.3638249999999993E-2</v>
      </c>
      <c r="Q1704">
        <v>9.7482029999999997E-2</v>
      </c>
      <c r="R1704">
        <v>-0.993201</v>
      </c>
      <c r="S1704">
        <v>-0.23826600000000001</v>
      </c>
      <c r="T1704">
        <v>-0.1671629</v>
      </c>
      <c r="U1704">
        <v>-3.0216980000000002</v>
      </c>
      <c r="V1704">
        <v>7.2836189999999995E-2</v>
      </c>
      <c r="W1704">
        <v>0.1049768</v>
      </c>
      <c r="X1704">
        <v>0.99180380000000001</v>
      </c>
      <c r="Y1704">
        <v>8.7708140000000004E-2</v>
      </c>
      <c r="Z1704">
        <v>5.5041239999999998E-2</v>
      </c>
      <c r="AA1704">
        <v>0.99462439999999996</v>
      </c>
      <c r="AB1704">
        <v>23</v>
      </c>
      <c r="AC1704">
        <v>-1.5837999999999901</v>
      </c>
      <c r="AD1704">
        <v>-1.1096484824839901</v>
      </c>
      <c r="AE1704">
        <v>-19.825499999999899</v>
      </c>
      <c r="AF1704">
        <v>1.7616663819848699</v>
      </c>
      <c r="AG1704">
        <v>-1.1096484824839901</v>
      </c>
      <c r="AH1704">
        <v>19.748524400070401</v>
      </c>
      <c r="AI1704">
        <v>93.203313624413298</v>
      </c>
      <c r="AJ1704">
        <v>84.902424914707098</v>
      </c>
      <c r="AK1704">
        <v>19.857970797044501</v>
      </c>
      <c r="AL1704">
        <v>83.974170139840297</v>
      </c>
      <c r="AM1704">
        <v>85.799846485082895</v>
      </c>
      <c r="AN1704">
        <v>1.0000000084031899</v>
      </c>
    </row>
    <row r="1705" spans="1:40" x14ac:dyDescent="0.25">
      <c r="A1705" t="str">
        <f>"20190312164021794"</f>
        <v>20190312164021794</v>
      </c>
      <c r="B1705" t="str">
        <f>"1552380021788222"</f>
        <v>1552380021788222</v>
      </c>
      <c r="C1705" t="s">
        <v>40</v>
      </c>
      <c r="D1705">
        <v>5.9634349999999996</v>
      </c>
      <c r="E1705">
        <v>0.50885130000000001</v>
      </c>
      <c r="F1705" t="s">
        <v>41</v>
      </c>
      <c r="G1705">
        <v>-192.76499999999999</v>
      </c>
      <c r="H1705" s="1">
        <v>-1.306497E-6</v>
      </c>
      <c r="I1705">
        <v>310.79910000000001</v>
      </c>
      <c r="J1705">
        <v>-191.16980000000001</v>
      </c>
      <c r="K1705">
        <v>1.1096619999999999</v>
      </c>
      <c r="L1705">
        <v>330.7645</v>
      </c>
      <c r="M1705">
        <v>9.2358010000000001E-3</v>
      </c>
      <c r="N1705">
        <v>0</v>
      </c>
      <c r="O1705">
        <v>-0.9999287</v>
      </c>
      <c r="P1705">
        <v>-6.489847E-2</v>
      </c>
      <c r="Q1705">
        <v>9.7929279999999994E-2</v>
      </c>
      <c r="R1705">
        <v>-0.9930755</v>
      </c>
      <c r="S1705">
        <v>-0.23825070000000001</v>
      </c>
      <c r="T1705">
        <v>-0.16595979999999999</v>
      </c>
      <c r="U1705">
        <v>-3.021576</v>
      </c>
      <c r="V1705">
        <v>7.4078340000000006E-2</v>
      </c>
      <c r="W1705">
        <v>0.1054538</v>
      </c>
      <c r="X1705">
        <v>0.99166120000000002</v>
      </c>
      <c r="Y1705">
        <v>8.7692499999999896E-2</v>
      </c>
      <c r="Z1705">
        <v>5.4648559999999999E-2</v>
      </c>
      <c r="AA1705">
        <v>0.99464739999999996</v>
      </c>
      <c r="AB1705">
        <v>23</v>
      </c>
      <c r="AC1705">
        <v>-1.59519999999997</v>
      </c>
      <c r="AD1705">
        <v>-1.1096633064970001</v>
      </c>
      <c r="AE1705">
        <v>-19.965399999999899</v>
      </c>
      <c r="AF1705">
        <v>1.77408820010562</v>
      </c>
      <c r="AG1705">
        <v>-1.1096633064970001</v>
      </c>
      <c r="AH1705">
        <v>19.888767143985898</v>
      </c>
      <c r="AI1705">
        <v>93.180816125227196</v>
      </c>
      <c r="AJ1705">
        <v>84.902677941314707</v>
      </c>
      <c r="AK1705">
        <v>19.9985449496515</v>
      </c>
      <c r="AL1705">
        <v>83.946687580095698</v>
      </c>
      <c r="AM1705">
        <v>85.727867914196594</v>
      </c>
      <c r="AN1705">
        <v>1.00000001998851</v>
      </c>
    </row>
    <row r="1706" spans="1:40" x14ac:dyDescent="0.25">
      <c r="A1706" t="str">
        <f>"20190312164021826"</f>
        <v>20190312164021826</v>
      </c>
      <c r="B1706" t="str">
        <f>"1552380021817502"</f>
        <v>1552380021817502</v>
      </c>
      <c r="C1706" t="s">
        <v>40</v>
      </c>
      <c r="D1706">
        <v>5.84598</v>
      </c>
      <c r="E1706">
        <v>0.50853149999999903</v>
      </c>
      <c r="F1706" t="s">
        <v>41</v>
      </c>
      <c r="G1706">
        <v>-192.7825</v>
      </c>
      <c r="H1706" s="1">
        <v>-1.1551909999999999E-6</v>
      </c>
      <c r="I1706">
        <v>310.4692</v>
      </c>
      <c r="J1706">
        <v>-191.16669999999999</v>
      </c>
      <c r="K1706">
        <v>1.1096809999999999</v>
      </c>
      <c r="L1706">
        <v>330.42500000000001</v>
      </c>
      <c r="M1706">
        <v>9.2229370000000005E-3</v>
      </c>
      <c r="N1706">
        <v>0</v>
      </c>
      <c r="O1706">
        <v>-0.99992820000000004</v>
      </c>
      <c r="P1706">
        <v>-6.6300330000000005E-2</v>
      </c>
      <c r="Q1706">
        <v>9.8375870000000004E-2</v>
      </c>
      <c r="R1706">
        <v>-0.99293849999999995</v>
      </c>
      <c r="S1706">
        <v>-0.24008180000000001</v>
      </c>
      <c r="T1706">
        <v>-0.1652045</v>
      </c>
      <c r="U1706">
        <v>-3.021515</v>
      </c>
      <c r="V1706">
        <v>7.5464050000000005E-2</v>
      </c>
      <c r="W1706">
        <v>0.1059522</v>
      </c>
      <c r="X1706">
        <v>0.99150349999999998</v>
      </c>
      <c r="Y1706">
        <v>8.8281330000000005E-2</v>
      </c>
      <c r="Z1706">
        <v>5.4398969999999998E-2</v>
      </c>
      <c r="AA1706">
        <v>0.99460910000000002</v>
      </c>
      <c r="AB1706">
        <v>23</v>
      </c>
      <c r="AC1706">
        <v>-1.6157999999999999</v>
      </c>
      <c r="AD1706">
        <v>-1.1096821551910001</v>
      </c>
      <c r="AE1706">
        <v>-19.9558</v>
      </c>
      <c r="AF1706">
        <v>1.7942757331091801</v>
      </c>
      <c r="AG1706">
        <v>-1.1096821551910001</v>
      </c>
      <c r="AH1706">
        <v>19.878980132858299</v>
      </c>
      <c r="AI1706">
        <v>93.182133375852501</v>
      </c>
      <c r="AJ1706">
        <v>84.842461476205003</v>
      </c>
      <c r="AK1706">
        <v>19.9906145732079</v>
      </c>
      <c r="AL1706">
        <v>83.917970001260898</v>
      </c>
      <c r="AM1706">
        <v>85.647568068881498</v>
      </c>
      <c r="AN1706">
        <v>0.99999994101974399</v>
      </c>
    </row>
    <row r="1707" spans="1:40" x14ac:dyDescent="0.25">
      <c r="A1707" t="str">
        <f>"20190312164021848"</f>
        <v>20190312164021848</v>
      </c>
      <c r="B1707" t="str">
        <f>"1552380021838000"</f>
        <v>1552380021838000</v>
      </c>
      <c r="C1707" t="s">
        <v>40</v>
      </c>
      <c r="D1707">
        <v>5.3678990000000004</v>
      </c>
      <c r="E1707">
        <v>0.50832699999999997</v>
      </c>
      <c r="F1707" t="s">
        <v>41</v>
      </c>
      <c r="G1707">
        <v>-192.7955</v>
      </c>
      <c r="H1707" s="1">
        <v>-9.6754949999999899E-7</v>
      </c>
      <c r="I1707">
        <v>310.06490000000002</v>
      </c>
      <c r="J1707">
        <v>-191.16460000000001</v>
      </c>
      <c r="K1707">
        <v>1.1096729999999999</v>
      </c>
      <c r="L1707">
        <v>330.19639999999998</v>
      </c>
      <c r="M1707">
        <v>9.2194059999999994E-3</v>
      </c>
      <c r="N1707">
        <v>0</v>
      </c>
      <c r="O1707">
        <v>-0.99992820000000004</v>
      </c>
      <c r="P1707">
        <v>-6.6937940000000001E-2</v>
      </c>
      <c r="Q1707">
        <v>9.8668140000000001E-2</v>
      </c>
      <c r="R1707">
        <v>-0.9928669</v>
      </c>
      <c r="S1707">
        <v>-0.2417145</v>
      </c>
      <c r="T1707">
        <v>-0.16467999999999999</v>
      </c>
      <c r="U1707">
        <v>-3.0214840000000001</v>
      </c>
      <c r="V1707">
        <v>7.6096300000000006E-2</v>
      </c>
      <c r="W1707">
        <v>0.10628219999999999</v>
      </c>
      <c r="X1707">
        <v>0.99141990000000002</v>
      </c>
      <c r="Y1707">
        <v>8.8813390000000006E-2</v>
      </c>
      <c r="Z1707">
        <v>5.422486E-2</v>
      </c>
      <c r="AA1707">
        <v>0.99457119999999999</v>
      </c>
      <c r="AB1707">
        <v>23</v>
      </c>
      <c r="AC1707">
        <v>-1.63089999999999</v>
      </c>
      <c r="AD1707">
        <v>-1.1096739675495</v>
      </c>
      <c r="AE1707">
        <v>-20.1314999999999</v>
      </c>
      <c r="AF1707">
        <v>1.8109700996962601</v>
      </c>
      <c r="AG1707">
        <v>-1.1096739675495</v>
      </c>
      <c r="AH1707">
        <v>20.0550708777361</v>
      </c>
      <c r="AI1707">
        <v>93.154215289744002</v>
      </c>
      <c r="AJ1707">
        <v>84.840193211752293</v>
      </c>
      <c r="AK1707">
        <v>20.167222340403502</v>
      </c>
      <c r="AL1707">
        <v>83.898955299696993</v>
      </c>
      <c r="AM1707">
        <v>85.610875941765201</v>
      </c>
      <c r="AN1707">
        <v>0.99999998551326996</v>
      </c>
    </row>
    <row r="1708" spans="1:40" x14ac:dyDescent="0.25">
      <c r="A1708" t="str">
        <f>"20190312164021869"</f>
        <v>20190312164021869</v>
      </c>
      <c r="B1708" t="str">
        <f>"1552380021857534"</f>
        <v>1552380021857534</v>
      </c>
      <c r="C1708" t="s">
        <v>40</v>
      </c>
      <c r="D1708">
        <v>5.8379779999999997</v>
      </c>
      <c r="E1708">
        <v>0.50812479999999904</v>
      </c>
      <c r="F1708" t="s">
        <v>41</v>
      </c>
      <c r="G1708">
        <v>-192.7945</v>
      </c>
      <c r="H1708" s="1">
        <v>-8.4881080000000003E-7</v>
      </c>
      <c r="I1708">
        <v>309.8143</v>
      </c>
      <c r="J1708">
        <v>-191.1626</v>
      </c>
      <c r="K1708">
        <v>1.1096760000000001</v>
      </c>
      <c r="L1708">
        <v>329.97770000000003</v>
      </c>
      <c r="M1708">
        <v>9.2183690000000006E-3</v>
      </c>
      <c r="N1708">
        <v>0</v>
      </c>
      <c r="O1708">
        <v>-0.99992800000000004</v>
      </c>
      <c r="P1708">
        <v>-6.7683220000000002E-2</v>
      </c>
      <c r="Q1708">
        <v>9.8411239999999997E-2</v>
      </c>
      <c r="R1708">
        <v>-0.99284190000000005</v>
      </c>
      <c r="S1708">
        <v>-0.2416229</v>
      </c>
      <c r="T1708">
        <v>-0.16450879999999901</v>
      </c>
      <c r="U1708">
        <v>-3.0216370000000001</v>
      </c>
      <c r="V1708">
        <v>7.683951E-2</v>
      </c>
      <c r="W1708">
        <v>0.1060598</v>
      </c>
      <c r="X1708">
        <v>0.9913864</v>
      </c>
      <c r="Y1708">
        <v>8.8778699999999905E-2</v>
      </c>
      <c r="Z1708">
        <v>5.4166100000000002E-2</v>
      </c>
      <c r="AA1708">
        <v>0.9945775</v>
      </c>
      <c r="AB1708">
        <v>23</v>
      </c>
      <c r="AC1708">
        <v>-1.6318999999999999</v>
      </c>
      <c r="AD1708">
        <v>-1.1096768488108</v>
      </c>
      <c r="AE1708">
        <v>-20.163399999999999</v>
      </c>
      <c r="AF1708">
        <v>1.81225662403995</v>
      </c>
      <c r="AG1708">
        <v>-1.1096768488108</v>
      </c>
      <c r="AH1708">
        <v>20.0870562587778</v>
      </c>
      <c r="AI1708">
        <v>93.149233428834805</v>
      </c>
      <c r="AJ1708">
        <v>84.844725082993804</v>
      </c>
      <c r="AK1708">
        <v>20.199145673108799</v>
      </c>
      <c r="AL1708">
        <v>83.911770357653594</v>
      </c>
      <c r="AM1708">
        <v>85.568029467299695</v>
      </c>
      <c r="AN1708">
        <v>0.99999999278901996</v>
      </c>
    </row>
    <row r="1709" spans="1:40" x14ac:dyDescent="0.25">
      <c r="A1709" t="str">
        <f>"20190312164021891"</f>
        <v>20190312164021891</v>
      </c>
      <c r="B1709" t="str">
        <f>"1552380021887774"</f>
        <v>1552380021887774</v>
      </c>
      <c r="C1709" t="s">
        <v>40</v>
      </c>
      <c r="D1709">
        <v>5.9511669999999999</v>
      </c>
      <c r="E1709">
        <v>0.50781259999999995</v>
      </c>
      <c r="F1709" t="s">
        <v>41</v>
      </c>
      <c r="G1709">
        <v>-192.7859</v>
      </c>
      <c r="H1709" s="1">
        <v>-8.0908990000000001E-7</v>
      </c>
      <c r="I1709">
        <v>309.73509999999999</v>
      </c>
      <c r="J1709">
        <v>-191.16040000000001</v>
      </c>
      <c r="K1709">
        <v>1.1096779999999999</v>
      </c>
      <c r="L1709">
        <v>329.73970000000003</v>
      </c>
      <c r="M1709">
        <v>9.2167169999999993E-3</v>
      </c>
      <c r="N1709">
        <v>0</v>
      </c>
      <c r="O1709">
        <v>-0.99992780000000003</v>
      </c>
      <c r="P1709">
        <v>-6.8317260000000005E-2</v>
      </c>
      <c r="Q1709">
        <v>9.8341090000000006E-2</v>
      </c>
      <c r="R1709">
        <v>-0.99280550000000001</v>
      </c>
      <c r="S1709">
        <v>-0.24229429999999999</v>
      </c>
      <c r="T1709">
        <v>-0.16563820000000001</v>
      </c>
      <c r="U1709">
        <v>-3.0215450000000001</v>
      </c>
      <c r="V1709">
        <v>7.7471159999999997E-2</v>
      </c>
      <c r="W1709">
        <v>0.1060276</v>
      </c>
      <c r="X1709">
        <v>0.99134069999999996</v>
      </c>
      <c r="Y1709">
        <v>8.8997389999999996E-2</v>
      </c>
      <c r="Z1709">
        <v>5.4537479999999999E-2</v>
      </c>
      <c r="AA1709">
        <v>0.99453769999999997</v>
      </c>
      <c r="AB1709">
        <v>23</v>
      </c>
      <c r="AC1709">
        <v>-1.62549999999998</v>
      </c>
      <c r="AD1709">
        <v>-1.1096788090898999</v>
      </c>
      <c r="AE1709">
        <v>-20.0046</v>
      </c>
      <c r="AF1709">
        <v>1.8042976692583199</v>
      </c>
      <c r="AG1709">
        <v>-1.1096788090898999</v>
      </c>
      <c r="AH1709">
        <v>19.927851211978702</v>
      </c>
      <c r="AI1709">
        <v>93.174255959396902</v>
      </c>
      <c r="AJ1709">
        <v>84.826460189713501</v>
      </c>
      <c r="AK1709">
        <v>20.040113050214899</v>
      </c>
      <c r="AL1709">
        <v>83.913625836558495</v>
      </c>
      <c r="AM1709">
        <v>85.531538774055804</v>
      </c>
      <c r="AN1709">
        <v>1.00000000803499</v>
      </c>
    </row>
    <row r="1710" spans="1:40" x14ac:dyDescent="0.25">
      <c r="A1710" t="str">
        <f>"20190312164021915"</f>
        <v>20190312164021915</v>
      </c>
      <c r="B1710" t="str">
        <f>"1552380021908270"</f>
        <v>1552380021908270</v>
      </c>
      <c r="C1710" t="s">
        <v>40</v>
      </c>
      <c r="D1710">
        <v>5.948696</v>
      </c>
      <c r="E1710">
        <v>0.50762339999999995</v>
      </c>
      <c r="F1710" t="s">
        <v>41</v>
      </c>
      <c r="G1710">
        <v>-192.76840000000001</v>
      </c>
      <c r="H1710" s="1">
        <v>-4.7877919999999999E-6</v>
      </c>
      <c r="I1710">
        <v>309.61290000000002</v>
      </c>
      <c r="J1710">
        <v>-191.15819999999999</v>
      </c>
      <c r="K1710">
        <v>1.1096820000000001</v>
      </c>
      <c r="L1710">
        <v>329.49579999999997</v>
      </c>
      <c r="M1710">
        <v>9.2117439999999991E-3</v>
      </c>
      <c r="N1710">
        <v>0</v>
      </c>
      <c r="O1710">
        <v>-0.99992729999999996</v>
      </c>
      <c r="P1710">
        <v>-6.9064159999999999E-2</v>
      </c>
      <c r="Q1710">
        <v>9.8408620000000002E-2</v>
      </c>
      <c r="R1710">
        <v>-0.99274680000000004</v>
      </c>
      <c r="S1710">
        <v>-0.24140929999999999</v>
      </c>
      <c r="T1710">
        <v>-0.1665982</v>
      </c>
      <c r="U1710">
        <v>-3.0216669999999999</v>
      </c>
      <c r="V1710">
        <v>7.8212719999999999E-2</v>
      </c>
      <c r="W1710">
        <v>0.1061361</v>
      </c>
      <c r="X1710">
        <v>0.99127080000000001</v>
      </c>
      <c r="Y1710">
        <v>8.8698449999999998E-2</v>
      </c>
      <c r="Z1710">
        <v>5.4851789999999997E-2</v>
      </c>
      <c r="AA1710">
        <v>0.99454710000000002</v>
      </c>
      <c r="AB1710">
        <v>23</v>
      </c>
      <c r="AC1710">
        <v>-1.6102000000000201</v>
      </c>
      <c r="AD1710">
        <v>-1.109686787792</v>
      </c>
      <c r="AE1710">
        <v>-19.8828999999999</v>
      </c>
      <c r="AF1710">
        <v>1.7877610276740901</v>
      </c>
      <c r="AG1710">
        <v>-1.109686787792</v>
      </c>
      <c r="AH1710">
        <v>19.805932002685498</v>
      </c>
      <c r="AI1710">
        <v>93.193857623317697</v>
      </c>
      <c r="AJ1710">
        <v>84.842235891736493</v>
      </c>
      <c r="AK1710">
        <v>19.917390309828999</v>
      </c>
      <c r="AL1710">
        <v>83.907373613506095</v>
      </c>
      <c r="AM1710">
        <v>85.488625236990202</v>
      </c>
      <c r="AN1710">
        <v>0.99999995011282306</v>
      </c>
    </row>
    <row r="1711" spans="1:40" x14ac:dyDescent="0.25">
      <c r="A1711" t="str">
        <f>"20190312164021937"</f>
        <v>20190312164021937</v>
      </c>
      <c r="B1711" t="str">
        <f>"1552380021927789"</f>
        <v>1552380021927789</v>
      </c>
      <c r="C1711" t="s">
        <v>40</v>
      </c>
      <c r="D1711">
        <v>6.0347220000000004</v>
      </c>
      <c r="E1711">
        <v>0.50750629999999997</v>
      </c>
      <c r="F1711" t="s">
        <v>41</v>
      </c>
      <c r="G1711">
        <v>-192.76840000000001</v>
      </c>
      <c r="H1711" s="1">
        <v>-4.7155089999999996E-6</v>
      </c>
      <c r="I1711">
        <v>309.40050000000002</v>
      </c>
      <c r="J1711">
        <v>-191.15600000000001</v>
      </c>
      <c r="K1711">
        <v>1.1096839999999999</v>
      </c>
      <c r="L1711">
        <v>329.25369999999998</v>
      </c>
      <c r="M1711">
        <v>9.2021280000000004E-3</v>
      </c>
      <c r="N1711">
        <v>0</v>
      </c>
      <c r="O1711">
        <v>-0.99992700000000001</v>
      </c>
      <c r="P1711">
        <v>-6.9046510000000005E-2</v>
      </c>
      <c r="Q1711">
        <v>9.8393419999999995E-2</v>
      </c>
      <c r="R1711">
        <v>-0.99274969999999996</v>
      </c>
      <c r="S1711">
        <v>-0.2421112</v>
      </c>
      <c r="T1711">
        <v>-0.16685649999999999</v>
      </c>
      <c r="U1711">
        <v>-3.0216059999999998</v>
      </c>
      <c r="V1711">
        <v>7.8186039999999998E-2</v>
      </c>
      <c r="W1711">
        <v>0.1061655</v>
      </c>
      <c r="X1711">
        <v>0.99126979999999998</v>
      </c>
      <c r="Y1711">
        <v>8.8919650000000003E-2</v>
      </c>
      <c r="Z1711">
        <v>5.4936640000000002E-2</v>
      </c>
      <c r="AA1711">
        <v>0.99452260000000003</v>
      </c>
      <c r="AB1711">
        <v>24</v>
      </c>
      <c r="AC1711">
        <v>-1.61240000000003</v>
      </c>
      <c r="AD1711">
        <v>-1.1096887155090001</v>
      </c>
      <c r="AE1711">
        <v>-19.853199999999902</v>
      </c>
      <c r="AF1711">
        <v>1.78947494033592</v>
      </c>
      <c r="AG1711">
        <v>-1.1096887155090001</v>
      </c>
      <c r="AH1711">
        <v>19.776141282389901</v>
      </c>
      <c r="AI1711">
        <v>93.198600697202494</v>
      </c>
      <c r="AJ1711">
        <v>84.829582963339803</v>
      </c>
      <c r="AK1711">
        <v>19.887920797018001</v>
      </c>
      <c r="AL1711">
        <v>83.905679810390097</v>
      </c>
      <c r="AM1711">
        <v>85.490153281303705</v>
      </c>
      <c r="AN1711">
        <v>0.99999999331658496</v>
      </c>
    </row>
    <row r="1712" spans="1:40" x14ac:dyDescent="0.25">
      <c r="A1712" t="str">
        <f>"20190312164021961"</f>
        <v>20190312164021961</v>
      </c>
      <c r="B1712" t="str">
        <f>"1552380021958045"</f>
        <v>1552380021958045</v>
      </c>
      <c r="C1712" t="s">
        <v>40</v>
      </c>
      <c r="D1712">
        <v>5.9391280000000002</v>
      </c>
      <c r="E1712">
        <v>0.50743930000000004</v>
      </c>
      <c r="F1712" t="s">
        <v>41</v>
      </c>
      <c r="G1712">
        <v>-192.78720000000001</v>
      </c>
      <c r="H1712" s="1">
        <v>-4.527177E-6</v>
      </c>
      <c r="I1712">
        <v>308.83730000000003</v>
      </c>
      <c r="J1712">
        <v>-191.15379999999999</v>
      </c>
      <c r="K1712">
        <v>1.109688</v>
      </c>
      <c r="L1712">
        <v>329.00790000000001</v>
      </c>
      <c r="M1712">
        <v>9.187176E-3</v>
      </c>
      <c r="N1712">
        <v>0</v>
      </c>
      <c r="O1712">
        <v>-0.9999268</v>
      </c>
      <c r="P1712">
        <v>-6.9613969999999997E-2</v>
      </c>
      <c r="Q1712">
        <v>9.8709149999999996E-2</v>
      </c>
      <c r="R1712">
        <v>-0.99267859999999997</v>
      </c>
      <c r="S1712">
        <v>-0.241394</v>
      </c>
      <c r="T1712">
        <v>-0.16422120000000001</v>
      </c>
      <c r="U1712">
        <v>-3.0213930000000002</v>
      </c>
      <c r="V1712">
        <v>7.8738550000000004E-2</v>
      </c>
      <c r="W1712">
        <v>0.1065292</v>
      </c>
      <c r="X1712">
        <v>0.99118700000000004</v>
      </c>
      <c r="Y1712">
        <v>8.8679519999999998E-2</v>
      </c>
      <c r="Z1712">
        <v>5.4076430000000002E-2</v>
      </c>
      <c r="AA1712">
        <v>0.99459120000000001</v>
      </c>
      <c r="AB1712">
        <v>24</v>
      </c>
      <c r="AC1712">
        <v>-1.6334000000000199</v>
      </c>
      <c r="AD1712">
        <v>-1.109692527177</v>
      </c>
      <c r="AE1712">
        <v>-20.170599999999901</v>
      </c>
      <c r="AF1712">
        <v>1.81319543402317</v>
      </c>
      <c r="AG1712">
        <v>-1.109692527177</v>
      </c>
      <c r="AH1712">
        <v>20.094318882781501</v>
      </c>
      <c r="AI1712">
        <v>93.148137922604903</v>
      </c>
      <c r="AJ1712">
        <v>84.843923042495604</v>
      </c>
      <c r="AK1712">
        <v>20.2064530917661</v>
      </c>
      <c r="AL1712">
        <v>83.884722217030003</v>
      </c>
      <c r="AM1712">
        <v>85.458039026947901</v>
      </c>
      <c r="AN1712">
        <v>0.99999994933886904</v>
      </c>
    </row>
    <row r="1713" spans="1:40" x14ac:dyDescent="0.25">
      <c r="A1713" t="str">
        <f>"20190312164021984"</f>
        <v>20190312164021984</v>
      </c>
      <c r="B1713" t="str">
        <f>"1552380021977565"</f>
        <v>1552380021977565</v>
      </c>
      <c r="C1713" t="s">
        <v>40</v>
      </c>
      <c r="D1713">
        <v>5.8326359999999999</v>
      </c>
      <c r="E1713">
        <v>0.50758879999999995</v>
      </c>
      <c r="F1713" t="s">
        <v>41</v>
      </c>
      <c r="G1713">
        <v>-192.79169999999999</v>
      </c>
      <c r="H1713" s="1">
        <v>-4.4507600000000004E-6</v>
      </c>
      <c r="I1713">
        <v>308.61040000000003</v>
      </c>
      <c r="J1713">
        <v>-191.1516</v>
      </c>
      <c r="K1713">
        <v>1.1096870000000001</v>
      </c>
      <c r="L1713">
        <v>328.77010000000001</v>
      </c>
      <c r="M1713">
        <v>9.1689070000000004E-3</v>
      </c>
      <c r="N1713">
        <v>0</v>
      </c>
      <c r="O1713">
        <v>-0.99992630000000005</v>
      </c>
      <c r="P1713">
        <v>-7.00543E-2</v>
      </c>
      <c r="Q1713">
        <v>9.8903169999999999E-2</v>
      </c>
      <c r="R1713">
        <v>-0.99262830000000002</v>
      </c>
      <c r="S1713">
        <v>-0.24261469999999999</v>
      </c>
      <c r="T1713">
        <v>-0.16437589999999999</v>
      </c>
      <c r="U1713">
        <v>-3.021423</v>
      </c>
      <c r="V1713">
        <v>7.9160700000000001E-2</v>
      </c>
      <c r="W1713">
        <v>0.1067776</v>
      </c>
      <c r="X1713">
        <v>0.99112670000000003</v>
      </c>
      <c r="Y1713">
        <v>8.9059620000000006E-2</v>
      </c>
      <c r="Z1713">
        <v>5.412492E-2</v>
      </c>
      <c r="AA1713">
        <v>0.99455459999999996</v>
      </c>
      <c r="AB1713">
        <v>24</v>
      </c>
      <c r="AC1713">
        <v>-1.6400999999999799</v>
      </c>
      <c r="AD1713">
        <v>-1.10969145076</v>
      </c>
      <c r="AE1713">
        <v>-20.159699999999901</v>
      </c>
      <c r="AF1713">
        <v>1.81940285697786</v>
      </c>
      <c r="AG1713">
        <v>-1.10969145076</v>
      </c>
      <c r="AH1713">
        <v>20.083362528584502</v>
      </c>
      <c r="AI1713">
        <v>93.149747853520196</v>
      </c>
      <c r="AJ1713">
        <v>84.823559876440598</v>
      </c>
      <c r="AK1713">
        <v>20.196115773247602</v>
      </c>
      <c r="AL1713">
        <v>83.870408637309595</v>
      </c>
      <c r="AM1713">
        <v>85.433513764838494</v>
      </c>
      <c r="AN1713">
        <v>1.00000000386957</v>
      </c>
    </row>
    <row r="1714" spans="1:40" x14ac:dyDescent="0.25">
      <c r="A1714" t="str">
        <f>"20190312164022004"</f>
        <v>20190312164022004</v>
      </c>
      <c r="B1714" t="str">
        <f>"1552380021998062"</f>
        <v>1552380021998062</v>
      </c>
      <c r="C1714" t="s">
        <v>40</v>
      </c>
      <c r="D1714">
        <v>5.8648239999999996</v>
      </c>
      <c r="E1714">
        <v>0.50779620000000003</v>
      </c>
      <c r="F1714" t="s">
        <v>41</v>
      </c>
      <c r="G1714">
        <v>-192.7997</v>
      </c>
      <c r="H1714" s="1">
        <v>-4.3910809999999999E-6</v>
      </c>
      <c r="I1714">
        <v>308.43079999999998</v>
      </c>
      <c r="J1714">
        <v>-191.14959999999999</v>
      </c>
      <c r="K1714">
        <v>1.109702</v>
      </c>
      <c r="L1714">
        <v>328.54640000000001</v>
      </c>
      <c r="M1714">
        <v>9.1492120000000003E-3</v>
      </c>
      <c r="N1714">
        <v>0</v>
      </c>
      <c r="O1714">
        <v>-0.99992610000000004</v>
      </c>
      <c r="P1714">
        <v>-7.0558960000000004E-2</v>
      </c>
      <c r="Q1714">
        <v>9.9131979999999995E-2</v>
      </c>
      <c r="R1714">
        <v>-0.99256960000000005</v>
      </c>
      <c r="S1714">
        <v>-0.2448273</v>
      </c>
      <c r="T1714">
        <v>-0.1648443</v>
      </c>
      <c r="U1714">
        <v>-3.0213930000000002</v>
      </c>
      <c r="V1714">
        <v>7.9645549999999996E-2</v>
      </c>
      <c r="W1714">
        <v>0.10706350000000001</v>
      </c>
      <c r="X1714">
        <v>0.99105699999999997</v>
      </c>
      <c r="Y1714">
        <v>8.9763679999999998E-2</v>
      </c>
      <c r="Z1714">
        <v>5.427593E-2</v>
      </c>
      <c r="AA1714">
        <v>0.99448309999999995</v>
      </c>
      <c r="AB1714">
        <v>24</v>
      </c>
      <c r="AC1714">
        <v>-1.6500999999999999</v>
      </c>
      <c r="AD1714">
        <v>-1.1097063910810001</v>
      </c>
      <c r="AE1714">
        <v>-20.115600000000001</v>
      </c>
      <c r="AF1714">
        <v>1.8285510146841399</v>
      </c>
      <c r="AG1714">
        <v>-1.1097063910810001</v>
      </c>
      <c r="AH1714">
        <v>20.0390823430855</v>
      </c>
      <c r="AI1714">
        <v>93.156549625797496</v>
      </c>
      <c r="AJ1714">
        <v>84.786242380329497</v>
      </c>
      <c r="AK1714">
        <v>20.152912152854501</v>
      </c>
      <c r="AL1714">
        <v>83.853933256877994</v>
      </c>
      <c r="AM1714">
        <v>85.405342216571597</v>
      </c>
      <c r="AN1714">
        <v>0.99999999195802602</v>
      </c>
    </row>
    <row r="1715" spans="1:40" x14ac:dyDescent="0.25">
      <c r="A1715" t="str">
        <f>"20190312164022027"</f>
        <v>20190312164022027</v>
      </c>
      <c r="B1715" t="str">
        <f>"1552380022017581"</f>
        <v>1552380022017581</v>
      </c>
      <c r="C1715" t="s">
        <v>40</v>
      </c>
      <c r="D1715">
        <v>5.9870619999999999</v>
      </c>
      <c r="E1715">
        <v>0.50797429999999999</v>
      </c>
      <c r="F1715" t="s">
        <v>41</v>
      </c>
      <c r="G1715">
        <v>-192.8116</v>
      </c>
      <c r="H1715" s="1">
        <v>-4.3409049999999997E-6</v>
      </c>
      <c r="I1715">
        <v>308.27719999999999</v>
      </c>
      <c r="J1715">
        <v>-191.1474</v>
      </c>
      <c r="K1715">
        <v>1.1097159999999999</v>
      </c>
      <c r="L1715">
        <v>328.30040000000002</v>
      </c>
      <c r="M1715">
        <v>9.1254999999999999E-3</v>
      </c>
      <c r="N1715">
        <v>0</v>
      </c>
      <c r="O1715">
        <v>-0.99992590000000003</v>
      </c>
      <c r="P1715">
        <v>-7.1083899999999894E-2</v>
      </c>
      <c r="Q1715">
        <v>9.9499690000000002E-2</v>
      </c>
      <c r="R1715">
        <v>-0.99249549999999997</v>
      </c>
      <c r="S1715">
        <v>-0.24774170000000001</v>
      </c>
      <c r="T1715">
        <v>-0.1654129</v>
      </c>
      <c r="U1715">
        <v>-3.0213320000000001</v>
      </c>
      <c r="V1715">
        <v>8.0146389999999998E-2</v>
      </c>
      <c r="W1715">
        <v>0.1075087</v>
      </c>
      <c r="X1715">
        <v>0.99096850000000003</v>
      </c>
      <c r="Y1715">
        <v>9.0693800000000005E-2</v>
      </c>
      <c r="Z1715">
        <v>5.4459300000000002E-2</v>
      </c>
      <c r="AA1715">
        <v>0.99438859999999996</v>
      </c>
      <c r="AB1715">
        <v>24</v>
      </c>
      <c r="AC1715">
        <v>-1.6641999999999899</v>
      </c>
      <c r="AD1715">
        <v>-1.1097203409049901</v>
      </c>
      <c r="AE1715">
        <v>-20.023199999999999</v>
      </c>
      <c r="AF1715">
        <v>1.8412416448095601</v>
      </c>
      <c r="AG1715">
        <v>-1.1097203409049901</v>
      </c>
      <c r="AH1715">
        <v>19.946332866391099</v>
      </c>
      <c r="AI1715">
        <v>93.170931864325496</v>
      </c>
      <c r="AJ1715">
        <v>84.725985305993504</v>
      </c>
      <c r="AK1715">
        <v>20.061850484102202</v>
      </c>
      <c r="AL1715">
        <v>83.8282775528684</v>
      </c>
      <c r="AM1715">
        <v>85.376163108504997</v>
      </c>
      <c r="AN1715">
        <v>1.0000000661989801</v>
      </c>
    </row>
    <row r="1716" spans="1:40" x14ac:dyDescent="0.25">
      <c r="A1716" t="str">
        <f>"20190312164022049"</f>
        <v>20190312164022049</v>
      </c>
      <c r="B1716" t="str">
        <f>"1552380022037654"</f>
        <v>1552380022037654</v>
      </c>
      <c r="C1716" t="s">
        <v>40</v>
      </c>
      <c r="D1716">
        <v>5.7247519999999996</v>
      </c>
      <c r="E1716">
        <v>0.50814649999999995</v>
      </c>
      <c r="F1716" t="s">
        <v>41</v>
      </c>
      <c r="G1716">
        <v>-192.84299999999999</v>
      </c>
      <c r="H1716" s="1">
        <v>-4.222706E-6</v>
      </c>
      <c r="I1716">
        <v>307.9135</v>
      </c>
      <c r="J1716">
        <v>-191.14529999999999</v>
      </c>
      <c r="K1716">
        <v>1.1097379999999999</v>
      </c>
      <c r="L1716">
        <v>328.07240000000002</v>
      </c>
      <c r="M1716">
        <v>9.1027590000000002E-3</v>
      </c>
      <c r="N1716">
        <v>0</v>
      </c>
      <c r="O1716">
        <v>-0.99992510000000001</v>
      </c>
      <c r="P1716">
        <v>-7.1738159999999995E-2</v>
      </c>
      <c r="Q1716">
        <v>9.9749649999999995E-2</v>
      </c>
      <c r="R1716">
        <v>-0.99242339999999996</v>
      </c>
      <c r="S1716">
        <v>-0.2512817</v>
      </c>
      <c r="T1716">
        <v>-0.1644485</v>
      </c>
      <c r="U1716">
        <v>-3.021118</v>
      </c>
      <c r="V1716">
        <v>8.0777420000000003E-2</v>
      </c>
      <c r="W1716">
        <v>0.1078567</v>
      </c>
      <c r="X1716">
        <v>0.99087939999999997</v>
      </c>
      <c r="Y1716">
        <v>9.1835550000000002E-2</v>
      </c>
      <c r="Z1716">
        <v>5.4141099999999998E-2</v>
      </c>
      <c r="AA1716">
        <v>0.99430130000000005</v>
      </c>
      <c r="AB1716">
        <v>24</v>
      </c>
      <c r="AC1716">
        <v>-1.69769999999999</v>
      </c>
      <c r="AD1716">
        <v>-1.1097422227060001</v>
      </c>
      <c r="AE1716">
        <v>-20.158899999999999</v>
      </c>
      <c r="AF1716">
        <v>1.8754937990312399</v>
      </c>
      <c r="AG1716">
        <v>-1.1097422227060001</v>
      </c>
      <c r="AH1716">
        <v>20.082180532999999</v>
      </c>
      <c r="AI1716">
        <v>93.149274300795994</v>
      </c>
      <c r="AJ1716">
        <v>84.664568789295302</v>
      </c>
      <c r="AK1716">
        <v>20.200073756079899</v>
      </c>
      <c r="AL1716">
        <v>83.808221733410207</v>
      </c>
      <c r="AM1716">
        <v>85.339500008527907</v>
      </c>
      <c r="AN1716">
        <v>1.0000000223305501</v>
      </c>
    </row>
    <row r="1717" spans="1:40" x14ac:dyDescent="0.25">
      <c r="A1717" t="str">
        <f>"20190312164022071"</f>
        <v>20190312164022071</v>
      </c>
      <c r="B1717" t="str">
        <f>"1552380022067910"</f>
        <v>1552380022067910</v>
      </c>
      <c r="C1717" t="s">
        <v>40</v>
      </c>
      <c r="D1717">
        <v>5.8517099999999997</v>
      </c>
      <c r="E1717">
        <v>0.50841389999999997</v>
      </c>
      <c r="F1717" t="s">
        <v>41</v>
      </c>
      <c r="G1717">
        <v>-192.87700000000001</v>
      </c>
      <c r="H1717" s="1">
        <v>-4.0938380000000003E-6</v>
      </c>
      <c r="I1717">
        <v>307.51710000000003</v>
      </c>
      <c r="J1717">
        <v>-191.1431</v>
      </c>
      <c r="K1717">
        <v>1.1097709999999901</v>
      </c>
      <c r="L1717">
        <v>327.82589999999999</v>
      </c>
      <c r="M1717">
        <v>9.0784300000000002E-3</v>
      </c>
      <c r="N1717">
        <v>0</v>
      </c>
      <c r="O1717">
        <v>-0.99992420000000004</v>
      </c>
      <c r="P1717">
        <v>-7.2127880000000005E-2</v>
      </c>
      <c r="Q1717">
        <v>0.1001862</v>
      </c>
      <c r="R1717">
        <v>-0.99235119999999999</v>
      </c>
      <c r="S1717">
        <v>-0.25448609999999999</v>
      </c>
      <c r="T1717">
        <v>-0.16309019999999999</v>
      </c>
      <c r="U1717">
        <v>-3.0208439999999999</v>
      </c>
      <c r="V1717">
        <v>8.1142359999999997E-2</v>
      </c>
      <c r="W1717">
        <v>0.1084373</v>
      </c>
      <c r="X1717">
        <v>0.99078619999999995</v>
      </c>
      <c r="Y1717">
        <v>9.2868129999999993E-2</v>
      </c>
      <c r="Z1717">
        <v>5.3695140000000002E-2</v>
      </c>
      <c r="AA1717">
        <v>0.99422949999999999</v>
      </c>
      <c r="AB1717">
        <v>24</v>
      </c>
      <c r="AC1717">
        <v>-1.7339</v>
      </c>
      <c r="AD1717">
        <v>-1.10977509383799</v>
      </c>
      <c r="AE1717">
        <v>-20.308799999999898</v>
      </c>
      <c r="AF1717">
        <v>1.9125372761764201</v>
      </c>
      <c r="AG1717">
        <v>-1.10977509383799</v>
      </c>
      <c r="AH1717">
        <v>20.2322434816518</v>
      </c>
      <c r="AI1717">
        <v>93.125724252017093</v>
      </c>
      <c r="AJ1717">
        <v>84.599923710632297</v>
      </c>
      <c r="AK1717">
        <v>20.3527166710616</v>
      </c>
      <c r="AL1717">
        <v>83.774759483173497</v>
      </c>
      <c r="AM1717">
        <v>85.318099548881094</v>
      </c>
      <c r="AN1717">
        <v>1.00000001236404</v>
      </c>
    </row>
    <row r="1718" spans="1:40" x14ac:dyDescent="0.25">
      <c r="A1718" t="str">
        <f>"20190312164022095"</f>
        <v>20190312164022095</v>
      </c>
      <c r="B1718" t="str">
        <f>"1552380022088406"</f>
        <v>1552380022088406</v>
      </c>
      <c r="C1718" t="s">
        <v>40</v>
      </c>
      <c r="D1718">
        <v>5.8520620000000001</v>
      </c>
      <c r="E1718">
        <v>0.50857790000000003</v>
      </c>
      <c r="F1718" t="s">
        <v>41</v>
      </c>
      <c r="G1718">
        <v>-192.89449999999999</v>
      </c>
      <c r="H1718" s="1">
        <v>-4.020621E-6</v>
      </c>
      <c r="I1718">
        <v>307.2928</v>
      </c>
      <c r="J1718">
        <v>-191.14089999999999</v>
      </c>
      <c r="K1718">
        <v>1.109807</v>
      </c>
      <c r="L1718">
        <v>327.57769999999999</v>
      </c>
      <c r="M1718">
        <v>9.0544839999999998E-3</v>
      </c>
      <c r="N1718">
        <v>0</v>
      </c>
      <c r="O1718">
        <v>-0.99992300000000001</v>
      </c>
      <c r="P1718">
        <v>-7.2458729999999999E-2</v>
      </c>
      <c r="Q1718">
        <v>0.100414</v>
      </c>
      <c r="R1718">
        <v>-0.99230399999999996</v>
      </c>
      <c r="S1718">
        <v>-0.25767519999999999</v>
      </c>
      <c r="T1718">
        <v>-0.1632711</v>
      </c>
      <c r="U1718">
        <v>-3.0208439999999999</v>
      </c>
      <c r="V1718">
        <v>8.1449010000000002E-2</v>
      </c>
      <c r="W1718">
        <v>0.1088554</v>
      </c>
      <c r="X1718">
        <v>0.99071509999999996</v>
      </c>
      <c r="Y1718">
        <v>9.3886120000000003E-2</v>
      </c>
      <c r="Z1718">
        <v>5.3749570000000003E-2</v>
      </c>
      <c r="AA1718">
        <v>0.99413099999999999</v>
      </c>
      <c r="AB1718">
        <v>24</v>
      </c>
      <c r="AC1718">
        <v>-1.7536</v>
      </c>
      <c r="AD1718">
        <v>-1.1098110206209999</v>
      </c>
      <c r="AE1718">
        <v>-20.2849</v>
      </c>
      <c r="AF1718">
        <v>1.93146542936</v>
      </c>
      <c r="AG1718">
        <v>-1.1098110206209999</v>
      </c>
      <c r="AH1718">
        <v>20.208149254891001</v>
      </c>
      <c r="AI1718">
        <v>93.129236030553002</v>
      </c>
      <c r="AJ1718">
        <v>84.540337800892999</v>
      </c>
      <c r="AK1718">
        <v>20.3305566946471</v>
      </c>
      <c r="AL1718">
        <v>83.750660916634601</v>
      </c>
      <c r="AM1718">
        <v>85.300149242024503</v>
      </c>
      <c r="AN1718">
        <v>0.99999992435357199</v>
      </c>
    </row>
    <row r="1719" spans="1:40" x14ac:dyDescent="0.25">
      <c r="A1719" t="str">
        <f>"20190312164022115"</f>
        <v>20190312164022115</v>
      </c>
      <c r="B1719" t="str">
        <f>"1552380022107926"</f>
        <v>1552380022107926</v>
      </c>
      <c r="C1719" t="s">
        <v>40</v>
      </c>
      <c r="D1719">
        <v>5.8963469999999996</v>
      </c>
      <c r="E1719">
        <v>0.50870139999999997</v>
      </c>
      <c r="F1719" t="s">
        <v>41</v>
      </c>
      <c r="G1719">
        <v>-192.90469999999999</v>
      </c>
      <c r="H1719" s="1">
        <v>-3.9526010000000003E-6</v>
      </c>
      <c r="I1719">
        <v>307.08760000000001</v>
      </c>
      <c r="J1719">
        <v>-191.1388</v>
      </c>
      <c r="K1719">
        <v>1.1098479999999999</v>
      </c>
      <c r="L1719">
        <v>327.35180000000003</v>
      </c>
      <c r="M1719">
        <v>9.0338220000000004E-3</v>
      </c>
      <c r="N1719">
        <v>0</v>
      </c>
      <c r="O1719">
        <v>-0.99992110000000001</v>
      </c>
      <c r="P1719">
        <v>-7.2927610000000004E-2</v>
      </c>
      <c r="Q1719">
        <v>9.9527630000000006E-2</v>
      </c>
      <c r="R1719">
        <v>-0.99235899999999999</v>
      </c>
      <c r="S1719">
        <v>-0.2600403</v>
      </c>
      <c r="T1719">
        <v>-0.16361899999999999</v>
      </c>
      <c r="U1719">
        <v>-3.0208439999999999</v>
      </c>
      <c r="V1719">
        <v>8.1897899999999996E-2</v>
      </c>
      <c r="W1719">
        <v>0.1081932</v>
      </c>
      <c r="X1719">
        <v>0.99075069999999998</v>
      </c>
      <c r="Y1719">
        <v>9.4637689999999997E-2</v>
      </c>
      <c r="Z1719">
        <v>5.3860089999999999E-2</v>
      </c>
      <c r="AA1719">
        <v>0.99405370000000004</v>
      </c>
      <c r="AB1719">
        <v>24</v>
      </c>
      <c r="AC1719">
        <v>-1.76589999999998</v>
      </c>
      <c r="AD1719">
        <v>-1.109851952601</v>
      </c>
      <c r="AE1719">
        <v>-20.264199999999999</v>
      </c>
      <c r="AF1719">
        <v>1.94311334664019</v>
      </c>
      <c r="AG1719">
        <v>-1.109851952601</v>
      </c>
      <c r="AH1719">
        <v>20.187321017751302</v>
      </c>
      <c r="AI1719">
        <v>93.132372751652994</v>
      </c>
      <c r="AJ1719">
        <v>84.5019813789431</v>
      </c>
      <c r="AK1719">
        <v>20.3109672519141</v>
      </c>
      <c r="AL1719">
        <v>83.788828027822902</v>
      </c>
      <c r="AM1719">
        <v>85.274532974478305</v>
      </c>
      <c r="AN1719">
        <v>0.999999992050569</v>
      </c>
    </row>
    <row r="1720" spans="1:40" x14ac:dyDescent="0.25">
      <c r="A1720" t="str">
        <f>"20190312164022141"</f>
        <v>20190312164022141</v>
      </c>
      <c r="B1720" t="str">
        <f>"1552380022138104"</f>
        <v>1552380022138104</v>
      </c>
      <c r="C1720" t="s">
        <v>40</v>
      </c>
      <c r="D1720">
        <v>5.9038409999999999</v>
      </c>
      <c r="E1720">
        <v>0.50887190000000004</v>
      </c>
      <c r="F1720" t="s">
        <v>41</v>
      </c>
      <c r="G1720">
        <v>-192.8836</v>
      </c>
      <c r="H1720" s="1">
        <v>-4.01314E-6</v>
      </c>
      <c r="I1720">
        <v>307.2765</v>
      </c>
      <c r="J1720">
        <v>-191.13650000000001</v>
      </c>
      <c r="K1720">
        <v>1.10991</v>
      </c>
      <c r="L1720">
        <v>327.08929999999998</v>
      </c>
      <c r="M1720">
        <v>9.0106409999999998E-3</v>
      </c>
      <c r="N1720">
        <v>0</v>
      </c>
      <c r="O1720">
        <v>-0.99991819999999998</v>
      </c>
      <c r="P1720">
        <v>-7.3458800000000005E-2</v>
      </c>
      <c r="Q1720">
        <v>9.9304310000000007E-2</v>
      </c>
      <c r="R1720">
        <v>-0.99234219999999895</v>
      </c>
      <c r="S1720">
        <v>-0.26252750000000002</v>
      </c>
      <c r="T1720">
        <v>-0.16699249999999999</v>
      </c>
      <c r="U1720">
        <v>-3.0205989999999998</v>
      </c>
      <c r="V1720">
        <v>8.2406010000000002E-2</v>
      </c>
      <c r="W1720">
        <v>0.10832550000000001</v>
      </c>
      <c r="X1720">
        <v>0.99069410000000002</v>
      </c>
      <c r="Y1720">
        <v>9.5428659999999998E-2</v>
      </c>
      <c r="Z1720">
        <v>5.496765E-2</v>
      </c>
      <c r="AA1720">
        <v>0.99391750000000001</v>
      </c>
      <c r="AB1720">
        <v>24</v>
      </c>
      <c r="AC1720">
        <v>-1.7470999999999799</v>
      </c>
      <c r="AD1720">
        <v>-1.10991401314</v>
      </c>
      <c r="AE1720">
        <v>-19.8127999999999</v>
      </c>
      <c r="AF1720">
        <v>1.91958480351728</v>
      </c>
      <c r="AG1720">
        <v>-1.10991401314</v>
      </c>
      <c r="AH1720">
        <v>19.734797673462701</v>
      </c>
      <c r="AI1720">
        <v>93.203918495890093</v>
      </c>
      <c r="AJ1720">
        <v>84.4443716952605</v>
      </c>
      <c r="AK1720">
        <v>19.858976664142801</v>
      </c>
      <c r="AL1720">
        <v>83.781202919231504</v>
      </c>
      <c r="AM1720">
        <v>85.245078890066793</v>
      </c>
      <c r="AN1720">
        <v>0.99999998210458896</v>
      </c>
    </row>
    <row r="1721" spans="1:40" x14ac:dyDescent="0.25">
      <c r="A1721" t="str">
        <f>"20190312164022162"</f>
        <v>20190312164022162</v>
      </c>
      <c r="B1721" t="str">
        <f>"1552380022157623"</f>
        <v>1552380022157623</v>
      </c>
      <c r="C1721" t="s">
        <v>40</v>
      </c>
      <c r="D1721">
        <v>5.8900199999999998</v>
      </c>
      <c r="E1721">
        <v>0.50902429999999999</v>
      </c>
      <c r="F1721" t="s">
        <v>41</v>
      </c>
      <c r="G1721">
        <v>-192.8802</v>
      </c>
      <c r="H1721" s="1">
        <v>-3.993808E-6</v>
      </c>
      <c r="I1721">
        <v>307.22149999999999</v>
      </c>
      <c r="J1721">
        <v>-191.1344</v>
      </c>
      <c r="K1721">
        <v>1.1099889999999999</v>
      </c>
      <c r="L1721">
        <v>326.85730000000001</v>
      </c>
      <c r="M1721">
        <v>8.9908839999999993E-3</v>
      </c>
      <c r="N1721">
        <v>0</v>
      </c>
      <c r="O1721">
        <v>-0.99991439999999998</v>
      </c>
      <c r="P1721">
        <v>-7.4108939999999998E-2</v>
      </c>
      <c r="Q1721">
        <v>9.9894780000000002E-2</v>
      </c>
      <c r="R1721">
        <v>-0.99223439999999996</v>
      </c>
      <c r="S1721">
        <v>-0.26509090000000002</v>
      </c>
      <c r="T1721">
        <v>-0.16873350000000001</v>
      </c>
      <c r="U1721">
        <v>-3.0203859999999998</v>
      </c>
      <c r="V1721">
        <v>8.3035689999999995E-2</v>
      </c>
      <c r="W1721">
        <v>0.109319</v>
      </c>
      <c r="X1721">
        <v>0.99053239999999998</v>
      </c>
      <c r="Y1721">
        <v>9.6249500000000002E-2</v>
      </c>
      <c r="Z1721">
        <v>5.5538619999999997E-2</v>
      </c>
      <c r="AA1721">
        <v>0.99380650000000004</v>
      </c>
      <c r="AB1721">
        <v>24</v>
      </c>
      <c r="AC1721">
        <v>-1.7458</v>
      </c>
      <c r="AD1721">
        <v>-1.109992993808</v>
      </c>
      <c r="AE1721">
        <v>-19.6358</v>
      </c>
      <c r="AF1721">
        <v>1.9162053339566401</v>
      </c>
      <c r="AG1721">
        <v>-1.109992993808</v>
      </c>
      <c r="AH1721">
        <v>19.557303419060801</v>
      </c>
      <c r="AI1721">
        <v>93.232942640789602</v>
      </c>
      <c r="AJ1721">
        <v>84.404077065420793</v>
      </c>
      <c r="AK1721">
        <v>19.682277417854799</v>
      </c>
      <c r="AL1721">
        <v>83.723939612704797</v>
      </c>
      <c r="AM1721">
        <v>85.208135647985699</v>
      </c>
      <c r="AN1721">
        <v>1.00000000251226</v>
      </c>
    </row>
    <row r="1722" spans="1:40" x14ac:dyDescent="0.25">
      <c r="A1722" t="str">
        <f>"20190312164022185"</f>
        <v>20190312164022185</v>
      </c>
      <c r="B1722" t="str">
        <f>"1552380022178119"</f>
        <v>1552380022178119</v>
      </c>
      <c r="C1722" t="s">
        <v>40</v>
      </c>
      <c r="D1722">
        <v>5.8767189999999996</v>
      </c>
      <c r="E1722">
        <v>0.50917319999999999</v>
      </c>
      <c r="F1722" t="s">
        <v>41</v>
      </c>
      <c r="G1722">
        <v>-192.90969999999999</v>
      </c>
      <c r="H1722" s="1">
        <v>-3.8769190000000004E-6</v>
      </c>
      <c r="I1722">
        <v>306.86259999999999</v>
      </c>
      <c r="J1722">
        <v>-191.13229999999999</v>
      </c>
      <c r="K1722">
        <v>1.1100699999999999</v>
      </c>
      <c r="L1722">
        <v>326.61450000000002</v>
      </c>
      <c r="M1722">
        <v>8.9699900000000006E-3</v>
      </c>
      <c r="N1722">
        <v>0</v>
      </c>
      <c r="O1722">
        <v>-0.99991010000000002</v>
      </c>
      <c r="P1722">
        <v>-7.4789850000000005E-2</v>
      </c>
      <c r="Q1722">
        <v>9.9846760000000007E-2</v>
      </c>
      <c r="R1722">
        <v>-0.99218819999999996</v>
      </c>
      <c r="S1722">
        <v>-0.2681732</v>
      </c>
      <c r="T1722">
        <v>-0.16767109999999999</v>
      </c>
      <c r="U1722">
        <v>-3.0203250000000001</v>
      </c>
      <c r="V1722">
        <v>8.369538E-2</v>
      </c>
      <c r="W1722">
        <v>0.1097167</v>
      </c>
      <c r="X1722">
        <v>0.99043289999999995</v>
      </c>
      <c r="Y1722">
        <v>9.7238519999999995E-2</v>
      </c>
      <c r="Z1722">
        <v>5.5185999999999999E-2</v>
      </c>
      <c r="AA1722">
        <v>0.99372990000000005</v>
      </c>
      <c r="AB1722">
        <v>24</v>
      </c>
      <c r="AC1722">
        <v>-1.7774000000000001</v>
      </c>
      <c r="AD1722">
        <v>-1.1100738769189999</v>
      </c>
      <c r="AE1722">
        <v>-19.751899999999999</v>
      </c>
      <c r="AF1722">
        <v>1.94840694847294</v>
      </c>
      <c r="AG1722">
        <v>-1.1100738769189999</v>
      </c>
      <c r="AH1722">
        <v>19.673520812879701</v>
      </c>
      <c r="AI1722">
        <v>93.213787479350003</v>
      </c>
      <c r="AJ1722">
        <v>84.344040246497002</v>
      </c>
      <c r="AK1722">
        <v>19.800908434309001</v>
      </c>
      <c r="AL1722">
        <v>83.701015171796499</v>
      </c>
      <c r="AM1722">
        <v>85.169762406638995</v>
      </c>
      <c r="AN1722">
        <v>1.0000000001473199</v>
      </c>
    </row>
    <row r="1723" spans="1:40" x14ac:dyDescent="0.25">
      <c r="A1723" t="str">
        <f>"20190312164022208"</f>
        <v>20190312164022208</v>
      </c>
      <c r="B1723" t="str">
        <f>"1552380022197640"</f>
        <v>1552380022197640</v>
      </c>
      <c r="C1723" t="s">
        <v>40</v>
      </c>
      <c r="D1723">
        <v>5.8660670000000001</v>
      </c>
      <c r="E1723">
        <v>0.5093588</v>
      </c>
      <c r="F1723" t="s">
        <v>41</v>
      </c>
      <c r="G1723">
        <v>-192.92670000000001</v>
      </c>
      <c r="H1723" s="1">
        <v>-3.798004E-6</v>
      </c>
      <c r="I1723">
        <v>306.62720000000002</v>
      </c>
      <c r="J1723">
        <v>-191.1301</v>
      </c>
      <c r="K1723">
        <v>1.110134</v>
      </c>
      <c r="L1723">
        <v>326.37150000000003</v>
      </c>
      <c r="M1723">
        <v>8.9484259999999902E-3</v>
      </c>
      <c r="N1723">
        <v>0</v>
      </c>
      <c r="O1723">
        <v>-0.99990610000000002</v>
      </c>
      <c r="P1723">
        <v>-7.5861799999999993E-2</v>
      </c>
      <c r="Q1723">
        <v>9.9816950000000002E-2</v>
      </c>
      <c r="R1723">
        <v>-0.99211000000000005</v>
      </c>
      <c r="S1723">
        <v>-0.27113340000000002</v>
      </c>
      <c r="T1723">
        <v>-0.16773150000000001</v>
      </c>
      <c r="U1723">
        <v>-3.0200809999999998</v>
      </c>
      <c r="V1723">
        <v>8.4745130000000002E-2</v>
      </c>
      <c r="W1723">
        <v>0.1101072</v>
      </c>
      <c r="X1723">
        <v>0.99030030000000002</v>
      </c>
      <c r="Y1723">
        <v>9.8190360000000004E-2</v>
      </c>
      <c r="Z1723">
        <v>5.5205289999999997E-2</v>
      </c>
      <c r="AA1723">
        <v>0.99363520000000005</v>
      </c>
      <c r="AB1723">
        <v>24</v>
      </c>
      <c r="AC1723">
        <v>-1.79660000000001</v>
      </c>
      <c r="AD1723">
        <v>-1.1101377980039999</v>
      </c>
      <c r="AE1723">
        <v>-19.744299999999999</v>
      </c>
      <c r="AF1723">
        <v>1.9670505465414301</v>
      </c>
      <c r="AG1723">
        <v>-1.1101377980039999</v>
      </c>
      <c r="AH1723">
        <v>19.665772250838899</v>
      </c>
      <c r="AI1723">
        <v>93.214923740777394</v>
      </c>
      <c r="AJ1723">
        <v>84.288041508045893</v>
      </c>
      <c r="AK1723">
        <v>19.795057261980102</v>
      </c>
      <c r="AL1723">
        <v>83.678504838869898</v>
      </c>
      <c r="AM1723">
        <v>85.108819475620706</v>
      </c>
      <c r="AN1723">
        <v>1.00000000836532</v>
      </c>
    </row>
    <row r="1724" spans="1:40" x14ac:dyDescent="0.25">
      <c r="A1724" t="str">
        <f>"20190312164022228"</f>
        <v>20190312164022228</v>
      </c>
      <c r="B1724" t="str">
        <f>"1552380022218139"</f>
        <v>1552380022218139</v>
      </c>
      <c r="C1724" t="s">
        <v>40</v>
      </c>
      <c r="D1724">
        <v>5.8216669999999997</v>
      </c>
      <c r="E1724">
        <v>0.50949420000000001</v>
      </c>
      <c r="F1724" t="s">
        <v>41</v>
      </c>
      <c r="G1724">
        <v>-192.9391</v>
      </c>
      <c r="H1724" s="1">
        <v>-3.768139E-6</v>
      </c>
      <c r="I1724">
        <v>306.5498</v>
      </c>
      <c r="J1724">
        <v>-191.12809999999999</v>
      </c>
      <c r="K1724">
        <v>1.1101799999999999</v>
      </c>
      <c r="L1724">
        <v>326.14530000000002</v>
      </c>
      <c r="M1724">
        <v>8.9283439999999995E-3</v>
      </c>
      <c r="N1724">
        <v>0</v>
      </c>
      <c r="O1724">
        <v>-0.99990250000000003</v>
      </c>
      <c r="P1724">
        <v>-7.7013419999999999E-2</v>
      </c>
      <c r="Q1724">
        <v>9.9835720000000003E-2</v>
      </c>
      <c r="R1724">
        <v>-0.99201930000000005</v>
      </c>
      <c r="S1724">
        <v>-0.27560420000000002</v>
      </c>
      <c r="T1724">
        <v>-0.16912969999999999</v>
      </c>
      <c r="U1724">
        <v>-3.0198360000000002</v>
      </c>
      <c r="V1724">
        <v>8.5875969999999996E-2</v>
      </c>
      <c r="W1724">
        <v>0.1104873</v>
      </c>
      <c r="X1724">
        <v>0.9901605</v>
      </c>
      <c r="Y1724">
        <v>9.9634239999999999E-2</v>
      </c>
      <c r="Z1724">
        <v>5.5660840000000003E-2</v>
      </c>
      <c r="AA1724">
        <v>0.99346610000000002</v>
      </c>
      <c r="AB1724">
        <v>24</v>
      </c>
      <c r="AC1724">
        <v>-1.8109999999999999</v>
      </c>
      <c r="AD1724">
        <v>-1.1101837681390001</v>
      </c>
      <c r="AE1724">
        <v>-19.595500000000001</v>
      </c>
      <c r="AF1724">
        <v>1.9795929862433199</v>
      </c>
      <c r="AG1724">
        <v>-1.1101837681390001</v>
      </c>
      <c r="AH1724">
        <v>19.516435506962502</v>
      </c>
      <c r="AI1724">
        <v>93.239151652727202</v>
      </c>
      <c r="AJ1724">
        <v>84.208177707888794</v>
      </c>
      <c r="AK1724">
        <v>19.6479655763046</v>
      </c>
      <c r="AL1724">
        <v>83.656592781583299</v>
      </c>
      <c r="AM1724">
        <v>85.0431782027118</v>
      </c>
      <c r="AN1724">
        <v>0.99999997072249003</v>
      </c>
    </row>
    <row r="1725" spans="1:40" x14ac:dyDescent="0.25">
      <c r="A1725" t="str">
        <f>"20190312164022250"</f>
        <v>20190312164022250</v>
      </c>
      <c r="B1725" t="str">
        <f>"1552380022237736"</f>
        <v>1552380022237736</v>
      </c>
      <c r="C1725" t="s">
        <v>40</v>
      </c>
      <c r="D1725">
        <v>5.9992219999999996</v>
      </c>
      <c r="E1725">
        <v>0.50966299999999998</v>
      </c>
      <c r="F1725" t="s">
        <v>41</v>
      </c>
      <c r="G1725">
        <v>-192.9521</v>
      </c>
      <c r="H1725" s="1">
        <v>-3.7414639999999999E-6</v>
      </c>
      <c r="I1725">
        <v>306.4796</v>
      </c>
      <c r="J1725">
        <v>-191.12620000000001</v>
      </c>
      <c r="K1725">
        <v>1.1102179999999999</v>
      </c>
      <c r="L1725">
        <v>325.92500000000001</v>
      </c>
      <c r="M1725">
        <v>8.908984E-3</v>
      </c>
      <c r="N1725">
        <v>0</v>
      </c>
      <c r="O1725">
        <v>-0.99989890000000003</v>
      </c>
      <c r="P1725">
        <v>-7.8157450000000003E-2</v>
      </c>
      <c r="Q1725">
        <v>0.10028090000000001</v>
      </c>
      <c r="R1725">
        <v>-0.99188489999999996</v>
      </c>
      <c r="S1725">
        <v>-0.28005980000000003</v>
      </c>
      <c r="T1725">
        <v>-0.17046249999999999</v>
      </c>
      <c r="U1725">
        <v>-3.0195620000000001</v>
      </c>
      <c r="V1725">
        <v>8.6999599999999996E-2</v>
      </c>
      <c r="W1725">
        <v>0.1112597</v>
      </c>
      <c r="X1725">
        <v>0.98997590000000002</v>
      </c>
      <c r="Y1725">
        <v>0.1010745</v>
      </c>
      <c r="Z1725">
        <v>5.6095300000000001E-2</v>
      </c>
      <c r="AA1725">
        <v>0.99329610000000002</v>
      </c>
      <c r="AB1725">
        <v>24</v>
      </c>
      <c r="AC1725">
        <v>-1.8258999999999801</v>
      </c>
      <c r="AD1725">
        <v>-1.1102217414640001</v>
      </c>
      <c r="AE1725">
        <v>-19.445399999999999</v>
      </c>
      <c r="AF1725">
        <v>1.9926381730381899</v>
      </c>
      <c r="AG1725">
        <v>-1.1102217414640001</v>
      </c>
      <c r="AH1725">
        <v>19.365784200409401</v>
      </c>
      <c r="AI1725">
        <v>93.263925266745403</v>
      </c>
      <c r="AJ1725">
        <v>84.125237653493599</v>
      </c>
      <c r="AK1725">
        <v>19.499661456053399</v>
      </c>
      <c r="AL1725">
        <v>83.612062947239096</v>
      </c>
      <c r="AM1725">
        <v>84.977719403855303</v>
      </c>
      <c r="AN1725">
        <v>0.99999996691252901</v>
      </c>
    </row>
    <row r="1726" spans="1:40" x14ac:dyDescent="0.25">
      <c r="A1726" t="str">
        <f>"20190312164022271"</f>
        <v>20190312164022271</v>
      </c>
      <c r="B1726" t="str">
        <f>"1552380022267993"</f>
        <v>1552380022267993</v>
      </c>
      <c r="C1726" t="s">
        <v>40</v>
      </c>
      <c r="D1726">
        <v>5.8338070000000002</v>
      </c>
      <c r="E1726">
        <v>0.50987380000000004</v>
      </c>
      <c r="F1726" t="s">
        <v>41</v>
      </c>
      <c r="G1726">
        <v>-193.00299999999999</v>
      </c>
      <c r="H1726" s="1">
        <v>-3.5629179999999999E-6</v>
      </c>
      <c r="I1726">
        <v>306.03179999999998</v>
      </c>
      <c r="J1726">
        <v>-191.1241</v>
      </c>
      <c r="K1726">
        <v>1.110252</v>
      </c>
      <c r="L1726">
        <v>325.69099999999997</v>
      </c>
      <c r="M1726">
        <v>8.8880269999999997E-3</v>
      </c>
      <c r="N1726">
        <v>0</v>
      </c>
      <c r="O1726">
        <v>-0.9998956</v>
      </c>
      <c r="P1726">
        <v>-7.9321080000000002E-2</v>
      </c>
      <c r="Q1726">
        <v>0.1008478</v>
      </c>
      <c r="R1726">
        <v>-0.99173500000000003</v>
      </c>
      <c r="S1726">
        <v>-0.28483579999999997</v>
      </c>
      <c r="T1726">
        <v>-0.16849330000000001</v>
      </c>
      <c r="U1726">
        <v>-3.019104</v>
      </c>
      <c r="V1726">
        <v>8.8141339999999999E-2</v>
      </c>
      <c r="W1726">
        <v>0.1121487</v>
      </c>
      <c r="X1726">
        <v>0.98977459999999995</v>
      </c>
      <c r="Y1726">
        <v>0.10262839999999999</v>
      </c>
      <c r="Z1726">
        <v>5.5449150000000003E-2</v>
      </c>
      <c r="AA1726">
        <v>0.99317310000000003</v>
      </c>
      <c r="AB1726">
        <v>24</v>
      </c>
      <c r="AC1726">
        <v>-1.87889999999998</v>
      </c>
      <c r="AD1726">
        <v>-1.110255562918</v>
      </c>
      <c r="AE1726">
        <v>-19.659199999999998</v>
      </c>
      <c r="AF1726">
        <v>2.0470986197941499</v>
      </c>
      <c r="AG1726">
        <v>-1.110255562918</v>
      </c>
      <c r="AH1726">
        <v>19.579839146228299</v>
      </c>
      <c r="AI1726">
        <v>93.227869098054896</v>
      </c>
      <c r="AJ1726">
        <v>84.031333657641198</v>
      </c>
      <c r="AK1726">
        <v>19.717844232226</v>
      </c>
      <c r="AL1726">
        <v>83.560806372724599</v>
      </c>
      <c r="AM1726">
        <v>84.9111238448981</v>
      </c>
      <c r="AN1726">
        <v>0.99999999276692197</v>
      </c>
    </row>
    <row r="1727" spans="1:40" x14ac:dyDescent="0.25">
      <c r="A1727" t="str">
        <f>"20190312164022295"</f>
        <v>20190312164022295</v>
      </c>
      <c r="B1727" t="str">
        <f>"1552380022287513"</f>
        <v>1552380022287513</v>
      </c>
      <c r="C1727" t="s">
        <v>40</v>
      </c>
      <c r="D1727">
        <v>5.7987169999999999</v>
      </c>
      <c r="E1727">
        <v>0.50999620000000001</v>
      </c>
      <c r="F1727" t="s">
        <v>41</v>
      </c>
      <c r="G1727">
        <v>-193.04820000000001</v>
      </c>
      <c r="H1727" s="1">
        <v>-3.4144610000000001E-6</v>
      </c>
      <c r="I1727">
        <v>305.65780000000001</v>
      </c>
      <c r="J1727">
        <v>-191.12190000000001</v>
      </c>
      <c r="K1727">
        <v>1.110274</v>
      </c>
      <c r="L1727">
        <v>325.44159999999999</v>
      </c>
      <c r="M1727">
        <v>8.8631850000000009E-3</v>
      </c>
      <c r="N1727">
        <v>0</v>
      </c>
      <c r="O1727">
        <v>-0.99989220000000001</v>
      </c>
      <c r="P1727">
        <v>-8.0773699999999907E-2</v>
      </c>
      <c r="Q1727">
        <v>0.1022545</v>
      </c>
      <c r="R1727">
        <v>-0.99147390000000002</v>
      </c>
      <c r="S1727">
        <v>-0.28993229999999998</v>
      </c>
      <c r="T1727">
        <v>-0.1673036</v>
      </c>
      <c r="U1727">
        <v>-3.018799</v>
      </c>
      <c r="V1727">
        <v>8.9567499999999994E-2</v>
      </c>
      <c r="W1727">
        <v>0.1138619</v>
      </c>
      <c r="X1727">
        <v>0.98945090000000002</v>
      </c>
      <c r="Y1727">
        <v>0.1042767</v>
      </c>
      <c r="Z1727">
        <v>5.5055270000000003E-2</v>
      </c>
      <c r="AA1727">
        <v>0.99302330000000005</v>
      </c>
      <c r="AB1727">
        <v>24</v>
      </c>
      <c r="AC1727">
        <v>-1.9262999999999899</v>
      </c>
      <c r="AD1727">
        <v>-1.1102774144609999</v>
      </c>
      <c r="AE1727">
        <v>-19.7837999999999</v>
      </c>
      <c r="AF1727">
        <v>2.0950474079543402</v>
      </c>
      <c r="AG1727">
        <v>-1.1102774144609999</v>
      </c>
      <c r="AH1727">
        <v>19.7044717967274</v>
      </c>
      <c r="AI1727">
        <v>93.206966845144194</v>
      </c>
      <c r="AJ1727">
        <v>83.930916229905094</v>
      </c>
      <c r="AK1727">
        <v>19.8466155393474</v>
      </c>
      <c r="AL1727">
        <v>83.462014299279005</v>
      </c>
      <c r="AM1727">
        <v>84.827544295401395</v>
      </c>
      <c r="AN1727">
        <v>0.99999997641933402</v>
      </c>
    </row>
    <row r="1728" spans="1:40" x14ac:dyDescent="0.25">
      <c r="A1728" t="str">
        <f>"20190312164022317"</f>
        <v>20190312164022317</v>
      </c>
      <c r="B1728" t="str">
        <f>"1552380022308012"</f>
        <v>1552380022308012</v>
      </c>
      <c r="C1728" t="s">
        <v>40</v>
      </c>
      <c r="D1728">
        <v>5.979171</v>
      </c>
      <c r="E1728">
        <v>0.51006079999999998</v>
      </c>
      <c r="F1728" t="s">
        <v>41</v>
      </c>
      <c r="G1728">
        <v>-193.11760000000001</v>
      </c>
      <c r="H1728" s="1">
        <v>-3.1666560000000002E-6</v>
      </c>
      <c r="I1728">
        <v>305.03699999999998</v>
      </c>
      <c r="J1728">
        <v>-191.1199</v>
      </c>
      <c r="K1728">
        <v>1.1102890000000001</v>
      </c>
      <c r="L1728">
        <v>325.20139999999998</v>
      </c>
      <c r="M1728">
        <v>8.8352199999999995E-3</v>
      </c>
      <c r="N1728">
        <v>0</v>
      </c>
      <c r="O1728">
        <v>-0.99988909999999998</v>
      </c>
      <c r="P1728">
        <v>-8.1830879999999995E-2</v>
      </c>
      <c r="Q1728">
        <v>0.1031101</v>
      </c>
      <c r="R1728">
        <v>-0.99129829999999997</v>
      </c>
      <c r="S1728">
        <v>-0.29524230000000001</v>
      </c>
      <c r="T1728">
        <v>-0.1642556</v>
      </c>
      <c r="U1728">
        <v>-3.0186769999999998</v>
      </c>
      <c r="V1728">
        <v>9.0596239999999995E-2</v>
      </c>
      <c r="W1728">
        <v>0.11497979999999999</v>
      </c>
      <c r="X1728">
        <v>0.989228</v>
      </c>
      <c r="Y1728">
        <v>0.1059885</v>
      </c>
      <c r="Z1728">
        <v>5.4047959999999999E-2</v>
      </c>
      <c r="AA1728">
        <v>0.99289740000000004</v>
      </c>
      <c r="AB1728">
        <v>24</v>
      </c>
      <c r="AC1728">
        <v>-1.9977</v>
      </c>
      <c r="AD1728">
        <v>-1.1102921666559999</v>
      </c>
      <c r="AE1728">
        <v>-20.164399999999901</v>
      </c>
      <c r="AF1728">
        <v>2.1692787840993701</v>
      </c>
      <c r="AG1728">
        <v>-1.1102921666559999</v>
      </c>
      <c r="AH1728">
        <v>20.085657170816901</v>
      </c>
      <c r="AI1728">
        <v>93.145712095764296</v>
      </c>
      <c r="AJ1728">
        <v>83.835869142781306</v>
      </c>
      <c r="AK1728">
        <v>20.232946970771899</v>
      </c>
      <c r="AL1728">
        <v>83.397540283648098</v>
      </c>
      <c r="AM1728">
        <v>84.767290862562007</v>
      </c>
      <c r="AN1728">
        <v>1.0000000345470801</v>
      </c>
    </row>
    <row r="1729" spans="1:40" x14ac:dyDescent="0.25">
      <c r="A1729" t="str">
        <f>"20190312164022339"</f>
        <v>20190312164022339</v>
      </c>
      <c r="B1729" t="str">
        <f>"1552380022328038"</f>
        <v>1552380022328038</v>
      </c>
      <c r="C1729" t="s">
        <v>40</v>
      </c>
      <c r="D1729">
        <v>5.8231529999999996</v>
      </c>
      <c r="E1729">
        <v>0.51018430000000003</v>
      </c>
      <c r="F1729" t="s">
        <v>41</v>
      </c>
      <c r="G1729">
        <v>-193.1748</v>
      </c>
      <c r="H1729" s="1">
        <v>-2.930188E-6</v>
      </c>
      <c r="I1729">
        <v>304.4504</v>
      </c>
      <c r="J1729">
        <v>-191.11789999999999</v>
      </c>
      <c r="K1729">
        <v>1.110303</v>
      </c>
      <c r="L1729">
        <v>324.97949999999997</v>
      </c>
      <c r="M1729">
        <v>8.8035240000000001E-3</v>
      </c>
      <c r="N1729">
        <v>0</v>
      </c>
      <c r="O1729">
        <v>-0.99988679999999996</v>
      </c>
      <c r="P1729">
        <v>-8.3174360000000003E-2</v>
      </c>
      <c r="Q1729">
        <v>0.1045316</v>
      </c>
      <c r="R1729">
        <v>-0.99103750000000002</v>
      </c>
      <c r="S1729">
        <v>-0.29890440000000001</v>
      </c>
      <c r="T1729">
        <v>-0.16149910000000001</v>
      </c>
      <c r="U1729">
        <v>-3.0183719999999998</v>
      </c>
      <c r="V1729">
        <v>9.1907340000000004E-2</v>
      </c>
      <c r="W1729">
        <v>0.11661050000000001</v>
      </c>
      <c r="X1729">
        <v>0.98891609999999996</v>
      </c>
      <c r="Y1729">
        <v>0.1071646</v>
      </c>
      <c r="Z1729">
        <v>5.3142410000000001E-2</v>
      </c>
      <c r="AA1729">
        <v>0.99282000000000004</v>
      </c>
      <c r="AB1729">
        <v>24</v>
      </c>
      <c r="AC1729">
        <v>-2.0569000000000099</v>
      </c>
      <c r="AD1729">
        <v>-1.1103059301880001</v>
      </c>
      <c r="AE1729">
        <v>-20.5290999999999</v>
      </c>
      <c r="AF1729">
        <v>2.23110076028911</v>
      </c>
      <c r="AG1729">
        <v>-1.1103059301880001</v>
      </c>
      <c r="AH1729">
        <v>20.450967818063798</v>
      </c>
      <c r="AI1729">
        <v>93.089307267639001</v>
      </c>
      <c r="AJ1729">
        <v>83.773932583228301</v>
      </c>
      <c r="AK1729">
        <v>20.602249259647699</v>
      </c>
      <c r="AL1729">
        <v>83.303475121224906</v>
      </c>
      <c r="AM1729">
        <v>84.690328536492302</v>
      </c>
      <c r="AN1729">
        <v>1.0000000103476601</v>
      </c>
    </row>
    <row r="1730" spans="1:40" x14ac:dyDescent="0.25">
      <c r="A1730" t="str">
        <f>"20190312164022363"</f>
        <v>20190312164022363</v>
      </c>
      <c r="B1730" t="str">
        <f>"1552380022358291"</f>
        <v>1552380022358291</v>
      </c>
      <c r="C1730" t="s">
        <v>40</v>
      </c>
      <c r="D1730">
        <v>5.8608370000000001</v>
      </c>
      <c r="E1730">
        <v>0.51036459999999995</v>
      </c>
      <c r="F1730" t="s">
        <v>41</v>
      </c>
      <c r="G1730">
        <v>-193.26140000000001</v>
      </c>
      <c r="H1730" s="1">
        <v>-2.621322E-6</v>
      </c>
      <c r="I1730">
        <v>303.67660000000001</v>
      </c>
      <c r="J1730">
        <v>-191.11580000000001</v>
      </c>
      <c r="K1730">
        <v>1.110312</v>
      </c>
      <c r="L1730">
        <v>324.72460000000001</v>
      </c>
      <c r="M1730">
        <v>8.7565890000000004E-3</v>
      </c>
      <c r="N1730">
        <v>0</v>
      </c>
      <c r="O1730">
        <v>-0.99988460000000001</v>
      </c>
      <c r="P1730">
        <v>-8.4878460000000003E-2</v>
      </c>
      <c r="Q1730">
        <v>0.105614</v>
      </c>
      <c r="R1730">
        <v>-0.99077859999999995</v>
      </c>
      <c r="S1730">
        <v>-0.30369570000000001</v>
      </c>
      <c r="T1730">
        <v>-0.15730949999999999</v>
      </c>
      <c r="U1730">
        <v>-3.0182190000000002</v>
      </c>
      <c r="V1730">
        <v>9.3564690000000006E-2</v>
      </c>
      <c r="W1730">
        <v>0.1179028</v>
      </c>
      <c r="X1730">
        <v>0.98860740000000003</v>
      </c>
      <c r="Y1730">
        <v>0.1086905</v>
      </c>
      <c r="Z1730">
        <v>5.176182E-2</v>
      </c>
      <c r="AA1730">
        <v>0.99272709999999997</v>
      </c>
      <c r="AB1730">
        <v>24</v>
      </c>
      <c r="AC1730">
        <v>-2.1456</v>
      </c>
      <c r="AD1730">
        <v>-1.1103146213220001</v>
      </c>
      <c r="AE1730">
        <v>-21.047999999999998</v>
      </c>
      <c r="AF1730">
        <v>2.32344160796699</v>
      </c>
      <c r="AG1730">
        <v>-1.1103146213220001</v>
      </c>
      <c r="AH1730">
        <v>20.970647911768701</v>
      </c>
      <c r="AI1730">
        <v>93.012361297599895</v>
      </c>
      <c r="AJ1730">
        <v>83.677703413551697</v>
      </c>
      <c r="AK1730">
        <v>21.128162563349498</v>
      </c>
      <c r="AL1730">
        <v>83.228917428611496</v>
      </c>
      <c r="AM1730">
        <v>84.593464428096794</v>
      </c>
      <c r="AN1730">
        <v>1.00000000639869</v>
      </c>
    </row>
    <row r="1731" spans="1:40" x14ac:dyDescent="0.25">
      <c r="A1731" t="str">
        <f>"20190312164022386"</f>
        <v>20190312164022386</v>
      </c>
      <c r="B1731" t="str">
        <f>"1552380022377811"</f>
        <v>1552380022377811</v>
      </c>
      <c r="C1731" t="s">
        <v>40</v>
      </c>
      <c r="D1731">
        <v>5.8258939999999999</v>
      </c>
      <c r="E1731">
        <v>0.51048279999999902</v>
      </c>
      <c r="F1731" t="s">
        <v>41</v>
      </c>
      <c r="G1731">
        <v>-193.34540000000001</v>
      </c>
      <c r="H1731" s="1">
        <v>-2.3647340000000001E-6</v>
      </c>
      <c r="I1731">
        <v>303.0265</v>
      </c>
      <c r="J1731">
        <v>-191.11369999999999</v>
      </c>
      <c r="K1731">
        <v>1.11032</v>
      </c>
      <c r="L1731">
        <v>324.48329999999999</v>
      </c>
      <c r="M1731">
        <v>8.7028130000000002E-3</v>
      </c>
      <c r="N1731">
        <v>0</v>
      </c>
      <c r="O1731">
        <v>-0.99988290000000002</v>
      </c>
      <c r="P1731">
        <v>-8.6580920000000006E-2</v>
      </c>
      <c r="Q1731">
        <v>0.1068234</v>
      </c>
      <c r="R1731">
        <v>-0.99050159999999998</v>
      </c>
      <c r="S1731">
        <v>-0.3101044</v>
      </c>
      <c r="T1731">
        <v>-0.15442649999999999</v>
      </c>
      <c r="U1731">
        <v>-3.0178530000000001</v>
      </c>
      <c r="V1731">
        <v>9.5213519999999996E-2</v>
      </c>
      <c r="W1731">
        <v>0.1192849</v>
      </c>
      <c r="X1731">
        <v>0.9882841</v>
      </c>
      <c r="Y1731">
        <v>0.1107404</v>
      </c>
      <c r="Z1731">
        <v>5.0810609999999999E-2</v>
      </c>
      <c r="AA1731">
        <v>0.99254969999999998</v>
      </c>
      <c r="AB1731">
        <v>24</v>
      </c>
      <c r="AC1731">
        <v>-2.2317000000000098</v>
      </c>
      <c r="AD1731">
        <v>-1.1103223647339999</v>
      </c>
      <c r="AE1731">
        <v>-21.456799999999902</v>
      </c>
      <c r="AF1731">
        <v>2.4119752656002502</v>
      </c>
      <c r="AG1731">
        <v>-1.1103223647339999</v>
      </c>
      <c r="AH1731">
        <v>21.379926518545201</v>
      </c>
      <c r="AI1731">
        <v>92.954161186670802</v>
      </c>
      <c r="AJ1731">
        <v>83.563394319605905</v>
      </c>
      <c r="AK1731">
        <v>21.544180150887399</v>
      </c>
      <c r="AL1731">
        <v>83.149165940672702</v>
      </c>
      <c r="AM1731">
        <v>84.496979424723605</v>
      </c>
      <c r="AN1731">
        <v>0.99999998203580498</v>
      </c>
    </row>
    <row r="1732" spans="1:40" x14ac:dyDescent="0.25">
      <c r="A1732" t="str">
        <f>"20190312164022407"</f>
        <v>20190312164022407</v>
      </c>
      <c r="B1732" t="str">
        <f>"1552380022397334"</f>
        <v>1552380022397334</v>
      </c>
      <c r="C1732" t="s">
        <v>40</v>
      </c>
      <c r="D1732">
        <v>5.7705109999999999</v>
      </c>
      <c r="E1732">
        <v>0.51061619999999996</v>
      </c>
      <c r="F1732" t="s">
        <v>41</v>
      </c>
      <c r="G1732">
        <v>-193.43620000000001</v>
      </c>
      <c r="H1732" s="1">
        <v>-2.0810160000000001E-6</v>
      </c>
      <c r="I1732">
        <v>302.30880000000002</v>
      </c>
      <c r="J1732">
        <v>-191.11179999999999</v>
      </c>
      <c r="K1732">
        <v>1.1103240000000001</v>
      </c>
      <c r="L1732">
        <v>324.26159999999999</v>
      </c>
      <c r="M1732">
        <v>8.6433480000000004E-3</v>
      </c>
      <c r="N1732">
        <v>0</v>
      </c>
      <c r="O1732">
        <v>-0.99988149999999998</v>
      </c>
      <c r="P1732">
        <v>-8.8583700000000001E-2</v>
      </c>
      <c r="Q1732">
        <v>0.1085613</v>
      </c>
      <c r="R1732">
        <v>-0.9901356</v>
      </c>
      <c r="S1732">
        <v>-0.31603999999999999</v>
      </c>
      <c r="T1732">
        <v>-0.15109339999999999</v>
      </c>
      <c r="U1732">
        <v>-3.0175169999999998</v>
      </c>
      <c r="V1732">
        <v>9.7156380000000001E-2</v>
      </c>
      <c r="W1732">
        <v>0.121159</v>
      </c>
      <c r="X1732">
        <v>0.98786689999999999</v>
      </c>
      <c r="Y1732">
        <v>0.1126297</v>
      </c>
      <c r="Z1732">
        <v>4.9711890000000002E-2</v>
      </c>
      <c r="AA1732">
        <v>0.99239270000000002</v>
      </c>
      <c r="AB1732">
        <v>24</v>
      </c>
      <c r="AC1732">
        <v>-2.3244000000000198</v>
      </c>
      <c r="AD1732">
        <v>-1.1103260810160001</v>
      </c>
      <c r="AE1732">
        <v>-21.9527999999999</v>
      </c>
      <c r="AF1732">
        <v>2.5077302888033302</v>
      </c>
      <c r="AG1732">
        <v>-1.1103260810160001</v>
      </c>
      <c r="AH1732">
        <v>21.8765451746163</v>
      </c>
      <c r="AI1732">
        <v>92.886635691271394</v>
      </c>
      <c r="AJ1732">
        <v>83.460670559216396</v>
      </c>
      <c r="AK1732">
        <v>22.047783652435299</v>
      </c>
      <c r="AL1732">
        <v>83.041003100511503</v>
      </c>
      <c r="AM1732">
        <v>84.383043023499496</v>
      </c>
      <c r="AN1732">
        <v>0.99999993878565496</v>
      </c>
    </row>
    <row r="1733" spans="1:40" x14ac:dyDescent="0.25">
      <c r="A1733" t="str">
        <f>"20190312164022429"</f>
        <v>20190312164022429</v>
      </c>
      <c r="B1733" t="str">
        <f>"1552380022417841"</f>
        <v>1552380022417841</v>
      </c>
      <c r="C1733" t="s">
        <v>40</v>
      </c>
      <c r="D1733">
        <v>5.9145820000000002</v>
      </c>
      <c r="E1733">
        <v>0.51072019999999996</v>
      </c>
      <c r="F1733" t="s">
        <v>41</v>
      </c>
      <c r="G1733">
        <v>-193.54910000000001</v>
      </c>
      <c r="H1733" s="1">
        <v>-1.7592799999999999E-6</v>
      </c>
      <c r="I1733">
        <v>301.48880000000003</v>
      </c>
      <c r="J1733">
        <v>-191.10990000000001</v>
      </c>
      <c r="K1733">
        <v>1.110336</v>
      </c>
      <c r="L1733">
        <v>324.02499999999998</v>
      </c>
      <c r="M1733">
        <v>8.5664069999999998E-3</v>
      </c>
      <c r="N1733">
        <v>0</v>
      </c>
      <c r="O1733">
        <v>-0.99988030000000006</v>
      </c>
      <c r="P1733">
        <v>-9.1705529999999993E-2</v>
      </c>
      <c r="Q1733">
        <v>0.1112817</v>
      </c>
      <c r="R1733">
        <v>-0.98954889999999995</v>
      </c>
      <c r="S1733">
        <v>-0.32290649999999999</v>
      </c>
      <c r="T1733">
        <v>-0.1471045</v>
      </c>
      <c r="U1733">
        <v>-3.0171199999999998</v>
      </c>
      <c r="V1733">
        <v>0.10019980000000001</v>
      </c>
      <c r="W1733">
        <v>0.1240018</v>
      </c>
      <c r="X1733">
        <v>0.98721000000000003</v>
      </c>
      <c r="Y1733">
        <v>0.1148068</v>
      </c>
      <c r="Z1733">
        <v>4.8397179999999998E-2</v>
      </c>
      <c r="AA1733">
        <v>0.99220819999999998</v>
      </c>
      <c r="AB1733">
        <v>24</v>
      </c>
      <c r="AC1733">
        <v>-2.4392</v>
      </c>
      <c r="AD1733">
        <v>-1.1103377592799999</v>
      </c>
      <c r="AE1733">
        <v>-22.536199999999901</v>
      </c>
      <c r="AF1733">
        <v>2.6258804075248601</v>
      </c>
      <c r="AG1733">
        <v>-1.1103377592799999</v>
      </c>
      <c r="AH1733">
        <v>22.460585589852499</v>
      </c>
      <c r="AI1733">
        <v>92.810995405092498</v>
      </c>
      <c r="AJ1733">
        <v>83.331786997538998</v>
      </c>
      <c r="AK1733">
        <v>22.640803936552199</v>
      </c>
      <c r="AL1733">
        <v>82.876885454178407</v>
      </c>
      <c r="AM1733">
        <v>84.204442573082105</v>
      </c>
      <c r="AN1733">
        <v>1.00000001521163</v>
      </c>
    </row>
    <row r="1734" spans="1:40" x14ac:dyDescent="0.25">
      <c r="A1734" t="str">
        <f>"20190312164022451"</f>
        <v>20190312164022451</v>
      </c>
      <c r="B1734" t="str">
        <f>"1552380022448084"</f>
        <v>1552380022448084</v>
      </c>
      <c r="C1734" t="s">
        <v>40</v>
      </c>
      <c r="D1734">
        <v>5.8844139999999996</v>
      </c>
      <c r="E1734">
        <v>0.54975369999999901</v>
      </c>
      <c r="F1734" t="s">
        <v>41</v>
      </c>
      <c r="G1734">
        <v>-193.74770000000001</v>
      </c>
      <c r="H1734" s="1">
        <v>-1.229237E-6</v>
      </c>
      <c r="I1734">
        <v>300.13010000000003</v>
      </c>
      <c r="J1734">
        <v>-191.10810000000001</v>
      </c>
      <c r="K1734">
        <v>1.1103400000000001</v>
      </c>
      <c r="L1734">
        <v>323.8005</v>
      </c>
      <c r="M1734">
        <v>8.4785380000000007E-3</v>
      </c>
      <c r="N1734">
        <v>0</v>
      </c>
      <c r="O1734">
        <v>-0.99987979999999999</v>
      </c>
      <c r="P1734">
        <v>-9.4947519999999994E-2</v>
      </c>
      <c r="Q1734">
        <v>0.11432150000000001</v>
      </c>
      <c r="R1734">
        <v>-0.98889669999999996</v>
      </c>
      <c r="S1734">
        <v>-0.33300780000000002</v>
      </c>
      <c r="T1734">
        <v>-0.1401753</v>
      </c>
      <c r="U1734">
        <v>-3.016632</v>
      </c>
      <c r="V1734">
        <v>0.1033526</v>
      </c>
      <c r="W1734">
        <v>0.12713959999999999</v>
      </c>
      <c r="X1734">
        <v>0.98648550000000002</v>
      </c>
      <c r="Y1734">
        <v>0.118031399999999</v>
      </c>
      <c r="Z1734">
        <v>4.6112920000000002E-2</v>
      </c>
      <c r="AA1734">
        <v>0.9919386</v>
      </c>
      <c r="AB1734">
        <v>24</v>
      </c>
      <c r="AC1734">
        <v>-2.6396000000000002</v>
      </c>
      <c r="AD1734">
        <v>-1.1103412292369901</v>
      </c>
      <c r="AE1734">
        <v>-23.670399999999901</v>
      </c>
      <c r="AF1734">
        <v>2.83405294849875</v>
      </c>
      <c r="AG1734">
        <v>-1.1103412292369901</v>
      </c>
      <c r="AH1734">
        <v>23.595884557773701</v>
      </c>
      <c r="AI1734">
        <v>92.674958012771498</v>
      </c>
      <c r="AJ1734">
        <v>83.151130282315293</v>
      </c>
      <c r="AK1734">
        <v>23.791395121430298</v>
      </c>
      <c r="AL1734">
        <v>82.695667734310504</v>
      </c>
      <c r="AM1734">
        <v>84.019027049242396</v>
      </c>
      <c r="AN1734">
        <v>0.99999993976258295</v>
      </c>
    </row>
    <row r="1735" spans="1:40" x14ac:dyDescent="0.25">
      <c r="A1735" t="str">
        <f>"20190312164022474"</f>
        <v>20190312164022474</v>
      </c>
      <c r="B1735" t="str">
        <f>"1552380022467603"</f>
        <v>1552380022467603</v>
      </c>
      <c r="C1735" t="s">
        <v>40</v>
      </c>
      <c r="D1735">
        <v>5.9302149999999996</v>
      </c>
      <c r="E1735">
        <v>0.54989619999999995</v>
      </c>
      <c r="F1735" t="s">
        <v>46</v>
      </c>
      <c r="G1735">
        <v>-197.18379999999999</v>
      </c>
      <c r="H1735" s="1">
        <v>6.2707380000000004E-7</v>
      </c>
      <c r="I1735">
        <v>296.0557</v>
      </c>
      <c r="J1735">
        <v>-191.1062</v>
      </c>
      <c r="K1735">
        <v>1.1103479999999999</v>
      </c>
      <c r="L1735">
        <v>323.55680000000001</v>
      </c>
      <c r="M1735">
        <v>8.3655169999999994E-3</v>
      </c>
      <c r="N1735">
        <v>0</v>
      </c>
      <c r="O1735">
        <v>-0.99987939999999997</v>
      </c>
      <c r="P1735">
        <v>-9.9290680000000006E-2</v>
      </c>
      <c r="Q1735">
        <v>0.1168983</v>
      </c>
      <c r="R1735">
        <v>-0.98816839999999995</v>
      </c>
      <c r="S1735">
        <v>-0.65361020000000003</v>
      </c>
      <c r="T1735">
        <v>-0.1194487</v>
      </c>
      <c r="U1735">
        <v>-2.9847410000000001</v>
      </c>
      <c r="V1735">
        <v>0.1075822</v>
      </c>
      <c r="W1735">
        <v>0.1298057</v>
      </c>
      <c r="X1735">
        <v>0.98568579999999995</v>
      </c>
      <c r="Y1735">
        <v>0.221917</v>
      </c>
      <c r="Z1735">
        <v>3.902547E-2</v>
      </c>
      <c r="AA1735">
        <v>0.97428429999999999</v>
      </c>
      <c r="AB1735">
        <v>24</v>
      </c>
      <c r="AC1735">
        <v>-6.0775999999999897</v>
      </c>
      <c r="AD1735">
        <v>-1.1103473729261999</v>
      </c>
      <c r="AE1735">
        <v>-27.501100000000001</v>
      </c>
      <c r="AF1735">
        <v>6.2976800153127899</v>
      </c>
      <c r="AG1735">
        <v>-1.1103473729261999</v>
      </c>
      <c r="AH1735">
        <v>27.4066952283661</v>
      </c>
      <c r="AI1735">
        <v>92.261132447427499</v>
      </c>
      <c r="AJ1735">
        <v>77.058871075615599</v>
      </c>
      <c r="AK1735">
        <v>28.142860341556901</v>
      </c>
      <c r="AL1735">
        <v>82.541635185823594</v>
      </c>
      <c r="AM1735">
        <v>83.771135601617999</v>
      </c>
      <c r="AN1735">
        <v>0.99999997291548404</v>
      </c>
    </row>
    <row r="1736" spans="1:40" x14ac:dyDescent="0.25">
      <c r="A1736" t="str">
        <f>"20190312164022495"</f>
        <v>20190312164022495</v>
      </c>
      <c r="B1736" t="str">
        <f>"1552380022488100"</f>
        <v>1552380022488100</v>
      </c>
      <c r="C1736" t="s">
        <v>40</v>
      </c>
      <c r="D1736">
        <v>5.7139189999999997</v>
      </c>
      <c r="E1736">
        <v>0.55007019999999995</v>
      </c>
      <c r="F1736" t="s">
        <v>46</v>
      </c>
      <c r="G1736">
        <v>-197.78729999999999</v>
      </c>
      <c r="H1736" s="1">
        <v>1.2332300000000001E-6</v>
      </c>
      <c r="I1736">
        <v>293.70699999999999</v>
      </c>
      <c r="J1736">
        <v>-191.1044</v>
      </c>
      <c r="K1736">
        <v>1.110355</v>
      </c>
      <c r="L1736">
        <v>323.3261</v>
      </c>
      <c r="M1736">
        <v>8.2402020000000003E-3</v>
      </c>
      <c r="N1736">
        <v>0</v>
      </c>
      <c r="O1736">
        <v>-0.99987919999999997</v>
      </c>
      <c r="P1736">
        <v>-0.1031546</v>
      </c>
      <c r="Q1736">
        <v>0.1194286</v>
      </c>
      <c r="R1736">
        <v>-0.98746979999999995</v>
      </c>
      <c r="S1736">
        <v>-0.66743469999999905</v>
      </c>
      <c r="T1736">
        <v>-0.1109226</v>
      </c>
      <c r="U1736">
        <v>-2.9819640000000001</v>
      </c>
      <c r="V1736">
        <v>0.11132110000000001</v>
      </c>
      <c r="W1736">
        <v>0.1324062</v>
      </c>
      <c r="X1736">
        <v>0.98492449999999998</v>
      </c>
      <c r="Y1736">
        <v>0.2263106</v>
      </c>
      <c r="Z1736">
        <v>3.624028E-2</v>
      </c>
      <c r="AA1736">
        <v>0.97338080000000005</v>
      </c>
      <c r="AB1736">
        <v>23</v>
      </c>
      <c r="AC1736">
        <v>-6.6828999999999796</v>
      </c>
      <c r="AD1736">
        <v>-1.1103537667700001</v>
      </c>
      <c r="AE1736">
        <v>-29.6191</v>
      </c>
      <c r="AF1736">
        <v>6.9175111561055802</v>
      </c>
      <c r="AG1736">
        <v>-1.1103537667700001</v>
      </c>
      <c r="AH1736">
        <v>29.5235404871116</v>
      </c>
      <c r="AI1736">
        <v>92.097085672126894</v>
      </c>
      <c r="AJ1736">
        <v>76.813194884148999</v>
      </c>
      <c r="AK1736">
        <v>30.343438977418799</v>
      </c>
      <c r="AL1736">
        <v>82.391340606175206</v>
      </c>
      <c r="AM1736">
        <v>83.551510184329501</v>
      </c>
      <c r="AN1736">
        <v>1.00000002990194</v>
      </c>
    </row>
    <row r="1737" spans="1:40" x14ac:dyDescent="0.25">
      <c r="A1737" t="str">
        <f>"20190312164022519"</f>
        <v>20190312164022519</v>
      </c>
      <c r="B1737" t="str">
        <f>"1552380022507619"</f>
        <v>1552380022507619</v>
      </c>
      <c r="C1737" t="s">
        <v>40</v>
      </c>
      <c r="D1737">
        <v>5.7634990000000004</v>
      </c>
      <c r="E1737">
        <v>0.55049199999999998</v>
      </c>
      <c r="F1737" t="s">
        <v>46</v>
      </c>
      <c r="G1737">
        <v>-199.99930000000001</v>
      </c>
      <c r="H1737" s="1">
        <v>2.231133E-6</v>
      </c>
      <c r="I1737">
        <v>284.45069999999998</v>
      </c>
      <c r="J1737">
        <v>-191.1026</v>
      </c>
      <c r="K1737">
        <v>1.1103529999999999</v>
      </c>
      <c r="L1737">
        <v>323.09120000000001</v>
      </c>
      <c r="M1737">
        <v>8.0909539999999992E-3</v>
      </c>
      <c r="N1737">
        <v>0</v>
      </c>
      <c r="O1737">
        <v>-0.99987919999999997</v>
      </c>
      <c r="P1737">
        <v>-0.107284199999999</v>
      </c>
      <c r="Q1737">
        <v>0.1220846</v>
      </c>
      <c r="R1737">
        <v>-0.98670420000000003</v>
      </c>
      <c r="S1737">
        <v>-0.68118290000000004</v>
      </c>
      <c r="T1737">
        <v>-8.5032700000000003E-2</v>
      </c>
      <c r="U1737">
        <v>-2.9771420000000002</v>
      </c>
      <c r="V1737">
        <v>0.11530269999999999</v>
      </c>
      <c r="W1737">
        <v>0.1351205</v>
      </c>
      <c r="X1737">
        <v>0.98409740000000001</v>
      </c>
      <c r="Y1737">
        <v>0.2308347</v>
      </c>
      <c r="Z1737">
        <v>2.7804309999999999E-2</v>
      </c>
      <c r="AA1737">
        <v>0.9725956</v>
      </c>
      <c r="AB1737">
        <v>23</v>
      </c>
      <c r="AC1737">
        <v>-8.8967000000000098</v>
      </c>
      <c r="AD1737">
        <v>-1.110350768867</v>
      </c>
      <c r="AE1737">
        <v>-38.640500000000003</v>
      </c>
      <c r="AF1737">
        <v>9.20185910207082</v>
      </c>
      <c r="AG1737">
        <v>-1.110350768867</v>
      </c>
      <c r="AH1737">
        <v>38.537026867924801</v>
      </c>
      <c r="AI1737">
        <v>91.605277949349997</v>
      </c>
      <c r="AJ1737">
        <v>76.570395961606906</v>
      </c>
      <c r="AK1737">
        <v>39.635962579246701</v>
      </c>
      <c r="AL1737">
        <v>82.234411948568606</v>
      </c>
      <c r="AM1737">
        <v>83.317354280850907</v>
      </c>
      <c r="AN1737">
        <v>0.99999997741714897</v>
      </c>
    </row>
    <row r="1738" spans="1:40" x14ac:dyDescent="0.25">
      <c r="A1738" t="str">
        <f>"20190312164022540"</f>
        <v>20190312164022540</v>
      </c>
      <c r="B1738" t="str">
        <f>"1552380022537877"</f>
        <v>1552380022537877</v>
      </c>
      <c r="C1738" t="s">
        <v>40</v>
      </c>
      <c r="D1738">
        <v>5.7712750000000002</v>
      </c>
      <c r="E1738">
        <v>0.54989549999999998</v>
      </c>
      <c r="F1738" t="s">
        <v>46</v>
      </c>
      <c r="G1738">
        <v>-201.42599999999999</v>
      </c>
      <c r="H1738">
        <v>1.9617780000000001E-2</v>
      </c>
      <c r="I1738">
        <v>279.05309999999997</v>
      </c>
      <c r="J1738">
        <v>-191.101</v>
      </c>
      <c r="K1738">
        <v>1.1103540000000001</v>
      </c>
      <c r="L1738">
        <v>322.8605</v>
      </c>
      <c r="M1738">
        <v>7.9181870000000001E-3</v>
      </c>
      <c r="N1738">
        <v>0</v>
      </c>
      <c r="O1738">
        <v>-0.99987990000000004</v>
      </c>
      <c r="P1738">
        <v>-0.1110583</v>
      </c>
      <c r="Q1738">
        <v>0.124257199999999</v>
      </c>
      <c r="R1738">
        <v>-0.98601550000000004</v>
      </c>
      <c r="S1738">
        <v>-0.69709779999999999</v>
      </c>
      <c r="T1738">
        <v>-7.3653220000000005E-2</v>
      </c>
      <c r="U1738">
        <v>-2.9737239999999998</v>
      </c>
      <c r="V1738">
        <v>0.11890680000000001</v>
      </c>
      <c r="W1738">
        <v>0.137340299999999</v>
      </c>
      <c r="X1738">
        <v>0.98336100000000004</v>
      </c>
      <c r="Y1738">
        <v>0.23586850000000001</v>
      </c>
      <c r="Z1738">
        <v>2.4083690000000001E-2</v>
      </c>
      <c r="AA1738">
        <v>0.97148650000000003</v>
      </c>
      <c r="AB1738">
        <v>23</v>
      </c>
      <c r="AC1738">
        <v>-10.3249999999999</v>
      </c>
      <c r="AD1738">
        <v>-1.0907362199999999</v>
      </c>
      <c r="AE1738">
        <v>-43.807400000000001</v>
      </c>
      <c r="AF1738">
        <v>10.6653184101066</v>
      </c>
      <c r="AG1738">
        <v>-1.0907362199999999</v>
      </c>
      <c r="AH1738">
        <v>43.6985993653905</v>
      </c>
      <c r="AI1738">
        <v>91.389073880089299</v>
      </c>
      <c r="AJ1738">
        <v>76.284223788041601</v>
      </c>
      <c r="AK1738">
        <v>44.994514207706302</v>
      </c>
      <c r="AL1738">
        <v>82.106030207191395</v>
      </c>
      <c r="AM1738">
        <v>83.105338025206706</v>
      </c>
      <c r="AN1738">
        <v>1.0000000207056601</v>
      </c>
    </row>
    <row r="1739" spans="1:40" x14ac:dyDescent="0.25">
      <c r="A1739" t="str">
        <f>"20190312164022564"</f>
        <v>20190312164022564</v>
      </c>
      <c r="B1739" t="str">
        <f>"1552380022557396"</f>
        <v>1552380022557396</v>
      </c>
      <c r="C1739" t="s">
        <v>40</v>
      </c>
      <c r="D1739">
        <v>5.8276719999999997</v>
      </c>
      <c r="E1739">
        <v>0.54992730000000001</v>
      </c>
      <c r="F1739" t="s">
        <v>46</v>
      </c>
      <c r="G1739">
        <v>-201.6345</v>
      </c>
      <c r="H1739">
        <v>8.0001320000000001E-2</v>
      </c>
      <c r="I1739">
        <v>278.36279999999999</v>
      </c>
      <c r="J1739">
        <v>-191.0993</v>
      </c>
      <c r="K1739">
        <v>1.110358</v>
      </c>
      <c r="L1739">
        <v>322.62259999999998</v>
      </c>
      <c r="M1739">
        <v>7.7172889999999996E-3</v>
      </c>
      <c r="N1739">
        <v>0</v>
      </c>
      <c r="O1739">
        <v>-0.99988060000000001</v>
      </c>
      <c r="P1739">
        <v>-0.1150552</v>
      </c>
      <c r="Q1739">
        <v>0.12656999999999999</v>
      </c>
      <c r="R1739">
        <v>-0.98526250000000004</v>
      </c>
      <c r="S1739">
        <v>-0.70353699999999997</v>
      </c>
      <c r="T1739">
        <v>-6.8817619999999996E-2</v>
      </c>
      <c r="U1739">
        <v>-2.9720149999999999</v>
      </c>
      <c r="V1739">
        <v>0.122706</v>
      </c>
      <c r="W1739">
        <v>0.13969110000000001</v>
      </c>
      <c r="X1739">
        <v>0.98256279999999996</v>
      </c>
      <c r="Y1739">
        <v>0.2377995</v>
      </c>
      <c r="Z1739">
        <v>2.250512E-2</v>
      </c>
      <c r="AA1739">
        <v>0.97105350000000001</v>
      </c>
      <c r="AB1739">
        <v>23</v>
      </c>
      <c r="AC1739">
        <v>-10.5352</v>
      </c>
      <c r="AD1739">
        <v>-1.0303566799999999</v>
      </c>
      <c r="AE1739">
        <v>-44.259799999999899</v>
      </c>
      <c r="AF1739">
        <v>10.8709069550214</v>
      </c>
      <c r="AG1739">
        <v>-1.0303566799999999</v>
      </c>
      <c r="AH1739">
        <v>44.154525019057097</v>
      </c>
      <c r="AI1739">
        <v>91.298021204322197</v>
      </c>
      <c r="AJ1739">
        <v>76.168778759949504</v>
      </c>
      <c r="AK1739">
        <v>45.484726365795503</v>
      </c>
      <c r="AL1739">
        <v>81.970028152127298</v>
      </c>
      <c r="AM1739">
        <v>82.881549204224598</v>
      </c>
      <c r="AN1739">
        <v>1.00000001089952</v>
      </c>
    </row>
    <row r="1740" spans="1:40" x14ac:dyDescent="0.25">
      <c r="A1740" t="str">
        <f>"20190312164022587"</f>
        <v>20190312164022587</v>
      </c>
      <c r="B1740" t="str">
        <f>"1552380022577891"</f>
        <v>1552380022577891</v>
      </c>
      <c r="C1740" t="s">
        <v>40</v>
      </c>
      <c r="D1740">
        <v>5.8263339999999904</v>
      </c>
      <c r="E1740">
        <v>0.54964959999999996</v>
      </c>
      <c r="F1740" t="s">
        <v>46</v>
      </c>
      <c r="G1740">
        <v>-202.0839</v>
      </c>
      <c r="H1740">
        <v>8.0001379999999997E-2</v>
      </c>
      <c r="I1740">
        <v>276.9742</v>
      </c>
      <c r="J1740">
        <v>-191.0977</v>
      </c>
      <c r="K1740">
        <v>1.110357</v>
      </c>
      <c r="L1740">
        <v>322.37670000000003</v>
      </c>
      <c r="M1740">
        <v>7.4828730000000001E-3</v>
      </c>
      <c r="N1740">
        <v>0</v>
      </c>
      <c r="O1740">
        <v>-0.99988189999999999</v>
      </c>
      <c r="P1740">
        <v>-0.11930300000000001</v>
      </c>
      <c r="Q1740">
        <v>0.12920200000000001</v>
      </c>
      <c r="R1740">
        <v>-0.98441559999999995</v>
      </c>
      <c r="S1740">
        <v>-0.71469119999999997</v>
      </c>
      <c r="T1740">
        <v>-6.7038299999999995E-2</v>
      </c>
      <c r="U1740">
        <v>-2.9700319999999998</v>
      </c>
      <c r="V1740">
        <v>0.12672329999999901</v>
      </c>
      <c r="W1740">
        <v>0.14235349999999999</v>
      </c>
      <c r="X1740">
        <v>0.98167040000000005</v>
      </c>
      <c r="Y1740">
        <v>0.24116899999999999</v>
      </c>
      <c r="Z1740">
        <v>2.191916E-2</v>
      </c>
      <c r="AA1740">
        <v>0.97023559999999998</v>
      </c>
      <c r="AB1740">
        <v>23</v>
      </c>
      <c r="AC1740">
        <v>-10.986199999999901</v>
      </c>
      <c r="AD1740">
        <v>-1.0303556199999999</v>
      </c>
      <c r="AE1740">
        <v>-45.402500000000003</v>
      </c>
      <c r="AF1740">
        <v>11.320156607362399</v>
      </c>
      <c r="AG1740">
        <v>-1.0303556199999999</v>
      </c>
      <c r="AH1740">
        <v>45.296974890023201</v>
      </c>
      <c r="AI1740">
        <v>91.264197252101397</v>
      </c>
      <c r="AJ1740">
        <v>75.968622290986602</v>
      </c>
      <c r="AK1740">
        <v>46.701429448211499</v>
      </c>
      <c r="AL1740">
        <v>81.815944241607895</v>
      </c>
      <c r="AM1740">
        <v>82.644397012678198</v>
      </c>
      <c r="AN1740">
        <v>1.00000004398064</v>
      </c>
    </row>
    <row r="1741" spans="1:40" x14ac:dyDescent="0.25">
      <c r="A1741" t="str">
        <f>"20190312164022609"</f>
        <v>20190312164022609</v>
      </c>
      <c r="B1741" t="str">
        <f>"1552380022597411"</f>
        <v>1552380022597411</v>
      </c>
      <c r="C1741" t="s">
        <v>40</v>
      </c>
      <c r="D1741">
        <v>5.7678979999999997</v>
      </c>
      <c r="E1741">
        <v>0.54927530000000002</v>
      </c>
      <c r="F1741" t="s">
        <v>46</v>
      </c>
      <c r="G1741">
        <v>-202.30430000000001</v>
      </c>
      <c r="H1741">
        <v>8.0001429999999998E-2</v>
      </c>
      <c r="I1741">
        <v>276.46769999999998</v>
      </c>
      <c r="J1741">
        <v>-191.09630000000001</v>
      </c>
      <c r="K1741">
        <v>1.1103529999999999</v>
      </c>
      <c r="L1741">
        <v>322.15179999999998</v>
      </c>
      <c r="M1741">
        <v>7.241323E-3</v>
      </c>
      <c r="N1741">
        <v>0</v>
      </c>
      <c r="O1741">
        <v>-0.99988310000000002</v>
      </c>
      <c r="P1741">
        <v>-0.1228698</v>
      </c>
      <c r="Q1741">
        <v>0.1318868</v>
      </c>
      <c r="R1741">
        <v>-0.98362059999999996</v>
      </c>
      <c r="S1741">
        <v>-0.72460939999999996</v>
      </c>
      <c r="T1741">
        <v>-6.6622139999999996E-2</v>
      </c>
      <c r="U1741">
        <v>-2.968445</v>
      </c>
      <c r="V1741">
        <v>0.13005359999999999</v>
      </c>
      <c r="W1741">
        <v>0.145058399999999</v>
      </c>
      <c r="X1741">
        <v>0.98083849999999995</v>
      </c>
      <c r="Y1741">
        <v>0.244114</v>
      </c>
      <c r="Z1741">
        <v>2.1777939999999999E-2</v>
      </c>
      <c r="AA1741">
        <v>0.96950199999999997</v>
      </c>
      <c r="AB1741">
        <v>23</v>
      </c>
      <c r="AC1741">
        <v>-11.207999999999901</v>
      </c>
      <c r="AD1741">
        <v>-1.0303515700000001</v>
      </c>
      <c r="AE1741">
        <v>-45.684100000000001</v>
      </c>
      <c r="AF1741">
        <v>11.533015913081099</v>
      </c>
      <c r="AG1741">
        <v>-1.0303515700000001</v>
      </c>
      <c r="AH1741">
        <v>45.579864843551903</v>
      </c>
      <c r="AI1741">
        <v>91.255422499136998</v>
      </c>
      <c r="AJ1741">
        <v>75.800546980203094</v>
      </c>
      <c r="AK1741">
        <v>47.027610608722597</v>
      </c>
      <c r="AL1741">
        <v>81.659339156506704</v>
      </c>
      <c r="AM1741">
        <v>82.446964193019497</v>
      </c>
      <c r="AN1741">
        <v>1.0000000206828801</v>
      </c>
    </row>
    <row r="1742" spans="1:40" x14ac:dyDescent="0.25">
      <c r="A1742" t="str">
        <f>"20190312164022629"</f>
        <v>20190312164022629</v>
      </c>
      <c r="B1742" t="str">
        <f>"1552380022617911"</f>
        <v>1552380022617911</v>
      </c>
      <c r="C1742" t="s">
        <v>40</v>
      </c>
      <c r="D1742">
        <v>5.7664010000000001</v>
      </c>
      <c r="E1742">
        <v>0.54894869999999996</v>
      </c>
      <c r="F1742" t="s">
        <v>46</v>
      </c>
      <c r="G1742">
        <v>-203.23060000000001</v>
      </c>
      <c r="H1742">
        <v>8.0001760000000005E-2</v>
      </c>
      <c r="I1742">
        <v>272.9699</v>
      </c>
      <c r="J1742">
        <v>-191.095</v>
      </c>
      <c r="K1742">
        <v>1.110344</v>
      </c>
      <c r="L1742">
        <v>321.93349999999998</v>
      </c>
      <c r="M1742">
        <v>6.97884E-3</v>
      </c>
      <c r="N1742">
        <v>0</v>
      </c>
      <c r="O1742">
        <v>-0.99988449999999995</v>
      </c>
      <c r="P1742">
        <v>-0.12653929999999999</v>
      </c>
      <c r="Q1742">
        <v>0.13400680000000001</v>
      </c>
      <c r="R1742">
        <v>-0.98286839999999998</v>
      </c>
      <c r="S1742">
        <v>-0.73199459999999905</v>
      </c>
      <c r="T1742">
        <v>-6.2155719999999998E-2</v>
      </c>
      <c r="U1742">
        <v>-2.966888</v>
      </c>
      <c r="V1742">
        <v>0.13346729999999901</v>
      </c>
      <c r="W1742">
        <v>0.1471925</v>
      </c>
      <c r="X1742">
        <v>0.98006170000000004</v>
      </c>
      <c r="Y1742">
        <v>0.24625949999999999</v>
      </c>
      <c r="Z1742">
        <v>2.0317439999999999E-2</v>
      </c>
      <c r="AA1742">
        <v>0.96899100000000005</v>
      </c>
      <c r="AB1742">
        <v>23</v>
      </c>
      <c r="AC1742">
        <v>-12.1356</v>
      </c>
      <c r="AD1742">
        <v>-1.03034224</v>
      </c>
      <c r="AE1742">
        <v>-48.9635999999999</v>
      </c>
      <c r="AF1742">
        <v>12.4718416694092</v>
      </c>
      <c r="AG1742">
        <v>-1.03034224</v>
      </c>
      <c r="AH1742">
        <v>48.8573248892951</v>
      </c>
      <c r="AI1742">
        <v>91.170593104269102</v>
      </c>
      <c r="AJ1742">
        <v>75.679888132128099</v>
      </c>
      <c r="AK1742">
        <v>50.434577772560701</v>
      </c>
      <c r="AL1742">
        <v>81.535737677687607</v>
      </c>
      <c r="AM1742">
        <v>82.245020386301903</v>
      </c>
      <c r="AN1742">
        <v>1.00000004401621</v>
      </c>
    </row>
    <row r="1743" spans="1:40" x14ac:dyDescent="0.25">
      <c r="A1743" t="str">
        <f>"20190312164022652"</f>
        <v>20190312164022652</v>
      </c>
      <c r="B1743" t="str">
        <f>"1552380022648163"</f>
        <v>1552380022648163</v>
      </c>
      <c r="C1743" t="s">
        <v>40</v>
      </c>
      <c r="D1743">
        <v>5.7607879999999998</v>
      </c>
      <c r="E1743">
        <v>0.5480235</v>
      </c>
      <c r="F1743" t="s">
        <v>46</v>
      </c>
      <c r="G1743">
        <v>-203.6437</v>
      </c>
      <c r="H1743">
        <v>8.0002119999999996E-2</v>
      </c>
      <c r="I1743">
        <v>271.64409999999998</v>
      </c>
      <c r="J1743">
        <v>-191.09379999999999</v>
      </c>
      <c r="K1743">
        <v>1.110333</v>
      </c>
      <c r="L1743">
        <v>321.70400000000001</v>
      </c>
      <c r="M1743">
        <v>6.6724610000000002E-3</v>
      </c>
      <c r="N1743">
        <v>0</v>
      </c>
      <c r="O1743">
        <v>-0.99988619999999995</v>
      </c>
      <c r="P1743">
        <v>-0.13046279999999999</v>
      </c>
      <c r="Q1743">
        <v>0.13525179999999901</v>
      </c>
      <c r="R1743">
        <v>-0.98218459999999996</v>
      </c>
      <c r="S1743">
        <v>-0.73992919999999995</v>
      </c>
      <c r="T1743">
        <v>-6.075382E-2</v>
      </c>
      <c r="U1743">
        <v>-2.9653019999999999</v>
      </c>
      <c r="V1743">
        <v>0.13709360000000001</v>
      </c>
      <c r="W1743">
        <v>0.14844830000000001</v>
      </c>
      <c r="X1743">
        <v>0.9793714</v>
      </c>
      <c r="Y1743">
        <v>0.2485271</v>
      </c>
      <c r="Z1743">
        <v>1.9857610000000001E-2</v>
      </c>
      <c r="AA1743">
        <v>0.96842139999999999</v>
      </c>
      <c r="AB1743">
        <v>23</v>
      </c>
      <c r="AC1743">
        <v>-12.549899999999999</v>
      </c>
      <c r="AD1743">
        <v>-1.0303308799999999</v>
      </c>
      <c r="AE1743">
        <v>-50.059899999999999</v>
      </c>
      <c r="AF1743">
        <v>12.878540916044299</v>
      </c>
      <c r="AG1743">
        <v>-1.0303308799999999</v>
      </c>
      <c r="AH1743">
        <v>49.955128536623803</v>
      </c>
      <c r="AI1743">
        <v>91.144165499668901</v>
      </c>
      <c r="AJ1743">
        <v>75.543799173781906</v>
      </c>
      <c r="AK1743">
        <v>51.598771932664398</v>
      </c>
      <c r="AL1743">
        <v>81.462985563763198</v>
      </c>
      <c r="AM1743">
        <v>82.0314451340452</v>
      </c>
      <c r="AN1743">
        <v>0.99999994603590303</v>
      </c>
    </row>
    <row r="1744" spans="1:40" x14ac:dyDescent="0.25">
      <c r="A1744" t="str">
        <f>"20190312164022674"</f>
        <v>20190312164022674</v>
      </c>
      <c r="B1744" t="str">
        <f>"1552380022667683"</f>
        <v>1552380022667683</v>
      </c>
      <c r="C1744" t="s">
        <v>40</v>
      </c>
      <c r="D1744">
        <v>5.8837320000000002</v>
      </c>
      <c r="E1744">
        <v>0.54802659999999903</v>
      </c>
      <c r="F1744" t="s">
        <v>46</v>
      </c>
      <c r="G1744">
        <v>-203.25579999999999</v>
      </c>
      <c r="H1744">
        <v>8.0001699999999995E-2</v>
      </c>
      <c r="I1744">
        <v>273.21199999999999</v>
      </c>
      <c r="J1744">
        <v>-191.0926</v>
      </c>
      <c r="K1744">
        <v>1.1103179999999999</v>
      </c>
      <c r="L1744">
        <v>321.46800000000002</v>
      </c>
      <c r="M1744">
        <v>6.3274689999999996E-3</v>
      </c>
      <c r="N1744">
        <v>0</v>
      </c>
      <c r="O1744">
        <v>-0.99988809999999995</v>
      </c>
      <c r="P1744">
        <v>-0.13398399999999999</v>
      </c>
      <c r="Q1744">
        <v>0.13695650000000001</v>
      </c>
      <c r="R1744">
        <v>-0.98147419999999996</v>
      </c>
      <c r="S1744">
        <v>-0.74346919999999905</v>
      </c>
      <c r="T1744">
        <v>-6.2984349999999995E-2</v>
      </c>
      <c r="U1744">
        <v>-2.9643250000000001</v>
      </c>
      <c r="V1744">
        <v>0.14028060000000001</v>
      </c>
      <c r="W1744">
        <v>0.1501594</v>
      </c>
      <c r="X1744">
        <v>0.97865899999999995</v>
      </c>
      <c r="Y1744">
        <v>0.2493525</v>
      </c>
      <c r="Z1744">
        <v>2.0587830000000001E-2</v>
      </c>
      <c r="AA1744">
        <v>0.96819390000000005</v>
      </c>
      <c r="AB1744">
        <v>23</v>
      </c>
      <c r="AC1744">
        <v>-12.1631999999999</v>
      </c>
      <c r="AD1744">
        <v>-1.0303163</v>
      </c>
      <c r="AE1744">
        <v>-48.256</v>
      </c>
      <c r="AF1744">
        <v>12.462980792414999</v>
      </c>
      <c r="AG1744">
        <v>-1.0303163</v>
      </c>
      <c r="AH1744">
        <v>48.157422490489999</v>
      </c>
      <c r="AI1744">
        <v>91.186562469297201</v>
      </c>
      <c r="AJ1744">
        <v>75.490382579332405</v>
      </c>
      <c r="AK1744">
        <v>49.754645841747298</v>
      </c>
      <c r="AL1744">
        <v>81.363835565672602</v>
      </c>
      <c r="AM1744">
        <v>81.842808977760598</v>
      </c>
      <c r="AN1744">
        <v>0.99999996521285905</v>
      </c>
    </row>
    <row r="1745" spans="1:40" x14ac:dyDescent="0.25">
      <c r="A1745" t="str">
        <f>"20190312164022696"</f>
        <v>20190312164022696</v>
      </c>
      <c r="B1745" t="str">
        <f>"1552380022688179"</f>
        <v>1552380022688179</v>
      </c>
      <c r="C1745" t="s">
        <v>40</v>
      </c>
      <c r="D1745">
        <v>5.8658710000000003</v>
      </c>
      <c r="E1745">
        <v>0.5476626</v>
      </c>
      <c r="F1745" t="s">
        <v>46</v>
      </c>
      <c r="G1745">
        <v>-204.0753</v>
      </c>
      <c r="H1745">
        <v>8.0002439999999994E-2</v>
      </c>
      <c r="I1745">
        <v>270.41930000000002</v>
      </c>
      <c r="J1745">
        <v>-191.0916</v>
      </c>
      <c r="K1745">
        <v>1.1103160000000001</v>
      </c>
      <c r="L1745">
        <v>321.23689999999999</v>
      </c>
      <c r="M1745">
        <v>5.9628819999999897E-3</v>
      </c>
      <c r="N1745">
        <v>0</v>
      </c>
      <c r="O1745">
        <v>-0.9998901</v>
      </c>
      <c r="P1745">
        <v>-0.13762260000000001</v>
      </c>
      <c r="Q1745">
        <v>0.13892699999999999</v>
      </c>
      <c r="R1745">
        <v>-0.98069329999999999</v>
      </c>
      <c r="S1745">
        <v>-0.75332639999999995</v>
      </c>
      <c r="T1745">
        <v>-5.9784650000000002E-2</v>
      </c>
      <c r="U1745">
        <v>-2.9621279999999999</v>
      </c>
      <c r="V1745">
        <v>0.1435649</v>
      </c>
      <c r="W1745">
        <v>0.1521325</v>
      </c>
      <c r="X1745">
        <v>0.97787769999999996</v>
      </c>
      <c r="Y1745">
        <v>0.25220160000000003</v>
      </c>
      <c r="Z1745">
        <v>1.9541320000000001E-2</v>
      </c>
      <c r="AA1745">
        <v>0.96747740000000004</v>
      </c>
      <c r="AB1745">
        <v>23</v>
      </c>
      <c r="AC1745">
        <v>-12.983700000000001</v>
      </c>
      <c r="AD1745">
        <v>-1.03031356</v>
      </c>
      <c r="AE1745">
        <v>-50.817599999999899</v>
      </c>
      <c r="AF1745">
        <v>13.2813914339623</v>
      </c>
      <c r="AG1745">
        <v>-1.03031356</v>
      </c>
      <c r="AH1745">
        <v>50.719697487333399</v>
      </c>
      <c r="AI1745">
        <v>91.125791640859106</v>
      </c>
      <c r="AJ1745">
        <v>75.326079397286904</v>
      </c>
      <c r="AK1745">
        <v>52.439914355962301</v>
      </c>
      <c r="AL1745">
        <v>81.249471554132299</v>
      </c>
      <c r="AM1745">
        <v>81.647915705296697</v>
      </c>
      <c r="AN1745">
        <v>0.99999998711277405</v>
      </c>
    </row>
    <row r="1746" spans="1:40" x14ac:dyDescent="0.25">
      <c r="A1746" t="str">
        <f>"20190312164022719"</f>
        <v>20190312164022719</v>
      </c>
      <c r="B1746" t="str">
        <f>"1552380022707699"</f>
        <v>1552380022707699</v>
      </c>
      <c r="C1746" t="s">
        <v>40</v>
      </c>
      <c r="D1746">
        <v>6.0115030000000003</v>
      </c>
      <c r="E1746">
        <v>0.54736200000000002</v>
      </c>
      <c r="F1746" t="s">
        <v>41</v>
      </c>
      <c r="G1746">
        <v>-204.40899999999999</v>
      </c>
      <c r="H1746">
        <v>7.9985600000000004E-2</v>
      </c>
      <c r="I1746">
        <v>269.39319999999998</v>
      </c>
      <c r="J1746">
        <v>-191.0907</v>
      </c>
      <c r="K1746">
        <v>1.1103149999999999</v>
      </c>
      <c r="L1746">
        <v>321.00650000000002</v>
      </c>
      <c r="M1746">
        <v>5.5748799999999999E-3</v>
      </c>
      <c r="N1746">
        <v>0</v>
      </c>
      <c r="O1746">
        <v>-0.999892</v>
      </c>
      <c r="P1746">
        <v>-0.14143989999999901</v>
      </c>
      <c r="Q1746">
        <v>0.14110629999999999</v>
      </c>
      <c r="R1746">
        <v>-0.97983889999999996</v>
      </c>
      <c r="S1746">
        <v>-0.7605286</v>
      </c>
      <c r="T1746">
        <v>-5.8840160000000002E-2</v>
      </c>
      <c r="U1746">
        <v>-2.960693</v>
      </c>
      <c r="V1746">
        <v>0.14700360000000001</v>
      </c>
      <c r="W1746">
        <v>0.15431129999999901</v>
      </c>
      <c r="X1746">
        <v>0.97702500000000003</v>
      </c>
      <c r="Y1746">
        <v>0.25414799999999999</v>
      </c>
      <c r="Z1746">
        <v>1.9231129999999999E-2</v>
      </c>
      <c r="AA1746">
        <v>0.96697409999999995</v>
      </c>
      <c r="AB1746">
        <v>23</v>
      </c>
      <c r="AC1746">
        <v>-13.318300000000001</v>
      </c>
      <c r="AD1746">
        <v>-1.0303293999999901</v>
      </c>
      <c r="AE1746">
        <v>-51.613300000000002</v>
      </c>
      <c r="AF1746">
        <v>13.6007759962037</v>
      </c>
      <c r="AG1746">
        <v>-1.0303293999999901</v>
      </c>
      <c r="AH1746">
        <v>51.5189943228144</v>
      </c>
      <c r="AI1746">
        <v>91.107764744340997</v>
      </c>
      <c r="AJ1746">
        <v>75.211570352272602</v>
      </c>
      <c r="AK1746">
        <v>53.293990865815204</v>
      </c>
      <c r="AL1746">
        <v>81.123143385138306</v>
      </c>
      <c r="AM1746">
        <v>81.443436035833201</v>
      </c>
      <c r="AN1746">
        <v>0.99999994317282304</v>
      </c>
    </row>
    <row r="1747" spans="1:40" x14ac:dyDescent="0.25">
      <c r="A1747" t="str">
        <f>"20190312164022741"</f>
        <v>20190312164022741</v>
      </c>
      <c r="B1747" t="str">
        <f>"1552380022737956"</f>
        <v>1552380022737956</v>
      </c>
      <c r="C1747" t="s">
        <v>40</v>
      </c>
      <c r="D1747">
        <v>5.7624690000000003</v>
      </c>
      <c r="E1747">
        <v>0.54669899999999905</v>
      </c>
      <c r="F1747" t="s">
        <v>43</v>
      </c>
      <c r="G1747">
        <v>-206.8451</v>
      </c>
      <c r="H1747">
        <v>-0.05</v>
      </c>
      <c r="I1747">
        <v>260.34989999999999</v>
      </c>
      <c r="J1747">
        <v>-191.0899</v>
      </c>
      <c r="K1747">
        <v>1.1103179999999999</v>
      </c>
      <c r="L1747">
        <v>320.78070000000002</v>
      </c>
      <c r="M1747">
        <v>5.1773649999999997E-3</v>
      </c>
      <c r="N1747">
        <v>0</v>
      </c>
      <c r="O1747">
        <v>-0.99989410000000001</v>
      </c>
      <c r="P1747">
        <v>-0.14491570000000001</v>
      </c>
      <c r="Q1747">
        <v>0.14302279999999901</v>
      </c>
      <c r="R1747">
        <v>-0.9790529</v>
      </c>
      <c r="S1747">
        <v>-0.76853939999999998</v>
      </c>
      <c r="T1747">
        <v>-5.6603189999999998E-2</v>
      </c>
      <c r="U1747">
        <v>-2.9589840000000001</v>
      </c>
      <c r="V1747">
        <v>0.15009059999999999</v>
      </c>
      <c r="W1747">
        <v>0.1562267</v>
      </c>
      <c r="X1747">
        <v>0.97625099999999998</v>
      </c>
      <c r="Y1747">
        <v>0.256355</v>
      </c>
      <c r="Z1747">
        <v>1.849903E-2</v>
      </c>
      <c r="AA1747">
        <v>0.96640570000000003</v>
      </c>
      <c r="AB1747">
        <v>23</v>
      </c>
      <c r="AC1747">
        <v>-15.7552</v>
      </c>
      <c r="AD1747">
        <v>-1.160318</v>
      </c>
      <c r="AE1747">
        <v>-60.430799999999998</v>
      </c>
      <c r="AF1747">
        <v>16.0623452441334</v>
      </c>
      <c r="AG1747">
        <v>-1.160318</v>
      </c>
      <c r="AH1747">
        <v>60.327586549300698</v>
      </c>
      <c r="AI1747">
        <v>91.0647833320416</v>
      </c>
      <c r="AJ1747">
        <v>75.090762281178101</v>
      </c>
      <c r="AK1747">
        <v>62.4400750437268</v>
      </c>
      <c r="AL1747">
        <v>81.0120521769025</v>
      </c>
      <c r="AM1747">
        <v>81.2596778172542</v>
      </c>
      <c r="AN1747">
        <v>0.99999999250112503</v>
      </c>
    </row>
    <row r="1748" spans="1:40" x14ac:dyDescent="0.25">
      <c r="A1748" t="str">
        <f>"20190312164022765"</f>
        <v>20190312164022765</v>
      </c>
      <c r="B1748" t="str">
        <f>"1552380022757475"</f>
        <v>1552380022757475</v>
      </c>
      <c r="C1748" t="s">
        <v>40</v>
      </c>
      <c r="D1748">
        <v>5.8315489999999999</v>
      </c>
      <c r="E1748">
        <v>0.54643710000000001</v>
      </c>
      <c r="F1748" t="s">
        <v>43</v>
      </c>
      <c r="G1748">
        <v>-207.19300000000001</v>
      </c>
      <c r="H1748">
        <v>-0.05</v>
      </c>
      <c r="I1748">
        <v>259.13929999999999</v>
      </c>
      <c r="J1748">
        <v>-191.08920000000001</v>
      </c>
      <c r="K1748">
        <v>1.110325</v>
      </c>
      <c r="L1748">
        <v>320.541</v>
      </c>
      <c r="M1748">
        <v>4.7449780000000004E-3</v>
      </c>
      <c r="N1748">
        <v>0</v>
      </c>
      <c r="O1748">
        <v>-0.9998958</v>
      </c>
      <c r="P1748">
        <v>-0.14826639999999999</v>
      </c>
      <c r="Q1748">
        <v>0.145624799999999</v>
      </c>
      <c r="R1748">
        <v>-0.97816689999999995</v>
      </c>
      <c r="S1748">
        <v>-0.77272030000000003</v>
      </c>
      <c r="T1748">
        <v>-5.567896E-2</v>
      </c>
      <c r="U1748">
        <v>-2.957916</v>
      </c>
      <c r="V1748">
        <v>0.153017299999999</v>
      </c>
      <c r="W1748">
        <v>0.15882589999999999</v>
      </c>
      <c r="X1748">
        <v>0.97537680000000004</v>
      </c>
      <c r="Y1748">
        <v>0.25730229999999998</v>
      </c>
      <c r="Z1748">
        <v>1.8197979999999999E-2</v>
      </c>
      <c r="AA1748">
        <v>0.96615960000000001</v>
      </c>
      <c r="AB1748">
        <v>23</v>
      </c>
      <c r="AC1748">
        <v>-16.1037999999999</v>
      </c>
      <c r="AD1748">
        <v>-1.1603250000000001</v>
      </c>
      <c r="AE1748">
        <v>-61.401699999999998</v>
      </c>
      <c r="AF1748">
        <v>16.3895193387795</v>
      </c>
      <c r="AG1748">
        <v>-1.1603250000000001</v>
      </c>
      <c r="AH1748">
        <v>61.304106174955898</v>
      </c>
      <c r="AI1748">
        <v>91.047546547658698</v>
      </c>
      <c r="AJ1748">
        <v>75.032152640766995</v>
      </c>
      <c r="AK1748">
        <v>63.467756634153403</v>
      </c>
      <c r="AL1748">
        <v>80.861245529948306</v>
      </c>
      <c r="AM1748">
        <v>81.0840973981243</v>
      </c>
      <c r="AN1748">
        <v>0.99999993129416698</v>
      </c>
    </row>
    <row r="1749" spans="1:40" x14ac:dyDescent="0.25">
      <c r="A1749" t="str">
        <f>"20190312164022787"</f>
        <v>20190312164022787</v>
      </c>
      <c r="B1749" t="str">
        <f>"1552380022777971"</f>
        <v>1552380022777971</v>
      </c>
      <c r="C1749" t="s">
        <v>40</v>
      </c>
      <c r="D1749">
        <v>5.6550820000000002</v>
      </c>
      <c r="E1749">
        <v>0.5459678</v>
      </c>
      <c r="F1749" t="s">
        <v>43</v>
      </c>
      <c r="G1749">
        <v>-209.0008</v>
      </c>
      <c r="H1749">
        <v>-0.05</v>
      </c>
      <c r="I1749">
        <v>252.68360000000001</v>
      </c>
      <c r="J1749">
        <v>-191.08860000000001</v>
      </c>
      <c r="K1749">
        <v>1.1103339999999999</v>
      </c>
      <c r="L1749">
        <v>320.30579999999998</v>
      </c>
      <c r="M1749">
        <v>4.3156339999999996E-3</v>
      </c>
      <c r="N1749">
        <v>0</v>
      </c>
      <c r="O1749">
        <v>-0.9998977</v>
      </c>
      <c r="P1749">
        <v>-0.1519277</v>
      </c>
      <c r="Q1749">
        <v>0.1479345</v>
      </c>
      <c r="R1749">
        <v>-0.97725810000000002</v>
      </c>
      <c r="S1749">
        <v>-0.78031919999999899</v>
      </c>
      <c r="T1749">
        <v>-5.0549509999999999E-2</v>
      </c>
      <c r="U1749">
        <v>-2.956207</v>
      </c>
      <c r="V1749">
        <v>0.1562569</v>
      </c>
      <c r="W1749">
        <v>0.16113239999999901</v>
      </c>
      <c r="X1749">
        <v>0.97448460000000003</v>
      </c>
      <c r="Y1749">
        <v>0.25935399999999997</v>
      </c>
      <c r="Z1749">
        <v>1.6521350000000001E-2</v>
      </c>
      <c r="AA1749">
        <v>0.96564099999999997</v>
      </c>
      <c r="AB1749">
        <v>23</v>
      </c>
      <c r="AC1749">
        <v>-17.912199999999899</v>
      </c>
      <c r="AD1749">
        <v>-1.160334</v>
      </c>
      <c r="AE1749">
        <v>-67.622199999999907</v>
      </c>
      <c r="AF1749">
        <v>18.1988859220554</v>
      </c>
      <c r="AG1749">
        <v>-1.160334</v>
      </c>
      <c r="AH1749">
        <v>67.525682179203798</v>
      </c>
      <c r="AI1749">
        <v>90.950540550704105</v>
      </c>
      <c r="AJ1749">
        <v>74.916564334036906</v>
      </c>
      <c r="AK1749">
        <v>69.944718010457294</v>
      </c>
      <c r="AL1749">
        <v>80.727369621878907</v>
      </c>
      <c r="AM1749">
        <v>80.890268949825298</v>
      </c>
      <c r="AN1749">
        <v>1.0000000523822601</v>
      </c>
    </row>
    <row r="1750" spans="1:40" x14ac:dyDescent="0.25">
      <c r="A1750" t="str">
        <f>"20190312164022810"</f>
        <v>20190312164022810</v>
      </c>
      <c r="B1750" t="str">
        <f>"1552380022797492"</f>
        <v>1552380022797492</v>
      </c>
      <c r="C1750" t="s">
        <v>40</v>
      </c>
      <c r="D1750">
        <v>5.8160239999999996</v>
      </c>
      <c r="E1750">
        <v>0.52147189999999999</v>
      </c>
      <c r="F1750" t="s">
        <v>43</v>
      </c>
      <c r="G1750">
        <v>-209.55719999999999</v>
      </c>
      <c r="H1750">
        <v>-0.05</v>
      </c>
      <c r="I1750">
        <v>250.92869999999999</v>
      </c>
      <c r="J1750">
        <v>-191.0881</v>
      </c>
      <c r="K1750">
        <v>1.1103499999999999</v>
      </c>
      <c r="L1750">
        <v>320.07499999999999</v>
      </c>
      <c r="M1750">
        <v>3.891785E-3</v>
      </c>
      <c r="N1750">
        <v>0</v>
      </c>
      <c r="O1750">
        <v>-0.9998996</v>
      </c>
      <c r="P1750">
        <v>-0.15552929999999901</v>
      </c>
      <c r="Q1750">
        <v>0.150568799999999</v>
      </c>
      <c r="R1750">
        <v>-0.97628919999999997</v>
      </c>
      <c r="S1750">
        <v>-0.78663640000000001</v>
      </c>
      <c r="T1750">
        <v>-4.9422260000000003E-2</v>
      </c>
      <c r="U1750">
        <v>-2.954987</v>
      </c>
      <c r="V1750">
        <v>0.15944259999999999</v>
      </c>
      <c r="W1750">
        <v>0.16376009999999999</v>
      </c>
      <c r="X1750">
        <v>0.97353000000000001</v>
      </c>
      <c r="Y1750">
        <v>0.26097300000000001</v>
      </c>
      <c r="Z1750">
        <v>1.6151579999999999E-2</v>
      </c>
      <c r="AA1750">
        <v>0.96521100000000004</v>
      </c>
      <c r="AB1750">
        <v>23</v>
      </c>
      <c r="AC1750">
        <v>-18.469100000000001</v>
      </c>
      <c r="AD1750">
        <v>-1.16035</v>
      </c>
      <c r="AE1750">
        <v>-69.146299999999997</v>
      </c>
      <c r="AF1750">
        <v>18.7331635711096</v>
      </c>
      <c r="AG1750">
        <v>-1.16035</v>
      </c>
      <c r="AH1750">
        <v>69.055740371259503</v>
      </c>
      <c r="AI1750">
        <v>90.929082808556998</v>
      </c>
      <c r="AJ1750">
        <v>74.822306035235002</v>
      </c>
      <c r="AK1750">
        <v>71.560974753892495</v>
      </c>
      <c r="AL1750">
        <v>80.574786141967607</v>
      </c>
      <c r="AM1750">
        <v>80.698799298478406</v>
      </c>
      <c r="AN1750">
        <v>0.99999998697338499</v>
      </c>
    </row>
    <row r="1751" spans="1:40" x14ac:dyDescent="0.25">
      <c r="A1751" t="str">
        <f>"20190312164022830"</f>
        <v>20190312164022830</v>
      </c>
      <c r="B1751" t="str">
        <f>"1552380022827749"</f>
        <v>1552380022827749</v>
      </c>
      <c r="C1751" t="s">
        <v>40</v>
      </c>
      <c r="D1751">
        <v>5.7410449999999997</v>
      </c>
      <c r="E1751">
        <v>0.5202715</v>
      </c>
      <c r="F1751" t="s">
        <v>46</v>
      </c>
      <c r="G1751">
        <v>-197.49780000000001</v>
      </c>
      <c r="H1751" s="1">
        <v>2.3329940000000002E-6</v>
      </c>
      <c r="I1751">
        <v>288.06639999999999</v>
      </c>
      <c r="J1751">
        <v>-191.08779999999999</v>
      </c>
      <c r="K1751">
        <v>1.1103670000000001</v>
      </c>
      <c r="L1751">
        <v>319.86169999999998</v>
      </c>
      <c r="M1751">
        <v>3.4969889999999998E-3</v>
      </c>
      <c r="N1751">
        <v>0</v>
      </c>
      <c r="O1751">
        <v>-0.99990080000000003</v>
      </c>
      <c r="P1751">
        <v>-0.16079930000000001</v>
      </c>
      <c r="Q1751">
        <v>0.15373709999999999</v>
      </c>
      <c r="R1751">
        <v>-0.97494049999999999</v>
      </c>
      <c r="S1751">
        <v>-0.59942629999999997</v>
      </c>
      <c r="T1751">
        <v>-0.1038374</v>
      </c>
      <c r="U1751">
        <v>-2.9933779999999999</v>
      </c>
      <c r="V1751">
        <v>0.164325</v>
      </c>
      <c r="W1751">
        <v>0.16691329999999999</v>
      </c>
      <c r="X1751">
        <v>0.97218170000000004</v>
      </c>
      <c r="Y1751">
        <v>0.19966719999999999</v>
      </c>
      <c r="Z1751">
        <v>3.3981890000000001E-2</v>
      </c>
      <c r="AA1751">
        <v>0.97927430000000004</v>
      </c>
      <c r="AB1751">
        <v>23</v>
      </c>
      <c r="AC1751">
        <v>-6.4100000000000197</v>
      </c>
      <c r="AD1751">
        <v>-1.1103646670059999</v>
      </c>
      <c r="AE1751">
        <v>-31.795300000000001</v>
      </c>
      <c r="AF1751">
        <v>6.5135255364563696</v>
      </c>
      <c r="AG1751">
        <v>-1.1103646670059999</v>
      </c>
      <c r="AH1751">
        <v>31.735495831870001</v>
      </c>
      <c r="AI1751">
        <v>91.962967318119794</v>
      </c>
      <c r="AJ1751">
        <v>78.401448664181004</v>
      </c>
      <c r="AK1751">
        <v>32.416054977471298</v>
      </c>
      <c r="AL1751">
        <v>80.391600034304602</v>
      </c>
      <c r="AM1751">
        <v>80.406143777915901</v>
      </c>
      <c r="AN1751">
        <v>1.0000000065783901</v>
      </c>
    </row>
    <row r="1752" spans="1:40" x14ac:dyDescent="0.25">
      <c r="A1752" t="str">
        <f>"20190312164022864"</f>
        <v>20190312164022864</v>
      </c>
      <c r="B1752" t="str">
        <f>"1552380022858003"</f>
        <v>1552380022858003</v>
      </c>
      <c r="C1752" t="s">
        <v>40</v>
      </c>
      <c r="D1752">
        <v>5.7051869999999996</v>
      </c>
      <c r="E1752">
        <v>0.519146</v>
      </c>
      <c r="F1752" t="s">
        <v>46</v>
      </c>
      <c r="G1752">
        <v>-197.70439999999999</v>
      </c>
      <c r="H1752" s="1">
        <v>2.3800390000000001E-6</v>
      </c>
      <c r="I1752">
        <v>287.10910000000001</v>
      </c>
      <c r="J1752">
        <v>-191.0874</v>
      </c>
      <c r="K1752">
        <v>1.110382</v>
      </c>
      <c r="L1752">
        <v>319.51069999999999</v>
      </c>
      <c r="M1752">
        <v>2.8329649999999998E-3</v>
      </c>
      <c r="N1752">
        <v>0</v>
      </c>
      <c r="O1752">
        <v>-0.99990250000000003</v>
      </c>
      <c r="P1752">
        <v>-0.1657554</v>
      </c>
      <c r="Q1752">
        <v>0.1568377</v>
      </c>
      <c r="R1752">
        <v>-0.97361540000000002</v>
      </c>
      <c r="S1752">
        <v>-0.60472109999999901</v>
      </c>
      <c r="T1752">
        <v>-0.10148020000000001</v>
      </c>
      <c r="U1752">
        <v>-2.9933779999999999</v>
      </c>
      <c r="V1752">
        <v>0.16863510000000001</v>
      </c>
      <c r="W1752">
        <v>0.17</v>
      </c>
      <c r="X1752">
        <v>0.97090790000000005</v>
      </c>
      <c r="Y1752">
        <v>0.20068639999999999</v>
      </c>
      <c r="Z1752">
        <v>3.3202259999999997E-2</v>
      </c>
      <c r="AA1752">
        <v>0.97909270000000004</v>
      </c>
      <c r="AB1752">
        <v>23</v>
      </c>
      <c r="AC1752">
        <v>-6.6169999999999902</v>
      </c>
      <c r="AD1752">
        <v>-1.1103796199610001</v>
      </c>
      <c r="AE1752">
        <v>-32.401599999999902</v>
      </c>
      <c r="AF1752">
        <v>6.70121988988305</v>
      </c>
      <c r="AG1752">
        <v>-1.1103796199610001</v>
      </c>
      <c r="AH1752">
        <v>32.346256374179298</v>
      </c>
      <c r="AI1752">
        <v>91.925223265879495</v>
      </c>
      <c r="AJ1752">
        <v>78.295529286259594</v>
      </c>
      <c r="AK1752">
        <v>33.051771394845403</v>
      </c>
      <c r="AL1752">
        <v>80.212180682514401</v>
      </c>
      <c r="AM1752">
        <v>80.146706245292606</v>
      </c>
      <c r="AN1752">
        <v>0.99999997361720905</v>
      </c>
    </row>
    <row r="1753" spans="1:40" x14ac:dyDescent="0.25">
      <c r="A1753" t="str">
        <f>"20190312164022887"</f>
        <v>20190312164022887</v>
      </c>
      <c r="B1753" t="str">
        <f>"1552380022877539"</f>
        <v>1552380022877539</v>
      </c>
      <c r="C1753" t="s">
        <v>40</v>
      </c>
      <c r="D1753">
        <v>6.2773839999999996</v>
      </c>
      <c r="E1753">
        <v>0.518903</v>
      </c>
      <c r="F1753" t="s">
        <v>46</v>
      </c>
      <c r="G1753">
        <v>-197.5959</v>
      </c>
      <c r="H1753" s="1">
        <v>2.3621249999999999E-6</v>
      </c>
      <c r="I1753">
        <v>287.53429999999997</v>
      </c>
      <c r="J1753">
        <v>-191.0873</v>
      </c>
      <c r="K1753">
        <v>1.110384</v>
      </c>
      <c r="L1753">
        <v>319.28640000000001</v>
      </c>
      <c r="M1753">
        <v>2.3925320000000002E-3</v>
      </c>
      <c r="N1753">
        <v>0</v>
      </c>
      <c r="O1753">
        <v>-0.99990369999999995</v>
      </c>
      <c r="P1753">
        <v>-0.16868339999999901</v>
      </c>
      <c r="Q1753">
        <v>0.15894739999999999</v>
      </c>
      <c r="R1753">
        <v>-0.97277009999999997</v>
      </c>
      <c r="S1753">
        <v>-0.60945130000000003</v>
      </c>
      <c r="T1753">
        <v>-0.10397579999999999</v>
      </c>
      <c r="U1753">
        <v>-2.9942630000000001</v>
      </c>
      <c r="V1753">
        <v>0.17113709999999999</v>
      </c>
      <c r="W1753">
        <v>0.1720981</v>
      </c>
      <c r="X1753">
        <v>0.97010019999999997</v>
      </c>
      <c r="Y1753">
        <v>0.201679</v>
      </c>
      <c r="Z1753">
        <v>3.399924E-2</v>
      </c>
      <c r="AA1753">
        <v>0.97886139999999999</v>
      </c>
      <c r="AB1753">
        <v>23</v>
      </c>
      <c r="AC1753">
        <v>-6.5086000000000004</v>
      </c>
      <c r="AD1753">
        <v>-1.110381637875</v>
      </c>
      <c r="AE1753">
        <v>-31.752099999999999</v>
      </c>
      <c r="AF1753">
        <v>6.5768377253538697</v>
      </c>
      <c r="AG1753">
        <v>-1.110381637875</v>
      </c>
      <c r="AH1753">
        <v>31.6992330090855</v>
      </c>
      <c r="AI1753">
        <v>91.964373773377005</v>
      </c>
      <c r="AJ1753">
        <v>78.278784102602799</v>
      </c>
      <c r="AK1753">
        <v>32.393349860915301</v>
      </c>
      <c r="AL1753">
        <v>80.090170822230306</v>
      </c>
      <c r="AM1753">
        <v>79.995288108094698</v>
      </c>
      <c r="AN1753">
        <v>1.0000000305300201</v>
      </c>
    </row>
    <row r="1754" spans="1:40" x14ac:dyDescent="0.25">
      <c r="A1754" t="str">
        <f>"20190312164022909"</f>
        <v>20190312164022909</v>
      </c>
      <c r="B1754" t="str">
        <f>"1552380022898023"</f>
        <v>1552380022898023</v>
      </c>
      <c r="C1754" t="s">
        <v>40</v>
      </c>
      <c r="D1754">
        <v>5.8656790000000001</v>
      </c>
      <c r="E1754">
        <v>0.51712320000000001</v>
      </c>
      <c r="F1754" t="s">
        <v>46</v>
      </c>
      <c r="G1754">
        <v>-197.97300000000001</v>
      </c>
      <c r="H1754" s="1">
        <v>2.4421260000000002E-6</v>
      </c>
      <c r="I1754">
        <v>285.85399999999998</v>
      </c>
      <c r="J1754">
        <v>-191.0873</v>
      </c>
      <c r="K1754">
        <v>1.1103780000000001</v>
      </c>
      <c r="L1754">
        <v>319.05900000000003</v>
      </c>
      <c r="M1754">
        <v>1.928377E-3</v>
      </c>
      <c r="N1754">
        <v>0</v>
      </c>
      <c r="O1754">
        <v>-0.99990469999999998</v>
      </c>
      <c r="P1754">
        <v>-0.1716666</v>
      </c>
      <c r="Q1754">
        <v>0.160860999999999</v>
      </c>
      <c r="R1754">
        <v>-0.97193320000000005</v>
      </c>
      <c r="S1754">
        <v>-0.61650090000000002</v>
      </c>
      <c r="T1754">
        <v>-9.941614E-2</v>
      </c>
      <c r="U1754">
        <v>-2.9933169999999998</v>
      </c>
      <c r="V1754">
        <v>0.1736733</v>
      </c>
      <c r="W1754">
        <v>0.17399829999999999</v>
      </c>
      <c r="X1754">
        <v>0.96931020000000001</v>
      </c>
      <c r="Y1754">
        <v>0.20350699999999999</v>
      </c>
      <c r="Z1754">
        <v>3.2506220000000002E-2</v>
      </c>
      <c r="AA1754">
        <v>0.97853369999999995</v>
      </c>
      <c r="AB1754">
        <v>23</v>
      </c>
      <c r="AC1754">
        <v>-6.8856999999999804</v>
      </c>
      <c r="AD1754">
        <v>-1.110375557874</v>
      </c>
      <c r="AE1754">
        <v>-33.204999999999899</v>
      </c>
      <c r="AF1754">
        <v>6.9422819046872402</v>
      </c>
      <c r="AG1754">
        <v>-1.110375557874</v>
      </c>
      <c r="AH1754">
        <v>33.156111105248797</v>
      </c>
      <c r="AI1754">
        <v>91.877398049502105</v>
      </c>
      <c r="AJ1754">
        <v>78.174156438551407</v>
      </c>
      <c r="AK1754">
        <v>33.8933019274793</v>
      </c>
      <c r="AL1754">
        <v>79.979629805216504</v>
      </c>
      <c r="AM1754">
        <v>79.841981935328405</v>
      </c>
      <c r="AN1754">
        <v>1.0000000436798999</v>
      </c>
    </row>
    <row r="1755" spans="1:40" x14ac:dyDescent="0.25">
      <c r="A1755" t="str">
        <f>"20190312164022933"</f>
        <v>20190312164022933</v>
      </c>
      <c r="B1755" t="str">
        <f>"1552380022928276"</f>
        <v>1552380022928276</v>
      </c>
      <c r="C1755" t="s">
        <v>40</v>
      </c>
      <c r="D1755">
        <v>5.8478899999999996</v>
      </c>
      <c r="E1755">
        <v>0.51937509999999998</v>
      </c>
      <c r="F1755" t="s">
        <v>41</v>
      </c>
      <c r="G1755">
        <v>-194.52269999999999</v>
      </c>
      <c r="H1755" s="1">
        <v>-2.2099300000000002E-6</v>
      </c>
      <c r="I1755">
        <v>301.93540000000002</v>
      </c>
      <c r="J1755">
        <v>-191.0874</v>
      </c>
      <c r="K1755">
        <v>1.1103700000000001</v>
      </c>
      <c r="L1755">
        <v>318.82049999999998</v>
      </c>
      <c r="M1755">
        <v>1.412244E-3</v>
      </c>
      <c r="N1755">
        <v>0</v>
      </c>
      <c r="O1755">
        <v>-0.99990570000000001</v>
      </c>
      <c r="P1755">
        <v>-0.17460030000000001</v>
      </c>
      <c r="Q1755">
        <v>0.16234129999999899</v>
      </c>
      <c r="R1755">
        <v>-0.97116449999999999</v>
      </c>
      <c r="S1755">
        <v>-0.60430909999999904</v>
      </c>
      <c r="T1755">
        <v>-0.19532479999999999</v>
      </c>
      <c r="U1755">
        <v>-3.0121769999999999</v>
      </c>
      <c r="V1755">
        <v>0.176112299999999</v>
      </c>
      <c r="W1755">
        <v>0.1754627</v>
      </c>
      <c r="X1755">
        <v>0.96860590000000002</v>
      </c>
      <c r="Y1755">
        <v>0.1976909</v>
      </c>
      <c r="Z1755">
        <v>6.3441070000000002E-2</v>
      </c>
      <c r="AA1755">
        <v>0.97820940000000001</v>
      </c>
      <c r="AB1755">
        <v>23</v>
      </c>
      <c r="AC1755">
        <v>-3.4352999999999798</v>
      </c>
      <c r="AD1755">
        <v>-1.11037220993</v>
      </c>
      <c r="AE1755">
        <v>-16.885099999999898</v>
      </c>
      <c r="AF1755">
        <v>3.4448397919073401</v>
      </c>
      <c r="AG1755">
        <v>-1.11037220993</v>
      </c>
      <c r="AH1755">
        <v>16.810425003645701</v>
      </c>
      <c r="AI1755">
        <v>93.702328892394604</v>
      </c>
      <c r="AJ1755">
        <v>78.4191172744938</v>
      </c>
      <c r="AK1755">
        <v>17.195645857009499</v>
      </c>
      <c r="AL1755">
        <v>79.894414958505607</v>
      </c>
      <c r="AM1755">
        <v>79.6950312032303</v>
      </c>
      <c r="AN1755">
        <v>1.0000000454086899</v>
      </c>
    </row>
    <row r="1756" spans="1:40" x14ac:dyDescent="0.25">
      <c r="A1756" t="str">
        <f>"20190312164022953"</f>
        <v>20190312164022953</v>
      </c>
      <c r="B1756" t="str">
        <f>"1552380022947795"</f>
        <v>1552380022947795</v>
      </c>
      <c r="C1756" t="s">
        <v>40</v>
      </c>
      <c r="D1756">
        <v>5.7152919999999998</v>
      </c>
      <c r="E1756">
        <v>0.51880420000000005</v>
      </c>
      <c r="F1756" t="s">
        <v>41</v>
      </c>
      <c r="G1756">
        <v>-194.31809999999999</v>
      </c>
      <c r="H1756" s="1">
        <v>-2.7582480000000002E-6</v>
      </c>
      <c r="I1756">
        <v>303.34050000000002</v>
      </c>
      <c r="J1756">
        <v>-191.08770000000001</v>
      </c>
      <c r="K1756">
        <v>1.1103529999999999</v>
      </c>
      <c r="L1756">
        <v>318.60469999999998</v>
      </c>
      <c r="M1756">
        <v>9.1230860000000001E-4</v>
      </c>
      <c r="N1756">
        <v>0</v>
      </c>
      <c r="O1756">
        <v>-0.99990619999999997</v>
      </c>
      <c r="P1756">
        <v>-0.17738880000000001</v>
      </c>
      <c r="Q1756">
        <v>0.1636888</v>
      </c>
      <c r="R1756">
        <v>-0.97043259999999998</v>
      </c>
      <c r="S1756">
        <v>-0.62863159999999996</v>
      </c>
      <c r="T1756">
        <v>-0.21605869999999999</v>
      </c>
      <c r="U1756">
        <v>-3.012146</v>
      </c>
      <c r="V1756">
        <v>0.1784241</v>
      </c>
      <c r="W1756">
        <v>0.17679339999999999</v>
      </c>
      <c r="X1756">
        <v>0.96794060000000004</v>
      </c>
      <c r="Y1756">
        <v>0.2046886</v>
      </c>
      <c r="Z1756">
        <v>7.0037219999999997E-2</v>
      </c>
      <c r="AA1756">
        <v>0.97631820000000002</v>
      </c>
      <c r="AB1756">
        <v>23</v>
      </c>
      <c r="AC1756">
        <v>-3.2303999999999702</v>
      </c>
      <c r="AD1756">
        <v>-1.1103557582479999</v>
      </c>
      <c r="AE1756">
        <v>-15.264199999999899</v>
      </c>
      <c r="AF1756">
        <v>3.2279771003753699</v>
      </c>
      <c r="AG1756">
        <v>-1.1103557582479999</v>
      </c>
      <c r="AH1756">
        <v>15.1843431375957</v>
      </c>
      <c r="AI1756">
        <v>94.091208249984803</v>
      </c>
      <c r="AJ1756">
        <v>77.998392257256398</v>
      </c>
      <c r="AK1756">
        <v>15.5633223506638</v>
      </c>
      <c r="AL1756">
        <v>79.816960536339707</v>
      </c>
      <c r="AM1756">
        <v>79.555697494117297</v>
      </c>
      <c r="AN1756">
        <v>1.0000000354363601</v>
      </c>
    </row>
    <row r="1757" spans="1:40" x14ac:dyDescent="0.25">
      <c r="A1757" t="str">
        <f>"20190312164022978"</f>
        <v>20190312164022978</v>
      </c>
      <c r="B1757" t="str">
        <f>"1552380022968292"</f>
        <v>1552380022968292</v>
      </c>
      <c r="C1757" t="s">
        <v>40</v>
      </c>
      <c r="D1757">
        <v>5.7194219999999998</v>
      </c>
      <c r="E1757">
        <v>0.51791149999999997</v>
      </c>
      <c r="F1757" t="s">
        <v>41</v>
      </c>
      <c r="G1757">
        <v>-194.68340000000001</v>
      </c>
      <c r="H1757" s="1">
        <v>-2.0764769999999999E-6</v>
      </c>
      <c r="I1757">
        <v>301.52460000000002</v>
      </c>
      <c r="J1757">
        <v>-191.0882</v>
      </c>
      <c r="K1757">
        <v>1.1103339999999999</v>
      </c>
      <c r="L1757">
        <v>318.36520000000002</v>
      </c>
      <c r="M1757">
        <v>3.172405E-4</v>
      </c>
      <c r="N1757">
        <v>0</v>
      </c>
      <c r="O1757">
        <v>-0.99990670000000004</v>
      </c>
      <c r="P1757">
        <v>-0.1806518</v>
      </c>
      <c r="Q1757">
        <v>0.164981399999999</v>
      </c>
      <c r="R1757">
        <v>-0.96961180000000002</v>
      </c>
      <c r="S1757">
        <v>-0.63337710000000003</v>
      </c>
      <c r="T1757">
        <v>-0.1955856</v>
      </c>
      <c r="U1757">
        <v>-3.0086059999999999</v>
      </c>
      <c r="V1757">
        <v>0.18112149999999999</v>
      </c>
      <c r="W1757">
        <v>0.1780641</v>
      </c>
      <c r="X1757">
        <v>0.96720640000000002</v>
      </c>
      <c r="Y1757">
        <v>0.2059011</v>
      </c>
      <c r="Z1757">
        <v>6.3483890000000001E-2</v>
      </c>
      <c r="AA1757">
        <v>0.97651140000000003</v>
      </c>
      <c r="AB1757">
        <v>23</v>
      </c>
      <c r="AC1757">
        <v>-3.5952000000000002</v>
      </c>
      <c r="AD1757">
        <v>-1.1103360764769901</v>
      </c>
      <c r="AE1757">
        <v>-16.840599999999899</v>
      </c>
      <c r="AF1757">
        <v>3.5856353477876399</v>
      </c>
      <c r="AG1757">
        <v>-1.1103360764769901</v>
      </c>
      <c r="AH1757">
        <v>16.769737333643601</v>
      </c>
      <c r="AI1757">
        <v>93.704570905788302</v>
      </c>
      <c r="AJ1757">
        <v>77.9309856938293</v>
      </c>
      <c r="AK1757">
        <v>17.184694273958701</v>
      </c>
      <c r="AL1757">
        <v>79.742980849760798</v>
      </c>
      <c r="AM1757">
        <v>79.393490227555304</v>
      </c>
      <c r="AN1757">
        <v>1.000000020836</v>
      </c>
    </row>
    <row r="1758" spans="1:40" x14ac:dyDescent="0.25">
      <c r="A1758" t="str">
        <f>"20190312164023000"</f>
        <v>20190312164023000</v>
      </c>
      <c r="B1758" t="str">
        <f>"1552380022987812"</f>
        <v>1552380022987812</v>
      </c>
      <c r="C1758" t="s">
        <v>40</v>
      </c>
      <c r="D1758">
        <v>5.7201559999999896</v>
      </c>
      <c r="E1758">
        <v>0.51554949999999999</v>
      </c>
      <c r="F1758" t="s">
        <v>46</v>
      </c>
      <c r="G1758">
        <v>-195.16909999999999</v>
      </c>
      <c r="H1758" s="1">
        <v>8.5788559999999994E-8</v>
      </c>
      <c r="I1758">
        <v>299.12920000000003</v>
      </c>
      <c r="J1758">
        <v>-191.0889</v>
      </c>
      <c r="K1758">
        <v>1.1103130000000001</v>
      </c>
      <c r="L1758">
        <v>318.13350000000003</v>
      </c>
      <c r="M1758">
        <v>-3.0320050000000001E-4</v>
      </c>
      <c r="N1758">
        <v>0</v>
      </c>
      <c r="O1758">
        <v>-0.99990650000000003</v>
      </c>
      <c r="P1758">
        <v>-0.1832444</v>
      </c>
      <c r="Q1758">
        <v>0.16552069999999999</v>
      </c>
      <c r="R1758">
        <v>-0.96903300000000003</v>
      </c>
      <c r="S1758">
        <v>-0.63746639999999999</v>
      </c>
      <c r="T1758">
        <v>-0.1734414</v>
      </c>
      <c r="U1758">
        <v>-3.004791</v>
      </c>
      <c r="V1758">
        <v>0.1831248</v>
      </c>
      <c r="W1758">
        <v>0.17858399999999999</v>
      </c>
      <c r="X1758">
        <v>0.96673319999999996</v>
      </c>
      <c r="Y1758">
        <v>0.20690439999999999</v>
      </c>
      <c r="Z1758">
        <v>5.6376910000000002E-2</v>
      </c>
      <c r="AA1758">
        <v>0.97673549999999998</v>
      </c>
      <c r="AB1758">
        <v>23</v>
      </c>
      <c r="AC1758">
        <v>-4.0801999999999898</v>
      </c>
      <c r="AD1758">
        <v>-1.1103129142114301</v>
      </c>
      <c r="AE1758">
        <v>-19.004300000000001</v>
      </c>
      <c r="AF1758">
        <v>4.0611855550957703</v>
      </c>
      <c r="AG1758">
        <v>-1.1103129142114301</v>
      </c>
      <c r="AH1758">
        <v>18.9437231921702</v>
      </c>
      <c r="AI1758">
        <v>93.279974583394207</v>
      </c>
      <c r="AJ1758">
        <v>77.899990756720499</v>
      </c>
      <c r="AK1758">
        <v>19.405944224952101</v>
      </c>
      <c r="AL1758">
        <v>79.712707422044701</v>
      </c>
      <c r="AM1758">
        <v>79.273755438962098</v>
      </c>
      <c r="AN1758">
        <v>1.0000000087066301</v>
      </c>
    </row>
    <row r="1759" spans="1:40" x14ac:dyDescent="0.25">
      <c r="A1759" t="str">
        <f>"20190312164023022"</f>
        <v>20190312164023022</v>
      </c>
      <c r="B1759" t="str">
        <f>"1552380023018068"</f>
        <v>1552380023018068</v>
      </c>
      <c r="C1759" t="s">
        <v>40</v>
      </c>
      <c r="D1759">
        <v>5.6727189999999998</v>
      </c>
      <c r="E1759">
        <v>0.48108919999999999</v>
      </c>
      <c r="F1759" t="s">
        <v>46</v>
      </c>
      <c r="G1759">
        <v>-195.4299</v>
      </c>
      <c r="H1759" s="1">
        <v>4.0599920000000002E-7</v>
      </c>
      <c r="I1759">
        <v>297.31099999999998</v>
      </c>
      <c r="J1759">
        <v>-191.08959999999999</v>
      </c>
      <c r="K1759">
        <v>1.1102959999999999</v>
      </c>
      <c r="L1759">
        <v>317.91000000000003</v>
      </c>
      <c r="M1759">
        <v>-9.3818359999999997E-4</v>
      </c>
      <c r="N1759">
        <v>0</v>
      </c>
      <c r="O1759">
        <v>-0.99990590000000001</v>
      </c>
      <c r="P1759">
        <v>-0.1858552</v>
      </c>
      <c r="Q1759">
        <v>0.16589989999999999</v>
      </c>
      <c r="R1759">
        <v>-0.96847039999999995</v>
      </c>
      <c r="S1759">
        <v>-0.6264343</v>
      </c>
      <c r="T1759">
        <v>-0.1602237</v>
      </c>
      <c r="U1759">
        <v>-3.004791</v>
      </c>
      <c r="V1759">
        <v>0.1851314</v>
      </c>
      <c r="W1759">
        <v>0.1789453</v>
      </c>
      <c r="X1759">
        <v>0.96628409999999998</v>
      </c>
      <c r="Y1759">
        <v>0.2028943</v>
      </c>
      <c r="Z1759">
        <v>5.2134439999999997E-2</v>
      </c>
      <c r="AA1759">
        <v>0.97781180000000001</v>
      </c>
      <c r="AB1759">
        <v>23</v>
      </c>
      <c r="AC1759">
        <v>-4.3403000000000098</v>
      </c>
      <c r="AD1759">
        <v>-1.1102955940007999</v>
      </c>
      <c r="AE1759">
        <v>-20.599</v>
      </c>
      <c r="AF1759">
        <v>4.3089840769813996</v>
      </c>
      <c r="AG1759">
        <v>-1.1102955940007999</v>
      </c>
      <c r="AH1759">
        <v>20.545909528973301</v>
      </c>
      <c r="AI1759">
        <v>93.027501804290395</v>
      </c>
      <c r="AJ1759">
        <v>78.155330708347705</v>
      </c>
      <c r="AK1759">
        <v>21.0222381885111</v>
      </c>
      <c r="AL1759">
        <v>79.691667544563501</v>
      </c>
      <c r="AM1759">
        <v>79.154073584639605</v>
      </c>
      <c r="AN1759">
        <v>1.0000000087854299</v>
      </c>
    </row>
    <row r="1760" spans="1:40" x14ac:dyDescent="0.25">
      <c r="A1760" t="str">
        <f>"20190312164023043"</f>
        <v>20190312164023043</v>
      </c>
      <c r="B1760" t="str">
        <f>"1552380023037588"</f>
        <v>1552380023037588</v>
      </c>
      <c r="C1760" t="s">
        <v>40</v>
      </c>
      <c r="D1760">
        <v>5.7608750000000004</v>
      </c>
      <c r="E1760">
        <v>0.48012129999999997</v>
      </c>
      <c r="F1760" t="s">
        <v>46</v>
      </c>
      <c r="G1760">
        <v>-195.3724</v>
      </c>
      <c r="H1760" s="1">
        <v>3.2093389999999999E-6</v>
      </c>
      <c r="I1760">
        <v>282.35480000000001</v>
      </c>
      <c r="J1760">
        <v>-191.09059999999999</v>
      </c>
      <c r="K1760">
        <v>1.1102799999999999</v>
      </c>
      <c r="L1760">
        <v>317.69439999999997</v>
      </c>
      <c r="M1760">
        <v>-1.5779819999999999E-3</v>
      </c>
      <c r="N1760">
        <v>0</v>
      </c>
      <c r="O1760">
        <v>-0.99990520000000005</v>
      </c>
      <c r="P1760">
        <v>-0.18837950000000001</v>
      </c>
      <c r="Q1760">
        <v>0.16571620000000001</v>
      </c>
      <c r="R1760">
        <v>-0.96801409999999999</v>
      </c>
      <c r="S1760">
        <v>-0.36660769999999998</v>
      </c>
      <c r="T1760">
        <v>-9.5042710000000002E-2</v>
      </c>
      <c r="U1760">
        <v>-3.0435789999999998</v>
      </c>
      <c r="V1760">
        <v>0.18704419999999999</v>
      </c>
      <c r="W1760">
        <v>0.17874679999999901</v>
      </c>
      <c r="X1760">
        <v>0.96595240000000004</v>
      </c>
      <c r="Y1760">
        <v>0.117964</v>
      </c>
      <c r="Z1760">
        <v>3.0991149999999999E-2</v>
      </c>
      <c r="AA1760">
        <v>0.99253420000000003</v>
      </c>
      <c r="AB1760">
        <v>23</v>
      </c>
      <c r="AC1760">
        <v>-4.2817999999999996</v>
      </c>
      <c r="AD1760">
        <v>-1.1102767906609901</v>
      </c>
      <c r="AE1760">
        <v>-35.339599999999898</v>
      </c>
      <c r="AF1760">
        <v>4.2219172438956498</v>
      </c>
      <c r="AG1760">
        <v>-1.1102767906609901</v>
      </c>
      <c r="AH1760">
        <v>35.311962815232597</v>
      </c>
      <c r="AI1760">
        <v>91.788170455353495</v>
      </c>
      <c r="AJ1760">
        <v>83.182049804037504</v>
      </c>
      <c r="AK1760">
        <v>35.580781577005197</v>
      </c>
      <c r="AL1760">
        <v>79.703226989332606</v>
      </c>
      <c r="AM1760">
        <v>79.041039324560998</v>
      </c>
      <c r="AN1760">
        <v>0.99999999516481997</v>
      </c>
    </row>
    <row r="1761" spans="1:40" x14ac:dyDescent="0.25">
      <c r="A1761" t="str">
        <f>"20190312164023066"</f>
        <v>20190312164023066</v>
      </c>
      <c r="B1761" t="str">
        <f>"1552380023058084"</f>
        <v>1552380023058084</v>
      </c>
      <c r="C1761" t="s">
        <v>40</v>
      </c>
      <c r="D1761">
        <v>5.709244</v>
      </c>
      <c r="E1761">
        <v>0.47890969999999999</v>
      </c>
      <c r="F1761" t="s">
        <v>46</v>
      </c>
      <c r="G1761">
        <v>-194.8956</v>
      </c>
      <c r="H1761" s="1">
        <v>2.9792249999999998E-6</v>
      </c>
      <c r="I1761">
        <v>285.95440000000002</v>
      </c>
      <c r="J1761">
        <v>-191.09180000000001</v>
      </c>
      <c r="K1761">
        <v>1.11026</v>
      </c>
      <c r="L1761">
        <v>317.46280000000002</v>
      </c>
      <c r="M1761">
        <v>-2.2906049999999998E-3</v>
      </c>
      <c r="N1761">
        <v>0</v>
      </c>
      <c r="O1761">
        <v>-0.99990380000000001</v>
      </c>
      <c r="P1761">
        <v>-0.1906854</v>
      </c>
      <c r="Q1761">
        <v>0.1658618</v>
      </c>
      <c r="R1761">
        <v>-0.9675376</v>
      </c>
      <c r="S1761">
        <v>-0.36518859999999997</v>
      </c>
      <c r="T1761">
        <v>-0.10656060000000001</v>
      </c>
      <c r="U1761">
        <v>-3.0462950000000002</v>
      </c>
      <c r="V1761">
        <v>0.1886669</v>
      </c>
      <c r="W1761">
        <v>0.17887999999999901</v>
      </c>
      <c r="X1761">
        <v>0.96561209999999997</v>
      </c>
      <c r="Y1761">
        <v>0.1166808</v>
      </c>
      <c r="Z1761">
        <v>3.4715349999999999E-2</v>
      </c>
      <c r="AA1761">
        <v>0.99256259999999996</v>
      </c>
      <c r="AB1761">
        <v>23</v>
      </c>
      <c r="AC1761">
        <v>-3.8037999999999901</v>
      </c>
      <c r="AD1761">
        <v>-1.110257020775</v>
      </c>
      <c r="AE1761">
        <v>-31.508399999999899</v>
      </c>
      <c r="AF1761">
        <v>3.7270488025574702</v>
      </c>
      <c r="AG1761">
        <v>-1.110257020775</v>
      </c>
      <c r="AH1761">
        <v>31.478507734229701</v>
      </c>
      <c r="AI1761">
        <v>92.006003008912501</v>
      </c>
      <c r="AJ1761">
        <v>83.247627203787602</v>
      </c>
      <c r="AK1761">
        <v>31.717818534741401</v>
      </c>
      <c r="AL1761">
        <v>79.695470127482196</v>
      </c>
      <c r="AM1761">
        <v>78.944497150302197</v>
      </c>
      <c r="AN1761">
        <v>0.99999999061100997</v>
      </c>
    </row>
    <row r="1762" spans="1:40" x14ac:dyDescent="0.25">
      <c r="A1762" t="str">
        <f>"20190312164023089"</f>
        <v>20190312164023089</v>
      </c>
      <c r="B1762" t="str">
        <f>"1552380023077604"</f>
        <v>1552380023077604</v>
      </c>
      <c r="C1762" t="s">
        <v>40</v>
      </c>
      <c r="D1762">
        <v>5.7945900000000004</v>
      </c>
      <c r="E1762">
        <v>0.47636509999999999</v>
      </c>
      <c r="F1762" t="s">
        <v>46</v>
      </c>
      <c r="G1762">
        <v>-194.3313</v>
      </c>
      <c r="H1762" s="1">
        <v>2.5873970000000001E-6</v>
      </c>
      <c r="I1762">
        <v>290.10230000000001</v>
      </c>
      <c r="J1762">
        <v>-191.0932</v>
      </c>
      <c r="K1762">
        <v>1.1102479999999999</v>
      </c>
      <c r="L1762">
        <v>317.2364</v>
      </c>
      <c r="M1762">
        <v>-3.00608E-3</v>
      </c>
      <c r="N1762">
        <v>0</v>
      </c>
      <c r="O1762">
        <v>-0.99990190000000001</v>
      </c>
      <c r="P1762">
        <v>-0.19258400000000001</v>
      </c>
      <c r="Q1762">
        <v>0.1653763</v>
      </c>
      <c r="R1762">
        <v>-0.96724469999999996</v>
      </c>
      <c r="S1762">
        <v>-0.36120609999999997</v>
      </c>
      <c r="T1762">
        <v>-0.1237935</v>
      </c>
      <c r="U1762">
        <v>-3.0506899999999999</v>
      </c>
      <c r="V1762">
        <v>0.18987689999999999</v>
      </c>
      <c r="W1762">
        <v>0.17838689999999999</v>
      </c>
      <c r="X1762">
        <v>0.96546609999999999</v>
      </c>
      <c r="Y1762">
        <v>0.11449869999999999</v>
      </c>
      <c r="Z1762">
        <v>4.0271460000000002E-2</v>
      </c>
      <c r="AA1762">
        <v>0.99260680000000001</v>
      </c>
      <c r="AB1762">
        <v>23</v>
      </c>
      <c r="AC1762">
        <v>-3.2381000000000002</v>
      </c>
      <c r="AD1762">
        <v>-1.1102454126029999</v>
      </c>
      <c r="AE1762">
        <v>-27.134099999999901</v>
      </c>
      <c r="AF1762">
        <v>3.1513086199762901</v>
      </c>
      <c r="AG1762">
        <v>-1.1102454126029999</v>
      </c>
      <c r="AH1762">
        <v>27.098980227868001</v>
      </c>
      <c r="AI1762">
        <v>92.330409640149398</v>
      </c>
      <c r="AJ1762">
        <v>83.366933802736796</v>
      </c>
      <c r="AK1762">
        <v>27.3041777075399</v>
      </c>
      <c r="AL1762">
        <v>79.724184176443501</v>
      </c>
      <c r="AM1762">
        <v>78.873716432413204</v>
      </c>
      <c r="AN1762">
        <v>0.99999995674721398</v>
      </c>
    </row>
    <row r="1763" spans="1:40" x14ac:dyDescent="0.25">
      <c r="A1763" t="str">
        <f>"20190312164023110"</f>
        <v>20190312164023110</v>
      </c>
      <c r="B1763" t="str">
        <f>"1552380023107860"</f>
        <v>1552380023107860</v>
      </c>
      <c r="C1763" t="s">
        <v>40</v>
      </c>
      <c r="D1763">
        <v>5.4824729999999997</v>
      </c>
      <c r="E1763">
        <v>0.47448950000000001</v>
      </c>
      <c r="F1763" t="s">
        <v>46</v>
      </c>
      <c r="G1763">
        <v>-193.62739999999999</v>
      </c>
      <c r="H1763" s="1">
        <v>1.390212E-6</v>
      </c>
      <c r="I1763">
        <v>294.7629</v>
      </c>
      <c r="J1763">
        <v>-191.09469999999999</v>
      </c>
      <c r="K1763">
        <v>1.110241</v>
      </c>
      <c r="L1763">
        <v>317.01589999999999</v>
      </c>
      <c r="M1763">
        <v>-3.713704E-3</v>
      </c>
      <c r="N1763">
        <v>0</v>
      </c>
      <c r="O1763">
        <v>-0.99989969999999995</v>
      </c>
      <c r="P1763">
        <v>-0.1953676</v>
      </c>
      <c r="Q1763">
        <v>0.16562249999999901</v>
      </c>
      <c r="R1763">
        <v>-0.96664419999999995</v>
      </c>
      <c r="S1763">
        <v>-0.34490969999999999</v>
      </c>
      <c r="T1763">
        <v>-0.15110960000000001</v>
      </c>
      <c r="U1763">
        <v>-3.0587460000000002</v>
      </c>
      <c r="V1763">
        <v>0.19198009999999999</v>
      </c>
      <c r="W1763">
        <v>0.178622</v>
      </c>
      <c r="X1763">
        <v>0.96500660000000005</v>
      </c>
      <c r="Y1763">
        <v>0.1082254</v>
      </c>
      <c r="Z1763">
        <v>4.9041840000000003E-2</v>
      </c>
      <c r="AA1763">
        <v>0.99291600000000002</v>
      </c>
      <c r="AB1763">
        <v>23</v>
      </c>
      <c r="AC1763">
        <v>-2.5327000000000002</v>
      </c>
      <c r="AD1763">
        <v>-1.1102396097880001</v>
      </c>
      <c r="AE1763">
        <v>-22.252999999999901</v>
      </c>
      <c r="AF1763">
        <v>2.4440279285771198</v>
      </c>
      <c r="AG1763">
        <v>-1.1102396097880001</v>
      </c>
      <c r="AH1763">
        <v>22.207681084007401</v>
      </c>
      <c r="AI1763">
        <v>92.844885581811099</v>
      </c>
      <c r="AJ1763">
        <v>83.719685855421204</v>
      </c>
      <c r="AK1763">
        <v>22.369331765517401</v>
      </c>
      <c r="AL1763">
        <v>79.710494074147405</v>
      </c>
      <c r="AM1763">
        <v>78.748380684213004</v>
      </c>
      <c r="AN1763">
        <v>0.99999995786178397</v>
      </c>
    </row>
    <row r="1764" spans="1:40" x14ac:dyDescent="0.25">
      <c r="A1764" t="str">
        <f>"20190312164023134"</f>
        <v>20190312164023134</v>
      </c>
      <c r="B1764" t="str">
        <f>"1552380023128356"</f>
        <v>1552380023128356</v>
      </c>
      <c r="C1764" t="s">
        <v>40</v>
      </c>
      <c r="D1764">
        <v>5.4943390000000001</v>
      </c>
      <c r="E1764">
        <v>0.47373929999999997</v>
      </c>
      <c r="F1764" t="s">
        <v>46</v>
      </c>
      <c r="G1764">
        <v>-193.48259999999999</v>
      </c>
      <c r="H1764" s="1">
        <v>1.1760269999999999E-6</v>
      </c>
      <c r="I1764">
        <v>295.4051</v>
      </c>
      <c r="J1764">
        <v>-191.09639999999999</v>
      </c>
      <c r="K1764">
        <v>1.1102299999999901</v>
      </c>
      <c r="L1764">
        <v>316.79020000000003</v>
      </c>
      <c r="M1764">
        <v>-4.4441970000000004E-3</v>
      </c>
      <c r="N1764">
        <v>0</v>
      </c>
      <c r="O1764">
        <v>-0.99989689999999998</v>
      </c>
      <c r="P1764">
        <v>-0.1979612</v>
      </c>
      <c r="Q1764">
        <v>0.16570090000000001</v>
      </c>
      <c r="R1764">
        <v>-0.96610309999999999</v>
      </c>
      <c r="S1764">
        <v>-0.33834839999999999</v>
      </c>
      <c r="T1764">
        <v>-0.1573119</v>
      </c>
      <c r="U1764">
        <v>-3.0620729999999998</v>
      </c>
      <c r="V1764">
        <v>0.1938706</v>
      </c>
      <c r="W1764">
        <v>0.1786905</v>
      </c>
      <c r="X1764">
        <v>0.96461589999999997</v>
      </c>
      <c r="Y1764">
        <v>0.10526629999999999</v>
      </c>
      <c r="Z1764">
        <v>5.1008570000000003E-2</v>
      </c>
      <c r="AA1764">
        <v>0.99313499999999999</v>
      </c>
      <c r="AB1764">
        <v>23</v>
      </c>
      <c r="AC1764">
        <v>-2.3862000000000001</v>
      </c>
      <c r="AD1764">
        <v>-1.1102288239729901</v>
      </c>
      <c r="AE1764">
        <v>-21.385100000000001</v>
      </c>
      <c r="AF1764">
        <v>2.28504489572359</v>
      </c>
      <c r="AG1764">
        <v>-1.1102288239729901</v>
      </c>
      <c r="AH1764">
        <v>21.338688231442699</v>
      </c>
      <c r="AI1764">
        <v>92.961450932861396</v>
      </c>
      <c r="AJ1764">
        <v>83.887796454632806</v>
      </c>
      <c r="AK1764">
        <v>21.489384673735099</v>
      </c>
      <c r="AL1764">
        <v>79.706505257694005</v>
      </c>
      <c r="AM1764">
        <v>78.635967773926893</v>
      </c>
      <c r="AN1764">
        <v>0.99999996943370895</v>
      </c>
    </row>
    <row r="1765" spans="1:40" x14ac:dyDescent="0.25">
      <c r="A1765" t="str">
        <f>"20190312164023156"</f>
        <v>20190312164023156</v>
      </c>
      <c r="B1765" t="str">
        <f>"1552380023147876"</f>
        <v>1552380023147876</v>
      </c>
      <c r="C1765" t="s">
        <v>40</v>
      </c>
      <c r="D1765">
        <v>5.4717789999999997</v>
      </c>
      <c r="E1765">
        <v>0.47339490000000001</v>
      </c>
      <c r="F1765" t="s">
        <v>46</v>
      </c>
      <c r="G1765">
        <v>-193.29470000000001</v>
      </c>
      <c r="H1765" s="1">
        <v>6.6664639999999997E-7</v>
      </c>
      <c r="I1765">
        <v>296.89319999999998</v>
      </c>
      <c r="J1765">
        <v>-191.09829999999999</v>
      </c>
      <c r="K1765">
        <v>1.1102270000000001</v>
      </c>
      <c r="L1765">
        <v>316.56</v>
      </c>
      <c r="M1765">
        <v>-5.1912939999999999E-3</v>
      </c>
      <c r="N1765">
        <v>0</v>
      </c>
      <c r="O1765">
        <v>-0.99989309999999998</v>
      </c>
      <c r="P1765">
        <v>-0.20060220000000001</v>
      </c>
      <c r="Q1765">
        <v>0.1662565</v>
      </c>
      <c r="R1765">
        <v>-0.96546270000000001</v>
      </c>
      <c r="S1765">
        <v>-0.338653599999999</v>
      </c>
      <c r="T1765">
        <v>-0.17103289999999999</v>
      </c>
      <c r="U1765">
        <v>-3.0651549999999999</v>
      </c>
      <c r="V1765">
        <v>0.19579340000000001</v>
      </c>
      <c r="W1765">
        <v>0.1792357</v>
      </c>
      <c r="X1765">
        <v>0.96412629999999999</v>
      </c>
      <c r="Y1765">
        <v>0.1044863</v>
      </c>
      <c r="Z1765">
        <v>5.5390839999999997E-2</v>
      </c>
      <c r="AA1765">
        <v>0.99298260000000005</v>
      </c>
      <c r="AB1765">
        <v>23</v>
      </c>
      <c r="AC1765">
        <v>-2.1964000000000099</v>
      </c>
      <c r="AD1765">
        <v>-1.1102263333536</v>
      </c>
      <c r="AE1765">
        <v>-19.666799999999999</v>
      </c>
      <c r="AF1765">
        <v>2.0876936021633501</v>
      </c>
      <c r="AG1765">
        <v>-1.1102263333536</v>
      </c>
      <c r="AH1765">
        <v>19.616195247138901</v>
      </c>
      <c r="AI1765">
        <v>93.221185549391294</v>
      </c>
      <c r="AJ1765">
        <v>83.925047313172598</v>
      </c>
      <c r="AK1765">
        <v>19.758192808596199</v>
      </c>
      <c r="AL1765">
        <v>79.674755406659202</v>
      </c>
      <c r="AM1765">
        <v>78.520562946269294</v>
      </c>
      <c r="AN1765">
        <v>1.00000000699487</v>
      </c>
    </row>
    <row r="1766" spans="1:40" x14ac:dyDescent="0.25">
      <c r="A1766" t="str">
        <f>"20190312164023181"</f>
        <v>20190312164023181</v>
      </c>
      <c r="B1766" t="str">
        <f>"1552380023168373"</f>
        <v>1552380023168373</v>
      </c>
      <c r="C1766" t="s">
        <v>40</v>
      </c>
      <c r="D1766">
        <v>5.3700099999999997</v>
      </c>
      <c r="E1766">
        <v>0.47354439999999998</v>
      </c>
      <c r="F1766" t="s">
        <v>46</v>
      </c>
      <c r="G1766">
        <v>-193.31319999999999</v>
      </c>
      <c r="H1766" s="1">
        <v>6.9612369999999999E-7</v>
      </c>
      <c r="I1766">
        <v>296.80520000000001</v>
      </c>
      <c r="J1766">
        <v>-191.10040000000001</v>
      </c>
      <c r="K1766">
        <v>1.1102299999999901</v>
      </c>
      <c r="L1766">
        <v>316.32229999999998</v>
      </c>
      <c r="M1766">
        <v>-5.9634650000000003E-3</v>
      </c>
      <c r="N1766">
        <v>0</v>
      </c>
      <c r="O1766">
        <v>-0.99988880000000002</v>
      </c>
      <c r="P1766">
        <v>-0.20315810000000001</v>
      </c>
      <c r="Q1766">
        <v>0.1669418</v>
      </c>
      <c r="R1766">
        <v>-0.96480960000000004</v>
      </c>
      <c r="S1766">
        <v>-0.34371950000000001</v>
      </c>
      <c r="T1766">
        <v>-0.17228689999999999</v>
      </c>
      <c r="U1766">
        <v>-3.065582</v>
      </c>
      <c r="V1766">
        <v>0.19760730000000001</v>
      </c>
      <c r="W1766">
        <v>0.17991070000000001</v>
      </c>
      <c r="X1766">
        <v>0.9636304</v>
      </c>
      <c r="Y1766">
        <v>0.1053216</v>
      </c>
      <c r="Z1766">
        <v>5.5780110000000001E-2</v>
      </c>
      <c r="AA1766">
        <v>0.99287259999999999</v>
      </c>
      <c r="AB1766">
        <v>22</v>
      </c>
      <c r="AC1766">
        <v>-2.2127999999999801</v>
      </c>
      <c r="AD1766">
        <v>-1.11022930387629</v>
      </c>
      <c r="AE1766">
        <v>-19.5170999999999</v>
      </c>
      <c r="AF1766">
        <v>2.0896840437189499</v>
      </c>
      <c r="AG1766">
        <v>-1.11022930387629</v>
      </c>
      <c r="AH1766">
        <v>19.467753913542701</v>
      </c>
      <c r="AI1766">
        <v>93.245390667530899</v>
      </c>
      <c r="AJ1766">
        <v>83.873284779825596</v>
      </c>
      <c r="AK1766">
        <v>19.6110384974385</v>
      </c>
      <c r="AL1766">
        <v>79.635441898692704</v>
      </c>
      <c r="AM1766">
        <v>78.411275142892407</v>
      </c>
      <c r="AN1766">
        <v>1.0000000263959601</v>
      </c>
    </row>
    <row r="1767" spans="1:40" x14ac:dyDescent="0.25">
      <c r="A1767" t="str">
        <f>"20190312164023202"</f>
        <v>20190312164023202</v>
      </c>
      <c r="B1767" t="str">
        <f>"1552380023197652"</f>
        <v>1552380023197652</v>
      </c>
      <c r="C1767" t="s">
        <v>40</v>
      </c>
      <c r="D1767">
        <v>5.436007</v>
      </c>
      <c r="E1767">
        <v>0.47445920000000003</v>
      </c>
      <c r="F1767" t="s">
        <v>46</v>
      </c>
      <c r="G1767">
        <v>-193.34479999999999</v>
      </c>
      <c r="H1767" s="1">
        <v>7.0700959999999995E-7</v>
      </c>
      <c r="I1767">
        <v>296.76650000000001</v>
      </c>
      <c r="J1767">
        <v>-191.1027</v>
      </c>
      <c r="K1767">
        <v>1.110247</v>
      </c>
      <c r="L1767">
        <v>316.09840000000003</v>
      </c>
      <c r="M1767">
        <v>-6.6923109999999899E-3</v>
      </c>
      <c r="N1767">
        <v>0</v>
      </c>
      <c r="O1767">
        <v>-0.999884</v>
      </c>
      <c r="P1767">
        <v>-0.20636769999999999</v>
      </c>
      <c r="Q1767">
        <v>0.1671783</v>
      </c>
      <c r="R1767">
        <v>-0.96408689999999997</v>
      </c>
      <c r="S1767">
        <v>-0.35182190000000002</v>
      </c>
      <c r="T1767">
        <v>-0.17403360000000001</v>
      </c>
      <c r="U1767">
        <v>-3.0654599999999999</v>
      </c>
      <c r="V1767">
        <v>0.20011680000000001</v>
      </c>
      <c r="W1767">
        <v>0.18013680000000001</v>
      </c>
      <c r="X1767">
        <v>0.96307010000000004</v>
      </c>
      <c r="Y1767">
        <v>0.1071883</v>
      </c>
      <c r="Z1767">
        <v>5.6331699999999998E-2</v>
      </c>
      <c r="AA1767">
        <v>0.99264160000000001</v>
      </c>
      <c r="AB1767">
        <v>22</v>
      </c>
      <c r="AC1767">
        <v>-2.24209999999999</v>
      </c>
      <c r="AD1767">
        <v>-1.1102462929904</v>
      </c>
      <c r="AE1767">
        <v>-19.331900000000001</v>
      </c>
      <c r="AF1767">
        <v>2.1058091883841699</v>
      </c>
      <c r="AG1767">
        <v>-1.1102462929904</v>
      </c>
      <c r="AH1767">
        <v>19.283714036021401</v>
      </c>
      <c r="AI1767">
        <v>93.275695992128703</v>
      </c>
      <c r="AJ1767">
        <v>83.767912985522003</v>
      </c>
      <c r="AK1767">
        <v>19.430097946022599</v>
      </c>
      <c r="AL1767">
        <v>79.622271976333707</v>
      </c>
      <c r="AM1767">
        <v>78.261523597105494</v>
      </c>
      <c r="AN1767">
        <v>1.0000000089352401</v>
      </c>
    </row>
    <row r="1768" spans="1:40" x14ac:dyDescent="0.25">
      <c r="A1768" t="str">
        <f>"20190312164023224"</f>
        <v>20190312164023224</v>
      </c>
      <c r="B1768" t="str">
        <f>"1552380023218148"</f>
        <v>1552380023218148</v>
      </c>
      <c r="C1768" t="s">
        <v>40</v>
      </c>
      <c r="D1768">
        <v>5.2432400000000001</v>
      </c>
      <c r="E1768">
        <v>0.5172911</v>
      </c>
      <c r="F1768" t="s">
        <v>46</v>
      </c>
      <c r="G1768">
        <v>-193.33750000000001</v>
      </c>
      <c r="H1768" s="1">
        <v>4.4927219999999999E-7</v>
      </c>
      <c r="I1768">
        <v>297.49740000000003</v>
      </c>
      <c r="J1768">
        <v>-191.10499999999999</v>
      </c>
      <c r="K1768">
        <v>1.1102459999999901</v>
      </c>
      <c r="L1768">
        <v>315.88299999999998</v>
      </c>
      <c r="M1768">
        <v>-7.3948240000000004E-3</v>
      </c>
      <c r="N1768">
        <v>0</v>
      </c>
      <c r="O1768">
        <v>-0.99987950000000003</v>
      </c>
      <c r="P1768">
        <v>-0.20974100000000001</v>
      </c>
      <c r="Q1768">
        <v>0.16740650000000001</v>
      </c>
      <c r="R1768">
        <v>-0.9633195</v>
      </c>
      <c r="S1768">
        <v>-0.36820979999999998</v>
      </c>
      <c r="T1768">
        <v>-0.1829249</v>
      </c>
      <c r="U1768">
        <v>-3.0646969999999998</v>
      </c>
      <c r="V1768">
        <v>0.20281679999999999</v>
      </c>
      <c r="W1768">
        <v>0.1803525</v>
      </c>
      <c r="X1768">
        <v>0.96246469999999995</v>
      </c>
      <c r="Y1768">
        <v>0.1117327</v>
      </c>
      <c r="Z1768">
        <v>5.9180700000000003E-2</v>
      </c>
      <c r="AA1768">
        <v>0.99197449999999998</v>
      </c>
      <c r="AB1768">
        <v>22</v>
      </c>
      <c r="AC1768">
        <v>-2.2325000000000101</v>
      </c>
      <c r="AD1768">
        <v>-1.11024555072779</v>
      </c>
      <c r="AE1768">
        <v>-18.385599999999901</v>
      </c>
      <c r="AF1768">
        <v>2.0889611819387999</v>
      </c>
      <c r="AG1768">
        <v>-1.11024555072779</v>
      </c>
      <c r="AH1768">
        <v>18.3357170521905</v>
      </c>
      <c r="AI1768">
        <v>93.442867067943894</v>
      </c>
      <c r="AJ1768">
        <v>83.500400694053894</v>
      </c>
      <c r="AK1768">
        <v>18.487696552587298</v>
      </c>
      <c r="AL1768">
        <v>79.609707280524105</v>
      </c>
      <c r="AM1768">
        <v>78.100360474925907</v>
      </c>
      <c r="AN1768">
        <v>0.99999998868228901</v>
      </c>
    </row>
    <row r="1769" spans="1:40" x14ac:dyDescent="0.25">
      <c r="A1769" t="str">
        <f>"20190312164023245"</f>
        <v>20190312164023245</v>
      </c>
      <c r="B1769" t="str">
        <f>"1552380023237668"</f>
        <v>1552380023237668</v>
      </c>
      <c r="C1769" t="s">
        <v>40</v>
      </c>
      <c r="D1769">
        <v>5.1995420000000001</v>
      </c>
      <c r="E1769">
        <v>0.52239079999999904</v>
      </c>
      <c r="F1769" t="s">
        <v>46</v>
      </c>
      <c r="G1769">
        <v>-195.37309999999999</v>
      </c>
      <c r="H1769" s="1">
        <v>2.8527429999999999E-7</v>
      </c>
      <c r="I1769">
        <v>297.99650000000003</v>
      </c>
      <c r="J1769">
        <v>-191.10740000000001</v>
      </c>
      <c r="K1769">
        <v>1.1102459999999901</v>
      </c>
      <c r="L1769">
        <v>315.66640000000001</v>
      </c>
      <c r="M1769">
        <v>-8.1056919999999994E-3</v>
      </c>
      <c r="N1769">
        <v>0</v>
      </c>
      <c r="O1769">
        <v>-0.99987380000000003</v>
      </c>
      <c r="P1769">
        <v>-0.2134384</v>
      </c>
      <c r="Q1769">
        <v>0.16759370000000001</v>
      </c>
      <c r="R1769">
        <v>-0.96247419999999995</v>
      </c>
      <c r="S1769">
        <v>-0.71372990000000003</v>
      </c>
      <c r="T1769">
        <v>-0.18565870000000001</v>
      </c>
      <c r="U1769">
        <v>-2.991028</v>
      </c>
      <c r="V1769">
        <v>0.20583460000000001</v>
      </c>
      <c r="W1769">
        <v>0.18052650000000001</v>
      </c>
      <c r="X1769">
        <v>0.96179119999999996</v>
      </c>
      <c r="Y1769">
        <v>0.22379170000000001</v>
      </c>
      <c r="Z1769">
        <v>6.0320409999999998E-2</v>
      </c>
      <c r="AA1769">
        <v>0.97276859999999998</v>
      </c>
      <c r="AB1769">
        <v>22</v>
      </c>
      <c r="AC1769">
        <v>-4.2656999999999803</v>
      </c>
      <c r="AD1769">
        <v>-1.1102457147257001</v>
      </c>
      <c r="AE1769">
        <v>-17.669899999999899</v>
      </c>
      <c r="AF1769">
        <v>4.1069984446502996</v>
      </c>
      <c r="AG1769">
        <v>-1.1102457147257001</v>
      </c>
      <c r="AH1769">
        <v>17.638099731071598</v>
      </c>
      <c r="AI1769">
        <v>93.508176844939499</v>
      </c>
      <c r="AJ1769">
        <v>76.892345506105599</v>
      </c>
      <c r="AK1769">
        <v>18.143942347093599</v>
      </c>
      <c r="AL1769">
        <v>79.599571628974303</v>
      </c>
      <c r="AM1769">
        <v>77.920252642509297</v>
      </c>
      <c r="AN1769">
        <v>1.00000000607842</v>
      </c>
    </row>
    <row r="1770" spans="1:40" x14ac:dyDescent="0.25">
      <c r="A1770" t="str">
        <f>"20190312164023266"</f>
        <v>20190312164023266</v>
      </c>
      <c r="B1770" t="str">
        <f>"1552380023258164"</f>
        <v>1552380023258164</v>
      </c>
      <c r="C1770" t="s">
        <v>40</v>
      </c>
      <c r="D1770">
        <v>5.125318</v>
      </c>
      <c r="E1770">
        <v>0.52312209999999904</v>
      </c>
      <c r="F1770" t="s">
        <v>41</v>
      </c>
      <c r="G1770">
        <v>-195.07990000000001</v>
      </c>
      <c r="H1770" s="1">
        <v>-1.5801469999999999E-6</v>
      </c>
      <c r="I1770">
        <v>300.12180000000001</v>
      </c>
      <c r="J1770">
        <v>-191.11009999999999</v>
      </c>
      <c r="K1770">
        <v>1.11025</v>
      </c>
      <c r="L1770">
        <v>315.4477</v>
      </c>
      <c r="M1770">
        <v>-8.8301579999999994E-3</v>
      </c>
      <c r="N1770">
        <v>0</v>
      </c>
      <c r="O1770">
        <v>-0.99986779999999997</v>
      </c>
      <c r="P1770">
        <v>-0.2163977</v>
      </c>
      <c r="Q1770">
        <v>0.16768279999999999</v>
      </c>
      <c r="R1770">
        <v>-0.96179780000000004</v>
      </c>
      <c r="S1770">
        <v>-0.76281739999999998</v>
      </c>
      <c r="T1770">
        <v>-0.21319370000000001</v>
      </c>
      <c r="U1770">
        <v>-2.9849239999999999</v>
      </c>
      <c r="V1770">
        <v>0.20810190000000001</v>
      </c>
      <c r="W1770">
        <v>0.1806034</v>
      </c>
      <c r="X1770">
        <v>0.9612887</v>
      </c>
      <c r="Y1770">
        <v>0.23844199999999999</v>
      </c>
      <c r="Z1770">
        <v>6.9105600000000003E-2</v>
      </c>
      <c r="AA1770">
        <v>0.96869490000000003</v>
      </c>
      <c r="AB1770">
        <v>22</v>
      </c>
      <c r="AC1770">
        <v>-3.9698000000000202</v>
      </c>
      <c r="AD1770">
        <v>-1.1102515801470001</v>
      </c>
      <c r="AE1770">
        <v>-15.325899999999899</v>
      </c>
      <c r="AF1770">
        <v>3.8155376747229401</v>
      </c>
      <c r="AG1770">
        <v>-1.1102515801470001</v>
      </c>
      <c r="AH1770">
        <v>15.285187145013101</v>
      </c>
      <c r="AI1770">
        <v>94.031158261804293</v>
      </c>
      <c r="AJ1770">
        <v>75.984076214101194</v>
      </c>
      <c r="AK1770">
        <v>15.7932875734131</v>
      </c>
      <c r="AL1770">
        <v>79.595091643464897</v>
      </c>
      <c r="AM1770">
        <v>77.784972534640403</v>
      </c>
      <c r="AN1770">
        <v>0.99999997681142905</v>
      </c>
    </row>
    <row r="1771" spans="1:40" x14ac:dyDescent="0.25">
      <c r="A1771" t="str">
        <f>"20190312164023289"</f>
        <v>20190312164023289</v>
      </c>
      <c r="B1771" t="str">
        <f>"1552380023277684"</f>
        <v>1552380023277684</v>
      </c>
      <c r="C1771" t="s">
        <v>40</v>
      </c>
      <c r="D1771">
        <v>5.1217610000000002</v>
      </c>
      <c r="E1771">
        <v>0.52390369999999997</v>
      </c>
      <c r="F1771" t="s">
        <v>41</v>
      </c>
      <c r="G1771">
        <v>-194.9256</v>
      </c>
      <c r="H1771" s="1">
        <v>-1.8187930000000001E-6</v>
      </c>
      <c r="I1771">
        <v>300.77379999999999</v>
      </c>
      <c r="J1771">
        <v>-191.1129</v>
      </c>
      <c r="K1771">
        <v>1.1102449999999999</v>
      </c>
      <c r="L1771">
        <v>315.2276</v>
      </c>
      <c r="M1771">
        <v>-9.5699830000000007E-3</v>
      </c>
      <c r="N1771">
        <v>0</v>
      </c>
      <c r="O1771">
        <v>-0.99986109999999995</v>
      </c>
      <c r="P1771">
        <v>-0.21953790000000001</v>
      </c>
      <c r="Q1771">
        <v>0.16782359999999999</v>
      </c>
      <c r="R1771">
        <v>-0.96106130000000001</v>
      </c>
      <c r="S1771">
        <v>-0.77587890000000004</v>
      </c>
      <c r="T1771">
        <v>-0.22576879999999999</v>
      </c>
      <c r="U1771">
        <v>-2.9839169999999999</v>
      </c>
      <c r="V1771">
        <v>0.21053810000000001</v>
      </c>
      <c r="W1771">
        <v>0.18072959999999999</v>
      </c>
      <c r="X1771">
        <v>0.96073439999999999</v>
      </c>
      <c r="Y1771">
        <v>0.24170459999999999</v>
      </c>
      <c r="Z1771">
        <v>7.3113899999999996E-2</v>
      </c>
      <c r="AA1771">
        <v>0.96759150000000005</v>
      </c>
      <c r="AB1771">
        <v>22</v>
      </c>
      <c r="AC1771">
        <v>-3.8127</v>
      </c>
      <c r="AD1771">
        <v>-1.1102468187929999</v>
      </c>
      <c r="AE1771">
        <v>-14.453799999999999</v>
      </c>
      <c r="AF1771">
        <v>3.6540325400174698</v>
      </c>
      <c r="AG1771">
        <v>-1.1102468187929999</v>
      </c>
      <c r="AH1771">
        <v>14.410135893873701</v>
      </c>
      <c r="AI1771">
        <v>94.271069634070301</v>
      </c>
      <c r="AJ1771">
        <v>75.771201849906305</v>
      </c>
      <c r="AK1771">
        <v>14.9076027007045</v>
      </c>
      <c r="AL1771">
        <v>79.587740537269497</v>
      </c>
      <c r="AM1771">
        <v>77.639432274554906</v>
      </c>
      <c r="AN1771">
        <v>1.0000000336055599</v>
      </c>
    </row>
    <row r="1772" spans="1:40" x14ac:dyDescent="0.25">
      <c r="A1772" t="str">
        <f>"20190312164023311"</f>
        <v>20190312164023311</v>
      </c>
      <c r="B1772" t="str">
        <f>"1552380023307941"</f>
        <v>1552380023307941</v>
      </c>
      <c r="C1772" t="s">
        <v>40</v>
      </c>
      <c r="D1772">
        <v>4.9412669999999999</v>
      </c>
      <c r="E1772">
        <v>0.52350160000000001</v>
      </c>
      <c r="F1772" t="s">
        <v>41</v>
      </c>
      <c r="G1772">
        <v>-194.92449999999999</v>
      </c>
      <c r="H1772" s="1">
        <v>-1.8611780000000001E-6</v>
      </c>
      <c r="I1772">
        <v>300.87329999999997</v>
      </c>
      <c r="J1772">
        <v>-191.11590000000001</v>
      </c>
      <c r="K1772">
        <v>1.1102379999999901</v>
      </c>
      <c r="L1772">
        <v>315.00479999999999</v>
      </c>
      <c r="M1772">
        <v>-1.033384E-2</v>
      </c>
      <c r="N1772">
        <v>0</v>
      </c>
      <c r="O1772">
        <v>-0.99985349999999995</v>
      </c>
      <c r="P1772">
        <v>-0.22251760000000001</v>
      </c>
      <c r="Q1772">
        <v>0.16779240000000001</v>
      </c>
      <c r="R1772">
        <v>-0.9603815</v>
      </c>
      <c r="S1772">
        <v>-0.79156490000000002</v>
      </c>
      <c r="T1772">
        <v>-0.2305701</v>
      </c>
      <c r="U1772">
        <v>-2.9810180000000002</v>
      </c>
      <c r="V1772">
        <v>0.21279229999999999</v>
      </c>
      <c r="W1772">
        <v>0.1806836</v>
      </c>
      <c r="X1772">
        <v>0.9602463</v>
      </c>
      <c r="Y1772">
        <v>0.24592359999999999</v>
      </c>
      <c r="Z1772">
        <v>7.463989E-2</v>
      </c>
      <c r="AA1772">
        <v>0.96641109999999997</v>
      </c>
      <c r="AB1772">
        <v>22</v>
      </c>
      <c r="AC1772">
        <v>-3.8085999999999798</v>
      </c>
      <c r="AD1772">
        <v>-1.11023986117799</v>
      </c>
      <c r="AE1772">
        <v>-14.131500000000001</v>
      </c>
      <c r="AF1772">
        <v>3.6413960746401601</v>
      </c>
      <c r="AG1772">
        <v>-1.11023986117799</v>
      </c>
      <c r="AH1772">
        <v>14.089031657323201</v>
      </c>
      <c r="AI1772">
        <v>94.362910966712803</v>
      </c>
      <c r="AJ1772">
        <v>75.508673061216797</v>
      </c>
      <c r="AK1772">
        <v>14.5942869288913</v>
      </c>
      <c r="AL1772">
        <v>79.590420341799501</v>
      </c>
      <c r="AM1772">
        <v>77.505071970629899</v>
      </c>
      <c r="AN1772">
        <v>1.00000004145596</v>
      </c>
    </row>
    <row r="1773" spans="1:40" x14ac:dyDescent="0.25">
      <c r="A1773" t="str">
        <f>"20190312164023333"</f>
        <v>20190312164023333</v>
      </c>
      <c r="B1773" t="str">
        <f>"1552380023327460"</f>
        <v>1552380023327460</v>
      </c>
      <c r="C1773" t="s">
        <v>40</v>
      </c>
      <c r="D1773">
        <v>4.9325479999999997</v>
      </c>
      <c r="E1773">
        <v>0.523787</v>
      </c>
      <c r="F1773" t="s">
        <v>41</v>
      </c>
      <c r="G1773">
        <v>-194.89920000000001</v>
      </c>
      <c r="H1773" s="1">
        <v>-1.854739E-6</v>
      </c>
      <c r="I1773">
        <v>300.87400000000002</v>
      </c>
      <c r="J1773">
        <v>-191.1191</v>
      </c>
      <c r="K1773">
        <v>1.11022</v>
      </c>
      <c r="L1773">
        <v>314.78620000000001</v>
      </c>
      <c r="M1773">
        <v>-1.1102610000000001E-2</v>
      </c>
      <c r="N1773">
        <v>0</v>
      </c>
      <c r="O1773">
        <v>-0.99984519999999999</v>
      </c>
      <c r="P1773">
        <v>-0.22537199999999999</v>
      </c>
      <c r="Q1773">
        <v>0.1678769</v>
      </c>
      <c r="R1773">
        <v>-0.95970040000000001</v>
      </c>
      <c r="S1773">
        <v>-0.79777529999999997</v>
      </c>
      <c r="T1773">
        <v>-0.2341181</v>
      </c>
      <c r="U1773">
        <v>-2.979797</v>
      </c>
      <c r="V1773">
        <v>0.21491879999999999</v>
      </c>
      <c r="W1773">
        <v>0.1807511</v>
      </c>
      <c r="X1773">
        <v>0.95975980000000005</v>
      </c>
      <c r="Y1773">
        <v>0.24713470000000001</v>
      </c>
      <c r="Z1773">
        <v>7.577884E-2</v>
      </c>
      <c r="AA1773">
        <v>0.96601340000000002</v>
      </c>
      <c r="AB1773">
        <v>22</v>
      </c>
      <c r="AC1773">
        <v>-3.7801</v>
      </c>
      <c r="AD1773">
        <v>-1.1102218547389999</v>
      </c>
      <c r="AE1773">
        <v>-13.912199999999901</v>
      </c>
      <c r="AF1773">
        <v>3.6040171081715</v>
      </c>
      <c r="AG1773">
        <v>-1.1102218547389999</v>
      </c>
      <c r="AH1773">
        <v>13.8710525216033</v>
      </c>
      <c r="AI1773">
        <v>94.429665544314105</v>
      </c>
      <c r="AJ1773">
        <v>75.435288723477498</v>
      </c>
      <c r="AK1773">
        <v>14.3745479908</v>
      </c>
      <c r="AL1773">
        <v>79.586487298992694</v>
      </c>
      <c r="AM1773">
        <v>77.377994309048702</v>
      </c>
      <c r="AN1773">
        <v>0.99999996222034404</v>
      </c>
    </row>
    <row r="1774" spans="1:40" x14ac:dyDescent="0.25">
      <c r="A1774" t="str">
        <f>"20190312164023356"</f>
        <v>20190312164023356</v>
      </c>
      <c r="B1774" t="str">
        <f>"1552380023347956"</f>
        <v>1552380023347956</v>
      </c>
      <c r="C1774" t="s">
        <v>40</v>
      </c>
      <c r="D1774">
        <v>4.7904650000000002</v>
      </c>
      <c r="E1774">
        <v>0.52404139999999999</v>
      </c>
      <c r="F1774" t="s">
        <v>41</v>
      </c>
      <c r="G1774">
        <v>-194.8717</v>
      </c>
      <c r="H1774" s="1">
        <v>-1.88968E-6</v>
      </c>
      <c r="I1774">
        <v>300.97239999999999</v>
      </c>
      <c r="J1774">
        <v>-191.12260000000001</v>
      </c>
      <c r="K1774">
        <v>1.1102099999999999</v>
      </c>
      <c r="L1774">
        <v>314.55619999999999</v>
      </c>
      <c r="M1774">
        <v>-1.1932389999999999E-2</v>
      </c>
      <c r="N1774">
        <v>0</v>
      </c>
      <c r="O1774">
        <v>-0.99983540000000004</v>
      </c>
      <c r="P1774">
        <v>-0.22752500000000001</v>
      </c>
      <c r="Q1774">
        <v>0.16764129999999899</v>
      </c>
      <c r="R1774">
        <v>-0.95923360000000002</v>
      </c>
      <c r="S1774">
        <v>-0.80894469999999996</v>
      </c>
      <c r="T1774">
        <v>-0.23932919999999999</v>
      </c>
      <c r="U1774">
        <v>-2.977814</v>
      </c>
      <c r="V1774">
        <v>0.2162839</v>
      </c>
      <c r="W1774">
        <v>0.1805021</v>
      </c>
      <c r="X1774">
        <v>0.95950000000000002</v>
      </c>
      <c r="Y1774">
        <v>0.24983469999999999</v>
      </c>
      <c r="Z1774">
        <v>7.7439460000000002E-2</v>
      </c>
      <c r="AA1774">
        <v>0.96518689999999996</v>
      </c>
      <c r="AB1774">
        <v>22</v>
      </c>
      <c r="AC1774">
        <v>-3.7490999999999901</v>
      </c>
      <c r="AD1774">
        <v>-1.11021188968</v>
      </c>
      <c r="AE1774">
        <v>-13.583799999999901</v>
      </c>
      <c r="AF1774">
        <v>3.5646049608491501</v>
      </c>
      <c r="AG1774">
        <v>-1.11021188968</v>
      </c>
      <c r="AH1774">
        <v>13.543507200567801</v>
      </c>
      <c r="AI1774">
        <v>94.532584288867298</v>
      </c>
      <c r="AJ1774">
        <v>75.254363507027193</v>
      </c>
      <c r="AK1774">
        <v>14.048685570498399</v>
      </c>
      <c r="AL1774">
        <v>79.600992845045894</v>
      </c>
      <c r="AM1774">
        <v>77.297088379236598</v>
      </c>
      <c r="AN1774">
        <v>0.99999999175180998</v>
      </c>
    </row>
    <row r="1775" spans="1:40" x14ac:dyDescent="0.25">
      <c r="A1775" t="str">
        <f>"20190312164023380"</f>
        <v>20190312164023380</v>
      </c>
      <c r="B1775" t="str">
        <f>"1552380023368457"</f>
        <v>1552380023368457</v>
      </c>
      <c r="C1775" t="s">
        <v>40</v>
      </c>
      <c r="D1775">
        <v>4.7956529999999997</v>
      </c>
      <c r="E1775">
        <v>0.52437929999999999</v>
      </c>
      <c r="F1775" t="s">
        <v>41</v>
      </c>
      <c r="G1775">
        <v>-194.977</v>
      </c>
      <c r="H1775" s="1">
        <v>-1.7288489999999999E-6</v>
      </c>
      <c r="I1775">
        <v>300.53230000000002</v>
      </c>
      <c r="J1775">
        <v>-191.12639999999999</v>
      </c>
      <c r="K1775">
        <v>1.1102080000000001</v>
      </c>
      <c r="L1775">
        <v>314.32839999999999</v>
      </c>
      <c r="M1775">
        <v>-1.277579E-2</v>
      </c>
      <c r="N1775">
        <v>0</v>
      </c>
      <c r="O1775">
        <v>-0.99982519999999997</v>
      </c>
      <c r="P1775">
        <v>-0.23050229999999999</v>
      </c>
      <c r="Q1775">
        <v>0.1674242</v>
      </c>
      <c r="R1775">
        <v>-0.95856030000000003</v>
      </c>
      <c r="S1775">
        <v>-0.81756589999999996</v>
      </c>
      <c r="T1775">
        <v>-0.23549329999999999</v>
      </c>
      <c r="U1775">
        <v>-2.974701</v>
      </c>
      <c r="V1775">
        <v>0.21846280000000001</v>
      </c>
      <c r="W1775">
        <v>0.18026809999999999</v>
      </c>
      <c r="X1775">
        <v>0.95905030000000002</v>
      </c>
      <c r="Y1775">
        <v>0.25190040000000002</v>
      </c>
      <c r="Z1775">
        <v>7.6231850000000004E-2</v>
      </c>
      <c r="AA1775">
        <v>0.96474610000000005</v>
      </c>
      <c r="AB1775">
        <v>22</v>
      </c>
      <c r="AC1775">
        <v>-3.8506000000000098</v>
      </c>
      <c r="AD1775">
        <v>-1.110209728849</v>
      </c>
      <c r="AE1775">
        <v>-13.7960999999999</v>
      </c>
      <c r="AF1775">
        <v>3.6520721095343198</v>
      </c>
      <c r="AG1775">
        <v>-1.110209728849</v>
      </c>
      <c r="AH1775">
        <v>13.7614959993927</v>
      </c>
      <c r="AI1775">
        <v>94.458669900372698</v>
      </c>
      <c r="AJ1775">
        <v>75.137251009946795</v>
      </c>
      <c r="AK1775">
        <v>14.281070284701</v>
      </c>
      <c r="AL1775">
        <v>79.614624062356697</v>
      </c>
      <c r="AM1775">
        <v>77.167513634611495</v>
      </c>
      <c r="AN1775">
        <v>1.0000000303957599</v>
      </c>
    </row>
    <row r="1776" spans="1:40" x14ac:dyDescent="0.25">
      <c r="A1776" t="str">
        <f>"20190312164023402"</f>
        <v>20190312164023402</v>
      </c>
      <c r="B1776" t="str">
        <f>"1552380023397731"</f>
        <v>1552380023397731</v>
      </c>
      <c r="C1776" t="s">
        <v>40</v>
      </c>
      <c r="D1776">
        <v>4.7141469999999996</v>
      </c>
      <c r="E1776">
        <v>0.52469489999999996</v>
      </c>
      <c r="F1776" t="s">
        <v>41</v>
      </c>
      <c r="G1776">
        <v>-195.1617</v>
      </c>
      <c r="H1776" s="1">
        <v>-1.4954319999999999E-6</v>
      </c>
      <c r="I1776">
        <v>299.87360000000001</v>
      </c>
      <c r="J1776">
        <v>-191.1302</v>
      </c>
      <c r="K1776">
        <v>1.1102080000000001</v>
      </c>
      <c r="L1776">
        <v>314.10579999999999</v>
      </c>
      <c r="M1776">
        <v>-1.361536E-2</v>
      </c>
      <c r="N1776">
        <v>0</v>
      </c>
      <c r="O1776">
        <v>-0.99981430000000004</v>
      </c>
      <c r="P1776">
        <v>-0.23321230000000001</v>
      </c>
      <c r="Q1776">
        <v>0.1665325</v>
      </c>
      <c r="R1776">
        <v>-0.95806009999999997</v>
      </c>
      <c r="S1776">
        <v>-0.82916259999999997</v>
      </c>
      <c r="T1776">
        <v>-0.2281241</v>
      </c>
      <c r="U1776">
        <v>-2.970154</v>
      </c>
      <c r="V1776">
        <v>0.22037419999999999</v>
      </c>
      <c r="W1776">
        <v>0.1793642</v>
      </c>
      <c r="X1776">
        <v>0.95878240000000003</v>
      </c>
      <c r="Y1776">
        <v>0.25500919999999999</v>
      </c>
      <c r="Z1776">
        <v>7.389896E-2</v>
      </c>
      <c r="AA1776">
        <v>0.96411060000000004</v>
      </c>
      <c r="AB1776">
        <v>22</v>
      </c>
      <c r="AC1776">
        <v>-4.0314999999999896</v>
      </c>
      <c r="AD1776">
        <v>-1.1102094954320001</v>
      </c>
      <c r="AE1776">
        <v>-14.232199999999899</v>
      </c>
      <c r="AF1776">
        <v>3.8158367868323202</v>
      </c>
      <c r="AG1776">
        <v>-1.1102094954320001</v>
      </c>
      <c r="AH1776">
        <v>14.2057538522219</v>
      </c>
      <c r="AI1776">
        <v>94.316307333359404</v>
      </c>
      <c r="AJ1776">
        <v>74.964570579216002</v>
      </c>
      <c r="AK1776">
        <v>14.7511564976245</v>
      </c>
      <c r="AL1776">
        <v>79.667271520053106</v>
      </c>
      <c r="AM1776">
        <v>77.055508131762807</v>
      </c>
      <c r="AN1776">
        <v>0.99999999740851997</v>
      </c>
    </row>
    <row r="1777" spans="1:40" x14ac:dyDescent="0.25">
      <c r="A1777" t="str">
        <f>"20190312164023424"</f>
        <v>20190312164023424</v>
      </c>
      <c r="B1777" t="str">
        <f>"1552380023418228"</f>
        <v>1552380023418228</v>
      </c>
      <c r="C1777" t="s">
        <v>40</v>
      </c>
      <c r="D1777">
        <v>4.6819829999999998</v>
      </c>
      <c r="E1777">
        <v>0.52505840000000004</v>
      </c>
      <c r="F1777" t="s">
        <v>46</v>
      </c>
      <c r="G1777">
        <v>-195.33750000000001</v>
      </c>
      <c r="H1777" s="1">
        <v>5.8637329999999997E-8</v>
      </c>
      <c r="I1777">
        <v>299.28339999999997</v>
      </c>
      <c r="J1777">
        <v>-191.13409999999999</v>
      </c>
      <c r="K1777">
        <v>1.1102000000000001</v>
      </c>
      <c r="L1777">
        <v>313.89210000000003</v>
      </c>
      <c r="M1777">
        <v>-1.443065E-2</v>
      </c>
      <c r="N1777">
        <v>0</v>
      </c>
      <c r="O1777">
        <v>-0.99980279999999999</v>
      </c>
      <c r="P1777">
        <v>-0.23592299999999999</v>
      </c>
      <c r="Q1777">
        <v>0.1663347</v>
      </c>
      <c r="R1777">
        <v>-0.95743069999999997</v>
      </c>
      <c r="S1777">
        <v>-0.84161379999999997</v>
      </c>
      <c r="T1777">
        <v>-0.22208230000000001</v>
      </c>
      <c r="U1777">
        <v>-2.9650270000000001</v>
      </c>
      <c r="V1777">
        <v>0.22231119999999999</v>
      </c>
      <c r="W1777">
        <v>0.17915500000000001</v>
      </c>
      <c r="X1777">
        <v>0.95837430000000001</v>
      </c>
      <c r="Y1777">
        <v>0.2584399</v>
      </c>
      <c r="Z1777">
        <v>7.1996899999999905E-2</v>
      </c>
      <c r="AA1777">
        <v>0.96334070000000005</v>
      </c>
      <c r="AB1777">
        <v>22</v>
      </c>
      <c r="AC1777">
        <v>-4.20340000000001</v>
      </c>
      <c r="AD1777">
        <v>-1.11019994136267</v>
      </c>
      <c r="AE1777">
        <v>-14.608700000000001</v>
      </c>
      <c r="AF1777">
        <v>3.9709494073707501</v>
      </c>
      <c r="AG1777">
        <v>-1.11019994136267</v>
      </c>
      <c r="AH1777">
        <v>14.590022044309499</v>
      </c>
      <c r="AI1777">
        <v>94.199250835755606</v>
      </c>
      <c r="AJ1777">
        <v>74.7746661413791</v>
      </c>
      <c r="AK1777">
        <v>15.161455285002701</v>
      </c>
      <c r="AL1777">
        <v>79.679455607766698</v>
      </c>
      <c r="AM1777">
        <v>76.940243758058799</v>
      </c>
      <c r="AN1777">
        <v>1.0000000412854599</v>
      </c>
    </row>
    <row r="1778" spans="1:40" x14ac:dyDescent="0.25">
      <c r="A1778" t="str">
        <f>"20190312164023445"</f>
        <v>20190312164023445</v>
      </c>
      <c r="B1778" t="str">
        <f>"1552380023437748"</f>
        <v>1552380023437748</v>
      </c>
      <c r="C1778" t="s">
        <v>40</v>
      </c>
      <c r="D1778">
        <v>4.6646400000000003</v>
      </c>
      <c r="E1778">
        <v>0.52518619999999905</v>
      </c>
      <c r="F1778" t="s">
        <v>46</v>
      </c>
      <c r="G1778">
        <v>-195.47319999999999</v>
      </c>
      <c r="H1778" s="1">
        <v>1.3646520000000001E-7</v>
      </c>
      <c r="I1778">
        <v>298.8415</v>
      </c>
      <c r="J1778">
        <v>-191.13820000000001</v>
      </c>
      <c r="K1778">
        <v>1.1101920000000001</v>
      </c>
      <c r="L1778">
        <v>313.67579999999998</v>
      </c>
      <c r="M1778">
        <v>-1.5260289999999999E-2</v>
      </c>
      <c r="N1778">
        <v>0</v>
      </c>
      <c r="O1778">
        <v>-0.99979070000000003</v>
      </c>
      <c r="P1778">
        <v>-0.23951210000000001</v>
      </c>
      <c r="Q1778">
        <v>0.16631889999999999</v>
      </c>
      <c r="R1778">
        <v>-0.95654220000000001</v>
      </c>
      <c r="S1778">
        <v>-0.85363770000000005</v>
      </c>
      <c r="T1778">
        <v>-0.21841389999999999</v>
      </c>
      <c r="U1778">
        <v>-2.9609679999999998</v>
      </c>
      <c r="V1778">
        <v>0.22511619999999999</v>
      </c>
      <c r="W1778">
        <v>0.17912449999999999</v>
      </c>
      <c r="X1778">
        <v>0.95772500000000005</v>
      </c>
      <c r="Y1778">
        <v>0.26162259999999998</v>
      </c>
      <c r="Z1778">
        <v>7.0835930000000005E-2</v>
      </c>
      <c r="AA1778">
        <v>0.96256730000000001</v>
      </c>
      <c r="AB1778">
        <v>22</v>
      </c>
      <c r="AC1778">
        <v>-4.3349999999999804</v>
      </c>
      <c r="AD1778">
        <v>-1.1101918635348</v>
      </c>
      <c r="AE1778">
        <v>-14.834299999999899</v>
      </c>
      <c r="AF1778">
        <v>4.0870082722521301</v>
      </c>
      <c r="AG1778">
        <v>-1.1101918635348</v>
      </c>
      <c r="AH1778">
        <v>14.8222448711747</v>
      </c>
      <c r="AI1778">
        <v>94.129918772729198</v>
      </c>
      <c r="AJ1778">
        <v>74.584616828181098</v>
      </c>
      <c r="AK1778">
        <v>15.4154177890961</v>
      </c>
      <c r="AL1778">
        <v>79.681231773930307</v>
      </c>
      <c r="AM1778">
        <v>76.772567371701001</v>
      </c>
      <c r="AN1778">
        <v>1.0000000328138401</v>
      </c>
    </row>
    <row r="1779" spans="1:40" x14ac:dyDescent="0.25">
      <c r="A1779" t="str">
        <f>"20190312164023468"</f>
        <v>20190312164023468</v>
      </c>
      <c r="B1779" t="str">
        <f>"1552380023458247"</f>
        <v>1552380023458247</v>
      </c>
      <c r="C1779" t="s">
        <v>40</v>
      </c>
      <c r="D1779">
        <v>4.596654</v>
      </c>
      <c r="E1779">
        <v>0.52536400000000005</v>
      </c>
      <c r="F1779" t="s">
        <v>46</v>
      </c>
      <c r="G1779">
        <v>-195.5821</v>
      </c>
      <c r="H1779" s="1">
        <v>2.0149159999999999E-7</v>
      </c>
      <c r="I1779">
        <v>298.47219999999999</v>
      </c>
      <c r="J1779">
        <v>-191.14259999999999</v>
      </c>
      <c r="K1779">
        <v>1.110182</v>
      </c>
      <c r="L1779">
        <v>313.45600000000002</v>
      </c>
      <c r="M1779">
        <v>-1.610456E-2</v>
      </c>
      <c r="N1779">
        <v>0</v>
      </c>
      <c r="O1779">
        <v>-0.99977700000000003</v>
      </c>
      <c r="P1779">
        <v>-0.24290320000000001</v>
      </c>
      <c r="Q1779">
        <v>0.16645570000000001</v>
      </c>
      <c r="R1779">
        <v>-0.95566240000000002</v>
      </c>
      <c r="S1779">
        <v>-0.86441039999999902</v>
      </c>
      <c r="T1779">
        <v>-0.21595220000000001</v>
      </c>
      <c r="U1779">
        <v>-2.9573670000000001</v>
      </c>
      <c r="V1779">
        <v>0.22770940000000001</v>
      </c>
      <c r="W1779">
        <v>0.17924789999999999</v>
      </c>
      <c r="X1779">
        <v>0.95708859999999996</v>
      </c>
      <c r="Y1779">
        <v>0.26436739999999997</v>
      </c>
      <c r="Z1779">
        <v>7.0060310000000001E-2</v>
      </c>
      <c r="AA1779">
        <v>0.96187389999999995</v>
      </c>
      <c r="AB1779">
        <v>22</v>
      </c>
      <c r="AC1779">
        <v>-4.4394999999999998</v>
      </c>
      <c r="AD1779">
        <v>-1.1101817985083999</v>
      </c>
      <c r="AE1779">
        <v>-14.983799999999899</v>
      </c>
      <c r="AF1779">
        <v>4.1765168180955996</v>
      </c>
      <c r="AG1779">
        <v>-1.1101817985083999</v>
      </c>
      <c r="AH1779">
        <v>14.9777721266905</v>
      </c>
      <c r="AI1779">
        <v>94.083879755394804</v>
      </c>
      <c r="AJ1779">
        <v>74.418995696102698</v>
      </c>
      <c r="AK1779">
        <v>15.588760509951999</v>
      </c>
      <c r="AL1779">
        <v>79.674044655275694</v>
      </c>
      <c r="AM1779">
        <v>76.617067816481395</v>
      </c>
      <c r="AN1779">
        <v>0.99999998437636395</v>
      </c>
    </row>
    <row r="1780" spans="1:40" x14ac:dyDescent="0.25">
      <c r="A1780" t="str">
        <f>"20190312164023489"</f>
        <v>20190312164023489</v>
      </c>
      <c r="B1780" t="str">
        <f>"1552380023477764"</f>
        <v>1552380023477764</v>
      </c>
      <c r="C1780" t="s">
        <v>40</v>
      </c>
      <c r="D1780">
        <v>4.6027699999999996</v>
      </c>
      <c r="E1780">
        <v>0.52539919999999996</v>
      </c>
      <c r="F1780" t="s">
        <v>46</v>
      </c>
      <c r="G1780">
        <v>-195.6808</v>
      </c>
      <c r="H1780" s="1">
        <v>2.6222890000000002E-7</v>
      </c>
      <c r="I1780">
        <v>298.12740000000002</v>
      </c>
      <c r="J1780">
        <v>-191.14689999999999</v>
      </c>
      <c r="K1780">
        <v>1.110185</v>
      </c>
      <c r="L1780">
        <v>313.24509999999998</v>
      </c>
      <c r="M1780">
        <v>-1.6912440000000001E-2</v>
      </c>
      <c r="N1780">
        <v>0</v>
      </c>
      <c r="O1780">
        <v>-0.99976390000000004</v>
      </c>
      <c r="P1780">
        <v>-0.2460966</v>
      </c>
      <c r="Q1780">
        <v>0.16598360000000001</v>
      </c>
      <c r="R1780">
        <v>-0.95492730000000003</v>
      </c>
      <c r="S1780">
        <v>-0.87461849999999997</v>
      </c>
      <c r="T1780">
        <v>-0.2139559</v>
      </c>
      <c r="U1780">
        <v>-2.9541629999999999</v>
      </c>
      <c r="V1780">
        <v>0.23013749999999999</v>
      </c>
      <c r="W1780">
        <v>0.17876610000000001</v>
      </c>
      <c r="X1780">
        <v>0.9565979</v>
      </c>
      <c r="Y1780">
        <v>0.2669396</v>
      </c>
      <c r="Z1780">
        <v>6.9428340000000005E-2</v>
      </c>
      <c r="AA1780">
        <v>0.96120910000000004</v>
      </c>
      <c r="AB1780">
        <v>22</v>
      </c>
      <c r="AC1780">
        <v>-4.5339000000000098</v>
      </c>
      <c r="AD1780">
        <v>-1.1101847377711</v>
      </c>
      <c r="AE1780">
        <v>-15.1176999999999</v>
      </c>
      <c r="AF1780">
        <v>4.2564900325164503</v>
      </c>
      <c r="AG1780">
        <v>-1.1101847377711</v>
      </c>
      <c r="AH1780">
        <v>15.1174253629524</v>
      </c>
      <c r="AI1780">
        <v>94.043447061118798</v>
      </c>
      <c r="AJ1780">
        <v>74.274806358745494</v>
      </c>
      <c r="AK1780">
        <v>15.7444201910812</v>
      </c>
      <c r="AL1780">
        <v>79.702103803784198</v>
      </c>
      <c r="AM1780">
        <v>76.472895777813207</v>
      </c>
      <c r="AN1780">
        <v>1.0000000648499301</v>
      </c>
    </row>
    <row r="1781" spans="1:40" x14ac:dyDescent="0.25">
      <c r="A1781" t="str">
        <f>"20190312164023511"</f>
        <v>20190312164023511</v>
      </c>
      <c r="B1781" t="str">
        <f>"1552380023508020"</f>
        <v>1552380023508020</v>
      </c>
      <c r="C1781" t="s">
        <v>40</v>
      </c>
      <c r="D1781">
        <v>4.5798160000000001</v>
      </c>
      <c r="E1781">
        <v>0.52552209999999999</v>
      </c>
      <c r="F1781" t="s">
        <v>46</v>
      </c>
      <c r="G1781">
        <v>-195.73240000000001</v>
      </c>
      <c r="H1781" s="1">
        <v>2.9369290000000002E-7</v>
      </c>
      <c r="I1781">
        <v>297.94869999999997</v>
      </c>
      <c r="J1781">
        <v>-191.15170000000001</v>
      </c>
      <c r="K1781">
        <v>1.1101890000000001</v>
      </c>
      <c r="L1781">
        <v>313.02429999999998</v>
      </c>
      <c r="M1781">
        <v>-1.775471E-2</v>
      </c>
      <c r="N1781">
        <v>0</v>
      </c>
      <c r="O1781">
        <v>-0.99974909999999995</v>
      </c>
      <c r="P1781">
        <v>-0.24933649999999999</v>
      </c>
      <c r="Q1781">
        <v>0.16572139999999999</v>
      </c>
      <c r="R1781">
        <v>-0.95413179999999997</v>
      </c>
      <c r="S1781">
        <v>-0.88459779999999999</v>
      </c>
      <c r="T1781">
        <v>-0.21416830000000001</v>
      </c>
      <c r="U1781">
        <v>-2.9508670000000001</v>
      </c>
      <c r="V1781">
        <v>0.23258110000000001</v>
      </c>
      <c r="W1781">
        <v>0.1784935</v>
      </c>
      <c r="X1781">
        <v>0.95605759999999995</v>
      </c>
      <c r="Y1781">
        <v>0.2694029</v>
      </c>
      <c r="Z1781">
        <v>6.9512420000000005E-2</v>
      </c>
      <c r="AA1781">
        <v>0.96051560000000002</v>
      </c>
      <c r="AB1781">
        <v>22</v>
      </c>
      <c r="AC1781">
        <v>-4.5807000000000002</v>
      </c>
      <c r="AD1781">
        <v>-1.1101887063071001</v>
      </c>
      <c r="AE1781">
        <v>-15.0756</v>
      </c>
      <c r="AF1781">
        <v>4.2909864950257104</v>
      </c>
      <c r="AG1781">
        <v>-1.1101887063071001</v>
      </c>
      <c r="AH1781">
        <v>15.079693674331599</v>
      </c>
      <c r="AI1781">
        <v>94.050378509816397</v>
      </c>
      <c r="AJ1781">
        <v>74.1160873900198</v>
      </c>
      <c r="AK1781">
        <v>15.717577592484799</v>
      </c>
      <c r="AL1781">
        <v>79.717977439329303</v>
      </c>
      <c r="AM1781">
        <v>76.327190716530296</v>
      </c>
      <c r="AN1781">
        <v>1.0000000160686</v>
      </c>
    </row>
    <row r="1782" spans="1:40" x14ac:dyDescent="0.25">
      <c r="A1782" t="str">
        <f>"20190312164023534"</f>
        <v>20190312164023534</v>
      </c>
      <c r="B1782" t="str">
        <f>"1552380023527540"</f>
        <v>1552380023527540</v>
      </c>
      <c r="C1782" t="s">
        <v>40</v>
      </c>
      <c r="D1782">
        <v>4.4999719999999996</v>
      </c>
      <c r="E1782">
        <v>0.52553589999999994</v>
      </c>
      <c r="F1782" t="s">
        <v>46</v>
      </c>
      <c r="G1782">
        <v>-195.80520000000001</v>
      </c>
      <c r="H1782" s="1">
        <v>3.3579319999999998E-7</v>
      </c>
      <c r="I1782">
        <v>297.7097</v>
      </c>
      <c r="J1782">
        <v>-191.1567</v>
      </c>
      <c r="K1782">
        <v>1.1101970000000001</v>
      </c>
      <c r="L1782">
        <v>312.79820000000001</v>
      </c>
      <c r="M1782">
        <v>-1.861256E-2</v>
      </c>
      <c r="N1782">
        <v>0</v>
      </c>
      <c r="O1782">
        <v>-0.99973389999999995</v>
      </c>
      <c r="P1782">
        <v>-0.25296639999999998</v>
      </c>
      <c r="Q1782">
        <v>0.16548579999999999</v>
      </c>
      <c r="R1782">
        <v>-0.95321710000000004</v>
      </c>
      <c r="S1782">
        <v>-0.89556880000000005</v>
      </c>
      <c r="T1782">
        <v>-0.2136555</v>
      </c>
      <c r="U1782">
        <v>-2.9472960000000001</v>
      </c>
      <c r="V1782">
        <v>0.235403</v>
      </c>
      <c r="W1782">
        <v>0.1782453</v>
      </c>
      <c r="X1782">
        <v>0.95541299999999996</v>
      </c>
      <c r="Y1782">
        <v>0.27217529999999901</v>
      </c>
      <c r="Z1782">
        <v>6.9361300000000001E-2</v>
      </c>
      <c r="AA1782">
        <v>0.9597445</v>
      </c>
      <c r="AB1782">
        <v>22</v>
      </c>
      <c r="AC1782">
        <v>-4.6485000000000101</v>
      </c>
      <c r="AD1782">
        <v>-1.1101966642068</v>
      </c>
      <c r="AE1782">
        <v>-15.0885</v>
      </c>
      <c r="AF1782">
        <v>4.3453470883032601</v>
      </c>
      <c r="AG1782">
        <v>-1.1101966642068</v>
      </c>
      <c r="AH1782">
        <v>15.0977625218041</v>
      </c>
      <c r="AI1782">
        <v>94.042100481988399</v>
      </c>
      <c r="AJ1782">
        <v>73.943441903812996</v>
      </c>
      <c r="AK1782">
        <v>15.749825748745099</v>
      </c>
      <c r="AL1782">
        <v>79.732429644413003</v>
      </c>
      <c r="AM1782">
        <v>76.158660471754104</v>
      </c>
      <c r="AN1782">
        <v>0.99999997997504397</v>
      </c>
    </row>
    <row r="1783" spans="1:40" x14ac:dyDescent="0.25">
      <c r="A1783" t="str">
        <f>"20190312164023557"</f>
        <v>20190312164023557</v>
      </c>
      <c r="B1783" t="str">
        <f>"1552380023547631"</f>
        <v>1552380023547631</v>
      </c>
      <c r="C1783" t="s">
        <v>40</v>
      </c>
      <c r="D1783">
        <v>4.5003919999999997</v>
      </c>
      <c r="E1783">
        <v>0.52538869999999904</v>
      </c>
      <c r="F1783" t="s">
        <v>46</v>
      </c>
      <c r="G1783">
        <v>-195.8544</v>
      </c>
      <c r="H1783" s="1">
        <v>3.6676910000000001E-7</v>
      </c>
      <c r="I1783">
        <v>297.53379999999999</v>
      </c>
      <c r="J1783">
        <v>-191.1617</v>
      </c>
      <c r="K1783">
        <v>1.110201</v>
      </c>
      <c r="L1783">
        <v>312.58179999999999</v>
      </c>
      <c r="M1783">
        <v>-1.943073E-2</v>
      </c>
      <c r="N1783">
        <v>0</v>
      </c>
      <c r="O1783">
        <v>-0.99971829999999995</v>
      </c>
      <c r="P1783">
        <v>-0.25628980000000001</v>
      </c>
      <c r="Q1783">
        <v>0.16569410000000001</v>
      </c>
      <c r="R1783">
        <v>-0.9522929</v>
      </c>
      <c r="S1783">
        <v>-0.90602110000000002</v>
      </c>
      <c r="T1783">
        <v>-0.21411749999999999</v>
      </c>
      <c r="U1783">
        <v>-2.9439700000000002</v>
      </c>
      <c r="V1783">
        <v>0.23795859999999999</v>
      </c>
      <c r="W1783">
        <v>0.17844090000000001</v>
      </c>
      <c r="X1783">
        <v>0.95474320000000001</v>
      </c>
      <c r="Y1783">
        <v>0.27480120000000002</v>
      </c>
      <c r="Z1783">
        <v>6.9522059999999997E-2</v>
      </c>
      <c r="AA1783">
        <v>0.95898439999999996</v>
      </c>
      <c r="AB1783">
        <v>22</v>
      </c>
      <c r="AC1783">
        <v>-4.6927000000000003</v>
      </c>
      <c r="AD1783">
        <v>-1.11020063323089</v>
      </c>
      <c r="AE1783">
        <v>-15.048</v>
      </c>
      <c r="AF1783">
        <v>4.3776769021948798</v>
      </c>
      <c r="AG1783">
        <v>-1.11020063323089</v>
      </c>
      <c r="AH1783">
        <v>15.0616338256927</v>
      </c>
      <c r="AI1783">
        <v>94.048721998623506</v>
      </c>
      <c r="AJ1783">
        <v>73.793448095496402</v>
      </c>
      <c r="AK1783">
        <v>15.724166559957499</v>
      </c>
      <c r="AL1783">
        <v>79.7210403487761</v>
      </c>
      <c r="AM1783">
        <v>76.004837319115694</v>
      </c>
      <c r="AN1783">
        <v>1.0000000140265</v>
      </c>
    </row>
    <row r="1784" spans="1:40" x14ac:dyDescent="0.25">
      <c r="A1784" t="str">
        <f>"20190312164023579"</f>
        <v>20190312164023579</v>
      </c>
      <c r="B1784" t="str">
        <f>"1552380023568127"</f>
        <v>1552380023568127</v>
      </c>
      <c r="C1784" t="s">
        <v>40</v>
      </c>
      <c r="D1784">
        <v>4.5430060000000001</v>
      </c>
      <c r="E1784">
        <v>0.52508730000000003</v>
      </c>
      <c r="F1784" t="s">
        <v>46</v>
      </c>
      <c r="G1784">
        <v>-195.87899999999999</v>
      </c>
      <c r="H1784" s="1">
        <v>3.9187329999999998E-7</v>
      </c>
      <c r="I1784">
        <v>297.39120000000003</v>
      </c>
      <c r="J1784">
        <v>-191.1669</v>
      </c>
      <c r="K1784">
        <v>1.1102099999999999</v>
      </c>
      <c r="L1784">
        <v>312.36770000000001</v>
      </c>
      <c r="M1784">
        <v>-2.0237970000000001E-2</v>
      </c>
      <c r="N1784">
        <v>0</v>
      </c>
      <c r="O1784">
        <v>-0.99970210000000004</v>
      </c>
      <c r="P1784">
        <v>-0.26000620000000002</v>
      </c>
      <c r="Q1784">
        <v>0.16653490000000001</v>
      </c>
      <c r="R1784">
        <v>-0.95113760000000003</v>
      </c>
      <c r="S1784">
        <v>-0.91355900000000001</v>
      </c>
      <c r="T1784">
        <v>-0.2150059</v>
      </c>
      <c r="U1784">
        <v>-2.9418639999999998</v>
      </c>
      <c r="V1784">
        <v>0.24092440000000001</v>
      </c>
      <c r="W1784">
        <v>0.1792657</v>
      </c>
      <c r="X1784">
        <v>0.95384440000000004</v>
      </c>
      <c r="Y1784">
        <v>0.27645419999999998</v>
      </c>
      <c r="Z1784">
        <v>6.9812280000000004E-2</v>
      </c>
      <c r="AA1784">
        <v>0.95848800000000001</v>
      </c>
      <c r="AB1784">
        <v>22</v>
      </c>
      <c r="AC1784">
        <v>-4.7121000000000199</v>
      </c>
      <c r="AD1784">
        <v>-1.1102096081266899</v>
      </c>
      <c r="AE1784">
        <v>-14.9764999999999</v>
      </c>
      <c r="AF1784">
        <v>4.3860809533893601</v>
      </c>
      <c r="AG1784">
        <v>-1.1102096081266899</v>
      </c>
      <c r="AH1784">
        <v>14.993831024172801</v>
      </c>
      <c r="AI1784">
        <v>94.064960237070807</v>
      </c>
      <c r="AJ1784">
        <v>73.694445425189699</v>
      </c>
      <c r="AK1784">
        <v>15.6615848586632</v>
      </c>
      <c r="AL1784">
        <v>79.673007625037101</v>
      </c>
      <c r="AM1784">
        <v>75.824579107828598</v>
      </c>
      <c r="AN1784">
        <v>0.99999994856160301</v>
      </c>
    </row>
    <row r="1785" spans="1:40" x14ac:dyDescent="0.25">
      <c r="A1785" t="str">
        <f>"20190312164023603"</f>
        <v>20190312164023603</v>
      </c>
      <c r="B1785" t="str">
        <f>"1552380023598380"</f>
        <v>1552380023598380</v>
      </c>
      <c r="C1785" t="s">
        <v>40</v>
      </c>
      <c r="D1785">
        <v>4.798432</v>
      </c>
      <c r="E1785">
        <v>0.54266150000000002</v>
      </c>
      <c r="F1785" t="s">
        <v>46</v>
      </c>
      <c r="G1785">
        <v>-195.91059999999999</v>
      </c>
      <c r="H1785" s="1">
        <v>4.1954860000000003E-7</v>
      </c>
      <c r="I1785">
        <v>297.23410000000001</v>
      </c>
      <c r="J1785">
        <v>-191.17259999999999</v>
      </c>
      <c r="K1785">
        <v>1.110217</v>
      </c>
      <c r="L1785">
        <v>312.13929999999999</v>
      </c>
      <c r="M1785">
        <v>-2.109865E-2</v>
      </c>
      <c r="N1785">
        <v>0</v>
      </c>
      <c r="O1785">
        <v>-0.99968449999999998</v>
      </c>
      <c r="P1785">
        <v>-0.26421559999999999</v>
      </c>
      <c r="Q1785">
        <v>0.16734479999999999</v>
      </c>
      <c r="R1785">
        <v>-0.94983459999999997</v>
      </c>
      <c r="S1785">
        <v>-0.9215546</v>
      </c>
      <c r="T1785">
        <v>-0.21567729999999999</v>
      </c>
      <c r="U1785">
        <v>-2.939972</v>
      </c>
      <c r="V1785">
        <v>0.24433669999999999</v>
      </c>
      <c r="W1785">
        <v>0.18005699999999999</v>
      </c>
      <c r="X1785">
        <v>0.95282690000000003</v>
      </c>
      <c r="Y1785">
        <v>0.27817219999999998</v>
      </c>
      <c r="Z1785">
        <v>7.0024799999999998E-2</v>
      </c>
      <c r="AA1785">
        <v>0.95797529999999997</v>
      </c>
      <c r="AB1785">
        <v>22</v>
      </c>
      <c r="AC1785">
        <v>-4.7380000000000004</v>
      </c>
      <c r="AD1785">
        <v>-1.1102165804513999</v>
      </c>
      <c r="AE1785">
        <v>-14.905199999999899</v>
      </c>
      <c r="AF1785">
        <v>4.4002638703904697</v>
      </c>
      <c r="AG1785">
        <v>-1.1102165804513999</v>
      </c>
      <c r="AH1785">
        <v>14.9266424662052</v>
      </c>
      <c r="AI1785">
        <v>94.080728274913298</v>
      </c>
      <c r="AJ1785">
        <v>73.574872741119506</v>
      </c>
      <c r="AK1785">
        <v>15.6012678426625</v>
      </c>
      <c r="AL1785">
        <v>79.626920338703897</v>
      </c>
      <c r="AM1785">
        <v>75.617357892759799</v>
      </c>
      <c r="AN1785">
        <v>1.00000002378974</v>
      </c>
    </row>
    <row r="1786" spans="1:40" x14ac:dyDescent="0.25">
      <c r="A1786" t="str">
        <f>"20190312164023625"</f>
        <v>20190312164023625</v>
      </c>
      <c r="B1786" t="str">
        <f>"1552380023617900"</f>
        <v>1552380023617900</v>
      </c>
      <c r="C1786" t="s">
        <v>40</v>
      </c>
      <c r="D1786">
        <v>4.8239099999999997</v>
      </c>
      <c r="E1786">
        <v>0.54332590000000003</v>
      </c>
      <c r="F1786" t="s">
        <v>46</v>
      </c>
      <c r="G1786">
        <v>-196.01650000000001</v>
      </c>
      <c r="H1786" s="1">
        <v>1.160151E-7</v>
      </c>
      <c r="I1786">
        <v>298.95760000000001</v>
      </c>
      <c r="J1786">
        <v>-191.17830000000001</v>
      </c>
      <c r="K1786">
        <v>1.110222</v>
      </c>
      <c r="L1786">
        <v>311.91539999999998</v>
      </c>
      <c r="M1786">
        <v>-2.1942239999999998E-2</v>
      </c>
      <c r="N1786">
        <v>0</v>
      </c>
      <c r="O1786">
        <v>-0.99966630000000001</v>
      </c>
      <c r="P1786">
        <v>-0.2683682</v>
      </c>
      <c r="Q1786">
        <v>0.16818620000000001</v>
      </c>
      <c r="R1786">
        <v>-0.94852099999999995</v>
      </c>
      <c r="S1786">
        <v>-1.067383</v>
      </c>
      <c r="T1786">
        <v>-0.24464169999999999</v>
      </c>
      <c r="U1786">
        <v>-2.9046630000000002</v>
      </c>
      <c r="V1786">
        <v>0.24771099999999999</v>
      </c>
      <c r="W1786">
        <v>0.18088009999999999</v>
      </c>
      <c r="X1786">
        <v>0.95179919999999996</v>
      </c>
      <c r="Y1786">
        <v>0.3231618</v>
      </c>
      <c r="Z1786">
        <v>7.9077930000000005E-2</v>
      </c>
      <c r="AA1786">
        <v>0.94303400000000004</v>
      </c>
      <c r="AB1786">
        <v>22</v>
      </c>
      <c r="AC1786">
        <v>-4.8381999999999996</v>
      </c>
      <c r="AD1786">
        <v>-1.1102218839849001</v>
      </c>
      <c r="AE1786">
        <v>-12.957799999999899</v>
      </c>
      <c r="AF1786">
        <v>4.5235410243306102</v>
      </c>
      <c r="AG1786">
        <v>-1.1102218839849001</v>
      </c>
      <c r="AH1786">
        <v>12.9772405576688</v>
      </c>
      <c r="AI1786">
        <v>94.618569274461507</v>
      </c>
      <c r="AJ1786">
        <v>70.782724738641505</v>
      </c>
      <c r="AK1786">
        <v>13.787813043484601</v>
      </c>
      <c r="AL1786">
        <v>79.578973025336296</v>
      </c>
      <c r="AM1786">
        <v>75.4120712099472</v>
      </c>
      <c r="AN1786">
        <v>1.0000000336088199</v>
      </c>
    </row>
    <row r="1787" spans="1:40" x14ac:dyDescent="0.25">
      <c r="A1787" t="str">
        <f>"20190312164023647"</f>
        <v>20190312164023647</v>
      </c>
      <c r="B1787" t="str">
        <f>"1552380023638387"</f>
        <v>1552380023638387</v>
      </c>
      <c r="C1787" t="s">
        <v>40</v>
      </c>
      <c r="D1787">
        <v>4.3871849999999997</v>
      </c>
      <c r="E1787">
        <v>0.54323269999999901</v>
      </c>
      <c r="F1787" t="s">
        <v>46</v>
      </c>
      <c r="G1787">
        <v>-196.55529999999999</v>
      </c>
      <c r="H1787" s="1">
        <v>3.5803430000000002E-7</v>
      </c>
      <c r="I1787">
        <v>297.58339999999998</v>
      </c>
      <c r="J1787">
        <v>-191.18379999999999</v>
      </c>
      <c r="K1787">
        <v>1.1102179999999999</v>
      </c>
      <c r="L1787">
        <v>311.70839999999998</v>
      </c>
      <c r="M1787">
        <v>-2.2722949999999999E-2</v>
      </c>
      <c r="N1787">
        <v>0</v>
      </c>
      <c r="O1787">
        <v>-0.99964920000000002</v>
      </c>
      <c r="P1787">
        <v>-0.27237719999999999</v>
      </c>
      <c r="Q1787">
        <v>0.16878589999999999</v>
      </c>
      <c r="R1787">
        <v>-0.94727119999999998</v>
      </c>
      <c r="S1787">
        <v>-1.0862270000000001</v>
      </c>
      <c r="T1787">
        <v>-0.22427929999999999</v>
      </c>
      <c r="U1787">
        <v>-2.8952640000000001</v>
      </c>
      <c r="V1787">
        <v>0.2510018</v>
      </c>
      <c r="W1787">
        <v>0.1814616</v>
      </c>
      <c r="X1787">
        <v>0.95082580000000005</v>
      </c>
      <c r="Y1787">
        <v>0.32897310000000002</v>
      </c>
      <c r="Z1787">
        <v>7.2597750000000003E-2</v>
      </c>
      <c r="AA1787">
        <v>0.94154470000000001</v>
      </c>
      <c r="AB1787">
        <v>22</v>
      </c>
      <c r="AC1787">
        <v>-5.3714999999999904</v>
      </c>
      <c r="AD1787">
        <v>-1.1102176419656999</v>
      </c>
      <c r="AE1787">
        <v>-14.125</v>
      </c>
      <c r="AF1787">
        <v>5.0220159111144298</v>
      </c>
      <c r="AG1787">
        <v>-1.1102176419656999</v>
      </c>
      <c r="AH1787">
        <v>14.166956001973499</v>
      </c>
      <c r="AI1787">
        <v>94.224373574757905</v>
      </c>
      <c r="AJ1787">
        <v>70.481194044244205</v>
      </c>
      <c r="AK1787">
        <v>15.071690992913499</v>
      </c>
      <c r="AL1787">
        <v>79.545094112979399</v>
      </c>
      <c r="AM1787">
        <v>75.212235611890904</v>
      </c>
      <c r="AN1787">
        <v>0.999999958911719</v>
      </c>
    </row>
    <row r="1788" spans="1:40" x14ac:dyDescent="0.25">
      <c r="A1788" t="str">
        <f>"20190312164023668"</f>
        <v>20190312164023668</v>
      </c>
      <c r="B1788" t="str">
        <f>"1552380023657909"</f>
        <v>1552380023657909</v>
      </c>
      <c r="C1788" t="s">
        <v>40</v>
      </c>
      <c r="D1788">
        <v>4.6701550000000003</v>
      </c>
      <c r="E1788">
        <v>0.54294719999999996</v>
      </c>
      <c r="F1788" t="s">
        <v>46</v>
      </c>
      <c r="G1788">
        <v>-196.86490000000001</v>
      </c>
      <c r="H1788" s="1">
        <v>5.052074E-7</v>
      </c>
      <c r="I1788">
        <v>296.74770000000001</v>
      </c>
      <c r="J1788">
        <v>-191.18960000000001</v>
      </c>
      <c r="K1788">
        <v>1.11022</v>
      </c>
      <c r="L1788">
        <v>311.49520000000001</v>
      </c>
      <c r="M1788">
        <v>-2.3527719999999998E-2</v>
      </c>
      <c r="N1788">
        <v>0</v>
      </c>
      <c r="O1788">
        <v>-0.99963049999999998</v>
      </c>
      <c r="P1788">
        <v>-0.2766633</v>
      </c>
      <c r="Q1788">
        <v>0.16928969999999999</v>
      </c>
      <c r="R1788">
        <v>-0.94593830000000001</v>
      </c>
      <c r="S1788">
        <v>-1.097321</v>
      </c>
      <c r="T1788">
        <v>-0.2144421</v>
      </c>
      <c r="U1788">
        <v>-2.8897089999999999</v>
      </c>
      <c r="V1788">
        <v>0.25455050000000001</v>
      </c>
      <c r="W1788">
        <v>0.181946</v>
      </c>
      <c r="X1788">
        <v>0.94978929999999995</v>
      </c>
      <c r="Y1788">
        <v>0.33204850000000002</v>
      </c>
      <c r="Z1788">
        <v>6.9468550000000004E-2</v>
      </c>
      <c r="AA1788">
        <v>0.9407008</v>
      </c>
      <c r="AB1788">
        <v>22</v>
      </c>
      <c r="AC1788">
        <v>-5.6752999999999902</v>
      </c>
      <c r="AD1788">
        <v>-1.1102194947926001</v>
      </c>
      <c r="AE1788">
        <v>-14.7475</v>
      </c>
      <c r="AF1788">
        <v>5.3005562719362604</v>
      </c>
      <c r="AG1788">
        <v>-1.1102194947926001</v>
      </c>
      <c r="AH1788">
        <v>14.8038795191211</v>
      </c>
      <c r="AI1788">
        <v>94.038708916763994</v>
      </c>
      <c r="AJ1788">
        <v>70.299999967262707</v>
      </c>
      <c r="AK1788">
        <v>15.7633541143766</v>
      </c>
      <c r="AL1788">
        <v>79.516870734070295</v>
      </c>
      <c r="AM1788">
        <v>74.996891827355995</v>
      </c>
      <c r="AN1788">
        <v>1.00000000918036</v>
      </c>
    </row>
    <row r="1789" spans="1:40" x14ac:dyDescent="0.25">
      <c r="A1789" t="str">
        <f>"20190312164023690"</f>
        <v>20190312164023690</v>
      </c>
      <c r="B1789" t="str">
        <f>"1552380023688163"</f>
        <v>1552380023688163</v>
      </c>
      <c r="C1789" t="s">
        <v>40</v>
      </c>
      <c r="D1789">
        <v>4.7926409999999997</v>
      </c>
      <c r="E1789">
        <v>0.54249879999999995</v>
      </c>
      <c r="F1789" t="s">
        <v>46</v>
      </c>
      <c r="G1789">
        <v>-197.125</v>
      </c>
      <c r="H1789" s="1">
        <v>6.288774E-7</v>
      </c>
      <c r="I1789">
        <v>296.0455</v>
      </c>
      <c r="J1789">
        <v>-191.19560000000001</v>
      </c>
      <c r="K1789">
        <v>1.1102209999999999</v>
      </c>
      <c r="L1789">
        <v>311.28390000000002</v>
      </c>
      <c r="M1789">
        <v>-2.4325300000000001E-2</v>
      </c>
      <c r="N1789">
        <v>0</v>
      </c>
      <c r="O1789">
        <v>-0.99961120000000003</v>
      </c>
      <c r="P1789">
        <v>-0.28098420000000002</v>
      </c>
      <c r="Q1789">
        <v>0.1697844</v>
      </c>
      <c r="R1789">
        <v>-0.94457469999999999</v>
      </c>
      <c r="S1789">
        <v>-1.1081240000000001</v>
      </c>
      <c r="T1789">
        <v>-0.20727599999999999</v>
      </c>
      <c r="U1789">
        <v>-2.88443</v>
      </c>
      <c r="V1789">
        <v>0.25814340000000002</v>
      </c>
      <c r="W1789">
        <v>0.18242050000000001</v>
      </c>
      <c r="X1789">
        <v>0.94872800000000002</v>
      </c>
      <c r="Y1789">
        <v>0.33499570000000001</v>
      </c>
      <c r="Z1789">
        <v>6.7191420000000002E-2</v>
      </c>
      <c r="AA1789">
        <v>0.93982080000000001</v>
      </c>
      <c r="AB1789">
        <v>22</v>
      </c>
      <c r="AC1789">
        <v>-5.9293999999999798</v>
      </c>
      <c r="AD1789">
        <v>-1.1102203711226</v>
      </c>
      <c r="AE1789">
        <v>-15.2384</v>
      </c>
      <c r="AF1789">
        <v>5.5314315596168697</v>
      </c>
      <c r="AG1789">
        <v>-1.1102203711226</v>
      </c>
      <c r="AH1789">
        <v>15.3075683308747</v>
      </c>
      <c r="AI1789">
        <v>93.902146597328098</v>
      </c>
      <c r="AJ1789">
        <v>70.132539978588895</v>
      </c>
      <c r="AK1789">
        <v>16.314134135024801</v>
      </c>
      <c r="AL1789">
        <v>79.489221443696906</v>
      </c>
      <c r="AM1789">
        <v>74.778647171777394</v>
      </c>
      <c r="AN1789">
        <v>1.0000000358839001</v>
      </c>
    </row>
    <row r="1790" spans="1:40" x14ac:dyDescent="0.25">
      <c r="A1790" t="str">
        <f>"20190312164023714"</f>
        <v>20190312164023714</v>
      </c>
      <c r="B1790" t="str">
        <f>"1552380023707683"</f>
        <v>1552380023707683</v>
      </c>
      <c r="C1790" t="s">
        <v>40</v>
      </c>
      <c r="D1790">
        <v>4.4592989999999997</v>
      </c>
      <c r="E1790">
        <v>0.54215009999999997</v>
      </c>
      <c r="F1790" t="s">
        <v>46</v>
      </c>
      <c r="G1790">
        <v>-197.37719999999999</v>
      </c>
      <c r="H1790" s="1">
        <v>8.4829910000000001E-7</v>
      </c>
      <c r="I1790">
        <v>295.35509999999999</v>
      </c>
      <c r="J1790">
        <v>-191.2022</v>
      </c>
      <c r="K1790">
        <v>1.1102190000000001</v>
      </c>
      <c r="L1790">
        <v>311.05309999999997</v>
      </c>
      <c r="M1790">
        <v>-2.5197489999999999E-2</v>
      </c>
      <c r="N1790">
        <v>0</v>
      </c>
      <c r="O1790">
        <v>-0.99958950000000002</v>
      </c>
      <c r="P1790">
        <v>-0.28561720000000002</v>
      </c>
      <c r="Q1790">
        <v>0.1700507</v>
      </c>
      <c r="R1790">
        <v>-0.94313590000000003</v>
      </c>
      <c r="S1790">
        <v>-1.117523</v>
      </c>
      <c r="T1790">
        <v>-0.2007071</v>
      </c>
      <c r="U1790">
        <v>-2.8796390000000001</v>
      </c>
      <c r="V1790">
        <v>0.26198100000000002</v>
      </c>
      <c r="W1790">
        <v>0.18266569999999999</v>
      </c>
      <c r="X1790">
        <v>0.94762820000000003</v>
      </c>
      <c r="Y1790">
        <v>0.33741520000000003</v>
      </c>
      <c r="Z1790">
        <v>6.510436E-2</v>
      </c>
      <c r="AA1790">
        <v>0.93910190000000004</v>
      </c>
      <c r="AB1790">
        <v>22</v>
      </c>
      <c r="AC1790">
        <v>-6.1749999999999803</v>
      </c>
      <c r="AD1790">
        <v>-1.1102181517009</v>
      </c>
      <c r="AE1790">
        <v>-15.697999999999899</v>
      </c>
      <c r="AF1790">
        <v>5.7525345054342898</v>
      </c>
      <c r="AG1790">
        <v>-1.1102181517009</v>
      </c>
      <c r="AH1790">
        <v>15.780270345342799</v>
      </c>
      <c r="AI1790">
        <v>93.781738496986407</v>
      </c>
      <c r="AJ1790">
        <v>69.971195681926801</v>
      </c>
      <c r="AK1790">
        <v>16.832741005334999</v>
      </c>
      <c r="AL1790">
        <v>79.474932092249404</v>
      </c>
      <c r="AM1790">
        <v>74.5460237806587</v>
      </c>
      <c r="AN1790">
        <v>1.0000000038763599</v>
      </c>
    </row>
    <row r="1791" spans="1:40" x14ac:dyDescent="0.25">
      <c r="A1791" t="str">
        <f>"20190312164023735"</f>
        <v>20190312164023735</v>
      </c>
      <c r="B1791" t="str">
        <f>"1552380023728179"</f>
        <v>1552380023728179</v>
      </c>
      <c r="C1791" t="s">
        <v>40</v>
      </c>
      <c r="D1791">
        <v>4.7337280000000002</v>
      </c>
      <c r="E1791">
        <v>0.54170629999999997</v>
      </c>
      <c r="F1791" t="s">
        <v>46</v>
      </c>
      <c r="G1791">
        <v>-197.46780000000001</v>
      </c>
      <c r="H1791" s="1">
        <v>9.331779E-7</v>
      </c>
      <c r="I1791">
        <v>295.09230000000002</v>
      </c>
      <c r="J1791">
        <v>-191.20849999999999</v>
      </c>
      <c r="K1791">
        <v>1.110222</v>
      </c>
      <c r="L1791">
        <v>310.84289999999999</v>
      </c>
      <c r="M1791">
        <v>-2.599257E-2</v>
      </c>
      <c r="N1791">
        <v>0</v>
      </c>
      <c r="O1791">
        <v>-0.99956920000000005</v>
      </c>
      <c r="P1791">
        <v>-0.2898269</v>
      </c>
      <c r="Q1791">
        <v>0.17024990000000001</v>
      </c>
      <c r="R1791">
        <v>-0.94181499999999996</v>
      </c>
      <c r="S1791">
        <v>-1.1286620000000001</v>
      </c>
      <c r="T1791">
        <v>-0.19999230000000001</v>
      </c>
      <c r="U1791">
        <v>-2.8751530000000001</v>
      </c>
      <c r="V1791">
        <v>0.26546740000000002</v>
      </c>
      <c r="W1791">
        <v>0.1828457</v>
      </c>
      <c r="X1791">
        <v>0.94662270000000004</v>
      </c>
      <c r="Y1791">
        <v>0.34032109999999999</v>
      </c>
      <c r="Z1791">
        <v>6.4886449999999998E-2</v>
      </c>
      <c r="AA1791">
        <v>0.93806789999999995</v>
      </c>
      <c r="AB1791">
        <v>22</v>
      </c>
      <c r="AC1791">
        <v>-6.2593000000000201</v>
      </c>
      <c r="AD1791">
        <v>-1.1102210668221</v>
      </c>
      <c r="AE1791">
        <v>-15.750599999999899</v>
      </c>
      <c r="AF1791">
        <v>5.8227635938296398</v>
      </c>
      <c r="AG1791">
        <v>-1.1102210668221</v>
      </c>
      <c r="AH1791">
        <v>15.840020695861201</v>
      </c>
      <c r="AI1791">
        <v>93.7638170993024</v>
      </c>
      <c r="AJ1791">
        <v>69.816661520897</v>
      </c>
      <c r="AK1791">
        <v>16.912818284725802</v>
      </c>
      <c r="AL1791">
        <v>79.464442285238704</v>
      </c>
      <c r="AM1791">
        <v>74.334573569371202</v>
      </c>
      <c r="AN1791">
        <v>1.00000001331327</v>
      </c>
    </row>
    <row r="1792" spans="1:40" x14ac:dyDescent="0.25">
      <c r="A1792" t="str">
        <f>"20190312164023759"</f>
        <v>20190312164023759</v>
      </c>
      <c r="B1792" t="str">
        <f>"1552380023748274"</f>
        <v>1552380023748274</v>
      </c>
      <c r="C1792" t="s">
        <v>40</v>
      </c>
      <c r="D1792">
        <v>4.6463190000000001</v>
      </c>
      <c r="E1792">
        <v>0.54152819999999902</v>
      </c>
      <c r="F1792" t="s">
        <v>46</v>
      </c>
      <c r="G1792">
        <v>-197.53129999999999</v>
      </c>
      <c r="H1792" s="1">
        <v>1.001995E-6</v>
      </c>
      <c r="I1792">
        <v>294.88170000000002</v>
      </c>
      <c r="J1792">
        <v>-191.21539999999999</v>
      </c>
      <c r="K1792">
        <v>1.11022</v>
      </c>
      <c r="L1792">
        <v>310.61709999999999</v>
      </c>
      <c r="M1792">
        <v>-2.6846700000000001E-2</v>
      </c>
      <c r="N1792">
        <v>0</v>
      </c>
      <c r="O1792">
        <v>-0.99954710000000002</v>
      </c>
      <c r="P1792">
        <v>-0.29394989999999999</v>
      </c>
      <c r="Q1792">
        <v>0.1706976</v>
      </c>
      <c r="R1792">
        <v>-0.9404555</v>
      </c>
      <c r="S1792">
        <v>-1.1374820000000001</v>
      </c>
      <c r="T1792">
        <v>-0.19973099999999999</v>
      </c>
      <c r="U1792">
        <v>-2.8714599999999999</v>
      </c>
      <c r="V1792">
        <v>0.26881440000000001</v>
      </c>
      <c r="W1792">
        <v>0.1832742</v>
      </c>
      <c r="X1792">
        <v>0.94559470000000001</v>
      </c>
      <c r="Y1792">
        <v>0.3424219</v>
      </c>
      <c r="Z1792">
        <v>6.4816429999999994E-2</v>
      </c>
      <c r="AA1792">
        <v>0.93730789999999997</v>
      </c>
      <c r="AB1792">
        <v>22</v>
      </c>
      <c r="AC1792">
        <v>-6.3158999999999903</v>
      </c>
      <c r="AD1792">
        <v>-1.1102189980049999</v>
      </c>
      <c r="AE1792">
        <v>-15.735399999999901</v>
      </c>
      <c r="AF1792">
        <v>5.8659908942953098</v>
      </c>
      <c r="AG1792">
        <v>-1.1102189980049999</v>
      </c>
      <c r="AH1792">
        <v>15.8314291146041</v>
      </c>
      <c r="AI1792">
        <v>93.762274819040698</v>
      </c>
      <c r="AJ1792">
        <v>69.668911560389802</v>
      </c>
      <c r="AK1792">
        <v>16.919709903134301</v>
      </c>
      <c r="AL1792">
        <v>79.439468634235197</v>
      </c>
      <c r="AM1792">
        <v>74.1305678042864</v>
      </c>
      <c r="AN1792">
        <v>0.99999997535054397</v>
      </c>
    </row>
    <row r="1793" spans="1:40" x14ac:dyDescent="0.25">
      <c r="A1793" t="str">
        <f>"20190312164023780"</f>
        <v>20190312164023780</v>
      </c>
      <c r="B1793" t="str">
        <f>"1552380023777554"</f>
        <v>1552380023777554</v>
      </c>
      <c r="C1793" t="s">
        <v>40</v>
      </c>
      <c r="D1793">
        <v>4.5067490000000001</v>
      </c>
      <c r="E1793">
        <v>0.53645540000000003</v>
      </c>
      <c r="F1793" t="s">
        <v>46</v>
      </c>
      <c r="G1793">
        <v>-197.626</v>
      </c>
      <c r="H1793" s="1">
        <v>1.088899E-6</v>
      </c>
      <c r="I1793">
        <v>294.60770000000002</v>
      </c>
      <c r="J1793">
        <v>-191.2218</v>
      </c>
      <c r="K1793">
        <v>1.1102270000000001</v>
      </c>
      <c r="L1793">
        <v>310.41520000000003</v>
      </c>
      <c r="M1793">
        <v>-2.761038E-2</v>
      </c>
      <c r="N1793">
        <v>0</v>
      </c>
      <c r="O1793">
        <v>-0.99952629999999998</v>
      </c>
      <c r="P1793">
        <v>-0.2978345</v>
      </c>
      <c r="Q1793">
        <v>0.17011560000000001</v>
      </c>
      <c r="R1793">
        <v>-0.93933849999999997</v>
      </c>
      <c r="S1793">
        <v>-1.148102</v>
      </c>
      <c r="T1793">
        <v>-0.19883419999999999</v>
      </c>
      <c r="U1793">
        <v>-2.8671880000000001</v>
      </c>
      <c r="V1793">
        <v>0.27200279999999999</v>
      </c>
      <c r="W1793">
        <v>0.18267549999999999</v>
      </c>
      <c r="X1793">
        <v>0.94479849999999999</v>
      </c>
      <c r="Y1793">
        <v>0.34518359999999998</v>
      </c>
      <c r="Z1793">
        <v>6.4537449999999996E-2</v>
      </c>
      <c r="AA1793">
        <v>0.93631359999999997</v>
      </c>
      <c r="AB1793">
        <v>22</v>
      </c>
      <c r="AC1793">
        <v>-6.4041999999999701</v>
      </c>
      <c r="AD1793">
        <v>-1.110225911101</v>
      </c>
      <c r="AE1793">
        <v>-15.807499999999999</v>
      </c>
      <c r="AF1793">
        <v>5.9400964199943598</v>
      </c>
      <c r="AG1793">
        <v>-1.110225911101</v>
      </c>
      <c r="AH1793">
        <v>15.9108914281369</v>
      </c>
      <c r="AI1793">
        <v>93.740139940266999</v>
      </c>
      <c r="AJ1793">
        <v>69.527624757803295</v>
      </c>
      <c r="AK1793">
        <v>17.019806493919699</v>
      </c>
      <c r="AL1793">
        <v>79.474361300197899</v>
      </c>
      <c r="AM1793">
        <v>73.939152892399207</v>
      </c>
      <c r="AN1793">
        <v>1.00000003355516</v>
      </c>
    </row>
    <row r="1794" spans="1:40" x14ac:dyDescent="0.25">
      <c r="A1794" t="str">
        <f>"20190312164023804"</f>
        <v>20190312164023804</v>
      </c>
      <c r="B1794" t="str">
        <f>"1552380023798050"</f>
        <v>1552380023798050</v>
      </c>
      <c r="C1794" t="s">
        <v>40</v>
      </c>
      <c r="D1794">
        <v>4.682906</v>
      </c>
      <c r="E1794">
        <v>0.53660419999999998</v>
      </c>
      <c r="F1794" t="s">
        <v>46</v>
      </c>
      <c r="G1794">
        <v>-197.49090000000001</v>
      </c>
      <c r="H1794" s="1">
        <v>1.1489510000000001E-6</v>
      </c>
      <c r="I1794">
        <v>294.3347</v>
      </c>
      <c r="J1794">
        <v>-191.22919999999999</v>
      </c>
      <c r="K1794">
        <v>1.110222</v>
      </c>
      <c r="L1794">
        <v>310.18270000000001</v>
      </c>
      <c r="M1794">
        <v>-2.849001E-2</v>
      </c>
      <c r="N1794">
        <v>0</v>
      </c>
      <c r="O1794">
        <v>-0.99950150000000004</v>
      </c>
      <c r="P1794">
        <v>-0.30224450000000003</v>
      </c>
      <c r="Q1794">
        <v>0.17000689999999999</v>
      </c>
      <c r="R1794">
        <v>-0.937948</v>
      </c>
      <c r="S1794">
        <v>-1.1206050000000001</v>
      </c>
      <c r="T1794">
        <v>-0.1984515</v>
      </c>
      <c r="U1794">
        <v>-2.8743590000000001</v>
      </c>
      <c r="V1794">
        <v>0.27561609999999998</v>
      </c>
      <c r="W1794">
        <v>0.1825475</v>
      </c>
      <c r="X1794">
        <v>0.94377549999999999</v>
      </c>
      <c r="Y1794">
        <v>0.33578560000000002</v>
      </c>
      <c r="Z1794">
        <v>6.4484250000000007E-2</v>
      </c>
      <c r="AA1794">
        <v>0.93972860000000003</v>
      </c>
      <c r="AB1794">
        <v>22</v>
      </c>
      <c r="AC1794">
        <v>-6.26170000000001</v>
      </c>
      <c r="AD1794">
        <v>-1.1102208510489999</v>
      </c>
      <c r="AE1794">
        <v>-15.848000000000001</v>
      </c>
      <c r="AF1794">
        <v>5.7830576522973596</v>
      </c>
      <c r="AG1794">
        <v>-1.1102208510489999</v>
      </c>
      <c r="AH1794">
        <v>15.9522619960767</v>
      </c>
      <c r="AI1794">
        <v>93.743507352613506</v>
      </c>
      <c r="AJ1794">
        <v>70.073268009498193</v>
      </c>
      <c r="AK1794">
        <v>17.0044408593571</v>
      </c>
      <c r="AL1794">
        <v>79.481820329200204</v>
      </c>
      <c r="AM1794">
        <v>73.720313036026894</v>
      </c>
      <c r="AN1794">
        <v>1.0000000093678501</v>
      </c>
    </row>
    <row r="1795" spans="1:40" x14ac:dyDescent="0.25">
      <c r="A1795" t="str">
        <f>"20190312164023826"</f>
        <v>20190312164023826</v>
      </c>
      <c r="B1795" t="str">
        <f>"1552380023817570"</f>
        <v>1552380023817570</v>
      </c>
      <c r="C1795" t="s">
        <v>40</v>
      </c>
      <c r="D1795">
        <v>4.6966010000000002</v>
      </c>
      <c r="E1795">
        <v>0.53651389999999999</v>
      </c>
      <c r="F1795" t="s">
        <v>46</v>
      </c>
      <c r="G1795">
        <v>-197.476</v>
      </c>
      <c r="H1795" s="1">
        <v>1.143148E-6</v>
      </c>
      <c r="I1795">
        <v>294.37520000000001</v>
      </c>
      <c r="J1795">
        <v>-191.2363</v>
      </c>
      <c r="K1795">
        <v>1.110223</v>
      </c>
      <c r="L1795">
        <v>309.96980000000002</v>
      </c>
      <c r="M1795">
        <v>-2.9295720000000001E-2</v>
      </c>
      <c r="N1795">
        <v>0</v>
      </c>
      <c r="O1795">
        <v>-0.99947810000000004</v>
      </c>
      <c r="P1795">
        <v>-0.30661139999999998</v>
      </c>
      <c r="Q1795">
        <v>0.170228399999999</v>
      </c>
      <c r="R1795">
        <v>-0.93648920000000002</v>
      </c>
      <c r="S1795">
        <v>-1.1339870000000001</v>
      </c>
      <c r="T1795">
        <v>-0.20154040000000001</v>
      </c>
      <c r="U1795">
        <v>-2.8695680000000001</v>
      </c>
      <c r="V1795">
        <v>0.27926079999999998</v>
      </c>
      <c r="W1795">
        <v>0.1827482</v>
      </c>
      <c r="X1795">
        <v>0.94266459999999996</v>
      </c>
      <c r="Y1795">
        <v>0.33932760000000001</v>
      </c>
      <c r="Z1795">
        <v>6.5485909999999994E-2</v>
      </c>
      <c r="AA1795">
        <v>0.93838600000000005</v>
      </c>
      <c r="AB1795">
        <v>22</v>
      </c>
      <c r="AC1795">
        <v>-6.2396999999999903</v>
      </c>
      <c r="AD1795">
        <v>-1.1102218568519999</v>
      </c>
      <c r="AE1795">
        <v>-15.5946</v>
      </c>
      <c r="AF1795">
        <v>5.7549807461710696</v>
      </c>
      <c r="AG1795">
        <v>-1.1102218568519999</v>
      </c>
      <c r="AH1795">
        <v>15.7021170081023</v>
      </c>
      <c r="AI1795">
        <v>93.798112222596998</v>
      </c>
      <c r="AJ1795">
        <v>69.871616457304796</v>
      </c>
      <c r="AK1795">
        <v>16.760336347948599</v>
      </c>
      <c r="AL1795">
        <v>79.470124471855698</v>
      </c>
      <c r="AM1795">
        <v>73.498277623418304</v>
      </c>
      <c r="AN1795">
        <v>1.0000000235565101</v>
      </c>
    </row>
    <row r="1796" spans="1:40" x14ac:dyDescent="0.25">
      <c r="A1796" t="str">
        <f>"20190312164023847"</f>
        <v>20190312164023847</v>
      </c>
      <c r="B1796" t="str">
        <f>"1552380023838069"</f>
        <v>1552380023838069</v>
      </c>
      <c r="C1796" t="s">
        <v>40</v>
      </c>
      <c r="D1796">
        <v>4.703443</v>
      </c>
      <c r="E1796">
        <v>0.52603669999999902</v>
      </c>
      <c r="F1796" t="s">
        <v>46</v>
      </c>
      <c r="G1796">
        <v>-197.548</v>
      </c>
      <c r="H1796" s="1">
        <v>1.1700569999999999E-6</v>
      </c>
      <c r="I1796">
        <v>294.18619999999999</v>
      </c>
      <c r="J1796">
        <v>-191.2432</v>
      </c>
      <c r="K1796">
        <v>1.110233</v>
      </c>
      <c r="L1796">
        <v>309.76440000000002</v>
      </c>
      <c r="M1796">
        <v>-3.007338E-2</v>
      </c>
      <c r="N1796">
        <v>0</v>
      </c>
      <c r="O1796">
        <v>-0.99945499999999998</v>
      </c>
      <c r="P1796">
        <v>-0.31117929999999999</v>
      </c>
      <c r="Q1796">
        <v>0.1707089</v>
      </c>
      <c r="R1796">
        <v>-0.93489359999999999</v>
      </c>
      <c r="S1796">
        <v>-1.145691</v>
      </c>
      <c r="T1796">
        <v>-0.20152519999999999</v>
      </c>
      <c r="U1796">
        <v>-2.865021</v>
      </c>
      <c r="V1796">
        <v>0.28313929999999998</v>
      </c>
      <c r="W1796">
        <v>0.1832067</v>
      </c>
      <c r="X1796">
        <v>0.94141779999999997</v>
      </c>
      <c r="Y1796">
        <v>0.34241240000000001</v>
      </c>
      <c r="Z1796">
        <v>6.5489619999999998E-2</v>
      </c>
      <c r="AA1796">
        <v>0.9372646</v>
      </c>
      <c r="AB1796">
        <v>22</v>
      </c>
      <c r="AC1796">
        <v>-6.3048000000000002</v>
      </c>
      <c r="AD1796">
        <v>-1.1102318299429901</v>
      </c>
      <c r="AE1796">
        <v>-15.578200000000001</v>
      </c>
      <c r="AF1796">
        <v>5.8080670454513701</v>
      </c>
      <c r="AG1796">
        <v>-1.1102318299429901</v>
      </c>
      <c r="AH1796">
        <v>15.692290819618901</v>
      </c>
      <c r="AI1796">
        <v>93.796080578270207</v>
      </c>
      <c r="AJ1796">
        <v>69.689362160382004</v>
      </c>
      <c r="AK1796">
        <v>16.769443899192702</v>
      </c>
      <c r="AL1796">
        <v>79.443403146316001</v>
      </c>
      <c r="AM1796">
        <v>73.260899473395497</v>
      </c>
      <c r="AN1796">
        <v>1.0000000161431</v>
      </c>
    </row>
    <row r="1797" spans="1:40" x14ac:dyDescent="0.25">
      <c r="A1797" t="str">
        <f>"20190312164023870"</f>
        <v>20190312164023870</v>
      </c>
      <c r="B1797" t="str">
        <f>"1552380023857586"</f>
        <v>1552380023857586</v>
      </c>
      <c r="C1797" t="s">
        <v>40</v>
      </c>
      <c r="D1797">
        <v>4.5397069999999999</v>
      </c>
      <c r="E1797">
        <v>0.52748949999999994</v>
      </c>
      <c r="F1797" t="s">
        <v>41</v>
      </c>
      <c r="G1797">
        <v>-194.9735</v>
      </c>
      <c r="H1797" s="1">
        <v>-1.3365489999999999E-6</v>
      </c>
      <c r="I1797">
        <v>299.62</v>
      </c>
      <c r="J1797">
        <v>-191.25059999999999</v>
      </c>
      <c r="K1797">
        <v>1.110233</v>
      </c>
      <c r="L1797">
        <v>309.55349999999999</v>
      </c>
      <c r="M1797">
        <v>-3.0871860000000001E-2</v>
      </c>
      <c r="N1797">
        <v>0</v>
      </c>
      <c r="O1797">
        <v>-0.99943070000000001</v>
      </c>
      <c r="P1797">
        <v>-0.31696249999999998</v>
      </c>
      <c r="Q1797">
        <v>0.17128399999999999</v>
      </c>
      <c r="R1797">
        <v>-0.93284330000000004</v>
      </c>
      <c r="S1797">
        <v>-1.070343</v>
      </c>
      <c r="T1797">
        <v>-0.31856889999999999</v>
      </c>
      <c r="U1797">
        <v>-2.910828</v>
      </c>
      <c r="V1797">
        <v>0.28822880000000001</v>
      </c>
      <c r="W1797">
        <v>0.18375230000000001</v>
      </c>
      <c r="X1797">
        <v>0.93976550000000003</v>
      </c>
      <c r="Y1797">
        <v>0.31415650000000001</v>
      </c>
      <c r="Z1797">
        <v>0.10264230000000001</v>
      </c>
      <c r="AA1797">
        <v>0.94380620000000004</v>
      </c>
      <c r="AB1797">
        <v>21</v>
      </c>
      <c r="AC1797">
        <v>-3.7229000000000001</v>
      </c>
      <c r="AD1797">
        <v>-1.1102343365489999</v>
      </c>
      <c r="AE1797">
        <v>-9.9334999999999791</v>
      </c>
      <c r="AF1797">
        <v>3.3774371327038399</v>
      </c>
      <c r="AG1797">
        <v>-1.1102343365489999</v>
      </c>
      <c r="AH1797">
        <v>9.9348882560304403</v>
      </c>
      <c r="AI1797">
        <v>96.039666251695905</v>
      </c>
      <c r="AJ1797">
        <v>71.224163207266798</v>
      </c>
      <c r="AK1797">
        <v>10.551857965649001</v>
      </c>
      <c r="AL1797">
        <v>79.411602236783196</v>
      </c>
      <c r="AM1797">
        <v>72.9490717176174</v>
      </c>
      <c r="AN1797">
        <v>0.99999997194748902</v>
      </c>
    </row>
    <row r="1798" spans="1:40" x14ac:dyDescent="0.25">
      <c r="A1798" t="str">
        <f>"20190312164023903"</f>
        <v>20190312164023903</v>
      </c>
      <c r="B1798" t="str">
        <f>"1552380023897603"</f>
        <v>1552380023897603</v>
      </c>
      <c r="C1798" t="s">
        <v>40</v>
      </c>
      <c r="D1798">
        <v>4.6453189999999998</v>
      </c>
      <c r="E1798">
        <v>0.52771939999999995</v>
      </c>
      <c r="F1798" t="s">
        <v>46</v>
      </c>
      <c r="G1798">
        <v>-195.34350000000001</v>
      </c>
      <c r="H1798" s="1">
        <v>1.5036689999999999E-7</v>
      </c>
      <c r="I1798">
        <v>298.76249999999999</v>
      </c>
      <c r="J1798">
        <v>-191.262</v>
      </c>
      <c r="K1798">
        <v>1.1102320000000001</v>
      </c>
      <c r="L1798">
        <v>309.23289999999997</v>
      </c>
      <c r="M1798">
        <v>-3.2088539999999999E-2</v>
      </c>
      <c r="N1798">
        <v>0</v>
      </c>
      <c r="O1798">
        <v>-0.99939250000000002</v>
      </c>
      <c r="P1798">
        <v>-0.3223819</v>
      </c>
      <c r="Q1798">
        <v>0.17192470000000001</v>
      </c>
      <c r="R1798">
        <v>-0.93086650000000004</v>
      </c>
      <c r="S1798">
        <v>-1.0989230000000001</v>
      </c>
      <c r="T1798">
        <v>-0.29808829999999997</v>
      </c>
      <c r="U1798">
        <v>-2.897278</v>
      </c>
      <c r="V1798">
        <v>0.29256209999999999</v>
      </c>
      <c r="W1798">
        <v>0.18436530000000001</v>
      </c>
      <c r="X1798">
        <v>0.93830530000000001</v>
      </c>
      <c r="Y1798">
        <v>0.32281090000000001</v>
      </c>
      <c r="Z1798">
        <v>9.6218109999999996E-2</v>
      </c>
      <c r="AA1798">
        <v>0.94155999999999995</v>
      </c>
      <c r="AB1798">
        <v>21</v>
      </c>
      <c r="AC1798">
        <v>-4.0815000000000001</v>
      </c>
      <c r="AD1798">
        <v>-1.1102318496330901</v>
      </c>
      <c r="AE1798">
        <v>-10.4703999999999</v>
      </c>
      <c r="AF1798">
        <v>3.7072032225582898</v>
      </c>
      <c r="AG1798">
        <v>-1.1102318496330901</v>
      </c>
      <c r="AH1798">
        <v>10.493567619810101</v>
      </c>
      <c r="AI1798">
        <v>95.696908309814503</v>
      </c>
      <c r="AJ1798">
        <v>70.542531158024204</v>
      </c>
      <c r="AK1798">
        <v>11.184405745716401</v>
      </c>
      <c r="AL1798">
        <v>79.375869641654901</v>
      </c>
      <c r="AM1798">
        <v>72.682604508841706</v>
      </c>
      <c r="AN1798">
        <v>0.99999999110429505</v>
      </c>
    </row>
    <row r="1799" spans="1:40" x14ac:dyDescent="0.25">
      <c r="A1799" t="str">
        <f>"20190312164023925"</f>
        <v>20190312164023925</v>
      </c>
      <c r="B1799" t="str">
        <f>"1552380023918100"</f>
        <v>1552380023918100</v>
      </c>
      <c r="C1799" t="s">
        <v>40</v>
      </c>
      <c r="D1799">
        <v>4.609756</v>
      </c>
      <c r="E1799">
        <v>0.52807720000000002</v>
      </c>
      <c r="F1799" t="s">
        <v>46</v>
      </c>
      <c r="G1799">
        <v>-195.60419999999999</v>
      </c>
      <c r="H1799" s="1">
        <v>2.8111919999999998E-7</v>
      </c>
      <c r="I1799">
        <v>298.02010000000001</v>
      </c>
      <c r="J1799">
        <v>-191.27</v>
      </c>
      <c r="K1799">
        <v>1.1102289999999999</v>
      </c>
      <c r="L1799">
        <v>309.01389999999998</v>
      </c>
      <c r="M1799">
        <v>-3.2929300000000002E-2</v>
      </c>
      <c r="N1799">
        <v>0</v>
      </c>
      <c r="O1799">
        <v>-0.99936510000000001</v>
      </c>
      <c r="P1799">
        <v>-0.3256947</v>
      </c>
      <c r="Q1799">
        <v>0.1717678</v>
      </c>
      <c r="R1799">
        <v>-0.92974140000000005</v>
      </c>
      <c r="S1799">
        <v>-1.118484</v>
      </c>
      <c r="T1799">
        <v>-0.28598059999999997</v>
      </c>
      <c r="U1799">
        <v>-2.8882750000000001</v>
      </c>
      <c r="V1799">
        <v>0.29511989999999999</v>
      </c>
      <c r="W1799">
        <v>0.18419099999999999</v>
      </c>
      <c r="X1799">
        <v>0.93753819999999999</v>
      </c>
      <c r="Y1799">
        <v>0.32867030000000003</v>
      </c>
      <c r="Z1799">
        <v>9.2405080000000001E-2</v>
      </c>
      <c r="AA1799">
        <v>0.93991329999999995</v>
      </c>
      <c r="AB1799">
        <v>21</v>
      </c>
      <c r="AC1799">
        <v>-4.3341999999999796</v>
      </c>
      <c r="AD1799">
        <v>-1.1102287188808</v>
      </c>
      <c r="AE1799">
        <v>-10.993799999999901</v>
      </c>
      <c r="AF1799">
        <v>3.93506466576292</v>
      </c>
      <c r="AG1799">
        <v>-1.1102287188808</v>
      </c>
      <c r="AH1799">
        <v>11.033187996533</v>
      </c>
      <c r="AI1799">
        <v>95.414238377825797</v>
      </c>
      <c r="AJ1799">
        <v>70.370863953241297</v>
      </c>
      <c r="AK1799">
        <v>11.766417428376499</v>
      </c>
      <c r="AL1799">
        <v>79.386030167307197</v>
      </c>
      <c r="AM1799">
        <v>72.5269502566684</v>
      </c>
      <c r="AN1799">
        <v>0.99999997815812403</v>
      </c>
    </row>
    <row r="1800" spans="1:40" x14ac:dyDescent="0.25">
      <c r="A1800" t="str">
        <f>"20190312164023948"</f>
        <v>20190312164023948</v>
      </c>
      <c r="B1800" t="str">
        <f>"1552380023938135"</f>
        <v>1552380023938135</v>
      </c>
      <c r="C1800" t="s">
        <v>40</v>
      </c>
      <c r="D1800">
        <v>4.670922</v>
      </c>
      <c r="E1800">
        <v>0.52874169999999998</v>
      </c>
      <c r="F1800" t="s">
        <v>46</v>
      </c>
      <c r="G1800">
        <v>-195.63120000000001</v>
      </c>
      <c r="H1800" s="1">
        <v>3.017366E-7</v>
      </c>
      <c r="I1800">
        <v>297.90300000000002</v>
      </c>
      <c r="J1800">
        <v>-191.27809999999999</v>
      </c>
      <c r="K1800">
        <v>1.110225</v>
      </c>
      <c r="L1800">
        <v>308.79840000000002</v>
      </c>
      <c r="M1800">
        <v>-3.3773409999999997E-2</v>
      </c>
      <c r="N1800">
        <v>0</v>
      </c>
      <c r="O1800">
        <v>-0.99933720000000004</v>
      </c>
      <c r="P1800">
        <v>-0.32883379999999901</v>
      </c>
      <c r="Q1800">
        <v>0.1722099</v>
      </c>
      <c r="R1800">
        <v>-0.92855390000000004</v>
      </c>
      <c r="S1800">
        <v>-1.1317900000000001</v>
      </c>
      <c r="T1800">
        <v>-0.2881223</v>
      </c>
      <c r="U1800">
        <v>-2.8834529999999998</v>
      </c>
      <c r="V1800">
        <v>0.29750759999999998</v>
      </c>
      <c r="W1800">
        <v>0.18461</v>
      </c>
      <c r="X1800">
        <v>0.9367008</v>
      </c>
      <c r="Y1800">
        <v>0.33214070000000001</v>
      </c>
      <c r="Z1800">
        <v>9.3097659999999999E-2</v>
      </c>
      <c r="AA1800">
        <v>0.93862420000000002</v>
      </c>
      <c r="AB1800">
        <v>21</v>
      </c>
      <c r="AC1800">
        <v>-4.3531000000000102</v>
      </c>
      <c r="AD1800">
        <v>-1.1102246982633901</v>
      </c>
      <c r="AE1800">
        <v>-10.895399999999899</v>
      </c>
      <c r="AF1800">
        <v>3.9472636536307699</v>
      </c>
      <c r="AG1800">
        <v>-1.1102246982633901</v>
      </c>
      <c r="AH1800">
        <v>10.9382746248655</v>
      </c>
      <c r="AI1800">
        <v>95.453657605648601</v>
      </c>
      <c r="AJ1800">
        <v>70.157153621757999</v>
      </c>
      <c r="AK1800">
        <v>11.681581271423999</v>
      </c>
      <c r="AL1800">
        <v>79.361604665737701</v>
      </c>
      <c r="AM1800">
        <v>72.379517101522495</v>
      </c>
      <c r="AN1800">
        <v>1.0000000064391901</v>
      </c>
    </row>
    <row r="1801" spans="1:40" x14ac:dyDescent="0.25">
      <c r="A1801" t="str">
        <f>"20190312164023969"</f>
        <v>20190312164023969</v>
      </c>
      <c r="B1801" t="str">
        <f>"1552380023957651"</f>
        <v>1552380023957651</v>
      </c>
      <c r="C1801" t="s">
        <v>40</v>
      </c>
      <c r="D1801">
        <v>4.6242749999999999</v>
      </c>
      <c r="E1801">
        <v>0.52911609999999998</v>
      </c>
      <c r="F1801" t="s">
        <v>46</v>
      </c>
      <c r="G1801">
        <v>-195.91679999999999</v>
      </c>
      <c r="H1801" s="1">
        <v>4.2944410000000001E-7</v>
      </c>
      <c r="I1801">
        <v>297.17790000000002</v>
      </c>
      <c r="J1801">
        <v>-191.28569999999999</v>
      </c>
      <c r="K1801">
        <v>1.1102069999999999</v>
      </c>
      <c r="L1801">
        <v>308.60160000000002</v>
      </c>
      <c r="M1801">
        <v>-3.4575950000000001E-2</v>
      </c>
      <c r="N1801">
        <v>0</v>
      </c>
      <c r="O1801">
        <v>-0.99930969999999997</v>
      </c>
      <c r="P1801">
        <v>-0.33241130000000002</v>
      </c>
      <c r="Q1801">
        <v>0.17316599999999999</v>
      </c>
      <c r="R1801">
        <v>-0.92710110000000001</v>
      </c>
      <c r="S1801">
        <v>-1.1477809999999999</v>
      </c>
      <c r="T1801">
        <v>-0.27470919999999999</v>
      </c>
      <c r="U1801">
        <v>-2.8753359999999999</v>
      </c>
      <c r="V1801">
        <v>0.3003883</v>
      </c>
      <c r="W1801">
        <v>0.18553310000000001</v>
      </c>
      <c r="X1801">
        <v>0.93559840000000005</v>
      </c>
      <c r="Y1801">
        <v>0.33693499999999998</v>
      </c>
      <c r="Z1801">
        <v>8.8863220000000007E-2</v>
      </c>
      <c r="AA1801">
        <v>0.93732499999999996</v>
      </c>
      <c r="AB1801">
        <v>21</v>
      </c>
      <c r="AC1801">
        <v>-4.6311</v>
      </c>
      <c r="AD1801">
        <v>-1.1102065705559001</v>
      </c>
      <c r="AE1801">
        <v>-11.423699999999901</v>
      </c>
      <c r="AF1801">
        <v>4.19924560668316</v>
      </c>
      <c r="AG1801">
        <v>-1.1102065705559001</v>
      </c>
      <c r="AH1801">
        <v>11.483853939783</v>
      </c>
      <c r="AI1801">
        <v>95.187981305965494</v>
      </c>
      <c r="AJ1801">
        <v>69.914293215425801</v>
      </c>
      <c r="AK1801">
        <v>12.2778305740396</v>
      </c>
      <c r="AL1801">
        <v>79.307785283334596</v>
      </c>
      <c r="AM1801">
        <v>72.199971344189905</v>
      </c>
      <c r="AN1801">
        <v>1.00000001402753</v>
      </c>
    </row>
    <row r="1802" spans="1:40" x14ac:dyDescent="0.25">
      <c r="A1802" t="str">
        <f>"20190312164023995"</f>
        <v>20190312164023995</v>
      </c>
      <c r="B1802" t="str">
        <f>"1552380023987907"</f>
        <v>1552380023987907</v>
      </c>
      <c r="C1802" t="s">
        <v>40</v>
      </c>
      <c r="D1802">
        <v>4.6678769999999998</v>
      </c>
      <c r="E1802">
        <v>0.52957369999999904</v>
      </c>
      <c r="F1802" t="s">
        <v>46</v>
      </c>
      <c r="G1802">
        <v>-196.17869999999999</v>
      </c>
      <c r="H1802" s="1">
        <v>5.4428480000000005E-7</v>
      </c>
      <c r="I1802">
        <v>296.5258</v>
      </c>
      <c r="J1802">
        <v>-191.2955</v>
      </c>
      <c r="K1802">
        <v>1.1101700000000001</v>
      </c>
      <c r="L1802">
        <v>308.35480000000001</v>
      </c>
      <c r="M1802">
        <v>-3.5645910000000003E-2</v>
      </c>
      <c r="N1802">
        <v>0</v>
      </c>
      <c r="O1802">
        <v>-0.9992721</v>
      </c>
      <c r="P1802">
        <v>-0.33611960000000002</v>
      </c>
      <c r="Q1802">
        <v>0.1743933</v>
      </c>
      <c r="R1802">
        <v>-0.92553260000000004</v>
      </c>
      <c r="S1802">
        <v>-1.162247</v>
      </c>
      <c r="T1802">
        <v>-0.26371109999999998</v>
      </c>
      <c r="U1802">
        <v>-2.8684080000000001</v>
      </c>
      <c r="V1802">
        <v>0.30316490000000001</v>
      </c>
      <c r="W1802">
        <v>0.18671090000000001</v>
      </c>
      <c r="X1802">
        <v>0.93446779999999996</v>
      </c>
      <c r="Y1802">
        <v>0.34088570000000001</v>
      </c>
      <c r="Z1802">
        <v>8.5378949999999995E-2</v>
      </c>
      <c r="AA1802">
        <v>0.93621980000000005</v>
      </c>
      <c r="AB1802">
        <v>21</v>
      </c>
      <c r="AC1802">
        <v>-4.88319999999998</v>
      </c>
      <c r="AD1802">
        <v>-1.1101694557152</v>
      </c>
      <c r="AE1802">
        <v>-11.829000000000001</v>
      </c>
      <c r="AF1802">
        <v>4.4251000774826501</v>
      </c>
      <c r="AG1802">
        <v>-1.1101694557152</v>
      </c>
      <c r="AH1802">
        <v>11.905963586274799</v>
      </c>
      <c r="AI1802">
        <v>94.995136921138197</v>
      </c>
      <c r="AJ1802">
        <v>69.611365131148602</v>
      </c>
      <c r="AK1802">
        <v>12.7501355221755</v>
      </c>
      <c r="AL1802">
        <v>79.239101957415699</v>
      </c>
      <c r="AM1802">
        <v>72.025630914155897</v>
      </c>
      <c r="AN1802">
        <v>0.99999999300382902</v>
      </c>
    </row>
    <row r="1803" spans="1:40" x14ac:dyDescent="0.25">
      <c r="A1803" t="str">
        <f>"20190312164024017"</f>
        <v>20190312164024017</v>
      </c>
      <c r="B1803" t="str">
        <f>"1552380024008403"</f>
        <v>1552380024008403</v>
      </c>
      <c r="C1803" t="s">
        <v>40</v>
      </c>
      <c r="D1803">
        <v>4.7183250000000001</v>
      </c>
      <c r="E1803">
        <v>0.52892490000000003</v>
      </c>
      <c r="F1803" t="s">
        <v>46</v>
      </c>
      <c r="G1803">
        <v>-196.501</v>
      </c>
      <c r="H1803" s="1">
        <v>8.0380969999999901E-7</v>
      </c>
      <c r="I1803">
        <v>295.70080000000002</v>
      </c>
      <c r="J1803">
        <v>-191.3038</v>
      </c>
      <c r="K1803">
        <v>1.1101319999999999</v>
      </c>
      <c r="L1803">
        <v>308.15460000000002</v>
      </c>
      <c r="M1803">
        <v>-3.6584190000000003E-2</v>
      </c>
      <c r="N1803">
        <v>0</v>
      </c>
      <c r="O1803">
        <v>-0.99923810000000002</v>
      </c>
      <c r="P1803">
        <v>-0.3397462</v>
      </c>
      <c r="Q1803">
        <v>0.17582159999999999</v>
      </c>
      <c r="R1803">
        <v>-0.92393700000000001</v>
      </c>
      <c r="S1803">
        <v>-1.177017</v>
      </c>
      <c r="T1803">
        <v>-0.25102419999999998</v>
      </c>
      <c r="U1803">
        <v>-2.861237</v>
      </c>
      <c r="V1803">
        <v>0.3059905</v>
      </c>
      <c r="W1803">
        <v>0.1880838</v>
      </c>
      <c r="X1803">
        <v>0.93327079999999996</v>
      </c>
      <c r="Y1803">
        <v>0.3450859</v>
      </c>
      <c r="Z1803">
        <v>8.1343910000000005E-2</v>
      </c>
      <c r="AA1803">
        <v>0.93503950000000002</v>
      </c>
      <c r="AB1803">
        <v>21</v>
      </c>
      <c r="AC1803">
        <v>-5.1971999999999801</v>
      </c>
      <c r="AD1803">
        <v>-1.1101311961903</v>
      </c>
      <c r="AE1803">
        <v>-12.453799999999999</v>
      </c>
      <c r="AF1803">
        <v>4.7062172395410897</v>
      </c>
      <c r="AG1803">
        <v>-1.1101311961903</v>
      </c>
      <c r="AH1803">
        <v>12.550679474981401</v>
      </c>
      <c r="AI1803">
        <v>94.734471293381503</v>
      </c>
      <c r="AJ1803">
        <v>69.445105712392802</v>
      </c>
      <c r="AK1803">
        <v>13.449922946330499</v>
      </c>
      <c r="AL1803">
        <v>79.159022450732095</v>
      </c>
      <c r="AM1803">
        <v>71.8472900239951</v>
      </c>
      <c r="AN1803">
        <v>1.00000004402266</v>
      </c>
    </row>
    <row r="1804" spans="1:40" x14ac:dyDescent="0.25">
      <c r="A1804" t="str">
        <f>"20190312164024041"</f>
        <v>20190312164024041</v>
      </c>
      <c r="B1804" t="str">
        <f>"1552380024038005"</f>
        <v>1552380024038005</v>
      </c>
      <c r="C1804" t="s">
        <v>40</v>
      </c>
      <c r="D1804">
        <v>4.721616</v>
      </c>
      <c r="E1804">
        <v>0.5286071</v>
      </c>
      <c r="F1804" t="s">
        <v>46</v>
      </c>
      <c r="G1804">
        <v>-196.66640000000001</v>
      </c>
      <c r="H1804" s="1">
        <v>9.6425990000000004E-7</v>
      </c>
      <c r="I1804">
        <v>295.2054</v>
      </c>
      <c r="J1804">
        <v>-191.31370000000001</v>
      </c>
      <c r="K1804">
        <v>1.110069</v>
      </c>
      <c r="L1804">
        <v>307.92160000000001</v>
      </c>
      <c r="M1804">
        <v>-3.777751E-2</v>
      </c>
      <c r="N1804">
        <v>0</v>
      </c>
      <c r="O1804">
        <v>-0.99919380000000002</v>
      </c>
      <c r="P1804">
        <v>-0.34389989999999998</v>
      </c>
      <c r="Q1804">
        <v>0.1775786</v>
      </c>
      <c r="R1804">
        <v>-0.9220623</v>
      </c>
      <c r="S1804">
        <v>-1.1837310000000001</v>
      </c>
      <c r="T1804">
        <v>-0.24504670000000001</v>
      </c>
      <c r="U1804">
        <v>-2.858368</v>
      </c>
      <c r="V1804">
        <v>0.30912679999999998</v>
      </c>
      <c r="W1804">
        <v>0.18976760000000001</v>
      </c>
      <c r="X1804">
        <v>0.93189529999999998</v>
      </c>
      <c r="Y1804">
        <v>0.346230599999999</v>
      </c>
      <c r="Z1804">
        <v>7.9436580000000007E-2</v>
      </c>
      <c r="AA1804">
        <v>0.93478030000000001</v>
      </c>
      <c r="AB1804">
        <v>21</v>
      </c>
      <c r="AC1804">
        <v>-5.3526999999999898</v>
      </c>
      <c r="AD1804">
        <v>-1.1100680357401</v>
      </c>
      <c r="AE1804">
        <v>-12.716200000000001</v>
      </c>
      <c r="AF1804">
        <v>4.8371344928818001</v>
      </c>
      <c r="AG1804">
        <v>-1.1100680357401</v>
      </c>
      <c r="AH1804">
        <v>12.826320344268799</v>
      </c>
      <c r="AI1804">
        <v>94.629647565876795</v>
      </c>
      <c r="AJ1804">
        <v>69.337253622973705</v>
      </c>
      <c r="AK1804">
        <v>13.7529856656656</v>
      </c>
      <c r="AL1804">
        <v>79.060777922237193</v>
      </c>
      <c r="AM1804">
        <v>71.648368451767894</v>
      </c>
      <c r="AN1804">
        <v>0.99999998532504397</v>
      </c>
    </row>
    <row r="1805" spans="1:40" x14ac:dyDescent="0.25">
      <c r="A1805" t="str">
        <f>"20190312164024060"</f>
        <v>20190312164024060</v>
      </c>
      <c r="B1805" t="str">
        <f>"1552380024047765"</f>
        <v>1552380024047765</v>
      </c>
      <c r="C1805" t="s">
        <v>40</v>
      </c>
      <c r="D1805">
        <v>4.6944980000000003</v>
      </c>
      <c r="E1805">
        <v>0.52840450000000005</v>
      </c>
      <c r="F1805" t="s">
        <v>46</v>
      </c>
      <c r="G1805">
        <v>-196.75890000000001</v>
      </c>
      <c r="H1805" s="1">
        <v>1.065085E-6</v>
      </c>
      <c r="I1805">
        <v>294.89699999999999</v>
      </c>
      <c r="J1805">
        <v>-191.32169999999999</v>
      </c>
      <c r="K1805">
        <v>1.1100129999999999</v>
      </c>
      <c r="L1805">
        <v>307.73970000000003</v>
      </c>
      <c r="M1805">
        <v>-3.8787120000000001E-2</v>
      </c>
      <c r="N1805">
        <v>0</v>
      </c>
      <c r="O1805">
        <v>-0.99915529999999997</v>
      </c>
      <c r="P1805">
        <v>-0.34791460000000002</v>
      </c>
      <c r="Q1805">
        <v>0.1780602</v>
      </c>
      <c r="R1805">
        <v>-0.92046220000000001</v>
      </c>
      <c r="S1805">
        <v>-1.193665</v>
      </c>
      <c r="T1805">
        <v>-0.24334339999999999</v>
      </c>
      <c r="U1805">
        <v>-2.855194</v>
      </c>
      <c r="V1805">
        <v>0.312282</v>
      </c>
      <c r="W1805">
        <v>0.1901871</v>
      </c>
      <c r="X1805">
        <v>0.9307571</v>
      </c>
      <c r="Y1805">
        <v>0.34843819999999998</v>
      </c>
      <c r="Z1805">
        <v>7.8880179999999994E-2</v>
      </c>
      <c r="AA1805">
        <v>0.93400680000000003</v>
      </c>
      <c r="AB1805">
        <v>21</v>
      </c>
      <c r="AC1805">
        <v>-5.4372000000000096</v>
      </c>
      <c r="AD1805">
        <v>-1.1100119349149999</v>
      </c>
      <c r="AE1805">
        <v>-12.842700000000001</v>
      </c>
      <c r="AF1805">
        <v>4.9038649837039596</v>
      </c>
      <c r="AG1805">
        <v>-1.1100119349149999</v>
      </c>
      <c r="AH1805">
        <v>12.961834836702</v>
      </c>
      <c r="AI1805">
        <v>94.579404367022704</v>
      </c>
      <c r="AJ1805">
        <v>69.276811726840705</v>
      </c>
      <c r="AK1805">
        <v>13.902847931556799</v>
      </c>
      <c r="AL1805">
        <v>79.036296437454993</v>
      </c>
      <c r="AM1805">
        <v>71.452678223275896</v>
      </c>
      <c r="AN1805">
        <v>0.99999997986540901</v>
      </c>
    </row>
    <row r="1806" spans="1:40" x14ac:dyDescent="0.25">
      <c r="A1806" t="str">
        <f>"20190312164024081"</f>
        <v>20190312164024081</v>
      </c>
      <c r="B1806" t="str">
        <f>"1552380024078021"</f>
        <v>1552380024078021</v>
      </c>
      <c r="C1806" t="s">
        <v>40</v>
      </c>
      <c r="D1806">
        <v>4.7555730000000001</v>
      </c>
      <c r="E1806">
        <v>0.52834759999999903</v>
      </c>
      <c r="F1806" t="s">
        <v>46</v>
      </c>
      <c r="G1806">
        <v>-196.89439999999999</v>
      </c>
      <c r="H1806" s="1">
        <v>1.163954E-6</v>
      </c>
      <c r="I1806">
        <v>294.55</v>
      </c>
      <c r="J1806">
        <v>-191.3312</v>
      </c>
      <c r="K1806">
        <v>1.1099619999999999</v>
      </c>
      <c r="L1806">
        <v>307.53390000000002</v>
      </c>
      <c r="M1806">
        <v>-4.000981E-2</v>
      </c>
      <c r="N1806">
        <v>0</v>
      </c>
      <c r="O1806">
        <v>-0.99910690000000002</v>
      </c>
      <c r="P1806">
        <v>-0.35191539999999999</v>
      </c>
      <c r="Q1806">
        <v>0.17812709999999901</v>
      </c>
      <c r="R1806">
        <v>-0.91892689999999999</v>
      </c>
      <c r="S1806">
        <v>-1.2043299999999999</v>
      </c>
      <c r="T1806">
        <v>-0.23989060000000001</v>
      </c>
      <c r="U1806">
        <v>-2.8504939999999999</v>
      </c>
      <c r="V1806">
        <v>0.31522430000000001</v>
      </c>
      <c r="W1806">
        <v>0.19019220000000001</v>
      </c>
      <c r="X1806">
        <v>0.92976369999999997</v>
      </c>
      <c r="Y1806">
        <v>0.35084120000000002</v>
      </c>
      <c r="Z1806">
        <v>7.7790070000000003E-2</v>
      </c>
      <c r="AA1806">
        <v>0.93319830000000004</v>
      </c>
      <c r="AB1806">
        <v>21</v>
      </c>
      <c r="AC1806">
        <v>-5.5631999999999904</v>
      </c>
      <c r="AD1806">
        <v>-1.109960836046</v>
      </c>
      <c r="AE1806">
        <v>-12.9839</v>
      </c>
      <c r="AF1806">
        <v>5.0082893900192804</v>
      </c>
      <c r="AG1806">
        <v>-1.109960836046</v>
      </c>
      <c r="AH1806">
        <v>13.1151248432234</v>
      </c>
      <c r="AI1806">
        <v>94.520600174340302</v>
      </c>
      <c r="AJ1806">
        <v>69.0995797989317</v>
      </c>
      <c r="AK1806">
        <v>14.0826657748124</v>
      </c>
      <c r="AL1806">
        <v>79.035998853725204</v>
      </c>
      <c r="AM1806">
        <v>71.271439479623993</v>
      </c>
      <c r="AN1806">
        <v>0.99999998504450904</v>
      </c>
    </row>
    <row r="1807" spans="1:40" x14ac:dyDescent="0.25">
      <c r="A1807" t="str">
        <f>"20190312164024107"</f>
        <v>20190312164024107</v>
      </c>
      <c r="B1807" t="str">
        <f>"1552380024097541"</f>
        <v>1552380024097541</v>
      </c>
      <c r="C1807" t="s">
        <v>40</v>
      </c>
      <c r="D1807">
        <v>4.7433389999999997</v>
      </c>
      <c r="E1807">
        <v>0.5282424</v>
      </c>
      <c r="F1807" t="s">
        <v>46</v>
      </c>
      <c r="G1807">
        <v>-196.816</v>
      </c>
      <c r="H1807" s="1">
        <v>1.1348459999999999E-6</v>
      </c>
      <c r="I1807">
        <v>294.68529999999998</v>
      </c>
      <c r="J1807">
        <v>-191.34229999999999</v>
      </c>
      <c r="K1807">
        <v>1.109909</v>
      </c>
      <c r="L1807">
        <v>307.3005</v>
      </c>
      <c r="M1807">
        <v>-4.1498390000000003E-2</v>
      </c>
      <c r="N1807">
        <v>0</v>
      </c>
      <c r="O1807">
        <v>-0.99904599999999999</v>
      </c>
      <c r="P1807">
        <v>-0.35642079999999998</v>
      </c>
      <c r="Q1807">
        <v>0.1778827</v>
      </c>
      <c r="R1807">
        <v>-0.9172361</v>
      </c>
      <c r="S1807">
        <v>-1.215317</v>
      </c>
      <c r="T1807">
        <v>-0.24594199999999999</v>
      </c>
      <c r="U1807">
        <v>-2.8469540000000002</v>
      </c>
      <c r="V1807">
        <v>0.31843120000000003</v>
      </c>
      <c r="W1807">
        <v>0.1898851</v>
      </c>
      <c r="X1807">
        <v>0.92873309999999998</v>
      </c>
      <c r="Y1807">
        <v>0.352852</v>
      </c>
      <c r="Z1807">
        <v>7.9734020000000003E-2</v>
      </c>
      <c r="AA1807">
        <v>0.93227570000000004</v>
      </c>
      <c r="AB1807">
        <v>21</v>
      </c>
      <c r="AC1807">
        <v>-5.4736999999999796</v>
      </c>
      <c r="AD1807">
        <v>-1.109907865154</v>
      </c>
      <c r="AE1807">
        <v>-12.6152</v>
      </c>
      <c r="AF1807">
        <v>4.9134172492618804</v>
      </c>
      <c r="AG1807">
        <v>-1.109907865154</v>
      </c>
      <c r="AH1807">
        <v>12.7484536446233</v>
      </c>
      <c r="AI1807">
        <v>94.644358777872199</v>
      </c>
      <c r="AJ1807">
        <v>68.922698639144301</v>
      </c>
      <c r="AK1807">
        <v>13.7075393438642</v>
      </c>
      <c r="AL1807">
        <v>79.053920886341402</v>
      </c>
      <c r="AM1807">
        <v>71.0748906164728</v>
      </c>
      <c r="AN1807">
        <v>0.99999997568552901</v>
      </c>
    </row>
    <row r="1808" spans="1:40" x14ac:dyDescent="0.25">
      <c r="A1808" t="str">
        <f>"20190312164024127"</f>
        <v>20190312164024127</v>
      </c>
      <c r="B1808" t="str">
        <f>"1552380024118037"</f>
        <v>1552380024118037</v>
      </c>
      <c r="C1808" t="s">
        <v>40</v>
      </c>
      <c r="D1808">
        <v>4.759169</v>
      </c>
      <c r="E1808">
        <v>0.52837780000000001</v>
      </c>
      <c r="F1808" t="s">
        <v>46</v>
      </c>
      <c r="G1808">
        <v>-196.79990000000001</v>
      </c>
      <c r="H1808" s="1">
        <v>1.13785E-6</v>
      </c>
      <c r="I1808">
        <v>294.68079999999998</v>
      </c>
      <c r="J1808">
        <v>-191.35230000000001</v>
      </c>
      <c r="K1808">
        <v>1.1098680000000001</v>
      </c>
      <c r="L1808">
        <v>307.09840000000003</v>
      </c>
      <c r="M1808">
        <v>-4.28739E-2</v>
      </c>
      <c r="N1808">
        <v>0</v>
      </c>
      <c r="O1808">
        <v>-0.99898830000000005</v>
      </c>
      <c r="P1808">
        <v>-0.36050080000000001</v>
      </c>
      <c r="Q1808">
        <v>0.1780051</v>
      </c>
      <c r="R1808">
        <v>-0.91561650000000006</v>
      </c>
      <c r="S1808">
        <v>-1.228912</v>
      </c>
      <c r="T1808">
        <v>-0.24992139999999999</v>
      </c>
      <c r="U1808">
        <v>-2.8416139999999999</v>
      </c>
      <c r="V1808">
        <v>0.32131470000000001</v>
      </c>
      <c r="W1808">
        <v>0.18995300000000001</v>
      </c>
      <c r="X1808">
        <v>0.92772560000000004</v>
      </c>
      <c r="Y1808">
        <v>0.35591800000000001</v>
      </c>
      <c r="Z1808">
        <v>8.1025349999999996E-2</v>
      </c>
      <c r="AA1808">
        <v>0.93099799999999999</v>
      </c>
      <c r="AB1808">
        <v>21</v>
      </c>
      <c r="AC1808">
        <v>-5.4475999999999898</v>
      </c>
      <c r="AD1808">
        <v>-1.1098668621500001</v>
      </c>
      <c r="AE1808">
        <v>-12.4176</v>
      </c>
      <c r="AF1808">
        <v>4.8774747609262299</v>
      </c>
      <c r="AG1808">
        <v>-1.1098668621500001</v>
      </c>
      <c r="AH1808">
        <v>12.5556482757247</v>
      </c>
      <c r="AI1808">
        <v>94.710360381855807</v>
      </c>
      <c r="AJ1808">
        <v>68.770416190002905</v>
      </c>
      <c r="AK1808">
        <v>13.515393746350099</v>
      </c>
      <c r="AL1808">
        <v>79.049959028184603</v>
      </c>
      <c r="AM1808">
        <v>70.896641213697905</v>
      </c>
      <c r="AN1808">
        <v>1.00000003377022</v>
      </c>
    </row>
    <row r="1809" spans="1:40" x14ac:dyDescent="0.25">
      <c r="A1809" t="str">
        <f>"20190312164024153"</f>
        <v>20190312164024153</v>
      </c>
      <c r="B1809" t="str">
        <f>"1552380024148294"</f>
        <v>1552380024148294</v>
      </c>
      <c r="C1809" t="s">
        <v>40</v>
      </c>
      <c r="D1809">
        <v>4.8978950000000001</v>
      </c>
      <c r="E1809">
        <v>0.5284449</v>
      </c>
      <c r="F1809" t="s">
        <v>46</v>
      </c>
      <c r="G1809">
        <v>-196.95400000000001</v>
      </c>
      <c r="H1809" s="1">
        <v>1.199197E-6</v>
      </c>
      <c r="I1809">
        <v>294.31990000000002</v>
      </c>
      <c r="J1809">
        <v>-191.36340000000001</v>
      </c>
      <c r="K1809">
        <v>1.1098239999999999</v>
      </c>
      <c r="L1809">
        <v>306.88229999999999</v>
      </c>
      <c r="M1809">
        <v>-4.4433E-2</v>
      </c>
      <c r="N1809">
        <v>0</v>
      </c>
      <c r="O1809">
        <v>-0.99891980000000002</v>
      </c>
      <c r="P1809">
        <v>-0.36534179999999999</v>
      </c>
      <c r="Q1809">
        <v>0.17826900000000001</v>
      </c>
      <c r="R1809">
        <v>-0.91364409999999896</v>
      </c>
      <c r="S1809">
        <v>-1.2427979999999901</v>
      </c>
      <c r="T1809">
        <v>-0.24623490000000001</v>
      </c>
      <c r="U1809">
        <v>-2.8350520000000001</v>
      </c>
      <c r="V1809">
        <v>0.32480940000000003</v>
      </c>
      <c r="W1809">
        <v>0.1901534</v>
      </c>
      <c r="X1809">
        <v>0.92646669999999998</v>
      </c>
      <c r="Y1809">
        <v>0.35911199999999999</v>
      </c>
      <c r="Z1809">
        <v>7.9873440000000004E-2</v>
      </c>
      <c r="AA1809">
        <v>0.92987030000000004</v>
      </c>
      <c r="AB1809">
        <v>21</v>
      </c>
      <c r="AC1809">
        <v>-5.5905999999999896</v>
      </c>
      <c r="AD1809">
        <v>-1.109822800803</v>
      </c>
      <c r="AE1809">
        <v>-12.562399999999901</v>
      </c>
      <c r="AF1809">
        <v>4.9943048821654603</v>
      </c>
      <c r="AG1809">
        <v>-1.109822800803</v>
      </c>
      <c r="AH1809">
        <v>12.715583839636899</v>
      </c>
      <c r="AI1809">
        <v>94.644445179853093</v>
      </c>
      <c r="AJ1809">
        <v>68.556569570854293</v>
      </c>
      <c r="AK1809">
        <v>13.706234358423799</v>
      </c>
      <c r="AL1809">
        <v>79.038263464613195</v>
      </c>
      <c r="AM1809">
        <v>70.679874807289494</v>
      </c>
      <c r="AN1809">
        <v>1.0000000040343999</v>
      </c>
    </row>
    <row r="1810" spans="1:40" x14ac:dyDescent="0.25">
      <c r="A1810" t="str">
        <f>"20190312164024173"</f>
        <v>20190312164024173</v>
      </c>
      <c r="B1810" t="str">
        <f>"1552380024167814"</f>
        <v>1552380024167814</v>
      </c>
      <c r="C1810" t="s">
        <v>40</v>
      </c>
      <c r="D1810">
        <v>5.0353459999999997</v>
      </c>
      <c r="E1810">
        <v>0.52886499999999903</v>
      </c>
      <c r="F1810" t="s">
        <v>46</v>
      </c>
      <c r="G1810">
        <v>-197.06809999999999</v>
      </c>
      <c r="H1810" s="1">
        <v>1.236188E-6</v>
      </c>
      <c r="I1810">
        <v>294.05239999999998</v>
      </c>
      <c r="J1810">
        <v>-191.37459999999999</v>
      </c>
      <c r="K1810">
        <v>1.1097760000000001</v>
      </c>
      <c r="L1810">
        <v>306.67110000000002</v>
      </c>
      <c r="M1810">
        <v>-4.6038700000000002E-2</v>
      </c>
      <c r="N1810">
        <v>0</v>
      </c>
      <c r="O1810">
        <v>-0.99884729999999999</v>
      </c>
      <c r="P1810">
        <v>-0.37004490000000001</v>
      </c>
      <c r="Q1810">
        <v>0.17796809999999999</v>
      </c>
      <c r="R1810">
        <v>-0.91180839999999996</v>
      </c>
      <c r="S1810">
        <v>-1.257614</v>
      </c>
      <c r="T1810">
        <v>-0.24466180000000001</v>
      </c>
      <c r="U1810">
        <v>-2.8283689999999999</v>
      </c>
      <c r="V1810">
        <v>0.32812079999999999</v>
      </c>
      <c r="W1810">
        <v>0.1897896</v>
      </c>
      <c r="X1810">
        <v>0.92537380000000002</v>
      </c>
      <c r="Y1810">
        <v>0.36250840000000001</v>
      </c>
      <c r="Z1810">
        <v>7.9394329999999999E-2</v>
      </c>
      <c r="AA1810">
        <v>0.92859259999999999</v>
      </c>
      <c r="AB1810">
        <v>21</v>
      </c>
      <c r="AC1810">
        <v>-5.6935000000000002</v>
      </c>
      <c r="AD1810">
        <v>-1.1097747638119999</v>
      </c>
      <c r="AE1810">
        <v>-12.6187</v>
      </c>
      <c r="AF1810">
        <v>5.0738531627333501</v>
      </c>
      <c r="AG1810">
        <v>-1.1097747638119999</v>
      </c>
      <c r="AH1810">
        <v>12.7852996966114</v>
      </c>
      <c r="AI1810">
        <v>94.6126256734386</v>
      </c>
      <c r="AJ1810">
        <v>68.354319974482493</v>
      </c>
      <c r="AK1810">
        <v>13.7999809519994</v>
      </c>
      <c r="AL1810">
        <v>79.059494364725794</v>
      </c>
      <c r="AM1810">
        <v>70.476414763703502</v>
      </c>
      <c r="AN1810">
        <v>1.00000001069362</v>
      </c>
    </row>
    <row r="1811" spans="1:40" x14ac:dyDescent="0.25">
      <c r="A1811" t="str">
        <f>"20190312164024196"</f>
        <v>20190312164024196</v>
      </c>
      <c r="B1811" t="str">
        <f>"1552380024188308"</f>
        <v>1552380024188308</v>
      </c>
      <c r="C1811" t="s">
        <v>40</v>
      </c>
      <c r="D1811">
        <v>5.7007750000000001</v>
      </c>
      <c r="E1811">
        <v>0.56000130000000004</v>
      </c>
      <c r="F1811" t="s">
        <v>46</v>
      </c>
      <c r="G1811">
        <v>-197.0461</v>
      </c>
      <c r="H1811" s="1">
        <v>1.2280280000000001E-6</v>
      </c>
      <c r="I1811">
        <v>294.10969999999998</v>
      </c>
      <c r="J1811">
        <v>-191.386</v>
      </c>
      <c r="K1811">
        <v>1.1097269999999999</v>
      </c>
      <c r="L1811">
        <v>306.46559999999999</v>
      </c>
      <c r="M1811">
        <v>-4.7671560000000002E-2</v>
      </c>
      <c r="N1811">
        <v>0</v>
      </c>
      <c r="O1811">
        <v>-0.99877070000000001</v>
      </c>
      <c r="P1811">
        <v>-0.37527739999999998</v>
      </c>
      <c r="Q1811">
        <v>0.17817169999999999</v>
      </c>
      <c r="R1811">
        <v>-0.90962719999999997</v>
      </c>
      <c r="S1811">
        <v>-1.2740479999999901</v>
      </c>
      <c r="T1811">
        <v>-0.24929979999999999</v>
      </c>
      <c r="U1811">
        <v>-2.821777</v>
      </c>
      <c r="V1811">
        <v>0.3319571</v>
      </c>
      <c r="W1811">
        <v>0.18992539999999999</v>
      </c>
      <c r="X1811">
        <v>0.92397669999999998</v>
      </c>
      <c r="Y1811">
        <v>0.36624010000000001</v>
      </c>
      <c r="Z1811">
        <v>8.0897999999999998E-2</v>
      </c>
      <c r="AA1811">
        <v>0.92699710000000002</v>
      </c>
      <c r="AB1811">
        <v>21</v>
      </c>
      <c r="AC1811">
        <v>-5.6600999999999999</v>
      </c>
      <c r="AD1811">
        <v>-1.109725771972</v>
      </c>
      <c r="AE1811">
        <v>-12.3559</v>
      </c>
      <c r="AF1811">
        <v>5.03104060289541</v>
      </c>
      <c r="AG1811">
        <v>-1.109725771972</v>
      </c>
      <c r="AH1811">
        <v>12.528170650471999</v>
      </c>
      <c r="AI1811">
        <v>94.699046076256593</v>
      </c>
      <c r="AJ1811">
        <v>68.120679553219503</v>
      </c>
      <c r="AK1811">
        <v>13.5461404349841</v>
      </c>
      <c r="AL1811">
        <v>79.051569981049198</v>
      </c>
      <c r="AM1811">
        <v>70.238159946056399</v>
      </c>
      <c r="AN1811">
        <v>1.0000000579742201</v>
      </c>
    </row>
    <row r="1812" spans="1:40" x14ac:dyDescent="0.25">
      <c r="A1812" t="str">
        <f>"20190312164024217"</f>
        <v>20190312164024217</v>
      </c>
      <c r="B1812" t="str">
        <f>"1552380024207829"</f>
        <v>1552380024207829</v>
      </c>
      <c r="C1812" t="s">
        <v>40</v>
      </c>
      <c r="D1812">
        <v>4.9977900000000002</v>
      </c>
      <c r="E1812">
        <v>0.55708440000000004</v>
      </c>
      <c r="F1812" t="s">
        <v>46</v>
      </c>
      <c r="G1812">
        <v>-196.6206</v>
      </c>
      <c r="H1812" s="1">
        <v>4.5501889999999999E-7</v>
      </c>
      <c r="I1812">
        <v>297.03269999999998</v>
      </c>
      <c r="J1812">
        <v>-191.3982</v>
      </c>
      <c r="K1812">
        <v>1.1096779999999999</v>
      </c>
      <c r="L1812">
        <v>306.25310000000002</v>
      </c>
      <c r="M1812">
        <v>-4.9424559999999999E-2</v>
      </c>
      <c r="N1812">
        <v>0</v>
      </c>
      <c r="O1812">
        <v>-0.9986855</v>
      </c>
      <c r="P1812">
        <v>-0.38130619999999998</v>
      </c>
      <c r="Q1812">
        <v>0.1795361</v>
      </c>
      <c r="R1812">
        <v>-0.90684779999999998</v>
      </c>
      <c r="S1812">
        <v>-1.5177</v>
      </c>
      <c r="T1812">
        <v>-0.32174979999999997</v>
      </c>
      <c r="U1812">
        <v>-2.7349549999999998</v>
      </c>
      <c r="V1812">
        <v>0.3365126</v>
      </c>
      <c r="W1812">
        <v>0.19121640000000001</v>
      </c>
      <c r="X1812">
        <v>0.92206049999999995</v>
      </c>
      <c r="Y1812">
        <v>0.43881930000000002</v>
      </c>
      <c r="Z1812">
        <v>0.1033748</v>
      </c>
      <c r="AA1812">
        <v>0.89260919999999899</v>
      </c>
      <c r="AB1812">
        <v>21</v>
      </c>
      <c r="AC1812">
        <v>-5.2223999999999897</v>
      </c>
      <c r="AD1812">
        <v>-1.1096775449811001</v>
      </c>
      <c r="AE1812">
        <v>-9.2204000000000299</v>
      </c>
      <c r="AF1812">
        <v>4.7086244267536204</v>
      </c>
      <c r="AG1812">
        <v>-1.1096775449811001</v>
      </c>
      <c r="AH1812">
        <v>9.3645743018944305</v>
      </c>
      <c r="AI1812">
        <v>96.043274085433794</v>
      </c>
      <c r="AJ1812">
        <v>63.306181281313698</v>
      </c>
      <c r="AK1812">
        <v>10.540293169630401</v>
      </c>
      <c r="AL1812">
        <v>78.976219619346693</v>
      </c>
      <c r="AM1812">
        <v>69.950082852907698</v>
      </c>
      <c r="AN1812">
        <v>1.00000000362398</v>
      </c>
    </row>
    <row r="1813" spans="1:40" x14ac:dyDescent="0.25">
      <c r="A1813" t="str">
        <f>"20190312164024241"</f>
        <v>20190312164024241</v>
      </c>
      <c r="B1813" t="str">
        <f>"1552380024238085"</f>
        <v>1552380024238085</v>
      </c>
      <c r="C1813" t="s">
        <v>40</v>
      </c>
      <c r="D1813">
        <v>5.0747530000000003</v>
      </c>
      <c r="E1813">
        <v>0.55365940000000002</v>
      </c>
      <c r="F1813" t="s">
        <v>46</v>
      </c>
      <c r="G1813">
        <v>-197.79050000000001</v>
      </c>
      <c r="H1813" s="1">
        <v>1.0132460000000001E-6</v>
      </c>
      <c r="I1813">
        <v>294.78480000000002</v>
      </c>
      <c r="J1813">
        <v>-191.41130000000001</v>
      </c>
      <c r="K1813">
        <v>1.1096490000000001</v>
      </c>
      <c r="L1813">
        <v>306.03410000000002</v>
      </c>
      <c r="M1813">
        <v>-5.1288800000000002E-2</v>
      </c>
      <c r="N1813">
        <v>0</v>
      </c>
      <c r="O1813">
        <v>-0.99859169999999997</v>
      </c>
      <c r="P1813">
        <v>-0.38849270000000002</v>
      </c>
      <c r="Q1813">
        <v>0.1804066</v>
      </c>
      <c r="R1813">
        <v>-0.90361899999999995</v>
      </c>
      <c r="S1813">
        <v>-1.5173650000000001</v>
      </c>
      <c r="T1813">
        <v>-0.26340930000000001</v>
      </c>
      <c r="U1813">
        <v>-2.7222900000000001</v>
      </c>
      <c r="V1813">
        <v>0.3421439</v>
      </c>
      <c r="W1813">
        <v>0.19201799999999999</v>
      </c>
      <c r="X1813">
        <v>0.91981880000000005</v>
      </c>
      <c r="Y1813">
        <v>0.43965910000000002</v>
      </c>
      <c r="Z1813">
        <v>8.5109899999999905E-2</v>
      </c>
      <c r="AA1813">
        <v>0.89412309999999995</v>
      </c>
      <c r="AB1813">
        <v>21</v>
      </c>
      <c r="AC1813">
        <v>-6.3791999999999902</v>
      </c>
      <c r="AD1813">
        <v>-1.1096479867539999</v>
      </c>
      <c r="AE1813">
        <v>-11.2493</v>
      </c>
      <c r="AF1813">
        <v>5.7514411137613903</v>
      </c>
      <c r="AG1813">
        <v>-1.1096479867539999</v>
      </c>
      <c r="AH1813">
        <v>11.4772018931875</v>
      </c>
      <c r="AI1813">
        <v>94.940196828427005</v>
      </c>
      <c r="AJ1813">
        <v>63.383691861613599</v>
      </c>
      <c r="AK1813">
        <v>12.885517329023299</v>
      </c>
      <c r="AL1813">
        <v>78.929424067616594</v>
      </c>
      <c r="AM1813">
        <v>69.596369036221105</v>
      </c>
      <c r="AN1813">
        <v>0.99999999273232498</v>
      </c>
    </row>
    <row r="1814" spans="1:40" x14ac:dyDescent="0.25">
      <c r="A1814" t="str">
        <f>"20190312164024261"</f>
        <v>20190312164024261</v>
      </c>
      <c r="B1814" t="str">
        <f>"1552380024257605"</f>
        <v>1552380024257605</v>
      </c>
      <c r="C1814" t="s">
        <v>40</v>
      </c>
      <c r="D1814">
        <v>5.3029999999999999</v>
      </c>
      <c r="E1814">
        <v>0.55291409999999996</v>
      </c>
      <c r="F1814" t="s">
        <v>46</v>
      </c>
      <c r="G1814">
        <v>-199.4076</v>
      </c>
      <c r="H1814" s="1">
        <v>1.440063E-6</v>
      </c>
      <c r="I1814">
        <v>291.7165</v>
      </c>
      <c r="J1814">
        <v>-191.4229</v>
      </c>
      <c r="K1814">
        <v>1.109629</v>
      </c>
      <c r="L1814">
        <v>305.84660000000002</v>
      </c>
      <c r="M1814">
        <v>-5.2911989999999999E-2</v>
      </c>
      <c r="N1814">
        <v>0</v>
      </c>
      <c r="O1814">
        <v>-0.99850660000000002</v>
      </c>
      <c r="P1814">
        <v>-0.39559810000000001</v>
      </c>
      <c r="Q1814">
        <v>0.18057609999999999</v>
      </c>
      <c r="R1814">
        <v>-0.90049669999999904</v>
      </c>
      <c r="S1814">
        <v>-1.5140690000000001</v>
      </c>
      <c r="T1814">
        <v>-0.21010709999999999</v>
      </c>
      <c r="U1814">
        <v>-2.7109679999999998</v>
      </c>
      <c r="V1814">
        <v>0.34790929999999998</v>
      </c>
      <c r="W1814">
        <v>0.1921341</v>
      </c>
      <c r="X1814">
        <v>0.91762940000000004</v>
      </c>
      <c r="Y1814">
        <v>0.4395888</v>
      </c>
      <c r="Z1814">
        <v>6.8244529999999998E-2</v>
      </c>
      <c r="AA1814">
        <v>0.89560280000000003</v>
      </c>
      <c r="AB1814">
        <v>21</v>
      </c>
      <c r="AC1814">
        <v>-7.9847000000000001</v>
      </c>
      <c r="AD1814">
        <v>-1.109627559937</v>
      </c>
      <c r="AE1814">
        <v>-14.130100000000001</v>
      </c>
      <c r="AF1814">
        <v>7.1921738070071104</v>
      </c>
      <c r="AG1814">
        <v>-1.109627559937</v>
      </c>
      <c r="AH1814">
        <v>14.465213731997499</v>
      </c>
      <c r="AI1814">
        <v>93.929371997323997</v>
      </c>
      <c r="AJ1814">
        <v>63.563214212539897</v>
      </c>
      <c r="AK1814">
        <v>16.192623187869899</v>
      </c>
      <c r="AL1814">
        <v>78.922646510568896</v>
      </c>
      <c r="AM1814">
        <v>69.236317024514804</v>
      </c>
      <c r="AN1814">
        <v>1.00000005457682</v>
      </c>
    </row>
    <row r="1815" spans="1:40" x14ac:dyDescent="0.25">
      <c r="A1815" t="str">
        <f>"20190312164024283"</f>
        <v>20190312164024283</v>
      </c>
      <c r="B1815" t="str">
        <f>"1552380024278101"</f>
        <v>1552380024278101</v>
      </c>
      <c r="C1815" t="s">
        <v>40</v>
      </c>
      <c r="D1815">
        <v>4.9522940000000002</v>
      </c>
      <c r="E1815">
        <v>0.55234179999999999</v>
      </c>
      <c r="F1815" t="s">
        <v>46</v>
      </c>
      <c r="G1815">
        <v>-199.89920000000001</v>
      </c>
      <c r="H1815" s="1">
        <v>1.5462990000000001E-6</v>
      </c>
      <c r="I1815">
        <v>290.86579999999998</v>
      </c>
      <c r="J1815">
        <v>-191.43610000000001</v>
      </c>
      <c r="K1815">
        <v>1.1096239999999999</v>
      </c>
      <c r="L1815">
        <v>305.63819999999998</v>
      </c>
      <c r="M1815">
        <v>-5.4731589999999997E-2</v>
      </c>
      <c r="N1815">
        <v>0</v>
      </c>
      <c r="O1815">
        <v>-0.99840870000000004</v>
      </c>
      <c r="P1815">
        <v>-0.40287000000000001</v>
      </c>
      <c r="Q1815">
        <v>0.17966370000000001</v>
      </c>
      <c r="R1815">
        <v>-0.89745030000000003</v>
      </c>
      <c r="S1815">
        <v>-1.5279389999999999</v>
      </c>
      <c r="T1815">
        <v>-0.20002139999999999</v>
      </c>
      <c r="U1815">
        <v>-2.7004389999999998</v>
      </c>
      <c r="V1815">
        <v>0.35365479999999999</v>
      </c>
      <c r="W1815">
        <v>0.1911822</v>
      </c>
      <c r="X1815">
        <v>0.91562960000000004</v>
      </c>
      <c r="Y1815">
        <v>0.44303179999999998</v>
      </c>
      <c r="Z1815">
        <v>6.5060000000000007E-2</v>
      </c>
      <c r="AA1815">
        <v>0.89414210000000005</v>
      </c>
      <c r="AB1815">
        <v>21</v>
      </c>
      <c r="AC1815">
        <v>-8.4630999999999901</v>
      </c>
      <c r="AD1815">
        <v>-1.109622453701</v>
      </c>
      <c r="AE1815">
        <v>-14.772399999999999</v>
      </c>
      <c r="AF1815">
        <v>7.6094959680829302</v>
      </c>
      <c r="AG1815">
        <v>-1.109622453701</v>
      </c>
      <c r="AH1815">
        <v>15.149142323964</v>
      </c>
      <c r="AI1815">
        <v>93.744852637178695</v>
      </c>
      <c r="AJ1815">
        <v>63.329374627192003</v>
      </c>
      <c r="AK1815">
        <v>16.989179027538199</v>
      </c>
      <c r="AL1815">
        <v>78.978215453480999</v>
      </c>
      <c r="AM1815">
        <v>68.8813346758987</v>
      </c>
      <c r="AN1815">
        <v>0.99999995777801898</v>
      </c>
    </row>
    <row r="1816" spans="1:40" x14ac:dyDescent="0.25">
      <c r="A1816" t="str">
        <f>"20190312164024305"</f>
        <v>20190312164024305</v>
      </c>
      <c r="B1816" t="str">
        <f>"1552380024297622"</f>
        <v>1552380024297622</v>
      </c>
      <c r="C1816" t="s">
        <v>40</v>
      </c>
      <c r="D1816">
        <v>4.9733210000000003</v>
      </c>
      <c r="E1816">
        <v>0.55175699999999905</v>
      </c>
      <c r="F1816" t="s">
        <v>46</v>
      </c>
      <c r="G1816">
        <v>-199.9648</v>
      </c>
      <c r="H1816" s="1">
        <v>1.5612549999999901E-6</v>
      </c>
      <c r="I1816">
        <v>290.77069999999998</v>
      </c>
      <c r="J1816">
        <v>-191.44980000000001</v>
      </c>
      <c r="K1816">
        <v>1.109632</v>
      </c>
      <c r="L1816">
        <v>305.42869999999999</v>
      </c>
      <c r="M1816">
        <v>-5.6561689999999998E-2</v>
      </c>
      <c r="N1816">
        <v>0</v>
      </c>
      <c r="O1816">
        <v>-0.99830680000000005</v>
      </c>
      <c r="P1816">
        <v>-0.41045120000000002</v>
      </c>
      <c r="Q1816">
        <v>0.1789367</v>
      </c>
      <c r="R1816">
        <v>-0.89415429999999996</v>
      </c>
      <c r="S1816">
        <v>-1.5432429999999999</v>
      </c>
      <c r="T1816">
        <v>-0.20078470000000001</v>
      </c>
      <c r="U1816">
        <v>-2.6902469999999998</v>
      </c>
      <c r="V1816">
        <v>0.35971799999999998</v>
      </c>
      <c r="W1816">
        <v>0.19042020000000001</v>
      </c>
      <c r="X1816">
        <v>0.91342380000000001</v>
      </c>
      <c r="Y1816">
        <v>0.44666329999999999</v>
      </c>
      <c r="Z1816">
        <v>6.5363009999999999E-2</v>
      </c>
      <c r="AA1816">
        <v>0.89231139999999998</v>
      </c>
      <c r="AB1816">
        <v>21</v>
      </c>
      <c r="AC1816">
        <v>-8.5149999999999793</v>
      </c>
      <c r="AD1816">
        <v>-1.109630438745</v>
      </c>
      <c r="AE1816">
        <v>-14.657999999999999</v>
      </c>
      <c r="AF1816">
        <v>7.6394748470022797</v>
      </c>
      <c r="AG1816">
        <v>-1.109630438745</v>
      </c>
      <c r="AH1816">
        <v>15.051703921393701</v>
      </c>
      <c r="AI1816">
        <v>93.761132344242199</v>
      </c>
      <c r="AJ1816">
        <v>63.089981363477101</v>
      </c>
      <c r="AK1816">
        <v>16.915869666850401</v>
      </c>
      <c r="AL1816">
        <v>79.022692014412698</v>
      </c>
      <c r="AM1816">
        <v>68.504843981216098</v>
      </c>
      <c r="AN1816">
        <v>0.99999996524923895</v>
      </c>
    </row>
    <row r="1817" spans="1:40" x14ac:dyDescent="0.25">
      <c r="A1817" t="str">
        <f>"20190312164024327"</f>
        <v>20190312164024327</v>
      </c>
      <c r="B1817" t="str">
        <f>"1552380024318120"</f>
        <v>1552380024318120</v>
      </c>
      <c r="C1817" t="s">
        <v>40</v>
      </c>
      <c r="D1817">
        <v>5.0527449999999998</v>
      </c>
      <c r="E1817">
        <v>0.55108119999999905</v>
      </c>
      <c r="F1817" t="s">
        <v>46</v>
      </c>
      <c r="G1817">
        <v>-200.0001</v>
      </c>
      <c r="H1817" s="1">
        <v>1.5839490000000001E-6</v>
      </c>
      <c r="I1817">
        <v>290.73970000000003</v>
      </c>
      <c r="J1817">
        <v>-191.46379999999999</v>
      </c>
      <c r="K1817">
        <v>1.1096459999999999</v>
      </c>
      <c r="L1817">
        <v>305.22070000000002</v>
      </c>
      <c r="M1817">
        <v>-5.83674E-2</v>
      </c>
      <c r="N1817">
        <v>0</v>
      </c>
      <c r="O1817">
        <v>-0.99820299999999995</v>
      </c>
      <c r="P1817">
        <v>-0.41799579999999997</v>
      </c>
      <c r="Q1817">
        <v>0.1781799</v>
      </c>
      <c r="R1817">
        <v>-0.89080409999999899</v>
      </c>
      <c r="S1817">
        <v>-1.5597529999999999</v>
      </c>
      <c r="T1817">
        <v>-0.2024205</v>
      </c>
      <c r="U1817">
        <v>-2.6795960000000001</v>
      </c>
      <c r="V1817">
        <v>0.36577779999999999</v>
      </c>
      <c r="W1817">
        <v>0.1896304</v>
      </c>
      <c r="X1817">
        <v>0.91117890000000001</v>
      </c>
      <c r="Y1817">
        <v>0.45066919999999999</v>
      </c>
      <c r="Z1817">
        <v>6.5943680000000005E-2</v>
      </c>
      <c r="AA1817">
        <v>0.89025209999999999</v>
      </c>
      <c r="AB1817">
        <v>21</v>
      </c>
      <c r="AC1817">
        <v>-8.5363000000000095</v>
      </c>
      <c r="AD1817">
        <v>-1.1096444160509999</v>
      </c>
      <c r="AE1817">
        <v>-14.4809999999999</v>
      </c>
      <c r="AF1817">
        <v>7.6431427025410299</v>
      </c>
      <c r="AG1817">
        <v>-1.1096444160509999</v>
      </c>
      <c r="AH1817">
        <v>14.889712234785</v>
      </c>
      <c r="AI1817">
        <v>93.793135709848002</v>
      </c>
      <c r="AJ1817">
        <v>62.827798642112498</v>
      </c>
      <c r="AK1817">
        <v>16.773564663964098</v>
      </c>
      <c r="AL1817">
        <v>79.068784859887202</v>
      </c>
      <c r="AM1817">
        <v>68.127817267989599</v>
      </c>
      <c r="AN1817">
        <v>1.0000000376911</v>
      </c>
    </row>
    <row r="1818" spans="1:40" x14ac:dyDescent="0.25">
      <c r="A1818" t="str">
        <f>"20190312164024350"</f>
        <v>20190312164024350</v>
      </c>
      <c r="B1818" t="str">
        <f>"1552380024337637"</f>
        <v>1552380024337637</v>
      </c>
      <c r="C1818" t="s">
        <v>40</v>
      </c>
      <c r="D1818">
        <v>5.3288859999999998</v>
      </c>
      <c r="E1818">
        <v>0.55030760000000001</v>
      </c>
      <c r="F1818" t="s">
        <v>46</v>
      </c>
      <c r="G1818">
        <v>-200.04859999999999</v>
      </c>
      <c r="H1818" s="1">
        <v>1.6189070000000001E-6</v>
      </c>
      <c r="I1818">
        <v>290.67529999999999</v>
      </c>
      <c r="J1818">
        <v>-191.47790000000001</v>
      </c>
      <c r="K1818">
        <v>1.109661</v>
      </c>
      <c r="L1818">
        <v>305.0163</v>
      </c>
      <c r="M1818">
        <v>-6.0126110000000003E-2</v>
      </c>
      <c r="N1818">
        <v>0</v>
      </c>
      <c r="O1818">
        <v>-0.99809859999999995</v>
      </c>
      <c r="P1818">
        <v>-0.42550529999999998</v>
      </c>
      <c r="Q1818">
        <v>0.17690249999999999</v>
      </c>
      <c r="R1818">
        <v>-0.88749750000000005</v>
      </c>
      <c r="S1818">
        <v>-1.5754090000000001</v>
      </c>
      <c r="T1818">
        <v>-0.2036326</v>
      </c>
      <c r="U1818">
        <v>-2.6692499999999999</v>
      </c>
      <c r="V1818">
        <v>0.37185069999999998</v>
      </c>
      <c r="W1818">
        <v>0.18832119999999999</v>
      </c>
      <c r="X1818">
        <v>0.90898959999999995</v>
      </c>
      <c r="Y1818">
        <v>0.45445950000000002</v>
      </c>
      <c r="Z1818">
        <v>6.6387909999999994E-2</v>
      </c>
      <c r="AA1818">
        <v>0.88828999999999902</v>
      </c>
      <c r="AB1818">
        <v>21</v>
      </c>
      <c r="AC1818">
        <v>-8.5706999999999791</v>
      </c>
      <c r="AD1818">
        <v>-1.109659381093</v>
      </c>
      <c r="AE1818">
        <v>-14.340999999999999</v>
      </c>
      <c r="AF1818">
        <v>7.6590550933672201</v>
      </c>
      <c r="AG1818">
        <v>-1.109659381093</v>
      </c>
      <c r="AH1818">
        <v>14.7652825095465</v>
      </c>
      <c r="AI1818">
        <v>93.816669594162406</v>
      </c>
      <c r="AJ1818">
        <v>62.583303663673199</v>
      </c>
      <c r="AK1818">
        <v>16.670513982838202</v>
      </c>
      <c r="AL1818">
        <v>79.145171969976204</v>
      </c>
      <c r="AM1818">
        <v>67.751445126778407</v>
      </c>
      <c r="AN1818">
        <v>0.99999995518404305</v>
      </c>
    </row>
    <row r="1819" spans="1:40" x14ac:dyDescent="0.25">
      <c r="A1819" t="str">
        <f>"20190312164024372"</f>
        <v>20190312164024372</v>
      </c>
      <c r="B1819" t="str">
        <f>"1552380024367893"</f>
        <v>1552380024367893</v>
      </c>
      <c r="C1819" t="s">
        <v>40</v>
      </c>
      <c r="D1819">
        <v>4.9439840000000004</v>
      </c>
      <c r="E1819">
        <v>0.54936870000000004</v>
      </c>
      <c r="F1819" t="s">
        <v>46</v>
      </c>
      <c r="G1819">
        <v>-200.04429999999999</v>
      </c>
      <c r="H1819" s="1">
        <v>1.613289E-6</v>
      </c>
      <c r="I1819">
        <v>290.6952</v>
      </c>
      <c r="J1819">
        <v>-191.4924</v>
      </c>
      <c r="K1819">
        <v>1.109661</v>
      </c>
      <c r="L1819">
        <v>304.81099999999998</v>
      </c>
      <c r="M1819">
        <v>-6.1875079999999999E-2</v>
      </c>
      <c r="N1819">
        <v>0</v>
      </c>
      <c r="O1819">
        <v>-0.99799159999999998</v>
      </c>
      <c r="P1819">
        <v>-0.43250280000000002</v>
      </c>
      <c r="Q1819">
        <v>0.17633399999999999</v>
      </c>
      <c r="R1819">
        <v>-0.884221699999999</v>
      </c>
      <c r="S1819">
        <v>-1.5904389999999999</v>
      </c>
      <c r="T1819">
        <v>-0.20601939999999999</v>
      </c>
      <c r="U1819">
        <v>-2.6588440000000002</v>
      </c>
      <c r="V1819">
        <v>0.37743169999999998</v>
      </c>
      <c r="W1819">
        <v>0.18772030000000001</v>
      </c>
      <c r="X1819">
        <v>0.90681109999999998</v>
      </c>
      <c r="Y1819">
        <v>0.45809499999999997</v>
      </c>
      <c r="Z1819">
        <v>6.721982E-2</v>
      </c>
      <c r="AA1819">
        <v>0.88635799999999998</v>
      </c>
      <c r="AB1819">
        <v>21</v>
      </c>
      <c r="AC1819">
        <v>-8.5518999999999892</v>
      </c>
      <c r="AD1819">
        <v>-1.1096593867110001</v>
      </c>
      <c r="AE1819">
        <v>-14.115799999999901</v>
      </c>
      <c r="AF1819">
        <v>7.62753366695802</v>
      </c>
      <c r="AG1819">
        <v>-1.1096593867110001</v>
      </c>
      <c r="AH1819">
        <v>14.5521628737872</v>
      </c>
      <c r="AI1819">
        <v>93.863810971241193</v>
      </c>
      <c r="AJ1819">
        <v>62.338664976364299</v>
      </c>
      <c r="AK1819">
        <v>16.467424148916699</v>
      </c>
      <c r="AL1819">
        <v>79.180226524263603</v>
      </c>
      <c r="AM1819">
        <v>67.402010297493305</v>
      </c>
      <c r="AN1819">
        <v>0.99999998514009403</v>
      </c>
    </row>
    <row r="1820" spans="1:40" x14ac:dyDescent="0.25">
      <c r="A1820" t="str">
        <f>"20190312164024395"</f>
        <v>20190312164024395</v>
      </c>
      <c r="B1820" t="str">
        <f>"1552380024387413"</f>
        <v>1552380024387413</v>
      </c>
      <c r="C1820" t="s">
        <v>40</v>
      </c>
      <c r="D1820">
        <v>5.2371530000000002</v>
      </c>
      <c r="E1820">
        <v>0.53850410000000004</v>
      </c>
      <c r="F1820" t="s">
        <v>46</v>
      </c>
      <c r="G1820">
        <v>-200.05670000000001</v>
      </c>
      <c r="H1820" s="1">
        <v>1.6269390000000001E-6</v>
      </c>
      <c r="I1820">
        <v>290.65210000000002</v>
      </c>
      <c r="J1820">
        <v>-191.5077</v>
      </c>
      <c r="K1820">
        <v>1.1096699999999999</v>
      </c>
      <c r="L1820">
        <v>304.59840000000003</v>
      </c>
      <c r="M1820">
        <v>-6.3680479999999998E-2</v>
      </c>
      <c r="N1820">
        <v>0</v>
      </c>
      <c r="O1820">
        <v>-0.99787800000000004</v>
      </c>
      <c r="P1820">
        <v>-0.43690190000000001</v>
      </c>
      <c r="Q1820">
        <v>0.1764355</v>
      </c>
      <c r="R1820">
        <v>-0.88203589999999998</v>
      </c>
      <c r="S1820">
        <v>-1.6029819999999999</v>
      </c>
      <c r="T1820">
        <v>-0.2076942</v>
      </c>
      <c r="U1820">
        <v>-2.6501160000000001</v>
      </c>
      <c r="V1820">
        <v>0.38031130000000002</v>
      </c>
      <c r="W1820">
        <v>0.18780459999999999</v>
      </c>
      <c r="X1820">
        <v>0.90558970000000005</v>
      </c>
      <c r="Y1820">
        <v>0.46082790000000001</v>
      </c>
      <c r="Z1820">
        <v>6.7814680000000002E-2</v>
      </c>
      <c r="AA1820">
        <v>0.88489479999999998</v>
      </c>
      <c r="AB1820">
        <v>21</v>
      </c>
      <c r="AC1820">
        <v>-8.5489999999999995</v>
      </c>
      <c r="AD1820">
        <v>-1.109668373061</v>
      </c>
      <c r="AE1820">
        <v>-13.946300000000001</v>
      </c>
      <c r="AF1820">
        <v>7.6084439664338399</v>
      </c>
      <c r="AG1820">
        <v>-1.109668373061</v>
      </c>
      <c r="AH1820">
        <v>14.396195086456499</v>
      </c>
      <c r="AI1820">
        <v>93.898595557335398</v>
      </c>
      <c r="AJ1820">
        <v>62.143377559714096</v>
      </c>
      <c r="AK1820">
        <v>16.320852197598299</v>
      </c>
      <c r="AL1820">
        <v>79.175308959359</v>
      </c>
      <c r="AM1820">
        <v>67.219550560408095</v>
      </c>
      <c r="AN1820">
        <v>0.99999997871746904</v>
      </c>
    </row>
    <row r="1821" spans="1:40" x14ac:dyDescent="0.25">
      <c r="A1821" t="str">
        <f>"20190312164024419"</f>
        <v>20190312164024419</v>
      </c>
      <c r="B1821" t="str">
        <f>"1552380024407909"</f>
        <v>1552380024407909</v>
      </c>
      <c r="C1821" t="s">
        <v>40</v>
      </c>
      <c r="D1821">
        <v>5.2352179999999997</v>
      </c>
      <c r="E1821">
        <v>0.53902640000000002</v>
      </c>
      <c r="F1821" t="s">
        <v>46</v>
      </c>
      <c r="G1821">
        <v>-197.3014</v>
      </c>
      <c r="H1821" s="1">
        <v>1.158723E-6</v>
      </c>
      <c r="I1821">
        <v>294.37470000000002</v>
      </c>
      <c r="J1821">
        <v>-191.52369999999999</v>
      </c>
      <c r="K1821">
        <v>1.109666</v>
      </c>
      <c r="L1821">
        <v>304.3827</v>
      </c>
      <c r="M1821">
        <v>-6.5524840000000001E-2</v>
      </c>
      <c r="N1821">
        <v>0</v>
      </c>
      <c r="O1821">
        <v>-0.9977587</v>
      </c>
      <c r="P1821">
        <v>-0.44410270000000002</v>
      </c>
      <c r="Q1821">
        <v>0.1765852</v>
      </c>
      <c r="R1821">
        <v>-0.87840260000000003</v>
      </c>
      <c r="S1821">
        <v>-1.530945</v>
      </c>
      <c r="T1821">
        <v>-0.29322229999999999</v>
      </c>
      <c r="U1821">
        <v>-2.7015380000000002</v>
      </c>
      <c r="V1821">
        <v>0.38605620000000002</v>
      </c>
      <c r="W1821">
        <v>0.18790390000000001</v>
      </c>
      <c r="X1821">
        <v>0.90313489999999996</v>
      </c>
      <c r="Y1821">
        <v>0.43272690000000003</v>
      </c>
      <c r="Z1821">
        <v>9.5216679999999998E-2</v>
      </c>
      <c r="AA1821">
        <v>0.89648269999999997</v>
      </c>
      <c r="AB1821">
        <v>21</v>
      </c>
      <c r="AC1821">
        <v>-5.7777000000000003</v>
      </c>
      <c r="AD1821">
        <v>-1.109664841277</v>
      </c>
      <c r="AE1821">
        <v>-10.0079999999999</v>
      </c>
      <c r="AF1821">
        <v>5.0627656298583803</v>
      </c>
      <c r="AG1821">
        <v>-1.109664841277</v>
      </c>
      <c r="AH1821">
        <v>10.2704051245878</v>
      </c>
      <c r="AI1821">
        <v>95.535257323829995</v>
      </c>
      <c r="AJ1821">
        <v>63.759144649033303</v>
      </c>
      <c r="AK1821">
        <v>11.5040937629176</v>
      </c>
      <c r="AL1821">
        <v>79.169516117553499</v>
      </c>
      <c r="AM1821">
        <v>66.855114261483294</v>
      </c>
      <c r="AN1821">
        <v>0.99999995639582895</v>
      </c>
    </row>
    <row r="1822" spans="1:40" x14ac:dyDescent="0.25">
      <c r="A1822" t="str">
        <f>"20190312164024442"</f>
        <v>20190312164024442</v>
      </c>
      <c r="B1822" t="str">
        <f>"1552380024438165"</f>
        <v>1552380024438165</v>
      </c>
      <c r="C1822" t="s">
        <v>40</v>
      </c>
      <c r="D1822">
        <v>5.1631049999999998</v>
      </c>
      <c r="E1822">
        <v>0.54013140000000004</v>
      </c>
      <c r="F1822" t="s">
        <v>46</v>
      </c>
      <c r="G1822">
        <v>-197.36959999999999</v>
      </c>
      <c r="H1822" s="1">
        <v>1.1700959999999999E-6</v>
      </c>
      <c r="I1822">
        <v>294.2758</v>
      </c>
      <c r="J1822">
        <v>-191.53980000000001</v>
      </c>
      <c r="K1822">
        <v>1.109656</v>
      </c>
      <c r="L1822">
        <v>304.17230000000001</v>
      </c>
      <c r="M1822">
        <v>-6.7366930000000005E-2</v>
      </c>
      <c r="N1822">
        <v>0</v>
      </c>
      <c r="O1822">
        <v>-0.99763579999999996</v>
      </c>
      <c r="P1822">
        <v>-0.45085589999999998</v>
      </c>
      <c r="Q1822">
        <v>0.17650769999999999</v>
      </c>
      <c r="R1822">
        <v>-0.87497080000000005</v>
      </c>
      <c r="S1822">
        <v>-1.5550079999999999</v>
      </c>
      <c r="T1822">
        <v>-0.29517110000000002</v>
      </c>
      <c r="U1822">
        <v>-2.6884459999999999</v>
      </c>
      <c r="V1822">
        <v>0.3913604</v>
      </c>
      <c r="W1822">
        <v>0.1877643</v>
      </c>
      <c r="X1822">
        <v>0.90087819999999996</v>
      </c>
      <c r="Y1822">
        <v>0.43892900000000001</v>
      </c>
      <c r="Z1822">
        <v>9.5877169999999998E-2</v>
      </c>
      <c r="AA1822">
        <v>0.89339179999999996</v>
      </c>
      <c r="AB1822">
        <v>21</v>
      </c>
      <c r="AC1822">
        <v>-5.8297999999999703</v>
      </c>
      <c r="AD1822">
        <v>-1.1096548299040001</v>
      </c>
      <c r="AE1822">
        <v>-9.8964999999999996</v>
      </c>
      <c r="AF1822">
        <v>5.1021746906280896</v>
      </c>
      <c r="AG1822">
        <v>-1.1096548299040001</v>
      </c>
      <c r="AH1822">
        <v>10.171847404605099</v>
      </c>
      <c r="AI1822">
        <v>95.569382421099405</v>
      </c>
      <c r="AJ1822">
        <v>63.361765036641302</v>
      </c>
      <c r="AK1822">
        <v>11.4337220552971</v>
      </c>
      <c r="AL1822">
        <v>79.177659629534503</v>
      </c>
      <c r="AM1822">
        <v>66.518861832519306</v>
      </c>
      <c r="AN1822">
        <v>0.99999996313894401</v>
      </c>
    </row>
    <row r="1823" spans="1:40" x14ac:dyDescent="0.25">
      <c r="A1823" t="str">
        <f>"20190312164024462"</f>
        <v>20190312164024462</v>
      </c>
      <c r="B1823" t="str">
        <f>"1552380024457685"</f>
        <v>1552380024457685</v>
      </c>
      <c r="C1823" t="s">
        <v>40</v>
      </c>
      <c r="D1823">
        <v>5.1335030000000001</v>
      </c>
      <c r="E1823">
        <v>0.53791990000000001</v>
      </c>
      <c r="F1823" t="s">
        <v>46</v>
      </c>
      <c r="G1823">
        <v>-200.59209999999999</v>
      </c>
      <c r="H1823" s="1">
        <v>2.0882089999999998E-6</v>
      </c>
      <c r="I1823">
        <v>289.0926</v>
      </c>
      <c r="J1823">
        <v>-191.5547</v>
      </c>
      <c r="K1823">
        <v>1.1096349999999999</v>
      </c>
      <c r="L1823">
        <v>303.9819</v>
      </c>
      <c r="M1823">
        <v>-6.9075429999999993E-2</v>
      </c>
      <c r="N1823">
        <v>0</v>
      </c>
      <c r="O1823">
        <v>-0.99751909999999999</v>
      </c>
      <c r="P1823">
        <v>-0.45644679999999999</v>
      </c>
      <c r="Q1823">
        <v>0.17646970000000001</v>
      </c>
      <c r="R1823">
        <v>-0.87207500000000004</v>
      </c>
      <c r="S1823">
        <v>-1.5900270000000001</v>
      </c>
      <c r="T1823">
        <v>-0.19491020000000001</v>
      </c>
      <c r="U1823">
        <v>-2.6487430000000001</v>
      </c>
      <c r="V1823">
        <v>0.3956018</v>
      </c>
      <c r="W1823">
        <v>0.1876651</v>
      </c>
      <c r="X1823">
        <v>0.89904450000000002</v>
      </c>
      <c r="Y1823">
        <v>0.45317679999999999</v>
      </c>
      <c r="Z1823">
        <v>6.3859369999999999E-2</v>
      </c>
      <c r="AA1823">
        <v>0.88913039999999999</v>
      </c>
      <c r="AB1823">
        <v>21</v>
      </c>
      <c r="AC1823">
        <v>-9.0373999999999892</v>
      </c>
      <c r="AD1823">
        <v>-1.109632911791</v>
      </c>
      <c r="AE1823">
        <v>-14.889299999999899</v>
      </c>
      <c r="AF1823">
        <v>7.9549429926999498</v>
      </c>
      <c r="AG1823">
        <v>-1.109632911791</v>
      </c>
      <c r="AH1823">
        <v>15.415481715971801</v>
      </c>
      <c r="AI1823">
        <v>93.660045149409299</v>
      </c>
      <c r="AJ1823">
        <v>62.704638601812</v>
      </c>
      <c r="AK1823">
        <v>17.3824474614911</v>
      </c>
      <c r="AL1823">
        <v>79.183446567962903</v>
      </c>
      <c r="AM1823">
        <v>66.249319130097703</v>
      </c>
      <c r="AN1823">
        <v>0.99999999345074997</v>
      </c>
    </row>
    <row r="1824" spans="1:40" x14ac:dyDescent="0.25">
      <c r="A1824" t="str">
        <f>"20190312164024485"</f>
        <v>20190312164024485</v>
      </c>
      <c r="B1824" t="str">
        <f>"1552380024478181"</f>
        <v>1552380024478181</v>
      </c>
      <c r="C1824" t="s">
        <v>40</v>
      </c>
      <c r="D1824">
        <v>5.1690239999999896</v>
      </c>
      <c r="E1824">
        <v>0.53795969999999904</v>
      </c>
      <c r="F1824" t="s">
        <v>46</v>
      </c>
      <c r="G1824">
        <v>-197.6337</v>
      </c>
      <c r="H1824" s="1">
        <v>1.240653E-6</v>
      </c>
      <c r="I1824">
        <v>293.74220000000003</v>
      </c>
      <c r="J1824">
        <v>-191.57130000000001</v>
      </c>
      <c r="K1824">
        <v>1.1095969999999999</v>
      </c>
      <c r="L1824">
        <v>303.77550000000002</v>
      </c>
      <c r="M1824">
        <v>-7.0993580000000001E-2</v>
      </c>
      <c r="N1824">
        <v>0</v>
      </c>
      <c r="O1824">
        <v>-0.99738450000000001</v>
      </c>
      <c r="P1824">
        <v>-0.4621401</v>
      </c>
      <c r="Q1824">
        <v>0.17784910000000001</v>
      </c>
      <c r="R1824">
        <v>-0.86879039999999996</v>
      </c>
      <c r="S1824">
        <v>-1.5846559999999901</v>
      </c>
      <c r="T1824">
        <v>-0.28925469999999998</v>
      </c>
      <c r="U1824">
        <v>-2.6692499999999999</v>
      </c>
      <c r="V1824">
        <v>0.39980100000000002</v>
      </c>
      <c r="W1824">
        <v>0.188966</v>
      </c>
      <c r="X1824">
        <v>0.89691189999999998</v>
      </c>
      <c r="Y1824">
        <v>0.44589250000000002</v>
      </c>
      <c r="Z1824">
        <v>9.4100909999999996E-2</v>
      </c>
      <c r="AA1824">
        <v>0.89012630000000004</v>
      </c>
      <c r="AB1824">
        <v>21</v>
      </c>
      <c r="AC1824">
        <v>-6.0623999999999896</v>
      </c>
      <c r="AD1824">
        <v>-1.1095957593470001</v>
      </c>
      <c r="AE1824">
        <v>-10.033299999999899</v>
      </c>
      <c r="AF1824">
        <v>5.2873631669476504</v>
      </c>
      <c r="AG1824">
        <v>-1.1095957593470001</v>
      </c>
      <c r="AH1824">
        <v>10.3457184171307</v>
      </c>
      <c r="AI1824">
        <v>95.455333400752494</v>
      </c>
      <c r="AJ1824">
        <v>62.929889033806603</v>
      </c>
      <c r="AK1824">
        <v>11.6713881597226</v>
      </c>
      <c r="AL1824">
        <v>79.107552400840405</v>
      </c>
      <c r="AM1824">
        <v>65.9749427611888</v>
      </c>
      <c r="AN1824">
        <v>0.99999997255930395</v>
      </c>
    </row>
    <row r="1825" spans="1:40" x14ac:dyDescent="0.25">
      <c r="A1825" t="str">
        <f>"20190312164024507"</f>
        <v>20190312164024507</v>
      </c>
      <c r="B1825" t="str">
        <f>"1552380024497701"</f>
        <v>1552380024497701</v>
      </c>
      <c r="C1825" t="s">
        <v>40</v>
      </c>
      <c r="D1825">
        <v>5.1306539999999998</v>
      </c>
      <c r="E1825">
        <v>0.53781199999999996</v>
      </c>
      <c r="F1825" t="s">
        <v>46</v>
      </c>
      <c r="G1825">
        <v>-197.76519999999999</v>
      </c>
      <c r="H1825" s="1">
        <v>1.2737509999999999E-6</v>
      </c>
      <c r="I1825">
        <v>293.488</v>
      </c>
      <c r="J1825">
        <v>-191.5889</v>
      </c>
      <c r="K1825">
        <v>1.1095440000000001</v>
      </c>
      <c r="L1825">
        <v>303.5634</v>
      </c>
      <c r="M1825">
        <v>-7.3064950000000004E-2</v>
      </c>
      <c r="N1825">
        <v>0</v>
      </c>
      <c r="O1825">
        <v>-0.99723490000000004</v>
      </c>
      <c r="P1825">
        <v>-0.4679065</v>
      </c>
      <c r="Q1825">
        <v>0.17868039999999999</v>
      </c>
      <c r="R1825">
        <v>-0.86552689999999999</v>
      </c>
      <c r="S1825">
        <v>-1.601486</v>
      </c>
      <c r="T1825">
        <v>-0.28689710000000002</v>
      </c>
      <c r="U1825">
        <v>-2.6599430000000002</v>
      </c>
      <c r="V1825">
        <v>0.40394940000000001</v>
      </c>
      <c r="W1825">
        <v>0.1897044</v>
      </c>
      <c r="X1825">
        <v>0.894895</v>
      </c>
      <c r="Y1825">
        <v>0.44957930000000002</v>
      </c>
      <c r="Z1825">
        <v>9.3367030000000004E-2</v>
      </c>
      <c r="AA1825">
        <v>0.88834740000000001</v>
      </c>
      <c r="AB1825">
        <v>21</v>
      </c>
      <c r="AC1825">
        <v>-6.1762999999999897</v>
      </c>
      <c r="AD1825">
        <v>-1.1095427262490001</v>
      </c>
      <c r="AE1825">
        <v>-10.0754</v>
      </c>
      <c r="AF1825">
        <v>5.3761723408624098</v>
      </c>
      <c r="AG1825">
        <v>-1.1095427262490001</v>
      </c>
      <c r="AH1825">
        <v>10.4080327016556</v>
      </c>
      <c r="AI1825">
        <v>95.410630604785496</v>
      </c>
      <c r="AJ1825">
        <v>62.6818063364707</v>
      </c>
      <c r="AK1825">
        <v>11.7669647241232</v>
      </c>
      <c r="AL1825">
        <v>79.064465829313704</v>
      </c>
      <c r="AM1825">
        <v>65.705913459880506</v>
      </c>
      <c r="AN1825">
        <v>0.999999969082359</v>
      </c>
    </row>
    <row r="1826" spans="1:40" x14ac:dyDescent="0.25">
      <c r="A1826" t="str">
        <f>"20190312164024529"</f>
        <v>20190312164024529</v>
      </c>
      <c r="B1826" t="str">
        <f>"1552380024518197"</f>
        <v>1552380024518197</v>
      </c>
      <c r="C1826" t="s">
        <v>40</v>
      </c>
      <c r="D1826">
        <v>5.1600159999999997</v>
      </c>
      <c r="E1826">
        <v>0.53550509999999996</v>
      </c>
      <c r="F1826" t="s">
        <v>46</v>
      </c>
      <c r="G1826">
        <v>-197.8339</v>
      </c>
      <c r="H1826" s="1">
        <v>1.29696E-6</v>
      </c>
      <c r="I1826">
        <v>293.32159999999999</v>
      </c>
      <c r="J1826">
        <v>-191.60599999999999</v>
      </c>
      <c r="K1826">
        <v>1.1094759999999999</v>
      </c>
      <c r="L1826">
        <v>303.3623</v>
      </c>
      <c r="M1826">
        <v>-7.5143119999999994E-2</v>
      </c>
      <c r="N1826">
        <v>0</v>
      </c>
      <c r="O1826">
        <v>-0.99708039999999998</v>
      </c>
      <c r="P1826">
        <v>-0.47261589999999998</v>
      </c>
      <c r="Q1826">
        <v>0.17887020000000001</v>
      </c>
      <c r="R1826">
        <v>-0.86292549999999901</v>
      </c>
      <c r="S1826">
        <v>-1.6166990000000001</v>
      </c>
      <c r="T1826">
        <v>-0.28723510000000002</v>
      </c>
      <c r="U1826">
        <v>-2.651367</v>
      </c>
      <c r="V1826">
        <v>0.4070011</v>
      </c>
      <c r="W1826">
        <v>0.18980079999999999</v>
      </c>
      <c r="X1826">
        <v>0.89349080000000003</v>
      </c>
      <c r="Y1826">
        <v>0.45270470000000002</v>
      </c>
      <c r="Z1826">
        <v>9.3504019999999993E-2</v>
      </c>
      <c r="AA1826">
        <v>0.88674430000000004</v>
      </c>
      <c r="AB1826">
        <v>21</v>
      </c>
      <c r="AC1826">
        <v>-6.2279</v>
      </c>
      <c r="AD1826">
        <v>-1.1094747030399901</v>
      </c>
      <c r="AE1826">
        <v>-10.040699999999999</v>
      </c>
      <c r="AF1826">
        <v>5.4080449112131399</v>
      </c>
      <c r="AG1826">
        <v>-1.1094747030399901</v>
      </c>
      <c r="AH1826">
        <v>10.3887323237335</v>
      </c>
      <c r="AI1826">
        <v>95.411431184460199</v>
      </c>
      <c r="AJ1826">
        <v>62.499942866972702</v>
      </c>
      <c r="AK1826">
        <v>11.7645077743427</v>
      </c>
      <c r="AL1826">
        <v>79.058840923736099</v>
      </c>
      <c r="AM1826">
        <v>65.509883202524804</v>
      </c>
      <c r="AN1826">
        <v>1.0000000243832401</v>
      </c>
    </row>
    <row r="1827" spans="1:40" x14ac:dyDescent="0.25">
      <c r="A1827" t="str">
        <f>"20190312164024551"</f>
        <v>20190312164024551</v>
      </c>
      <c r="B1827" t="str">
        <f>"1552380024547477"</f>
        <v>1552380024547477</v>
      </c>
      <c r="C1827" t="s">
        <v>40</v>
      </c>
      <c r="D1827">
        <v>5.1665780000000003</v>
      </c>
      <c r="E1827">
        <v>0.53622950000000003</v>
      </c>
      <c r="F1827" t="s">
        <v>46</v>
      </c>
      <c r="G1827">
        <v>-201.88720000000001</v>
      </c>
      <c r="H1827" s="1">
        <v>2.869363E-6</v>
      </c>
      <c r="I1827">
        <v>286.7269</v>
      </c>
      <c r="J1827">
        <v>-191.62350000000001</v>
      </c>
      <c r="K1827">
        <v>1.109397</v>
      </c>
      <c r="L1827">
        <v>303.16410000000002</v>
      </c>
      <c r="M1827">
        <v>-7.731412E-2</v>
      </c>
      <c r="N1827">
        <v>0</v>
      </c>
      <c r="O1827">
        <v>-0.99691430000000003</v>
      </c>
      <c r="P1827">
        <v>-0.47710320000000001</v>
      </c>
      <c r="Q1827">
        <v>0.178833399999999</v>
      </c>
      <c r="R1827">
        <v>-0.86046009999999995</v>
      </c>
      <c r="S1827">
        <v>-1.6219939999999999</v>
      </c>
      <c r="T1827">
        <v>-0.175035</v>
      </c>
      <c r="U1827">
        <v>-2.6244809999999998</v>
      </c>
      <c r="V1827">
        <v>0.40974899999999997</v>
      </c>
      <c r="W1827">
        <v>0.1896632</v>
      </c>
      <c r="X1827">
        <v>0.89226319999999903</v>
      </c>
      <c r="Y1827">
        <v>0.4575109</v>
      </c>
      <c r="Z1827">
        <v>5.7534170000000003E-2</v>
      </c>
      <c r="AA1827">
        <v>0.88734080000000004</v>
      </c>
      <c r="AB1827">
        <v>21</v>
      </c>
      <c r="AC1827">
        <v>-10.2637</v>
      </c>
      <c r="AD1827">
        <v>-1.1093941306370001</v>
      </c>
      <c r="AE1827">
        <v>-16.437200000000001</v>
      </c>
      <c r="AF1827">
        <v>8.9327515840218492</v>
      </c>
      <c r="AG1827">
        <v>-1.1093941306370001</v>
      </c>
      <c r="AH1827">
        <v>17.125465495992898</v>
      </c>
      <c r="AI1827">
        <v>93.287253317552796</v>
      </c>
      <c r="AJ1827">
        <v>62.453168604778703</v>
      </c>
      <c r="AK1827">
        <v>19.346999112352801</v>
      </c>
      <c r="AL1827">
        <v>79.066870353500207</v>
      </c>
      <c r="AM1827">
        <v>65.334259924640193</v>
      </c>
      <c r="AN1827">
        <v>0.99999999525473904</v>
      </c>
    </row>
    <row r="1828" spans="1:40" x14ac:dyDescent="0.25">
      <c r="A1828" t="str">
        <f>"20190312164024573"</f>
        <v>20190312164024573</v>
      </c>
      <c r="B1828" t="str">
        <f>"1552380024567973"</f>
        <v>1552380024567973</v>
      </c>
      <c r="C1828" t="s">
        <v>40</v>
      </c>
      <c r="D1828">
        <v>5.2251240000000001</v>
      </c>
      <c r="E1828">
        <v>0.53607190000000005</v>
      </c>
      <c r="F1828" t="s">
        <v>46</v>
      </c>
      <c r="G1828">
        <v>-201.68690000000001</v>
      </c>
      <c r="H1828" s="1">
        <v>2.746334E-6</v>
      </c>
      <c r="I1828">
        <v>287.11810000000003</v>
      </c>
      <c r="J1828">
        <v>-191.64259999999999</v>
      </c>
      <c r="K1828">
        <v>1.109305</v>
      </c>
      <c r="L1828">
        <v>302.95400000000001</v>
      </c>
      <c r="M1828">
        <v>-7.9751569999999994E-2</v>
      </c>
      <c r="N1828">
        <v>0</v>
      </c>
      <c r="O1828">
        <v>-0.99672229999999995</v>
      </c>
      <c r="P1828">
        <v>-0.48190300000000003</v>
      </c>
      <c r="Q1828">
        <v>0.17837900000000001</v>
      </c>
      <c r="R1828">
        <v>-0.85787579999999997</v>
      </c>
      <c r="S1828">
        <v>-1.639893</v>
      </c>
      <c r="T1828">
        <v>-0.18078330000000001</v>
      </c>
      <c r="U1828">
        <v>-2.6148069999999999</v>
      </c>
      <c r="V1828">
        <v>0.41258929999999999</v>
      </c>
      <c r="W1828">
        <v>0.1890976</v>
      </c>
      <c r="X1828">
        <v>0.89107359999999902</v>
      </c>
      <c r="Y1828">
        <v>0.46111459999999999</v>
      </c>
      <c r="Z1828">
        <v>5.9426819999999998E-2</v>
      </c>
      <c r="AA1828">
        <v>0.88534840000000004</v>
      </c>
      <c r="AB1828">
        <v>21</v>
      </c>
      <c r="AC1828">
        <v>-10.0443</v>
      </c>
      <c r="AD1828">
        <v>-1.109302253666</v>
      </c>
      <c r="AE1828">
        <v>-15.835899999999899</v>
      </c>
      <c r="AF1828">
        <v>8.7187375303565897</v>
      </c>
      <c r="AG1828">
        <v>-1.109302253666</v>
      </c>
      <c r="AH1828">
        <v>16.528734438248001</v>
      </c>
      <c r="AI1828">
        <v>93.397163630857406</v>
      </c>
      <c r="AJ1828">
        <v>62.188813836576898</v>
      </c>
      <c r="AK1828">
        <v>18.720202930079701</v>
      </c>
      <c r="AL1828">
        <v>79.099874105437607</v>
      </c>
      <c r="AM1828">
        <v>65.154686719325397</v>
      </c>
      <c r="AN1828">
        <v>0.99999999670860396</v>
      </c>
    </row>
    <row r="1829" spans="1:40" x14ac:dyDescent="0.25">
      <c r="A1829" t="str">
        <f>"20190312164024596"</f>
        <v>20190312164024596</v>
      </c>
      <c r="B1829" t="str">
        <f>"1552380024587493"</f>
        <v>1552380024587493</v>
      </c>
      <c r="C1829" t="s">
        <v>40</v>
      </c>
      <c r="D1829">
        <v>5.2549429999999999</v>
      </c>
      <c r="E1829">
        <v>0.53608040000000001</v>
      </c>
      <c r="F1829" t="s">
        <v>46</v>
      </c>
      <c r="G1829">
        <v>-201.82740000000001</v>
      </c>
      <c r="H1829" s="1">
        <v>2.8287769999999999E-6</v>
      </c>
      <c r="I1829">
        <v>286.8877</v>
      </c>
      <c r="J1829">
        <v>-191.66200000000001</v>
      </c>
      <c r="K1829">
        <v>1.109216</v>
      </c>
      <c r="L1829">
        <v>302.7491</v>
      </c>
      <c r="M1829">
        <v>-8.2263009999999998E-2</v>
      </c>
      <c r="N1829">
        <v>0</v>
      </c>
      <c r="O1829">
        <v>-0.99651829999999997</v>
      </c>
      <c r="P1829">
        <v>-0.48663820000000002</v>
      </c>
      <c r="Q1829">
        <v>0.17802780000000001</v>
      </c>
      <c r="R1829">
        <v>-0.85527169999999897</v>
      </c>
      <c r="S1829">
        <v>-1.652191</v>
      </c>
      <c r="T1829">
        <v>-0.179953799999999</v>
      </c>
      <c r="U1829">
        <v>-2.6063230000000002</v>
      </c>
      <c r="V1829">
        <v>0.41530620000000001</v>
      </c>
      <c r="W1829">
        <v>0.18863959999999999</v>
      </c>
      <c r="X1829">
        <v>0.88990780000000003</v>
      </c>
      <c r="Y1829">
        <v>0.46316849999999998</v>
      </c>
      <c r="Z1829">
        <v>5.9196640000000002E-2</v>
      </c>
      <c r="AA1829">
        <v>0.8842911</v>
      </c>
      <c r="AB1829">
        <v>20</v>
      </c>
      <c r="AC1829">
        <v>-10.1654</v>
      </c>
      <c r="AD1829">
        <v>-1.109213171223</v>
      </c>
      <c r="AE1829">
        <v>-15.8614</v>
      </c>
      <c r="AF1829">
        <v>8.7955226608600601</v>
      </c>
      <c r="AG1829">
        <v>-1.109213171223</v>
      </c>
      <c r="AH1829">
        <v>16.586445579804899</v>
      </c>
      <c r="AI1829">
        <v>93.381202260694096</v>
      </c>
      <c r="AJ1829">
        <v>62.063719120291502</v>
      </c>
      <c r="AK1829">
        <v>18.806960140031901</v>
      </c>
      <c r="AL1829">
        <v>79.126596719373097</v>
      </c>
      <c r="AM1829">
        <v>64.982266246606798</v>
      </c>
      <c r="AN1829">
        <v>1.0000000154737201</v>
      </c>
    </row>
    <row r="1830" spans="1:40" x14ac:dyDescent="0.25">
      <c r="A1830" t="str">
        <f>"20190312164024630"</f>
        <v>20190312164024630</v>
      </c>
      <c r="B1830" t="str">
        <f>"1552380024617749"</f>
        <v>1552380024617749</v>
      </c>
      <c r="C1830" t="s">
        <v>40</v>
      </c>
      <c r="D1830">
        <v>5.2533120000000002</v>
      </c>
      <c r="E1830">
        <v>0.53604469999999904</v>
      </c>
      <c r="F1830" t="s">
        <v>46</v>
      </c>
      <c r="G1830">
        <v>-201.78440000000001</v>
      </c>
      <c r="H1830" s="1">
        <v>2.8039910000000001E-6</v>
      </c>
      <c r="I1830">
        <v>286.95330000000001</v>
      </c>
      <c r="J1830">
        <v>-191.69159999999999</v>
      </c>
      <c r="K1830">
        <v>1.1091169999999999</v>
      </c>
      <c r="L1830">
        <v>302.44839999999999</v>
      </c>
      <c r="M1830">
        <v>-8.6173689999999997E-2</v>
      </c>
      <c r="N1830">
        <v>0</v>
      </c>
      <c r="O1830">
        <v>-0.99618759999999995</v>
      </c>
      <c r="P1830">
        <v>-0.49195430000000001</v>
      </c>
      <c r="Q1830">
        <v>0.17741379999999901</v>
      </c>
      <c r="R1830">
        <v>-0.85235309999999898</v>
      </c>
      <c r="S1830">
        <v>-1.6650700000000001</v>
      </c>
      <c r="T1830">
        <v>-0.18245790000000001</v>
      </c>
      <c r="U1830">
        <v>-2.5982970000000001</v>
      </c>
      <c r="V1830">
        <v>0.41739029999999999</v>
      </c>
      <c r="W1830">
        <v>0.18791189999999999</v>
      </c>
      <c r="X1830">
        <v>0.8890863</v>
      </c>
      <c r="Y1830">
        <v>0.46401219999999999</v>
      </c>
      <c r="Z1830">
        <v>6.0054440000000001E-2</v>
      </c>
      <c r="AA1830">
        <v>0.88379079999999999</v>
      </c>
      <c r="AB1830">
        <v>20</v>
      </c>
      <c r="AC1830">
        <v>-10.0928</v>
      </c>
      <c r="AD1830">
        <v>-1.1091141960090001</v>
      </c>
      <c r="AE1830">
        <v>-15.4950999999999</v>
      </c>
      <c r="AF1830">
        <v>8.6886008079789203</v>
      </c>
      <c r="AG1830">
        <v>-1.1091141960090001</v>
      </c>
      <c r="AH1830">
        <v>16.248812118389498</v>
      </c>
      <c r="AI1830">
        <v>93.444651482306</v>
      </c>
      <c r="AJ1830">
        <v>61.865594337457701</v>
      </c>
      <c r="AK1830">
        <v>18.459301545803999</v>
      </c>
      <c r="AL1830">
        <v>79.169049880768497</v>
      </c>
      <c r="AM1830">
        <v>64.8518306282769</v>
      </c>
      <c r="AN1830">
        <v>0.99999999677169504</v>
      </c>
    </row>
    <row r="1831" spans="1:40" x14ac:dyDescent="0.25">
      <c r="A1831" t="str">
        <f>"20190312164024653"</f>
        <v>20190312164024653</v>
      </c>
      <c r="B1831" t="str">
        <f>"1552380024648005"</f>
        <v>1552380024648005</v>
      </c>
      <c r="C1831" t="s">
        <v>40</v>
      </c>
      <c r="D1831">
        <v>5.4047850000000004</v>
      </c>
      <c r="E1831">
        <v>0.53595170000000003</v>
      </c>
      <c r="F1831" t="s">
        <v>46</v>
      </c>
      <c r="G1831">
        <v>-201.6617</v>
      </c>
      <c r="H1831" s="1">
        <v>2.7374389999999998E-6</v>
      </c>
      <c r="I1831">
        <v>287.0924</v>
      </c>
      <c r="J1831">
        <v>-191.71379999999999</v>
      </c>
      <c r="K1831">
        <v>1.1090549999999999</v>
      </c>
      <c r="L1831">
        <v>302.23180000000002</v>
      </c>
      <c r="M1831">
        <v>-8.9103909999999995E-2</v>
      </c>
      <c r="N1831">
        <v>0</v>
      </c>
      <c r="O1831">
        <v>-0.99592990000000003</v>
      </c>
      <c r="P1831">
        <v>-0.49763540000000001</v>
      </c>
      <c r="Q1831">
        <v>0.17451720000000001</v>
      </c>
      <c r="R1831">
        <v>-0.84964899999999999</v>
      </c>
      <c r="S1831">
        <v>-1.6806639999999999</v>
      </c>
      <c r="T1831">
        <v>-0.1869632</v>
      </c>
      <c r="U1831">
        <v>-2.588562</v>
      </c>
      <c r="V1831">
        <v>0.42067450000000001</v>
      </c>
      <c r="W1831">
        <v>0.1849441</v>
      </c>
      <c r="X1831">
        <v>0.88816030000000001</v>
      </c>
      <c r="Y1831">
        <v>0.46662009999999998</v>
      </c>
      <c r="Z1831">
        <v>6.1563180000000002E-2</v>
      </c>
      <c r="AA1831">
        <v>0.88231269999999995</v>
      </c>
      <c r="AB1831">
        <v>20</v>
      </c>
      <c r="AC1831">
        <v>-9.9479000000000006</v>
      </c>
      <c r="AD1831">
        <v>-1.109052262561</v>
      </c>
      <c r="AE1831">
        <v>-15.1394</v>
      </c>
      <c r="AF1831">
        <v>8.5272580098913799</v>
      </c>
      <c r="AG1831">
        <v>-1.109052262561</v>
      </c>
      <c r="AH1831">
        <v>15.906029849019101</v>
      </c>
      <c r="AI1831">
        <v>93.516489896586904</v>
      </c>
      <c r="AJ1831">
        <v>61.804141877985401</v>
      </c>
      <c r="AK1831">
        <v>18.081645711777298</v>
      </c>
      <c r="AL1831">
        <v>79.342127072296293</v>
      </c>
      <c r="AM1831">
        <v>64.655563359674304</v>
      </c>
      <c r="AN1831">
        <v>1.0000000367855699</v>
      </c>
    </row>
    <row r="1832" spans="1:40" x14ac:dyDescent="0.25">
      <c r="A1832" t="str">
        <f>"20190312164024675"</f>
        <v>20190312164024675</v>
      </c>
      <c r="B1832" t="str">
        <f>"1552380024667526"</f>
        <v>1552380024667526</v>
      </c>
      <c r="C1832" t="s">
        <v>40</v>
      </c>
      <c r="D1832">
        <v>5.3956169999999997</v>
      </c>
      <c r="E1832">
        <v>0.53805019999999903</v>
      </c>
      <c r="F1832" t="s">
        <v>46</v>
      </c>
      <c r="G1832">
        <v>-201.2989</v>
      </c>
      <c r="H1832" s="1">
        <v>2.5261959999999999E-6</v>
      </c>
      <c r="I1832">
        <v>287.66809999999998</v>
      </c>
      <c r="J1832">
        <v>-191.73490000000001</v>
      </c>
      <c r="K1832">
        <v>1.10902099999999</v>
      </c>
      <c r="L1832">
        <v>302.03219999999999</v>
      </c>
      <c r="M1832">
        <v>-9.1865649999999993E-2</v>
      </c>
      <c r="N1832">
        <v>0</v>
      </c>
      <c r="O1832">
        <v>-0.99567859999999997</v>
      </c>
      <c r="P1832">
        <v>-0.50246759999999902</v>
      </c>
      <c r="Q1832">
        <v>0.17271020000000001</v>
      </c>
      <c r="R1832">
        <v>-0.84717019999999998</v>
      </c>
      <c r="S1832">
        <v>-1.69644199999999</v>
      </c>
      <c r="T1832">
        <v>-0.1962885</v>
      </c>
      <c r="U1832">
        <v>-2.5776059999999998</v>
      </c>
      <c r="V1832">
        <v>0.4232455</v>
      </c>
      <c r="W1832">
        <v>0.18309230000000001</v>
      </c>
      <c r="X1832">
        <v>0.8873221</v>
      </c>
      <c r="Y1832">
        <v>0.46954800000000002</v>
      </c>
      <c r="Z1832">
        <v>6.4671010000000001E-2</v>
      </c>
      <c r="AA1832">
        <v>0.88053519999999896</v>
      </c>
      <c r="AB1832">
        <v>20</v>
      </c>
      <c r="AC1832">
        <v>-9.5639999999999894</v>
      </c>
      <c r="AD1832">
        <v>-1.1090184738040001</v>
      </c>
      <c r="AE1832">
        <v>-14.364100000000001</v>
      </c>
      <c r="AF1832">
        <v>8.1701178405293202</v>
      </c>
      <c r="AG1832">
        <v>-1.1090184738040001</v>
      </c>
      <c r="AH1832">
        <v>15.119588314737699</v>
      </c>
      <c r="AI1832">
        <v>93.692233281954202</v>
      </c>
      <c r="AJ1832">
        <v>61.614701600226503</v>
      </c>
      <c r="AK1832">
        <v>17.221576533828902</v>
      </c>
      <c r="AL1832">
        <v>79.450070671359001</v>
      </c>
      <c r="AM1832">
        <v>64.499233635825306</v>
      </c>
      <c r="AN1832">
        <v>1.0000000263689699</v>
      </c>
    </row>
    <row r="1833" spans="1:40" x14ac:dyDescent="0.25">
      <c r="A1833" t="str">
        <f>"20190312164024696"</f>
        <v>20190312164024696</v>
      </c>
      <c r="B1833" t="str">
        <f>"1552380024688022"</f>
        <v>1552380024688022</v>
      </c>
      <c r="C1833" t="s">
        <v>40</v>
      </c>
      <c r="D1833">
        <v>5.2817480000000003</v>
      </c>
      <c r="E1833">
        <v>0.53410299999999999</v>
      </c>
      <c r="F1833" t="s">
        <v>46</v>
      </c>
      <c r="G1833">
        <v>-196.93600000000001</v>
      </c>
      <c r="H1833" s="1">
        <v>1.2329910000000001E-6</v>
      </c>
      <c r="I1833">
        <v>294.137</v>
      </c>
      <c r="J1833">
        <v>-191.75620000000001</v>
      </c>
      <c r="K1833">
        <v>1.109003</v>
      </c>
      <c r="L1833">
        <v>301.83589999999998</v>
      </c>
      <c r="M1833">
        <v>-9.4617430000000002E-2</v>
      </c>
      <c r="N1833">
        <v>0</v>
      </c>
      <c r="O1833">
        <v>-0.99542120000000001</v>
      </c>
      <c r="P1833">
        <v>-0.50708189999999997</v>
      </c>
      <c r="Q1833">
        <v>0.1709888</v>
      </c>
      <c r="R1833">
        <v>-0.84476719999999905</v>
      </c>
      <c r="S1833">
        <v>-1.712677</v>
      </c>
      <c r="T1833">
        <v>-0.3651896</v>
      </c>
      <c r="U1833">
        <v>-2.5997919999999999</v>
      </c>
      <c r="V1833">
        <v>0.4256026</v>
      </c>
      <c r="W1833">
        <v>0.18134159999999999</v>
      </c>
      <c r="X1833">
        <v>0.88655379999999995</v>
      </c>
      <c r="Y1833">
        <v>0.46476800000000001</v>
      </c>
      <c r="Z1833">
        <v>0.11871420000000001</v>
      </c>
      <c r="AA1833">
        <v>0.877438099999999</v>
      </c>
      <c r="AB1833">
        <v>20</v>
      </c>
      <c r="AC1833">
        <v>-5.17979999999997</v>
      </c>
      <c r="AD1833">
        <v>-1.109001767009</v>
      </c>
      <c r="AE1833">
        <v>-7.6988999999999796</v>
      </c>
      <c r="AF1833">
        <v>4.36568179630041</v>
      </c>
      <c r="AG1833">
        <v>-1.109001767009</v>
      </c>
      <c r="AH1833">
        <v>8.0396615669302491</v>
      </c>
      <c r="AI1833">
        <v>96.911787542484603</v>
      </c>
      <c r="AJ1833">
        <v>61.497238553884401</v>
      </c>
      <c r="AK1833">
        <v>9.2154880812984192</v>
      </c>
      <c r="AL1833">
        <v>79.552085979552999</v>
      </c>
      <c r="AM1833">
        <v>64.356012055415604</v>
      </c>
      <c r="AN1833">
        <v>0.99999999465587996</v>
      </c>
    </row>
    <row r="1834" spans="1:40" x14ac:dyDescent="0.25">
      <c r="A1834" t="str">
        <f>"20190312164024719"</f>
        <v>20190312164024719</v>
      </c>
      <c r="B1834" t="str">
        <f>"1552380024707543"</f>
        <v>1552380024707543</v>
      </c>
      <c r="C1834" t="s">
        <v>40</v>
      </c>
      <c r="D1834">
        <v>5.3743829999999999</v>
      </c>
      <c r="E1834">
        <v>0.53837419999999903</v>
      </c>
      <c r="F1834" t="s">
        <v>46</v>
      </c>
      <c r="G1834">
        <v>-197.35769999999999</v>
      </c>
      <c r="H1834" s="1">
        <v>1.3479860000000001E-6</v>
      </c>
      <c r="I1834">
        <v>293.27170000000001</v>
      </c>
      <c r="J1834">
        <v>-191.77879999999999</v>
      </c>
      <c r="K1834">
        <v>1.1089910000000001</v>
      </c>
      <c r="L1834">
        <v>301.63400000000001</v>
      </c>
      <c r="M1834">
        <v>-9.7469819999999999E-2</v>
      </c>
      <c r="N1834">
        <v>0</v>
      </c>
      <c r="O1834">
        <v>-0.99514590000000003</v>
      </c>
      <c r="P1834">
        <v>-0.51123629999999998</v>
      </c>
      <c r="Q1834">
        <v>0.16932230000000001</v>
      </c>
      <c r="R1834">
        <v>-0.84259589999999995</v>
      </c>
      <c r="S1834">
        <v>-1.6998899999999999</v>
      </c>
      <c r="T1834">
        <v>-0.33654800000000001</v>
      </c>
      <c r="U1834">
        <v>-2.5989689999999999</v>
      </c>
      <c r="V1834">
        <v>0.42739300000000002</v>
      </c>
      <c r="W1834">
        <v>0.17965970000000001</v>
      </c>
      <c r="X1834">
        <v>0.88603480000000001</v>
      </c>
      <c r="Y1834">
        <v>0.45989639999999998</v>
      </c>
      <c r="Z1834">
        <v>0.1097979</v>
      </c>
      <c r="AA1834">
        <v>0.8811582</v>
      </c>
      <c r="AB1834">
        <v>20</v>
      </c>
      <c r="AC1834">
        <v>-5.5789</v>
      </c>
      <c r="AD1834">
        <v>-1.1089896520139999</v>
      </c>
      <c r="AE1834">
        <v>-8.3622999999999994</v>
      </c>
      <c r="AF1834">
        <v>4.6802233013702397</v>
      </c>
      <c r="AG1834">
        <v>-1.1089896520139999</v>
      </c>
      <c r="AH1834">
        <v>8.7596898663343605</v>
      </c>
      <c r="AI1834">
        <v>96.371411026412801</v>
      </c>
      <c r="AJ1834">
        <v>61.884811792153499</v>
      </c>
      <c r="AK1834">
        <v>9.9933235088895191</v>
      </c>
      <c r="AL1834">
        <v>79.650061340879105</v>
      </c>
      <c r="AM1834">
        <v>64.248922155496004</v>
      </c>
      <c r="AN1834">
        <v>1.00000002553206</v>
      </c>
    </row>
    <row r="1835" spans="1:40" x14ac:dyDescent="0.25">
      <c r="A1835" t="str">
        <f>"20190312164024741"</f>
        <v>20190312164024741</v>
      </c>
      <c r="B1835" t="str">
        <f>"1552380024737799"</f>
        <v>1552380024737799</v>
      </c>
      <c r="C1835" t="s">
        <v>40</v>
      </c>
      <c r="D1835">
        <v>5.2765319999999996</v>
      </c>
      <c r="E1835">
        <v>0.53420369999999995</v>
      </c>
      <c r="F1835" t="s">
        <v>46</v>
      </c>
      <c r="G1835">
        <v>-197.10849999999999</v>
      </c>
      <c r="H1835" s="1">
        <v>1.286849E-6</v>
      </c>
      <c r="I1835">
        <v>293.74439999999998</v>
      </c>
      <c r="J1835">
        <v>-191.80170000000001</v>
      </c>
      <c r="K1835">
        <v>1.108986</v>
      </c>
      <c r="L1835">
        <v>301.43419999999998</v>
      </c>
      <c r="M1835">
        <v>-0.10030360000000001</v>
      </c>
      <c r="N1835">
        <v>0</v>
      </c>
      <c r="O1835">
        <v>-0.99486430000000003</v>
      </c>
      <c r="P1835">
        <v>-0.51607749999999997</v>
      </c>
      <c r="Q1835">
        <v>0.16732159999999999</v>
      </c>
      <c r="R1835">
        <v>-0.84004009999999996</v>
      </c>
      <c r="S1835">
        <v>-1.7408140000000001</v>
      </c>
      <c r="T1835">
        <v>-0.36222389999999999</v>
      </c>
      <c r="U1835">
        <v>-2.576965</v>
      </c>
      <c r="V1835">
        <v>0.4299251</v>
      </c>
      <c r="W1835">
        <v>0.17763950000000001</v>
      </c>
      <c r="X1835">
        <v>0.88521669999999997</v>
      </c>
      <c r="Y1835">
        <v>0.46993220000000002</v>
      </c>
      <c r="Z1835">
        <v>0.11802410000000001</v>
      </c>
      <c r="AA1835">
        <v>0.87477660000000002</v>
      </c>
      <c r="AB1835">
        <v>20</v>
      </c>
      <c r="AC1835">
        <v>-5.3067999999999804</v>
      </c>
      <c r="AD1835">
        <v>-1.108984713151</v>
      </c>
      <c r="AE1835">
        <v>-7.6897999999999902</v>
      </c>
      <c r="AF1835">
        <v>4.4460094743654501</v>
      </c>
      <c r="AG1835">
        <v>-1.108984713151</v>
      </c>
      <c r="AH1835">
        <v>8.0696639332721105</v>
      </c>
      <c r="AI1835">
        <v>96.863483882045102</v>
      </c>
      <c r="AJ1835">
        <v>61.147280173783003</v>
      </c>
      <c r="AK1835">
        <v>9.2798881101068602</v>
      </c>
      <c r="AL1835">
        <v>79.767702502380004</v>
      </c>
      <c r="AM1835">
        <v>64.095445287228799</v>
      </c>
      <c r="AN1835">
        <v>0.99999999476457402</v>
      </c>
    </row>
    <row r="1836" spans="1:40" x14ac:dyDescent="0.25">
      <c r="A1836" t="str">
        <f>"20190312164024764"</f>
        <v>20190312164024764</v>
      </c>
      <c r="B1836" t="str">
        <f>"1552380024758293"</f>
        <v>1552380024758293</v>
      </c>
      <c r="C1836" t="s">
        <v>40</v>
      </c>
      <c r="D1836">
        <v>5.3043570000000004</v>
      </c>
      <c r="E1836">
        <v>0.53387739999999995</v>
      </c>
      <c r="F1836" t="s">
        <v>46</v>
      </c>
      <c r="G1836">
        <v>-197.60130000000001</v>
      </c>
      <c r="H1836" s="1">
        <v>1.4099869999999999E-6</v>
      </c>
      <c r="I1836">
        <v>292.79700000000003</v>
      </c>
      <c r="J1836">
        <v>-191.8262</v>
      </c>
      <c r="K1836">
        <v>1.108984</v>
      </c>
      <c r="L1836">
        <v>301.22719999999998</v>
      </c>
      <c r="M1836">
        <v>-0.103242899999999</v>
      </c>
      <c r="N1836">
        <v>0</v>
      </c>
      <c r="O1836">
        <v>-0.99456339999999999</v>
      </c>
      <c r="P1836">
        <v>-0.52085289999999995</v>
      </c>
      <c r="Q1836">
        <v>0.1654757</v>
      </c>
      <c r="R1836">
        <v>-0.837454699999999</v>
      </c>
      <c r="S1836">
        <v>-1.72892799999999</v>
      </c>
      <c r="T1836">
        <v>-0.33060420000000001</v>
      </c>
      <c r="U1836">
        <v>-2.5748899999999999</v>
      </c>
      <c r="V1836">
        <v>0.43230790000000002</v>
      </c>
      <c r="W1836">
        <v>0.17577770000000001</v>
      </c>
      <c r="X1836">
        <v>0.88442749999999903</v>
      </c>
      <c r="Y1836">
        <v>0.46549479999999999</v>
      </c>
      <c r="Z1836">
        <v>0.108144</v>
      </c>
      <c r="AA1836">
        <v>0.8784187</v>
      </c>
      <c r="AB1836">
        <v>20</v>
      </c>
      <c r="AC1836">
        <v>-5.7751000000000001</v>
      </c>
      <c r="AD1836">
        <v>-1.1089825900129999</v>
      </c>
      <c r="AE1836">
        <v>-8.4301999999999495</v>
      </c>
      <c r="AF1836">
        <v>4.8170599896712201</v>
      </c>
      <c r="AG1836">
        <v>-1.1089825900129999</v>
      </c>
      <c r="AH1836">
        <v>8.8768847289261696</v>
      </c>
      <c r="AI1836">
        <v>96.266199339280604</v>
      </c>
      <c r="AJ1836">
        <v>61.513436938911802</v>
      </c>
      <c r="AK1836">
        <v>10.160363764141801</v>
      </c>
      <c r="AL1836">
        <v>79.876080996995597</v>
      </c>
      <c r="AM1836">
        <v>63.950629031882301</v>
      </c>
      <c r="AN1836">
        <v>0.99999996148797399</v>
      </c>
    </row>
    <row r="1837" spans="1:40" x14ac:dyDescent="0.25">
      <c r="A1837" t="str">
        <f>"20190312164024786"</f>
        <v>20190312164024786</v>
      </c>
      <c r="B1837" t="str">
        <f>"1552380024777814"</f>
        <v>1552380024777814</v>
      </c>
      <c r="C1837" t="s">
        <v>40</v>
      </c>
      <c r="D1837">
        <v>5.4016039999999998</v>
      </c>
      <c r="E1837">
        <v>0.534084</v>
      </c>
      <c r="F1837" t="s">
        <v>46</v>
      </c>
      <c r="G1837">
        <v>-197.54570000000001</v>
      </c>
      <c r="H1837" s="1">
        <v>1.4167609999999999E-6</v>
      </c>
      <c r="I1837">
        <v>292.78649999999999</v>
      </c>
      <c r="J1837">
        <v>-191.85050000000001</v>
      </c>
      <c r="K1837">
        <v>1.108984</v>
      </c>
      <c r="L1837">
        <v>301.0256</v>
      </c>
      <c r="M1837">
        <v>-0.1061107</v>
      </c>
      <c r="N1837">
        <v>0</v>
      </c>
      <c r="O1837">
        <v>-0.99426170000000003</v>
      </c>
      <c r="P1837">
        <v>-0.52599030000000002</v>
      </c>
      <c r="Q1837">
        <v>0.16389519999999999</v>
      </c>
      <c r="R1837">
        <v>-0.834549599999999</v>
      </c>
      <c r="S1837">
        <v>-1.739487</v>
      </c>
      <c r="T1837">
        <v>-0.33727810000000003</v>
      </c>
      <c r="U1837">
        <v>-2.567078</v>
      </c>
      <c r="V1837">
        <v>0.43515730000000002</v>
      </c>
      <c r="W1837">
        <v>0.17417389999999999</v>
      </c>
      <c r="X1837">
        <v>0.88334690000000005</v>
      </c>
      <c r="Y1837">
        <v>0.46652719999999998</v>
      </c>
      <c r="Z1837">
        <v>0.1103741</v>
      </c>
      <c r="AA1837">
        <v>0.87759330000000002</v>
      </c>
      <c r="AB1837">
        <v>20</v>
      </c>
      <c r="AC1837">
        <v>-5.6951999999999998</v>
      </c>
      <c r="AD1837">
        <v>-1.1089825832389999</v>
      </c>
      <c r="AE1837">
        <v>-8.2391000000000005</v>
      </c>
      <c r="AF1837">
        <v>4.7307078234944502</v>
      </c>
      <c r="AG1837">
        <v>-1.1089825832389999</v>
      </c>
      <c r="AH1837">
        <v>8.6904139092266703</v>
      </c>
      <c r="AI1837">
        <v>96.395005304775907</v>
      </c>
      <c r="AJ1837">
        <v>61.437925360719802</v>
      </c>
      <c r="AK1837">
        <v>9.9565422107717403</v>
      </c>
      <c r="AL1837">
        <v>79.969413068639199</v>
      </c>
      <c r="AM1837">
        <v>63.774066698826303</v>
      </c>
      <c r="AN1837">
        <v>1.00000008446205</v>
      </c>
    </row>
    <row r="1838" spans="1:40" x14ac:dyDescent="0.25">
      <c r="A1838" t="str">
        <f>"20190312164024809"</f>
        <v>20190312164024809</v>
      </c>
      <c r="B1838" t="str">
        <f>"1552380024798313"</f>
        <v>1552380024798313</v>
      </c>
      <c r="C1838" t="s">
        <v>40</v>
      </c>
      <c r="D1838">
        <v>5.3414699999999904</v>
      </c>
      <c r="E1838">
        <v>0.53362909999999997</v>
      </c>
      <c r="F1838" t="s">
        <v>46</v>
      </c>
      <c r="G1838">
        <v>-197.5069</v>
      </c>
      <c r="H1838" s="1">
        <v>1.42085199999999E-6</v>
      </c>
      <c r="I1838">
        <v>292.78280000000001</v>
      </c>
      <c r="J1838">
        <v>-191.87569999999999</v>
      </c>
      <c r="K1838">
        <v>1.108981</v>
      </c>
      <c r="L1838">
        <v>300.82260000000002</v>
      </c>
      <c r="M1838">
        <v>-0.10901909999999999</v>
      </c>
      <c r="N1838">
        <v>0</v>
      </c>
      <c r="O1838">
        <v>-0.99394700000000002</v>
      </c>
      <c r="P1838">
        <v>-0.53105709999999995</v>
      </c>
      <c r="Q1838">
        <v>0.1632402</v>
      </c>
      <c r="R1838">
        <v>-0.83146350000000002</v>
      </c>
      <c r="S1838">
        <v>-1.75440999999999</v>
      </c>
      <c r="T1838">
        <v>-0.34396719999999997</v>
      </c>
      <c r="U1838">
        <v>-2.55661</v>
      </c>
      <c r="V1838">
        <v>0.43793510000000002</v>
      </c>
      <c r="W1838">
        <v>0.17348930000000001</v>
      </c>
      <c r="X1838">
        <v>0.88210789999999994</v>
      </c>
      <c r="Y1838">
        <v>0.4689603</v>
      </c>
      <c r="Z1838">
        <v>0.1126089</v>
      </c>
      <c r="AA1838">
        <v>0.87601109999999904</v>
      </c>
      <c r="AB1838">
        <v>20</v>
      </c>
      <c r="AC1838">
        <v>-5.6311999999999998</v>
      </c>
      <c r="AD1838">
        <v>-1.1089795791479999</v>
      </c>
      <c r="AE1838">
        <v>-8.0398000000000103</v>
      </c>
      <c r="AF1838">
        <v>4.6615553968892796</v>
      </c>
      <c r="AG1838">
        <v>-1.1089795791479999</v>
      </c>
      <c r="AH1838">
        <v>8.4973721126712896</v>
      </c>
      <c r="AI1838">
        <v>96.527499080301496</v>
      </c>
      <c r="AJ1838">
        <v>61.251360929428401</v>
      </c>
      <c r="AK1838">
        <v>9.7552686916577809</v>
      </c>
      <c r="AL1838">
        <v>80.009243500134303</v>
      </c>
      <c r="AM1838">
        <v>63.597241483267503</v>
      </c>
      <c r="AN1838">
        <v>1.0000000181344499</v>
      </c>
    </row>
    <row r="1839" spans="1:40" x14ac:dyDescent="0.25">
      <c r="A1839" t="str">
        <f>"20190312164024833"</f>
        <v>20190312164024833</v>
      </c>
      <c r="B1839" t="str">
        <f>"1552380024827590"</f>
        <v>1552380024827590</v>
      </c>
      <c r="C1839" t="s">
        <v>40</v>
      </c>
      <c r="D1839">
        <v>5.3592050000000002</v>
      </c>
      <c r="E1839">
        <v>0.53327080000000004</v>
      </c>
      <c r="F1839" t="s">
        <v>46</v>
      </c>
      <c r="G1839">
        <v>-197.51070000000001</v>
      </c>
      <c r="H1839" s="1">
        <v>1.43638E-6</v>
      </c>
      <c r="I1839">
        <v>292.6927</v>
      </c>
      <c r="J1839">
        <v>-191.9024</v>
      </c>
      <c r="K1839">
        <v>1.108975</v>
      </c>
      <c r="L1839">
        <v>300.61270000000002</v>
      </c>
      <c r="M1839">
        <v>-0.1120617</v>
      </c>
      <c r="N1839">
        <v>0</v>
      </c>
      <c r="O1839">
        <v>-0.99360839999999995</v>
      </c>
      <c r="P1839">
        <v>-0.53626409999999902</v>
      </c>
      <c r="Q1839">
        <v>0.16351669999999999</v>
      </c>
      <c r="R1839">
        <v>-0.82806000000000002</v>
      </c>
      <c r="S1839">
        <v>-1.76623499999999</v>
      </c>
      <c r="T1839">
        <v>-0.34760429999999998</v>
      </c>
      <c r="U1839">
        <v>-2.5482480000000001</v>
      </c>
      <c r="V1839">
        <v>0.44078600000000001</v>
      </c>
      <c r="W1839">
        <v>0.17372309999999999</v>
      </c>
      <c r="X1839">
        <v>0.880640599999999</v>
      </c>
      <c r="Y1839">
        <v>0.470273</v>
      </c>
      <c r="Z1839">
        <v>0.11384859999999999</v>
      </c>
      <c r="AA1839">
        <v>0.87514669999999894</v>
      </c>
      <c r="AB1839">
        <v>20</v>
      </c>
      <c r="AC1839">
        <v>-5.6083000000000096</v>
      </c>
      <c r="AD1839">
        <v>-1.10897356362</v>
      </c>
      <c r="AE1839">
        <v>-7.9200000000000097</v>
      </c>
      <c r="AF1839">
        <v>4.6249635052717197</v>
      </c>
      <c r="AG1839">
        <v>-1.10897356362</v>
      </c>
      <c r="AH1839">
        <v>8.3890911020209398</v>
      </c>
      <c r="AI1839">
        <v>96.603456719182205</v>
      </c>
      <c r="AJ1839">
        <v>61.131750245562003</v>
      </c>
      <c r="AK1839">
        <v>9.6434931071635202</v>
      </c>
      <c r="AL1839">
        <v>79.995640406682199</v>
      </c>
      <c r="AM1839">
        <v>63.410714646119303</v>
      </c>
      <c r="AN1839">
        <v>0.99999993981898305</v>
      </c>
    </row>
    <row r="1840" spans="1:40" x14ac:dyDescent="0.25">
      <c r="A1840" t="str">
        <f>"20190312164024854"</f>
        <v>20190312164024854</v>
      </c>
      <c r="B1840" t="str">
        <f>"1552380024848085"</f>
        <v>1552380024848085</v>
      </c>
      <c r="C1840" t="s">
        <v>40</v>
      </c>
      <c r="D1840">
        <v>5.2764129999999998</v>
      </c>
      <c r="E1840">
        <v>0.5331245</v>
      </c>
      <c r="F1840" t="s">
        <v>46</v>
      </c>
      <c r="G1840">
        <v>-197.64179999999999</v>
      </c>
      <c r="H1840" s="1">
        <v>1.4722869999999999E-6</v>
      </c>
      <c r="I1840">
        <v>292.4228</v>
      </c>
      <c r="J1840">
        <v>-191.92869999999999</v>
      </c>
      <c r="K1840">
        <v>1.108954</v>
      </c>
      <c r="L1840">
        <v>300.41149999999999</v>
      </c>
      <c r="M1840">
        <v>-0.1150323</v>
      </c>
      <c r="N1840">
        <v>0</v>
      </c>
      <c r="O1840">
        <v>-0.99326910000000002</v>
      </c>
      <c r="P1840">
        <v>-0.54193619999999898</v>
      </c>
      <c r="Q1840">
        <v>0.16481370000000001</v>
      </c>
      <c r="R1840">
        <v>-0.82410059999999996</v>
      </c>
      <c r="S1840">
        <v>-1.7790680000000001</v>
      </c>
      <c r="T1840">
        <v>-0.34375430000000001</v>
      </c>
      <c r="U1840">
        <v>-2.5386660000000001</v>
      </c>
      <c r="V1840">
        <v>0.44424819999999998</v>
      </c>
      <c r="W1840">
        <v>0.17495559999999999</v>
      </c>
      <c r="X1840">
        <v>0.87865469999999901</v>
      </c>
      <c r="Y1840">
        <v>0.47223379999999998</v>
      </c>
      <c r="Z1840">
        <v>0.11268160000000001</v>
      </c>
      <c r="AA1840">
        <v>0.8742415</v>
      </c>
      <c r="AB1840">
        <v>20</v>
      </c>
      <c r="AC1840">
        <v>-5.7130999999999901</v>
      </c>
      <c r="AD1840">
        <v>-1.1089525277129999</v>
      </c>
      <c r="AE1840">
        <v>-7.9886999999999899</v>
      </c>
      <c r="AF1840">
        <v>4.6962513207096599</v>
      </c>
      <c r="AG1840">
        <v>-1.1089525277129999</v>
      </c>
      <c r="AH1840">
        <v>8.4847369123861291</v>
      </c>
      <c r="AI1840">
        <v>96.523552068118306</v>
      </c>
      <c r="AJ1840">
        <v>61.0357334022085</v>
      </c>
      <c r="AK1840">
        <v>9.7609073680880698</v>
      </c>
      <c r="AL1840">
        <v>79.923925722292196</v>
      </c>
      <c r="AM1840">
        <v>63.178819200397598</v>
      </c>
      <c r="AN1840">
        <v>1.0000000035033401</v>
      </c>
    </row>
    <row r="1841" spans="1:40" x14ac:dyDescent="0.25">
      <c r="A1841" t="str">
        <f>"20190312164024875"</f>
        <v>20190312164024875</v>
      </c>
      <c r="B1841" t="str">
        <f>"1552380024867606"</f>
        <v>1552380024867606</v>
      </c>
      <c r="C1841" t="s">
        <v>40</v>
      </c>
      <c r="D1841">
        <v>5.2034219999999998</v>
      </c>
      <c r="E1841">
        <v>0.53421879999999999</v>
      </c>
      <c r="F1841" t="s">
        <v>46</v>
      </c>
      <c r="G1841">
        <v>-197.8126</v>
      </c>
      <c r="H1841" s="1">
        <v>1.5095229999999999E-6</v>
      </c>
      <c r="I1841">
        <v>292.12540000000001</v>
      </c>
      <c r="J1841">
        <v>-191.95349999999999</v>
      </c>
      <c r="K1841">
        <v>1.108927</v>
      </c>
      <c r="L1841">
        <v>300.22579999999999</v>
      </c>
      <c r="M1841">
        <v>-0.1178362</v>
      </c>
      <c r="N1841">
        <v>0</v>
      </c>
      <c r="O1841">
        <v>-0.9929403</v>
      </c>
      <c r="P1841">
        <v>-0.54735369999999905</v>
      </c>
      <c r="Q1841">
        <v>0.16588259999999999</v>
      </c>
      <c r="R1841">
        <v>-0.8202971</v>
      </c>
      <c r="S1841">
        <v>-1.7948759999999999</v>
      </c>
      <c r="T1841">
        <v>-0.33828350000000001</v>
      </c>
      <c r="U1841">
        <v>-2.5276489999999998</v>
      </c>
      <c r="V1841">
        <v>0.44760489999999997</v>
      </c>
      <c r="W1841">
        <v>0.17595079999999999</v>
      </c>
      <c r="X1841">
        <v>0.87675029999999998</v>
      </c>
      <c r="Y1841">
        <v>0.47529300000000002</v>
      </c>
      <c r="Z1841">
        <v>0.1109701</v>
      </c>
      <c r="AA1841">
        <v>0.87280139999999995</v>
      </c>
      <c r="AB1841">
        <v>20</v>
      </c>
      <c r="AC1841">
        <v>-5.8591000000000104</v>
      </c>
      <c r="AD1841">
        <v>-1.1089254904770001</v>
      </c>
      <c r="AE1841">
        <v>-8.1003999999999792</v>
      </c>
      <c r="AF1841">
        <v>4.8045495977775596</v>
      </c>
      <c r="AG1841">
        <v>-1.1089254904770001</v>
      </c>
      <c r="AH1841">
        <v>8.6282710919902197</v>
      </c>
      <c r="AI1841">
        <v>96.406765487931096</v>
      </c>
      <c r="AJ1841">
        <v>60.889275765283301</v>
      </c>
      <c r="AK1841">
        <v>9.9378304784197393</v>
      </c>
      <c r="AL1841">
        <v>79.866006053732804</v>
      </c>
      <c r="AM1841">
        <v>62.954450888092502</v>
      </c>
      <c r="AN1841">
        <v>0.99999995953736898</v>
      </c>
    </row>
    <row r="1842" spans="1:40" x14ac:dyDescent="0.25">
      <c r="A1842" t="str">
        <f>"20190312164024898"</f>
        <v>20190312164024898</v>
      </c>
      <c r="B1842" t="str">
        <f>"1552380024888105"</f>
        <v>1552380024888105</v>
      </c>
      <c r="C1842" t="s">
        <v>40</v>
      </c>
      <c r="D1842">
        <v>5.3590419999999996</v>
      </c>
      <c r="E1842">
        <v>0.56489219999999996</v>
      </c>
      <c r="F1842" t="s">
        <v>46</v>
      </c>
      <c r="G1842">
        <v>-197.94579999999999</v>
      </c>
      <c r="H1842" s="1">
        <v>1.5288019999999999E-6</v>
      </c>
      <c r="I1842">
        <v>291.94889999999998</v>
      </c>
      <c r="J1842">
        <v>-191.98099999999999</v>
      </c>
      <c r="K1842">
        <v>1.1088849999999999</v>
      </c>
      <c r="L1842">
        <v>300.0249</v>
      </c>
      <c r="M1842">
        <v>-0.120945899999999</v>
      </c>
      <c r="N1842">
        <v>0</v>
      </c>
      <c r="O1842">
        <v>-0.99256630000000001</v>
      </c>
      <c r="P1842">
        <v>-0.55241180000000001</v>
      </c>
      <c r="Q1842">
        <v>0.16653850000000001</v>
      </c>
      <c r="R1842">
        <v>-0.81676590000000004</v>
      </c>
      <c r="S1842">
        <v>-1.8185119999999999</v>
      </c>
      <c r="T1842">
        <v>-0.33653189999999999</v>
      </c>
      <c r="U1842">
        <v>-2.511841</v>
      </c>
      <c r="V1842">
        <v>0.45031880000000002</v>
      </c>
      <c r="W1842">
        <v>0.17652770000000001</v>
      </c>
      <c r="X1842">
        <v>0.8752434</v>
      </c>
      <c r="Y1842">
        <v>0.48056890000000002</v>
      </c>
      <c r="Z1842">
        <v>0.1104565</v>
      </c>
      <c r="AA1842">
        <v>0.86997289999999905</v>
      </c>
      <c r="AB1842">
        <v>20</v>
      </c>
      <c r="AC1842">
        <v>-5.9647999999999897</v>
      </c>
      <c r="AD1842">
        <v>-1.108883471198</v>
      </c>
      <c r="AE1842">
        <v>-8.0760000000000201</v>
      </c>
      <c r="AF1842">
        <v>4.8845710849460504</v>
      </c>
      <c r="AG1842">
        <v>-1.108883471198</v>
      </c>
      <c r="AH1842">
        <v>8.6328797764751606</v>
      </c>
      <c r="AI1842">
        <v>96.378860765584093</v>
      </c>
      <c r="AJ1842">
        <v>60.498377569798201</v>
      </c>
      <c r="AK1842">
        <v>9.9807449858044706</v>
      </c>
      <c r="AL1842">
        <v>79.832427230858301</v>
      </c>
      <c r="AM1842">
        <v>62.773865482504199</v>
      </c>
      <c r="AN1842">
        <v>1.0000000298721401</v>
      </c>
    </row>
    <row r="1843" spans="1:40" x14ac:dyDescent="0.25">
      <c r="A1843" t="str">
        <f>"20190312164024921"</f>
        <v>20190312164024921</v>
      </c>
      <c r="B1843" t="str">
        <f>"1552380024918358"</f>
        <v>1552380024918358</v>
      </c>
      <c r="C1843" t="s">
        <v>40</v>
      </c>
      <c r="D1843">
        <v>5.2838059999999896</v>
      </c>
      <c r="E1843">
        <v>0.56643580000000004</v>
      </c>
      <c r="F1843" t="s">
        <v>46</v>
      </c>
      <c r="G1843">
        <v>-199.32159999999999</v>
      </c>
      <c r="H1843" s="1">
        <v>1.47505E-6</v>
      </c>
      <c r="I1843">
        <v>291.56119999999999</v>
      </c>
      <c r="J1843">
        <v>-192.00960000000001</v>
      </c>
      <c r="K1843">
        <v>1.1088389999999999</v>
      </c>
      <c r="L1843">
        <v>299.82249999999999</v>
      </c>
      <c r="M1843">
        <v>-0.12417980000000001</v>
      </c>
      <c r="N1843">
        <v>0</v>
      </c>
      <c r="O1843">
        <v>-0.99216669999999996</v>
      </c>
      <c r="P1843">
        <v>-0.55954300000000001</v>
      </c>
      <c r="Q1843">
        <v>0.16669229999999999</v>
      </c>
      <c r="R1843">
        <v>-0.81186530000000001</v>
      </c>
      <c r="S1843">
        <v>-2.042252</v>
      </c>
      <c r="T1843">
        <v>-0.30850509999999998</v>
      </c>
      <c r="U1843">
        <v>-2.3547060000000002</v>
      </c>
      <c r="V1843">
        <v>0.4551635</v>
      </c>
      <c r="W1843">
        <v>0.176571799999999</v>
      </c>
      <c r="X1843">
        <v>0.87272479999999997</v>
      </c>
      <c r="Y1843">
        <v>0.55295450000000002</v>
      </c>
      <c r="Z1843">
        <v>0.10143919999999999</v>
      </c>
      <c r="AA1843">
        <v>0.82701360000000002</v>
      </c>
      <c r="AB1843">
        <v>20</v>
      </c>
      <c r="AC1843">
        <v>-7.3119999999999798</v>
      </c>
      <c r="AD1843">
        <v>-1.10883752495</v>
      </c>
      <c r="AE1843">
        <v>-8.2613000000000003</v>
      </c>
      <c r="AF1843">
        <v>6.1671131520320799</v>
      </c>
      <c r="AG1843">
        <v>-1.10883752495</v>
      </c>
      <c r="AH1843">
        <v>9.0143696859572806</v>
      </c>
      <c r="AI1843">
        <v>95.796945028974307</v>
      </c>
      <c r="AJ1843">
        <v>55.622311284200201</v>
      </c>
      <c r="AK1843">
        <v>10.9782360205002</v>
      </c>
      <c r="AL1843">
        <v>79.829859798352402</v>
      </c>
      <c r="AM1843">
        <v>62.456022668796201</v>
      </c>
      <c r="AN1843">
        <v>0.99999999441126497</v>
      </c>
    </row>
    <row r="1844" spans="1:40" x14ac:dyDescent="0.25">
      <c r="A1844" t="str">
        <f>"20190312164024953"</f>
        <v>20190312164024953</v>
      </c>
      <c r="B1844" t="str">
        <f>"1552380024947638"</f>
        <v>1552380024947638</v>
      </c>
      <c r="C1844" t="s">
        <v>40</v>
      </c>
      <c r="D1844">
        <v>5.2921009999999997</v>
      </c>
      <c r="E1844">
        <v>0.56702039999999998</v>
      </c>
      <c r="F1844" t="s">
        <v>46</v>
      </c>
      <c r="G1844">
        <v>-199.61199999999999</v>
      </c>
      <c r="H1844" s="1">
        <v>1.4982669999999901E-6</v>
      </c>
      <c r="I1844">
        <v>291.28309999999999</v>
      </c>
      <c r="J1844">
        <v>-192.05160000000001</v>
      </c>
      <c r="K1844">
        <v>1.108773</v>
      </c>
      <c r="L1844">
        <v>299.5342</v>
      </c>
      <c r="M1844">
        <v>-0.1289276</v>
      </c>
      <c r="N1844">
        <v>0</v>
      </c>
      <c r="O1844">
        <v>-0.99156109999999997</v>
      </c>
      <c r="P1844">
        <v>-0.56864179999999998</v>
      </c>
      <c r="Q1844">
        <v>0.1655684</v>
      </c>
      <c r="R1844">
        <v>-0.80575039999999998</v>
      </c>
      <c r="S1844">
        <v>-2.073029</v>
      </c>
      <c r="T1844">
        <v>-0.30235709999999999</v>
      </c>
      <c r="U1844">
        <v>-2.328522</v>
      </c>
      <c r="V1844">
        <v>0.4608025</v>
      </c>
      <c r="W1844">
        <v>0.1753181</v>
      </c>
      <c r="X1844">
        <v>0.87001419999999996</v>
      </c>
      <c r="Y1844">
        <v>0.55980459999999999</v>
      </c>
      <c r="Z1844">
        <v>9.9552589999999996E-2</v>
      </c>
      <c r="AA1844">
        <v>0.82262269999999904</v>
      </c>
      <c r="AB1844">
        <v>20</v>
      </c>
      <c r="AC1844">
        <v>-7.56039999999998</v>
      </c>
      <c r="AD1844">
        <v>-1.108771501733</v>
      </c>
      <c r="AE1844">
        <v>-8.2510999999999992</v>
      </c>
      <c r="AF1844">
        <v>6.3708596081943503</v>
      </c>
      <c r="AG1844">
        <v>-1.108771501733</v>
      </c>
      <c r="AH1844">
        <v>9.0680446469590201</v>
      </c>
      <c r="AI1844">
        <v>95.713367003532099</v>
      </c>
      <c r="AJ1844">
        <v>54.909597172241597</v>
      </c>
      <c r="AK1844">
        <v>11.1376236293753</v>
      </c>
      <c r="AL1844">
        <v>79.902830363181096</v>
      </c>
      <c r="AM1844">
        <v>62.092095154777802</v>
      </c>
      <c r="AN1844">
        <v>1.0000000441977399</v>
      </c>
    </row>
    <row r="1845" spans="1:40" x14ac:dyDescent="0.25">
      <c r="A1845" t="str">
        <f>"20190312164024975"</f>
        <v>20190312164024975</v>
      </c>
      <c r="B1845" t="str">
        <f>"1552380024968134"</f>
        <v>1552380024968134</v>
      </c>
      <c r="C1845" t="s">
        <v>40</v>
      </c>
      <c r="D1845">
        <v>5.6692640000000001</v>
      </c>
      <c r="E1845">
        <v>0.56554130000000002</v>
      </c>
      <c r="F1845" t="s">
        <v>46</v>
      </c>
      <c r="G1845">
        <v>-199.6225</v>
      </c>
      <c r="H1845" s="1">
        <v>1.505927E-6</v>
      </c>
      <c r="I1845">
        <v>291.23430000000002</v>
      </c>
      <c r="J1845">
        <v>-192.0823</v>
      </c>
      <c r="K1845">
        <v>1.1087309999999999</v>
      </c>
      <c r="L1845">
        <v>299.3297</v>
      </c>
      <c r="M1845">
        <v>-0.13239300000000001</v>
      </c>
      <c r="N1845">
        <v>0</v>
      </c>
      <c r="O1845">
        <v>-0.99110419999999999</v>
      </c>
      <c r="P1845">
        <v>-0.57456470000000004</v>
      </c>
      <c r="Q1845">
        <v>0.1642875</v>
      </c>
      <c r="R1845">
        <v>-0.80180099999999999</v>
      </c>
      <c r="S1845">
        <v>-2.1012420000000001</v>
      </c>
      <c r="T1845">
        <v>-0.30772959999999999</v>
      </c>
      <c r="U1845">
        <v>-2.3035580000000002</v>
      </c>
      <c r="V1845">
        <v>0.4641537</v>
      </c>
      <c r="W1845">
        <v>0.1739607</v>
      </c>
      <c r="X1845">
        <v>0.8685039</v>
      </c>
      <c r="Y1845">
        <v>0.56670959999999904</v>
      </c>
      <c r="Z1845">
        <v>0.101414</v>
      </c>
      <c r="AA1845">
        <v>0.8176523</v>
      </c>
      <c r="AB1845">
        <v>20</v>
      </c>
      <c r="AC1845">
        <v>-7.5401999999999898</v>
      </c>
      <c r="AD1845">
        <v>-1.1087294940729999</v>
      </c>
      <c r="AE1845">
        <v>-8.0953999999999802</v>
      </c>
      <c r="AF1845">
        <v>6.3382789870346103</v>
      </c>
      <c r="AG1845">
        <v>-1.1087294940729999</v>
      </c>
      <c r="AH1845">
        <v>8.9327669369043203</v>
      </c>
      <c r="AI1845">
        <v>95.780142047922993</v>
      </c>
      <c r="AJ1845">
        <v>54.642247742519999</v>
      </c>
      <c r="AK1845">
        <v>11.0089684692782</v>
      </c>
      <c r="AL1845">
        <v>79.9818170819279</v>
      </c>
      <c r="AM1845">
        <v>61.878658915679601</v>
      </c>
      <c r="AN1845">
        <v>1.00000000334169</v>
      </c>
    </row>
    <row r="1846" spans="1:40" x14ac:dyDescent="0.25">
      <c r="A1846" t="str">
        <f>"20190312164025001"</f>
        <v>20190312164025001</v>
      </c>
      <c r="B1846" t="str">
        <f>"1552380024998390"</f>
        <v>1552380024998390</v>
      </c>
      <c r="C1846" t="s">
        <v>40</v>
      </c>
      <c r="D1846">
        <v>5.2374900000000002</v>
      </c>
      <c r="E1846">
        <v>0.56405369999999899</v>
      </c>
      <c r="F1846" t="s">
        <v>46</v>
      </c>
      <c r="G1846">
        <v>-199.6591</v>
      </c>
      <c r="H1846" s="1">
        <v>1.5290750000000001E-6</v>
      </c>
      <c r="I1846">
        <v>291.08449999999999</v>
      </c>
      <c r="J1846">
        <v>-192.11580000000001</v>
      </c>
      <c r="K1846">
        <v>1.108676</v>
      </c>
      <c r="L1846">
        <v>299.11320000000001</v>
      </c>
      <c r="M1846">
        <v>-0.13617199999999999</v>
      </c>
      <c r="N1846">
        <v>0</v>
      </c>
      <c r="O1846">
        <v>-0.99059219999999903</v>
      </c>
      <c r="P1846">
        <v>-0.58081430000000001</v>
      </c>
      <c r="Q1846">
        <v>0.16276379999999999</v>
      </c>
      <c r="R1846">
        <v>-0.79759820000000003</v>
      </c>
      <c r="S1846">
        <v>-2.1081089999999998</v>
      </c>
      <c r="T1846">
        <v>-0.30848530000000002</v>
      </c>
      <c r="U1846">
        <v>-2.294098</v>
      </c>
      <c r="V1846">
        <v>0.46760309999999999</v>
      </c>
      <c r="W1846">
        <v>0.1723546</v>
      </c>
      <c r="X1846">
        <v>0.86697250000000003</v>
      </c>
      <c r="Y1846">
        <v>0.56655419999999901</v>
      </c>
      <c r="Z1846">
        <v>0.101801</v>
      </c>
      <c r="AA1846">
        <v>0.81771199999999999</v>
      </c>
      <c r="AB1846">
        <v>20</v>
      </c>
      <c r="AC1846">
        <v>-7.5432999999999799</v>
      </c>
      <c r="AD1846">
        <v>-1.108674470925</v>
      </c>
      <c r="AE1846">
        <v>-8.0287000000000095</v>
      </c>
      <c r="AF1846">
        <v>6.3156721602332997</v>
      </c>
      <c r="AG1846">
        <v>-1.108674470925</v>
      </c>
      <c r="AH1846">
        <v>8.8911312355054495</v>
      </c>
      <c r="AI1846">
        <v>95.804615508948004</v>
      </c>
      <c r="AJ1846">
        <v>54.612529882728097</v>
      </c>
      <c r="AK1846">
        <v>10.9621662350562</v>
      </c>
      <c r="AL1846">
        <v>80.075251632203006</v>
      </c>
      <c r="AM1846">
        <v>61.659719868418399</v>
      </c>
      <c r="AN1846">
        <v>1.0000000415135</v>
      </c>
    </row>
    <row r="1847" spans="1:40" x14ac:dyDescent="0.25">
      <c r="A1847" t="str">
        <f>"20190312164025020"</f>
        <v>20190312164025020</v>
      </c>
      <c r="B1847" t="str">
        <f>"1552380025017910"</f>
        <v>1552380025017910</v>
      </c>
      <c r="C1847" t="s">
        <v>40</v>
      </c>
      <c r="D1847">
        <v>5.4207159999999996</v>
      </c>
      <c r="E1847">
        <v>0.56405369999999899</v>
      </c>
      <c r="F1847" t="s">
        <v>46</v>
      </c>
      <c r="G1847">
        <v>-199.93860000000001</v>
      </c>
      <c r="H1847" s="1">
        <v>1.5760429999999999E-6</v>
      </c>
      <c r="I1847">
        <v>290.67700000000002</v>
      </c>
      <c r="J1847">
        <v>-192.1438</v>
      </c>
      <c r="K1847">
        <v>1.1086259999999999</v>
      </c>
      <c r="L1847">
        <v>298.93680000000001</v>
      </c>
      <c r="M1847">
        <v>-0.13932720000000001</v>
      </c>
      <c r="N1847">
        <v>0</v>
      </c>
      <c r="O1847">
        <v>-0.99015310000000001</v>
      </c>
      <c r="P1847">
        <v>-0.58651450000000005</v>
      </c>
      <c r="Q1847">
        <v>0.16089629999999999</v>
      </c>
      <c r="R1847">
        <v>-0.79379679999999997</v>
      </c>
      <c r="S1847">
        <v>-2.1158600000000001</v>
      </c>
      <c r="T1847">
        <v>-0.29986429999999997</v>
      </c>
      <c r="U1847">
        <v>-2.2817379999999998</v>
      </c>
      <c r="V1847">
        <v>0.47101290000000001</v>
      </c>
      <c r="W1847">
        <v>0.1704078</v>
      </c>
      <c r="X1847">
        <v>0.86551029999999995</v>
      </c>
      <c r="Y1847">
        <v>0.56781349999999997</v>
      </c>
      <c r="Z1847">
        <v>9.9165799999999998E-2</v>
      </c>
      <c r="AA1847">
        <v>0.81716219999999995</v>
      </c>
      <c r="AB1847">
        <v>20</v>
      </c>
      <c r="AC1847">
        <v>-7.7948000000000004</v>
      </c>
      <c r="AD1847">
        <v>-1.108624423957</v>
      </c>
      <c r="AE1847">
        <v>-8.2597999999999807</v>
      </c>
      <c r="AF1847">
        <v>6.5058448351114002</v>
      </c>
      <c r="AG1847">
        <v>-1.108624423957</v>
      </c>
      <c r="AH1847">
        <v>9.1778964134368</v>
      </c>
      <c r="AI1847">
        <v>95.628066568839301</v>
      </c>
      <c r="AJ1847">
        <v>54.668692706302501</v>
      </c>
      <c r="AK1847">
        <v>11.304372946241401</v>
      </c>
      <c r="AL1847">
        <v>80.188469997122098</v>
      </c>
      <c r="AM1847">
        <v>61.444855540888597</v>
      </c>
      <c r="AN1847">
        <v>1.0000000248366601</v>
      </c>
    </row>
    <row r="1848" spans="1:40" x14ac:dyDescent="0.25">
      <c r="A1848" t="str">
        <f>"20190312164025045"</f>
        <v>20190312164025045</v>
      </c>
      <c r="B1848" t="str">
        <f>"1552380025038406"</f>
        <v>1552380025038406</v>
      </c>
      <c r="C1848" t="s">
        <v>40</v>
      </c>
      <c r="D1848">
        <v>5.5668680000000004</v>
      </c>
      <c r="E1848">
        <v>0.56350029999999995</v>
      </c>
      <c r="F1848" t="s">
        <v>46</v>
      </c>
      <c r="G1848">
        <v>-199.8999</v>
      </c>
      <c r="H1848" s="1">
        <v>1.577946E-6</v>
      </c>
      <c r="I1848">
        <v>290.6857</v>
      </c>
      <c r="J1848">
        <v>-192.1788</v>
      </c>
      <c r="K1848">
        <v>1.108563</v>
      </c>
      <c r="L1848">
        <v>298.72160000000002</v>
      </c>
      <c r="M1848">
        <v>-0.1432551</v>
      </c>
      <c r="N1848">
        <v>0</v>
      </c>
      <c r="O1848">
        <v>-0.98959249999999999</v>
      </c>
      <c r="P1848">
        <v>-0.59225689999999998</v>
      </c>
      <c r="Q1848">
        <v>0.15884210000000001</v>
      </c>
      <c r="R1848">
        <v>-0.78993740000000001</v>
      </c>
      <c r="S1848">
        <v>-2.1307369999999999</v>
      </c>
      <c r="T1848">
        <v>-0.30455529999999997</v>
      </c>
      <c r="U1848">
        <v>-2.2666930000000001</v>
      </c>
      <c r="V1848">
        <v>0.47381119999999999</v>
      </c>
      <c r="W1848">
        <v>0.16827329999999999</v>
      </c>
      <c r="X1848">
        <v>0.8643999</v>
      </c>
      <c r="Y1848">
        <v>0.569994</v>
      </c>
      <c r="Z1848">
        <v>0.100816</v>
      </c>
      <c r="AA1848">
        <v>0.81544039999999995</v>
      </c>
      <c r="AB1848">
        <v>20</v>
      </c>
      <c r="AC1848">
        <v>-7.7210999999999999</v>
      </c>
      <c r="AD1848">
        <v>-1.1085614220540001</v>
      </c>
      <c r="AE1848">
        <v>-8.0359000000000194</v>
      </c>
      <c r="AF1848">
        <v>6.42656544006313</v>
      </c>
      <c r="AG1848">
        <v>-1.1085614220540001</v>
      </c>
      <c r="AH1848">
        <v>8.9704247189460808</v>
      </c>
      <c r="AI1848">
        <v>95.736657512689206</v>
      </c>
      <c r="AJ1848">
        <v>54.381541787055703</v>
      </c>
      <c r="AK1848">
        <v>11.090454067357101</v>
      </c>
      <c r="AL1848">
        <v>80.312560480027699</v>
      </c>
      <c r="AM1848">
        <v>61.271139198181999</v>
      </c>
      <c r="AN1848">
        <v>1.00000007192916</v>
      </c>
    </row>
    <row r="1849" spans="1:40" x14ac:dyDescent="0.25">
      <c r="A1849" t="str">
        <f>"20190312164025067"</f>
        <v>20190312164025067</v>
      </c>
      <c r="B1849" t="str">
        <f>"1552380025057925"</f>
        <v>1552380025057925</v>
      </c>
      <c r="C1849" t="s">
        <v>40</v>
      </c>
      <c r="D1849">
        <v>5.4010009999999999</v>
      </c>
      <c r="E1849">
        <v>0.56362159999999994</v>
      </c>
      <c r="F1849" t="s">
        <v>46</v>
      </c>
      <c r="G1849">
        <v>-199.82900000000001</v>
      </c>
      <c r="H1849" s="1">
        <v>1.586086E-6</v>
      </c>
      <c r="I1849">
        <v>290.67520000000002</v>
      </c>
      <c r="J1849">
        <v>-192.21080000000001</v>
      </c>
      <c r="K1849">
        <v>1.1085130000000001</v>
      </c>
      <c r="L1849">
        <v>298.52980000000002</v>
      </c>
      <c r="M1849">
        <v>-0.1468295</v>
      </c>
      <c r="N1849">
        <v>0</v>
      </c>
      <c r="O1849">
        <v>-0.98906850000000002</v>
      </c>
      <c r="P1849">
        <v>-0.59779689999999996</v>
      </c>
      <c r="Q1849">
        <v>0.1573927</v>
      </c>
      <c r="R1849">
        <v>-0.78604510000000005</v>
      </c>
      <c r="S1849">
        <v>-2.1427459999999998</v>
      </c>
      <c r="T1849">
        <v>-0.31049719999999997</v>
      </c>
      <c r="U1849">
        <v>-2.2537229999999999</v>
      </c>
      <c r="V1849">
        <v>0.47673840000000001</v>
      </c>
      <c r="W1849">
        <v>0.16674410000000001</v>
      </c>
      <c r="X1849">
        <v>0.86308569999999996</v>
      </c>
      <c r="Y1849">
        <v>0.57151219999999903</v>
      </c>
      <c r="Z1849">
        <v>0.1028777</v>
      </c>
      <c r="AA1849">
        <v>0.81411919999999904</v>
      </c>
      <c r="AB1849">
        <v>20</v>
      </c>
      <c r="AC1849">
        <v>-7.6181999999999999</v>
      </c>
      <c r="AD1849">
        <v>-1.10851141391399</v>
      </c>
      <c r="AE1849">
        <v>-7.8545999999999996</v>
      </c>
      <c r="AF1849">
        <v>6.3173888765314699</v>
      </c>
      <c r="AG1849">
        <v>-1.10851141391399</v>
      </c>
      <c r="AH1849">
        <v>8.7978427525712206</v>
      </c>
      <c r="AI1849">
        <v>95.843635200112701</v>
      </c>
      <c r="AJ1849">
        <v>54.319342094169798</v>
      </c>
      <c r="AK1849">
        <v>10.887618512377699</v>
      </c>
      <c r="AL1849">
        <v>80.401432315222095</v>
      </c>
      <c r="AM1849">
        <v>61.085272558224197</v>
      </c>
      <c r="AN1849">
        <v>1.0000000112319301</v>
      </c>
    </row>
    <row r="1850" spans="1:40" x14ac:dyDescent="0.25">
      <c r="A1850" t="str">
        <f>"20190312164025088"</f>
        <v>20190312164025088</v>
      </c>
      <c r="B1850" t="str">
        <f>"1552380025077445"</f>
        <v>1552380025077445</v>
      </c>
      <c r="C1850" t="s">
        <v>40</v>
      </c>
      <c r="D1850">
        <v>5.3357140000000003</v>
      </c>
      <c r="E1850">
        <v>0.56299080000000001</v>
      </c>
      <c r="F1850" t="s">
        <v>46</v>
      </c>
      <c r="G1850">
        <v>-199.73249999999999</v>
      </c>
      <c r="H1850" s="1">
        <v>1.5838880000000001E-6</v>
      </c>
      <c r="I1850">
        <v>290.7362</v>
      </c>
      <c r="J1850">
        <v>-192.24270000000001</v>
      </c>
      <c r="K1850">
        <v>1.108466</v>
      </c>
      <c r="L1850">
        <v>298.34379999999999</v>
      </c>
      <c r="M1850">
        <v>-0.1503787</v>
      </c>
      <c r="N1850">
        <v>0</v>
      </c>
      <c r="O1850">
        <v>-0.98853480000000005</v>
      </c>
      <c r="P1850">
        <v>-0.60299250000000004</v>
      </c>
      <c r="Q1850">
        <v>0.15703239999999999</v>
      </c>
      <c r="R1850">
        <v>-0.78213849999999996</v>
      </c>
      <c r="S1850">
        <v>-2.159729</v>
      </c>
      <c r="T1850">
        <v>-0.31828879999999998</v>
      </c>
      <c r="U1850">
        <v>-2.237762</v>
      </c>
      <c r="V1850">
        <v>0.4793693</v>
      </c>
      <c r="W1850">
        <v>0.16630300000000001</v>
      </c>
      <c r="X1850">
        <v>0.86171249999999999</v>
      </c>
      <c r="Y1850">
        <v>0.57448169999999898</v>
      </c>
      <c r="Z1850">
        <v>0.10551720000000001</v>
      </c>
      <c r="AA1850">
        <v>0.81168759999999995</v>
      </c>
      <c r="AB1850">
        <v>20</v>
      </c>
      <c r="AC1850">
        <v>-7.4897999999999696</v>
      </c>
      <c r="AD1850">
        <v>-1.1084644161120001</v>
      </c>
      <c r="AE1850">
        <v>-7.6075999999999899</v>
      </c>
      <c r="AF1850">
        <v>6.1937147492692697</v>
      </c>
      <c r="AG1850">
        <v>-1.1084644161120001</v>
      </c>
      <c r="AH1850">
        <v>8.5552537786356293</v>
      </c>
      <c r="AI1850">
        <v>95.991202211579804</v>
      </c>
      <c r="AJ1850">
        <v>54.096731401024002</v>
      </c>
      <c r="AK1850">
        <v>10.619941759443</v>
      </c>
      <c r="AL1850">
        <v>80.427063472415298</v>
      </c>
      <c r="AM1850">
        <v>60.912881717675802</v>
      </c>
      <c r="AN1850">
        <v>1.0000000231238599</v>
      </c>
    </row>
    <row r="1851" spans="1:40" x14ac:dyDescent="0.25">
      <c r="A1851" t="str">
        <f>"20190312164025110"</f>
        <v>20190312164025110</v>
      </c>
      <c r="B1851" t="str">
        <f>"1552380025107702"</f>
        <v>1552380025107702</v>
      </c>
      <c r="C1851" t="s">
        <v>40</v>
      </c>
      <c r="D1851">
        <v>5.3967519999999896</v>
      </c>
      <c r="E1851">
        <v>0.56248480000000001</v>
      </c>
      <c r="F1851" t="s">
        <v>46</v>
      </c>
      <c r="G1851">
        <v>-199.89359999999999</v>
      </c>
      <c r="H1851" s="1">
        <v>1.6104310000000001E-6</v>
      </c>
      <c r="I1851">
        <v>290.50439999999998</v>
      </c>
      <c r="J1851">
        <v>-192.27719999999999</v>
      </c>
      <c r="K1851">
        <v>1.108411</v>
      </c>
      <c r="L1851">
        <v>298.14699999999999</v>
      </c>
      <c r="M1851">
        <v>-0.15424170000000001</v>
      </c>
      <c r="N1851">
        <v>0</v>
      </c>
      <c r="O1851">
        <v>-0.98793949999999997</v>
      </c>
      <c r="P1851">
        <v>-0.60964629999999997</v>
      </c>
      <c r="Q1851">
        <v>0.1565365</v>
      </c>
      <c r="R1851">
        <v>-0.77706350000000002</v>
      </c>
      <c r="S1851">
        <v>-2.1713260000000001</v>
      </c>
      <c r="T1851">
        <v>-0.31458140000000001</v>
      </c>
      <c r="U1851">
        <v>-2.2247919999999999</v>
      </c>
      <c r="V1851">
        <v>0.48336519999999999</v>
      </c>
      <c r="W1851">
        <v>0.1656955</v>
      </c>
      <c r="X1851">
        <v>0.85959470000000004</v>
      </c>
      <c r="Y1851">
        <v>0.57590269999999899</v>
      </c>
      <c r="Z1851">
        <v>0.1044197</v>
      </c>
      <c r="AA1851">
        <v>0.81082219999999905</v>
      </c>
      <c r="AB1851">
        <v>20</v>
      </c>
      <c r="AC1851">
        <v>-7.6163999999999898</v>
      </c>
      <c r="AD1851">
        <v>-1.1084093895689999</v>
      </c>
      <c r="AE1851">
        <v>-7.6426000000000096</v>
      </c>
      <c r="AF1851">
        <v>6.2800484798463003</v>
      </c>
      <c r="AG1851">
        <v>-1.1084093895689999</v>
      </c>
      <c r="AH1851">
        <v>8.6348762201291898</v>
      </c>
      <c r="AI1851">
        <v>95.926759939774499</v>
      </c>
      <c r="AJ1851">
        <v>53.972025535914</v>
      </c>
      <c r="AK1851">
        <v>10.7344616828724</v>
      </c>
      <c r="AL1851">
        <v>80.462359973685807</v>
      </c>
      <c r="AM1851">
        <v>60.650187376992001</v>
      </c>
      <c r="AN1851">
        <v>0.99999998177968896</v>
      </c>
    </row>
    <row r="1852" spans="1:40" x14ac:dyDescent="0.25">
      <c r="A1852" t="str">
        <f>"20190312164025134"</f>
        <v>20190312164025134</v>
      </c>
      <c r="B1852" t="str">
        <f>"1552380025128198"</f>
        <v>1552380025128198</v>
      </c>
      <c r="C1852" t="s">
        <v>40</v>
      </c>
      <c r="D1852">
        <v>5.4446009999999996</v>
      </c>
      <c r="E1852">
        <v>0.5622047</v>
      </c>
      <c r="F1852" t="s">
        <v>46</v>
      </c>
      <c r="G1852">
        <v>-200.01900000000001</v>
      </c>
      <c r="H1852" s="1">
        <v>1.665762E-6</v>
      </c>
      <c r="I1852">
        <v>290.32749999999999</v>
      </c>
      <c r="J1852">
        <v>-192.31270000000001</v>
      </c>
      <c r="K1852">
        <v>1.1083499999999999</v>
      </c>
      <c r="L1852">
        <v>297.9504</v>
      </c>
      <c r="M1852">
        <v>-0.1582247</v>
      </c>
      <c r="N1852">
        <v>0</v>
      </c>
      <c r="O1852">
        <v>-0.9873094</v>
      </c>
      <c r="P1852">
        <v>-0.61582289999999995</v>
      </c>
      <c r="Q1852">
        <v>0.1561091</v>
      </c>
      <c r="R1852">
        <v>-0.77226450000000002</v>
      </c>
      <c r="S1852">
        <v>-2.1864469999999998</v>
      </c>
      <c r="T1852">
        <v>-0.31303750000000002</v>
      </c>
      <c r="U1852">
        <v>-2.208405</v>
      </c>
      <c r="V1852">
        <v>0.48676809999999998</v>
      </c>
      <c r="W1852">
        <v>0.16514999999999999</v>
      </c>
      <c r="X1852">
        <v>0.85777749999999997</v>
      </c>
      <c r="Y1852">
        <v>0.57845179999999996</v>
      </c>
      <c r="Z1852">
        <v>0.1040398</v>
      </c>
      <c r="AA1852">
        <v>0.80905459999999996</v>
      </c>
      <c r="AB1852">
        <v>20</v>
      </c>
      <c r="AC1852">
        <v>-7.7062999999999899</v>
      </c>
      <c r="AD1852">
        <v>-1.1083483342380001</v>
      </c>
      <c r="AE1852">
        <v>-7.6229000000000102</v>
      </c>
      <c r="AF1852">
        <v>6.3367126152192599</v>
      </c>
      <c r="AG1852">
        <v>-1.1083483342380001</v>
      </c>
      <c r="AH1852">
        <v>8.6557995337912192</v>
      </c>
      <c r="AI1852">
        <v>95.898842219289904</v>
      </c>
      <c r="AJ1852">
        <v>53.792996100110997</v>
      </c>
      <c r="AK1852">
        <v>10.784490176501899</v>
      </c>
      <c r="AL1852">
        <v>80.494051355565801</v>
      </c>
      <c r="AM1852">
        <v>60.426131887708799</v>
      </c>
      <c r="AN1852">
        <v>0.99999997259192897</v>
      </c>
    </row>
    <row r="1853" spans="1:40" x14ac:dyDescent="0.25">
      <c r="A1853" t="str">
        <f>"20190312164025156"</f>
        <v>20190312164025156</v>
      </c>
      <c r="B1853" t="str">
        <f>"1552380025147717"</f>
        <v>1552380025147717</v>
      </c>
      <c r="C1853" t="s">
        <v>40</v>
      </c>
      <c r="D1853">
        <v>5.419524</v>
      </c>
      <c r="E1853">
        <v>0.56186800000000003</v>
      </c>
      <c r="F1853" t="s">
        <v>46</v>
      </c>
      <c r="G1853">
        <v>-200.05789999999999</v>
      </c>
      <c r="H1853" s="1">
        <v>1.700574E-6</v>
      </c>
      <c r="I1853">
        <v>290.23739999999998</v>
      </c>
      <c r="J1853">
        <v>-192.34970000000001</v>
      </c>
      <c r="K1853">
        <v>1.108274</v>
      </c>
      <c r="L1853">
        <v>297.75040000000001</v>
      </c>
      <c r="M1853">
        <v>-0.16241729999999999</v>
      </c>
      <c r="N1853">
        <v>0</v>
      </c>
      <c r="O1853">
        <v>-0.98662819999999996</v>
      </c>
      <c r="P1853">
        <v>-0.62147019999999997</v>
      </c>
      <c r="Q1853">
        <v>0.1565867</v>
      </c>
      <c r="R1853">
        <v>-0.76763000000000003</v>
      </c>
      <c r="S1853">
        <v>-2.2017820000000001</v>
      </c>
      <c r="T1853">
        <v>-0.31507550000000001</v>
      </c>
      <c r="U1853">
        <v>-2.1926269999999999</v>
      </c>
      <c r="V1853">
        <v>0.48947020000000002</v>
      </c>
      <c r="W1853">
        <v>0.16550219999999999</v>
      </c>
      <c r="X1853">
        <v>0.85617049999999995</v>
      </c>
      <c r="Y1853">
        <v>0.58066619999999902</v>
      </c>
      <c r="Z1853">
        <v>0.1048139</v>
      </c>
      <c r="AA1853">
        <v>0.80736660000000005</v>
      </c>
      <c r="AB1853">
        <v>20</v>
      </c>
      <c r="AC1853">
        <v>-7.7081999999999704</v>
      </c>
      <c r="AD1853">
        <v>-1.1082722994259999</v>
      </c>
      <c r="AE1853">
        <v>-7.5130000000000301</v>
      </c>
      <c r="AF1853">
        <v>6.3184948966280396</v>
      </c>
      <c r="AG1853">
        <v>-1.1082722994259999</v>
      </c>
      <c r="AH1853">
        <v>8.5743875457948899</v>
      </c>
      <c r="AI1853">
        <v>95.940448306221697</v>
      </c>
      <c r="AJ1853">
        <v>53.613374016998897</v>
      </c>
      <c r="AK1853">
        <v>10.7084904180688</v>
      </c>
      <c r="AL1853">
        <v>80.473590381905197</v>
      </c>
      <c r="AM1853">
        <v>60.243521298378802</v>
      </c>
      <c r="AN1853">
        <v>0.99999998998156403</v>
      </c>
    </row>
    <row r="1854" spans="1:40" x14ac:dyDescent="0.25">
      <c r="A1854" t="str">
        <f>"20190312164025179"</f>
        <v>20190312164025179</v>
      </c>
      <c r="B1854" t="str">
        <f>"1552380025168215"</f>
        <v>1552380025168215</v>
      </c>
      <c r="C1854" t="s">
        <v>40</v>
      </c>
      <c r="D1854">
        <v>5.4978579999999999</v>
      </c>
      <c r="E1854">
        <v>0.56125369999999997</v>
      </c>
      <c r="F1854" t="s">
        <v>46</v>
      </c>
      <c r="G1854">
        <v>-200.3391</v>
      </c>
      <c r="H1854" s="1">
        <v>1.8914260000000001E-6</v>
      </c>
      <c r="I1854">
        <v>289.90989999999999</v>
      </c>
      <c r="J1854">
        <v>-192.3878</v>
      </c>
      <c r="K1854">
        <v>1.1081909999999999</v>
      </c>
      <c r="L1854">
        <v>297.55070000000001</v>
      </c>
      <c r="M1854">
        <v>-0.16676629999999901</v>
      </c>
      <c r="N1854">
        <v>0</v>
      </c>
      <c r="O1854">
        <v>-0.98590250000000001</v>
      </c>
      <c r="P1854">
        <v>-0.62801240000000003</v>
      </c>
      <c r="Q1854">
        <v>0.1569644</v>
      </c>
      <c r="R1854">
        <v>-0.76220909999999997</v>
      </c>
      <c r="S1854">
        <v>-2.2171479999999999</v>
      </c>
      <c r="T1854">
        <v>-0.30755850000000001</v>
      </c>
      <c r="U1854">
        <v>-2.1758419999999998</v>
      </c>
      <c r="V1854">
        <v>0.49307329999999999</v>
      </c>
      <c r="W1854">
        <v>0.16572879999999901</v>
      </c>
      <c r="X1854">
        <v>0.85405659999999906</v>
      </c>
      <c r="Y1854">
        <v>0.5831693</v>
      </c>
      <c r="Z1854">
        <v>0.1024597</v>
      </c>
      <c r="AA1854">
        <v>0.80586329999999995</v>
      </c>
      <c r="AB1854">
        <v>20</v>
      </c>
      <c r="AC1854">
        <v>-7.9512999999999998</v>
      </c>
      <c r="AD1854">
        <v>-1.1081891085740001</v>
      </c>
      <c r="AE1854">
        <v>-7.6408000000000103</v>
      </c>
      <c r="AF1854">
        <v>6.4999441786844701</v>
      </c>
      <c r="AG1854">
        <v>-1.1081891085740001</v>
      </c>
      <c r="AH1854">
        <v>8.7713321740866004</v>
      </c>
      <c r="AI1854">
        <v>95.796150969021994</v>
      </c>
      <c r="AJ1854">
        <v>53.459922208955703</v>
      </c>
      <c r="AK1854">
        <v>10.973314245684501</v>
      </c>
      <c r="AL1854">
        <v>80.460425404235593</v>
      </c>
      <c r="AM1854">
        <v>60.000830602154899</v>
      </c>
      <c r="AN1854">
        <v>0.99999999516294402</v>
      </c>
    </row>
    <row r="1855" spans="1:40" x14ac:dyDescent="0.25">
      <c r="A1855" t="str">
        <f>"20190312164025200"</f>
        <v>20190312164025200</v>
      </c>
      <c r="B1855" t="str">
        <f>"1552380025197494"</f>
        <v>1552380025197494</v>
      </c>
      <c r="C1855" t="s">
        <v>40</v>
      </c>
      <c r="D1855">
        <v>5.4973320000000001</v>
      </c>
      <c r="E1855">
        <v>0.56045579999999995</v>
      </c>
      <c r="F1855" t="s">
        <v>46</v>
      </c>
      <c r="G1855">
        <v>-200.62540000000001</v>
      </c>
      <c r="H1855" s="1">
        <v>2.060116E-6</v>
      </c>
      <c r="I1855">
        <v>289.5831</v>
      </c>
      <c r="J1855">
        <v>-192.4248</v>
      </c>
      <c r="K1855">
        <v>1.108107</v>
      </c>
      <c r="L1855">
        <v>297.36239999999998</v>
      </c>
      <c r="M1855">
        <v>-0.171034299999999</v>
      </c>
      <c r="N1855">
        <v>0</v>
      </c>
      <c r="O1855">
        <v>-0.98517080000000001</v>
      </c>
      <c r="P1855">
        <v>-0.63442089999999995</v>
      </c>
      <c r="Q1855">
        <v>0.1580211</v>
      </c>
      <c r="R1855">
        <v>-0.75666350000000004</v>
      </c>
      <c r="S1855">
        <v>-2.2319789999999999</v>
      </c>
      <c r="T1855">
        <v>-0.30026409999999998</v>
      </c>
      <c r="U1855">
        <v>-2.1588129999999999</v>
      </c>
      <c r="V1855">
        <v>0.49666589999999999</v>
      </c>
      <c r="W1855">
        <v>0.16663069999999999</v>
      </c>
      <c r="X1855">
        <v>0.85179640000000001</v>
      </c>
      <c r="Y1855">
        <v>0.58567659999999999</v>
      </c>
      <c r="Z1855">
        <v>0.1001823</v>
      </c>
      <c r="AA1855">
        <v>0.80432979999999998</v>
      </c>
      <c r="AB1855">
        <v>20</v>
      </c>
      <c r="AC1855">
        <v>-8.2005999999999997</v>
      </c>
      <c r="AD1855">
        <v>-1.1081049398839999</v>
      </c>
      <c r="AE1855">
        <v>-7.7792999999999699</v>
      </c>
      <c r="AF1855">
        <v>6.6848473066849197</v>
      </c>
      <c r="AG1855">
        <v>-1.1081049398839999</v>
      </c>
      <c r="AH1855">
        <v>8.98105370993623</v>
      </c>
      <c r="AI1855">
        <v>95.652430961581899</v>
      </c>
      <c r="AJ1855">
        <v>53.338667515951499</v>
      </c>
      <c r="AK1855">
        <v>11.2505291347672</v>
      </c>
      <c r="AL1855">
        <v>80.4080213177145</v>
      </c>
      <c r="AM1855">
        <v>59.754370978918502</v>
      </c>
      <c r="AN1855">
        <v>0.999999956729129</v>
      </c>
    </row>
    <row r="1856" spans="1:40" x14ac:dyDescent="0.25">
      <c r="A1856" t="str">
        <f>"20190312164025221"</f>
        <v>20190312164025221</v>
      </c>
      <c r="B1856" t="str">
        <f>"1552380025217990"</f>
        <v>1552380025217990</v>
      </c>
      <c r="C1856" t="s">
        <v>40</v>
      </c>
      <c r="D1856">
        <v>5.574649</v>
      </c>
      <c r="E1856">
        <v>0.5604133</v>
      </c>
      <c r="F1856" t="s">
        <v>46</v>
      </c>
      <c r="G1856">
        <v>-201.03110000000001</v>
      </c>
      <c r="H1856" s="1">
        <v>2.2779249999999999E-6</v>
      </c>
      <c r="I1856">
        <v>289.14960000000002</v>
      </c>
      <c r="J1856">
        <v>-192.46190000000001</v>
      </c>
      <c r="K1856">
        <v>1.108028</v>
      </c>
      <c r="L1856">
        <v>297.17809999999997</v>
      </c>
      <c r="M1856">
        <v>-0.175345</v>
      </c>
      <c r="N1856">
        <v>0</v>
      </c>
      <c r="O1856">
        <v>-0.98441279999999998</v>
      </c>
      <c r="P1856">
        <v>-0.64072549999999995</v>
      </c>
      <c r="Q1856">
        <v>0.15727389999999999</v>
      </c>
      <c r="R1856">
        <v>-0.75148950000000003</v>
      </c>
      <c r="S1856">
        <v>-2.2452549999999998</v>
      </c>
      <c r="T1856">
        <v>-0.28908800000000001</v>
      </c>
      <c r="U1856">
        <v>-2.1426090000000002</v>
      </c>
      <c r="V1856">
        <v>0.50006470000000003</v>
      </c>
      <c r="W1856">
        <v>0.16574720000000001</v>
      </c>
      <c r="X1856">
        <v>0.84997829999999996</v>
      </c>
      <c r="Y1856">
        <v>0.58780279999999996</v>
      </c>
      <c r="Z1856">
        <v>9.6618819999999994E-2</v>
      </c>
      <c r="AA1856">
        <v>0.80321399999999998</v>
      </c>
      <c r="AB1856">
        <v>20</v>
      </c>
      <c r="AC1856">
        <v>-8.5691999999999897</v>
      </c>
      <c r="AD1856">
        <v>-1.1080257220750001</v>
      </c>
      <c r="AE1856">
        <v>-8.0284999999999496</v>
      </c>
      <c r="AF1856">
        <v>6.9664970219369398</v>
      </c>
      <c r="AG1856">
        <v>-1.1080257220750001</v>
      </c>
      <c r="AH1856">
        <v>9.3237807289290195</v>
      </c>
      <c r="AI1856">
        <v>95.438161414683506</v>
      </c>
      <c r="AJ1856">
        <v>53.233829112042201</v>
      </c>
      <c r="AK1856">
        <v>11.6915648584175</v>
      </c>
      <c r="AL1856">
        <v>80.459356177900105</v>
      </c>
      <c r="AM1856">
        <v>59.530575814056697</v>
      </c>
      <c r="AN1856">
        <v>0.99999997448240896</v>
      </c>
    </row>
    <row r="1857" spans="1:40" x14ac:dyDescent="0.25">
      <c r="A1857" t="str">
        <f>"20190312164025246"</f>
        <v>20190312164025246</v>
      </c>
      <c r="B1857" t="str">
        <f>"1552380025237509"</f>
        <v>1552380025237509</v>
      </c>
      <c r="C1857" t="s">
        <v>40</v>
      </c>
      <c r="D1857">
        <v>5.7792159999999999</v>
      </c>
      <c r="E1857">
        <v>0.56022159999999999</v>
      </c>
      <c r="F1857" t="s">
        <v>46</v>
      </c>
      <c r="G1857">
        <v>-201.08199999999999</v>
      </c>
      <c r="H1857" s="1">
        <v>2.306189E-6</v>
      </c>
      <c r="I1857">
        <v>289.08429999999998</v>
      </c>
      <c r="J1857">
        <v>-192.505</v>
      </c>
      <c r="K1857">
        <v>1.107945</v>
      </c>
      <c r="L1857">
        <v>296.9708</v>
      </c>
      <c r="M1857">
        <v>-0.1803641</v>
      </c>
      <c r="N1857">
        <v>0</v>
      </c>
      <c r="O1857">
        <v>-0.98350539999999997</v>
      </c>
      <c r="P1857">
        <v>-0.64719009999999999</v>
      </c>
      <c r="Q1857">
        <v>0.15650029999999901</v>
      </c>
      <c r="R1857">
        <v>-0.74609169999999903</v>
      </c>
      <c r="S1857">
        <v>-2.262222</v>
      </c>
      <c r="T1857">
        <v>-0.2907884</v>
      </c>
      <c r="U1857">
        <v>-2.1241150000000002</v>
      </c>
      <c r="V1857">
        <v>0.50307120000000005</v>
      </c>
      <c r="W1857">
        <v>0.1648405</v>
      </c>
      <c r="X1857">
        <v>0.84837899999999999</v>
      </c>
      <c r="Y1857">
        <v>0.59013349999999998</v>
      </c>
      <c r="Z1857">
        <v>9.7290169999999995E-2</v>
      </c>
      <c r="AA1857">
        <v>0.80142190000000002</v>
      </c>
      <c r="AB1857">
        <v>20</v>
      </c>
      <c r="AC1857">
        <v>-8.5769999999999893</v>
      </c>
      <c r="AD1857">
        <v>-1.107942693811</v>
      </c>
      <c r="AE1857">
        <v>-7.8865000000000096</v>
      </c>
      <c r="AF1857">
        <v>6.9508875316838203</v>
      </c>
      <c r="AG1857">
        <v>-1.107942693811</v>
      </c>
      <c r="AH1857">
        <v>9.2208893495990694</v>
      </c>
      <c r="AI1857">
        <v>95.480660028464499</v>
      </c>
      <c r="AJ1857">
        <v>52.990295271954999</v>
      </c>
      <c r="AK1857">
        <v>11.6003092583101</v>
      </c>
      <c r="AL1857">
        <v>80.512030844681107</v>
      </c>
      <c r="AM1857">
        <v>59.332935893157497</v>
      </c>
      <c r="AN1857">
        <v>0.999999975175344</v>
      </c>
    </row>
    <row r="1858" spans="1:40" x14ac:dyDescent="0.25">
      <c r="A1858" t="str">
        <f>"20190312164025268"</f>
        <v>20190312164025268</v>
      </c>
      <c r="B1858" t="str">
        <f>"1552380025258006"</f>
        <v>1552380025258006</v>
      </c>
      <c r="C1858" t="s">
        <v>40</v>
      </c>
      <c r="D1858">
        <v>5.5151269999999997</v>
      </c>
      <c r="E1858">
        <v>0.55971689999999996</v>
      </c>
      <c r="F1858" t="s">
        <v>46</v>
      </c>
      <c r="G1858">
        <v>-201.05199999999999</v>
      </c>
      <c r="H1858" s="1">
        <v>2.2932520000000001E-6</v>
      </c>
      <c r="I1858">
        <v>289.08010000000002</v>
      </c>
      <c r="J1858">
        <v>-192.54669999999999</v>
      </c>
      <c r="K1858">
        <v>1.1078619999999999</v>
      </c>
      <c r="L1858">
        <v>296.77569999999997</v>
      </c>
      <c r="M1858">
        <v>-0.1852528</v>
      </c>
      <c r="N1858">
        <v>0</v>
      </c>
      <c r="O1858">
        <v>-0.98259600000000002</v>
      </c>
      <c r="P1858">
        <v>-0.65362140000000002</v>
      </c>
      <c r="Q1858">
        <v>0.155726</v>
      </c>
      <c r="R1858">
        <v>-0.74062700000000004</v>
      </c>
      <c r="S1858">
        <v>-2.280151</v>
      </c>
      <c r="T1858">
        <v>-0.29557699999999998</v>
      </c>
      <c r="U1858">
        <v>-2.1050719999999998</v>
      </c>
      <c r="V1858">
        <v>0.5061928</v>
      </c>
      <c r="W1858">
        <v>0.16393650000000001</v>
      </c>
      <c r="X1858">
        <v>0.84669570000000005</v>
      </c>
      <c r="Y1858">
        <v>0.59276039999999997</v>
      </c>
      <c r="Z1858">
        <v>9.8972409999999997E-2</v>
      </c>
      <c r="AA1858">
        <v>0.79927440000000005</v>
      </c>
      <c r="AB1858">
        <v>20</v>
      </c>
      <c r="AC1858">
        <v>-8.5053000000000303</v>
      </c>
      <c r="AD1858">
        <v>-1.1078597067479901</v>
      </c>
      <c r="AE1858">
        <v>-7.69559999999995</v>
      </c>
      <c r="AF1858">
        <v>6.8682148066358204</v>
      </c>
      <c r="AG1858">
        <v>-1.1078597067479901</v>
      </c>
      <c r="AH1858">
        <v>9.0536862304917598</v>
      </c>
      <c r="AI1858">
        <v>95.568062498841996</v>
      </c>
      <c r="AJ1858">
        <v>52.815690749326798</v>
      </c>
      <c r="AK1858">
        <v>11.417922846127601</v>
      </c>
      <c r="AL1858">
        <v>80.564540520378699</v>
      </c>
      <c r="AM1858">
        <v>59.127117862400098</v>
      </c>
      <c r="AN1858">
        <v>0.99999996760128895</v>
      </c>
    </row>
    <row r="1859" spans="1:40" x14ac:dyDescent="0.25">
      <c r="A1859" t="str">
        <f>"20190312164025290"</f>
        <v>20190312164025290</v>
      </c>
      <c r="B1859" t="str">
        <f>"1552380025277526"</f>
        <v>1552380025277526</v>
      </c>
      <c r="C1859" t="s">
        <v>40</v>
      </c>
      <c r="D1859">
        <v>6.2606809999999999</v>
      </c>
      <c r="E1859">
        <v>0.5596177</v>
      </c>
      <c r="F1859" t="s">
        <v>46</v>
      </c>
      <c r="G1859">
        <v>-201.07429999999999</v>
      </c>
      <c r="H1859" s="1">
        <v>2.3082059999999999E-6</v>
      </c>
      <c r="I1859">
        <v>289.02249999999998</v>
      </c>
      <c r="J1859">
        <v>-192.58699999999999</v>
      </c>
      <c r="K1859">
        <v>1.107782</v>
      </c>
      <c r="L1859">
        <v>296.59199999999998</v>
      </c>
      <c r="M1859">
        <v>-0.19001609999999999</v>
      </c>
      <c r="N1859">
        <v>0</v>
      </c>
      <c r="O1859">
        <v>-0.98168580000000005</v>
      </c>
      <c r="P1859">
        <v>-0.65982980000000002</v>
      </c>
      <c r="Q1859">
        <v>0.1539732</v>
      </c>
      <c r="R1859">
        <v>-0.73547069999999903</v>
      </c>
      <c r="S1859">
        <v>-2.2957610000000002</v>
      </c>
      <c r="T1859">
        <v>-0.29825159999999901</v>
      </c>
      <c r="U1859">
        <v>-2.0872799999999998</v>
      </c>
      <c r="V1859">
        <v>0.50916430000000001</v>
      </c>
      <c r="W1859">
        <v>0.16205420000000001</v>
      </c>
      <c r="X1859">
        <v>0.8452752</v>
      </c>
      <c r="Y1859">
        <v>0.59488619999999903</v>
      </c>
      <c r="Z1859">
        <v>9.9967020000000004E-2</v>
      </c>
      <c r="AA1859">
        <v>0.79756939999999998</v>
      </c>
      <c r="AB1859">
        <v>20</v>
      </c>
      <c r="AC1859">
        <v>-8.4872999999999692</v>
      </c>
      <c r="AD1859">
        <v>-1.1077796917939999</v>
      </c>
      <c r="AE1859">
        <v>-7.5694999999999997</v>
      </c>
      <c r="AF1859">
        <v>6.8293779739481897</v>
      </c>
      <c r="AG1859">
        <v>-1.1077796917939999</v>
      </c>
      <c r="AH1859">
        <v>8.9594269971849094</v>
      </c>
      <c r="AI1859">
        <v>95.616052564844495</v>
      </c>
      <c r="AJ1859">
        <v>52.683316898340699</v>
      </c>
      <c r="AK1859">
        <v>11.3198459121352</v>
      </c>
      <c r="AL1859">
        <v>80.673850564314506</v>
      </c>
      <c r="AM1859">
        <v>58.936706562198403</v>
      </c>
      <c r="AN1859">
        <v>1.0000000059335801</v>
      </c>
    </row>
    <row r="1860" spans="1:40" x14ac:dyDescent="0.25">
      <c r="A1860" t="str">
        <f>"20190312164025311"</f>
        <v>20190312164025311</v>
      </c>
      <c r="B1860" t="str">
        <f>"1552380025307782"</f>
        <v>1552380025307782</v>
      </c>
      <c r="C1860" t="s">
        <v>40</v>
      </c>
      <c r="D1860">
        <v>5.617108</v>
      </c>
      <c r="E1860">
        <v>0.55890719999999905</v>
      </c>
      <c r="F1860" t="s">
        <v>46</v>
      </c>
      <c r="G1860">
        <v>-201.0258</v>
      </c>
      <c r="H1860" s="1">
        <v>2.285684E-6</v>
      </c>
      <c r="I1860">
        <v>289.03429999999997</v>
      </c>
      <c r="J1860">
        <v>-192.6285</v>
      </c>
      <c r="K1860">
        <v>1.1076839999999999</v>
      </c>
      <c r="L1860">
        <v>296.40839999999997</v>
      </c>
      <c r="M1860">
        <v>-0.19494719999999999</v>
      </c>
      <c r="N1860">
        <v>0</v>
      </c>
      <c r="O1860">
        <v>-0.98071839999999999</v>
      </c>
      <c r="P1860">
        <v>-0.66545399999999999</v>
      </c>
      <c r="Q1860">
        <v>0.15111429999999901</v>
      </c>
      <c r="R1860">
        <v>-0.73098280000000004</v>
      </c>
      <c r="S1860">
        <v>-2.3107150000000001</v>
      </c>
      <c r="T1860">
        <v>-0.30333080000000001</v>
      </c>
      <c r="U1860">
        <v>-2.069458</v>
      </c>
      <c r="V1860">
        <v>0.51130659999999895</v>
      </c>
      <c r="W1860">
        <v>0.15906419999999999</v>
      </c>
      <c r="X1860">
        <v>0.84454969999999996</v>
      </c>
      <c r="Y1860">
        <v>0.59669919999999899</v>
      </c>
      <c r="Z1860">
        <v>0.101771</v>
      </c>
      <c r="AA1860">
        <v>0.79598539999999995</v>
      </c>
      <c r="AB1860">
        <v>20</v>
      </c>
      <c r="AC1860">
        <v>-8.3972999999999995</v>
      </c>
      <c r="AD1860">
        <v>-1.107681714316</v>
      </c>
      <c r="AE1860">
        <v>-7.3740999999999897</v>
      </c>
      <c r="AF1860">
        <v>6.7323227838566302</v>
      </c>
      <c r="AG1860">
        <v>-1.107681714316</v>
      </c>
      <c r="AH1860">
        <v>8.7834847332794208</v>
      </c>
      <c r="AI1860">
        <v>95.715734564573097</v>
      </c>
      <c r="AJ1860">
        <v>52.530732033224503</v>
      </c>
      <c r="AK1860">
        <v>11.1220831190032</v>
      </c>
      <c r="AL1860">
        <v>80.847417024277703</v>
      </c>
      <c r="AM1860">
        <v>58.808482562802403</v>
      </c>
      <c r="AN1860">
        <v>1.0000000273476399</v>
      </c>
    </row>
    <row r="1861" spans="1:40" x14ac:dyDescent="0.25">
      <c r="A1861" t="str">
        <f>"20190312164025334"</f>
        <v>20190312164025334</v>
      </c>
      <c r="B1861" t="str">
        <f>"1552380025328278"</f>
        <v>1552380025328278</v>
      </c>
      <c r="C1861" t="s">
        <v>40</v>
      </c>
      <c r="D1861">
        <v>5.5960919999999996</v>
      </c>
      <c r="E1861">
        <v>0.55850269999999902</v>
      </c>
      <c r="F1861" t="s">
        <v>46</v>
      </c>
      <c r="G1861">
        <v>-201.0016</v>
      </c>
      <c r="H1861" s="1">
        <v>2.2774399999999998E-6</v>
      </c>
      <c r="I1861">
        <v>289.00560000000002</v>
      </c>
      <c r="J1861">
        <v>-192.67400000000001</v>
      </c>
      <c r="K1861">
        <v>1.1075600000000001</v>
      </c>
      <c r="L1861">
        <v>296.21230000000003</v>
      </c>
      <c r="M1861">
        <v>-0.2004049</v>
      </c>
      <c r="N1861">
        <v>0</v>
      </c>
      <c r="O1861">
        <v>-0.97961770000000004</v>
      </c>
      <c r="P1861">
        <v>-0.67180319999999905</v>
      </c>
      <c r="Q1861">
        <v>0.14749399999999999</v>
      </c>
      <c r="R1861">
        <v>-0.72589669999999995</v>
      </c>
      <c r="S1861">
        <v>-2.3224490000000002</v>
      </c>
      <c r="T1861">
        <v>-0.307235799999999</v>
      </c>
      <c r="U1861">
        <v>-2.0532840000000001</v>
      </c>
      <c r="V1861">
        <v>0.51384200000000002</v>
      </c>
      <c r="W1861">
        <v>0.15528229999999901</v>
      </c>
      <c r="X1861">
        <v>0.84371430000000003</v>
      </c>
      <c r="Y1861">
        <v>0.59723809999999999</v>
      </c>
      <c r="Z1861">
        <v>0.10321329999999999</v>
      </c>
      <c r="AA1861">
        <v>0.79539539999999997</v>
      </c>
      <c r="AB1861">
        <v>19</v>
      </c>
      <c r="AC1861">
        <v>-8.3275999999999897</v>
      </c>
      <c r="AD1861">
        <v>-1.10755772256</v>
      </c>
      <c r="AE1861">
        <v>-7.2067000000000103</v>
      </c>
      <c r="AF1861">
        <v>6.6470063114007596</v>
      </c>
      <c r="AG1861">
        <v>-1.10755772256</v>
      </c>
      <c r="AH1861">
        <v>8.6421125897624993</v>
      </c>
      <c r="AI1861">
        <v>95.800531293777894</v>
      </c>
      <c r="AJ1861">
        <v>52.434626169026501</v>
      </c>
      <c r="AK1861">
        <v>10.9588086499735</v>
      </c>
      <c r="AL1861">
        <v>81.066830972845693</v>
      </c>
      <c r="AM1861">
        <v>58.657594944065103</v>
      </c>
      <c r="AN1861">
        <v>1.0000000068408801</v>
      </c>
    </row>
    <row r="1862" spans="1:40" x14ac:dyDescent="0.25">
      <c r="A1862" t="str">
        <f>"20190312164025357"</f>
        <v>20190312164025357</v>
      </c>
      <c r="B1862" t="str">
        <f>"1552380025347798"</f>
        <v>1552380025347798</v>
      </c>
      <c r="C1862" t="s">
        <v>40</v>
      </c>
      <c r="D1862">
        <v>5.8797969999999999</v>
      </c>
      <c r="E1862">
        <v>0.55824569999999996</v>
      </c>
      <c r="F1862" t="s">
        <v>46</v>
      </c>
      <c r="G1862">
        <v>-200.8903</v>
      </c>
      <c r="H1862" s="1">
        <v>2.2228940000000002E-6</v>
      </c>
      <c r="I1862">
        <v>289.06459999999998</v>
      </c>
      <c r="J1862">
        <v>-192.72069999999999</v>
      </c>
      <c r="K1862">
        <v>1.107424</v>
      </c>
      <c r="L1862">
        <v>296.01740000000001</v>
      </c>
      <c r="M1862">
        <v>-0.20605609999999999</v>
      </c>
      <c r="N1862">
        <v>0</v>
      </c>
      <c r="O1862">
        <v>-0.97844419999999999</v>
      </c>
      <c r="P1862">
        <v>-0.67869809999999997</v>
      </c>
      <c r="Q1862">
        <v>0.14553360000000001</v>
      </c>
      <c r="R1862">
        <v>-0.71985330000000003</v>
      </c>
      <c r="S1862">
        <v>-2.3375849999999998</v>
      </c>
      <c r="T1862">
        <v>-0.31510779999999999</v>
      </c>
      <c r="U1862">
        <v>-2.033569</v>
      </c>
      <c r="V1862">
        <v>0.51697740000000003</v>
      </c>
      <c r="W1862">
        <v>0.15312729999999999</v>
      </c>
      <c r="X1862">
        <v>0.84219140000000003</v>
      </c>
      <c r="Y1862">
        <v>0.59876870000000004</v>
      </c>
      <c r="Z1862">
        <v>0.10598249999999999</v>
      </c>
      <c r="AA1862">
        <v>0.793879</v>
      </c>
      <c r="AB1862">
        <v>19</v>
      </c>
      <c r="AC1862">
        <v>-8.1696000000000009</v>
      </c>
      <c r="AD1862">
        <v>-1.107421777106</v>
      </c>
      <c r="AE1862">
        <v>-6.9528000000000203</v>
      </c>
      <c r="AF1862">
        <v>6.4922627567055802</v>
      </c>
      <c r="AG1862">
        <v>-1.107421777106</v>
      </c>
      <c r="AH1862">
        <v>8.3976310458859906</v>
      </c>
      <c r="AI1862">
        <v>95.956125059325004</v>
      </c>
      <c r="AJ1862">
        <v>52.292159020920899</v>
      </c>
      <c r="AK1862">
        <v>10.6722099809431</v>
      </c>
      <c r="AL1862">
        <v>81.191797892717403</v>
      </c>
      <c r="AM1862">
        <v>58.4564053011757</v>
      </c>
      <c r="AN1862">
        <v>0.99999997817500397</v>
      </c>
    </row>
    <row r="1863" spans="1:40" x14ac:dyDescent="0.25">
      <c r="A1863" t="str">
        <f>"20190312164025380"</f>
        <v>20190312164025380</v>
      </c>
      <c r="B1863" t="str">
        <f>"1552380025368294"</f>
        <v>1552380025368294</v>
      </c>
      <c r="C1863" t="s">
        <v>40</v>
      </c>
      <c r="D1863">
        <v>5.4054979999999997</v>
      </c>
      <c r="E1863">
        <v>0.55787439999999999</v>
      </c>
      <c r="F1863" t="s">
        <v>46</v>
      </c>
      <c r="G1863">
        <v>-200.89519999999999</v>
      </c>
      <c r="H1863" s="1">
        <v>2.2276730000000002E-6</v>
      </c>
      <c r="I1863">
        <v>289.03530000000001</v>
      </c>
      <c r="J1863">
        <v>-192.76830000000001</v>
      </c>
      <c r="K1863">
        <v>1.1072770000000001</v>
      </c>
      <c r="L1863">
        <v>295.8252</v>
      </c>
      <c r="M1863">
        <v>-0.21189450000000001</v>
      </c>
      <c r="N1863">
        <v>0</v>
      </c>
      <c r="O1863">
        <v>-0.97719630000000002</v>
      </c>
      <c r="P1863">
        <v>-0.6862975</v>
      </c>
      <c r="Q1863">
        <v>0.14524000000000001</v>
      </c>
      <c r="R1863">
        <v>-0.71267179999999997</v>
      </c>
      <c r="S1863">
        <v>-2.3550870000000002</v>
      </c>
      <c r="T1863">
        <v>-0.31904719999999998</v>
      </c>
      <c r="U1863">
        <v>-2.011536</v>
      </c>
      <c r="V1863">
        <v>0.52092669999999996</v>
      </c>
      <c r="W1863">
        <v>0.1526052</v>
      </c>
      <c r="X1863">
        <v>0.83984939999999997</v>
      </c>
      <c r="Y1863">
        <v>0.6010877</v>
      </c>
      <c r="Z1863">
        <v>0.10744140000000001</v>
      </c>
      <c r="AA1863">
        <v>0.79192790000000002</v>
      </c>
      <c r="AB1863">
        <v>19</v>
      </c>
      <c r="AC1863">
        <v>-8.1268999999999707</v>
      </c>
      <c r="AD1863">
        <v>-1.107274772327</v>
      </c>
      <c r="AE1863">
        <v>-6.7898999999999798</v>
      </c>
      <c r="AF1863">
        <v>6.4331166295864399</v>
      </c>
      <c r="AG1863">
        <v>-1.107274772327</v>
      </c>
      <c r="AH1863">
        <v>8.2675131767626997</v>
      </c>
      <c r="AI1863">
        <v>96.033819652584796</v>
      </c>
      <c r="AJ1863">
        <v>52.112804274946399</v>
      </c>
      <c r="AK1863">
        <v>10.533889173483701</v>
      </c>
      <c r="AL1863">
        <v>81.222067928025695</v>
      </c>
      <c r="AM1863">
        <v>58.1902435767282</v>
      </c>
      <c r="AN1863">
        <v>0.99999999426014496</v>
      </c>
    </row>
    <row r="1864" spans="1:40" x14ac:dyDescent="0.25">
      <c r="A1864" t="str">
        <f>"20190312164025401"</f>
        <v>20190312164025401</v>
      </c>
      <c r="B1864" t="str">
        <f>"1552380025397574"</f>
        <v>1552380025397574</v>
      </c>
      <c r="C1864" t="s">
        <v>40</v>
      </c>
      <c r="D1864">
        <v>6.0999509999999999</v>
      </c>
      <c r="E1864">
        <v>0.55761649999999996</v>
      </c>
      <c r="F1864" t="s">
        <v>46</v>
      </c>
      <c r="G1864">
        <v>-201.0746</v>
      </c>
      <c r="H1864" s="1">
        <v>2.3209059999999998E-6</v>
      </c>
      <c r="I1864">
        <v>288.8784</v>
      </c>
      <c r="J1864">
        <v>-192.8143</v>
      </c>
      <c r="K1864">
        <v>1.1071310000000001</v>
      </c>
      <c r="L1864">
        <v>295.6447</v>
      </c>
      <c r="M1864">
        <v>-0.21764020000000001</v>
      </c>
      <c r="N1864">
        <v>0</v>
      </c>
      <c r="O1864">
        <v>-0.97593229999999997</v>
      </c>
      <c r="P1864">
        <v>-0.69352000000000003</v>
      </c>
      <c r="Q1864">
        <v>0.14448039999999901</v>
      </c>
      <c r="R1864">
        <v>-0.70580129999999996</v>
      </c>
      <c r="S1864">
        <v>-2.3754119999999999</v>
      </c>
      <c r="T1864">
        <v>-0.31665529999999997</v>
      </c>
      <c r="U1864">
        <v>-1.9866029999999999</v>
      </c>
      <c r="V1864">
        <v>0.52455699999999905</v>
      </c>
      <c r="W1864">
        <v>0.1516169</v>
      </c>
      <c r="X1864">
        <v>0.83776620000000002</v>
      </c>
      <c r="Y1864">
        <v>0.60467669999999996</v>
      </c>
      <c r="Z1864">
        <v>0.1067874</v>
      </c>
      <c r="AA1864">
        <v>0.78927979999999998</v>
      </c>
      <c r="AB1864">
        <v>19</v>
      </c>
      <c r="AC1864">
        <v>-8.2603000000000009</v>
      </c>
      <c r="AD1864">
        <v>-1.10712867909399</v>
      </c>
      <c r="AE1864">
        <v>-6.7663000000000002</v>
      </c>
      <c r="AF1864">
        <v>6.5194094858372402</v>
      </c>
      <c r="AG1864">
        <v>-1.10712867909399</v>
      </c>
      <c r="AH1864">
        <v>8.31265161690167</v>
      </c>
      <c r="AI1864">
        <v>95.982746525779902</v>
      </c>
      <c r="AJ1864">
        <v>51.893777099296898</v>
      </c>
      <c r="AK1864">
        <v>10.6220812866441</v>
      </c>
      <c r="AL1864">
        <v>81.2793598058892</v>
      </c>
      <c r="AM1864">
        <v>57.947765936958902</v>
      </c>
      <c r="AN1864">
        <v>0.999999968238524</v>
      </c>
    </row>
    <row r="1865" spans="1:40" x14ac:dyDescent="0.25">
      <c r="A1865" t="str">
        <f>"20190312164025422"</f>
        <v>20190312164025422</v>
      </c>
      <c r="B1865" t="str">
        <f>"1552380025418070"</f>
        <v>1552380025418070</v>
      </c>
      <c r="C1865" t="s">
        <v>40</v>
      </c>
      <c r="D1865">
        <v>6.3689530000000003</v>
      </c>
      <c r="E1865">
        <v>0.55751530000000005</v>
      </c>
      <c r="F1865" t="s">
        <v>46</v>
      </c>
      <c r="G1865">
        <v>-201.19669999999999</v>
      </c>
      <c r="H1865" s="1">
        <v>2.3838500000000001E-6</v>
      </c>
      <c r="I1865">
        <v>288.77809999999999</v>
      </c>
      <c r="J1865">
        <v>-192.86359999999999</v>
      </c>
      <c r="K1865">
        <v>1.1069929999999999</v>
      </c>
      <c r="L1865">
        <v>295.45780000000002</v>
      </c>
      <c r="M1865">
        <v>-0.22383130000000001</v>
      </c>
      <c r="N1865">
        <v>0</v>
      </c>
      <c r="O1865">
        <v>-0.97453080000000003</v>
      </c>
      <c r="P1865">
        <v>-0.70081289999999996</v>
      </c>
      <c r="Q1865">
        <v>0.14362429999999901</v>
      </c>
      <c r="R1865">
        <v>-0.69873669999999899</v>
      </c>
      <c r="S1865">
        <v>-2.3949889999999998</v>
      </c>
      <c r="T1865">
        <v>-0.3163261</v>
      </c>
      <c r="U1865">
        <v>-1.9619139999999999</v>
      </c>
      <c r="V1865">
        <v>0.52794919999999901</v>
      </c>
      <c r="W1865">
        <v>0.15054210000000001</v>
      </c>
      <c r="X1865">
        <v>0.83582699999999999</v>
      </c>
      <c r="Y1865">
        <v>0.60766309999999901</v>
      </c>
      <c r="Z1865">
        <v>0.1068192</v>
      </c>
      <c r="AA1865">
        <v>0.78697850000000003</v>
      </c>
      <c r="AB1865">
        <v>19</v>
      </c>
      <c r="AC1865">
        <v>-8.3331</v>
      </c>
      <c r="AD1865">
        <v>-1.1069906161500001</v>
      </c>
      <c r="AE1865">
        <v>-6.67970000000002</v>
      </c>
      <c r="AF1865">
        <v>6.55592810889934</v>
      </c>
      <c r="AG1865">
        <v>-1.1069906161500001</v>
      </c>
      <c r="AH1865">
        <v>8.2865455350142803</v>
      </c>
      <c r="AI1865">
        <v>95.980831465173296</v>
      </c>
      <c r="AJ1865">
        <v>51.650599460811101</v>
      </c>
      <c r="AK1865">
        <v>10.6241450713535</v>
      </c>
      <c r="AL1865">
        <v>81.341656898551705</v>
      </c>
      <c r="AM1865">
        <v>57.721490909782602</v>
      </c>
      <c r="AN1865">
        <v>1.0000000277910199</v>
      </c>
    </row>
    <row r="1866" spans="1:40" x14ac:dyDescent="0.25">
      <c r="A1866" t="str">
        <f>"20190312164025446"</f>
        <v>20190312164025446</v>
      </c>
      <c r="B1866" t="str">
        <f>"1552380025437590"</f>
        <v>1552380025437590</v>
      </c>
      <c r="C1866" t="s">
        <v>40</v>
      </c>
      <c r="D1866">
        <v>5.780761</v>
      </c>
      <c r="E1866">
        <v>0.55745769999999994</v>
      </c>
      <c r="F1866" t="s">
        <v>46</v>
      </c>
      <c r="G1866">
        <v>-201.352</v>
      </c>
      <c r="H1866" s="1">
        <v>2.4633429999999999E-6</v>
      </c>
      <c r="I1866">
        <v>288.65660000000003</v>
      </c>
      <c r="J1866">
        <v>-192.9187</v>
      </c>
      <c r="K1866">
        <v>1.106854</v>
      </c>
      <c r="L1866">
        <v>295.25560000000002</v>
      </c>
      <c r="M1866">
        <v>-0.23081119999999999</v>
      </c>
      <c r="N1866">
        <v>0</v>
      </c>
      <c r="O1866">
        <v>-0.97290080000000001</v>
      </c>
      <c r="P1866">
        <v>-0.70706550000000001</v>
      </c>
      <c r="Q1866">
        <v>0.1447502</v>
      </c>
      <c r="R1866">
        <v>-0.69217439999999997</v>
      </c>
      <c r="S1866">
        <v>-2.4156339999999998</v>
      </c>
      <c r="T1866">
        <v>-0.31502799999999997</v>
      </c>
      <c r="U1866">
        <v>-1.935486</v>
      </c>
      <c r="V1866">
        <v>0.52959069999999997</v>
      </c>
      <c r="W1866">
        <v>0.15147360000000001</v>
      </c>
      <c r="X1866">
        <v>0.83461939999999901</v>
      </c>
      <c r="Y1866">
        <v>0.61053659999999998</v>
      </c>
      <c r="Z1866">
        <v>0.10652929999999999</v>
      </c>
      <c r="AA1866">
        <v>0.78479069999999995</v>
      </c>
      <c r="AB1866">
        <v>19</v>
      </c>
      <c r="AC1866">
        <v>-8.4332999999999991</v>
      </c>
      <c r="AD1866">
        <v>-1.106851536657</v>
      </c>
      <c r="AE1866">
        <v>-6.5989999999999798</v>
      </c>
      <c r="AF1866">
        <v>6.6116372403399799</v>
      </c>
      <c r="AG1866">
        <v>-1.106851536657</v>
      </c>
      <c r="AH1866">
        <v>8.2790143280595192</v>
      </c>
      <c r="AI1866">
        <v>95.963964798513899</v>
      </c>
      <c r="AJ1866">
        <v>51.389066898889901</v>
      </c>
      <c r="AK1866">
        <v>10.652743569910299</v>
      </c>
      <c r="AL1866">
        <v>81.287666962782396</v>
      </c>
      <c r="AM1866">
        <v>57.603664582692403</v>
      </c>
      <c r="AN1866">
        <v>1.0000000519398999</v>
      </c>
    </row>
    <row r="1867" spans="1:40" x14ac:dyDescent="0.25">
      <c r="A1867" t="str">
        <f>"20190312164025469"</f>
        <v>20190312164025469</v>
      </c>
      <c r="B1867" t="str">
        <f>"1552380025457724"</f>
        <v>1552380025457724</v>
      </c>
      <c r="C1867" t="s">
        <v>40</v>
      </c>
      <c r="D1867">
        <v>5.8191329999999999</v>
      </c>
      <c r="E1867">
        <v>0.58488969999999996</v>
      </c>
      <c r="F1867" t="s">
        <v>46</v>
      </c>
      <c r="G1867">
        <v>-201.60220000000001</v>
      </c>
      <c r="H1867" s="1">
        <v>2.5941869999999999E-6</v>
      </c>
      <c r="I1867">
        <v>288.42899999999997</v>
      </c>
      <c r="J1867">
        <v>-192.97139999999999</v>
      </c>
      <c r="K1867">
        <v>1.1067209999999901</v>
      </c>
      <c r="L1867">
        <v>295.06849999999997</v>
      </c>
      <c r="M1867">
        <v>-0.2375486</v>
      </c>
      <c r="N1867">
        <v>0</v>
      </c>
      <c r="O1867">
        <v>-0.97127750000000002</v>
      </c>
      <c r="P1867">
        <v>-0.71498479999999998</v>
      </c>
      <c r="Q1867">
        <v>0.14534240000000001</v>
      </c>
      <c r="R1867">
        <v>-0.68386599999999997</v>
      </c>
      <c r="S1867">
        <v>-2.4335170000000002</v>
      </c>
      <c r="T1867">
        <v>-0.31019089999999999</v>
      </c>
      <c r="U1867">
        <v>-1.9131469999999999</v>
      </c>
      <c r="V1867">
        <v>0.53349939999999996</v>
      </c>
      <c r="W1867">
        <v>0.1518427</v>
      </c>
      <c r="X1867">
        <v>0.83205899999999999</v>
      </c>
      <c r="Y1867">
        <v>0.61244980000000004</v>
      </c>
      <c r="Z1867">
        <v>0.1050058</v>
      </c>
      <c r="AA1867">
        <v>0.78350439999999999</v>
      </c>
      <c r="AB1867">
        <v>19</v>
      </c>
      <c r="AC1867">
        <v>-8.6308000000000202</v>
      </c>
      <c r="AD1867">
        <v>-1.10671840581299</v>
      </c>
      <c r="AE1867">
        <v>-6.6394999999999396</v>
      </c>
      <c r="AF1867">
        <v>6.7367584463591399</v>
      </c>
      <c r="AG1867">
        <v>-1.10671840581299</v>
      </c>
      <c r="AH1867">
        <v>8.4129390383923006</v>
      </c>
      <c r="AI1867">
        <v>95.8628562242816</v>
      </c>
      <c r="AJ1867">
        <v>51.313594354859397</v>
      </c>
      <c r="AK1867">
        <v>10.8344950624411</v>
      </c>
      <c r="AL1867">
        <v>81.266271131686693</v>
      </c>
      <c r="AM1867">
        <v>57.332828609918998</v>
      </c>
      <c r="AN1867">
        <v>0.99999999741232404</v>
      </c>
    </row>
    <row r="1868" spans="1:40" x14ac:dyDescent="0.25">
      <c r="A1868" t="str">
        <f>"20190312164025490"</f>
        <v>20190312164025490</v>
      </c>
      <c r="B1868" t="str">
        <f>"1552380025478223"</f>
        <v>1552380025478223</v>
      </c>
      <c r="C1868" t="s">
        <v>40</v>
      </c>
      <c r="D1868">
        <v>5.7298619999999998</v>
      </c>
      <c r="E1868">
        <v>0.58606459999999905</v>
      </c>
      <c r="F1868" t="s">
        <v>46</v>
      </c>
      <c r="G1868">
        <v>-201.91669999999999</v>
      </c>
      <c r="H1868" s="1">
        <v>2.6706930000000001E-6</v>
      </c>
      <c r="I1868">
        <v>289.14929999999998</v>
      </c>
      <c r="J1868">
        <v>-193.0224</v>
      </c>
      <c r="K1868">
        <v>1.106592</v>
      </c>
      <c r="L1868">
        <v>294.89260000000002</v>
      </c>
      <c r="M1868">
        <v>-0.24414959999999999</v>
      </c>
      <c r="N1868">
        <v>0</v>
      </c>
      <c r="O1868">
        <v>-0.96963900000000003</v>
      </c>
      <c r="P1868">
        <v>-0.72203669999999998</v>
      </c>
      <c r="Q1868">
        <v>0.14607059999999999</v>
      </c>
      <c r="R1868">
        <v>-0.67625930000000001</v>
      </c>
      <c r="S1868">
        <v>-2.609772</v>
      </c>
      <c r="T1868">
        <v>-0.32288050000000001</v>
      </c>
      <c r="U1868">
        <v>-1.7269289999999999</v>
      </c>
      <c r="V1868">
        <v>0.53656569999999904</v>
      </c>
      <c r="W1868">
        <v>0.1523592</v>
      </c>
      <c r="X1868">
        <v>0.82999029999999996</v>
      </c>
      <c r="Y1868">
        <v>0.66896800000000001</v>
      </c>
      <c r="Z1868">
        <v>0.1092089</v>
      </c>
      <c r="AA1868">
        <v>0.73522469999999995</v>
      </c>
      <c r="AB1868">
        <v>19</v>
      </c>
      <c r="AC1868">
        <v>-8.8942999999999799</v>
      </c>
      <c r="AD1868">
        <v>-1.1065893293069999</v>
      </c>
      <c r="AE1868">
        <v>-5.7433000000000298</v>
      </c>
      <c r="AF1868">
        <v>7.1446762272079196</v>
      </c>
      <c r="AG1868">
        <v>-1.1065893293069999</v>
      </c>
      <c r="AH1868">
        <v>7.6575546920393602</v>
      </c>
      <c r="AI1868">
        <v>96.031536765353394</v>
      </c>
      <c r="AJ1868">
        <v>46.984431976456897</v>
      </c>
      <c r="AK1868">
        <v>10.531338100969799</v>
      </c>
      <c r="AL1868">
        <v>81.236329398534807</v>
      </c>
      <c r="AM1868">
        <v>57.118452929146102</v>
      </c>
      <c r="AN1868">
        <v>0.99999998716760996</v>
      </c>
    </row>
    <row r="1869" spans="1:40" x14ac:dyDescent="0.25">
      <c r="A1869" t="str">
        <f>"20190312164025512"</f>
        <v>20190312164025512</v>
      </c>
      <c r="B1869" t="str">
        <f>"1552380025508477"</f>
        <v>1552380025508477</v>
      </c>
      <c r="C1869" t="s">
        <v>40</v>
      </c>
      <c r="D1869">
        <v>5.7836809999999996</v>
      </c>
      <c r="E1869">
        <v>0.58826119999999904</v>
      </c>
      <c r="F1869" t="s">
        <v>46</v>
      </c>
      <c r="G1869">
        <v>-201.72110000000001</v>
      </c>
      <c r="H1869" s="1">
        <v>2.5713100000000001E-6</v>
      </c>
      <c r="I1869">
        <v>289.29360000000003</v>
      </c>
      <c r="J1869">
        <v>-193.0779</v>
      </c>
      <c r="K1869">
        <v>1.1064400000000001</v>
      </c>
      <c r="L1869">
        <v>294.70769999999999</v>
      </c>
      <c r="M1869">
        <v>-0.2513783</v>
      </c>
      <c r="N1869">
        <v>0</v>
      </c>
      <c r="O1869">
        <v>-0.96778969999999997</v>
      </c>
      <c r="P1869">
        <v>-0.7292457</v>
      </c>
      <c r="Q1869">
        <v>0.14649809999999999</v>
      </c>
      <c r="R1869">
        <v>-0.66838549999999997</v>
      </c>
      <c r="S1869">
        <v>-2.634506</v>
      </c>
      <c r="T1869">
        <v>-0.33514620000000001</v>
      </c>
      <c r="U1869">
        <v>-1.69574</v>
      </c>
      <c r="V1869">
        <v>0.53936139999999999</v>
      </c>
      <c r="W1869">
        <v>0.15255289999999999</v>
      </c>
      <c r="X1869">
        <v>0.82814069999999995</v>
      </c>
      <c r="Y1869">
        <v>0.67235889999999998</v>
      </c>
      <c r="Z1869">
        <v>0.113358</v>
      </c>
      <c r="AA1869">
        <v>0.73149390000000003</v>
      </c>
      <c r="AB1869">
        <v>19</v>
      </c>
      <c r="AC1869">
        <v>-8.6432000000000002</v>
      </c>
      <c r="AD1869">
        <v>-1.1064374286899901</v>
      </c>
      <c r="AE1869">
        <v>-5.4140999999999604</v>
      </c>
      <c r="AF1869">
        <v>6.9230068971441598</v>
      </c>
      <c r="AG1869">
        <v>-1.1064374286899901</v>
      </c>
      <c r="AH1869">
        <v>7.3269030514514002</v>
      </c>
      <c r="AI1869">
        <v>96.263872642164301</v>
      </c>
      <c r="AJ1869">
        <v>46.623543657735297</v>
      </c>
      <c r="AK1869">
        <v>10.140795659457799</v>
      </c>
      <c r="AL1869">
        <v>81.225100607423698</v>
      </c>
      <c r="AM1869">
        <v>56.924124313172499</v>
      </c>
      <c r="AN1869">
        <v>1.00000006305242</v>
      </c>
    </row>
    <row r="1870" spans="1:40" x14ac:dyDescent="0.25">
      <c r="A1870" t="str">
        <f>"20190312164025534"</f>
        <v>20190312164025534</v>
      </c>
      <c r="B1870" t="str">
        <f>"1552380025527996"</f>
        <v>1552380025527996</v>
      </c>
      <c r="C1870" t="s">
        <v>40</v>
      </c>
      <c r="D1870">
        <v>5.7675939999999999</v>
      </c>
      <c r="E1870">
        <v>0.58878730000000001</v>
      </c>
      <c r="F1870" t="s">
        <v>46</v>
      </c>
      <c r="G1870">
        <v>-201.07149999999999</v>
      </c>
      <c r="H1870" s="1">
        <v>2.2407110000000001E-6</v>
      </c>
      <c r="I1870">
        <v>289.72460000000001</v>
      </c>
      <c r="J1870">
        <v>-193.13640000000001</v>
      </c>
      <c r="K1870">
        <v>1.1062780000000001</v>
      </c>
      <c r="L1870">
        <v>294.51889999999997</v>
      </c>
      <c r="M1870">
        <v>-0.25906659999999998</v>
      </c>
      <c r="N1870">
        <v>0</v>
      </c>
      <c r="O1870">
        <v>-0.96575949999999999</v>
      </c>
      <c r="P1870">
        <v>-0.73686249999999998</v>
      </c>
      <c r="Q1870">
        <v>0.14650150000000001</v>
      </c>
      <c r="R1870">
        <v>-0.65997830000000002</v>
      </c>
      <c r="S1870">
        <v>-2.6651760000000002</v>
      </c>
      <c r="T1870">
        <v>-0.36890129999999999</v>
      </c>
      <c r="U1870">
        <v>-1.661438</v>
      </c>
      <c r="V1870">
        <v>0.5423422</v>
      </c>
      <c r="W1870">
        <v>0.15229699999999999</v>
      </c>
      <c r="X1870">
        <v>0.82623880000000005</v>
      </c>
      <c r="Y1870">
        <v>0.67593780000000003</v>
      </c>
      <c r="Z1870">
        <v>0.12454800000000001</v>
      </c>
      <c r="AA1870">
        <v>0.7263579</v>
      </c>
      <c r="AB1870">
        <v>19</v>
      </c>
      <c r="AC1870">
        <v>-7.9350999999999701</v>
      </c>
      <c r="AD1870">
        <v>-1.106275759289</v>
      </c>
      <c r="AE1870">
        <v>-4.7942999999999598</v>
      </c>
      <c r="AF1870">
        <v>6.33181736826036</v>
      </c>
      <c r="AG1870">
        <v>-1.106275759289</v>
      </c>
      <c r="AH1870">
        <v>6.5926341151308199</v>
      </c>
      <c r="AI1870">
        <v>96.900704454363193</v>
      </c>
      <c r="AJ1870">
        <v>46.1560777489712</v>
      </c>
      <c r="AK1870">
        <v>9.2075285400904807</v>
      </c>
      <c r="AL1870">
        <v>81.239935357964498</v>
      </c>
      <c r="AM1870">
        <v>56.719151130777298</v>
      </c>
      <c r="AN1870">
        <v>0.99999999636764003</v>
      </c>
    </row>
    <row r="1871" spans="1:40" x14ac:dyDescent="0.25">
      <c r="A1871" t="str">
        <f>"20190312164025556"</f>
        <v>20190312164025556</v>
      </c>
      <c r="B1871" t="str">
        <f>"1552380025548139"</f>
        <v>1552380025548139</v>
      </c>
      <c r="C1871" t="s">
        <v>40</v>
      </c>
      <c r="D1871">
        <v>5.7040119999999996</v>
      </c>
      <c r="E1871">
        <v>0.58870180000000005</v>
      </c>
      <c r="F1871" t="s">
        <v>46</v>
      </c>
      <c r="G1871">
        <v>-200.97460000000001</v>
      </c>
      <c r="H1871" s="1">
        <v>2.192262E-6</v>
      </c>
      <c r="I1871">
        <v>289.76609999999999</v>
      </c>
      <c r="J1871">
        <v>-193.1942</v>
      </c>
      <c r="K1871">
        <v>1.106109</v>
      </c>
      <c r="L1871">
        <v>294.33850000000001</v>
      </c>
      <c r="M1871">
        <v>-0.26671729999999999</v>
      </c>
      <c r="N1871">
        <v>0</v>
      </c>
      <c r="O1871">
        <v>-0.96367400000000003</v>
      </c>
      <c r="P1871">
        <v>-0.74377899999999997</v>
      </c>
      <c r="Q1871">
        <v>0.14627119999999999</v>
      </c>
      <c r="R1871">
        <v>-0.6522251</v>
      </c>
      <c r="S1871">
        <v>-2.687271</v>
      </c>
      <c r="T1871">
        <v>-0.3792797</v>
      </c>
      <c r="U1871">
        <v>-1.629486</v>
      </c>
      <c r="V1871">
        <v>0.54455229999999999</v>
      </c>
      <c r="W1871">
        <v>0.15182290000000001</v>
      </c>
      <c r="X1871">
        <v>0.82487129999999997</v>
      </c>
      <c r="Y1871">
        <v>0.67871000000000004</v>
      </c>
      <c r="Z1871">
        <v>0.12810730000000001</v>
      </c>
      <c r="AA1871">
        <v>0.72314679999999998</v>
      </c>
      <c r="AB1871">
        <v>19</v>
      </c>
      <c r="AC1871">
        <v>-7.78040000000001</v>
      </c>
      <c r="AD1871">
        <v>-1.1061068077380001</v>
      </c>
      <c r="AE1871">
        <v>-4.5724000000000098</v>
      </c>
      <c r="AF1871">
        <v>6.18591182142407</v>
      </c>
      <c r="AG1871">
        <v>-1.1061068077380001</v>
      </c>
      <c r="AH1871">
        <v>6.3861625306382699</v>
      </c>
      <c r="AI1871">
        <v>97.091644594459396</v>
      </c>
      <c r="AJ1871">
        <v>45.9125423538486</v>
      </c>
      <c r="AK1871">
        <v>8.9594670154137397</v>
      </c>
      <c r="AL1871">
        <v>81.267419190510594</v>
      </c>
      <c r="AM1871">
        <v>56.568548989733401</v>
      </c>
      <c r="AN1871">
        <v>1.0000000309816901</v>
      </c>
    </row>
    <row r="1872" spans="1:40" x14ac:dyDescent="0.25">
      <c r="A1872" t="str">
        <f>"20190312164025580"</f>
        <v>20190312164025580</v>
      </c>
      <c r="B1872" t="str">
        <f>"1552380025567659"</f>
        <v>1552380025567659</v>
      </c>
      <c r="C1872" t="s">
        <v>40</v>
      </c>
      <c r="D1872">
        <v>5.8084249999999997</v>
      </c>
      <c r="E1872">
        <v>0.58778589999999997</v>
      </c>
      <c r="F1872" t="s">
        <v>46</v>
      </c>
      <c r="G1872">
        <v>-200.98159999999999</v>
      </c>
      <c r="H1872" s="1">
        <v>2.2005910000000001E-6</v>
      </c>
      <c r="I1872">
        <v>289.72669999999999</v>
      </c>
      <c r="J1872">
        <v>-193.25569999999999</v>
      </c>
      <c r="K1872">
        <v>1.1059289999999999</v>
      </c>
      <c r="L1872">
        <v>294.15350000000001</v>
      </c>
      <c r="M1872">
        <v>-0.2749027</v>
      </c>
      <c r="N1872">
        <v>0</v>
      </c>
      <c r="O1872">
        <v>-0.96137039999999996</v>
      </c>
      <c r="P1872">
        <v>-0.75031110000000001</v>
      </c>
      <c r="Q1872">
        <v>0.14607120000000001</v>
      </c>
      <c r="R1872">
        <v>-0.64474519999999902</v>
      </c>
      <c r="S1872">
        <v>-2.7045140000000001</v>
      </c>
      <c r="T1872">
        <v>-0.3841445</v>
      </c>
      <c r="U1872">
        <v>-1.6016539999999999</v>
      </c>
      <c r="V1872">
        <v>0.54590139999999998</v>
      </c>
      <c r="W1872">
        <v>0.15138969999999999</v>
      </c>
      <c r="X1872">
        <v>0.82405879999999998</v>
      </c>
      <c r="Y1872">
        <v>0.67984750000000005</v>
      </c>
      <c r="Z1872">
        <v>0.1298552</v>
      </c>
      <c r="AA1872">
        <v>0.721765199999999</v>
      </c>
      <c r="AB1872">
        <v>19</v>
      </c>
      <c r="AC1872">
        <v>-7.7258999999999904</v>
      </c>
      <c r="AD1872">
        <v>-1.1059267994090001</v>
      </c>
      <c r="AE1872">
        <v>-4.4268000000000098</v>
      </c>
      <c r="AF1872">
        <v>6.1167616462958101</v>
      </c>
      <c r="AG1872">
        <v>-1.1059267994090001</v>
      </c>
      <c r="AH1872">
        <v>6.2833611571463104</v>
      </c>
      <c r="AI1872">
        <v>97.188064520706703</v>
      </c>
      <c r="AJ1872">
        <v>45.769740325332101</v>
      </c>
      <c r="AK1872">
        <v>8.8384656221756899</v>
      </c>
      <c r="AL1872">
        <v>81.292530082148204</v>
      </c>
      <c r="AM1872">
        <v>56.4773414680187</v>
      </c>
      <c r="AN1872">
        <v>1.00000004282274</v>
      </c>
    </row>
    <row r="1873" spans="1:40" x14ac:dyDescent="0.25">
      <c r="A1873" t="str">
        <f>"20190312164025601"</f>
        <v>20190312164025601</v>
      </c>
      <c r="B1873" t="str">
        <f>"1552380025597915"</f>
        <v>1552380025597915</v>
      </c>
      <c r="C1873" t="s">
        <v>40</v>
      </c>
      <c r="D1873">
        <v>5.6794960000000003</v>
      </c>
      <c r="E1873">
        <v>0.58634449999999905</v>
      </c>
      <c r="F1873" t="s">
        <v>46</v>
      </c>
      <c r="G1873">
        <v>-201.34710000000001</v>
      </c>
      <c r="H1873" s="1">
        <v>2.3906329999999999E-6</v>
      </c>
      <c r="I1873">
        <v>289.4633</v>
      </c>
      <c r="J1873">
        <v>-193.31720000000001</v>
      </c>
      <c r="K1873">
        <v>1.1057699999999999</v>
      </c>
      <c r="L1873">
        <v>293.97489999999999</v>
      </c>
      <c r="M1873">
        <v>-0.2831342</v>
      </c>
      <c r="N1873">
        <v>0</v>
      </c>
      <c r="O1873">
        <v>-0.95897779999999999</v>
      </c>
      <c r="P1873">
        <v>-0.75671669999999902</v>
      </c>
      <c r="Q1873">
        <v>0.14508209999999999</v>
      </c>
      <c r="R1873">
        <v>-0.63744089999999998</v>
      </c>
      <c r="S1873">
        <v>-2.7172239999999999</v>
      </c>
      <c r="T1873">
        <v>-0.3713901</v>
      </c>
      <c r="U1873">
        <v>-1.575043</v>
      </c>
      <c r="V1873">
        <v>0.54706069999999996</v>
      </c>
      <c r="W1873">
        <v>0.15018999999999999</v>
      </c>
      <c r="X1873">
        <v>0.8235093</v>
      </c>
      <c r="Y1873">
        <v>0.68081440000000004</v>
      </c>
      <c r="Z1873">
        <v>0.12582289999999999</v>
      </c>
      <c r="AA1873">
        <v>0.72156799999999999</v>
      </c>
      <c r="AB1873">
        <v>19</v>
      </c>
      <c r="AC1873">
        <v>-8.0298999999999907</v>
      </c>
      <c r="AD1873">
        <v>-1.1057676093669999</v>
      </c>
      <c r="AE1873">
        <v>-4.5115999999999801</v>
      </c>
      <c r="AF1873">
        <v>6.3324683124816898</v>
      </c>
      <c r="AG1873">
        <v>-1.1057676093669999</v>
      </c>
      <c r="AH1873">
        <v>6.5069271852420103</v>
      </c>
      <c r="AI1873">
        <v>96.943579452323206</v>
      </c>
      <c r="AJ1873">
        <v>45.778474501621197</v>
      </c>
      <c r="AK1873">
        <v>9.14674687135002</v>
      </c>
      <c r="AL1873">
        <v>81.362062562271205</v>
      </c>
      <c r="AM1873">
        <v>56.403744372514097</v>
      </c>
      <c r="AN1873">
        <v>1.0000000063854899</v>
      </c>
    </row>
    <row r="1874" spans="1:40" x14ac:dyDescent="0.25">
      <c r="A1874" t="str">
        <f>"20190312164025624"</f>
        <v>20190312164025624</v>
      </c>
      <c r="B1874" t="str">
        <f>"1552380025618410"</f>
        <v>1552380025618410</v>
      </c>
      <c r="C1874" t="s">
        <v>40</v>
      </c>
      <c r="D1874">
        <v>5.7914960000000004</v>
      </c>
      <c r="E1874">
        <v>0.58553500000000003</v>
      </c>
      <c r="F1874" t="s">
        <v>46</v>
      </c>
      <c r="G1874">
        <v>-201.6352</v>
      </c>
      <c r="H1874" s="1">
        <v>2.538511E-6</v>
      </c>
      <c r="I1874">
        <v>289.23340000000002</v>
      </c>
      <c r="J1874">
        <v>-193.386</v>
      </c>
      <c r="K1874">
        <v>1.105621</v>
      </c>
      <c r="L1874">
        <v>293.78190000000001</v>
      </c>
      <c r="M1874">
        <v>-0.29233029999999999</v>
      </c>
      <c r="N1874">
        <v>0</v>
      </c>
      <c r="O1874">
        <v>-0.95621400000000001</v>
      </c>
      <c r="P1874">
        <v>-0.76373769999999996</v>
      </c>
      <c r="Q1874">
        <v>0.1444821</v>
      </c>
      <c r="R1874">
        <v>-0.62914989999999904</v>
      </c>
      <c r="S1874">
        <v>-2.725311</v>
      </c>
      <c r="T1874">
        <v>-0.36229299999999998</v>
      </c>
      <c r="U1874">
        <v>-1.5534969999999999</v>
      </c>
      <c r="V1874">
        <v>0.54829240000000001</v>
      </c>
      <c r="W1874">
        <v>0.1494037</v>
      </c>
      <c r="X1874">
        <v>0.82283289999999998</v>
      </c>
      <c r="Y1874">
        <v>0.67936200000000002</v>
      </c>
      <c r="Z1874">
        <v>0.1229842</v>
      </c>
      <c r="AA1874">
        <v>0.72342399999999996</v>
      </c>
      <c r="AB1874">
        <v>19</v>
      </c>
      <c r="AC1874">
        <v>-8.2492000000000001</v>
      </c>
      <c r="AD1874">
        <v>-1.1056184614889999</v>
      </c>
      <c r="AE1874">
        <v>-4.54849999999999</v>
      </c>
      <c r="AF1874">
        <v>6.4698607250558302</v>
      </c>
      <c r="AG1874">
        <v>-1.1056184614889999</v>
      </c>
      <c r="AH1874">
        <v>6.66962329961755</v>
      </c>
      <c r="AI1874">
        <v>96.785430197136904</v>
      </c>
      <c r="AJ1874">
        <v>45.871013709003897</v>
      </c>
      <c r="AK1874">
        <v>9.35763671782607</v>
      </c>
      <c r="AL1874">
        <v>81.407628319688996</v>
      </c>
      <c r="AM1874">
        <v>56.322606356970503</v>
      </c>
      <c r="AN1874">
        <v>1.0000000013969299</v>
      </c>
    </row>
    <row r="1875" spans="1:40" x14ac:dyDescent="0.25">
      <c r="A1875" t="str">
        <f>"20190312164025648"</f>
        <v>20190312164025648</v>
      </c>
      <c r="B1875" t="str">
        <f>"1552380025637930"</f>
        <v>1552380025637930</v>
      </c>
      <c r="C1875" t="s">
        <v>40</v>
      </c>
      <c r="D1875">
        <v>5.9387049999999997</v>
      </c>
      <c r="E1875">
        <v>0.5849261</v>
      </c>
      <c r="F1875" t="s">
        <v>46</v>
      </c>
      <c r="G1875">
        <v>-201.8562</v>
      </c>
      <c r="H1875" s="1">
        <v>2.6515919999999999E-6</v>
      </c>
      <c r="I1875">
        <v>289.06079999999997</v>
      </c>
      <c r="J1875">
        <v>-193.45679999999999</v>
      </c>
      <c r="K1875">
        <v>1.105494</v>
      </c>
      <c r="L1875">
        <v>293.58999999999997</v>
      </c>
      <c r="M1875">
        <v>-0.3017649</v>
      </c>
      <c r="N1875">
        <v>0</v>
      </c>
      <c r="O1875">
        <v>-0.95327799999999996</v>
      </c>
      <c r="P1875">
        <v>-0.77045059999999999</v>
      </c>
      <c r="Q1875">
        <v>0.14366590000000001</v>
      </c>
      <c r="R1875">
        <v>-0.62110109999999996</v>
      </c>
      <c r="S1875">
        <v>-2.738327</v>
      </c>
      <c r="T1875">
        <v>-0.35743509999999901</v>
      </c>
      <c r="U1875">
        <v>-1.5263059999999999</v>
      </c>
      <c r="V1875">
        <v>0.54897680000000004</v>
      </c>
      <c r="W1875">
        <v>0.14844789999999999</v>
      </c>
      <c r="X1875">
        <v>0.82254950000000004</v>
      </c>
      <c r="Y1875">
        <v>0.67925909999999901</v>
      </c>
      <c r="Z1875">
        <v>0.12151919999999999</v>
      </c>
      <c r="AA1875">
        <v>0.72376809999999903</v>
      </c>
      <c r="AB1875">
        <v>19</v>
      </c>
      <c r="AC1875">
        <v>-8.3994000000000106</v>
      </c>
      <c r="AD1875">
        <v>-1.105491348408</v>
      </c>
      <c r="AE1875">
        <v>-4.5292000000000003</v>
      </c>
      <c r="AF1875">
        <v>6.5529274285529198</v>
      </c>
      <c r="AG1875">
        <v>-1.105491348408</v>
      </c>
      <c r="AH1875">
        <v>6.7621616873325099</v>
      </c>
      <c r="AI1875">
        <v>96.695943858748194</v>
      </c>
      <c r="AJ1875">
        <v>45.900275862917603</v>
      </c>
      <c r="AK1875">
        <v>9.4810231352377698</v>
      </c>
      <c r="AL1875">
        <v>81.463009142359695</v>
      </c>
      <c r="AM1875">
        <v>56.280503648697</v>
      </c>
      <c r="AN1875">
        <v>0.99999999295145003</v>
      </c>
    </row>
    <row r="1876" spans="1:40" x14ac:dyDescent="0.25">
      <c r="A1876" t="str">
        <f>"20190312164025670"</f>
        <v>20190312164025670</v>
      </c>
      <c r="B1876" t="str">
        <f>"1552380025658230"</f>
        <v>1552380025658230</v>
      </c>
      <c r="C1876" t="s">
        <v>40</v>
      </c>
      <c r="D1876">
        <v>5.810886</v>
      </c>
      <c r="E1876">
        <v>0.58425939999999998</v>
      </c>
      <c r="F1876" t="s">
        <v>46</v>
      </c>
      <c r="G1876">
        <v>-202.0514</v>
      </c>
      <c r="H1876" s="1">
        <v>2.7510610000000002E-6</v>
      </c>
      <c r="I1876">
        <v>288.91320000000002</v>
      </c>
      <c r="J1876">
        <v>-193.52359999999999</v>
      </c>
      <c r="K1876">
        <v>1.1053959999999901</v>
      </c>
      <c r="L1876">
        <v>293.4151</v>
      </c>
      <c r="M1876">
        <v>-0.31062089999999998</v>
      </c>
      <c r="N1876">
        <v>0</v>
      </c>
      <c r="O1876">
        <v>-0.95042870000000002</v>
      </c>
      <c r="P1876">
        <v>-0.7768524</v>
      </c>
      <c r="Q1876">
        <v>0.14308979999999999</v>
      </c>
      <c r="R1876">
        <v>-0.61320969999999997</v>
      </c>
      <c r="S1876">
        <v>-2.7524410000000001</v>
      </c>
      <c r="T1876">
        <v>-0.35403810000000002</v>
      </c>
      <c r="U1876">
        <v>-1.4977720000000001</v>
      </c>
      <c r="V1876">
        <v>0.54984659999999996</v>
      </c>
      <c r="W1876">
        <v>0.14774949999999901</v>
      </c>
      <c r="X1876">
        <v>0.82209409999999905</v>
      </c>
      <c r="Y1876">
        <v>0.67992940000000002</v>
      </c>
      <c r="Z1876">
        <v>0.1205233</v>
      </c>
      <c r="AA1876">
        <v>0.72330499999999998</v>
      </c>
      <c r="AB1876">
        <v>19</v>
      </c>
      <c r="AC1876">
        <v>-8.5278000000000098</v>
      </c>
      <c r="AD1876">
        <v>-1.1053932489389999</v>
      </c>
      <c r="AE1876">
        <v>-4.5018999999999698</v>
      </c>
      <c r="AF1876">
        <v>6.6203607194217096</v>
      </c>
      <c r="AG1876">
        <v>-1.1053932489389999</v>
      </c>
      <c r="AH1876">
        <v>6.8384829260998599</v>
      </c>
      <c r="AI1876">
        <v>96.624429066861595</v>
      </c>
      <c r="AJ1876">
        <v>45.928488969070202</v>
      </c>
      <c r="AK1876">
        <v>9.5820623573749106</v>
      </c>
      <c r="AL1876">
        <v>81.503470366954005</v>
      </c>
      <c r="AM1876">
        <v>56.223946503716199</v>
      </c>
      <c r="AN1876">
        <v>0.99999995376830797</v>
      </c>
    </row>
    <row r="1877" spans="1:40" x14ac:dyDescent="0.25">
      <c r="A1877" t="str">
        <f>"20190312164025691"</f>
        <v>20190312164025691</v>
      </c>
      <c r="B1877" t="str">
        <f>"1552380025688486"</f>
        <v>1552380025688486</v>
      </c>
      <c r="C1877" t="s">
        <v>40</v>
      </c>
      <c r="D1877">
        <v>5.9690050000000001</v>
      </c>
      <c r="E1877">
        <v>0.58418099999999995</v>
      </c>
      <c r="F1877" t="s">
        <v>46</v>
      </c>
      <c r="G1877">
        <v>-202.21299999999999</v>
      </c>
      <c r="H1877" s="1">
        <v>2.8333539999999998E-6</v>
      </c>
      <c r="I1877">
        <v>288.79149999999998</v>
      </c>
      <c r="J1877">
        <v>-193.59</v>
      </c>
      <c r="K1877">
        <v>1.105291</v>
      </c>
      <c r="L1877">
        <v>293.2466</v>
      </c>
      <c r="M1877">
        <v>-0.31940299999999999</v>
      </c>
      <c r="N1877">
        <v>0</v>
      </c>
      <c r="O1877">
        <v>-0.94751289999999999</v>
      </c>
      <c r="P1877">
        <v>-0.78278669999999995</v>
      </c>
      <c r="Q1877">
        <v>0.1424831</v>
      </c>
      <c r="R1877">
        <v>-0.60575900000000005</v>
      </c>
      <c r="S1877">
        <v>-2.7651370000000002</v>
      </c>
      <c r="T1877">
        <v>-0.35175620000000002</v>
      </c>
      <c r="U1877">
        <v>-1.4713130000000001</v>
      </c>
      <c r="V1877">
        <v>0.55022910000000003</v>
      </c>
      <c r="W1877">
        <v>0.14702789999999999</v>
      </c>
      <c r="X1877">
        <v>0.82196759999999902</v>
      </c>
      <c r="Y1877">
        <v>0.68002739999999995</v>
      </c>
      <c r="Z1877">
        <v>0.11987299999999999</v>
      </c>
      <c r="AA1877">
        <v>0.72332099999999999</v>
      </c>
      <c r="AB1877">
        <v>19</v>
      </c>
      <c r="AC1877">
        <v>-8.6229999999999905</v>
      </c>
      <c r="AD1877">
        <v>-1.1052881666459999</v>
      </c>
      <c r="AE1877">
        <v>-4.4551000000000096</v>
      </c>
      <c r="AF1877">
        <v>6.6617188858425402</v>
      </c>
      <c r="AG1877">
        <v>-1.1052881666459999</v>
      </c>
      <c r="AH1877">
        <v>6.8868673866106898</v>
      </c>
      <c r="AI1877">
        <v>96.580272450104601</v>
      </c>
      <c r="AJ1877">
        <v>45.952045573660001</v>
      </c>
      <c r="AK1877">
        <v>9.6451595552422393</v>
      </c>
      <c r="AL1877">
        <v>81.545271928949205</v>
      </c>
      <c r="AM1877">
        <v>56.201455970768997</v>
      </c>
      <c r="AN1877">
        <v>1.0000000006574801</v>
      </c>
    </row>
    <row r="1878" spans="1:40" x14ac:dyDescent="0.25">
      <c r="A1878" t="str">
        <f>"20190312164025712"</f>
        <v>20190312164025712</v>
      </c>
      <c r="B1878" t="str">
        <f>"1552380025708006"</f>
        <v>1552380025708006</v>
      </c>
      <c r="C1878" t="s">
        <v>40</v>
      </c>
      <c r="D1878">
        <v>5.697794</v>
      </c>
      <c r="E1878">
        <v>0.58873880000000001</v>
      </c>
      <c r="F1878" t="s">
        <v>46</v>
      </c>
      <c r="G1878">
        <v>-202.24799999999999</v>
      </c>
      <c r="H1878" s="1">
        <v>2.852814E-6</v>
      </c>
      <c r="I1878">
        <v>288.7466</v>
      </c>
      <c r="J1878">
        <v>-193.661</v>
      </c>
      <c r="K1878">
        <v>1.1051690000000001</v>
      </c>
      <c r="L1878">
        <v>293.0718</v>
      </c>
      <c r="M1878">
        <v>-0.3287697</v>
      </c>
      <c r="N1878">
        <v>0</v>
      </c>
      <c r="O1878">
        <v>-0.94430309999999995</v>
      </c>
      <c r="P1878">
        <v>-0.78930959999999994</v>
      </c>
      <c r="Q1878">
        <v>0.1424648</v>
      </c>
      <c r="R1878">
        <v>-0.59723890000000002</v>
      </c>
      <c r="S1878">
        <v>-2.7792210000000002</v>
      </c>
      <c r="T1878">
        <v>-0.35479490000000002</v>
      </c>
      <c r="U1878">
        <v>-1.4444889999999999</v>
      </c>
      <c r="V1878">
        <v>0.5510486</v>
      </c>
      <c r="W1878">
        <v>0.1468595</v>
      </c>
      <c r="X1878">
        <v>0.82144859999999897</v>
      </c>
      <c r="Y1878">
        <v>0.67969290000000004</v>
      </c>
      <c r="Z1878">
        <v>0.1209467</v>
      </c>
      <c r="AA1878">
        <v>0.72345669999999995</v>
      </c>
      <c r="AB1878">
        <v>19</v>
      </c>
      <c r="AC1878">
        <v>-8.5870000000000104</v>
      </c>
      <c r="AD1878">
        <v>-1.1051661471859999</v>
      </c>
      <c r="AE1878">
        <v>-4.3251999999999899</v>
      </c>
      <c r="AF1878">
        <v>6.6002083420559599</v>
      </c>
      <c r="AG1878">
        <v>-1.1051661471859999</v>
      </c>
      <c r="AH1878">
        <v>6.8180614910256701</v>
      </c>
      <c r="AI1878">
        <v>96.642925060998905</v>
      </c>
      <c r="AJ1878">
        <v>45.930147447318603</v>
      </c>
      <c r="AK1878">
        <v>9.55353886613951</v>
      </c>
      <c r="AL1878">
        <v>81.555026736985297</v>
      </c>
      <c r="AM1878">
        <v>56.145286660357499</v>
      </c>
      <c r="AN1878">
        <v>1.0000000373720801</v>
      </c>
    </row>
    <row r="1879" spans="1:40" x14ac:dyDescent="0.25">
      <c r="A1879" t="str">
        <f>"20190312164025736"</f>
        <v>20190312164025736</v>
      </c>
      <c r="B1879" t="str">
        <f>"1552380025728503"</f>
        <v>1552380025728503</v>
      </c>
      <c r="C1879" t="s">
        <v>40</v>
      </c>
      <c r="D1879">
        <v>5.9288420000000004</v>
      </c>
      <c r="E1879">
        <v>0.57841629999999999</v>
      </c>
      <c r="F1879" t="s">
        <v>46</v>
      </c>
      <c r="G1879">
        <v>-200.43799999999999</v>
      </c>
      <c r="H1879" s="1">
        <v>1.9636499999999998E-6</v>
      </c>
      <c r="I1879">
        <v>289.69540000000001</v>
      </c>
      <c r="J1879">
        <v>-193.74010000000001</v>
      </c>
      <c r="K1879">
        <v>1.1050219999999999</v>
      </c>
      <c r="L1879">
        <v>292.88369999999998</v>
      </c>
      <c r="M1879">
        <v>-0.33915380000000001</v>
      </c>
      <c r="N1879">
        <v>0</v>
      </c>
      <c r="O1879">
        <v>-0.94062270000000003</v>
      </c>
      <c r="P1879">
        <v>-0.79616200000000004</v>
      </c>
      <c r="Q1879">
        <v>0.14277100000000001</v>
      </c>
      <c r="R1879">
        <v>-0.58799919999999894</v>
      </c>
      <c r="S1879">
        <v>-2.8205260000000001</v>
      </c>
      <c r="T1879">
        <v>-0.45996110000000001</v>
      </c>
      <c r="U1879">
        <v>-1.405243</v>
      </c>
      <c r="V1879">
        <v>0.55158189999999996</v>
      </c>
      <c r="W1879">
        <v>0.1469859</v>
      </c>
      <c r="X1879">
        <v>0.82106789999999996</v>
      </c>
      <c r="Y1879">
        <v>0.67962279999999997</v>
      </c>
      <c r="Z1879">
        <v>0.15538979999999999</v>
      </c>
      <c r="AA1879">
        <v>0.71691479999999996</v>
      </c>
      <c r="AB1879">
        <v>19</v>
      </c>
      <c r="AC1879">
        <v>-6.6978999999999704</v>
      </c>
      <c r="AD1879">
        <v>-1.10502003635</v>
      </c>
      <c r="AE1879">
        <v>-3.1882999999999599</v>
      </c>
      <c r="AF1879">
        <v>5.1060982386522902</v>
      </c>
      <c r="AG1879">
        <v>-1.10502003635</v>
      </c>
      <c r="AH1879">
        <v>5.15671321407528</v>
      </c>
      <c r="AI1879">
        <v>98.657906212868298</v>
      </c>
      <c r="AJ1879">
        <v>45.282573734567698</v>
      </c>
      <c r="AK1879">
        <v>7.3406402769596104</v>
      </c>
      <c r="AL1879">
        <v>81.547704537891605</v>
      </c>
      <c r="AM1879">
        <v>56.107347900419903</v>
      </c>
      <c r="AN1879">
        <v>0.99999997180841405</v>
      </c>
    </row>
    <row r="1880" spans="1:40" x14ac:dyDescent="0.25">
      <c r="A1880" t="str">
        <f>"20190312164025758"</f>
        <v>20190312164025758</v>
      </c>
      <c r="B1880" t="str">
        <f>"1552380025748026"</f>
        <v>1552380025748026</v>
      </c>
      <c r="C1880" t="s">
        <v>40</v>
      </c>
      <c r="D1880">
        <v>5.8422510000000001</v>
      </c>
      <c r="E1880">
        <v>0.57728369999999996</v>
      </c>
      <c r="F1880" t="s">
        <v>46</v>
      </c>
      <c r="G1880">
        <v>-203.2422</v>
      </c>
      <c r="H1880" s="1">
        <v>3.3528950000000002E-6</v>
      </c>
      <c r="I1880">
        <v>288.06920000000002</v>
      </c>
      <c r="J1880">
        <v>-193.81469999999999</v>
      </c>
      <c r="K1880">
        <v>1.104878</v>
      </c>
      <c r="L1880">
        <v>292.71249999999998</v>
      </c>
      <c r="M1880">
        <v>-0.34890929999999998</v>
      </c>
      <c r="N1880">
        <v>0</v>
      </c>
      <c r="O1880">
        <v>-0.93704719999999997</v>
      </c>
      <c r="P1880">
        <v>-0.80311480000000002</v>
      </c>
      <c r="Q1880">
        <v>0.1442658</v>
      </c>
      <c r="R1880">
        <v>-0.57809540000000004</v>
      </c>
      <c r="S1880">
        <v>-2.7842709999999999</v>
      </c>
      <c r="T1880">
        <v>-0.3237894</v>
      </c>
      <c r="U1880">
        <v>-1.410706</v>
      </c>
      <c r="V1880">
        <v>0.55304819999999999</v>
      </c>
      <c r="W1880">
        <v>0.1482715</v>
      </c>
      <c r="X1880">
        <v>0.81984959999999996</v>
      </c>
      <c r="Y1880">
        <v>0.67262100000000002</v>
      </c>
      <c r="Z1880">
        <v>0.1107306</v>
      </c>
      <c r="AA1880">
        <v>0.73165550000000001</v>
      </c>
      <c r="AB1880">
        <v>19</v>
      </c>
      <c r="AC1880">
        <v>-9.4275000000000002</v>
      </c>
      <c r="AD1880">
        <v>-1.1048746471049999</v>
      </c>
      <c r="AE1880">
        <v>-4.6432999999999502</v>
      </c>
      <c r="AF1880">
        <v>7.1357841193166802</v>
      </c>
      <c r="AG1880">
        <v>-1.1048746471049999</v>
      </c>
      <c r="AH1880">
        <v>7.5575771920407098</v>
      </c>
      <c r="AI1880">
        <v>96.067681961168603</v>
      </c>
      <c r="AJ1880">
        <v>46.644302304651397</v>
      </c>
      <c r="AK1880">
        <v>10.4526138356375</v>
      </c>
      <c r="AL1880">
        <v>81.473229776945402</v>
      </c>
      <c r="AM1880">
        <v>55.997470565054797</v>
      </c>
      <c r="AN1880">
        <v>1.0000000579278201</v>
      </c>
    </row>
    <row r="1881" spans="1:40" x14ac:dyDescent="0.25">
      <c r="A1881" t="str">
        <f>"20190312164025781"</f>
        <v>20190312164025781</v>
      </c>
      <c r="B1881" t="str">
        <f>"1552380025768522"</f>
        <v>1552380025768522</v>
      </c>
      <c r="C1881" t="s">
        <v>40</v>
      </c>
      <c r="D1881">
        <v>5.9630580000000002</v>
      </c>
      <c r="E1881">
        <v>0.57708349999999997</v>
      </c>
      <c r="F1881" t="s">
        <v>46</v>
      </c>
      <c r="G1881">
        <v>-203.45140000000001</v>
      </c>
      <c r="H1881" s="1">
        <v>3.4571669999999998E-6</v>
      </c>
      <c r="I1881">
        <v>287.93799999999999</v>
      </c>
      <c r="J1881">
        <v>-193.8929</v>
      </c>
      <c r="K1881">
        <v>1.1047199999999999</v>
      </c>
      <c r="L1881">
        <v>292.53930000000003</v>
      </c>
      <c r="M1881">
        <v>-0.35912129999999998</v>
      </c>
      <c r="N1881">
        <v>0</v>
      </c>
      <c r="O1881">
        <v>-0.93318020000000002</v>
      </c>
      <c r="P1881">
        <v>-0.81037090000000001</v>
      </c>
      <c r="Q1881">
        <v>0.14596300000000001</v>
      </c>
      <c r="R1881">
        <v>-0.56744499999999998</v>
      </c>
      <c r="S1881">
        <v>-2.7959290000000001</v>
      </c>
      <c r="T1881">
        <v>-0.32055869999999997</v>
      </c>
      <c r="U1881">
        <v>-1.3852230000000001</v>
      </c>
      <c r="V1881">
        <v>0.55472140000000003</v>
      </c>
      <c r="W1881">
        <v>0.1497426</v>
      </c>
      <c r="X1881">
        <v>0.81845059999999903</v>
      </c>
      <c r="Y1881">
        <v>0.67125610000000002</v>
      </c>
      <c r="Z1881">
        <v>0.1096433</v>
      </c>
      <c r="AA1881">
        <v>0.73307140000000004</v>
      </c>
      <c r="AB1881">
        <v>19</v>
      </c>
      <c r="AC1881">
        <v>-9.5585000000000093</v>
      </c>
      <c r="AD1881">
        <v>-1.1047165428329999</v>
      </c>
      <c r="AE1881">
        <v>-4.6013000000000304</v>
      </c>
      <c r="AF1881">
        <v>7.1901558039245401</v>
      </c>
      <c r="AG1881">
        <v>-1.1047165428329999</v>
      </c>
      <c r="AH1881">
        <v>7.6444020933857297</v>
      </c>
      <c r="AI1881">
        <v>96.009161760816397</v>
      </c>
      <c r="AJ1881">
        <v>46.753895571669801</v>
      </c>
      <c r="AK1881">
        <v>10.552517353223299</v>
      </c>
      <c r="AL1881">
        <v>81.387990119387794</v>
      </c>
      <c r="AM1881">
        <v>55.871751720686802</v>
      </c>
      <c r="AN1881">
        <v>1.00000003125653</v>
      </c>
    </row>
    <row r="1882" spans="1:40" x14ac:dyDescent="0.25">
      <c r="A1882" t="str">
        <f>"20190312164025802"</f>
        <v>20190312164025802</v>
      </c>
      <c r="B1882" t="str">
        <f>"1552380025797798"</f>
        <v>1552380025797798</v>
      </c>
      <c r="C1882" t="s">
        <v>40</v>
      </c>
      <c r="D1882">
        <v>5.9591120000000002</v>
      </c>
      <c r="E1882">
        <v>0.57538650000000002</v>
      </c>
      <c r="F1882" t="s">
        <v>46</v>
      </c>
      <c r="G1882">
        <v>-203.77459999999999</v>
      </c>
      <c r="H1882" s="1">
        <v>3.6129729999999999E-6</v>
      </c>
      <c r="I1882">
        <v>287.79489999999998</v>
      </c>
      <c r="J1882">
        <v>-193.97319999999999</v>
      </c>
      <c r="K1882">
        <v>1.104579</v>
      </c>
      <c r="L1882">
        <v>292.36750000000001</v>
      </c>
      <c r="M1882">
        <v>-0.36953599999999998</v>
      </c>
      <c r="N1882">
        <v>0</v>
      </c>
      <c r="O1882">
        <v>-0.92910429999999999</v>
      </c>
      <c r="P1882">
        <v>-0.81715409999999999</v>
      </c>
      <c r="Q1882">
        <v>0.14762449999999999</v>
      </c>
      <c r="R1882">
        <v>-0.55719510000000005</v>
      </c>
      <c r="S1882">
        <v>-2.8129580000000001</v>
      </c>
      <c r="T1882">
        <v>-0.31447360000000002</v>
      </c>
      <c r="U1882">
        <v>-1.3505549999999999</v>
      </c>
      <c r="V1882">
        <v>0.55567840000000002</v>
      </c>
      <c r="W1882">
        <v>0.15122189999999999</v>
      </c>
      <c r="X1882">
        <v>0.81752880000000006</v>
      </c>
      <c r="Y1882">
        <v>0.67228880000000002</v>
      </c>
      <c r="Z1882">
        <v>0.1076038</v>
      </c>
      <c r="AA1882">
        <v>0.73242689999999999</v>
      </c>
      <c r="AB1882">
        <v>19</v>
      </c>
      <c r="AC1882">
        <v>-9.8013999999999992</v>
      </c>
      <c r="AD1882">
        <v>-1.1045753870270001</v>
      </c>
      <c r="AE1882">
        <v>-4.57260000000002</v>
      </c>
      <c r="AF1882">
        <v>7.34098719213981</v>
      </c>
      <c r="AG1882">
        <v>-1.1045753870270001</v>
      </c>
      <c r="AH1882">
        <v>7.78996145217614</v>
      </c>
      <c r="AI1882">
        <v>95.891707874630598</v>
      </c>
      <c r="AJ1882">
        <v>46.6996148117464</v>
      </c>
      <c r="AK1882">
        <v>10.7607471472559</v>
      </c>
      <c r="AL1882">
        <v>81.302255416814901</v>
      </c>
      <c r="AM1882">
        <v>55.795857964103298</v>
      </c>
      <c r="AN1882">
        <v>0.99999994304780304</v>
      </c>
    </row>
    <row r="1883" spans="1:40" x14ac:dyDescent="0.25">
      <c r="A1883" t="str">
        <f>"20190312164025825"</f>
        <v>20190312164025825</v>
      </c>
      <c r="B1883" t="str">
        <f>"1552380025818294"</f>
        <v>1552380025818294</v>
      </c>
      <c r="C1883" t="s">
        <v>40</v>
      </c>
      <c r="D1883">
        <v>5.7337049999999996</v>
      </c>
      <c r="E1883">
        <v>0.57357329999999995</v>
      </c>
      <c r="F1883" t="s">
        <v>46</v>
      </c>
      <c r="G1883">
        <v>-204.26650000000001</v>
      </c>
      <c r="H1883" s="1">
        <v>3.8537479999999997E-6</v>
      </c>
      <c r="I1883">
        <v>287.53620000000001</v>
      </c>
      <c r="J1883">
        <v>-194.05760000000001</v>
      </c>
      <c r="K1883">
        <v>1.104457</v>
      </c>
      <c r="L1883">
        <v>292.19279999999998</v>
      </c>
      <c r="M1883">
        <v>-0.3804266</v>
      </c>
      <c r="N1883">
        <v>0</v>
      </c>
      <c r="O1883">
        <v>-0.92469769999999896</v>
      </c>
      <c r="P1883">
        <v>-0.82413019999999904</v>
      </c>
      <c r="Q1883">
        <v>0.1488679</v>
      </c>
      <c r="R1883">
        <v>-0.54648699999999995</v>
      </c>
      <c r="S1883">
        <v>-2.822632</v>
      </c>
      <c r="T1883">
        <v>-0.3028961</v>
      </c>
      <c r="U1883">
        <v>-1.324829</v>
      </c>
      <c r="V1883">
        <v>0.55660109999999996</v>
      </c>
      <c r="W1883">
        <v>0.15231059999999999</v>
      </c>
      <c r="X1883">
        <v>0.816698699999999</v>
      </c>
      <c r="Y1883">
        <v>0.67045059999999901</v>
      </c>
      <c r="Z1883">
        <v>0.1036798</v>
      </c>
      <c r="AA1883">
        <v>0.73467439999999995</v>
      </c>
      <c r="AB1883">
        <v>19</v>
      </c>
      <c r="AC1883">
        <v>-10.2089</v>
      </c>
      <c r="AD1883">
        <v>-1.104453146252</v>
      </c>
      <c r="AE1883">
        <v>-4.6565999999999601</v>
      </c>
      <c r="AF1883">
        <v>7.59586490708074</v>
      </c>
      <c r="AG1883">
        <v>-1.104453146252</v>
      </c>
      <c r="AH1883">
        <v>8.1119521138109203</v>
      </c>
      <c r="AI1883">
        <v>95.675590548190897</v>
      </c>
      <c r="AJ1883">
        <v>46.881800998679303</v>
      </c>
      <c r="AK1883">
        <v>11.1678443549168</v>
      </c>
      <c r="AL1883">
        <v>81.239147278435397</v>
      </c>
      <c r="AM1883">
        <v>55.724566987023202</v>
      </c>
      <c r="AN1883">
        <v>1.0000000349876199</v>
      </c>
    </row>
    <row r="1884" spans="1:40" x14ac:dyDescent="0.25">
      <c r="A1884" t="str">
        <f>"20190312164025848"</f>
        <v>20190312164025848</v>
      </c>
      <c r="B1884" t="str">
        <f>"1552380025837814"</f>
        <v>1552380025837814</v>
      </c>
      <c r="C1884" t="s">
        <v>40</v>
      </c>
      <c r="D1884">
        <v>5.5763490000000004</v>
      </c>
      <c r="E1884">
        <v>0.57336929999999997</v>
      </c>
      <c r="F1884" t="s">
        <v>46</v>
      </c>
      <c r="G1884">
        <v>-204.7269</v>
      </c>
      <c r="H1884" s="1">
        <v>4.0783959999999997E-6</v>
      </c>
      <c r="I1884">
        <v>287.30169999999998</v>
      </c>
      <c r="J1884">
        <v>-194.14580000000001</v>
      </c>
      <c r="K1884">
        <v>1.1043459999999901</v>
      </c>
      <c r="L1884">
        <v>292.01659999999998</v>
      </c>
      <c r="M1884">
        <v>-0.39172750000000001</v>
      </c>
      <c r="N1884">
        <v>0</v>
      </c>
      <c r="O1884">
        <v>-0.91996630000000001</v>
      </c>
      <c r="P1884">
        <v>-0.83106749999999996</v>
      </c>
      <c r="Q1884">
        <v>0.14957889999999999</v>
      </c>
      <c r="R1884">
        <v>-0.53568009999999999</v>
      </c>
      <c r="S1884">
        <v>-2.8321990000000001</v>
      </c>
      <c r="T1884">
        <v>-0.29318250000000001</v>
      </c>
      <c r="U1884">
        <v>-1.29837</v>
      </c>
      <c r="V1884">
        <v>0.55719879999999999</v>
      </c>
      <c r="W1884">
        <v>0.15288560000000001</v>
      </c>
      <c r="X1884">
        <v>0.81618359999999901</v>
      </c>
      <c r="Y1884">
        <v>0.66832230000000004</v>
      </c>
      <c r="Z1884">
        <v>0.10036399999999999</v>
      </c>
      <c r="AA1884">
        <v>0.73707009999999995</v>
      </c>
      <c r="AB1884">
        <v>19</v>
      </c>
      <c r="AC1884">
        <v>-10.5810999999999</v>
      </c>
      <c r="AD1884">
        <v>-1.10434192160399</v>
      </c>
      <c r="AE1884">
        <v>-4.7149000000000001</v>
      </c>
      <c r="AF1884">
        <v>7.8170891499083304</v>
      </c>
      <c r="AG1884">
        <v>-1.10434192160399</v>
      </c>
      <c r="AH1884">
        <v>8.4069487743020694</v>
      </c>
      <c r="AI1884">
        <v>95.494915652789004</v>
      </c>
      <c r="AJ1884">
        <v>47.0821935788885</v>
      </c>
      <c r="AK1884">
        <v>11.5327031328811</v>
      </c>
      <c r="AL1884">
        <v>81.205812271789199</v>
      </c>
      <c r="AM1884">
        <v>55.679113129518797</v>
      </c>
      <c r="AN1884">
        <v>1.0000000891588701</v>
      </c>
    </row>
    <row r="1885" spans="1:40" x14ac:dyDescent="0.25">
      <c r="A1885" t="str">
        <f>"20190312164025871"</f>
        <v>20190312164025871</v>
      </c>
      <c r="B1885" t="str">
        <f>"1552380025868070"</f>
        <v>1552380025868070</v>
      </c>
      <c r="C1885" t="s">
        <v>40</v>
      </c>
      <c r="D1885">
        <v>5.6935789999999997</v>
      </c>
      <c r="E1885">
        <v>0.57278379999999995</v>
      </c>
      <c r="F1885" t="s">
        <v>46</v>
      </c>
      <c r="G1885">
        <v>-204.9204</v>
      </c>
      <c r="H1885" s="1">
        <v>4.1696709999999999E-6</v>
      </c>
      <c r="I1885">
        <v>287.23950000000002</v>
      </c>
      <c r="J1885">
        <v>-194.23419999999999</v>
      </c>
      <c r="K1885">
        <v>1.1042240000000001</v>
      </c>
      <c r="L1885">
        <v>291.84559999999999</v>
      </c>
      <c r="M1885">
        <v>-0.40301029999999999</v>
      </c>
      <c r="N1885">
        <v>0</v>
      </c>
      <c r="O1885">
        <v>-0.91507919999999998</v>
      </c>
      <c r="P1885">
        <v>-0.83790799999999999</v>
      </c>
      <c r="Q1885">
        <v>0.1493794</v>
      </c>
      <c r="R1885">
        <v>-0.52497320000000003</v>
      </c>
      <c r="S1885">
        <v>-2.8483580000000002</v>
      </c>
      <c r="T1885">
        <v>-0.29194029999999999</v>
      </c>
      <c r="U1885">
        <v>-1.2628779999999999</v>
      </c>
      <c r="V1885">
        <v>0.55771139999999997</v>
      </c>
      <c r="W1885">
        <v>0.15255479999999999</v>
      </c>
      <c r="X1885">
        <v>0.81589529999999999</v>
      </c>
      <c r="Y1885">
        <v>0.66848209999999997</v>
      </c>
      <c r="Z1885">
        <v>9.989344E-2</v>
      </c>
      <c r="AA1885">
        <v>0.73698909999999995</v>
      </c>
      <c r="AB1885">
        <v>19</v>
      </c>
      <c r="AC1885">
        <v>-10.686199999999999</v>
      </c>
      <c r="AD1885">
        <v>-1.1042198303289901</v>
      </c>
      <c r="AE1885">
        <v>-4.6060999999999597</v>
      </c>
      <c r="AF1885">
        <v>7.8525486496913501</v>
      </c>
      <c r="AG1885">
        <v>-1.1042198303289901</v>
      </c>
      <c r="AH1885">
        <v>8.4464460485912607</v>
      </c>
      <c r="AI1885">
        <v>95.469181958552895</v>
      </c>
      <c r="AJ1885">
        <v>47.086801512360601</v>
      </c>
      <c r="AK1885">
        <v>11.585519952994</v>
      </c>
      <c r="AL1885">
        <v>81.224990399323104</v>
      </c>
      <c r="AM1885">
        <v>55.645145713533203</v>
      </c>
      <c r="AN1885">
        <v>1.00000005662754</v>
      </c>
    </row>
    <row r="1886" spans="1:40" x14ac:dyDescent="0.25">
      <c r="A1886" t="str">
        <f>"20190312164025892"</f>
        <v>20190312164025892</v>
      </c>
      <c r="B1886" t="str">
        <f>"1552380025888567"</f>
        <v>1552380025888567</v>
      </c>
      <c r="C1886" t="s">
        <v>40</v>
      </c>
      <c r="D1886">
        <v>5.6238419999999998</v>
      </c>
      <c r="E1886">
        <v>0.57399339999999999</v>
      </c>
      <c r="F1886" t="s">
        <v>46</v>
      </c>
      <c r="G1886">
        <v>-205.0616</v>
      </c>
      <c r="H1886" s="1">
        <v>4.2362880000000001E-6</v>
      </c>
      <c r="I1886">
        <v>287.19349999999997</v>
      </c>
      <c r="J1886">
        <v>-194.3194</v>
      </c>
      <c r="K1886">
        <v>1.104106</v>
      </c>
      <c r="L1886">
        <v>291.68639999999999</v>
      </c>
      <c r="M1886">
        <v>-0.4137979</v>
      </c>
      <c r="N1886">
        <v>0</v>
      </c>
      <c r="O1886">
        <v>-0.91025080000000003</v>
      </c>
      <c r="P1886">
        <v>-0.8440183</v>
      </c>
      <c r="Q1886">
        <v>0.14959249999999999</v>
      </c>
      <c r="R1886">
        <v>-0.51502959999999998</v>
      </c>
      <c r="S1886">
        <v>-2.8619690000000002</v>
      </c>
      <c r="T1886">
        <v>-0.2918752</v>
      </c>
      <c r="U1886">
        <v>-1.2296750000000001</v>
      </c>
      <c r="V1886">
        <v>0.55772959999999905</v>
      </c>
      <c r="W1886">
        <v>0.15264710000000001</v>
      </c>
      <c r="X1886">
        <v>0.81586550000000002</v>
      </c>
      <c r="Y1886">
        <v>0.66821830000000004</v>
      </c>
      <c r="Z1886">
        <v>9.9828529999999999E-2</v>
      </c>
      <c r="AA1886">
        <v>0.73723719999999904</v>
      </c>
      <c r="AB1886">
        <v>19</v>
      </c>
      <c r="AC1886">
        <v>-10.742199999999899</v>
      </c>
      <c r="AD1886">
        <v>-1.1041017637119901</v>
      </c>
      <c r="AE1886">
        <v>-4.4929000000000201</v>
      </c>
      <c r="AF1886">
        <v>7.8492199282101804</v>
      </c>
      <c r="AG1886">
        <v>-1.1041017637119901</v>
      </c>
      <c r="AH1886">
        <v>8.4596198842374797</v>
      </c>
      <c r="AI1886">
        <v>95.465121178220897</v>
      </c>
      <c r="AJ1886">
        <v>47.1434403021767</v>
      </c>
      <c r="AK1886">
        <v>11.5928625788383</v>
      </c>
      <c r="AL1886">
        <v>81.219638639591196</v>
      </c>
      <c r="AM1886">
        <v>55.643299678605302</v>
      </c>
      <c r="AN1886">
        <v>0.999999978972409</v>
      </c>
    </row>
    <row r="1887" spans="1:40" x14ac:dyDescent="0.25">
      <c r="A1887" t="str">
        <f>"20190312164025914"</f>
        <v>20190312164025914</v>
      </c>
      <c r="B1887" t="str">
        <f>"1552380025908088"</f>
        <v>1552380025908088</v>
      </c>
      <c r="C1887" t="s">
        <v>40</v>
      </c>
      <c r="D1887">
        <v>5.6825159999999997</v>
      </c>
      <c r="E1887">
        <v>0.57521309999999903</v>
      </c>
      <c r="F1887" t="s">
        <v>46</v>
      </c>
      <c r="G1887">
        <v>-202.16329999999999</v>
      </c>
      <c r="H1887" s="1">
        <v>2.845142E-6</v>
      </c>
      <c r="I1887">
        <v>288.40469999999999</v>
      </c>
      <c r="J1887">
        <v>-194.4119</v>
      </c>
      <c r="K1887">
        <v>1.1039749999999999</v>
      </c>
      <c r="L1887">
        <v>291.51909999999998</v>
      </c>
      <c r="M1887">
        <v>-0.42541689999999999</v>
      </c>
      <c r="N1887">
        <v>0</v>
      </c>
      <c r="O1887">
        <v>-0.90487779999999995</v>
      </c>
      <c r="P1887">
        <v>-0.85040590000000005</v>
      </c>
      <c r="Q1887">
        <v>0.15029879999999901</v>
      </c>
      <c r="R1887">
        <v>-0.50420290000000001</v>
      </c>
      <c r="S1887">
        <v>-2.8889469999999999</v>
      </c>
      <c r="T1887">
        <v>-0.40664529999999999</v>
      </c>
      <c r="U1887">
        <v>-1.2086790000000001</v>
      </c>
      <c r="V1887">
        <v>0.55766059999999995</v>
      </c>
      <c r="W1887">
        <v>0.1532192</v>
      </c>
      <c r="X1887">
        <v>0.81580540000000001</v>
      </c>
      <c r="Y1887">
        <v>0.66137869999999999</v>
      </c>
      <c r="Z1887">
        <v>0.1375284</v>
      </c>
      <c r="AA1887">
        <v>0.73733590000000004</v>
      </c>
      <c r="AB1887">
        <v>19</v>
      </c>
      <c r="AC1887">
        <v>-7.7513999999999896</v>
      </c>
      <c r="AD1887">
        <v>-1.1039721548579999</v>
      </c>
      <c r="AE1887">
        <v>-3.1143999999999799</v>
      </c>
      <c r="AF1887">
        <v>5.5921030333024397</v>
      </c>
      <c r="AG1887">
        <v>-1.1039721548579999</v>
      </c>
      <c r="AH1887">
        <v>6.0114028726518498</v>
      </c>
      <c r="AI1887">
        <v>97.658188957523805</v>
      </c>
      <c r="AJ1887">
        <v>47.0695178481322</v>
      </c>
      <c r="AK1887">
        <v>8.2841617168606199</v>
      </c>
      <c r="AL1887">
        <v>81.186469365154196</v>
      </c>
      <c r="AM1887">
        <v>55.644635851086797</v>
      </c>
      <c r="AN1887">
        <v>0.99999995935507902</v>
      </c>
    </row>
    <row r="1888" spans="1:40" x14ac:dyDescent="0.25">
      <c r="A1888" t="str">
        <f>"20190312164025937"</f>
        <v>20190312164025937</v>
      </c>
      <c r="B1888" t="str">
        <f>"1552380025927606"</f>
        <v>1552380025927606</v>
      </c>
      <c r="C1888" t="s">
        <v>40</v>
      </c>
      <c r="D1888">
        <v>5.8166399999999996</v>
      </c>
      <c r="E1888">
        <v>0.58301729999999996</v>
      </c>
      <c r="F1888" t="s">
        <v>46</v>
      </c>
      <c r="G1888">
        <v>-203.32599999999999</v>
      </c>
      <c r="H1888" s="1">
        <v>3.3975059999999998E-6</v>
      </c>
      <c r="I1888">
        <v>287.98410000000001</v>
      </c>
      <c r="J1888">
        <v>-194.50700000000001</v>
      </c>
      <c r="K1888">
        <v>1.1038399999999999</v>
      </c>
      <c r="L1888">
        <v>291.35289999999998</v>
      </c>
      <c r="M1888">
        <v>-0.43724439999999998</v>
      </c>
      <c r="N1888">
        <v>0</v>
      </c>
      <c r="O1888">
        <v>-0.89922119999999905</v>
      </c>
      <c r="P1888">
        <v>-0.85715259999999904</v>
      </c>
      <c r="Q1888">
        <v>0.1499857</v>
      </c>
      <c r="R1888">
        <v>-0.49274129999999999</v>
      </c>
      <c r="S1888">
        <v>-2.9077000000000002</v>
      </c>
      <c r="T1888">
        <v>-0.36010629999999999</v>
      </c>
      <c r="U1888">
        <v>-1.1531070000000001</v>
      </c>
      <c r="V1888">
        <v>0.55801250000000002</v>
      </c>
      <c r="W1888">
        <v>0.1527645</v>
      </c>
      <c r="X1888">
        <v>0.81565019999999999</v>
      </c>
      <c r="Y1888">
        <v>0.66738299999999995</v>
      </c>
      <c r="Z1888">
        <v>0.1221971</v>
      </c>
      <c r="AA1888">
        <v>0.73462079999999996</v>
      </c>
      <c r="AB1888">
        <v>19</v>
      </c>
      <c r="AC1888">
        <v>-8.8189999999999795</v>
      </c>
      <c r="AD1888">
        <v>-1.1038366024939901</v>
      </c>
      <c r="AE1888">
        <v>-3.3687999999999598</v>
      </c>
      <c r="AF1888">
        <v>6.3708493859730497</v>
      </c>
      <c r="AG1888">
        <v>-1.1038366024939901</v>
      </c>
      <c r="AH1888">
        <v>6.7932334587979799</v>
      </c>
      <c r="AI1888">
        <v>96.7593822099726</v>
      </c>
      <c r="AJ1888">
        <v>46.837767587626601</v>
      </c>
      <c r="AK1888">
        <v>9.3783899454805706</v>
      </c>
      <c r="AL1888">
        <v>81.212833321662899</v>
      </c>
      <c r="AM1888">
        <v>55.622715296450103</v>
      </c>
      <c r="AN1888">
        <v>1.00000009568826</v>
      </c>
    </row>
    <row r="1889" spans="1:40" x14ac:dyDescent="0.25">
      <c r="A1889" t="str">
        <f>"20190312164025959"</f>
        <v>20190312164025959</v>
      </c>
      <c r="B1889" t="str">
        <f>"1552380025948102"</f>
        <v>1552380025948102</v>
      </c>
      <c r="C1889" t="s">
        <v>40</v>
      </c>
      <c r="D1889">
        <v>5.8390040000000001</v>
      </c>
      <c r="E1889">
        <v>0.58654119999999998</v>
      </c>
      <c r="F1889" t="s">
        <v>46</v>
      </c>
      <c r="G1889">
        <v>-204.0701</v>
      </c>
      <c r="H1889" s="1">
        <v>3.7316770000000002E-6</v>
      </c>
      <c r="I1889">
        <v>287.93639999999999</v>
      </c>
      <c r="J1889">
        <v>-194.60329999999999</v>
      </c>
      <c r="K1889">
        <v>1.1037239999999999</v>
      </c>
      <c r="L1889">
        <v>291.19060000000002</v>
      </c>
      <c r="M1889">
        <v>-0.44907649999999999</v>
      </c>
      <c r="N1889">
        <v>0</v>
      </c>
      <c r="O1889">
        <v>-0.89337</v>
      </c>
      <c r="P1889">
        <v>-0.86367629999999995</v>
      </c>
      <c r="Q1889">
        <v>0.1500841</v>
      </c>
      <c r="R1889">
        <v>-0.4811841</v>
      </c>
      <c r="S1889">
        <v>-2.953125</v>
      </c>
      <c r="T1889">
        <v>-0.34086909999999998</v>
      </c>
      <c r="U1889">
        <v>-1.055023</v>
      </c>
      <c r="V1889">
        <v>0.558233599999999</v>
      </c>
      <c r="W1889">
        <v>0.15274090000000001</v>
      </c>
      <c r="X1889">
        <v>0.81550319999999898</v>
      </c>
      <c r="Y1889">
        <v>0.68351859999999998</v>
      </c>
      <c r="Z1889">
        <v>0.1159213</v>
      </c>
      <c r="AA1889">
        <v>0.72066949999999996</v>
      </c>
      <c r="AB1889">
        <v>18</v>
      </c>
      <c r="AC1889">
        <v>-9.4667999999999992</v>
      </c>
      <c r="AD1889">
        <v>-1.1037202683230001</v>
      </c>
      <c r="AE1889">
        <v>-3.25420000000002</v>
      </c>
      <c r="AF1889">
        <v>6.91270732384928</v>
      </c>
      <c r="AG1889">
        <v>-1.1037202683230001</v>
      </c>
      <c r="AH1889">
        <v>7.0733243976352398</v>
      </c>
      <c r="AI1889">
        <v>96.367666167216697</v>
      </c>
      <c r="AJ1889">
        <v>45.657961893459301</v>
      </c>
      <c r="AK1889">
        <v>9.9516651375580594</v>
      </c>
      <c r="AL1889">
        <v>81.214200728922705</v>
      </c>
      <c r="AM1889">
        <v>55.607323572082301</v>
      </c>
      <c r="AN1889">
        <v>1.000000001956</v>
      </c>
    </row>
    <row r="1890" spans="1:40" x14ac:dyDescent="0.25">
      <c r="A1890" t="str">
        <f>"20190312164026015"</f>
        <v>20190312164026015</v>
      </c>
      <c r="B1890" t="str">
        <f>"1552380026007639"</f>
        <v>1552380026007639</v>
      </c>
      <c r="C1890" t="s">
        <v>40</v>
      </c>
      <c r="D1890">
        <v>5.7408099999999997</v>
      </c>
      <c r="E1890">
        <v>0.59054989999999996</v>
      </c>
      <c r="F1890" t="s">
        <v>46</v>
      </c>
      <c r="G1890">
        <v>-204.5701</v>
      </c>
      <c r="H1890" s="1">
        <v>3.9574049999999999E-6</v>
      </c>
      <c r="I1890">
        <v>287.8904</v>
      </c>
      <c r="J1890">
        <v>-194.8546</v>
      </c>
      <c r="K1890">
        <v>1.1035549999999901</v>
      </c>
      <c r="L1890">
        <v>290.791</v>
      </c>
      <c r="M1890">
        <v>-0.47920580000000002</v>
      </c>
      <c r="N1890">
        <v>0</v>
      </c>
      <c r="O1890">
        <v>-0.87757489999999905</v>
      </c>
      <c r="P1890">
        <v>-0.87930750000000002</v>
      </c>
      <c r="Q1890">
        <v>0.14825820000000001</v>
      </c>
      <c r="R1890">
        <v>-0.45259060000000001</v>
      </c>
      <c r="S1890">
        <v>-2.9809570000000001</v>
      </c>
      <c r="T1890">
        <v>-0.33010970000000001</v>
      </c>
      <c r="U1890">
        <v>-0.98706050000000001</v>
      </c>
      <c r="V1890">
        <v>0.55755350000000004</v>
      </c>
      <c r="W1890">
        <v>0.1508005</v>
      </c>
      <c r="X1890">
        <v>0.81632919999999998</v>
      </c>
      <c r="Y1890">
        <v>0.67613259999999997</v>
      </c>
      <c r="Z1890">
        <v>0.1114569</v>
      </c>
      <c r="AA1890">
        <v>0.72830090000000003</v>
      </c>
      <c r="AB1890">
        <v>18</v>
      </c>
      <c r="AC1890">
        <v>-9.7154999999999898</v>
      </c>
      <c r="AD1890">
        <v>-1.1035510425949999</v>
      </c>
      <c r="AE1890">
        <v>-2.9005999999999901</v>
      </c>
      <c r="AF1890">
        <v>7.0533401931712296</v>
      </c>
      <c r="AG1890">
        <v>-1.1035510425949999</v>
      </c>
      <c r="AH1890">
        <v>7.1177080941909097</v>
      </c>
      <c r="AI1890">
        <v>96.284590693347894</v>
      </c>
      <c r="AJ1890">
        <v>45.260247769027998</v>
      </c>
      <c r="AK1890">
        <v>10.081130953336899</v>
      </c>
      <c r="AL1890">
        <v>81.3266807146166</v>
      </c>
      <c r="AM1890">
        <v>55.666892508165098</v>
      </c>
      <c r="AN1890">
        <v>1.0000000294675599</v>
      </c>
    </row>
    <row r="1891" spans="1:40" x14ac:dyDescent="0.25">
      <c r="A1891" t="str">
        <f>"20190312164026036"</f>
        <v>20190312164026036</v>
      </c>
      <c r="B1891" t="str">
        <f>"1552380026028135"</f>
        <v>1552380026028135</v>
      </c>
      <c r="C1891" t="s">
        <v>40</v>
      </c>
      <c r="D1891">
        <v>5.8725809999999896</v>
      </c>
      <c r="E1891">
        <v>0.59081649999999997</v>
      </c>
      <c r="F1891" t="s">
        <v>46</v>
      </c>
      <c r="G1891">
        <v>-204.17859999999999</v>
      </c>
      <c r="H1891" s="1">
        <v>3.7617610000000001E-6</v>
      </c>
      <c r="I1891">
        <v>288.1422</v>
      </c>
      <c r="J1891">
        <v>-194.95760000000001</v>
      </c>
      <c r="K1891">
        <v>1.1035219999999999</v>
      </c>
      <c r="L1891">
        <v>290.6361</v>
      </c>
      <c r="M1891">
        <v>-0.49117729999999998</v>
      </c>
      <c r="N1891">
        <v>0</v>
      </c>
      <c r="O1891">
        <v>-0.87092999999999998</v>
      </c>
      <c r="P1891">
        <v>-0.88489050000000002</v>
      </c>
      <c r="Q1891">
        <v>0.14638579999999901</v>
      </c>
      <c r="R1891">
        <v>-0.44219969999999997</v>
      </c>
      <c r="S1891">
        <v>-3.0292970000000001</v>
      </c>
      <c r="T1891">
        <v>-0.35853889999999999</v>
      </c>
      <c r="U1891">
        <v>-0.86056520000000003</v>
      </c>
      <c r="V1891">
        <v>0.55623590000000001</v>
      </c>
      <c r="W1891">
        <v>0.1489732</v>
      </c>
      <c r="X1891">
        <v>0.81756260000000003</v>
      </c>
      <c r="Y1891">
        <v>0.69591099999999995</v>
      </c>
      <c r="Z1891">
        <v>0.1213042</v>
      </c>
      <c r="AA1891">
        <v>0.70780869999999996</v>
      </c>
      <c r="AB1891">
        <v>18</v>
      </c>
      <c r="AC1891">
        <v>-9.2209999999999699</v>
      </c>
      <c r="AD1891">
        <v>-1.1035182382390001</v>
      </c>
      <c r="AE1891">
        <v>-2.4938999999999898</v>
      </c>
      <c r="AF1891">
        <v>6.7170231642565001</v>
      </c>
      <c r="AG1891">
        <v>-1.1035182382390001</v>
      </c>
      <c r="AH1891">
        <v>6.6136506708643799</v>
      </c>
      <c r="AI1891">
        <v>96.676975156581506</v>
      </c>
      <c r="AJ1891">
        <v>44.555709715063202</v>
      </c>
      <c r="AK1891">
        <v>9.4908654972826092</v>
      </c>
      <c r="AL1891">
        <v>81.4325732871893</v>
      </c>
      <c r="AM1891">
        <v>55.7702431402451</v>
      </c>
      <c r="AN1891">
        <v>0.99999999784290505</v>
      </c>
    </row>
    <row r="1892" spans="1:40" x14ac:dyDescent="0.25">
      <c r="A1892" t="str">
        <f>"20190312164026061"</f>
        <v>20190312164026061</v>
      </c>
      <c r="B1892" t="str">
        <f>"1552380026047655"</f>
        <v>1552380026047655</v>
      </c>
      <c r="C1892" t="s">
        <v>40</v>
      </c>
      <c r="D1892">
        <v>5.7802300000000004</v>
      </c>
      <c r="E1892">
        <v>0.59067369999999997</v>
      </c>
      <c r="F1892" t="s">
        <v>46</v>
      </c>
      <c r="G1892">
        <v>-204.12370000000001</v>
      </c>
      <c r="H1892" s="1">
        <v>3.7358849999999999E-6</v>
      </c>
      <c r="I1892">
        <v>288.15980000000002</v>
      </c>
      <c r="J1892">
        <v>-195.0684</v>
      </c>
      <c r="K1892">
        <v>1.1034999999999999</v>
      </c>
      <c r="L1892">
        <v>290.47489999999999</v>
      </c>
      <c r="M1892">
        <v>-0.50380449999999999</v>
      </c>
      <c r="N1892">
        <v>0</v>
      </c>
      <c r="O1892">
        <v>-0.86368619999999996</v>
      </c>
      <c r="P1892">
        <v>-0.89024919999999996</v>
      </c>
      <c r="Q1892">
        <v>0.14416999999999999</v>
      </c>
      <c r="R1892">
        <v>-0.43205460000000001</v>
      </c>
      <c r="S1892">
        <v>-3.0403440000000002</v>
      </c>
      <c r="T1892">
        <v>-0.36603140000000001</v>
      </c>
      <c r="U1892">
        <v>-0.82138060000000002</v>
      </c>
      <c r="V1892">
        <v>0.55394719999999997</v>
      </c>
      <c r="W1892">
        <v>0.14684820000000001</v>
      </c>
      <c r="X1892">
        <v>0.81949869999999903</v>
      </c>
      <c r="Y1892">
        <v>0.69438120000000003</v>
      </c>
      <c r="Z1892">
        <v>0.12350079999999999</v>
      </c>
      <c r="AA1892">
        <v>0.70893039999999996</v>
      </c>
      <c r="AB1892">
        <v>18</v>
      </c>
      <c r="AC1892">
        <v>-9.0553000000000097</v>
      </c>
      <c r="AD1892">
        <v>-1.1034962641149999</v>
      </c>
      <c r="AE1892">
        <v>-2.31509999999997</v>
      </c>
      <c r="AF1892">
        <v>6.5638410569601904</v>
      </c>
      <c r="AG1892">
        <v>-1.1034962641149999</v>
      </c>
      <c r="AH1892">
        <v>6.4721495652384</v>
      </c>
      <c r="AI1892">
        <v>96.826403099734193</v>
      </c>
      <c r="AJ1892">
        <v>44.597004246831801</v>
      </c>
      <c r="AK1892">
        <v>9.2838802997867091</v>
      </c>
      <c r="AL1892">
        <v>81.555681015313695</v>
      </c>
      <c r="AM1892">
        <v>55.942934427666501</v>
      </c>
      <c r="AN1892">
        <v>1.0000000067663799</v>
      </c>
    </row>
    <row r="1893" spans="1:40" x14ac:dyDescent="0.25">
      <c r="A1893" t="str">
        <f>"20190312164026083"</f>
        <v>20190312164026083</v>
      </c>
      <c r="B1893" t="str">
        <f>"1552380026077910"</f>
        <v>1552380026077910</v>
      </c>
      <c r="C1893" t="s">
        <v>40</v>
      </c>
      <c r="D1893">
        <v>5.8314009999999996</v>
      </c>
      <c r="E1893">
        <v>0.59050539999999996</v>
      </c>
      <c r="F1893" t="s">
        <v>46</v>
      </c>
      <c r="G1893">
        <v>-204.10419999999999</v>
      </c>
      <c r="H1893" s="1">
        <v>3.7278550000000002E-6</v>
      </c>
      <c r="I1893">
        <v>288.15280000000001</v>
      </c>
      <c r="J1893">
        <v>-195.18029999999999</v>
      </c>
      <c r="K1893">
        <v>1.1034980000000001</v>
      </c>
      <c r="L1893">
        <v>290.31760000000003</v>
      </c>
      <c r="M1893">
        <v>-0.51625980000000005</v>
      </c>
      <c r="N1893">
        <v>0</v>
      </c>
      <c r="O1893">
        <v>-0.85629909999999998</v>
      </c>
      <c r="P1893">
        <v>-0.89538490000000004</v>
      </c>
      <c r="Q1893">
        <v>0.14187739999999999</v>
      </c>
      <c r="R1893">
        <v>-0.42208610000000002</v>
      </c>
      <c r="S1893">
        <v>-3.0497890000000001</v>
      </c>
      <c r="T1893">
        <v>-0.37245669999999997</v>
      </c>
      <c r="U1893">
        <v>-0.78375240000000002</v>
      </c>
      <c r="V1893">
        <v>0.55149369999999998</v>
      </c>
      <c r="W1893">
        <v>0.14466019999999999</v>
      </c>
      <c r="X1893">
        <v>0.8215401</v>
      </c>
      <c r="Y1893">
        <v>0.69251090000000004</v>
      </c>
      <c r="Z1893">
        <v>0.12530769999999999</v>
      </c>
      <c r="AA1893">
        <v>0.710441199999999</v>
      </c>
      <c r="AB1893">
        <v>18</v>
      </c>
      <c r="AC1893">
        <v>-8.9238999999999997</v>
      </c>
      <c r="AD1893">
        <v>-1.1034942721449901</v>
      </c>
      <c r="AE1893">
        <v>-2.1648000000000098</v>
      </c>
      <c r="AF1893">
        <v>6.43178958717683</v>
      </c>
      <c r="AG1893">
        <v>-1.1034942721449901</v>
      </c>
      <c r="AH1893">
        <v>6.3695204228430802</v>
      </c>
      <c r="AI1893">
        <v>96.950411614295604</v>
      </c>
      <c r="AJ1893">
        <v>44.721299447592202</v>
      </c>
      <c r="AK1893">
        <v>9.1190135058233306</v>
      </c>
      <c r="AL1893">
        <v>81.682397420201497</v>
      </c>
      <c r="AM1893">
        <v>56.126834643778402</v>
      </c>
      <c r="AN1893">
        <v>1.00000000525587</v>
      </c>
    </row>
    <row r="1894" spans="1:40" x14ac:dyDescent="0.25">
      <c r="A1894" t="str">
        <f>"20190312164026104"</f>
        <v>20190312164026104</v>
      </c>
      <c r="B1894" t="str">
        <f>"1552380026098407"</f>
        <v>1552380026098407</v>
      </c>
      <c r="C1894" t="s">
        <v>40</v>
      </c>
      <c r="D1894">
        <v>5.8396839999999903</v>
      </c>
      <c r="E1894">
        <v>0.59042349999999999</v>
      </c>
      <c r="F1894" t="s">
        <v>46</v>
      </c>
      <c r="G1894">
        <v>-204.04580000000001</v>
      </c>
      <c r="H1894" s="1">
        <v>3.7021780000000001E-6</v>
      </c>
      <c r="I1894">
        <v>288.15050000000002</v>
      </c>
      <c r="J1894">
        <v>-195.28569999999999</v>
      </c>
      <c r="K1894">
        <v>1.1035029999999999</v>
      </c>
      <c r="L1894">
        <v>290.17349999999999</v>
      </c>
      <c r="M1894">
        <v>-0.52773029999999999</v>
      </c>
      <c r="N1894">
        <v>0</v>
      </c>
      <c r="O1894">
        <v>-0.84927730000000001</v>
      </c>
      <c r="P1894">
        <v>-0.89979789999999904</v>
      </c>
      <c r="Q1894">
        <v>0.14006579999999999</v>
      </c>
      <c r="R1894">
        <v>-0.41321380000000002</v>
      </c>
      <c r="S1894">
        <v>-3.058411</v>
      </c>
      <c r="T1894">
        <v>-0.38067909999999999</v>
      </c>
      <c r="U1894">
        <v>-0.74758910000000001</v>
      </c>
      <c r="V1894">
        <v>0.54876099999999906</v>
      </c>
      <c r="W1894">
        <v>0.14296519999999999</v>
      </c>
      <c r="X1894">
        <v>0.8236639</v>
      </c>
      <c r="Y1894">
        <v>0.69092229999999999</v>
      </c>
      <c r="Z1894">
        <v>0.12770500000000001</v>
      </c>
      <c r="AA1894">
        <v>0.71156019999999998</v>
      </c>
      <c r="AB1894">
        <v>18</v>
      </c>
      <c r="AC1894">
        <v>-8.7601000000000209</v>
      </c>
      <c r="AD1894">
        <v>-1.103499297822</v>
      </c>
      <c r="AE1894">
        <v>-2.0229999999999602</v>
      </c>
      <c r="AF1894">
        <v>6.2783038026220197</v>
      </c>
      <c r="AG1894">
        <v>-1.103499297822</v>
      </c>
      <c r="AH1894">
        <v>6.2476643202058604</v>
      </c>
      <c r="AI1894">
        <v>97.101744046087106</v>
      </c>
      <c r="AJ1894">
        <v>44.859850391565701</v>
      </c>
      <c r="AK1894">
        <v>8.9256999051214603</v>
      </c>
      <c r="AL1894">
        <v>81.7805334727895</v>
      </c>
      <c r="AM1894">
        <v>56.326707701399798</v>
      </c>
      <c r="AN1894">
        <v>0.99999995184762402</v>
      </c>
    </row>
    <row r="1895" spans="1:40" x14ac:dyDescent="0.25">
      <c r="A1895" t="str">
        <f>"20190312164026127"</f>
        <v>20190312164026127</v>
      </c>
      <c r="B1895" t="str">
        <f>"1552380026117927"</f>
        <v>1552380026117927</v>
      </c>
      <c r="C1895" t="s">
        <v>40</v>
      </c>
      <c r="D1895">
        <v>6.0254070000000004</v>
      </c>
      <c r="E1895">
        <v>0.59077069999999998</v>
      </c>
      <c r="F1895" t="s">
        <v>46</v>
      </c>
      <c r="G1895">
        <v>-204.09469999999999</v>
      </c>
      <c r="H1895" s="1">
        <v>3.7263129999999999E-6</v>
      </c>
      <c r="I1895">
        <v>288.12240000000003</v>
      </c>
      <c r="J1895">
        <v>-195.40010000000001</v>
      </c>
      <c r="K1895">
        <v>1.103513</v>
      </c>
      <c r="L1895">
        <v>290.02190000000002</v>
      </c>
      <c r="M1895">
        <v>-0.53988179999999997</v>
      </c>
      <c r="N1895">
        <v>0</v>
      </c>
      <c r="O1895">
        <v>-0.84160460000000004</v>
      </c>
      <c r="P1895">
        <v>-0.90396529999999997</v>
      </c>
      <c r="Q1895">
        <v>0.13877010000000001</v>
      </c>
      <c r="R1895">
        <v>-0.40446280000000001</v>
      </c>
      <c r="S1895">
        <v>-3.0660400000000001</v>
      </c>
      <c r="T1895">
        <v>-0.3840787</v>
      </c>
      <c r="U1895">
        <v>-0.71389769999999997</v>
      </c>
      <c r="V1895">
        <v>0.54504109999999995</v>
      </c>
      <c r="W1895">
        <v>0.1418141</v>
      </c>
      <c r="X1895">
        <v>0.82632859999999997</v>
      </c>
      <c r="Y1895">
        <v>0.68829989999999996</v>
      </c>
      <c r="Z1895">
        <v>0.12838289999999999</v>
      </c>
      <c r="AA1895">
        <v>0.71397559999999904</v>
      </c>
      <c r="AB1895">
        <v>18</v>
      </c>
      <c r="AC1895">
        <v>-8.6945999999999799</v>
      </c>
      <c r="AD1895">
        <v>-1.103509273687</v>
      </c>
      <c r="AE1895">
        <v>-1.89949999999998</v>
      </c>
      <c r="AF1895">
        <v>6.1973496956055403</v>
      </c>
      <c r="AG1895">
        <v>-1.103509273687</v>
      </c>
      <c r="AH1895">
        <v>6.1981124177851301</v>
      </c>
      <c r="AI1895">
        <v>97.175824985319693</v>
      </c>
      <c r="AJ1895">
        <v>45.003525545185497</v>
      </c>
      <c r="AK1895">
        <v>8.8341085294577208</v>
      </c>
      <c r="AL1895">
        <v>81.847165961550402</v>
      </c>
      <c r="AM1895">
        <v>56.591409427209101</v>
      </c>
      <c r="AN1895">
        <v>0.99999999741298995</v>
      </c>
    </row>
    <row r="1896" spans="1:40" x14ac:dyDescent="0.25">
      <c r="A1896" t="str">
        <f>"20190312164026152"</f>
        <v>20190312164026152</v>
      </c>
      <c r="B1896" t="str">
        <f>"1552380026148184"</f>
        <v>1552380026148184</v>
      </c>
      <c r="C1896" t="s">
        <v>40</v>
      </c>
      <c r="D1896">
        <v>5.8892800000000003</v>
      </c>
      <c r="E1896">
        <v>0.591368</v>
      </c>
      <c r="F1896" t="s">
        <v>46</v>
      </c>
      <c r="G1896">
        <v>-204.25890000000001</v>
      </c>
      <c r="H1896" s="1">
        <v>3.8034810000000002E-6</v>
      </c>
      <c r="I1896">
        <v>288.07229999999998</v>
      </c>
      <c r="J1896">
        <v>-195.51990000000001</v>
      </c>
      <c r="K1896">
        <v>1.103513</v>
      </c>
      <c r="L1896">
        <v>289.86790000000002</v>
      </c>
      <c r="M1896">
        <v>-0.55231640000000004</v>
      </c>
      <c r="N1896">
        <v>0</v>
      </c>
      <c r="O1896">
        <v>-0.83349649999999997</v>
      </c>
      <c r="P1896">
        <v>-0.90849299999999999</v>
      </c>
      <c r="Q1896">
        <v>0.13756589999999999</v>
      </c>
      <c r="R1896">
        <v>-0.39460849999999997</v>
      </c>
      <c r="S1896">
        <v>-3.0747529999999998</v>
      </c>
      <c r="T1896">
        <v>-0.38301099999999999</v>
      </c>
      <c r="U1896">
        <v>-0.67666630000000005</v>
      </c>
      <c r="V1896">
        <v>0.54187479999999999</v>
      </c>
      <c r="W1896">
        <v>0.1407331</v>
      </c>
      <c r="X1896">
        <v>0.82859269999999996</v>
      </c>
      <c r="Y1896">
        <v>0.68637999999999999</v>
      </c>
      <c r="Z1896">
        <v>0.12754469999999901</v>
      </c>
      <c r="AA1896">
        <v>0.71597119999999903</v>
      </c>
      <c r="AB1896">
        <v>18</v>
      </c>
      <c r="AC1896">
        <v>-8.7390000000000008</v>
      </c>
      <c r="AD1896">
        <v>-1.103509196519</v>
      </c>
      <c r="AE1896">
        <v>-1.7956000000000301</v>
      </c>
      <c r="AF1896">
        <v>6.1980848677595102</v>
      </c>
      <c r="AG1896">
        <v>-1.103509196519</v>
      </c>
      <c r="AH1896">
        <v>6.22875201660346</v>
      </c>
      <c r="AI1896">
        <v>97.157873855776899</v>
      </c>
      <c r="AJ1896">
        <v>45.141395163374497</v>
      </c>
      <c r="AK1896">
        <v>8.8561470323777503</v>
      </c>
      <c r="AL1896">
        <v>81.909730070739499</v>
      </c>
      <c r="AM1896">
        <v>56.8165162936413</v>
      </c>
      <c r="AN1896">
        <v>0.99999998340196905</v>
      </c>
    </row>
    <row r="1897" spans="1:40" x14ac:dyDescent="0.25">
      <c r="A1897" t="str">
        <f>"20190312164026172"</f>
        <v>20190312164026172</v>
      </c>
      <c r="B1897" t="str">
        <f>"1552380026167703"</f>
        <v>1552380026167703</v>
      </c>
      <c r="C1897" t="s">
        <v>40</v>
      </c>
      <c r="D1897">
        <v>5.8383710000000004</v>
      </c>
      <c r="E1897">
        <v>0.59095679999999995</v>
      </c>
      <c r="F1897" t="s">
        <v>46</v>
      </c>
      <c r="G1897">
        <v>-204.411</v>
      </c>
      <c r="H1897" s="1">
        <v>3.8739740000000002E-6</v>
      </c>
      <c r="I1897">
        <v>288.03769999999997</v>
      </c>
      <c r="J1897">
        <v>-195.6361</v>
      </c>
      <c r="K1897">
        <v>1.1035189999999999</v>
      </c>
      <c r="L1897">
        <v>289.72300000000001</v>
      </c>
      <c r="M1897">
        <v>-0.56410000000000005</v>
      </c>
      <c r="N1897">
        <v>0</v>
      </c>
      <c r="O1897">
        <v>-0.82556679999999905</v>
      </c>
      <c r="P1897">
        <v>-0.91288210000000003</v>
      </c>
      <c r="Q1897">
        <v>0.13707649999999999</v>
      </c>
      <c r="R1897">
        <v>-0.3845211</v>
      </c>
      <c r="S1897">
        <v>-3.0843660000000002</v>
      </c>
      <c r="T1897">
        <v>-0.38281549999999998</v>
      </c>
      <c r="U1897">
        <v>-0.63491819999999999</v>
      </c>
      <c r="V1897">
        <v>0.53932539999999995</v>
      </c>
      <c r="W1897">
        <v>0.14033599999999999</v>
      </c>
      <c r="X1897">
        <v>0.83032159999999999</v>
      </c>
      <c r="Y1897">
        <v>0.68591979999999997</v>
      </c>
      <c r="Z1897">
        <v>0.12704480000000001</v>
      </c>
      <c r="AA1897">
        <v>0.71650100000000005</v>
      </c>
      <c r="AB1897">
        <v>18</v>
      </c>
      <c r="AC1897">
        <v>-8.7748999999999704</v>
      </c>
      <c r="AD1897">
        <v>-1.1035151260259899</v>
      </c>
      <c r="AE1897">
        <v>-1.68530000000004</v>
      </c>
      <c r="AF1897">
        <v>6.1997526121042101</v>
      </c>
      <c r="AG1897">
        <v>-1.1035151260259899</v>
      </c>
      <c r="AH1897">
        <v>6.2467024420983197</v>
      </c>
      <c r="AI1897">
        <v>97.146717548549404</v>
      </c>
      <c r="AJ1897">
        <v>45.216126948359701</v>
      </c>
      <c r="AK1897">
        <v>8.8699475469011801</v>
      </c>
      <c r="AL1897">
        <v>81.932710580967907</v>
      </c>
      <c r="AM1897">
        <v>56.994746439011898</v>
      </c>
      <c r="AN1897">
        <v>1.0000000197038501</v>
      </c>
    </row>
    <row r="1898" spans="1:40" x14ac:dyDescent="0.25">
      <c r="A1898" t="str">
        <f>"20190312164026195"</f>
        <v>20190312164026195</v>
      </c>
      <c r="B1898" t="str">
        <f>"1552380026188199"</f>
        <v>1552380026188199</v>
      </c>
      <c r="C1898" t="s">
        <v>40</v>
      </c>
      <c r="D1898">
        <v>5.8381740000000004</v>
      </c>
      <c r="E1898">
        <v>0.59052439999999995</v>
      </c>
      <c r="F1898" t="s">
        <v>46</v>
      </c>
      <c r="G1898">
        <v>-204.52279999999999</v>
      </c>
      <c r="H1898" s="1">
        <v>3.9276259999999998E-6</v>
      </c>
      <c r="I1898">
        <v>287.99099999999999</v>
      </c>
      <c r="J1898">
        <v>-195.75149999999999</v>
      </c>
      <c r="K1898">
        <v>1.103521</v>
      </c>
      <c r="L1898">
        <v>289.58339999999998</v>
      </c>
      <c r="M1898">
        <v>-0.57554949999999905</v>
      </c>
      <c r="N1898">
        <v>0</v>
      </c>
      <c r="O1898">
        <v>-0.81762550000000001</v>
      </c>
      <c r="P1898">
        <v>-0.91691909999999999</v>
      </c>
      <c r="Q1898">
        <v>0.13757520000000001</v>
      </c>
      <c r="R1898">
        <v>-0.37460979999999999</v>
      </c>
      <c r="S1898">
        <v>-3.0902400000000001</v>
      </c>
      <c r="T1898">
        <v>-0.38373679999999999</v>
      </c>
      <c r="U1898">
        <v>-0.60229489999999997</v>
      </c>
      <c r="V1898">
        <v>0.53669040000000001</v>
      </c>
      <c r="W1898">
        <v>0.14091339999999999</v>
      </c>
      <c r="X1898">
        <v>0.83192960000000005</v>
      </c>
      <c r="Y1898">
        <v>0.68339879999999997</v>
      </c>
      <c r="Z1898">
        <v>0.12683079999999999</v>
      </c>
      <c r="AA1898">
        <v>0.71894380000000002</v>
      </c>
      <c r="AB1898">
        <v>18</v>
      </c>
      <c r="AC1898">
        <v>-8.7712999999999894</v>
      </c>
      <c r="AD1898">
        <v>-1.103517072374</v>
      </c>
      <c r="AE1898">
        <v>-1.59239999999999</v>
      </c>
      <c r="AF1898">
        <v>6.1614445867301502</v>
      </c>
      <c r="AG1898">
        <v>-1.103517072374</v>
      </c>
      <c r="AH1898">
        <v>6.2551897787982504</v>
      </c>
      <c r="AI1898">
        <v>97.163564408758205</v>
      </c>
      <c r="AJ1898">
        <v>45.432573082530503</v>
      </c>
      <c r="AK1898">
        <v>8.8492117441695992</v>
      </c>
      <c r="AL1898">
        <v>81.899295922226699</v>
      </c>
      <c r="AM1898">
        <v>57.173324372150503</v>
      </c>
      <c r="AN1898">
        <v>1.0000000155539399</v>
      </c>
    </row>
    <row r="1899" spans="1:40" x14ac:dyDescent="0.25">
      <c r="A1899" t="str">
        <f>"20190312164026216"</f>
        <v>20190312164026216</v>
      </c>
      <c r="B1899" t="str">
        <f>"1552380026207720"</f>
        <v>1552380026207720</v>
      </c>
      <c r="C1899" t="s">
        <v>40</v>
      </c>
      <c r="D1899">
        <v>6.0786850000000001</v>
      </c>
      <c r="E1899">
        <v>0.59047819999999995</v>
      </c>
      <c r="F1899" t="s">
        <v>46</v>
      </c>
      <c r="G1899">
        <v>-204.73330000000001</v>
      </c>
      <c r="H1899" s="1">
        <v>4.0265450000000001E-6</v>
      </c>
      <c r="I1899">
        <v>287.92739999999998</v>
      </c>
      <c r="J1899">
        <v>-195.87039999999999</v>
      </c>
      <c r="K1899">
        <v>1.103515</v>
      </c>
      <c r="L1899">
        <v>289.44380000000001</v>
      </c>
      <c r="M1899">
        <v>-0.58711829999999998</v>
      </c>
      <c r="N1899">
        <v>0</v>
      </c>
      <c r="O1899">
        <v>-0.80935780000000002</v>
      </c>
      <c r="P1899">
        <v>-0.9206396</v>
      </c>
      <c r="Q1899">
        <v>0.13877010000000001</v>
      </c>
      <c r="R1899">
        <v>-0.36491800000000002</v>
      </c>
      <c r="S1899">
        <v>-3.0957029999999999</v>
      </c>
      <c r="T1899">
        <v>-0.38034129999999999</v>
      </c>
      <c r="U1899">
        <v>-0.57077029999999995</v>
      </c>
      <c r="V1899">
        <v>0.53350589999999998</v>
      </c>
      <c r="W1899">
        <v>0.14218510000000001</v>
      </c>
      <c r="X1899">
        <v>0.83375949999999999</v>
      </c>
      <c r="Y1899">
        <v>0.68060929999999997</v>
      </c>
      <c r="Z1899">
        <v>0.12514589999999901</v>
      </c>
      <c r="AA1899">
        <v>0.72187919999999905</v>
      </c>
      <c r="AB1899">
        <v>18</v>
      </c>
      <c r="AC1899">
        <v>-8.8629000000000193</v>
      </c>
      <c r="AD1899">
        <v>-1.1035109734549999</v>
      </c>
      <c r="AE1899">
        <v>-1.5164000000000299</v>
      </c>
      <c r="AF1899">
        <v>6.1904422760036102</v>
      </c>
      <c r="AG1899">
        <v>-1.1035109734549999</v>
      </c>
      <c r="AH1899">
        <v>6.3361940825124101</v>
      </c>
      <c r="AI1899">
        <v>97.100988720328402</v>
      </c>
      <c r="AJ1899">
        <v>45.666626403607303</v>
      </c>
      <c r="AK1899">
        <v>8.9267389058005708</v>
      </c>
      <c r="AL1899">
        <v>81.825691856163999</v>
      </c>
      <c r="AM1899">
        <v>57.385641097609998</v>
      </c>
      <c r="AN1899">
        <v>1.00000002591853</v>
      </c>
    </row>
    <row r="1900" spans="1:40" x14ac:dyDescent="0.25">
      <c r="A1900" t="str">
        <f>"20190312164026238"</f>
        <v>20190312164026238</v>
      </c>
      <c r="B1900" t="str">
        <f>"1552380026228218"</f>
        <v>1552380026228218</v>
      </c>
      <c r="C1900" t="s">
        <v>40</v>
      </c>
      <c r="D1900">
        <v>5.8796080000000002</v>
      </c>
      <c r="E1900">
        <v>0.58998759999999995</v>
      </c>
      <c r="F1900" t="s">
        <v>46</v>
      </c>
      <c r="G1900">
        <v>-205.0711</v>
      </c>
      <c r="H1900" s="1">
        <v>4.1824269999999997E-6</v>
      </c>
      <c r="I1900">
        <v>287.8578</v>
      </c>
      <c r="J1900">
        <v>-195.99119999999999</v>
      </c>
      <c r="K1900">
        <v>1.103497</v>
      </c>
      <c r="L1900">
        <v>289.30599999999998</v>
      </c>
      <c r="M1900">
        <v>-0.59864280000000003</v>
      </c>
      <c r="N1900">
        <v>0</v>
      </c>
      <c r="O1900">
        <v>-0.80087079999999999</v>
      </c>
      <c r="P1900">
        <v>-0.92424890000000004</v>
      </c>
      <c r="Q1900">
        <v>0.14002100000000001</v>
      </c>
      <c r="R1900">
        <v>-0.35518749999999999</v>
      </c>
      <c r="S1900">
        <v>-3.1027070000000001</v>
      </c>
      <c r="T1900">
        <v>-0.37213109999999999</v>
      </c>
      <c r="U1900">
        <v>-0.53482059999999998</v>
      </c>
      <c r="V1900">
        <v>0.53023580000000003</v>
      </c>
      <c r="W1900">
        <v>0.14350370000000001</v>
      </c>
      <c r="X1900">
        <v>0.83561759999999996</v>
      </c>
      <c r="Y1900">
        <v>0.67902989999999996</v>
      </c>
      <c r="Z1900">
        <v>0.1218986</v>
      </c>
      <c r="AA1900">
        <v>0.72391930000000004</v>
      </c>
      <c r="AB1900">
        <v>18</v>
      </c>
      <c r="AC1900">
        <v>-9.0799000000000092</v>
      </c>
      <c r="AD1900">
        <v>-1.1034928175730001</v>
      </c>
      <c r="AE1900">
        <v>-1.4481999999999799</v>
      </c>
      <c r="AF1900">
        <v>6.3146647073750497</v>
      </c>
      <c r="AG1900">
        <v>-1.1034928175730001</v>
      </c>
      <c r="AH1900">
        <v>6.5025463200576503</v>
      </c>
      <c r="AI1900">
        <v>96.941206970500801</v>
      </c>
      <c r="AJ1900">
        <v>45.839812382624103</v>
      </c>
      <c r="AK1900">
        <v>9.1310347392559308</v>
      </c>
      <c r="AL1900">
        <v>81.749359008623003</v>
      </c>
      <c r="AM1900">
        <v>57.603092021297897</v>
      </c>
      <c r="AN1900">
        <v>1.0000000444725401</v>
      </c>
    </row>
    <row r="1901" spans="1:40" x14ac:dyDescent="0.25">
      <c r="A1901" t="str">
        <f>"20190312164026263"</f>
        <v>20190312164026263</v>
      </c>
      <c r="B1901" t="str">
        <f>"1552380026258470"</f>
        <v>1552380026258470</v>
      </c>
      <c r="C1901" t="s">
        <v>40</v>
      </c>
      <c r="D1901">
        <v>5.794581</v>
      </c>
      <c r="E1901">
        <v>0.57403400000000004</v>
      </c>
      <c r="F1901" t="s">
        <v>46</v>
      </c>
      <c r="G1901">
        <v>-205.38740000000001</v>
      </c>
      <c r="H1901" s="1">
        <v>4.3289689999999998E-6</v>
      </c>
      <c r="I1901">
        <v>287.78620000000001</v>
      </c>
      <c r="J1901">
        <v>-196.1223</v>
      </c>
      <c r="K1901">
        <v>1.1034740000000001</v>
      </c>
      <c r="L1901">
        <v>289.16160000000002</v>
      </c>
      <c r="M1901">
        <v>-0.61088569999999998</v>
      </c>
      <c r="N1901">
        <v>0</v>
      </c>
      <c r="O1901">
        <v>-0.79157140000000004</v>
      </c>
      <c r="P1901">
        <v>-0.92803469999999999</v>
      </c>
      <c r="Q1901">
        <v>0.14174900000000001</v>
      </c>
      <c r="R1901">
        <v>-0.34446890000000002</v>
      </c>
      <c r="S1901">
        <v>-3.107971</v>
      </c>
      <c r="T1901">
        <v>-0.36500189999999999</v>
      </c>
      <c r="U1901">
        <v>-0.5027161</v>
      </c>
      <c r="V1901">
        <v>0.52688059999999903</v>
      </c>
      <c r="W1901">
        <v>0.145294799999999</v>
      </c>
      <c r="X1901">
        <v>0.83742839999999996</v>
      </c>
      <c r="Y1901">
        <v>0.67568189999999995</v>
      </c>
      <c r="Z1901">
        <v>0.1188866</v>
      </c>
      <c r="AA1901">
        <v>0.72754379999999996</v>
      </c>
      <c r="AB1901">
        <v>18</v>
      </c>
      <c r="AC1901">
        <v>-9.2651000000000092</v>
      </c>
      <c r="AD1901">
        <v>-1.1034696710309999</v>
      </c>
      <c r="AE1901">
        <v>-1.3754000000000099</v>
      </c>
      <c r="AF1901">
        <v>6.4056310120126403</v>
      </c>
      <c r="AG1901">
        <v>-1.1034696710309999</v>
      </c>
      <c r="AH1901">
        <v>6.6570399048772897</v>
      </c>
      <c r="AI1901">
        <v>96.811346186332699</v>
      </c>
      <c r="AJ1901">
        <v>46.102599183263401</v>
      </c>
      <c r="AK1901">
        <v>9.3040815920794699</v>
      </c>
      <c r="AL1901">
        <v>81.645649525282295</v>
      </c>
      <c r="AM1901">
        <v>57.823335776515798</v>
      </c>
      <c r="AN1901">
        <v>1.0000000353449701</v>
      </c>
    </row>
    <row r="1902" spans="1:40" x14ac:dyDescent="0.25">
      <c r="A1902" t="str">
        <f>"20190312164026283"</f>
        <v>20190312164026283</v>
      </c>
      <c r="B1902" t="str">
        <f>"1552380026277990"</f>
        <v>1552380026277990</v>
      </c>
      <c r="C1902" t="s">
        <v>40</v>
      </c>
      <c r="D1902">
        <v>5.9980359999999999</v>
      </c>
      <c r="E1902">
        <v>0.57626820000000001</v>
      </c>
      <c r="F1902" t="s">
        <v>46</v>
      </c>
      <c r="G1902">
        <v>-207.4487</v>
      </c>
      <c r="H1902" s="1">
        <v>5.3090829999999999E-6</v>
      </c>
      <c r="I1902">
        <v>287.0308</v>
      </c>
      <c r="J1902">
        <v>-196.24440000000001</v>
      </c>
      <c r="K1902">
        <v>1.103467</v>
      </c>
      <c r="L1902">
        <v>289.03100000000001</v>
      </c>
      <c r="M1902">
        <v>-0.62205169999999999</v>
      </c>
      <c r="N1902">
        <v>0</v>
      </c>
      <c r="O1902">
        <v>-0.78282649999999998</v>
      </c>
      <c r="P1902">
        <v>-0.93117479999999997</v>
      </c>
      <c r="Q1902">
        <v>0.14322079999999901</v>
      </c>
      <c r="R1902">
        <v>-0.33526270000000002</v>
      </c>
      <c r="S1902">
        <v>-3.06427</v>
      </c>
      <c r="T1902">
        <v>-0.29853689999999999</v>
      </c>
      <c r="U1902">
        <v>-0.57647709999999996</v>
      </c>
      <c r="V1902">
        <v>0.52313959999999904</v>
      </c>
      <c r="W1902">
        <v>0.14685049999999999</v>
      </c>
      <c r="X1902">
        <v>0.83949979999999902</v>
      </c>
      <c r="Y1902">
        <v>0.64889569999999996</v>
      </c>
      <c r="Z1902">
        <v>9.6657370000000006E-2</v>
      </c>
      <c r="AA1902">
        <v>0.75471309999999903</v>
      </c>
      <c r="AB1902">
        <v>18</v>
      </c>
      <c r="AC1902">
        <v>-11.2042999999999</v>
      </c>
      <c r="AD1902">
        <v>-1.1034616909170001</v>
      </c>
      <c r="AE1902">
        <v>-2.0002</v>
      </c>
      <c r="AF1902">
        <v>7.4575772693896498</v>
      </c>
      <c r="AG1902">
        <v>-1.1034616909170001</v>
      </c>
      <c r="AH1902">
        <v>8.4569696433801695</v>
      </c>
      <c r="AI1902">
        <v>95.589400446663007</v>
      </c>
      <c r="AJ1902">
        <v>48.593308260101601</v>
      </c>
      <c r="AK1902">
        <v>11.329316924744001</v>
      </c>
      <c r="AL1902">
        <v>81.555547837949604</v>
      </c>
      <c r="AM1902">
        <v>58.070642345504197</v>
      </c>
      <c r="AN1902">
        <v>1.0000000123192201</v>
      </c>
    </row>
    <row r="1903" spans="1:40" x14ac:dyDescent="0.25">
      <c r="A1903" t="str">
        <f>"20190312164026306"</f>
        <v>20190312164026306</v>
      </c>
      <c r="B1903" t="str">
        <f>"1552380026298487"</f>
        <v>1552380026298487</v>
      </c>
      <c r="C1903" t="s">
        <v>40</v>
      </c>
      <c r="D1903">
        <v>6.3087019999999896</v>
      </c>
      <c r="E1903">
        <v>0.5786097</v>
      </c>
      <c r="F1903" t="s">
        <v>46</v>
      </c>
      <c r="G1903">
        <v>-206.44390000000001</v>
      </c>
      <c r="H1903" s="1">
        <v>4.8427859999999996E-6</v>
      </c>
      <c r="I1903">
        <v>287.26799999999997</v>
      </c>
      <c r="J1903">
        <v>-196.37710000000001</v>
      </c>
      <c r="K1903">
        <v>1.103459</v>
      </c>
      <c r="L1903">
        <v>288.89339999999999</v>
      </c>
      <c r="M1903">
        <v>-0.6339359</v>
      </c>
      <c r="N1903">
        <v>0</v>
      </c>
      <c r="O1903">
        <v>-0.77323409999999904</v>
      </c>
      <c r="P1903">
        <v>-0.93432919999999997</v>
      </c>
      <c r="Q1903">
        <v>0.1442474</v>
      </c>
      <c r="R1903">
        <v>-0.32591710000000002</v>
      </c>
      <c r="S1903">
        <v>-3.0812379999999999</v>
      </c>
      <c r="T1903">
        <v>-0.33335199999999998</v>
      </c>
      <c r="U1903">
        <v>-0.53259279999999998</v>
      </c>
      <c r="V1903">
        <v>0.51861270000000004</v>
      </c>
      <c r="W1903">
        <v>0.14799279999999901</v>
      </c>
      <c r="X1903">
        <v>0.84210399999999996</v>
      </c>
      <c r="Y1903">
        <v>0.64720789999999995</v>
      </c>
      <c r="Z1903">
        <v>0.106922699999999</v>
      </c>
      <c r="AA1903">
        <v>0.75477780000000005</v>
      </c>
      <c r="AB1903">
        <v>18</v>
      </c>
      <c r="AC1903">
        <v>-10.066800000000001</v>
      </c>
      <c r="AD1903">
        <v>-1.103454157214</v>
      </c>
      <c r="AE1903">
        <v>-1.6254000000000099</v>
      </c>
      <c r="AF1903">
        <v>6.6762080132222099</v>
      </c>
      <c r="AG1903">
        <v>-1.103454157214</v>
      </c>
      <c r="AH1903">
        <v>7.5509951330756699</v>
      </c>
      <c r="AI1903">
        <v>96.247795895695901</v>
      </c>
      <c r="AJ1903">
        <v>48.518512271516798</v>
      </c>
      <c r="AK1903">
        <v>10.13937335404</v>
      </c>
      <c r="AL1903">
        <v>81.489376383437204</v>
      </c>
      <c r="AM1903">
        <v>58.373015770851403</v>
      </c>
      <c r="AN1903">
        <v>1.00000007413456</v>
      </c>
    </row>
    <row r="1904" spans="1:40" x14ac:dyDescent="0.25">
      <c r="A1904" t="str">
        <f>"20190312164026328"</f>
        <v>20190312164026328</v>
      </c>
      <c r="B1904" t="str">
        <f>"1552380026318010"</f>
        <v>1552380026318010</v>
      </c>
      <c r="C1904" t="s">
        <v>40</v>
      </c>
      <c r="D1904">
        <v>5.8702519999999998</v>
      </c>
      <c r="E1904">
        <v>0.57709089999999996</v>
      </c>
      <c r="F1904" t="s">
        <v>46</v>
      </c>
      <c r="G1904">
        <v>-207.0926</v>
      </c>
      <c r="H1904" s="1">
        <v>5.1339140000000001E-6</v>
      </c>
      <c r="I1904">
        <v>287.2285</v>
      </c>
      <c r="J1904">
        <v>-196.50530000000001</v>
      </c>
      <c r="K1904">
        <v>1.103456</v>
      </c>
      <c r="L1904">
        <v>288.76459999999997</v>
      </c>
      <c r="M1904">
        <v>-0.64518019999999998</v>
      </c>
      <c r="N1904">
        <v>0</v>
      </c>
      <c r="O1904">
        <v>-0.76387640000000001</v>
      </c>
      <c r="P1904">
        <v>-0.93715490000000001</v>
      </c>
      <c r="Q1904">
        <v>0.1446857</v>
      </c>
      <c r="R1904">
        <v>-0.31750080000000003</v>
      </c>
      <c r="S1904">
        <v>-3.0923919999999998</v>
      </c>
      <c r="T1904">
        <v>-0.31844539999999999</v>
      </c>
      <c r="U1904">
        <v>-0.48049930000000002</v>
      </c>
      <c r="V1904">
        <v>0.51380649999999894</v>
      </c>
      <c r="W1904">
        <v>0.1485629</v>
      </c>
      <c r="X1904">
        <v>0.8449449</v>
      </c>
      <c r="Y1904">
        <v>0.64958159999999998</v>
      </c>
      <c r="Z1904">
        <v>0.1016789</v>
      </c>
      <c r="AA1904">
        <v>0.75346210000000002</v>
      </c>
      <c r="AB1904">
        <v>18</v>
      </c>
      <c r="AC1904">
        <v>-10.587300000000001</v>
      </c>
      <c r="AD1904">
        <v>-1.1034508660860001</v>
      </c>
      <c r="AE1904">
        <v>-1.53609999999997</v>
      </c>
      <c r="AF1904">
        <v>7.0224528215389501</v>
      </c>
      <c r="AG1904">
        <v>-1.1034508660860001</v>
      </c>
      <c r="AH1904">
        <v>7.9207821817880104</v>
      </c>
      <c r="AI1904">
        <v>95.951096127393697</v>
      </c>
      <c r="AJ1904">
        <v>48.440259833899901</v>
      </c>
      <c r="AK1904">
        <v>10.6428961197569</v>
      </c>
      <c r="AL1904">
        <v>81.456346043789907</v>
      </c>
      <c r="AM1904">
        <v>58.696438108272503</v>
      </c>
      <c r="AN1904">
        <v>0.99999996936733404</v>
      </c>
    </row>
    <row r="1905" spans="1:40" x14ac:dyDescent="0.25">
      <c r="A1905" t="str">
        <f>"20190312164026350"</f>
        <v>20190312164026350</v>
      </c>
      <c r="B1905" t="str">
        <f>"1552380026338506"</f>
        <v>1552380026338506</v>
      </c>
      <c r="C1905" t="s">
        <v>40</v>
      </c>
      <c r="D1905">
        <v>5.8192870000000001</v>
      </c>
      <c r="E1905">
        <v>0.57457170000000002</v>
      </c>
      <c r="F1905" t="s">
        <v>46</v>
      </c>
      <c r="G1905">
        <v>-207.25620000000001</v>
      </c>
      <c r="H1905" s="1">
        <v>5.2125590000000002E-6</v>
      </c>
      <c r="I1905">
        <v>287.15870000000001</v>
      </c>
      <c r="J1905">
        <v>-196.63210000000001</v>
      </c>
      <c r="K1905">
        <v>1.1034569999999999</v>
      </c>
      <c r="L1905">
        <v>288.64080000000001</v>
      </c>
      <c r="M1905">
        <v>-0.65607660000000001</v>
      </c>
      <c r="N1905">
        <v>0</v>
      </c>
      <c r="O1905">
        <v>-0.75453789999999998</v>
      </c>
      <c r="P1905">
        <v>-0.9397065</v>
      </c>
      <c r="Q1905">
        <v>0.14575289999999999</v>
      </c>
      <c r="R1905">
        <v>-0.30936649999999999</v>
      </c>
      <c r="S1905">
        <v>-3.0936430000000001</v>
      </c>
      <c r="T1905">
        <v>-0.31752469999999999</v>
      </c>
      <c r="U1905">
        <v>-0.46209719999999999</v>
      </c>
      <c r="V1905">
        <v>0.5088802</v>
      </c>
      <c r="W1905">
        <v>0.1497667</v>
      </c>
      <c r="X1905">
        <v>0.84770919999999905</v>
      </c>
      <c r="Y1905">
        <v>0.64321709999999999</v>
      </c>
      <c r="Z1905">
        <v>0.10058590000000001</v>
      </c>
      <c r="AA1905">
        <v>0.75904819999999995</v>
      </c>
      <c r="AB1905">
        <v>18</v>
      </c>
      <c r="AC1905">
        <v>-10.6241</v>
      </c>
      <c r="AD1905">
        <v>-1.1034517874409999</v>
      </c>
      <c r="AE1905">
        <v>-1.4821</v>
      </c>
      <c r="AF1905">
        <v>6.9709822806137396</v>
      </c>
      <c r="AG1905">
        <v>-1.1034517874409999</v>
      </c>
      <c r="AH1905">
        <v>8.0047754518543108</v>
      </c>
      <c r="AI1905">
        <v>95.934890590240698</v>
      </c>
      <c r="AJ1905">
        <v>48.948926579258</v>
      </c>
      <c r="AK1905">
        <v>10.6718615919832</v>
      </c>
      <c r="AL1905">
        <v>81.386593314963207</v>
      </c>
      <c r="AM1905">
        <v>59.023588119625003</v>
      </c>
      <c r="AN1905">
        <v>1.00000000507278</v>
      </c>
    </row>
    <row r="1906" spans="1:40" x14ac:dyDescent="0.25">
      <c r="A1906" t="str">
        <f>"20190312164026371"</f>
        <v>20190312164026371</v>
      </c>
      <c r="B1906" t="str">
        <f>"1552380026367782"</f>
        <v>1552380026367782</v>
      </c>
      <c r="C1906" t="s">
        <v>40</v>
      </c>
      <c r="D1906">
        <v>6.2783249999999997</v>
      </c>
      <c r="E1906">
        <v>0.57136119999999901</v>
      </c>
      <c r="F1906" t="s">
        <v>46</v>
      </c>
      <c r="G1906">
        <v>-207.7902</v>
      </c>
      <c r="H1906" s="1">
        <v>5.4625900000000002E-6</v>
      </c>
      <c r="I1906">
        <v>287.00760000000002</v>
      </c>
      <c r="J1906">
        <v>-196.75739999999999</v>
      </c>
      <c r="K1906">
        <v>1.103467</v>
      </c>
      <c r="L1906">
        <v>288.52199999999999</v>
      </c>
      <c r="M1906">
        <v>-0.66661329999999996</v>
      </c>
      <c r="N1906">
        <v>0</v>
      </c>
      <c r="O1906">
        <v>-0.74524519999999905</v>
      </c>
      <c r="P1906">
        <v>-0.9417565</v>
      </c>
      <c r="Q1906">
        <v>0.14625650000000001</v>
      </c>
      <c r="R1906">
        <v>-0.3028267</v>
      </c>
      <c r="S1906">
        <v>-3.0909580000000001</v>
      </c>
      <c r="T1906">
        <v>-0.30567169999999999</v>
      </c>
      <c r="U1906">
        <v>-0.45242310000000002</v>
      </c>
      <c r="V1906">
        <v>0.50278719999999999</v>
      </c>
      <c r="W1906">
        <v>0.15044179999999999</v>
      </c>
      <c r="X1906">
        <v>0.85121809999999998</v>
      </c>
      <c r="Y1906">
        <v>0.6352023</v>
      </c>
      <c r="Z1906">
        <v>9.6061930000000004E-2</v>
      </c>
      <c r="AA1906">
        <v>0.76634849999999999</v>
      </c>
      <c r="AB1906">
        <v>18</v>
      </c>
      <c r="AC1906">
        <v>-11.0328</v>
      </c>
      <c r="AD1906">
        <v>-1.1034615374099901</v>
      </c>
      <c r="AE1906">
        <v>-1.51439999999996</v>
      </c>
      <c r="AF1906">
        <v>7.1433389246537198</v>
      </c>
      <c r="AG1906">
        <v>-1.1034615374099901</v>
      </c>
      <c r="AH1906">
        <v>8.4017223687077802</v>
      </c>
      <c r="AI1906">
        <v>95.714009027610999</v>
      </c>
      <c r="AJ1906">
        <v>49.628041307000402</v>
      </c>
      <c r="AK1906">
        <v>11.0830436757174</v>
      </c>
      <c r="AL1906">
        <v>81.347469439766002</v>
      </c>
      <c r="AM1906">
        <v>59.431017317748001</v>
      </c>
      <c r="AN1906">
        <v>0.99999997871934398</v>
      </c>
    </row>
    <row r="1907" spans="1:40" x14ac:dyDescent="0.25">
      <c r="A1907" t="str">
        <f>"20190312164026395"</f>
        <v>20190312164026395</v>
      </c>
      <c r="B1907" t="str">
        <f>"1552380026388279"</f>
        <v>1552380026388279</v>
      </c>
      <c r="C1907" t="s">
        <v>40</v>
      </c>
      <c r="D1907">
        <v>6.1380140000000001</v>
      </c>
      <c r="E1907">
        <v>0.57155</v>
      </c>
      <c r="F1907" t="s">
        <v>46</v>
      </c>
      <c r="G1907">
        <v>-208.51679999999999</v>
      </c>
      <c r="H1907" s="1">
        <v>5.8029040000000001E-6</v>
      </c>
      <c r="I1907">
        <v>286.8005</v>
      </c>
      <c r="J1907">
        <v>-196.8997</v>
      </c>
      <c r="K1907">
        <v>1.1034740000000001</v>
      </c>
      <c r="L1907">
        <v>288.39109999999999</v>
      </c>
      <c r="M1907">
        <v>-0.67830809999999997</v>
      </c>
      <c r="N1907">
        <v>0</v>
      </c>
      <c r="O1907">
        <v>-0.73461650000000001</v>
      </c>
      <c r="P1907">
        <v>-0.9442159</v>
      </c>
      <c r="Q1907">
        <v>0.14750060000000001</v>
      </c>
      <c r="R1907">
        <v>-0.29444819999999999</v>
      </c>
      <c r="S1907">
        <v>-3.085251</v>
      </c>
      <c r="T1907">
        <v>-0.28950890000000001</v>
      </c>
      <c r="U1907">
        <v>-0.45166020000000001</v>
      </c>
      <c r="V1907">
        <v>0.49675009999999997</v>
      </c>
      <c r="W1907">
        <v>0.151857299999999</v>
      </c>
      <c r="X1907">
        <v>0.85450499999999996</v>
      </c>
      <c r="Y1907">
        <v>0.62359759999999997</v>
      </c>
      <c r="Z1907">
        <v>9.0049679999999993E-2</v>
      </c>
      <c r="AA1907">
        <v>0.77654179999999995</v>
      </c>
      <c r="AB1907">
        <v>18</v>
      </c>
      <c r="AC1907">
        <v>-11.617099999999899</v>
      </c>
      <c r="AD1907">
        <v>-1.1034681970960001</v>
      </c>
      <c r="AE1907">
        <v>-1.59059999999999</v>
      </c>
      <c r="AF1907">
        <v>7.39062459403769</v>
      </c>
      <c r="AG1907">
        <v>-1.1034681970960001</v>
      </c>
      <c r="AH1907">
        <v>8.9700824266778199</v>
      </c>
      <c r="AI1907">
        <v>95.423518476615698</v>
      </c>
      <c r="AJ1907">
        <v>50.514229316351198</v>
      </c>
      <c r="AK1907">
        <v>11.6748170304031</v>
      </c>
      <c r="AL1907">
        <v>81.265425246093201</v>
      </c>
      <c r="AM1907">
        <v>59.829242872856099</v>
      </c>
      <c r="AN1907">
        <v>1.00000004821914</v>
      </c>
    </row>
    <row r="1908" spans="1:40" x14ac:dyDescent="0.25">
      <c r="A1908" t="str">
        <f>"20190312164026416"</f>
        <v>20190312164026416</v>
      </c>
      <c r="B1908" t="str">
        <f>"1552380026407799"</f>
        <v>1552380026407799</v>
      </c>
      <c r="C1908" t="s">
        <v>40</v>
      </c>
      <c r="D1908">
        <v>6.2354890000000003</v>
      </c>
      <c r="E1908">
        <v>0.5705365</v>
      </c>
      <c r="F1908" t="s">
        <v>46</v>
      </c>
      <c r="G1908">
        <v>-209.29759999999999</v>
      </c>
      <c r="H1908" s="1">
        <v>6.1571739999999998E-6</v>
      </c>
      <c r="I1908">
        <v>286.70850000000002</v>
      </c>
      <c r="J1908">
        <v>-197.0342</v>
      </c>
      <c r="K1908">
        <v>1.1034759999999999</v>
      </c>
      <c r="L1908">
        <v>288.2713</v>
      </c>
      <c r="M1908">
        <v>-0.68908630000000004</v>
      </c>
      <c r="N1908">
        <v>0</v>
      </c>
      <c r="O1908">
        <v>-0.72451569999999899</v>
      </c>
      <c r="P1908">
        <v>-0.94664409999999999</v>
      </c>
      <c r="Q1908">
        <v>0.1486296</v>
      </c>
      <c r="R1908">
        <v>-0.28596169999999999</v>
      </c>
      <c r="S1908">
        <v>-3.089432</v>
      </c>
      <c r="T1908">
        <v>-0.27497450000000001</v>
      </c>
      <c r="U1908">
        <v>-0.4193115</v>
      </c>
      <c r="V1908">
        <v>0.49166549999999998</v>
      </c>
      <c r="W1908">
        <v>0.15313579999999999</v>
      </c>
      <c r="X1908">
        <v>0.85721320000000001</v>
      </c>
      <c r="Y1908">
        <v>0.62074479999999999</v>
      </c>
      <c r="Z1908">
        <v>8.4880230000000001E-2</v>
      </c>
      <c r="AA1908">
        <v>0.77940449999999994</v>
      </c>
      <c r="AB1908">
        <v>18</v>
      </c>
      <c r="AC1908">
        <v>-12.263399999999899</v>
      </c>
      <c r="AD1908">
        <v>-1.1034698428259999</v>
      </c>
      <c r="AE1908">
        <v>-1.56279999999998</v>
      </c>
      <c r="AF1908">
        <v>7.7473234008322702</v>
      </c>
      <c r="AG1908">
        <v>-1.1034698428259999</v>
      </c>
      <c r="AH1908">
        <v>9.5081969643184099</v>
      </c>
      <c r="AI1908">
        <v>95.141060636284493</v>
      </c>
      <c r="AJ1908">
        <v>50.826690957274003</v>
      </c>
      <c r="AK1908">
        <v>12.314401125648899</v>
      </c>
      <c r="AL1908">
        <v>81.191305292659806</v>
      </c>
      <c r="AM1908">
        <v>60.163026609063103</v>
      </c>
      <c r="AN1908">
        <v>1.0000000036930601</v>
      </c>
    </row>
    <row r="1909" spans="1:40" x14ac:dyDescent="0.25">
      <c r="A1909" t="str">
        <f>"20190312164026439"</f>
        <v>20190312164026439</v>
      </c>
      <c r="B1909" t="str">
        <f>"1552380026428295"</f>
        <v>1552380026428295</v>
      </c>
      <c r="C1909" t="s">
        <v>40</v>
      </c>
      <c r="D1909">
        <v>5.507987</v>
      </c>
      <c r="E1909">
        <v>0.57032869999999902</v>
      </c>
      <c r="F1909" t="s">
        <v>48</v>
      </c>
      <c r="G1909">
        <v>-210.1362</v>
      </c>
      <c r="H1909" s="1">
        <v>-1.4643300000000001E-6</v>
      </c>
      <c r="I1909">
        <v>286.58749999999998</v>
      </c>
      <c r="J1909">
        <v>-197.17259999999999</v>
      </c>
      <c r="K1909">
        <v>1.103499</v>
      </c>
      <c r="L1909">
        <v>288.15179999999998</v>
      </c>
      <c r="M1909">
        <v>-0.69990419999999998</v>
      </c>
      <c r="N1909">
        <v>0</v>
      </c>
      <c r="O1909">
        <v>-0.71407030000000005</v>
      </c>
      <c r="P1909">
        <v>-0.94909730000000003</v>
      </c>
      <c r="Q1909">
        <v>0.14934500000000001</v>
      </c>
      <c r="R1909">
        <v>-0.27732699999999999</v>
      </c>
      <c r="S1909">
        <v>-3.0899960000000002</v>
      </c>
      <c r="T1909">
        <v>-0.26024639999999999</v>
      </c>
      <c r="U1909">
        <v>-0.39712520000000001</v>
      </c>
      <c r="V1909">
        <v>0.48648819999999998</v>
      </c>
      <c r="W1909">
        <v>0.15401029999999999</v>
      </c>
      <c r="X1909">
        <v>0.86000589999999999</v>
      </c>
      <c r="Y1909">
        <v>0.61500900000000003</v>
      </c>
      <c r="Z1909">
        <v>7.9617469999999996E-2</v>
      </c>
      <c r="AA1909">
        <v>0.78449029999999997</v>
      </c>
      <c r="AB1909">
        <v>18</v>
      </c>
      <c r="AC1909">
        <v>-12.9636</v>
      </c>
      <c r="AD1909">
        <v>-1.1035004643299999</v>
      </c>
      <c r="AE1909">
        <v>-1.5643</v>
      </c>
      <c r="AF1909">
        <v>8.1051455142284592</v>
      </c>
      <c r="AG1909">
        <v>-1.1035004643299999</v>
      </c>
      <c r="AH1909">
        <v>10.1192387716572</v>
      </c>
      <c r="AI1909">
        <v>94.864919960820501</v>
      </c>
      <c r="AJ1909">
        <v>51.306530390519299</v>
      </c>
      <c r="AK1909">
        <v>13.011921087964099</v>
      </c>
      <c r="AL1909">
        <v>81.140598979338506</v>
      </c>
      <c r="AM1909">
        <v>60.504023824864902</v>
      </c>
      <c r="AN1909">
        <v>1.0000000446400601</v>
      </c>
    </row>
    <row r="1910" spans="1:40" x14ac:dyDescent="0.25">
      <c r="A1910" t="str">
        <f>"20190312164026461"</f>
        <v>20190312164026461</v>
      </c>
      <c r="B1910" t="str">
        <f>"1552380026458551"</f>
        <v>1552380026458551</v>
      </c>
      <c r="C1910" t="s">
        <v>40</v>
      </c>
      <c r="D1910">
        <v>5.6684099999999997</v>
      </c>
      <c r="E1910">
        <v>0.56939309999999999</v>
      </c>
      <c r="F1910" t="s">
        <v>48</v>
      </c>
      <c r="G1910">
        <v>-210.36070000000001</v>
      </c>
      <c r="H1910" s="1">
        <v>-1.3448320000000001E-6</v>
      </c>
      <c r="I1910">
        <v>286.57690000000002</v>
      </c>
      <c r="J1910">
        <v>-197.3117</v>
      </c>
      <c r="K1910">
        <v>1.103531</v>
      </c>
      <c r="L1910">
        <v>288.03559999999999</v>
      </c>
      <c r="M1910">
        <v>-0.71048630000000002</v>
      </c>
      <c r="N1910">
        <v>0</v>
      </c>
      <c r="O1910">
        <v>-0.70354220000000001</v>
      </c>
      <c r="P1910">
        <v>-0.95130499999999996</v>
      </c>
      <c r="Q1910">
        <v>0.14961849999999999</v>
      </c>
      <c r="R1910">
        <v>-0.26950580000000002</v>
      </c>
      <c r="S1910">
        <v>-3.0936889999999999</v>
      </c>
      <c r="T1910">
        <v>-0.25886150000000002</v>
      </c>
      <c r="U1910">
        <v>-0.36944579999999999</v>
      </c>
      <c r="V1910">
        <v>0.48066789999999998</v>
      </c>
      <c r="W1910">
        <v>0.15446969999999999</v>
      </c>
      <c r="X1910">
        <v>0.86319029999999997</v>
      </c>
      <c r="Y1910">
        <v>0.61037609999999998</v>
      </c>
      <c r="Z1910">
        <v>7.8426079999999995E-2</v>
      </c>
      <c r="AA1910">
        <v>0.78821980000000003</v>
      </c>
      <c r="AB1910">
        <v>18</v>
      </c>
      <c r="AC1910">
        <v>-13.048999999999999</v>
      </c>
      <c r="AD1910">
        <v>-1.103532344832</v>
      </c>
      <c r="AE1910">
        <v>-1.4586999999999599</v>
      </c>
      <c r="AF1910">
        <v>8.0879737498312192</v>
      </c>
      <c r="AG1910">
        <v>-1.103532344832</v>
      </c>
      <c r="AH1910">
        <v>10.2263817996288</v>
      </c>
      <c r="AI1910">
        <v>94.837899015644993</v>
      </c>
      <c r="AJ1910">
        <v>51.659774537742102</v>
      </c>
      <c r="AK1910">
        <v>13.0847998733579</v>
      </c>
      <c r="AL1910">
        <v>81.113958158878503</v>
      </c>
      <c r="AM1910">
        <v>60.888733545642097</v>
      </c>
      <c r="AN1910">
        <v>1.0000000061612899</v>
      </c>
    </row>
    <row r="1911" spans="1:40" x14ac:dyDescent="0.25">
      <c r="A1911" t="str">
        <f>"20190312164026485"</f>
        <v>20190312164026485</v>
      </c>
      <c r="B1911" t="str">
        <f>"1552380026478070"</f>
        <v>1552380026478070</v>
      </c>
      <c r="C1911" t="s">
        <v>40</v>
      </c>
      <c r="D1911">
        <v>5.7297820000000002</v>
      </c>
      <c r="E1911">
        <v>0.56908080000000005</v>
      </c>
      <c r="F1911" t="s">
        <v>48</v>
      </c>
      <c r="G1911">
        <v>-211.29650000000001</v>
      </c>
      <c r="H1911" s="1">
        <v>-8.4686259999999996E-7</v>
      </c>
      <c r="I1911">
        <v>286.46980000000002</v>
      </c>
      <c r="J1911">
        <v>-197.46539999999999</v>
      </c>
      <c r="K1911">
        <v>1.1035759999999999</v>
      </c>
      <c r="L1911">
        <v>287.91120000000001</v>
      </c>
      <c r="M1911">
        <v>-0.72185949999999999</v>
      </c>
      <c r="N1911">
        <v>0</v>
      </c>
      <c r="O1911">
        <v>-0.69186780000000003</v>
      </c>
      <c r="P1911">
        <v>-0.9546095</v>
      </c>
      <c r="Q1911">
        <v>0.15016559999999901</v>
      </c>
      <c r="R1911">
        <v>-0.2572373</v>
      </c>
      <c r="S1911">
        <v>-3.093826</v>
      </c>
      <c r="T1911">
        <v>-0.24413170000000001</v>
      </c>
      <c r="U1911">
        <v>-0.34637449999999997</v>
      </c>
      <c r="V1911">
        <v>0.47763489999999997</v>
      </c>
      <c r="W1911">
        <v>0.155141</v>
      </c>
      <c r="X1911">
        <v>0.86475210000000002</v>
      </c>
      <c r="Y1911">
        <v>0.60376649999999998</v>
      </c>
      <c r="Z1911">
        <v>7.3166040000000002E-2</v>
      </c>
      <c r="AA1911">
        <v>0.79379639999999996</v>
      </c>
      <c r="AB1911">
        <v>18</v>
      </c>
      <c r="AC1911">
        <v>-13.831099999999999</v>
      </c>
      <c r="AD1911">
        <v>-1.1035768468625999</v>
      </c>
      <c r="AE1911">
        <v>-1.44139999999998</v>
      </c>
      <c r="AF1911">
        <v>8.4764344315750897</v>
      </c>
      <c r="AG1911">
        <v>-1.1035768468625999</v>
      </c>
      <c r="AH1911">
        <v>10.9139395091195</v>
      </c>
      <c r="AI1911">
        <v>94.565924647312201</v>
      </c>
      <c r="AJ1911">
        <v>52.164895868315497</v>
      </c>
      <c r="AK1911">
        <v>13.862968590401</v>
      </c>
      <c r="AL1911">
        <v>81.075026219793301</v>
      </c>
      <c r="AM1911">
        <v>61.086489018324997</v>
      </c>
      <c r="AN1911">
        <v>1.00000001101671</v>
      </c>
    </row>
    <row r="1912" spans="1:40" x14ac:dyDescent="0.25">
      <c r="A1912" t="str">
        <f>"20190312164026506"</f>
        <v>20190312164026506</v>
      </c>
      <c r="B1912" t="str">
        <f>"1552380026498566"</f>
        <v>1552380026498566</v>
      </c>
      <c r="C1912" t="s">
        <v>40</v>
      </c>
      <c r="D1912">
        <v>5.7670510000000004</v>
      </c>
      <c r="E1912">
        <v>0.56865600000000005</v>
      </c>
      <c r="F1912" t="s">
        <v>48</v>
      </c>
      <c r="G1912">
        <v>-212.03800000000001</v>
      </c>
      <c r="H1912" s="1">
        <v>-4.5225640000000002E-7</v>
      </c>
      <c r="I1912">
        <v>286.46589999999998</v>
      </c>
      <c r="J1912">
        <v>-197.60239999999999</v>
      </c>
      <c r="K1912">
        <v>1.103621</v>
      </c>
      <c r="L1912">
        <v>287.80360000000002</v>
      </c>
      <c r="M1912">
        <v>-0.73171929999999996</v>
      </c>
      <c r="N1912">
        <v>0</v>
      </c>
      <c r="O1912">
        <v>-0.68143169999999897</v>
      </c>
      <c r="P1912">
        <v>-0.956704</v>
      </c>
      <c r="Q1912">
        <v>0.15106510000000001</v>
      </c>
      <c r="R1912">
        <v>-0.2487907</v>
      </c>
      <c r="S1912">
        <v>-3.0967859999999998</v>
      </c>
      <c r="T1912">
        <v>-0.23451730000000001</v>
      </c>
      <c r="U1912">
        <v>-0.30712889999999998</v>
      </c>
      <c r="V1912">
        <v>0.47274539999999998</v>
      </c>
      <c r="W1912">
        <v>0.15621019999999999</v>
      </c>
      <c r="X1912">
        <v>0.86724279999999998</v>
      </c>
      <c r="Y1912">
        <v>0.60267789999999999</v>
      </c>
      <c r="Z1912">
        <v>6.97435E-2</v>
      </c>
      <c r="AA1912">
        <v>0.7949309</v>
      </c>
      <c r="AB1912">
        <v>18</v>
      </c>
      <c r="AC1912">
        <v>-14.4355999999999</v>
      </c>
      <c r="AD1912">
        <v>-1.1036214522563901</v>
      </c>
      <c r="AE1912">
        <v>-1.3377000000000401</v>
      </c>
      <c r="AF1912">
        <v>8.8080643560914904</v>
      </c>
      <c r="AG1912">
        <v>-1.1036214522563901</v>
      </c>
      <c r="AH1912">
        <v>11.4096030896717</v>
      </c>
      <c r="AI1912">
        <v>94.378387426661703</v>
      </c>
      <c r="AJ1912">
        <v>52.332328967610898</v>
      </c>
      <c r="AK1912">
        <v>14.456106691456601</v>
      </c>
      <c r="AL1912">
        <v>81.013008986540001</v>
      </c>
      <c r="AM1912">
        <v>61.404620578733002</v>
      </c>
      <c r="AN1912">
        <v>0.99999995697851896</v>
      </c>
    </row>
    <row r="1913" spans="1:40" x14ac:dyDescent="0.25">
      <c r="A1913" t="str">
        <f>"20190312164026528"</f>
        <v>20190312164026528</v>
      </c>
      <c r="B1913" t="str">
        <f>"1552380026518090"</f>
        <v>1552380026518090</v>
      </c>
      <c r="C1913" t="s">
        <v>40</v>
      </c>
      <c r="D1913">
        <v>5.6825910000000004</v>
      </c>
      <c r="E1913">
        <v>0.56831750000000003</v>
      </c>
      <c r="F1913" t="s">
        <v>48</v>
      </c>
      <c r="G1913">
        <v>-212.75460000000001</v>
      </c>
      <c r="H1913" s="1">
        <v>-7.0921080000000003E-8</v>
      </c>
      <c r="I1913">
        <v>286.42430000000002</v>
      </c>
      <c r="J1913">
        <v>-197.74209999999999</v>
      </c>
      <c r="K1913">
        <v>1.103666</v>
      </c>
      <c r="L1913">
        <v>287.69720000000001</v>
      </c>
      <c r="M1913">
        <v>-0.74151089999999997</v>
      </c>
      <c r="N1913">
        <v>0</v>
      </c>
      <c r="O1913">
        <v>-0.67076359999999902</v>
      </c>
      <c r="P1913">
        <v>-0.95880779999999999</v>
      </c>
      <c r="Q1913">
        <v>0.15190919999999999</v>
      </c>
      <c r="R1913">
        <v>-0.24002319999999999</v>
      </c>
      <c r="S1913">
        <v>-3.0980379999999998</v>
      </c>
      <c r="T1913">
        <v>-0.22564699999999999</v>
      </c>
      <c r="U1913">
        <v>-0.28201290000000001</v>
      </c>
      <c r="V1913">
        <v>0.46801429999999999</v>
      </c>
      <c r="W1913">
        <v>0.15722030000000001</v>
      </c>
      <c r="X1913">
        <v>0.86962309999999998</v>
      </c>
      <c r="Y1913">
        <v>0.59782849999999998</v>
      </c>
      <c r="Z1913">
        <v>6.6421889999999997E-2</v>
      </c>
      <c r="AA1913">
        <v>0.79886749999999995</v>
      </c>
      <c r="AB1913">
        <v>18</v>
      </c>
      <c r="AC1913">
        <v>-15.012499999999999</v>
      </c>
      <c r="AD1913">
        <v>-1.1036660709210799</v>
      </c>
      <c r="AE1913">
        <v>-1.2728999999999899</v>
      </c>
      <c r="AF1913">
        <v>9.0783392707267794</v>
      </c>
      <c r="AG1913">
        <v>-1.1036660709210799</v>
      </c>
      <c r="AH1913">
        <v>11.923191635039499</v>
      </c>
      <c r="AI1913">
        <v>94.212041672323494</v>
      </c>
      <c r="AJ1913">
        <v>52.714290288654603</v>
      </c>
      <c r="AK1913">
        <v>15.0265372417067</v>
      </c>
      <c r="AL1913">
        <v>80.954410596971499</v>
      </c>
      <c r="AM1913">
        <v>61.711723311758703</v>
      </c>
      <c r="AN1913">
        <v>0.99999997189509404</v>
      </c>
    </row>
    <row r="1914" spans="1:40" x14ac:dyDescent="0.25">
      <c r="A1914" t="str">
        <f>"20190312164026551"</f>
        <v>20190312164026551</v>
      </c>
      <c r="B1914" t="str">
        <f>"1552380026537607"</f>
        <v>1552380026537607</v>
      </c>
      <c r="C1914" t="s">
        <v>40</v>
      </c>
      <c r="D1914">
        <v>6.0376260000000004</v>
      </c>
      <c r="E1914">
        <v>0.56800539999999999</v>
      </c>
      <c r="F1914" t="s">
        <v>48</v>
      </c>
      <c r="G1914">
        <v>-213.31399999999999</v>
      </c>
      <c r="H1914" s="1">
        <v>2.2675199999999999E-7</v>
      </c>
      <c r="I1914">
        <v>286.41309999999999</v>
      </c>
      <c r="J1914">
        <v>-197.887</v>
      </c>
      <c r="K1914">
        <v>1.1037129999999999</v>
      </c>
      <c r="L1914">
        <v>287.58999999999997</v>
      </c>
      <c r="M1914">
        <v>-0.75138870000000002</v>
      </c>
      <c r="N1914">
        <v>0</v>
      </c>
      <c r="O1914">
        <v>-0.65968000000000004</v>
      </c>
      <c r="P1914">
        <v>-0.96079060000000005</v>
      </c>
      <c r="Q1914">
        <v>0.15313260000000001</v>
      </c>
      <c r="R1914">
        <v>-0.2311542</v>
      </c>
      <c r="S1914">
        <v>-3.0997159999999999</v>
      </c>
      <c r="T1914">
        <v>-0.2196939</v>
      </c>
      <c r="U1914">
        <v>-0.25561519999999999</v>
      </c>
      <c r="V1914">
        <v>0.46299299999999999</v>
      </c>
      <c r="W1914">
        <v>0.15861410000000001</v>
      </c>
      <c r="X1914">
        <v>0.87205449999999995</v>
      </c>
      <c r="Y1914">
        <v>0.59291890000000003</v>
      </c>
      <c r="Z1914">
        <v>6.3957050000000001E-2</v>
      </c>
      <c r="AA1914">
        <v>0.8027183</v>
      </c>
      <c r="AB1914">
        <v>17</v>
      </c>
      <c r="AC1914">
        <v>-15.427</v>
      </c>
      <c r="AD1914">
        <v>-1.1037127732480001</v>
      </c>
      <c r="AE1914">
        <v>-1.1768999999999801</v>
      </c>
      <c r="AF1914">
        <v>9.2466211720719897</v>
      </c>
      <c r="AG1914">
        <v>-1.1037127732480001</v>
      </c>
      <c r="AH1914">
        <v>12.3068894598866</v>
      </c>
      <c r="AI1914">
        <v>94.101087574303307</v>
      </c>
      <c r="AJ1914">
        <v>53.081107653255998</v>
      </c>
      <c r="AK1914">
        <v>15.433007262471801</v>
      </c>
      <c r="AL1914">
        <v>80.873537223190894</v>
      </c>
      <c r="AM1914">
        <v>62.035180012794399</v>
      </c>
      <c r="AN1914">
        <v>1.00000000086903</v>
      </c>
    </row>
    <row r="1915" spans="1:40" x14ac:dyDescent="0.25">
      <c r="A1915" t="str">
        <f>"20190312164026572"</f>
        <v>20190312164026572</v>
      </c>
      <c r="B1915" t="str">
        <f>"1552380026567863"</f>
        <v>1552380026567863</v>
      </c>
      <c r="C1915" t="s">
        <v>40</v>
      </c>
      <c r="D1915">
        <v>6.3237399999999999</v>
      </c>
      <c r="E1915">
        <v>0.5673648</v>
      </c>
      <c r="F1915" t="s">
        <v>48</v>
      </c>
      <c r="G1915">
        <v>-214.26490000000001</v>
      </c>
      <c r="H1915" s="1">
        <v>7.3278229999999995E-7</v>
      </c>
      <c r="I1915">
        <v>286.39049999999997</v>
      </c>
      <c r="J1915">
        <v>-198.03229999999999</v>
      </c>
      <c r="K1915">
        <v>1.1037520000000001</v>
      </c>
      <c r="L1915">
        <v>287.48579999999998</v>
      </c>
      <c r="M1915">
        <v>-0.76101629999999998</v>
      </c>
      <c r="N1915">
        <v>0</v>
      </c>
      <c r="O1915">
        <v>-0.64854990000000001</v>
      </c>
      <c r="P1915">
        <v>-0.96265789999999996</v>
      </c>
      <c r="Q1915">
        <v>0.15388299999999999</v>
      </c>
      <c r="R1915">
        <v>-0.2227325</v>
      </c>
      <c r="S1915">
        <v>-3.101089</v>
      </c>
      <c r="T1915">
        <v>-0.2089838</v>
      </c>
      <c r="U1915">
        <v>-0.2271118</v>
      </c>
      <c r="V1915">
        <v>0.45769130000000002</v>
      </c>
      <c r="W1915">
        <v>0.15953719999999999</v>
      </c>
      <c r="X1915">
        <v>0.87468080000000004</v>
      </c>
      <c r="Y1915">
        <v>0.58874150000000003</v>
      </c>
      <c r="Z1915">
        <v>6.0182090000000001E-2</v>
      </c>
      <c r="AA1915">
        <v>0.80607790000000001</v>
      </c>
      <c r="AB1915">
        <v>17</v>
      </c>
      <c r="AC1915">
        <v>-16.232600000000001</v>
      </c>
      <c r="AD1915">
        <v>-1.1037512672176999</v>
      </c>
      <c r="AE1915">
        <v>-1.0952999999999999</v>
      </c>
      <c r="AF1915">
        <v>9.6508420049160399</v>
      </c>
      <c r="AG1915">
        <v>-1.1037512672176999</v>
      </c>
      <c r="AH1915">
        <v>13.005322690984</v>
      </c>
      <c r="AI1915">
        <v>93.898903858656197</v>
      </c>
      <c r="AJ1915">
        <v>53.422049035522399</v>
      </c>
      <c r="AK1915">
        <v>16.232542516819699</v>
      </c>
      <c r="AL1915">
        <v>80.8199650664926</v>
      </c>
      <c r="AM1915">
        <v>62.378437200686498</v>
      </c>
      <c r="AN1915">
        <v>0.99999997308408395</v>
      </c>
    </row>
    <row r="1916" spans="1:40" x14ac:dyDescent="0.25">
      <c r="A1916" t="str">
        <f>"20190312164026596"</f>
        <v>20190312164026596</v>
      </c>
      <c r="B1916" t="str">
        <f>"1552380026588359"</f>
        <v>1552380026588359</v>
      </c>
      <c r="C1916" t="s">
        <v>40</v>
      </c>
      <c r="D1916">
        <v>5.7152430000000001</v>
      </c>
      <c r="E1916">
        <v>0.5679263</v>
      </c>
      <c r="F1916" t="s">
        <v>48</v>
      </c>
      <c r="G1916">
        <v>-214.44759999999999</v>
      </c>
      <c r="H1916" s="1">
        <v>8.3001559999999898E-7</v>
      </c>
      <c r="I1916">
        <v>286.40870000000001</v>
      </c>
      <c r="J1916">
        <v>-198.18440000000001</v>
      </c>
      <c r="K1916">
        <v>1.103793</v>
      </c>
      <c r="L1916">
        <v>287.3802</v>
      </c>
      <c r="M1916">
        <v>-0.77080459999999995</v>
      </c>
      <c r="N1916">
        <v>0</v>
      </c>
      <c r="O1916">
        <v>-0.63688549999999999</v>
      </c>
      <c r="P1916">
        <v>-0.96488079999999998</v>
      </c>
      <c r="Q1916">
        <v>0.1536854</v>
      </c>
      <c r="R1916">
        <v>-0.21303949999999999</v>
      </c>
      <c r="S1916">
        <v>-3.1026150000000001</v>
      </c>
      <c r="T1916">
        <v>-0.20861759999999999</v>
      </c>
      <c r="U1916">
        <v>-0.20358280000000001</v>
      </c>
      <c r="V1916">
        <v>0.45315100000000003</v>
      </c>
      <c r="W1916">
        <v>0.15949070000000001</v>
      </c>
      <c r="X1916">
        <v>0.87705010000000005</v>
      </c>
      <c r="Y1916">
        <v>0.58259030000000001</v>
      </c>
      <c r="Z1916">
        <v>5.9294689999999997E-2</v>
      </c>
      <c r="AA1916">
        <v>0.81060019999999999</v>
      </c>
      <c r="AB1916">
        <v>17</v>
      </c>
      <c r="AC1916">
        <v>-16.263199999999902</v>
      </c>
      <c r="AD1916">
        <v>-1.1037921699844</v>
      </c>
      <c r="AE1916">
        <v>-0.97149999999999104</v>
      </c>
      <c r="AF1916">
        <v>9.5661899664369994</v>
      </c>
      <c r="AG1916">
        <v>-1.1037921699844</v>
      </c>
      <c r="AH1916">
        <v>13.0959328231905</v>
      </c>
      <c r="AI1916">
        <v>93.893588646989102</v>
      </c>
      <c r="AJ1916">
        <v>53.8529812469408</v>
      </c>
      <c r="AK1916">
        <v>16.255270041989402</v>
      </c>
      <c r="AL1916">
        <v>80.8226640800778</v>
      </c>
      <c r="AM1916">
        <v>62.675673076464101</v>
      </c>
      <c r="AN1916">
        <v>0.99999999504875003</v>
      </c>
    </row>
    <row r="1917" spans="1:40" x14ac:dyDescent="0.25">
      <c r="A1917" t="str">
        <f>"20190312164026617"</f>
        <v>20190312164026617</v>
      </c>
      <c r="B1917" t="str">
        <f>"1552380026607882"</f>
        <v>1552380026607882</v>
      </c>
      <c r="C1917" t="s">
        <v>40</v>
      </c>
      <c r="D1917">
        <v>5.8016069999999997</v>
      </c>
      <c r="E1917">
        <v>0.56757239999999998</v>
      </c>
      <c r="F1917" t="s">
        <v>48</v>
      </c>
      <c r="G1917">
        <v>-214.5581</v>
      </c>
      <c r="H1917" s="1">
        <v>8.8881259999999898E-7</v>
      </c>
      <c r="I1917">
        <v>286.49860000000001</v>
      </c>
      <c r="J1917">
        <v>-198.3295</v>
      </c>
      <c r="K1917">
        <v>1.1038349999999999</v>
      </c>
      <c r="L1917">
        <v>287.28250000000003</v>
      </c>
      <c r="M1917">
        <v>-0.77988419999999903</v>
      </c>
      <c r="N1917">
        <v>0</v>
      </c>
      <c r="O1917">
        <v>-0.62573489999999998</v>
      </c>
      <c r="P1917">
        <v>-0.96675370000000005</v>
      </c>
      <c r="Q1917">
        <v>0.153111</v>
      </c>
      <c r="R1917">
        <v>-0.20480309999999999</v>
      </c>
      <c r="S1917">
        <v>-3.1056210000000002</v>
      </c>
      <c r="T1917">
        <v>-0.2093574</v>
      </c>
      <c r="U1917">
        <v>-0.16720579999999999</v>
      </c>
      <c r="V1917">
        <v>0.4480305</v>
      </c>
      <c r="W1917">
        <v>0.15907499999999999</v>
      </c>
      <c r="X1917">
        <v>0.87975219999999899</v>
      </c>
      <c r="Y1917">
        <v>0.58043849999999997</v>
      </c>
      <c r="Z1917">
        <v>5.8859410000000001E-2</v>
      </c>
      <c r="AA1917">
        <v>0.81217410000000001</v>
      </c>
      <c r="AB1917">
        <v>17</v>
      </c>
      <c r="AC1917">
        <v>-16.2286</v>
      </c>
      <c r="AD1917">
        <v>-1.1038341111873999</v>
      </c>
      <c r="AE1917">
        <v>-0.78390000000001603</v>
      </c>
      <c r="AF1917">
        <v>9.5007266611440908</v>
      </c>
      <c r="AG1917">
        <v>-1.1038341111873999</v>
      </c>
      <c r="AH1917">
        <v>13.088086918477501</v>
      </c>
      <c r="AI1917">
        <v>93.904507424687495</v>
      </c>
      <c r="AJ1917">
        <v>54.023860653052999</v>
      </c>
      <c r="AK1917">
        <v>16.210498944215601</v>
      </c>
      <c r="AL1917">
        <v>80.846790541410797</v>
      </c>
      <c r="AM1917">
        <v>63.0116674472347</v>
      </c>
      <c r="AN1917">
        <v>1.00000005898004</v>
      </c>
    </row>
    <row r="1918" spans="1:40" x14ac:dyDescent="0.25">
      <c r="A1918" t="str">
        <f>"20190312164026640"</f>
        <v>20190312164026640</v>
      </c>
      <c r="B1918" t="str">
        <f>"1552380026628378"</f>
        <v>1552380026628378</v>
      </c>
      <c r="C1918" t="s">
        <v>40</v>
      </c>
      <c r="D1918">
        <v>5.542592</v>
      </c>
      <c r="E1918">
        <v>0.56710729999999998</v>
      </c>
      <c r="F1918" t="s">
        <v>48</v>
      </c>
      <c r="G1918">
        <v>-214.8905</v>
      </c>
      <c r="H1918" s="1">
        <v>1.065714E-6</v>
      </c>
      <c r="I1918">
        <v>286.52820000000003</v>
      </c>
      <c r="J1918">
        <v>-198.4777</v>
      </c>
      <c r="K1918">
        <v>1.103877</v>
      </c>
      <c r="L1918">
        <v>287.18599999999998</v>
      </c>
      <c r="M1918">
        <v>-0.78889480000000001</v>
      </c>
      <c r="N1918">
        <v>0</v>
      </c>
      <c r="O1918">
        <v>-0.61433570000000004</v>
      </c>
      <c r="P1918">
        <v>-0.9685184</v>
      </c>
      <c r="Q1918">
        <v>0.15309239999999999</v>
      </c>
      <c r="R1918">
        <v>-0.1963029</v>
      </c>
      <c r="S1918">
        <v>-3.105988</v>
      </c>
      <c r="T1918">
        <v>-0.20702209999999999</v>
      </c>
      <c r="U1918">
        <v>-0.14147950000000001</v>
      </c>
      <c r="V1918">
        <v>0.44294289999999997</v>
      </c>
      <c r="W1918">
        <v>0.15920819999999999</v>
      </c>
      <c r="X1918">
        <v>0.88230059999999999</v>
      </c>
      <c r="Y1918">
        <v>0.57541439999999999</v>
      </c>
      <c r="Z1918">
        <v>5.7477439999999998E-2</v>
      </c>
      <c r="AA1918">
        <v>0.8158398</v>
      </c>
      <c r="AB1918">
        <v>17</v>
      </c>
      <c r="AC1918">
        <v>-16.412800000000001</v>
      </c>
      <c r="AD1918">
        <v>-1.1038759342860001</v>
      </c>
      <c r="AE1918">
        <v>-0.65779999999995198</v>
      </c>
      <c r="AF1918">
        <v>9.5221613285981093</v>
      </c>
      <c r="AG1918">
        <v>-1.1038759342860001</v>
      </c>
      <c r="AH1918">
        <v>13.2936253529931</v>
      </c>
      <c r="AI1918">
        <v>93.861982072800998</v>
      </c>
      <c r="AJ1918">
        <v>54.3861528729296</v>
      </c>
      <c r="AK1918">
        <v>16.3893432898297</v>
      </c>
      <c r="AL1918">
        <v>80.839059739289894</v>
      </c>
      <c r="AM1918">
        <v>63.341896707628599</v>
      </c>
      <c r="AN1918">
        <v>1.000000006184</v>
      </c>
    </row>
    <row r="1919" spans="1:40" x14ac:dyDescent="0.25">
      <c r="A1919" t="str">
        <f>"20190312164026661"</f>
        <v>20190312164026661</v>
      </c>
      <c r="B1919" t="str">
        <f>"1552380026657656"</f>
        <v>1552380026657656</v>
      </c>
      <c r="C1919" t="s">
        <v>40</v>
      </c>
      <c r="D1919">
        <v>5.7711439999999996</v>
      </c>
      <c r="E1919">
        <v>0.56664060000000005</v>
      </c>
      <c r="F1919" t="s">
        <v>48</v>
      </c>
      <c r="G1919">
        <v>-215.89420000000001</v>
      </c>
      <c r="H1919" s="1">
        <v>1.5997980000000001E-6</v>
      </c>
      <c r="I1919">
        <v>286.53829999999999</v>
      </c>
      <c r="J1919">
        <v>-198.63</v>
      </c>
      <c r="K1919">
        <v>1.103909</v>
      </c>
      <c r="L1919">
        <v>287.08999999999997</v>
      </c>
      <c r="M1919">
        <v>-0.7978925</v>
      </c>
      <c r="N1919">
        <v>0</v>
      </c>
      <c r="O1919">
        <v>-0.60260400000000003</v>
      </c>
      <c r="P1919">
        <v>-0.9702421</v>
      </c>
      <c r="Q1919">
        <v>0.15370629999999999</v>
      </c>
      <c r="R1919">
        <v>-0.18709600000000001</v>
      </c>
      <c r="S1919">
        <v>-3.1052550000000001</v>
      </c>
      <c r="T1919">
        <v>-0.1968145</v>
      </c>
      <c r="U1919">
        <v>-0.1154785</v>
      </c>
      <c r="V1919">
        <v>0.43819760000000002</v>
      </c>
      <c r="W1919">
        <v>0.159962299999999</v>
      </c>
      <c r="X1919">
        <v>0.88453090000000001</v>
      </c>
      <c r="Y1919">
        <v>0.57040179999999996</v>
      </c>
      <c r="Z1919">
        <v>5.3949209999999997E-2</v>
      </c>
      <c r="AA1919">
        <v>0.81959210000000005</v>
      </c>
      <c r="AB1919">
        <v>17</v>
      </c>
      <c r="AC1919">
        <v>-17.264199999999999</v>
      </c>
      <c r="AD1919">
        <v>-1.103907400202</v>
      </c>
      <c r="AE1919">
        <v>-0.55169999999998198</v>
      </c>
      <c r="AF1919">
        <v>9.9239211074915197</v>
      </c>
      <c r="AG1919">
        <v>-1.103907400202</v>
      </c>
      <c r="AH1919">
        <v>14.0517042489889</v>
      </c>
      <c r="AI1919">
        <v>93.671659046508395</v>
      </c>
      <c r="AJ1919">
        <v>54.768608668510304</v>
      </c>
      <c r="AK1919">
        <v>17.238132555383999</v>
      </c>
      <c r="AL1919">
        <v>80.795291954074202</v>
      </c>
      <c r="AM1919">
        <v>63.646133408859001</v>
      </c>
      <c r="AN1919">
        <v>0.99999999356092995</v>
      </c>
    </row>
    <row r="1920" spans="1:40" x14ac:dyDescent="0.25">
      <c r="A1920" t="str">
        <f>"20190312164026685"</f>
        <v>20190312164026685</v>
      </c>
      <c r="B1920" t="str">
        <f>"1552380026678151"</f>
        <v>1552380026678151</v>
      </c>
      <c r="C1920" t="s">
        <v>40</v>
      </c>
      <c r="D1920">
        <v>5.8221080000000001</v>
      </c>
      <c r="E1920">
        <v>0.56614609999999999</v>
      </c>
      <c r="F1920" t="s">
        <v>48</v>
      </c>
      <c r="G1920">
        <v>-217.23390000000001</v>
      </c>
      <c r="H1920" s="1">
        <v>2.3127610000000001E-6</v>
      </c>
      <c r="I1920">
        <v>286.55959999999999</v>
      </c>
      <c r="J1920">
        <v>-198.791</v>
      </c>
      <c r="K1920">
        <v>1.1039399999999999</v>
      </c>
      <c r="L1920">
        <v>286.99189999999999</v>
      </c>
      <c r="M1920">
        <v>-0.80712569999999995</v>
      </c>
      <c r="N1920">
        <v>0</v>
      </c>
      <c r="O1920">
        <v>-0.59018000000000004</v>
      </c>
      <c r="P1920">
        <v>-0.9719949</v>
      </c>
      <c r="Q1920">
        <v>0.15362210000000001</v>
      </c>
      <c r="R1920">
        <v>-0.17783789999999999</v>
      </c>
      <c r="S1920">
        <v>-3.1041560000000001</v>
      </c>
      <c r="T1920">
        <v>-0.18419179999999999</v>
      </c>
      <c r="U1920">
        <v>-8.8500980000000007E-2</v>
      </c>
      <c r="V1920">
        <v>0.43290909999999999</v>
      </c>
      <c r="W1920">
        <v>0.16003199999999901</v>
      </c>
      <c r="X1920">
        <v>0.88711870000000004</v>
      </c>
      <c r="Y1920">
        <v>0.56509359999999997</v>
      </c>
      <c r="Z1920">
        <v>4.9793490000000003E-2</v>
      </c>
      <c r="AA1920">
        <v>0.8235228</v>
      </c>
      <c r="AB1920">
        <v>17</v>
      </c>
      <c r="AC1920">
        <v>-18.442900000000002</v>
      </c>
      <c r="AD1920">
        <v>-1.1039376872390001</v>
      </c>
      <c r="AE1920">
        <v>-0.43229999999999702</v>
      </c>
      <c r="AF1920">
        <v>10.4993548514196</v>
      </c>
      <c r="AG1920">
        <v>-1.1039376872390001</v>
      </c>
      <c r="AH1920">
        <v>15.0886269831138</v>
      </c>
      <c r="AI1920">
        <v>93.4367647106926</v>
      </c>
      <c r="AJ1920">
        <v>55.168042789867002</v>
      </c>
      <c r="AK1920">
        <v>18.415259839298599</v>
      </c>
      <c r="AL1920">
        <v>80.791246927058296</v>
      </c>
      <c r="AM1920">
        <v>63.987875810344399</v>
      </c>
      <c r="AN1920">
        <v>1.0000000588882401</v>
      </c>
    </row>
    <row r="1921" spans="1:40" x14ac:dyDescent="0.25">
      <c r="A1921" t="str">
        <f>"20190312164026708"</f>
        <v>20190312164026708</v>
      </c>
      <c r="B1921" t="str">
        <f>"1552380026697671"</f>
        <v>1552380026697671</v>
      </c>
      <c r="C1921" t="s">
        <v>40</v>
      </c>
      <c r="D1921">
        <v>5.9892059999999896</v>
      </c>
      <c r="E1921">
        <v>0.56553549999999997</v>
      </c>
      <c r="F1921" t="s">
        <v>48</v>
      </c>
      <c r="G1921">
        <v>-218.00989999999999</v>
      </c>
      <c r="H1921" s="1">
        <v>2.7257009999999998E-6</v>
      </c>
      <c r="I1921">
        <v>286.60849999999999</v>
      </c>
      <c r="J1921">
        <v>-198.9477</v>
      </c>
      <c r="K1921">
        <v>1.10398</v>
      </c>
      <c r="L1921">
        <v>286.89960000000002</v>
      </c>
      <c r="M1921">
        <v>-0.81584849999999998</v>
      </c>
      <c r="N1921">
        <v>0</v>
      </c>
      <c r="O1921">
        <v>-0.57806199999999996</v>
      </c>
      <c r="P1921">
        <v>-0.97383609999999998</v>
      </c>
      <c r="Q1921">
        <v>0.1522762</v>
      </c>
      <c r="R1921">
        <v>-0.16868749999999999</v>
      </c>
      <c r="S1921">
        <v>-3.1032869999999999</v>
      </c>
      <c r="T1921">
        <v>-0.17825269999999999</v>
      </c>
      <c r="U1921">
        <v>-6.1920169999999997E-2</v>
      </c>
      <c r="V1921">
        <v>0.42807390000000001</v>
      </c>
      <c r="W1921">
        <v>0.15883159999999999</v>
      </c>
      <c r="X1921">
        <v>0.88967700000000005</v>
      </c>
      <c r="Y1921">
        <v>0.55996440000000003</v>
      </c>
      <c r="Z1921">
        <v>4.751474E-2</v>
      </c>
      <c r="AA1921">
        <v>0.82715309999999898</v>
      </c>
      <c r="AB1921">
        <v>17</v>
      </c>
      <c r="AC1921">
        <v>-19.062199999999901</v>
      </c>
      <c r="AD1921">
        <v>-1.1039772742989999</v>
      </c>
      <c r="AE1921">
        <v>-0.291100000000028</v>
      </c>
      <c r="AF1921">
        <v>10.7468724530501</v>
      </c>
      <c r="AG1921">
        <v>-1.1039772742989999</v>
      </c>
      <c r="AH1921">
        <v>15.669448457802501</v>
      </c>
      <c r="AI1921">
        <v>93.325255397078195</v>
      </c>
      <c r="AJ1921">
        <v>55.555768743512402</v>
      </c>
      <c r="AK1921">
        <v>19.032751990083401</v>
      </c>
      <c r="AL1921">
        <v>80.860914942117006</v>
      </c>
      <c r="AM1921">
        <v>64.305162491493107</v>
      </c>
      <c r="AN1921">
        <v>0.99999995267438302</v>
      </c>
    </row>
    <row r="1922" spans="1:40" x14ac:dyDescent="0.25">
      <c r="A1922" t="str">
        <f>"20190312164026729"</f>
        <v>20190312164026729</v>
      </c>
      <c r="B1922" t="str">
        <f>"1552380026718170"</f>
        <v>1552380026718170</v>
      </c>
      <c r="C1922" t="s">
        <v>40</v>
      </c>
      <c r="D1922">
        <v>5.7656409999999996</v>
      </c>
      <c r="E1922">
        <v>0.56505329999999998</v>
      </c>
      <c r="F1922" t="s">
        <v>48</v>
      </c>
      <c r="G1922">
        <v>-218.28370000000001</v>
      </c>
      <c r="H1922" s="1">
        <v>2.8713890000000001E-6</v>
      </c>
      <c r="I1922">
        <v>286.67259999999999</v>
      </c>
      <c r="J1922">
        <v>-199.09569999999999</v>
      </c>
      <c r="K1922">
        <v>1.10402</v>
      </c>
      <c r="L1922">
        <v>286.8152</v>
      </c>
      <c r="M1922">
        <v>-0.82384489999999999</v>
      </c>
      <c r="N1922">
        <v>0</v>
      </c>
      <c r="O1922">
        <v>-0.56660809999999995</v>
      </c>
      <c r="P1922">
        <v>-0.97543760000000002</v>
      </c>
      <c r="Q1922">
        <v>0.15138080000000001</v>
      </c>
      <c r="R1922">
        <v>-0.1600171</v>
      </c>
      <c r="S1922">
        <v>-3.1019899999999998</v>
      </c>
      <c r="T1922">
        <v>-0.17710609999999999</v>
      </c>
      <c r="U1922">
        <v>-3.6407469999999997E-2</v>
      </c>
      <c r="V1922">
        <v>0.42359269999999999</v>
      </c>
      <c r="W1922">
        <v>0.15807260000000001</v>
      </c>
      <c r="X1922">
        <v>0.89195419999999903</v>
      </c>
      <c r="Y1922">
        <v>0.55523120000000004</v>
      </c>
      <c r="Z1922">
        <v>4.6575470000000001E-2</v>
      </c>
      <c r="AA1922">
        <v>0.83039089999999904</v>
      </c>
      <c r="AB1922">
        <v>17</v>
      </c>
      <c r="AC1922">
        <v>-19.187999999999999</v>
      </c>
      <c r="AD1922">
        <v>-1.1040171286110001</v>
      </c>
      <c r="AE1922">
        <v>-0.14260000000001499</v>
      </c>
      <c r="AF1922">
        <v>10.720371261083001</v>
      </c>
      <c r="AG1922">
        <v>-1.1040171286110001</v>
      </c>
      <c r="AH1922">
        <v>15.8381710521841</v>
      </c>
      <c r="AI1922">
        <v>93.303773885843299</v>
      </c>
      <c r="AJ1922">
        <v>55.907136292995197</v>
      </c>
      <c r="AK1922">
        <v>19.157058126809702</v>
      </c>
      <c r="AL1922">
        <v>80.904959376872597</v>
      </c>
      <c r="AM1922">
        <v>64.5967655569047</v>
      </c>
      <c r="AN1922">
        <v>1.00000000863084</v>
      </c>
    </row>
    <row r="1923" spans="1:40" x14ac:dyDescent="0.25">
      <c r="A1923" t="str">
        <f>"20190312164026750"</f>
        <v>20190312164026750</v>
      </c>
      <c r="B1923" t="str">
        <f>"1552380026737687"</f>
        <v>1552380026737687</v>
      </c>
      <c r="C1923" t="s">
        <v>40</v>
      </c>
      <c r="D1923">
        <v>5.2317559999999999</v>
      </c>
      <c r="E1923">
        <v>0.56443880000000002</v>
      </c>
      <c r="F1923" t="s">
        <v>48</v>
      </c>
      <c r="G1923">
        <v>-218.58189999999999</v>
      </c>
      <c r="H1923" s="1">
        <v>3.0300740000000001E-6</v>
      </c>
      <c r="I1923">
        <v>286.74250000000001</v>
      </c>
      <c r="J1923">
        <v>-199.24170000000001</v>
      </c>
      <c r="K1923">
        <v>1.1040650000000001</v>
      </c>
      <c r="L1923">
        <v>286.7346</v>
      </c>
      <c r="M1923">
        <v>-0.83149569999999995</v>
      </c>
      <c r="N1923">
        <v>0</v>
      </c>
      <c r="O1923">
        <v>-0.55531969999999997</v>
      </c>
      <c r="P1923">
        <v>-0.976769</v>
      </c>
      <c r="Q1923">
        <v>0.15121229999999999</v>
      </c>
      <c r="R1923">
        <v>-0.15184629999999999</v>
      </c>
      <c r="S1923">
        <v>-3.1009060000000002</v>
      </c>
      <c r="T1923">
        <v>-0.17568639999999999</v>
      </c>
      <c r="U1923">
        <v>-1.1566160000000001E-2</v>
      </c>
      <c r="V1923">
        <v>0.41887170000000001</v>
      </c>
      <c r="W1923">
        <v>0.15804860000000001</v>
      </c>
      <c r="X1923">
        <v>0.89418519999999901</v>
      </c>
      <c r="Y1923">
        <v>0.55058859999999998</v>
      </c>
      <c r="Z1923">
        <v>4.5570939999999997E-2</v>
      </c>
      <c r="AA1923">
        <v>0.83353199999999905</v>
      </c>
      <c r="AB1923">
        <v>17</v>
      </c>
      <c r="AC1923">
        <v>-19.3401999999999</v>
      </c>
      <c r="AD1923">
        <v>-1.1040619699259999</v>
      </c>
      <c r="AE1923">
        <v>7.9000000000064505E-3</v>
      </c>
      <c r="AF1923">
        <v>10.7129136327596</v>
      </c>
      <c r="AG1923">
        <v>-1.1040619699259999</v>
      </c>
      <c r="AH1923">
        <v>16.0265666902352</v>
      </c>
      <c r="AI1923">
        <v>93.277886513288195</v>
      </c>
      <c r="AJ1923">
        <v>56.239363309627997</v>
      </c>
      <c r="AK1923">
        <v>19.308969708737902</v>
      </c>
      <c r="AL1923">
        <v>80.906352053232794</v>
      </c>
      <c r="AM1923">
        <v>64.899750687061498</v>
      </c>
      <c r="AN1923">
        <v>1.0000000164609399</v>
      </c>
    </row>
    <row r="1924" spans="1:40" x14ac:dyDescent="0.25">
      <c r="A1924" t="str">
        <f>"20190312164026773"</f>
        <v>20190312164026773</v>
      </c>
      <c r="B1924" t="str">
        <f>"1552380026767943"</f>
        <v>1552380026767943</v>
      </c>
      <c r="C1924" t="s">
        <v>40</v>
      </c>
      <c r="D1924">
        <v>5.878501</v>
      </c>
      <c r="E1924">
        <v>0.56359130000000002</v>
      </c>
      <c r="F1924" t="s">
        <v>48</v>
      </c>
      <c r="G1924">
        <v>-219.1508</v>
      </c>
      <c r="H1924" s="1">
        <v>3.3328160000000001E-6</v>
      </c>
      <c r="I1924">
        <v>286.80130000000003</v>
      </c>
      <c r="J1924">
        <v>-199.4032</v>
      </c>
      <c r="K1924">
        <v>1.1041190000000001</v>
      </c>
      <c r="L1924">
        <v>286.64830000000001</v>
      </c>
      <c r="M1924">
        <v>-0.83969189999999905</v>
      </c>
      <c r="N1924">
        <v>0</v>
      </c>
      <c r="O1924">
        <v>-0.54284719999999997</v>
      </c>
      <c r="P1924">
        <v>-0.97837540000000001</v>
      </c>
      <c r="Q1924">
        <v>0.15056989999999901</v>
      </c>
      <c r="R1924">
        <v>-0.14181009999999999</v>
      </c>
      <c r="S1924">
        <v>-3.0995789999999999</v>
      </c>
      <c r="T1924">
        <v>-0.1718874</v>
      </c>
      <c r="U1924">
        <v>1.037598E-2</v>
      </c>
      <c r="V1924">
        <v>0.4147093</v>
      </c>
      <c r="W1924">
        <v>0.15755189999999999</v>
      </c>
      <c r="X1924">
        <v>0.89621070000000003</v>
      </c>
      <c r="Y1924">
        <v>0.54412079999999996</v>
      </c>
      <c r="Z1924">
        <v>4.3855470000000001E-2</v>
      </c>
      <c r="AA1924">
        <v>0.83785989999999999</v>
      </c>
      <c r="AB1924">
        <v>17</v>
      </c>
      <c r="AC1924">
        <v>-19.747599999999998</v>
      </c>
      <c r="AD1924">
        <v>-1.104115667184</v>
      </c>
      <c r="AE1924">
        <v>0.15300000000001901</v>
      </c>
      <c r="AF1924">
        <v>10.8158647880723</v>
      </c>
      <c r="AG1924">
        <v>-1.104115667184</v>
      </c>
      <c r="AH1924">
        <v>16.449359423399301</v>
      </c>
      <c r="AI1924">
        <v>93.210040831421495</v>
      </c>
      <c r="AJ1924">
        <v>56.6740808374241</v>
      </c>
      <c r="AK1924">
        <v>19.717591839790199</v>
      </c>
      <c r="AL1924">
        <v>80.935171906617896</v>
      </c>
      <c r="AM1924">
        <v>65.168302387908497</v>
      </c>
      <c r="AN1924">
        <v>1.00000001174729</v>
      </c>
    </row>
    <row r="1925" spans="1:40" x14ac:dyDescent="0.25">
      <c r="A1925" t="str">
        <f>"20190312164026796"</f>
        <v>20190312164026796</v>
      </c>
      <c r="B1925" t="str">
        <f>"1552380026788440"</f>
        <v>1552380026788440</v>
      </c>
      <c r="C1925" t="s">
        <v>40</v>
      </c>
      <c r="D1925">
        <v>5.7708820000000003</v>
      </c>
      <c r="E1925">
        <v>0.56295519999999999</v>
      </c>
      <c r="F1925" t="s">
        <v>48</v>
      </c>
      <c r="G1925">
        <v>-219.5796</v>
      </c>
      <c r="H1925" s="1">
        <v>3.560983E-6</v>
      </c>
      <c r="I1925">
        <v>286.88139999999999</v>
      </c>
      <c r="J1925">
        <v>-199.5634</v>
      </c>
      <c r="K1925">
        <v>1.104201</v>
      </c>
      <c r="L1925">
        <v>286.56560000000002</v>
      </c>
      <c r="M1925">
        <v>-0.84753099999999904</v>
      </c>
      <c r="N1925">
        <v>0</v>
      </c>
      <c r="O1925">
        <v>-0.53052589999999999</v>
      </c>
      <c r="P1925">
        <v>-0.97972579999999998</v>
      </c>
      <c r="Q1925">
        <v>0.1508092</v>
      </c>
      <c r="R1925">
        <v>-0.13188620000000001</v>
      </c>
      <c r="S1925">
        <v>-3.0975799999999998</v>
      </c>
      <c r="T1925">
        <v>-0.16950950000000001</v>
      </c>
      <c r="U1925">
        <v>3.5797120000000002E-2</v>
      </c>
      <c r="V1925">
        <v>0.4106437</v>
      </c>
      <c r="W1925">
        <v>0.15794269999999999</v>
      </c>
      <c r="X1925">
        <v>0.89801219999999904</v>
      </c>
      <c r="Y1925">
        <v>0.53881049999999997</v>
      </c>
      <c r="Z1925">
        <v>4.2568979999999999E-2</v>
      </c>
      <c r="AA1925">
        <v>0.84135070000000001</v>
      </c>
      <c r="AB1925">
        <v>17</v>
      </c>
      <c r="AC1925">
        <v>-20.016200000000001</v>
      </c>
      <c r="AD1925">
        <v>-1.104197439017</v>
      </c>
      <c r="AE1925">
        <v>0.315799999999967</v>
      </c>
      <c r="AF1925">
        <v>10.8550081988203</v>
      </c>
      <c r="AG1925">
        <v>-1.104197439017</v>
      </c>
      <c r="AH1925">
        <v>16.747816832280101</v>
      </c>
      <c r="AI1925">
        <v>93.166725825426397</v>
      </c>
      <c r="AJ1925">
        <v>57.050925250948602</v>
      </c>
      <c r="AK1925">
        <v>19.9884922800194</v>
      </c>
      <c r="AL1925">
        <v>80.912496962669707</v>
      </c>
      <c r="AM1925">
        <v>65.426293617548495</v>
      </c>
      <c r="AN1925">
        <v>1.0000000280909001</v>
      </c>
    </row>
    <row r="1926" spans="1:40" x14ac:dyDescent="0.25">
      <c r="A1926" t="str">
        <f>"20190312164026818"</f>
        <v>20190312164026818</v>
      </c>
      <c r="B1926" t="str">
        <f>"1552380026807959"</f>
        <v>1552380026807959</v>
      </c>
      <c r="C1926" t="s">
        <v>40</v>
      </c>
      <c r="D1926">
        <v>5.8408049999999996</v>
      </c>
      <c r="E1926">
        <v>0.56220780000000004</v>
      </c>
      <c r="F1926" t="s">
        <v>48</v>
      </c>
      <c r="G1926">
        <v>-220.1833</v>
      </c>
      <c r="H1926" s="1">
        <v>-1.439272E-6</v>
      </c>
      <c r="I1926">
        <v>286.98129999999998</v>
      </c>
      <c r="J1926">
        <v>-199.72229999999999</v>
      </c>
      <c r="K1926">
        <v>1.104301</v>
      </c>
      <c r="L1926">
        <v>286.48630000000003</v>
      </c>
      <c r="M1926">
        <v>-0.85501990000000005</v>
      </c>
      <c r="N1926">
        <v>0</v>
      </c>
      <c r="O1926">
        <v>-0.51837069999999996</v>
      </c>
      <c r="P1926">
        <v>-0.98082789999999997</v>
      </c>
      <c r="Q1926">
        <v>0.15110489999999999</v>
      </c>
      <c r="R1926">
        <v>-0.12305969999999999</v>
      </c>
      <c r="S1926">
        <v>-3.0960079999999999</v>
      </c>
      <c r="T1926">
        <v>-0.16579250000000001</v>
      </c>
      <c r="U1926">
        <v>6.2408449999999997E-2</v>
      </c>
      <c r="V1926">
        <v>0.40583200000000003</v>
      </c>
      <c r="W1926">
        <v>0.15841920000000001</v>
      </c>
      <c r="X1926">
        <v>0.90011319999999995</v>
      </c>
      <c r="Y1926">
        <v>0.53410619999999998</v>
      </c>
      <c r="Z1926">
        <v>4.0980790000000003E-2</v>
      </c>
      <c r="AA1926">
        <v>0.84442359999999905</v>
      </c>
      <c r="AB1926">
        <v>17</v>
      </c>
      <c r="AC1926">
        <v>-20.460999999999999</v>
      </c>
      <c r="AD1926">
        <v>-1.104302439272</v>
      </c>
      <c r="AE1926">
        <v>0.49499999999994698</v>
      </c>
      <c r="AF1926">
        <v>10.998882082966</v>
      </c>
      <c r="AG1926">
        <v>-1.104302439272</v>
      </c>
      <c r="AH1926">
        <v>17.189932529572701</v>
      </c>
      <c r="AI1926">
        <v>93.097389843877096</v>
      </c>
      <c r="AJ1926">
        <v>57.387081981772198</v>
      </c>
      <c r="AK1926">
        <v>20.437433090376999</v>
      </c>
      <c r="AL1926">
        <v>80.884847290713793</v>
      </c>
      <c r="AM1926">
        <v>65.730922937601093</v>
      </c>
      <c r="AN1926">
        <v>1.00000001398344</v>
      </c>
    </row>
    <row r="1927" spans="1:40" x14ac:dyDescent="0.25">
      <c r="A1927" t="str">
        <f>"20190312164026839"</f>
        <v>20190312164026839</v>
      </c>
      <c r="B1927" t="str">
        <f>"1552380026828459"</f>
        <v>1552380026828459</v>
      </c>
      <c r="C1927" t="s">
        <v>40</v>
      </c>
      <c r="D1927">
        <v>5.8228970000000002</v>
      </c>
      <c r="E1927">
        <v>0.56146909999999906</v>
      </c>
      <c r="F1927" t="s">
        <v>48</v>
      </c>
      <c r="G1927">
        <v>-220.9091</v>
      </c>
      <c r="H1927" s="1">
        <v>-1.053027E-6</v>
      </c>
      <c r="I1927">
        <v>287.07310000000001</v>
      </c>
      <c r="J1927">
        <v>-199.87280000000001</v>
      </c>
      <c r="K1927">
        <v>1.1044050000000001</v>
      </c>
      <c r="L1927">
        <v>286.41379999999998</v>
      </c>
      <c r="M1927">
        <v>-0.86183149999999997</v>
      </c>
      <c r="N1927">
        <v>0</v>
      </c>
      <c r="O1927">
        <v>-0.50696649999999999</v>
      </c>
      <c r="P1927">
        <v>-0.98183160000000003</v>
      </c>
      <c r="Q1927">
        <v>0.1510571</v>
      </c>
      <c r="R1927">
        <v>-0.1148416</v>
      </c>
      <c r="S1927">
        <v>-3.0942379999999998</v>
      </c>
      <c r="T1927">
        <v>-0.161278799999999</v>
      </c>
      <c r="U1927">
        <v>8.5693359999999996E-2</v>
      </c>
      <c r="V1927">
        <v>0.40135500000000002</v>
      </c>
      <c r="W1927">
        <v>0.1585519</v>
      </c>
      <c r="X1927">
        <v>0.90209499999999998</v>
      </c>
      <c r="Y1927">
        <v>0.52933280000000005</v>
      </c>
      <c r="Z1927">
        <v>3.9253999999999997E-2</v>
      </c>
      <c r="AA1927">
        <v>0.84750569999999903</v>
      </c>
      <c r="AB1927">
        <v>17</v>
      </c>
      <c r="AC1927">
        <v>-21.036299999999901</v>
      </c>
      <c r="AD1927">
        <v>-1.1044060530269999</v>
      </c>
      <c r="AE1927">
        <v>0.65930000000002997</v>
      </c>
      <c r="AF1927">
        <v>11.203355987615</v>
      </c>
      <c r="AG1927">
        <v>-1.1044060530269999</v>
      </c>
      <c r="AH1927">
        <v>17.748690714485999</v>
      </c>
      <c r="AI1927">
        <v>93.012053878011201</v>
      </c>
      <c r="AJ1927">
        <v>57.738996493943297</v>
      </c>
      <c r="AK1927">
        <v>21.017871447738798</v>
      </c>
      <c r="AL1927">
        <v>80.8771463663888</v>
      </c>
      <c r="AM1927">
        <v>66.0150329087881</v>
      </c>
      <c r="AN1927">
        <v>0.99999996502180399</v>
      </c>
    </row>
    <row r="1928" spans="1:40" x14ac:dyDescent="0.25">
      <c r="A1928" t="str">
        <f>"20190312164026862"</f>
        <v>20190312164026862</v>
      </c>
      <c r="B1928" t="str">
        <f>"1552380026857735"</f>
        <v>1552380026857735</v>
      </c>
      <c r="C1928" t="s">
        <v>40</v>
      </c>
      <c r="D1928">
        <v>5.7410030000000001</v>
      </c>
      <c r="E1928">
        <v>0.56038299999999996</v>
      </c>
      <c r="F1928" t="s">
        <v>48</v>
      </c>
      <c r="G1928">
        <v>-221.40190000000001</v>
      </c>
      <c r="H1928" s="1">
        <v>-7.9075940000000002E-7</v>
      </c>
      <c r="I1928">
        <v>287.1576</v>
      </c>
      <c r="J1928">
        <v>-200.03540000000001</v>
      </c>
      <c r="K1928">
        <v>1.104528</v>
      </c>
      <c r="L1928">
        <v>286.33800000000002</v>
      </c>
      <c r="M1928">
        <v>-0.86890219999999996</v>
      </c>
      <c r="N1928">
        <v>0</v>
      </c>
      <c r="O1928">
        <v>-0.494751</v>
      </c>
      <c r="P1928">
        <v>-0.9829966</v>
      </c>
      <c r="Q1928">
        <v>0.15020329999999901</v>
      </c>
      <c r="R1928">
        <v>-0.1056267</v>
      </c>
      <c r="S1928">
        <v>-3.092438</v>
      </c>
      <c r="T1928">
        <v>-0.1586369</v>
      </c>
      <c r="U1928">
        <v>0.10684200000000001</v>
      </c>
      <c r="V1928">
        <v>0.3970708</v>
      </c>
      <c r="W1928">
        <v>0.15787960000000001</v>
      </c>
      <c r="X1928">
        <v>0.90410659999999998</v>
      </c>
      <c r="Y1928">
        <v>0.52322150000000001</v>
      </c>
      <c r="Z1928">
        <v>3.793088E-2</v>
      </c>
      <c r="AA1928">
        <v>0.851352199999999</v>
      </c>
      <c r="AB1928">
        <v>17</v>
      </c>
      <c r="AC1928">
        <v>-21.366499999999998</v>
      </c>
      <c r="AD1928">
        <v>-1.1045287907593999</v>
      </c>
      <c r="AE1928">
        <v>0.81960000000003597</v>
      </c>
      <c r="AF1928">
        <v>11.2545182180429</v>
      </c>
      <c r="AG1928">
        <v>-1.1045287907593999</v>
      </c>
      <c r="AH1928">
        <v>18.113659208593401</v>
      </c>
      <c r="AI1928">
        <v>92.964943526497805</v>
      </c>
      <c r="AJ1928">
        <v>58.146170686226299</v>
      </c>
      <c r="AK1928">
        <v>21.353894588457099</v>
      </c>
      <c r="AL1928">
        <v>80.916157696770298</v>
      </c>
      <c r="AM1928">
        <v>66.289599826687507</v>
      </c>
      <c r="AN1928">
        <v>0.99999996623617904</v>
      </c>
    </row>
    <row r="1929" spans="1:40" x14ac:dyDescent="0.25">
      <c r="A1929" t="str">
        <f>"20190312164026877"</f>
        <v>20190312164026877</v>
      </c>
      <c r="B1929" t="str">
        <f>"1552380026868471"</f>
        <v>1552380026868471</v>
      </c>
      <c r="C1929" t="s">
        <v>40</v>
      </c>
      <c r="D1929">
        <v>6.3094729999999997</v>
      </c>
      <c r="E1929">
        <v>0.56033619999999995</v>
      </c>
      <c r="F1929" t="s">
        <v>48</v>
      </c>
      <c r="G1929">
        <v>-221.00790000000001</v>
      </c>
      <c r="H1929" s="1">
        <v>-1.0004490000000001E-6</v>
      </c>
      <c r="I1929">
        <v>287.19839999999999</v>
      </c>
      <c r="J1929">
        <v>-200.14089999999999</v>
      </c>
      <c r="K1929">
        <v>1.104606</v>
      </c>
      <c r="L1929">
        <v>286.2901</v>
      </c>
      <c r="M1929">
        <v>-0.87334049999999996</v>
      </c>
      <c r="N1929">
        <v>0</v>
      </c>
      <c r="O1929">
        <v>-0.48687459999999999</v>
      </c>
      <c r="P1929">
        <v>-0.98372340000000003</v>
      </c>
      <c r="Q1929">
        <v>0.1497898</v>
      </c>
      <c r="R1929">
        <v>-9.9254099999999998E-2</v>
      </c>
      <c r="S1929">
        <v>-3.090363</v>
      </c>
      <c r="T1929">
        <v>-0.16275580000000001</v>
      </c>
      <c r="U1929">
        <v>0.12676999999999999</v>
      </c>
      <c r="V1929">
        <v>0.39474090000000001</v>
      </c>
      <c r="W1929">
        <v>0.15757070000000001</v>
      </c>
      <c r="X1929">
        <v>0.90518019999999999</v>
      </c>
      <c r="Y1929">
        <v>0.52096469999999995</v>
      </c>
      <c r="Z1929">
        <v>3.8517330000000002E-2</v>
      </c>
      <c r="AA1929">
        <v>0.85270869999999999</v>
      </c>
      <c r="AB1929">
        <v>17</v>
      </c>
      <c r="AC1929">
        <v>-20.867000000000001</v>
      </c>
      <c r="AD1929">
        <v>-1.1046070004490001</v>
      </c>
      <c r="AE1929">
        <v>0.908299999999997</v>
      </c>
      <c r="AF1929">
        <v>10.923572588049</v>
      </c>
      <c r="AG1929">
        <v>-1.1046070004490001</v>
      </c>
      <c r="AH1929">
        <v>17.7342083666985</v>
      </c>
      <c r="AI1929">
        <v>93.035747742048798</v>
      </c>
      <c r="AJ1929">
        <v>58.368569637474998</v>
      </c>
      <c r="AK1929">
        <v>20.857774116748399</v>
      </c>
      <c r="AL1929">
        <v>80.934081462252195</v>
      </c>
      <c r="AM1929">
        <v>66.438419423170998</v>
      </c>
      <c r="AN1929">
        <v>1.0000000490516601</v>
      </c>
    </row>
    <row r="1930" spans="1:40" x14ac:dyDescent="0.25">
      <c r="A1930" t="str">
        <f>"20190312164026899"</f>
        <v>20190312164026899</v>
      </c>
      <c r="B1930" t="str">
        <f>"1552380026887992"</f>
        <v>1552380026887992</v>
      </c>
      <c r="C1930" t="s">
        <v>40</v>
      </c>
      <c r="D1930">
        <v>6.6430649999999902</v>
      </c>
      <c r="E1930">
        <v>0.5608938</v>
      </c>
      <c r="F1930" t="s">
        <v>48</v>
      </c>
      <c r="G1930">
        <v>-220.774</v>
      </c>
      <c r="H1930" s="1">
        <v>-1.124883E-6</v>
      </c>
      <c r="I1930">
        <v>287.26979999999998</v>
      </c>
      <c r="J1930">
        <v>-200.2955</v>
      </c>
      <c r="K1930">
        <v>1.104727</v>
      </c>
      <c r="L1930">
        <v>286.22179999999997</v>
      </c>
      <c r="M1930">
        <v>-0.87961480000000003</v>
      </c>
      <c r="N1930">
        <v>0</v>
      </c>
      <c r="O1930">
        <v>-0.47544690000000001</v>
      </c>
      <c r="P1930">
        <v>-0.98467289999999996</v>
      </c>
      <c r="Q1930">
        <v>0.14844599999999999</v>
      </c>
      <c r="R1930">
        <v>-9.1559020000000005E-2</v>
      </c>
      <c r="S1930">
        <v>-3.0896300000000001</v>
      </c>
      <c r="T1930">
        <v>-0.16540479999999999</v>
      </c>
      <c r="U1930">
        <v>0.146698</v>
      </c>
      <c r="V1930">
        <v>0.3900284</v>
      </c>
      <c r="W1930">
        <v>0.15641079999999999</v>
      </c>
      <c r="X1930">
        <v>0.90742140000000004</v>
      </c>
      <c r="Y1930">
        <v>0.5153084</v>
      </c>
      <c r="Z1930">
        <v>3.8457499999999999E-2</v>
      </c>
      <c r="AA1930">
        <v>0.8561415</v>
      </c>
      <c r="AB1930">
        <v>17</v>
      </c>
      <c r="AC1930">
        <v>-20.4785</v>
      </c>
      <c r="AD1930">
        <v>-1.1047281248829901</v>
      </c>
      <c r="AE1930">
        <v>1.048</v>
      </c>
      <c r="AF1930">
        <v>10.628641078502501</v>
      </c>
      <c r="AG1930">
        <v>-1.1047281248829901</v>
      </c>
      <c r="AH1930">
        <v>17.4662243383274</v>
      </c>
      <c r="AI1930">
        <v>93.092776841768995</v>
      </c>
      <c r="AJ1930">
        <v>58.678425436217601</v>
      </c>
      <c r="AK1930">
        <v>20.475776616341498</v>
      </c>
      <c r="AL1930">
        <v>81.001373206648097</v>
      </c>
      <c r="AM1930">
        <v>66.740971197576698</v>
      </c>
      <c r="AN1930">
        <v>1.0000000441705701</v>
      </c>
    </row>
    <row r="1931" spans="1:40" x14ac:dyDescent="0.25">
      <c r="A1931" t="str">
        <f>"20190312164026919"</f>
        <v>20190312164026919</v>
      </c>
      <c r="B1931" t="str">
        <f>"1552380026908487"</f>
        <v>1552380026908487</v>
      </c>
      <c r="C1931" t="s">
        <v>40</v>
      </c>
      <c r="D1931">
        <v>5.5302899999999999</v>
      </c>
      <c r="E1931">
        <v>0.53352480000000002</v>
      </c>
      <c r="F1931" t="s">
        <v>48</v>
      </c>
      <c r="G1931">
        <v>-220.3349</v>
      </c>
      <c r="H1931" s="1">
        <v>-1.358576E-6</v>
      </c>
      <c r="I1931">
        <v>287.35890000000001</v>
      </c>
      <c r="J1931">
        <v>-200.44560000000001</v>
      </c>
      <c r="K1931">
        <v>1.1048709999999999</v>
      </c>
      <c r="L1931">
        <v>286.1576</v>
      </c>
      <c r="M1931">
        <v>-0.88541289999999995</v>
      </c>
      <c r="N1931">
        <v>0</v>
      </c>
      <c r="O1931">
        <v>-0.46456120000000001</v>
      </c>
      <c r="P1931">
        <v>-0.98554180000000002</v>
      </c>
      <c r="Q1931">
        <v>0.14681640000000001</v>
      </c>
      <c r="R1931">
        <v>-8.4569510000000001E-2</v>
      </c>
      <c r="S1931">
        <v>-3.088654</v>
      </c>
      <c r="T1931">
        <v>-0.17027120000000001</v>
      </c>
      <c r="U1931">
        <v>0.17526249999999999</v>
      </c>
      <c r="V1931">
        <v>0.38528950000000001</v>
      </c>
      <c r="W1931">
        <v>0.1549808</v>
      </c>
      <c r="X1931">
        <v>0.90968839999999995</v>
      </c>
      <c r="Y1931">
        <v>0.51258840000000006</v>
      </c>
      <c r="Z1931">
        <v>3.8987670000000002E-2</v>
      </c>
      <c r="AA1931">
        <v>0.85774879999999998</v>
      </c>
      <c r="AB1931">
        <v>17</v>
      </c>
      <c r="AC1931">
        <v>-19.889299999999899</v>
      </c>
      <c r="AD1931">
        <v>-1.1048723585760001</v>
      </c>
      <c r="AE1931">
        <v>1.2013</v>
      </c>
      <c r="AF1931">
        <v>10.273026107309001</v>
      </c>
      <c r="AG1931">
        <v>-1.1048723585760001</v>
      </c>
      <c r="AH1931">
        <v>17.001824584915902</v>
      </c>
      <c r="AI1931">
        <v>93.183541695880805</v>
      </c>
      <c r="AJ1931">
        <v>58.858335590384598</v>
      </c>
      <c r="AK1931">
        <v>19.895171463107602</v>
      </c>
      <c r="AL1931">
        <v>81.084317427001096</v>
      </c>
      <c r="AM1931">
        <v>67.045395064441195</v>
      </c>
      <c r="AN1931">
        <v>1.00000001613672</v>
      </c>
    </row>
    <row r="1932" spans="1:40" x14ac:dyDescent="0.25">
      <c r="A1932" t="str">
        <f>"20190312164026939"</f>
        <v>20190312164026939</v>
      </c>
      <c r="B1932" t="str">
        <f>"1552380026928011"</f>
        <v>1552380026928011</v>
      </c>
      <c r="C1932" t="s">
        <v>40</v>
      </c>
      <c r="D1932">
        <v>5.9434170000000002</v>
      </c>
      <c r="E1932">
        <v>0.53050609999999998</v>
      </c>
      <c r="F1932" t="s">
        <v>48</v>
      </c>
      <c r="G1932">
        <v>-226.31190000000001</v>
      </c>
      <c r="H1932" s="1">
        <v>1.8220859999999999E-6</v>
      </c>
      <c r="I1932">
        <v>286.00810000000001</v>
      </c>
      <c r="J1932">
        <v>-200.5959</v>
      </c>
      <c r="K1932">
        <v>1.1050199999999999</v>
      </c>
      <c r="L1932">
        <v>286.09519999999998</v>
      </c>
      <c r="M1932">
        <v>-0.89095590000000002</v>
      </c>
      <c r="N1932">
        <v>0</v>
      </c>
      <c r="O1932">
        <v>-0.45384170000000001</v>
      </c>
      <c r="P1932">
        <v>-0.98627880000000001</v>
      </c>
      <c r="Q1932">
        <v>0.1455023</v>
      </c>
      <c r="R1932">
        <v>-7.7993870000000007E-2</v>
      </c>
      <c r="S1932">
        <v>-3.061966</v>
      </c>
      <c r="T1932">
        <v>-0.13079089999999999</v>
      </c>
      <c r="U1932">
        <v>-1.7700199999999999E-2</v>
      </c>
      <c r="V1932">
        <v>0.38036969999999998</v>
      </c>
      <c r="W1932">
        <v>0.153868</v>
      </c>
      <c r="X1932">
        <v>0.91194489999999995</v>
      </c>
      <c r="Y1932">
        <v>0.44793650000000002</v>
      </c>
      <c r="Z1932">
        <v>2.8376419999999999E-2</v>
      </c>
      <c r="AA1932">
        <v>0.89361489999999999</v>
      </c>
      <c r="AB1932">
        <v>17</v>
      </c>
      <c r="AC1932">
        <v>-25.716000000000001</v>
      </c>
      <c r="AD1932">
        <v>-1.105018177914</v>
      </c>
      <c r="AE1932">
        <v>-8.7099999999963901E-2</v>
      </c>
      <c r="AF1932">
        <v>11.573328035231899</v>
      </c>
      <c r="AG1932">
        <v>-1.105018177914</v>
      </c>
      <c r="AH1932">
        <v>22.911633232535198</v>
      </c>
      <c r="AI1932">
        <v>92.465013054207802</v>
      </c>
      <c r="AJ1932">
        <v>63.200340105081899</v>
      </c>
      <c r="AK1932">
        <v>25.6925266248148</v>
      </c>
      <c r="AL1932">
        <v>81.148849995260093</v>
      </c>
      <c r="AM1932">
        <v>67.359117688407494</v>
      </c>
      <c r="AN1932">
        <v>0.99999998536904899</v>
      </c>
    </row>
    <row r="1933" spans="1:40" x14ac:dyDescent="0.25">
      <c r="A1933" t="str">
        <f>"20190312164026962"</f>
        <v>20190312164026962</v>
      </c>
      <c r="B1933" t="str">
        <f>"1552380026957862"</f>
        <v>1552380026957862</v>
      </c>
      <c r="C1933" t="s">
        <v>40</v>
      </c>
      <c r="D1933">
        <v>5.6610259999999997</v>
      </c>
      <c r="E1933">
        <v>0.50818099999999999</v>
      </c>
      <c r="F1933" t="s">
        <v>48</v>
      </c>
      <c r="G1933">
        <v>-225.26259999999999</v>
      </c>
      <c r="H1933" s="1">
        <v>1.2637150000000001E-6</v>
      </c>
      <c r="I1933">
        <v>285.91860000000003</v>
      </c>
      <c r="J1933">
        <v>-200.76079999999999</v>
      </c>
      <c r="K1933">
        <v>1.1051850000000001</v>
      </c>
      <c r="L1933">
        <v>286.029</v>
      </c>
      <c r="M1933">
        <v>-0.89675419999999995</v>
      </c>
      <c r="N1933">
        <v>0</v>
      </c>
      <c r="O1933">
        <v>-0.44227670000000002</v>
      </c>
      <c r="P1933">
        <v>-0.98705810000000005</v>
      </c>
      <c r="Q1933">
        <v>0.14392949999999999</v>
      </c>
      <c r="R1933">
        <v>-7.0713360000000003E-2</v>
      </c>
      <c r="S1933">
        <v>-3.0602260000000001</v>
      </c>
      <c r="T1933">
        <v>-0.13709199999999999</v>
      </c>
      <c r="U1933">
        <v>-2.191162E-2</v>
      </c>
      <c r="V1933">
        <v>0.37529630000000003</v>
      </c>
      <c r="W1933">
        <v>0.15249260000000001</v>
      </c>
      <c r="X1933">
        <v>0.91427499999999995</v>
      </c>
      <c r="Y1933">
        <v>0.43503829999999999</v>
      </c>
      <c r="Z1933">
        <v>2.8998019999999999E-2</v>
      </c>
      <c r="AA1933">
        <v>0.89994490000000005</v>
      </c>
      <c r="AB1933">
        <v>17</v>
      </c>
      <c r="AC1933">
        <v>-24.501799999999999</v>
      </c>
      <c r="AD1933">
        <v>-1.1051837362850001</v>
      </c>
      <c r="AE1933">
        <v>-0.11039999999996999</v>
      </c>
      <c r="AF1933">
        <v>10.7169682376226</v>
      </c>
      <c r="AG1933">
        <v>-1.1051837362850001</v>
      </c>
      <c r="AH1933">
        <v>21.978661377698099</v>
      </c>
      <c r="AI1933">
        <v>92.587866923040593</v>
      </c>
      <c r="AJ1933">
        <v>64.005772965650706</v>
      </c>
      <c r="AK1933">
        <v>24.477262821906301</v>
      </c>
      <c r="AL1933">
        <v>81.228596246851893</v>
      </c>
      <c r="AM1933">
        <v>67.682578652673598</v>
      </c>
      <c r="AN1933">
        <v>1.00000004073672</v>
      </c>
    </row>
    <row r="1934" spans="1:40" x14ac:dyDescent="0.25">
      <c r="A1934" t="str">
        <f>"20190312164026975"</f>
        <v>20190312164026975</v>
      </c>
      <c r="B1934" t="str">
        <f>"1552380026967622"</f>
        <v>1552380026967622</v>
      </c>
      <c r="C1934" t="s">
        <v>40</v>
      </c>
      <c r="D1934">
        <v>5.6483429999999997</v>
      </c>
      <c r="E1934">
        <v>0.50722529999999999</v>
      </c>
      <c r="F1934" t="s">
        <v>48</v>
      </c>
      <c r="G1934">
        <v>-218.22640000000001</v>
      </c>
      <c r="H1934" s="1">
        <v>2.8408699999999998E-6</v>
      </c>
      <c r="I1934">
        <v>285.0016</v>
      </c>
      <c r="J1934">
        <v>-200.85839999999999</v>
      </c>
      <c r="K1934">
        <v>1.10527999999999</v>
      </c>
      <c r="L1934">
        <v>285.99059999999997</v>
      </c>
      <c r="M1934">
        <v>-0.90006309999999901</v>
      </c>
      <c r="N1934">
        <v>0</v>
      </c>
      <c r="O1934">
        <v>-0.4355059</v>
      </c>
      <c r="P1934">
        <v>-0.98753769999999996</v>
      </c>
      <c r="Q1934">
        <v>0.1427361</v>
      </c>
      <c r="R1934">
        <v>-6.6304299999999997E-2</v>
      </c>
      <c r="S1934">
        <v>-3.0546419999999999</v>
      </c>
      <c r="T1934">
        <v>-0.19329070000000001</v>
      </c>
      <c r="U1934">
        <v>-0.1796875</v>
      </c>
      <c r="V1934">
        <v>0.3725019</v>
      </c>
      <c r="W1934">
        <v>0.15140339999999999</v>
      </c>
      <c r="X1934">
        <v>0.91559780000000002</v>
      </c>
      <c r="Y1934">
        <v>0.38037199999999999</v>
      </c>
      <c r="Z1934">
        <v>3.8711299999999997E-2</v>
      </c>
      <c r="AA1934">
        <v>0.92402300000000004</v>
      </c>
      <c r="AB1934">
        <v>17</v>
      </c>
      <c r="AC1934">
        <v>-17.367999999999999</v>
      </c>
      <c r="AD1934">
        <v>-1.1052771591299999</v>
      </c>
      <c r="AE1934">
        <v>-0.98899999999997601</v>
      </c>
      <c r="AF1934">
        <v>6.6476066899650004</v>
      </c>
      <c r="AG1934">
        <v>-1.1052771591299999</v>
      </c>
      <c r="AH1934">
        <v>16.000197197971399</v>
      </c>
      <c r="AI1934">
        <v>93.650081714746605</v>
      </c>
      <c r="AJ1934">
        <v>67.438566679573398</v>
      </c>
      <c r="AK1934">
        <v>17.361411886045801</v>
      </c>
      <c r="AL1934">
        <v>81.291735540945794</v>
      </c>
      <c r="AM1934">
        <v>67.8615369647828</v>
      </c>
      <c r="AN1934">
        <v>0.99999999320000499</v>
      </c>
    </row>
    <row r="1935" spans="1:40" x14ac:dyDescent="0.25">
      <c r="A1935" t="str">
        <f>"20190312164026991"</f>
        <v>20190312164026991</v>
      </c>
      <c r="B1935" t="str">
        <f>"1552380026988119"</f>
        <v>1552380026988119</v>
      </c>
      <c r="C1935" t="s">
        <v>40</v>
      </c>
      <c r="D1935">
        <v>5.7107650000000003</v>
      </c>
      <c r="E1935">
        <v>0.5064554</v>
      </c>
      <c r="F1935" t="s">
        <v>48</v>
      </c>
      <c r="G1935">
        <v>-218.00470000000001</v>
      </c>
      <c r="H1935" s="1">
        <v>2.722915E-6</v>
      </c>
      <c r="I1935">
        <v>285.01780000000002</v>
      </c>
      <c r="J1935">
        <v>-200.9658</v>
      </c>
      <c r="K1935">
        <v>1.1053729999999999</v>
      </c>
      <c r="L1935">
        <v>285.94940000000003</v>
      </c>
      <c r="M1935">
        <v>-0.90357540000000003</v>
      </c>
      <c r="N1935">
        <v>0</v>
      </c>
      <c r="O1935">
        <v>-0.42817349999999998</v>
      </c>
      <c r="P1935">
        <v>-0.98792230000000003</v>
      </c>
      <c r="Q1935">
        <v>0.1412823</v>
      </c>
      <c r="R1935">
        <v>-6.3632419999999995E-2</v>
      </c>
      <c r="S1935">
        <v>-3.0547029999999999</v>
      </c>
      <c r="T1935">
        <v>-0.19691120000000001</v>
      </c>
      <c r="U1935">
        <v>-0.173309299999999</v>
      </c>
      <c r="V1935">
        <v>0.36754779999999998</v>
      </c>
      <c r="W1935">
        <v>0.1500821</v>
      </c>
      <c r="X1935">
        <v>0.91781480000000004</v>
      </c>
      <c r="Y1935">
        <v>0.37473859999999998</v>
      </c>
      <c r="Z1935">
        <v>3.8828500000000002E-2</v>
      </c>
      <c r="AA1935">
        <v>0.9263171</v>
      </c>
      <c r="AB1935">
        <v>17</v>
      </c>
      <c r="AC1935">
        <v>-17.038900000000002</v>
      </c>
      <c r="AD1935">
        <v>-1.105370277085</v>
      </c>
      <c r="AE1935">
        <v>-0.93160000000000298</v>
      </c>
      <c r="AF1935">
        <v>6.4275711280950203</v>
      </c>
      <c r="AG1935">
        <v>-1.105370277085</v>
      </c>
      <c r="AH1935">
        <v>15.730541289246201</v>
      </c>
      <c r="AI1935">
        <v>93.721754901363497</v>
      </c>
      <c r="AJ1935">
        <v>67.774850542467505</v>
      </c>
      <c r="AK1935">
        <v>17.028958961394601</v>
      </c>
      <c r="AL1935">
        <v>81.3683157245855</v>
      </c>
      <c r="AM1935">
        <v>68.175890314356806</v>
      </c>
      <c r="AN1935">
        <v>1.0000000145621399</v>
      </c>
    </row>
    <row r="1936" spans="1:40" x14ac:dyDescent="0.25">
      <c r="A1936" t="str">
        <f>"20190312164027019"</f>
        <v>20190312164027019</v>
      </c>
      <c r="B1936" t="str">
        <f>"1552380027007638"</f>
        <v>1552380027007638</v>
      </c>
      <c r="C1936" t="s">
        <v>40</v>
      </c>
      <c r="D1936">
        <v>5.7480589999999996</v>
      </c>
      <c r="E1936">
        <v>0.50629429999999997</v>
      </c>
      <c r="F1936" t="s">
        <v>48</v>
      </c>
      <c r="G1936">
        <v>-217.86089999999999</v>
      </c>
      <c r="H1936" s="1">
        <v>2.646378E-6</v>
      </c>
      <c r="I1936">
        <v>285.00639999999999</v>
      </c>
      <c r="J1936">
        <v>-201.17150000000001</v>
      </c>
      <c r="K1936">
        <v>1.10554</v>
      </c>
      <c r="L1936">
        <v>285.87259999999998</v>
      </c>
      <c r="M1936">
        <v>-0.90998820000000002</v>
      </c>
      <c r="N1936">
        <v>0</v>
      </c>
      <c r="O1936">
        <v>-0.4143753</v>
      </c>
      <c r="P1936">
        <v>-0.98863480000000004</v>
      </c>
      <c r="Q1936">
        <v>0.138760299999999</v>
      </c>
      <c r="R1936">
        <v>-5.7852460000000001E-2</v>
      </c>
      <c r="S1936">
        <v>-3.0542760000000002</v>
      </c>
      <c r="T1936">
        <v>-0.19982829999999999</v>
      </c>
      <c r="U1936">
        <v>-0.17047119999999999</v>
      </c>
      <c r="V1936">
        <v>0.35895630000000001</v>
      </c>
      <c r="W1936">
        <v>0.14775139999999901</v>
      </c>
      <c r="X1936">
        <v>0.9215856</v>
      </c>
      <c r="Y1936">
        <v>0.36145660000000002</v>
      </c>
      <c r="Z1936">
        <v>3.8151190000000001E-2</v>
      </c>
      <c r="AA1936">
        <v>0.93160810000000005</v>
      </c>
      <c r="AB1936">
        <v>17</v>
      </c>
      <c r="AC1936">
        <v>-16.6893999999999</v>
      </c>
      <c r="AD1936">
        <v>-1.1055373536219999</v>
      </c>
      <c r="AE1936">
        <v>-0.86619999999999198</v>
      </c>
      <c r="AF1936">
        <v>6.1013999502142804</v>
      </c>
      <c r="AG1936">
        <v>-1.1055373536219999</v>
      </c>
      <c r="AH1936">
        <v>15.4800135849579</v>
      </c>
      <c r="AI1936">
        <v>93.801278893579706</v>
      </c>
      <c r="AJ1936">
        <v>68.488272513392502</v>
      </c>
      <c r="AK1936">
        <v>16.675734310164799</v>
      </c>
      <c r="AL1936">
        <v>81.503361204655704</v>
      </c>
      <c r="AM1936">
        <v>68.7191560921285</v>
      </c>
      <c r="AN1936">
        <v>1.0000000598195</v>
      </c>
    </row>
    <row r="1937" spans="1:40" x14ac:dyDescent="0.25">
      <c r="A1937" t="str">
        <f>"20190312164027040"</f>
        <v>20190312164027040</v>
      </c>
      <c r="B1937" t="str">
        <f>"1552380027028138"</f>
        <v>1552380027028138</v>
      </c>
      <c r="C1937" t="s">
        <v>40</v>
      </c>
      <c r="D1937">
        <v>5.6941079999999999</v>
      </c>
      <c r="E1937">
        <v>0.50726059999999995</v>
      </c>
      <c r="F1937" t="s">
        <v>48</v>
      </c>
      <c r="G1937">
        <v>-217.25069999999999</v>
      </c>
      <c r="H1937" s="1">
        <v>2.321687E-6</v>
      </c>
      <c r="I1937">
        <v>285.0677</v>
      </c>
      <c r="J1937">
        <v>-201.3287</v>
      </c>
      <c r="K1937">
        <v>1.1056490000000001</v>
      </c>
      <c r="L1937">
        <v>285.81599999999997</v>
      </c>
      <c r="M1937">
        <v>-0.91459060000000003</v>
      </c>
      <c r="N1937">
        <v>0</v>
      </c>
      <c r="O1937">
        <v>-0.40412150000000002</v>
      </c>
      <c r="P1937">
        <v>-0.98919959999999996</v>
      </c>
      <c r="Q1937">
        <v>0.1367051</v>
      </c>
      <c r="R1937">
        <v>-5.2880299999999998E-2</v>
      </c>
      <c r="S1937">
        <v>-3.0550229999999998</v>
      </c>
      <c r="T1937">
        <v>-0.21004990000000001</v>
      </c>
      <c r="U1937">
        <v>-0.15292359999999999</v>
      </c>
      <c r="V1937">
        <v>0.35324719999999998</v>
      </c>
      <c r="W1937">
        <v>0.14578169999999999</v>
      </c>
      <c r="X1937">
        <v>0.92410179999999997</v>
      </c>
      <c r="Y1937">
        <v>0.35619060000000002</v>
      </c>
      <c r="Z1937">
        <v>3.9273250000000003E-2</v>
      </c>
      <c r="AA1937">
        <v>0.93358770000000002</v>
      </c>
      <c r="AB1937">
        <v>17</v>
      </c>
      <c r="AC1937">
        <v>-15.921999999999899</v>
      </c>
      <c r="AD1937">
        <v>-1.1056466783129999</v>
      </c>
      <c r="AE1937">
        <v>-0.74829999999997199</v>
      </c>
      <c r="AF1937">
        <v>5.7231011629907798</v>
      </c>
      <c r="AG1937">
        <v>-1.1056466783129999</v>
      </c>
      <c r="AH1937">
        <v>14.794890123307599</v>
      </c>
      <c r="AI1937">
        <v>93.986989453300893</v>
      </c>
      <c r="AJ1937">
        <v>68.852055345715499</v>
      </c>
      <c r="AK1937">
        <v>15.9017330898187</v>
      </c>
      <c r="AL1937">
        <v>81.617451788789793</v>
      </c>
      <c r="AM1937">
        <v>69.080141845321407</v>
      </c>
      <c r="AN1937">
        <v>1.00000001256298</v>
      </c>
    </row>
    <row r="1938" spans="1:40" x14ac:dyDescent="0.25">
      <c r="A1938" t="str">
        <f>"20190312164027064"</f>
        <v>20190312164027064</v>
      </c>
      <c r="B1938" t="str">
        <f>"1552380027058183"</f>
        <v>1552380027058183</v>
      </c>
      <c r="C1938" t="s">
        <v>40</v>
      </c>
      <c r="D1938">
        <v>5.9709599999999998</v>
      </c>
      <c r="E1938">
        <v>0.50114919999999996</v>
      </c>
      <c r="F1938" t="s">
        <v>48</v>
      </c>
      <c r="G1938">
        <v>-210.768</v>
      </c>
      <c r="H1938" s="1">
        <v>-1.1280780000000001E-6</v>
      </c>
      <c r="I1938">
        <v>285.39640000000003</v>
      </c>
      <c r="J1938">
        <v>-201.4982</v>
      </c>
      <c r="K1938">
        <v>1.105758</v>
      </c>
      <c r="L1938">
        <v>285.7568</v>
      </c>
      <c r="M1938">
        <v>-0.91930710000000004</v>
      </c>
      <c r="N1938">
        <v>0</v>
      </c>
      <c r="O1938">
        <v>-0.39328079999999999</v>
      </c>
      <c r="P1938">
        <v>-0.98966589999999999</v>
      </c>
      <c r="Q1938">
        <v>0.13516510000000001</v>
      </c>
      <c r="R1938">
        <v>-4.7874E-2</v>
      </c>
      <c r="S1938">
        <v>-3.0752259999999998</v>
      </c>
      <c r="T1938">
        <v>-0.36020760000000002</v>
      </c>
      <c r="U1938">
        <v>-0.13668820000000001</v>
      </c>
      <c r="V1938">
        <v>0.34698820000000002</v>
      </c>
      <c r="W1938">
        <v>0.1443082</v>
      </c>
      <c r="X1938">
        <v>0.92670079999999999</v>
      </c>
      <c r="Y1938">
        <v>0.34719</v>
      </c>
      <c r="Z1938">
        <v>6.5079620000000005E-2</v>
      </c>
      <c r="AA1938">
        <v>0.93553390000000003</v>
      </c>
      <c r="AB1938">
        <v>17</v>
      </c>
      <c r="AC1938">
        <v>-9.2698</v>
      </c>
      <c r="AD1938">
        <v>-1.1057591280779999</v>
      </c>
      <c r="AE1938">
        <v>-0.36039999999997002</v>
      </c>
      <c r="AF1938">
        <v>3.2682213296348701</v>
      </c>
      <c r="AG1938">
        <v>-1.1057591280779999</v>
      </c>
      <c r="AH1938">
        <v>8.5430409397674598</v>
      </c>
      <c r="AI1938">
        <v>96.893017309146103</v>
      </c>
      <c r="AJ1938">
        <v>69.065174355558</v>
      </c>
      <c r="AK1938">
        <v>9.2134424840746103</v>
      </c>
      <c r="AL1938">
        <v>81.702779524751904</v>
      </c>
      <c r="AM1938">
        <v>69.472396070661802</v>
      </c>
      <c r="AN1938">
        <v>1.0000000201235499</v>
      </c>
    </row>
    <row r="1939" spans="1:40" x14ac:dyDescent="0.25">
      <c r="A1939" t="str">
        <f>"20190312164027087"</f>
        <v>20190312164027087</v>
      </c>
      <c r="B1939" t="str">
        <f>"1552380027077703"</f>
        <v>1552380027077703</v>
      </c>
      <c r="C1939" t="s">
        <v>40</v>
      </c>
      <c r="D1939">
        <v>5.4719930000000003</v>
      </c>
      <c r="E1939">
        <v>0.50087979999999999</v>
      </c>
      <c r="F1939" t="s">
        <v>48</v>
      </c>
      <c r="G1939">
        <v>-216.7225</v>
      </c>
      <c r="H1939" s="1">
        <v>2.0406119999999999E-6</v>
      </c>
      <c r="I1939">
        <v>284.94299999999998</v>
      </c>
      <c r="J1939">
        <v>-201.6686</v>
      </c>
      <c r="K1939">
        <v>1.1058520000000001</v>
      </c>
      <c r="L1939">
        <v>285.69920000000002</v>
      </c>
      <c r="M1939">
        <v>-0.92381380000000002</v>
      </c>
      <c r="N1939">
        <v>0</v>
      </c>
      <c r="O1939">
        <v>-0.38258189999999997</v>
      </c>
      <c r="P1939">
        <v>-0.99004820000000004</v>
      </c>
      <c r="Q1939">
        <v>0.13352919999999999</v>
      </c>
      <c r="R1939">
        <v>-4.4444009999999999E-2</v>
      </c>
      <c r="S1939">
        <v>-3.053741</v>
      </c>
      <c r="T1939">
        <v>-0.22179589999999999</v>
      </c>
      <c r="U1939">
        <v>-0.16323850000000001</v>
      </c>
      <c r="V1939">
        <v>0.33943329999999999</v>
      </c>
      <c r="W1939">
        <v>0.14273540000000001</v>
      </c>
      <c r="X1939">
        <v>0.92973740000000005</v>
      </c>
      <c r="Y1939">
        <v>0.33093240000000002</v>
      </c>
      <c r="Z1939">
        <v>3.9107959999999997E-2</v>
      </c>
      <c r="AA1939">
        <v>0.94284369999999995</v>
      </c>
      <c r="AB1939">
        <v>17</v>
      </c>
      <c r="AC1939">
        <v>-15.053900000000001</v>
      </c>
      <c r="AD1939">
        <v>-1.105849959388</v>
      </c>
      <c r="AE1939">
        <v>-0.75620000000003496</v>
      </c>
      <c r="AF1939">
        <v>5.0341682779591101</v>
      </c>
      <c r="AG1939">
        <v>-1.105849959388</v>
      </c>
      <c r="AH1939">
        <v>14.1217099502395</v>
      </c>
      <c r="AI1939">
        <v>94.218598434334893</v>
      </c>
      <c r="AJ1939">
        <v>70.379645667914005</v>
      </c>
      <c r="AK1939">
        <v>15.032912103188201</v>
      </c>
      <c r="AL1939">
        <v>81.793836842089107</v>
      </c>
      <c r="AM1939">
        <v>69.9436137801207</v>
      </c>
      <c r="AN1939">
        <v>0.99999999626040503</v>
      </c>
    </row>
    <row r="1940" spans="1:40" x14ac:dyDescent="0.25">
      <c r="A1940" t="str">
        <f>"20190312164027109"</f>
        <v>20190312164027109</v>
      </c>
      <c r="B1940" t="str">
        <f>"1552380027098198"</f>
        <v>1552380027098198</v>
      </c>
      <c r="C1940" t="s">
        <v>40</v>
      </c>
      <c r="D1940">
        <v>5.743347</v>
      </c>
      <c r="E1940">
        <v>0.50152209999999997</v>
      </c>
      <c r="F1940" t="s">
        <v>48</v>
      </c>
      <c r="G1940">
        <v>-216.26329999999999</v>
      </c>
      <c r="H1940" s="1">
        <v>1.796214E-6</v>
      </c>
      <c r="I1940">
        <v>284.96559999999999</v>
      </c>
      <c r="J1940">
        <v>-201.83600000000001</v>
      </c>
      <c r="K1940">
        <v>1.105918</v>
      </c>
      <c r="L1940">
        <v>285.64429999999999</v>
      </c>
      <c r="M1940">
        <v>-0.92802609999999996</v>
      </c>
      <c r="N1940">
        <v>0</v>
      </c>
      <c r="O1940">
        <v>-0.37225540000000001</v>
      </c>
      <c r="P1940">
        <v>-0.99034029999999995</v>
      </c>
      <c r="Q1940">
        <v>0.13225519999999999</v>
      </c>
      <c r="R1940">
        <v>-4.1649390000000001E-2</v>
      </c>
      <c r="S1940">
        <v>-3.0544739999999999</v>
      </c>
      <c r="T1940">
        <v>-0.2314398</v>
      </c>
      <c r="U1940">
        <v>-0.1535339</v>
      </c>
      <c r="V1940">
        <v>0.33167190000000002</v>
      </c>
      <c r="W1940">
        <v>0.14148459999999999</v>
      </c>
      <c r="X1940">
        <v>0.93272500000000003</v>
      </c>
      <c r="Y1940">
        <v>0.32328889999999999</v>
      </c>
      <c r="Z1940">
        <v>3.9782669999999999E-2</v>
      </c>
      <c r="AA1940">
        <v>0.94546370000000002</v>
      </c>
      <c r="AB1940">
        <v>17</v>
      </c>
      <c r="AC1940">
        <v>-14.427300000000001</v>
      </c>
      <c r="AD1940">
        <v>-1.105916203786</v>
      </c>
      <c r="AE1940">
        <v>-0.67869999999999198</v>
      </c>
      <c r="AF1940">
        <v>4.7136121461797602</v>
      </c>
      <c r="AG1940">
        <v>-1.105916203786</v>
      </c>
      <c r="AH1940">
        <v>13.5633595851188</v>
      </c>
      <c r="AI1940">
        <v>94.404149409591994</v>
      </c>
      <c r="AJ1940">
        <v>70.836361463337596</v>
      </c>
      <c r="AK1940">
        <v>14.401594125291901</v>
      </c>
      <c r="AL1940">
        <v>81.866237513653004</v>
      </c>
      <c r="AM1940">
        <v>70.424892179629794</v>
      </c>
      <c r="AN1940">
        <v>1.0000000334558801</v>
      </c>
    </row>
    <row r="1941" spans="1:40" x14ac:dyDescent="0.25">
      <c r="A1941" t="str">
        <f>"20190312164027131"</f>
        <v>20190312164027131</v>
      </c>
      <c r="B1941" t="str">
        <f>"1552380027117718"</f>
        <v>1552380027117718</v>
      </c>
      <c r="C1941" t="s">
        <v>40</v>
      </c>
      <c r="D1941">
        <v>5.6852390000000002</v>
      </c>
      <c r="E1941">
        <v>0.50136639999999999</v>
      </c>
      <c r="F1941" t="s">
        <v>48</v>
      </c>
      <c r="G1941">
        <v>-215.90459999999999</v>
      </c>
      <c r="H1941" s="1">
        <v>1.605335E-6</v>
      </c>
      <c r="I1941">
        <v>285.00119999999998</v>
      </c>
      <c r="J1941">
        <v>-201.99760000000001</v>
      </c>
      <c r="K1941">
        <v>1.105961</v>
      </c>
      <c r="L1941">
        <v>285.59300000000002</v>
      </c>
      <c r="M1941">
        <v>-0.93189759999999999</v>
      </c>
      <c r="N1941">
        <v>0</v>
      </c>
      <c r="O1941">
        <v>-0.36246250000000002</v>
      </c>
      <c r="P1941">
        <v>-0.99054609999999998</v>
      </c>
      <c r="Q1941">
        <v>0.13116929999999999</v>
      </c>
      <c r="R1941">
        <v>-4.0161139999999998E-2</v>
      </c>
      <c r="S1941">
        <v>-3.05545</v>
      </c>
      <c r="T1941">
        <v>-0.2401866</v>
      </c>
      <c r="U1941">
        <v>-0.139679</v>
      </c>
      <c r="V1941">
        <v>0.32323269999999998</v>
      </c>
      <c r="W1941">
        <v>0.14039079999999901</v>
      </c>
      <c r="X1941">
        <v>0.93584780000000001</v>
      </c>
      <c r="Y1941">
        <v>0.31751190000000001</v>
      </c>
      <c r="Z1941">
        <v>4.033113E-2</v>
      </c>
      <c r="AA1941">
        <v>0.94739620000000002</v>
      </c>
      <c r="AB1941">
        <v>17</v>
      </c>
      <c r="AC1941">
        <v>-13.906999999999901</v>
      </c>
      <c r="AD1941">
        <v>-1.1059593946649999</v>
      </c>
      <c r="AE1941">
        <v>-0.59180000000003397</v>
      </c>
      <c r="AF1941">
        <v>4.46152562931512</v>
      </c>
      <c r="AG1941">
        <v>-1.1059593946649999</v>
      </c>
      <c r="AH1941">
        <v>13.092988356728901</v>
      </c>
      <c r="AI1941">
        <v>94.571361997949097</v>
      </c>
      <c r="AJ1941">
        <v>71.183104279603</v>
      </c>
      <c r="AK1941">
        <v>13.876408081096599</v>
      </c>
      <c r="AL1941">
        <v>81.929539460562793</v>
      </c>
      <c r="AM1941">
        <v>70.945586963596</v>
      </c>
      <c r="AN1941">
        <v>1.0000000299193801</v>
      </c>
    </row>
    <row r="1942" spans="1:40" x14ac:dyDescent="0.25">
      <c r="A1942" t="str">
        <f>"20190312164027153"</f>
        <v>20190312164027153</v>
      </c>
      <c r="B1942" t="str">
        <f>"1552380027147975"</f>
        <v>1552380027147975</v>
      </c>
      <c r="C1942" t="s">
        <v>40</v>
      </c>
      <c r="D1942">
        <v>5.7435029999999996</v>
      </c>
      <c r="E1942">
        <v>0.50109309999999996</v>
      </c>
      <c r="F1942" t="s">
        <v>48</v>
      </c>
      <c r="G1942">
        <v>-215.84200000000001</v>
      </c>
      <c r="H1942" s="1">
        <v>1.5720500000000001E-6</v>
      </c>
      <c r="I1942">
        <v>284.97550000000001</v>
      </c>
      <c r="J1942">
        <v>-202.16239999999999</v>
      </c>
      <c r="K1942">
        <v>1.1059890000000001</v>
      </c>
      <c r="L1942">
        <v>285.54239999999999</v>
      </c>
      <c r="M1942">
        <v>-0.93566400000000005</v>
      </c>
      <c r="N1942">
        <v>0</v>
      </c>
      <c r="O1942">
        <v>-0.35263519999999998</v>
      </c>
      <c r="P1942">
        <v>-0.99072450000000001</v>
      </c>
      <c r="Q1942">
        <v>0.1300868</v>
      </c>
      <c r="R1942">
        <v>-3.927025E-2</v>
      </c>
      <c r="S1942">
        <v>-3.0554199999999998</v>
      </c>
      <c r="T1942">
        <v>-0.24408189999999999</v>
      </c>
      <c r="U1942">
        <v>-0.13629150000000001</v>
      </c>
      <c r="V1942">
        <v>0.31420730000000002</v>
      </c>
      <c r="W1942">
        <v>0.13927790000000001</v>
      </c>
      <c r="X1942">
        <v>0.93908230000000004</v>
      </c>
      <c r="Y1942">
        <v>0.30856109999999998</v>
      </c>
      <c r="Z1942">
        <v>3.9890889999999998E-2</v>
      </c>
      <c r="AA1942">
        <v>0.95036770000000004</v>
      </c>
      <c r="AB1942">
        <v>17</v>
      </c>
      <c r="AC1942">
        <v>-13.679600000000001</v>
      </c>
      <c r="AD1942">
        <v>-1.1059874279499999</v>
      </c>
      <c r="AE1942">
        <v>-0.56689999999997498</v>
      </c>
      <c r="AF1942">
        <v>4.2660321606383196</v>
      </c>
      <c r="AG1942">
        <v>-1.1059874279499999</v>
      </c>
      <c r="AH1942">
        <v>12.916312328727599</v>
      </c>
      <c r="AI1942">
        <v>94.648333479855907</v>
      </c>
      <c r="AJ1942">
        <v>71.722513850556695</v>
      </c>
      <c r="AK1942">
        <v>13.6474672653802</v>
      </c>
      <c r="AL1942">
        <v>81.993936913750503</v>
      </c>
      <c r="AM1942">
        <v>71.500287638529997</v>
      </c>
      <c r="AN1942">
        <v>1.0000000634874899</v>
      </c>
    </row>
    <row r="1943" spans="1:40" x14ac:dyDescent="0.25">
      <c r="A1943" t="str">
        <f>"20190312164027176"</f>
        <v>20190312164027176</v>
      </c>
      <c r="B1943" t="str">
        <f>"1552380027168313"</f>
        <v>1552380027168313</v>
      </c>
      <c r="C1943" t="s">
        <v>40</v>
      </c>
      <c r="D1943">
        <v>5.7452500000000004</v>
      </c>
      <c r="E1943">
        <v>0.50100679999999997</v>
      </c>
      <c r="F1943" t="s">
        <v>48</v>
      </c>
      <c r="G1943">
        <v>-215.8912</v>
      </c>
      <c r="H1943" s="1">
        <v>1.5981950000000001E-6</v>
      </c>
      <c r="I1943">
        <v>284.93360000000001</v>
      </c>
      <c r="J1943">
        <v>-202.3347</v>
      </c>
      <c r="K1943">
        <v>1.106009</v>
      </c>
      <c r="L1943">
        <v>285.49119999999999</v>
      </c>
      <c r="M1943">
        <v>-0.93941989999999997</v>
      </c>
      <c r="N1943">
        <v>0</v>
      </c>
      <c r="O1943">
        <v>-0.34251330000000002</v>
      </c>
      <c r="P1943">
        <v>-0.99084190000000005</v>
      </c>
      <c r="Q1943">
        <v>0.12965869999999999</v>
      </c>
      <c r="R1943">
        <v>-3.76955E-2</v>
      </c>
      <c r="S1943">
        <v>-3.0550380000000001</v>
      </c>
      <c r="T1943">
        <v>-0.24611440000000001</v>
      </c>
      <c r="U1943">
        <v>-0.13546749999999999</v>
      </c>
      <c r="V1943">
        <v>0.30552629999999997</v>
      </c>
      <c r="W1943">
        <v>0.13879339999999901</v>
      </c>
      <c r="X1943">
        <v>0.94201389999999996</v>
      </c>
      <c r="Y1943">
        <v>0.29855769999999998</v>
      </c>
      <c r="Z1943">
        <v>3.905579E-2</v>
      </c>
      <c r="AA1943">
        <v>0.95359210000000005</v>
      </c>
      <c r="AB1943">
        <v>17</v>
      </c>
      <c r="AC1943">
        <v>-13.5565</v>
      </c>
      <c r="AD1943">
        <v>-1.1060074018049999</v>
      </c>
      <c r="AE1943">
        <v>-0.557599999999979</v>
      </c>
      <c r="AF1943">
        <v>4.0926263018561997</v>
      </c>
      <c r="AG1943">
        <v>-1.1060074018049999</v>
      </c>
      <c r="AH1943">
        <v>12.842028111872599</v>
      </c>
      <c r="AI1943">
        <v>94.6910533878835</v>
      </c>
      <c r="AJ1943">
        <v>72.323438287708498</v>
      </c>
      <c r="AK1943">
        <v>13.5237024680972</v>
      </c>
      <c r="AL1943">
        <v>82.021968936953598</v>
      </c>
      <c r="AM1943">
        <v>72.030404670040994</v>
      </c>
      <c r="AN1943">
        <v>1.0000000578342201</v>
      </c>
    </row>
    <row r="1944" spans="1:40" x14ac:dyDescent="0.25">
      <c r="A1944" t="str">
        <f>"20190312164027199"</f>
        <v>20190312164027199</v>
      </c>
      <c r="B1944" t="str">
        <f>"1552380027187832"</f>
        <v>1552380027187832</v>
      </c>
      <c r="C1944" t="s">
        <v>40</v>
      </c>
      <c r="D1944">
        <v>5.8002129999999896</v>
      </c>
      <c r="E1944">
        <v>0.50070909999999902</v>
      </c>
      <c r="F1944" t="s">
        <v>48</v>
      </c>
      <c r="G1944">
        <v>-216.02879999999999</v>
      </c>
      <c r="H1944" s="1">
        <v>1.6714490000000001E-6</v>
      </c>
      <c r="I1944">
        <v>284.90710000000001</v>
      </c>
      <c r="J1944">
        <v>-202.50020000000001</v>
      </c>
      <c r="K1944">
        <v>1.10602</v>
      </c>
      <c r="L1944">
        <v>285.44369999999998</v>
      </c>
      <c r="M1944">
        <v>-0.94287350000000003</v>
      </c>
      <c r="N1944">
        <v>0</v>
      </c>
      <c r="O1944">
        <v>-0.33289780000000002</v>
      </c>
      <c r="P1944">
        <v>-0.99097930000000001</v>
      </c>
      <c r="Q1944">
        <v>0.12885089999999999</v>
      </c>
      <c r="R1944">
        <v>-3.684817E-2</v>
      </c>
      <c r="S1944">
        <v>-3.055069</v>
      </c>
      <c r="T1944">
        <v>-0.24674280000000001</v>
      </c>
      <c r="U1944">
        <v>-0.13031010000000001</v>
      </c>
      <c r="V1944">
        <v>0.29669030000000002</v>
      </c>
      <c r="W1944">
        <v>0.13793250000000001</v>
      </c>
      <c r="X1944">
        <v>0.94496009999999997</v>
      </c>
      <c r="Y1944">
        <v>0.290452299999999</v>
      </c>
      <c r="Z1944">
        <v>3.8095919999999998E-2</v>
      </c>
      <c r="AA1944">
        <v>0.95613079999999995</v>
      </c>
      <c r="AB1944">
        <v>17</v>
      </c>
      <c r="AC1944">
        <v>-13.5285999999999</v>
      </c>
      <c r="AD1944">
        <v>-1.1060183285509999</v>
      </c>
      <c r="AE1944">
        <v>-0.53659999999996399</v>
      </c>
      <c r="AF1944">
        <v>3.9715294037978</v>
      </c>
      <c r="AG1944">
        <v>-1.1060183285509999</v>
      </c>
      <c r="AH1944">
        <v>12.849732765947399</v>
      </c>
      <c r="AI1944">
        <v>94.701139467348597</v>
      </c>
      <c r="AJ1944">
        <v>72.824935547686806</v>
      </c>
      <c r="AK1944">
        <v>13.494886235333199</v>
      </c>
      <c r="AL1944">
        <v>82.0717738515295</v>
      </c>
      <c r="AM1944">
        <v>72.5692110384432</v>
      </c>
      <c r="AN1944">
        <v>1.0000000496311701</v>
      </c>
    </row>
    <row r="1945" spans="1:40" x14ac:dyDescent="0.25">
      <c r="A1945" t="str">
        <f>"20190312164027219"</f>
        <v>20190312164027219</v>
      </c>
      <c r="B1945" t="str">
        <f>"1552380027208331"</f>
        <v>1552380027208331</v>
      </c>
      <c r="C1945" t="s">
        <v>40</v>
      </c>
      <c r="D1945">
        <v>5.745228</v>
      </c>
      <c r="E1945">
        <v>0.50045099999999998</v>
      </c>
      <c r="F1945" t="s">
        <v>48</v>
      </c>
      <c r="G1945">
        <v>-216.101</v>
      </c>
      <c r="H1945" s="1">
        <v>1.7098349999999901E-6</v>
      </c>
      <c r="I1945">
        <v>284.86630000000002</v>
      </c>
      <c r="J1945">
        <v>-202.65819999999999</v>
      </c>
      <c r="K1945">
        <v>1.1060110000000001</v>
      </c>
      <c r="L1945">
        <v>285.39999999999998</v>
      </c>
      <c r="M1945">
        <v>-0.94603680000000001</v>
      </c>
      <c r="N1945">
        <v>0</v>
      </c>
      <c r="O1945">
        <v>-0.32380690000000001</v>
      </c>
      <c r="P1945">
        <v>-0.99104309999999995</v>
      </c>
      <c r="Q1945">
        <v>0.12852060000000001</v>
      </c>
      <c r="R1945">
        <v>-3.6280310000000003E-2</v>
      </c>
      <c r="S1945">
        <v>-3.0547939999999998</v>
      </c>
      <c r="T1945">
        <v>-0.24841769999999999</v>
      </c>
      <c r="U1945">
        <v>-0.12966920000000001</v>
      </c>
      <c r="V1945">
        <v>0.28811189999999998</v>
      </c>
      <c r="W1945">
        <v>0.13754149999999901</v>
      </c>
      <c r="X1945">
        <v>0.94766760000000005</v>
      </c>
      <c r="Y1945">
        <v>0.28145959999999998</v>
      </c>
      <c r="Z1945">
        <v>3.7290150000000001E-2</v>
      </c>
      <c r="AA1945">
        <v>0.95884820000000004</v>
      </c>
      <c r="AB1945">
        <v>17</v>
      </c>
      <c r="AC1945">
        <v>-13.4428</v>
      </c>
      <c r="AD1945">
        <v>-1.106009290165</v>
      </c>
      <c r="AE1945">
        <v>-0.53369999999995299</v>
      </c>
      <c r="AF1945">
        <v>3.8224518331031301</v>
      </c>
      <c r="AG1945">
        <v>-1.106009290165</v>
      </c>
      <c r="AH1945">
        <v>12.8047115209677</v>
      </c>
      <c r="AI1945">
        <v>94.731362892115399</v>
      </c>
      <c r="AJ1945">
        <v>73.378627280472202</v>
      </c>
      <c r="AK1945">
        <v>13.4087669717065</v>
      </c>
      <c r="AL1945">
        <v>82.094391728140494</v>
      </c>
      <c r="AM1945">
        <v>73.0895687405648</v>
      </c>
      <c r="AN1945">
        <v>1.0000000056168099</v>
      </c>
    </row>
    <row r="1946" spans="1:40" x14ac:dyDescent="0.25">
      <c r="A1946" t="str">
        <f>"20190312164027241"</f>
        <v>20190312164027241</v>
      </c>
      <c r="B1946" t="str">
        <f>"1552380027237607"</f>
        <v>1552380027237607</v>
      </c>
      <c r="C1946" t="s">
        <v>40</v>
      </c>
      <c r="D1946">
        <v>5.7462479999999996</v>
      </c>
      <c r="E1946">
        <v>0.50027100000000002</v>
      </c>
      <c r="F1946" t="s">
        <v>48</v>
      </c>
      <c r="G1946">
        <v>-216.2362</v>
      </c>
      <c r="H1946" s="1">
        <v>1.781807E-6</v>
      </c>
      <c r="I1946">
        <v>284.81979999999999</v>
      </c>
      <c r="J1946">
        <v>-202.82810000000001</v>
      </c>
      <c r="K1946">
        <v>1.105979</v>
      </c>
      <c r="L1946">
        <v>285.35469999999998</v>
      </c>
      <c r="M1946">
        <v>-0.94931089999999996</v>
      </c>
      <c r="N1946">
        <v>0</v>
      </c>
      <c r="O1946">
        <v>-0.31408770000000003</v>
      </c>
      <c r="P1946">
        <v>-0.99118110000000004</v>
      </c>
      <c r="Q1946">
        <v>0.1277451</v>
      </c>
      <c r="R1946">
        <v>-3.5232159999999998E-2</v>
      </c>
      <c r="S1946">
        <v>-3.0545810000000002</v>
      </c>
      <c r="T1946">
        <v>-0.24881329999999999</v>
      </c>
      <c r="U1946">
        <v>-0.13052369999999999</v>
      </c>
      <c r="V1946">
        <v>0.27939150000000001</v>
      </c>
      <c r="W1946">
        <v>0.13668420000000001</v>
      </c>
      <c r="X1946">
        <v>0.95039870000000004</v>
      </c>
      <c r="Y1946">
        <v>0.2713932</v>
      </c>
      <c r="Z1946">
        <v>3.6187810000000001E-2</v>
      </c>
      <c r="AA1946">
        <v>0.96178799999999998</v>
      </c>
      <c r="AB1946">
        <v>17</v>
      </c>
      <c r="AC1946">
        <v>-13.4080999999999</v>
      </c>
      <c r="AD1946">
        <v>-1.1059772181929901</v>
      </c>
      <c r="AE1946">
        <v>-0.53489999999999305</v>
      </c>
      <c r="AF1946">
        <v>3.6788343612694301</v>
      </c>
      <c r="AG1946">
        <v>-1.1059772181929901</v>
      </c>
      <c r="AH1946">
        <v>12.810455647307499</v>
      </c>
      <c r="AI1946">
        <v>94.743540748705698</v>
      </c>
      <c r="AJ1946">
        <v>73.977291704642198</v>
      </c>
      <c r="AK1946">
        <v>13.3740338625432</v>
      </c>
      <c r="AL1946">
        <v>82.143979179325996</v>
      </c>
      <c r="AM1946">
        <v>73.618090949487296</v>
      </c>
      <c r="AN1946">
        <v>0.99999993488178696</v>
      </c>
    </row>
    <row r="1947" spans="1:40" x14ac:dyDescent="0.25">
      <c r="A1947" t="str">
        <f>"20190312164027263"</f>
        <v>20190312164027263</v>
      </c>
      <c r="B1947" t="str">
        <f>"1552380027258105"</f>
        <v>1552380027258105</v>
      </c>
      <c r="C1947" t="s">
        <v>40</v>
      </c>
      <c r="D1947">
        <v>5.747357</v>
      </c>
      <c r="E1947">
        <v>0.50021139999999997</v>
      </c>
      <c r="F1947" t="s">
        <v>48</v>
      </c>
      <c r="G1947">
        <v>-216.26949999999999</v>
      </c>
      <c r="H1947" s="1">
        <v>1.799526E-6</v>
      </c>
      <c r="I1947">
        <v>284.79059999999998</v>
      </c>
      <c r="J1947">
        <v>-202.99969999999999</v>
      </c>
      <c r="K1947">
        <v>1.1059399999999999</v>
      </c>
      <c r="L1947">
        <v>285.31079999999997</v>
      </c>
      <c r="M1947">
        <v>-0.95249070000000002</v>
      </c>
      <c r="N1947">
        <v>0</v>
      </c>
      <c r="O1947">
        <v>-0.30431659999999999</v>
      </c>
      <c r="P1947">
        <v>-0.99117639999999996</v>
      </c>
      <c r="Q1947">
        <v>0.1279863</v>
      </c>
      <c r="R1947">
        <v>-3.4480570000000002E-2</v>
      </c>
      <c r="S1947">
        <v>-3.0545200000000001</v>
      </c>
      <c r="T1947">
        <v>-0.25132939999999998</v>
      </c>
      <c r="U1947">
        <v>-0.1281738</v>
      </c>
      <c r="V1947">
        <v>0.27031840000000001</v>
      </c>
      <c r="W1947">
        <v>0.1368462</v>
      </c>
      <c r="X1947">
        <v>0.95299579999999995</v>
      </c>
      <c r="Y1947">
        <v>0.26225559999999998</v>
      </c>
      <c r="Z1947">
        <v>3.541101E-2</v>
      </c>
      <c r="AA1947">
        <v>0.96434850000000005</v>
      </c>
      <c r="AB1947">
        <v>17</v>
      </c>
      <c r="AC1947">
        <v>-13.2698</v>
      </c>
      <c r="AD1947">
        <v>-1.1059382004739999</v>
      </c>
      <c r="AE1947">
        <v>-0.52019999999998801</v>
      </c>
      <c r="AF1947">
        <v>3.5186029698752299</v>
      </c>
      <c r="AG1947">
        <v>-1.1059382004739999</v>
      </c>
      <c r="AH1947">
        <v>12.7104936587418</v>
      </c>
      <c r="AI1947">
        <v>94.793385519434693</v>
      </c>
      <c r="AJ1947">
        <v>74.526495027395995</v>
      </c>
      <c r="AK1947">
        <v>13.234814513690701</v>
      </c>
      <c r="AL1947">
        <v>82.134609395149297</v>
      </c>
      <c r="AM1947">
        <v>74.163948570181205</v>
      </c>
      <c r="AN1947">
        <v>0.99999995732531899</v>
      </c>
    </row>
    <row r="1948" spans="1:40" x14ac:dyDescent="0.25">
      <c r="A1948" t="str">
        <f>"20190312164027288"</f>
        <v>20190312164027288</v>
      </c>
      <c r="B1948" t="str">
        <f>"1552380027277624"</f>
        <v>1552380027277624</v>
      </c>
      <c r="C1948" t="s">
        <v>40</v>
      </c>
      <c r="D1948">
        <v>5.6904620000000001</v>
      </c>
      <c r="E1948">
        <v>0.50016989999999995</v>
      </c>
      <c r="F1948" t="s">
        <v>48</v>
      </c>
      <c r="G1948">
        <v>-216.4811</v>
      </c>
      <c r="H1948" s="1">
        <v>1.9121350000000002E-6</v>
      </c>
      <c r="I1948">
        <v>284.75470000000001</v>
      </c>
      <c r="J1948">
        <v>-203.184</v>
      </c>
      <c r="K1948">
        <v>1.1058859999999999</v>
      </c>
      <c r="L1948">
        <v>285.26560000000001</v>
      </c>
      <c r="M1948">
        <v>-0.95577179999999995</v>
      </c>
      <c r="N1948">
        <v>0</v>
      </c>
      <c r="O1948">
        <v>-0.29385729999999999</v>
      </c>
      <c r="P1948">
        <v>-0.99116890000000002</v>
      </c>
      <c r="Q1948">
        <v>0.1285239</v>
      </c>
      <c r="R1948">
        <v>-3.264827E-2</v>
      </c>
      <c r="S1948">
        <v>-3.0546720000000001</v>
      </c>
      <c r="T1948">
        <v>-0.25058760000000002</v>
      </c>
      <c r="U1948">
        <v>-0.12600710000000001</v>
      </c>
      <c r="V1948">
        <v>0.26160450000000002</v>
      </c>
      <c r="W1948">
        <v>0.137288299999999</v>
      </c>
      <c r="X1948">
        <v>0.95536120000000002</v>
      </c>
      <c r="Y1948">
        <v>0.25242959999999998</v>
      </c>
      <c r="Z1948">
        <v>3.4081470000000003E-2</v>
      </c>
      <c r="AA1948">
        <v>0.96701479999999995</v>
      </c>
      <c r="AB1948">
        <v>17</v>
      </c>
      <c r="AC1948">
        <v>-13.297099999999901</v>
      </c>
      <c r="AD1948">
        <v>-1.105884087865</v>
      </c>
      <c r="AE1948">
        <v>-0.51089999999999203</v>
      </c>
      <c r="AF1948">
        <v>3.3959449441237299</v>
      </c>
      <c r="AG1948">
        <v>-1.105884087865</v>
      </c>
      <c r="AH1948">
        <v>12.7718673062493</v>
      </c>
      <c r="AI1948">
        <v>94.783365223190799</v>
      </c>
      <c r="AJ1948">
        <v>75.109997355177597</v>
      </c>
      <c r="AK1948">
        <v>13.2618255216902</v>
      </c>
      <c r="AL1948">
        <v>82.1090379716168</v>
      </c>
      <c r="AM1948">
        <v>74.686205049355095</v>
      </c>
      <c r="AN1948">
        <v>1.00000000710129</v>
      </c>
    </row>
    <row r="1949" spans="1:40" x14ac:dyDescent="0.25">
      <c r="A1949" t="str">
        <f>"20190312164027310"</f>
        <v>20190312164027310</v>
      </c>
      <c r="B1949" t="str">
        <f>"1552380027298121"</f>
        <v>1552380027298121</v>
      </c>
      <c r="C1949" t="s">
        <v>40</v>
      </c>
      <c r="D1949">
        <v>5.6898479999999996</v>
      </c>
      <c r="E1949">
        <v>0.50022179999999905</v>
      </c>
      <c r="F1949" t="s">
        <v>48</v>
      </c>
      <c r="G1949">
        <v>-216.73390000000001</v>
      </c>
      <c r="H1949" s="1">
        <v>2.0466480000000001E-6</v>
      </c>
      <c r="I1949">
        <v>284.73289999999997</v>
      </c>
      <c r="J1949">
        <v>-203.35169999999999</v>
      </c>
      <c r="K1949">
        <v>1.1058330000000001</v>
      </c>
      <c r="L1949">
        <v>285.22629999999998</v>
      </c>
      <c r="M1949">
        <v>-0.95864199999999999</v>
      </c>
      <c r="N1949">
        <v>0</v>
      </c>
      <c r="O1949">
        <v>-0.284362</v>
      </c>
      <c r="P1949">
        <v>-0.99119020000000002</v>
      </c>
      <c r="Q1949">
        <v>0.12873789999999999</v>
      </c>
      <c r="R1949">
        <v>-3.1121349999999999E-2</v>
      </c>
      <c r="S1949">
        <v>-3.0550989999999998</v>
      </c>
      <c r="T1949">
        <v>-0.24934429999999999</v>
      </c>
      <c r="U1949">
        <v>-0.12011719999999999</v>
      </c>
      <c r="V1949">
        <v>0.25358209999999998</v>
      </c>
      <c r="W1949">
        <v>0.13741909999999999</v>
      </c>
      <c r="X1949">
        <v>0.95750299999999999</v>
      </c>
      <c r="Y1949">
        <v>0.2447665</v>
      </c>
      <c r="Z1949">
        <v>3.2853939999999998E-2</v>
      </c>
      <c r="AA1949">
        <v>0.96902529999999998</v>
      </c>
      <c r="AB1949">
        <v>17</v>
      </c>
      <c r="AC1949">
        <v>-13.382199999999999</v>
      </c>
      <c r="AD1949">
        <v>-1.1058309533519901</v>
      </c>
      <c r="AE1949">
        <v>-0.493400000000008</v>
      </c>
      <c r="AF1949">
        <v>3.3100628355244499</v>
      </c>
      <c r="AG1949">
        <v>-1.1058309533519901</v>
      </c>
      <c r="AH1949">
        <v>12.882129927287099</v>
      </c>
      <c r="AI1949">
        <v>94.752724619622498</v>
      </c>
      <c r="AJ1949">
        <v>75.589593798676404</v>
      </c>
      <c r="AK1949">
        <v>13.3464845384849</v>
      </c>
      <c r="AL1949">
        <v>82.101471462119704</v>
      </c>
      <c r="AM1949">
        <v>75.166506517285896</v>
      </c>
      <c r="AN1949">
        <v>0.99999994274710802</v>
      </c>
    </row>
    <row r="1950" spans="1:40" x14ac:dyDescent="0.25">
      <c r="A1950" t="str">
        <f>"20190312164027331"</f>
        <v>20190312164027331</v>
      </c>
      <c r="B1950" t="str">
        <f>"1552380027328376"</f>
        <v>1552380027328376</v>
      </c>
      <c r="C1950" t="s">
        <v>40</v>
      </c>
      <c r="D1950">
        <v>5.686528</v>
      </c>
      <c r="E1950">
        <v>0.50022319999999998</v>
      </c>
      <c r="F1950" t="s">
        <v>48</v>
      </c>
      <c r="G1950">
        <v>-216.88550000000001</v>
      </c>
      <c r="H1950" s="1">
        <v>2.1273130000000001E-6</v>
      </c>
      <c r="I1950">
        <v>284.71350000000001</v>
      </c>
      <c r="J1950">
        <v>-203.5154</v>
      </c>
      <c r="K1950">
        <v>1.105785</v>
      </c>
      <c r="L1950">
        <v>285.18950000000001</v>
      </c>
      <c r="M1950">
        <v>-0.96134019999999998</v>
      </c>
      <c r="N1950">
        <v>0</v>
      </c>
      <c r="O1950">
        <v>-0.27510990000000002</v>
      </c>
      <c r="P1950">
        <v>-0.9913708</v>
      </c>
      <c r="Q1950">
        <v>0.12769220000000001</v>
      </c>
      <c r="R1950">
        <v>-2.964344E-2</v>
      </c>
      <c r="S1950">
        <v>-3.05545</v>
      </c>
      <c r="T1950">
        <v>-0.24965789999999999</v>
      </c>
      <c r="U1950">
        <v>-0.1157532</v>
      </c>
      <c r="V1950">
        <v>0.2457946</v>
      </c>
      <c r="W1950">
        <v>0.13630110000000001</v>
      </c>
      <c r="X1950">
        <v>0.95969110000000002</v>
      </c>
      <c r="Y1950">
        <v>0.2368545</v>
      </c>
      <c r="Z1950">
        <v>3.1842000000000002E-2</v>
      </c>
      <c r="AA1950">
        <v>0.97102319999999998</v>
      </c>
      <c r="AB1950">
        <v>17</v>
      </c>
      <c r="AC1950">
        <v>-13.370100000000001</v>
      </c>
      <c r="AD1950">
        <v>-1.105782872687</v>
      </c>
      <c r="AE1950">
        <v>-0.47599999999999898</v>
      </c>
      <c r="AF1950">
        <v>3.1990193904296498</v>
      </c>
      <c r="AG1950">
        <v>-1.105782872687</v>
      </c>
      <c r="AH1950">
        <v>12.896966585437299</v>
      </c>
      <c r="AI1950">
        <v>94.757075760292196</v>
      </c>
      <c r="AJ1950">
        <v>76.069265517426999</v>
      </c>
      <c r="AK1950">
        <v>13.333725208198899</v>
      </c>
      <c r="AL1950">
        <v>82.166137008183398</v>
      </c>
      <c r="AM1950">
        <v>75.634294200867103</v>
      </c>
      <c r="AN1950">
        <v>0.99999999133478901</v>
      </c>
    </row>
    <row r="1951" spans="1:40" x14ac:dyDescent="0.25">
      <c r="A1951" t="str">
        <f>"20190312164027353"</f>
        <v>20190312164027353</v>
      </c>
      <c r="B1951" t="str">
        <f>"1552380027347896"</f>
        <v>1552380027347896</v>
      </c>
      <c r="C1951" t="s">
        <v>40</v>
      </c>
      <c r="D1951">
        <v>5.6803530000000002</v>
      </c>
      <c r="E1951">
        <v>0.50025770000000003</v>
      </c>
      <c r="F1951" t="s">
        <v>48</v>
      </c>
      <c r="G1951">
        <v>-216.8185</v>
      </c>
      <c r="H1951" s="1">
        <v>2.0916769999999998E-6</v>
      </c>
      <c r="I1951">
        <v>284.70639999999997</v>
      </c>
      <c r="J1951">
        <v>-203.6891</v>
      </c>
      <c r="K1951">
        <v>1.1057399999999999</v>
      </c>
      <c r="L1951">
        <v>285.15219999999999</v>
      </c>
      <c r="M1951">
        <v>-0.96409230000000001</v>
      </c>
      <c r="N1951">
        <v>0</v>
      </c>
      <c r="O1951">
        <v>-0.2653122</v>
      </c>
      <c r="P1951">
        <v>-0.99161849999999996</v>
      </c>
      <c r="Q1951">
        <v>0.12613489999999999</v>
      </c>
      <c r="R1951">
        <v>-2.7979850000000001E-2</v>
      </c>
      <c r="S1951">
        <v>-3.0555110000000001</v>
      </c>
      <c r="T1951">
        <v>-0.25398029999999999</v>
      </c>
      <c r="U1951">
        <v>-0.1109619</v>
      </c>
      <c r="V1951">
        <v>0.2376576</v>
      </c>
      <c r="W1951">
        <v>0.134682</v>
      </c>
      <c r="X1951">
        <v>0.96196649999999995</v>
      </c>
      <c r="Y1951">
        <v>0.22848479999999999</v>
      </c>
      <c r="Z1951">
        <v>3.1258670000000002E-2</v>
      </c>
      <c r="AA1951">
        <v>0.97304550000000001</v>
      </c>
      <c r="AB1951">
        <v>17</v>
      </c>
      <c r="AC1951">
        <v>-13.1294</v>
      </c>
      <c r="AD1951">
        <v>-1.1057379083229999</v>
      </c>
      <c r="AE1951">
        <v>-0.44580000000001901</v>
      </c>
      <c r="AF1951">
        <v>3.0323217810662402</v>
      </c>
      <c r="AG1951">
        <v>-1.1057379083229999</v>
      </c>
      <c r="AH1951">
        <v>12.687211541064</v>
      </c>
      <c r="AI1951">
        <v>94.845166853962596</v>
      </c>
      <c r="AJ1951">
        <v>76.558120115456006</v>
      </c>
      <c r="AK1951">
        <v>13.091331803660699</v>
      </c>
      <c r="AL1951">
        <v>82.259767802829202</v>
      </c>
      <c r="AM1951">
        <v>76.122734690783503</v>
      </c>
      <c r="AN1951">
        <v>0.99999996154200399</v>
      </c>
    </row>
    <row r="1952" spans="1:40" x14ac:dyDescent="0.25">
      <c r="A1952" t="str">
        <f>"20190312164027376"</f>
        <v>20190312164027376</v>
      </c>
      <c r="B1952" t="str">
        <f>"1552380027368392"</f>
        <v>1552380027368392</v>
      </c>
      <c r="C1952" t="s">
        <v>40</v>
      </c>
      <c r="D1952">
        <v>5.669422</v>
      </c>
      <c r="E1952">
        <v>0.50030629999999998</v>
      </c>
      <c r="F1952" t="s">
        <v>48</v>
      </c>
      <c r="G1952">
        <v>-216.7064</v>
      </c>
      <c r="H1952" s="1">
        <v>2.0320059999999999E-6</v>
      </c>
      <c r="I1952">
        <v>284.70299999999997</v>
      </c>
      <c r="J1952">
        <v>-203.86670000000001</v>
      </c>
      <c r="K1952">
        <v>1.105707</v>
      </c>
      <c r="L1952">
        <v>285.11590000000001</v>
      </c>
      <c r="M1952">
        <v>-0.96678600000000003</v>
      </c>
      <c r="N1952">
        <v>0</v>
      </c>
      <c r="O1952">
        <v>-0.25532969999999999</v>
      </c>
      <c r="P1952">
        <v>-0.99176660000000005</v>
      </c>
      <c r="Q1952">
        <v>0.1255222</v>
      </c>
      <c r="R1952">
        <v>-2.5366909999999999E-2</v>
      </c>
      <c r="S1952">
        <v>-3.0553889999999999</v>
      </c>
      <c r="T1952">
        <v>-0.25953730000000003</v>
      </c>
      <c r="U1952">
        <v>-0.1054382</v>
      </c>
      <c r="V1952">
        <v>0.23024210000000001</v>
      </c>
      <c r="W1952">
        <v>0.13401199999999999</v>
      </c>
      <c r="X1952">
        <v>0.96386170000000004</v>
      </c>
      <c r="Y1952">
        <v>0.2201584</v>
      </c>
      <c r="Z1952">
        <v>3.0769339999999999E-2</v>
      </c>
      <c r="AA1952">
        <v>0.97497869999999998</v>
      </c>
      <c r="AB1952">
        <v>17</v>
      </c>
      <c r="AC1952">
        <v>-12.839699999999899</v>
      </c>
      <c r="AD1952">
        <v>-1.1057049679940001</v>
      </c>
      <c r="AE1952">
        <v>-0.41290000000003502</v>
      </c>
      <c r="AF1952">
        <v>2.8581858784151599</v>
      </c>
      <c r="AG1952">
        <v>-1.1057049679940001</v>
      </c>
      <c r="AH1952">
        <v>12.4274251144827</v>
      </c>
      <c r="AI1952">
        <v>94.955679624419304</v>
      </c>
      <c r="AJ1952">
        <v>77.047769253431099</v>
      </c>
      <c r="AK1952">
        <v>12.7997150346363</v>
      </c>
      <c r="AL1952">
        <v>82.298507540727599</v>
      </c>
      <c r="AM1952">
        <v>76.565249899681504</v>
      </c>
      <c r="AN1952">
        <v>1.0000000087416501</v>
      </c>
    </row>
    <row r="1953" spans="1:40" x14ac:dyDescent="0.25">
      <c r="A1953" t="str">
        <f>"20190312164027398"</f>
        <v>20190312164027398</v>
      </c>
      <c r="B1953" t="str">
        <f>"1552380027387912"</f>
        <v>1552380027387912</v>
      </c>
      <c r="C1953" t="s">
        <v>40</v>
      </c>
      <c r="D1953">
        <v>5.4240250000000003</v>
      </c>
      <c r="E1953">
        <v>0.50033339999999904</v>
      </c>
      <c r="F1953" t="s">
        <v>48</v>
      </c>
      <c r="G1953">
        <v>-216.7473</v>
      </c>
      <c r="H1953" s="1">
        <v>2.053789E-6</v>
      </c>
      <c r="I1953">
        <v>284.70650000000001</v>
      </c>
      <c r="J1953">
        <v>-204.03880000000001</v>
      </c>
      <c r="K1953">
        <v>1.1056900000000001</v>
      </c>
      <c r="L1953">
        <v>285.08260000000001</v>
      </c>
      <c r="M1953">
        <v>-0.96927949999999996</v>
      </c>
      <c r="N1953">
        <v>0</v>
      </c>
      <c r="O1953">
        <v>-0.24570059999999999</v>
      </c>
      <c r="P1953">
        <v>-0.99188560000000003</v>
      </c>
      <c r="Q1953">
        <v>0.12503210000000001</v>
      </c>
      <c r="R1953">
        <v>-2.301452E-2</v>
      </c>
      <c r="S1953">
        <v>-3.0556030000000001</v>
      </c>
      <c r="T1953">
        <v>-0.26230100000000001</v>
      </c>
      <c r="U1953">
        <v>-9.713745E-2</v>
      </c>
      <c r="V1953">
        <v>0.2229312</v>
      </c>
      <c r="W1953">
        <v>0.13348460000000001</v>
      </c>
      <c r="X1953">
        <v>0.96565190000000001</v>
      </c>
      <c r="Y1953">
        <v>0.21312410000000001</v>
      </c>
      <c r="Z1953">
        <v>2.9992810000000002E-2</v>
      </c>
      <c r="AA1953">
        <v>0.9765646</v>
      </c>
      <c r="AB1953">
        <v>17</v>
      </c>
      <c r="AC1953">
        <v>-12.7084999999999</v>
      </c>
      <c r="AD1953">
        <v>-1.1056879462109901</v>
      </c>
      <c r="AE1953">
        <v>-0.37610000000000798</v>
      </c>
      <c r="AF1953">
        <v>2.7374140526721198</v>
      </c>
      <c r="AG1953">
        <v>-1.1056879462109901</v>
      </c>
      <c r="AH1953">
        <v>12.3181312497739</v>
      </c>
      <c r="AI1953">
        <v>95.007664642827294</v>
      </c>
      <c r="AJ1953">
        <v>77.470963786158805</v>
      </c>
      <c r="AK1953">
        <v>12.666978290690301</v>
      </c>
      <c r="AL1953">
        <v>82.328999419957498</v>
      </c>
      <c r="AM1953">
        <v>77.000400370403796</v>
      </c>
      <c r="AN1953">
        <v>1.0000000251721</v>
      </c>
    </row>
    <row r="1954" spans="1:40" x14ac:dyDescent="0.25">
      <c r="A1954" t="str">
        <f>"20190312164027420"</f>
        <v>20190312164027420</v>
      </c>
      <c r="B1954" t="str">
        <f>"1552380027408412"</f>
        <v>1552380027408412</v>
      </c>
      <c r="C1954" t="s">
        <v>40</v>
      </c>
      <c r="D1954">
        <v>5.4014040000000003</v>
      </c>
      <c r="E1954">
        <v>0.50036559999999997</v>
      </c>
      <c r="F1954" t="s">
        <v>48</v>
      </c>
      <c r="G1954">
        <v>-216.8237</v>
      </c>
      <c r="H1954" s="1">
        <v>2.094454E-6</v>
      </c>
      <c r="I1954">
        <v>284.70150000000001</v>
      </c>
      <c r="J1954">
        <v>-204.20259999999999</v>
      </c>
      <c r="K1954">
        <v>1.1056790000000001</v>
      </c>
      <c r="L1954">
        <v>285.05239999999998</v>
      </c>
      <c r="M1954">
        <v>-0.97154390000000002</v>
      </c>
      <c r="N1954">
        <v>0</v>
      </c>
      <c r="O1954">
        <v>-0.2365939</v>
      </c>
      <c r="P1954">
        <v>-0.99209400000000003</v>
      </c>
      <c r="Q1954">
        <v>0.1236696</v>
      </c>
      <c r="R1954">
        <v>-2.1331780000000002E-2</v>
      </c>
      <c r="S1954">
        <v>-3.0557249999999998</v>
      </c>
      <c r="T1954">
        <v>-0.26427129999999999</v>
      </c>
      <c r="U1954">
        <v>-9.1064450000000005E-2</v>
      </c>
      <c r="V1954">
        <v>0.2155116</v>
      </c>
      <c r="W1954">
        <v>0.1321022</v>
      </c>
      <c r="X1954">
        <v>0.96752450000000001</v>
      </c>
      <c r="Y1954">
        <v>0.20592679999999999</v>
      </c>
      <c r="Z1954">
        <v>2.9141139999999999E-2</v>
      </c>
      <c r="AA1954">
        <v>0.97813340000000004</v>
      </c>
      <c r="AB1954">
        <v>17</v>
      </c>
      <c r="AC1954">
        <v>-12.6211</v>
      </c>
      <c r="AD1954">
        <v>-1.1056769055460001</v>
      </c>
      <c r="AE1954">
        <v>-0.35089999999996702</v>
      </c>
      <c r="AF1954">
        <v>2.62519483119826</v>
      </c>
      <c r="AG1954">
        <v>-1.1056769055460001</v>
      </c>
      <c r="AH1954">
        <v>12.251793590359499</v>
      </c>
      <c r="AI1954">
        <v>95.042898229123907</v>
      </c>
      <c r="AJ1954">
        <v>77.906090263062197</v>
      </c>
      <c r="AK1954">
        <v>12.578577642244801</v>
      </c>
      <c r="AL1954">
        <v>82.408912266859502</v>
      </c>
      <c r="AM1954">
        <v>77.442632000622098</v>
      </c>
      <c r="AN1954">
        <v>0.99999994953982296</v>
      </c>
    </row>
    <row r="1955" spans="1:40" x14ac:dyDescent="0.25">
      <c r="A1955" t="str">
        <f>"20190312164027444"</f>
        <v>20190312164027444</v>
      </c>
      <c r="B1955" t="str">
        <f>"1552380027437689"</f>
        <v>1552380027437689</v>
      </c>
      <c r="C1955" t="s">
        <v>40</v>
      </c>
      <c r="D1955">
        <v>5.4592179999999999</v>
      </c>
      <c r="E1955">
        <v>0.50042229999999999</v>
      </c>
      <c r="F1955" t="s">
        <v>48</v>
      </c>
      <c r="G1955">
        <v>-216.76679999999999</v>
      </c>
      <c r="H1955" s="1">
        <v>2.0641439999999998E-6</v>
      </c>
      <c r="I1955">
        <v>284.70229999999998</v>
      </c>
      <c r="J1955">
        <v>-204.39590000000001</v>
      </c>
      <c r="K1955">
        <v>1.1056549999999901</v>
      </c>
      <c r="L1955">
        <v>285.01889999999997</v>
      </c>
      <c r="M1955">
        <v>-0.97408410000000001</v>
      </c>
      <c r="N1955">
        <v>0</v>
      </c>
      <c r="O1955">
        <v>-0.2259157</v>
      </c>
      <c r="P1955">
        <v>-0.99234730000000004</v>
      </c>
      <c r="Q1955">
        <v>0.1221173</v>
      </c>
      <c r="R1955">
        <v>-1.8283020000000001E-2</v>
      </c>
      <c r="S1955">
        <v>-3.0556030000000001</v>
      </c>
      <c r="T1955">
        <v>-0.2689011</v>
      </c>
      <c r="U1955">
        <v>-8.5144040000000004E-2</v>
      </c>
      <c r="V1955">
        <v>0.20786930000000001</v>
      </c>
      <c r="W1955">
        <v>0.130521</v>
      </c>
      <c r="X1955">
        <v>0.96940939999999998</v>
      </c>
      <c r="Y1955">
        <v>0.1970884</v>
      </c>
      <c r="Z1955">
        <v>2.8348249999999998E-2</v>
      </c>
      <c r="AA1955">
        <v>0.97997579999999995</v>
      </c>
      <c r="AB1955">
        <v>17</v>
      </c>
      <c r="AC1955">
        <v>-12.370899999999899</v>
      </c>
      <c r="AD1955">
        <v>-1.1056529358560001</v>
      </c>
      <c r="AE1955">
        <v>-0.316599999999993</v>
      </c>
      <c r="AF1955">
        <v>2.46684538993056</v>
      </c>
      <c r="AG1955">
        <v>-1.1056529358560001</v>
      </c>
      <c r="AH1955">
        <v>12.026558389562499</v>
      </c>
      <c r="AI1955">
        <v>95.146133323141399</v>
      </c>
      <c r="AJ1955">
        <v>78.408468960987506</v>
      </c>
      <c r="AK1955">
        <v>12.3266338182792</v>
      </c>
      <c r="AL1955">
        <v>82.500299916424595</v>
      </c>
      <c r="AM1955">
        <v>77.897404547363195</v>
      </c>
      <c r="AN1955">
        <v>0.99999998106592403</v>
      </c>
    </row>
    <row r="1956" spans="1:40" x14ac:dyDescent="0.25">
      <c r="A1956" t="str">
        <f>"20190312164027465"</f>
        <v>20190312164027465</v>
      </c>
      <c r="B1956" t="str">
        <f>"1552380027458184"</f>
        <v>1552380027458184</v>
      </c>
      <c r="C1956" t="s">
        <v>40</v>
      </c>
      <c r="D1956">
        <v>5.4142549999999998</v>
      </c>
      <c r="E1956">
        <v>0.50047980000000003</v>
      </c>
      <c r="F1956" t="s">
        <v>42</v>
      </c>
      <c r="G1956">
        <v>-205.25309999999999</v>
      </c>
      <c r="H1956">
        <v>1.028732</v>
      </c>
      <c r="I1956">
        <v>284.99799999999999</v>
      </c>
      <c r="J1956">
        <v>-204.5658</v>
      </c>
      <c r="K1956">
        <v>1.1056459999999999</v>
      </c>
      <c r="L1956">
        <v>284.99099999999999</v>
      </c>
      <c r="M1956">
        <v>-0.97619999999999996</v>
      </c>
      <c r="N1956">
        <v>0</v>
      </c>
      <c r="O1956">
        <v>-0.21659629999999999</v>
      </c>
      <c r="P1956">
        <v>-0.99255649999999995</v>
      </c>
      <c r="Q1956">
        <v>0.12071419999999999</v>
      </c>
      <c r="R1956">
        <v>-1.6125509999999999E-2</v>
      </c>
      <c r="S1956">
        <v>-3.0554809999999999</v>
      </c>
      <c r="T1956">
        <v>-0.27405359999999901</v>
      </c>
      <c r="U1956">
        <v>-7.4768070000000006E-2</v>
      </c>
      <c r="V1956">
        <v>0.2007149</v>
      </c>
      <c r="W1956">
        <v>0.12910830000000001</v>
      </c>
      <c r="X1956">
        <v>0.97110490000000005</v>
      </c>
      <c r="Y1956">
        <v>0.1910395</v>
      </c>
      <c r="Z1956">
        <v>2.780591E-2</v>
      </c>
      <c r="AA1956">
        <v>0.98118839999999996</v>
      </c>
      <c r="AB1956">
        <v>17</v>
      </c>
      <c r="AC1956">
        <v>-0.68729999999999303</v>
      </c>
      <c r="AD1956">
        <v>-7.6913999999999899E-2</v>
      </c>
      <c r="AE1956">
        <v>7.0000000000049996E-3</v>
      </c>
      <c r="AF1956">
        <v>0.153783672589866</v>
      </c>
      <c r="AG1956">
        <v>-7.6913999999999899E-2</v>
      </c>
      <c r="AH1956">
        <v>0.66118675375632696</v>
      </c>
      <c r="AI1956">
        <v>96.464209989880004</v>
      </c>
      <c r="AJ1956">
        <v>76.906519371900899</v>
      </c>
      <c r="AK1956">
        <v>0.68317867699018298</v>
      </c>
      <c r="AL1956">
        <v>82.581933129007396</v>
      </c>
      <c r="AM1956">
        <v>78.322136871748896</v>
      </c>
      <c r="AN1956">
        <v>1.0000000755074501</v>
      </c>
    </row>
    <row r="1957" spans="1:40" x14ac:dyDescent="0.25">
      <c r="A1957" t="str">
        <f>"20190312164027489"</f>
        <v>20190312164027489</v>
      </c>
      <c r="B1957" t="str">
        <f>"1552380027477704"</f>
        <v>1552380027477704</v>
      </c>
      <c r="C1957" t="s">
        <v>40</v>
      </c>
      <c r="D1957">
        <v>5.4533079999999998</v>
      </c>
      <c r="E1957">
        <v>0.50056199999999995</v>
      </c>
      <c r="F1957" t="s">
        <v>42</v>
      </c>
      <c r="G1957">
        <v>-205.4084</v>
      </c>
      <c r="H1957">
        <v>1.028713</v>
      </c>
      <c r="I1957">
        <v>284.97210000000001</v>
      </c>
      <c r="J1957">
        <v>-204.74979999999999</v>
      </c>
      <c r="K1957">
        <v>1.105639</v>
      </c>
      <c r="L1957">
        <v>284.96260000000001</v>
      </c>
      <c r="M1957">
        <v>-0.9783695</v>
      </c>
      <c r="N1957">
        <v>0</v>
      </c>
      <c r="O1957">
        <v>-0.2065814</v>
      </c>
      <c r="P1957">
        <v>-0.99271670000000001</v>
      </c>
      <c r="Q1957">
        <v>0.1198562</v>
      </c>
      <c r="R1957">
        <v>-1.217087E-2</v>
      </c>
      <c r="S1957">
        <v>-3.0552830000000002</v>
      </c>
      <c r="T1957">
        <v>-0.27876390000000001</v>
      </c>
      <c r="U1957">
        <v>-6.8603520000000001E-2</v>
      </c>
      <c r="V1957">
        <v>0.19462769999999999</v>
      </c>
      <c r="W1957">
        <v>0.12822020000000001</v>
      </c>
      <c r="X1957">
        <v>0.97246060000000001</v>
      </c>
      <c r="Y1957">
        <v>0.1829713</v>
      </c>
      <c r="Z1957">
        <v>2.7023350000000002E-2</v>
      </c>
      <c r="AA1957">
        <v>0.98274680000000003</v>
      </c>
      <c r="AB1957">
        <v>17</v>
      </c>
      <c r="AC1957">
        <v>-0.65860000000000696</v>
      </c>
      <c r="AD1957">
        <v>-7.6925999999999994E-2</v>
      </c>
      <c r="AE1957">
        <v>9.5000000000027198E-3</v>
      </c>
      <c r="AF1957">
        <v>0.1434015531416</v>
      </c>
      <c r="AG1957">
        <v>-7.6925999999999994E-2</v>
      </c>
      <c r="AH1957">
        <v>0.63378450847019296</v>
      </c>
      <c r="AI1957">
        <v>96.7514334910678</v>
      </c>
      <c r="AJ1957">
        <v>77.250794601805396</v>
      </c>
      <c r="AK1957">
        <v>0.65434273748260297</v>
      </c>
      <c r="AL1957">
        <v>82.633243359706199</v>
      </c>
      <c r="AM1957">
        <v>78.682386817857903</v>
      </c>
      <c r="AN1957">
        <v>0.99999998992384498</v>
      </c>
    </row>
    <row r="1958" spans="1:40" x14ac:dyDescent="0.25">
      <c r="A1958" t="str">
        <f>"20190312164027511"</f>
        <v>20190312164027511</v>
      </c>
      <c r="B1958" t="str">
        <f>"1552380027498201"</f>
        <v>1552380027498201</v>
      </c>
      <c r="C1958" t="s">
        <v>40</v>
      </c>
      <c r="D1958">
        <v>5.4930820000000002</v>
      </c>
      <c r="E1958">
        <v>0.50061029999999995</v>
      </c>
      <c r="F1958" t="s">
        <v>42</v>
      </c>
      <c r="G1958">
        <v>-205.56620000000001</v>
      </c>
      <c r="H1958">
        <v>1.03044</v>
      </c>
      <c r="I1958">
        <v>284.94729999999998</v>
      </c>
      <c r="J1958">
        <v>-204.93039999999999</v>
      </c>
      <c r="K1958">
        <v>1.1056469999999901</v>
      </c>
      <c r="L1958">
        <v>284.93650000000002</v>
      </c>
      <c r="M1958">
        <v>-0.98037669999999999</v>
      </c>
      <c r="N1958">
        <v>0</v>
      </c>
      <c r="O1958">
        <v>-0.19684289999999999</v>
      </c>
      <c r="P1958">
        <v>-0.99278829999999996</v>
      </c>
      <c r="Q1958">
        <v>0.11978949999999999</v>
      </c>
      <c r="R1958">
        <v>-4.6958640000000001E-3</v>
      </c>
      <c r="S1958">
        <v>-3.0553129999999999</v>
      </c>
      <c r="T1958">
        <v>-0.28146919999999997</v>
      </c>
      <c r="U1958">
        <v>-5.7220460000000001E-2</v>
      </c>
      <c r="V1958">
        <v>0.19227079999999999</v>
      </c>
      <c r="W1958">
        <v>0.1280713</v>
      </c>
      <c r="X1958">
        <v>0.97294899999999995</v>
      </c>
      <c r="Y1958">
        <v>0.17688889999999999</v>
      </c>
      <c r="Z1958">
        <v>2.6127290000000001E-2</v>
      </c>
      <c r="AA1958">
        <v>0.98388399999999998</v>
      </c>
      <c r="AB1958">
        <v>18</v>
      </c>
      <c r="AC1958">
        <v>-0.63580000000001702</v>
      </c>
      <c r="AD1958">
        <v>-7.5206999999999802E-2</v>
      </c>
      <c r="AE1958">
        <v>1.07999999999606E-2</v>
      </c>
      <c r="AF1958">
        <v>0.13387591625343401</v>
      </c>
      <c r="AG1958">
        <v>-7.5206999999999802E-2</v>
      </c>
      <c r="AH1958">
        <v>0.612663310565708</v>
      </c>
      <c r="AI1958">
        <v>96.8385076839715</v>
      </c>
      <c r="AJ1958">
        <v>77.673781466186597</v>
      </c>
      <c r="AK1958">
        <v>0.63161316160687297</v>
      </c>
      <c r="AL1958">
        <v>82.641845976136906</v>
      </c>
      <c r="AM1958">
        <v>78.821438165411905</v>
      </c>
      <c r="AN1958">
        <v>1.00000003750866</v>
      </c>
    </row>
    <row r="1959" spans="1:40" x14ac:dyDescent="0.25">
      <c r="A1959" t="str">
        <f>"20190312164027532"</f>
        <v>20190312164027532</v>
      </c>
      <c r="B1959" t="str">
        <f>"1552380027528458"</f>
        <v>1552380027528458</v>
      </c>
      <c r="C1959" t="s">
        <v>40</v>
      </c>
      <c r="D1959">
        <v>5.4738850000000001</v>
      </c>
      <c r="E1959">
        <v>0.50059529999999997</v>
      </c>
      <c r="F1959" t="s">
        <v>42</v>
      </c>
      <c r="G1959">
        <v>-205.72630000000001</v>
      </c>
      <c r="H1959">
        <v>1.032238</v>
      </c>
      <c r="I1959">
        <v>284.92759999999998</v>
      </c>
      <c r="J1959">
        <v>-205.0992</v>
      </c>
      <c r="K1959">
        <v>1.1056569999999999</v>
      </c>
      <c r="L1959">
        <v>284.91359999999997</v>
      </c>
      <c r="M1959">
        <v>-0.98214559999999995</v>
      </c>
      <c r="N1959">
        <v>0</v>
      </c>
      <c r="O1959">
        <v>-0.18782460000000001</v>
      </c>
      <c r="P1959">
        <v>-0.99279890000000004</v>
      </c>
      <c r="Q1959">
        <v>0.11978320000000001</v>
      </c>
      <c r="R1959">
        <v>-1.5712219999999999E-3</v>
      </c>
      <c r="S1959">
        <v>-3.055634</v>
      </c>
      <c r="T1959">
        <v>-0.28176830000000003</v>
      </c>
      <c r="U1959">
        <v>-3.414917E-2</v>
      </c>
      <c r="V1959">
        <v>0.18637119999999999</v>
      </c>
      <c r="W1959">
        <v>0.12803200000000001</v>
      </c>
      <c r="X1959">
        <v>0.97410140000000001</v>
      </c>
      <c r="Y1959">
        <v>0.17531459999999999</v>
      </c>
      <c r="Z1959">
        <v>2.5267060000000001E-2</v>
      </c>
      <c r="AA1959">
        <v>0.98418810000000001</v>
      </c>
      <c r="AB1959">
        <v>18</v>
      </c>
      <c r="AC1959">
        <v>-0.62710000000001198</v>
      </c>
      <c r="AD1959">
        <v>-7.3418999999999901E-2</v>
      </c>
      <c r="AE1959">
        <v>1.4000000000009999E-2</v>
      </c>
      <c r="AF1959">
        <v>0.12976440924250901</v>
      </c>
      <c r="AG1959">
        <v>-7.3418999999999901E-2</v>
      </c>
      <c r="AH1959">
        <v>0.60501940199486204</v>
      </c>
      <c r="AI1959">
        <v>96.766591091406298</v>
      </c>
      <c r="AJ1959">
        <v>77.894614076604398</v>
      </c>
      <c r="AK1959">
        <v>0.62311927289827795</v>
      </c>
      <c r="AL1959">
        <v>82.644115946393995</v>
      </c>
      <c r="AM1959">
        <v>79.168708047241907</v>
      </c>
      <c r="AN1959">
        <v>0.99999997734769897</v>
      </c>
    </row>
    <row r="1960" spans="1:40" x14ac:dyDescent="0.25">
      <c r="A1960" t="str">
        <f>"20190312164027545"</f>
        <v>20190312164027545</v>
      </c>
      <c r="B1960" t="str">
        <f>"1552380027538217"</f>
        <v>1552380027538217</v>
      </c>
      <c r="C1960" t="s">
        <v>40</v>
      </c>
      <c r="D1960">
        <v>5.6236879999999996</v>
      </c>
      <c r="E1960">
        <v>0.50083489999999997</v>
      </c>
      <c r="F1960" t="s">
        <v>42</v>
      </c>
      <c r="G1960">
        <v>-205.87559999999999</v>
      </c>
      <c r="H1960">
        <v>1.013045</v>
      </c>
      <c r="I1960">
        <v>284.90649999999999</v>
      </c>
      <c r="J1960">
        <v>-205.2056</v>
      </c>
      <c r="K1960">
        <v>1.105667</v>
      </c>
      <c r="L1960">
        <v>284.8999</v>
      </c>
      <c r="M1960">
        <v>-0.9832071</v>
      </c>
      <c r="N1960">
        <v>0</v>
      </c>
      <c r="O1960">
        <v>-0.1821914</v>
      </c>
      <c r="P1960">
        <v>-0.99281660000000005</v>
      </c>
      <c r="Q1960">
        <v>0.1196405</v>
      </c>
      <c r="R1960">
        <v>1.2505960000000001E-3</v>
      </c>
      <c r="S1960">
        <v>-3.0657649999999999</v>
      </c>
      <c r="T1960">
        <v>-0.36526130000000001</v>
      </c>
      <c r="U1960">
        <v>-2.816772E-2</v>
      </c>
      <c r="V1960">
        <v>0.18354599999999999</v>
      </c>
      <c r="W1960">
        <v>0.12785469999999999</v>
      </c>
      <c r="X1960">
        <v>0.974661</v>
      </c>
      <c r="Y1960">
        <v>0.17067660000000001</v>
      </c>
      <c r="Z1960">
        <v>3.1666119999999999E-2</v>
      </c>
      <c r="AA1960">
        <v>0.98481819999999998</v>
      </c>
      <c r="AB1960">
        <v>18</v>
      </c>
      <c r="AC1960">
        <v>-0.66999999999998705</v>
      </c>
      <c r="AD1960">
        <v>-9.2621999999999899E-2</v>
      </c>
      <c r="AE1960">
        <v>6.5999999999917201E-3</v>
      </c>
      <c r="AF1960">
        <v>0.12615381651006199</v>
      </c>
      <c r="AG1960">
        <v>-9.2621999999999899E-2</v>
      </c>
      <c r="AH1960">
        <v>0.64525240362631298</v>
      </c>
      <c r="AI1960">
        <v>98.018864997892607</v>
      </c>
      <c r="AJ1960">
        <v>78.937598873258807</v>
      </c>
      <c r="AK1960">
        <v>0.66396105660617499</v>
      </c>
      <c r="AL1960">
        <v>82.654358921933905</v>
      </c>
      <c r="AM1960">
        <v>79.335087168004307</v>
      </c>
      <c r="AN1960">
        <v>1.00000001167454</v>
      </c>
    </row>
    <row r="1961" spans="1:40" x14ac:dyDescent="0.25">
      <c r="A1961" t="str">
        <f>"20190312164027558"</f>
        <v>20190312164027558</v>
      </c>
      <c r="B1961" t="str">
        <f>"1552380027547977"</f>
        <v>1552380027547977</v>
      </c>
      <c r="C1961" t="s">
        <v>40</v>
      </c>
      <c r="D1961">
        <v>5.4417629999999999</v>
      </c>
      <c r="E1961">
        <v>0.50092079999999894</v>
      </c>
      <c r="F1961" t="s">
        <v>42</v>
      </c>
      <c r="G1961">
        <v>-206.0359</v>
      </c>
      <c r="H1961">
        <v>1.010294</v>
      </c>
      <c r="I1961">
        <v>284.89510000000001</v>
      </c>
      <c r="J1961">
        <v>-205.31049999999999</v>
      </c>
      <c r="K1961">
        <v>1.1056729999999999</v>
      </c>
      <c r="L1961">
        <v>284.88679999999999</v>
      </c>
      <c r="M1961">
        <v>-0.98421709999999996</v>
      </c>
      <c r="N1961">
        <v>0</v>
      </c>
      <c r="O1961">
        <v>-0.1766587</v>
      </c>
      <c r="P1961">
        <v>-0.99274530000000005</v>
      </c>
      <c r="Q1961">
        <v>0.1201608</v>
      </c>
      <c r="R1961">
        <v>4.2081339999999997E-3</v>
      </c>
      <c r="S1961">
        <v>-3.064117</v>
      </c>
      <c r="T1961">
        <v>-0.35187099999999999</v>
      </c>
      <c r="U1961">
        <v>-1.791382E-2</v>
      </c>
      <c r="V1961">
        <v>0.18095079999999999</v>
      </c>
      <c r="W1961">
        <v>0.12833559999999999</v>
      </c>
      <c r="X1961">
        <v>0.97508289999999997</v>
      </c>
      <c r="Y1961">
        <v>0.16865150000000001</v>
      </c>
      <c r="Z1961">
        <v>2.9790090000000002E-2</v>
      </c>
      <c r="AA1961">
        <v>0.98522549999999998</v>
      </c>
      <c r="AB1961">
        <v>18</v>
      </c>
      <c r="AC1961">
        <v>-0.72540000000000704</v>
      </c>
      <c r="AD1961">
        <v>-9.5378999999999797E-2</v>
      </c>
      <c r="AE1961">
        <v>8.3000000000197308E-3</v>
      </c>
      <c r="AF1961">
        <v>0.134008152230218</v>
      </c>
      <c r="AG1961">
        <v>-9.5378999999999797E-2</v>
      </c>
      <c r="AH1961">
        <v>0.70041607214005197</v>
      </c>
      <c r="AI1961">
        <v>97.618029818644303</v>
      </c>
      <c r="AJ1961">
        <v>79.168696313898593</v>
      </c>
      <c r="AK1961">
        <v>0.71947064750221501</v>
      </c>
      <c r="AL1961">
        <v>82.626575975845697</v>
      </c>
      <c r="AM1961">
        <v>79.4869421754466</v>
      </c>
      <c r="AN1961">
        <v>0.99999994006020299</v>
      </c>
    </row>
    <row r="1962" spans="1:40" x14ac:dyDescent="0.25">
      <c r="A1962" t="str">
        <f>"20190312164027577"</f>
        <v>20190312164027577</v>
      </c>
      <c r="B1962" t="str">
        <f>"1552380027568477"</f>
        <v>1552380027568477</v>
      </c>
      <c r="C1962" t="s">
        <v>40</v>
      </c>
      <c r="D1962">
        <v>5.3252509999999997</v>
      </c>
      <c r="E1962">
        <v>0.50091739999999996</v>
      </c>
      <c r="F1962" t="s">
        <v>42</v>
      </c>
      <c r="G1962">
        <v>-206.1968</v>
      </c>
      <c r="H1962">
        <v>1.007585</v>
      </c>
      <c r="I1962">
        <v>284.88459999999998</v>
      </c>
      <c r="J1962">
        <v>-205.46639999999999</v>
      </c>
      <c r="K1962">
        <v>1.1056809999999999</v>
      </c>
      <c r="L1962">
        <v>284.86869999999999</v>
      </c>
      <c r="M1962">
        <v>-0.98564450000000003</v>
      </c>
      <c r="N1962">
        <v>0</v>
      </c>
      <c r="O1962">
        <v>-0.168521799999999</v>
      </c>
      <c r="P1962">
        <v>-0.99274980000000002</v>
      </c>
      <c r="Q1962">
        <v>0.1200396</v>
      </c>
      <c r="R1962">
        <v>6.2037209999999997E-3</v>
      </c>
      <c r="S1962">
        <v>-3.0629430000000002</v>
      </c>
      <c r="T1962">
        <v>-0.33868419999999999</v>
      </c>
      <c r="U1962">
        <v>-7.8430180000000002E-3</v>
      </c>
      <c r="V1962">
        <v>0.1748335</v>
      </c>
      <c r="W1962">
        <v>0.12817490000000001</v>
      </c>
      <c r="X1962">
        <v>0.97621950000000002</v>
      </c>
      <c r="Y1962">
        <v>0.1639872</v>
      </c>
      <c r="Z1962">
        <v>2.754935E-2</v>
      </c>
      <c r="AA1962">
        <v>0.98607769999999995</v>
      </c>
      <c r="AB1962">
        <v>18</v>
      </c>
      <c r="AC1962">
        <v>-0.73040000000000205</v>
      </c>
      <c r="AD1962">
        <v>-9.8095999999999905E-2</v>
      </c>
      <c r="AE1962">
        <v>1.5899999999987799E-2</v>
      </c>
      <c r="AF1962">
        <v>0.136309827465287</v>
      </c>
      <c r="AG1962">
        <v>-9.8095999999999905E-2</v>
      </c>
      <c r="AH1962">
        <v>0.70457021583077495</v>
      </c>
      <c r="AI1962">
        <v>97.783720088861799</v>
      </c>
      <c r="AJ1962">
        <v>79.050530831519694</v>
      </c>
      <c r="AK1962">
        <v>0.72430821016708202</v>
      </c>
      <c r="AL1962">
        <v>82.635860786483093</v>
      </c>
      <c r="AM1962">
        <v>79.846403521470094</v>
      </c>
      <c r="AN1962">
        <v>1.0000000349462499</v>
      </c>
    </row>
    <row r="1963" spans="1:40" x14ac:dyDescent="0.25">
      <c r="A1963" t="str">
        <f>"20190312164027588"</f>
        <v>20190312164027588</v>
      </c>
      <c r="B1963" t="str">
        <f>"1552380027578232"</f>
        <v>1552380027578232</v>
      </c>
      <c r="C1963" t="s">
        <v>40</v>
      </c>
      <c r="D1963">
        <v>5.5655250000000001</v>
      </c>
      <c r="E1963">
        <v>0.50094830000000001</v>
      </c>
      <c r="F1963" t="s">
        <v>42</v>
      </c>
      <c r="G1963">
        <v>-206.20339999999999</v>
      </c>
      <c r="H1963">
        <v>1.027531</v>
      </c>
      <c r="I1963">
        <v>284.86840000000001</v>
      </c>
      <c r="J1963">
        <v>-205.56010000000001</v>
      </c>
      <c r="K1963">
        <v>1.1056859999999999</v>
      </c>
      <c r="L1963">
        <v>284.85840000000002</v>
      </c>
      <c r="M1963">
        <v>-0.9864619</v>
      </c>
      <c r="N1963">
        <v>0</v>
      </c>
      <c r="O1963">
        <v>-0.16367399999999999</v>
      </c>
      <c r="P1963">
        <v>-0.99272780000000005</v>
      </c>
      <c r="Q1963">
        <v>0.12013219999999999</v>
      </c>
      <c r="R1963">
        <v>7.7280200000000004E-3</v>
      </c>
      <c r="S1963">
        <v>-3.0611269999999999</v>
      </c>
      <c r="T1963">
        <v>-0.32428400000000002</v>
      </c>
      <c r="U1963">
        <v>-1.2817379999999999E-3</v>
      </c>
      <c r="V1963">
        <v>0.1715206</v>
      </c>
      <c r="W1963">
        <v>0.1282325</v>
      </c>
      <c r="X1963">
        <v>0.97679939999999998</v>
      </c>
      <c r="Y1963">
        <v>0.161456399999999</v>
      </c>
      <c r="Z1963">
        <v>2.5760680000000001E-2</v>
      </c>
      <c r="AA1963">
        <v>0.98654359999999997</v>
      </c>
      <c r="AB1963">
        <v>18</v>
      </c>
      <c r="AC1963">
        <v>-0.643299999999982</v>
      </c>
      <c r="AD1963">
        <v>-7.8155000000000197E-2</v>
      </c>
      <c r="AE1963">
        <v>9.9999999999908998E-3</v>
      </c>
      <c r="AF1963">
        <v>0.113487407156194</v>
      </c>
      <c r="AG1963">
        <v>-7.8155000000000197E-2</v>
      </c>
      <c r="AH1963">
        <v>0.62378223160707302</v>
      </c>
      <c r="AI1963">
        <v>97.027321523265897</v>
      </c>
      <c r="AJ1963">
        <v>79.688711390706104</v>
      </c>
      <c r="AK1963">
        <v>0.63882068538576298</v>
      </c>
      <c r="AL1963">
        <v>82.632532675043095</v>
      </c>
      <c r="AM1963">
        <v>80.040707781425994</v>
      </c>
      <c r="AN1963">
        <v>0.99999997906048399</v>
      </c>
    </row>
    <row r="1964" spans="1:40" x14ac:dyDescent="0.25">
      <c r="A1964" t="str">
        <f>"20190312164027610"</f>
        <v>20190312164027610</v>
      </c>
      <c r="B1964" t="str">
        <f>"1552380027597752"</f>
        <v>1552380027597752</v>
      </c>
      <c r="C1964" t="s">
        <v>40</v>
      </c>
      <c r="D1964">
        <v>5.4105290000000004</v>
      </c>
      <c r="E1964">
        <v>0.50078180000000005</v>
      </c>
      <c r="F1964" t="s">
        <v>42</v>
      </c>
      <c r="G1964">
        <v>-206.36340000000001</v>
      </c>
      <c r="H1964">
        <v>1.0214110000000001</v>
      </c>
      <c r="I1964">
        <v>284.85950000000003</v>
      </c>
      <c r="J1964">
        <v>-205.73050000000001</v>
      </c>
      <c r="K1964">
        <v>1.1056839999999999</v>
      </c>
      <c r="L1964">
        <v>284.84059999999999</v>
      </c>
      <c r="M1964">
        <v>-0.98787639999999999</v>
      </c>
      <c r="N1964">
        <v>0</v>
      </c>
      <c r="O1964">
        <v>-0.15491839999999901</v>
      </c>
      <c r="P1964">
        <v>-0.9927049</v>
      </c>
      <c r="Q1964">
        <v>0.1201517</v>
      </c>
      <c r="R1964">
        <v>1.0032630000000001E-2</v>
      </c>
      <c r="S1964">
        <v>-3.060791</v>
      </c>
      <c r="T1964">
        <v>-0.3210018</v>
      </c>
      <c r="U1964">
        <v>4.1809079999999997E-3</v>
      </c>
      <c r="V1964">
        <v>0.1651019</v>
      </c>
      <c r="W1964">
        <v>0.1281872</v>
      </c>
      <c r="X1964">
        <v>0.97791079999999997</v>
      </c>
      <c r="Y1964">
        <v>0.1545832</v>
      </c>
      <c r="Z1964">
        <v>2.423842E-2</v>
      </c>
      <c r="AA1964">
        <v>0.98768239999999996</v>
      </c>
      <c r="AB1964">
        <v>18</v>
      </c>
      <c r="AC1964">
        <v>-0.63290000000000601</v>
      </c>
      <c r="AD1964">
        <v>-8.4273000000000001E-2</v>
      </c>
      <c r="AE1964">
        <v>1.89000000000305E-2</v>
      </c>
      <c r="AF1964">
        <v>0.114692901428869</v>
      </c>
      <c r="AG1964">
        <v>-8.4273000000000001E-2</v>
      </c>
      <c r="AH1964">
        <v>0.61149813923791796</v>
      </c>
      <c r="AI1964">
        <v>97.713883519907299</v>
      </c>
      <c r="AJ1964">
        <v>79.376995668500797</v>
      </c>
      <c r="AK1964">
        <v>0.62784263510740401</v>
      </c>
      <c r="AL1964">
        <v>82.635150403112902</v>
      </c>
      <c r="AM1964">
        <v>80.417050911523106</v>
      </c>
      <c r="AN1964">
        <v>1.0000000641920399</v>
      </c>
    </row>
    <row r="1965" spans="1:40" x14ac:dyDescent="0.25">
      <c r="A1965" t="str">
        <f>"20190312164027623"</f>
        <v>20190312164027623</v>
      </c>
      <c r="B1965" t="str">
        <f>"1552380027618248"</f>
        <v>1552380027618248</v>
      </c>
      <c r="C1965" t="s">
        <v>40</v>
      </c>
      <c r="D1965">
        <v>5.4244680000000001</v>
      </c>
      <c r="E1965">
        <v>0.50055229999999995</v>
      </c>
      <c r="F1965" t="s">
        <v>42</v>
      </c>
      <c r="G1965">
        <v>-206.52690000000001</v>
      </c>
      <c r="H1965">
        <v>1.024089</v>
      </c>
      <c r="I1965">
        <v>284.84320000000002</v>
      </c>
      <c r="J1965">
        <v>-205.83580000000001</v>
      </c>
      <c r="K1965">
        <v>1.1056820000000001</v>
      </c>
      <c r="L1965">
        <v>284.8304</v>
      </c>
      <c r="M1965">
        <v>-0.98870380000000002</v>
      </c>
      <c r="N1965">
        <v>0</v>
      </c>
      <c r="O1965">
        <v>-0.14955399999999999</v>
      </c>
      <c r="P1965">
        <v>-0.99264660000000005</v>
      </c>
      <c r="Q1965">
        <v>0.1204573</v>
      </c>
      <c r="R1965">
        <v>1.1959849999999999E-2</v>
      </c>
      <c r="S1965">
        <v>-3.05986</v>
      </c>
      <c r="T1965">
        <v>-0.31330079999999999</v>
      </c>
      <c r="U1965">
        <v>9.5214840000000002E-3</v>
      </c>
      <c r="V1965">
        <v>0.16167889999999999</v>
      </c>
      <c r="W1965">
        <v>0.1284401</v>
      </c>
      <c r="X1965">
        <v>0.97844929999999997</v>
      </c>
      <c r="Y1965">
        <v>0.15106989999999901</v>
      </c>
      <c r="Z1965">
        <v>2.2945170000000001E-2</v>
      </c>
      <c r="AA1965">
        <v>0.98825680000000005</v>
      </c>
      <c r="AB1965">
        <v>18</v>
      </c>
      <c r="AC1965">
        <v>-0.69110000000000504</v>
      </c>
      <c r="AD1965">
        <v>-8.1592999999999999E-2</v>
      </c>
      <c r="AE1965">
        <v>1.2800000000027E-2</v>
      </c>
      <c r="AF1965">
        <v>0.11442351159582199</v>
      </c>
      <c r="AG1965">
        <v>-8.1592999999999999E-2</v>
      </c>
      <c r="AH1965">
        <v>0.67204812763904398</v>
      </c>
      <c r="AI1965">
        <v>96.8250972922892</v>
      </c>
      <c r="AJ1965">
        <v>80.337427335954402</v>
      </c>
      <c r="AK1965">
        <v>0.68658491355262397</v>
      </c>
      <c r="AL1965">
        <v>82.620538892831206</v>
      </c>
      <c r="AM1965">
        <v>80.617232434231695</v>
      </c>
      <c r="AN1965">
        <v>0.99999997933185403</v>
      </c>
    </row>
    <row r="1966" spans="1:40" x14ac:dyDescent="0.25">
      <c r="A1966" t="str">
        <f>"20190312164027635"</f>
        <v>20190312164027635</v>
      </c>
      <c r="B1966" t="str">
        <f>"1552380027628008"</f>
        <v>1552380027628008</v>
      </c>
      <c r="C1966" t="s">
        <v>40</v>
      </c>
      <c r="D1966">
        <v>5.4081149999999996</v>
      </c>
      <c r="E1966">
        <v>0.5002759</v>
      </c>
      <c r="F1966" t="s">
        <v>42</v>
      </c>
      <c r="G1966">
        <v>-206.68780000000001</v>
      </c>
      <c r="H1966">
        <v>1.017835</v>
      </c>
      <c r="I1966">
        <v>284.83420000000001</v>
      </c>
      <c r="J1966">
        <v>-205.94540000000001</v>
      </c>
      <c r="K1966">
        <v>1.105683</v>
      </c>
      <c r="L1966">
        <v>284.8202</v>
      </c>
      <c r="M1966">
        <v>-0.98952859999999998</v>
      </c>
      <c r="N1966">
        <v>0</v>
      </c>
      <c r="O1966">
        <v>-0.14400270000000001</v>
      </c>
      <c r="P1966">
        <v>-0.99260839999999995</v>
      </c>
      <c r="Q1966">
        <v>0.12052599999999999</v>
      </c>
      <c r="R1966">
        <v>1.4215899999999899E-2</v>
      </c>
      <c r="S1966">
        <v>-3.0603180000000001</v>
      </c>
      <c r="T1966">
        <v>-0.31529590000000002</v>
      </c>
      <c r="U1966">
        <v>1.3610840000000001E-2</v>
      </c>
      <c r="V1966">
        <v>0.1584004</v>
      </c>
      <c r="W1966">
        <v>0.12844720000000001</v>
      </c>
      <c r="X1966">
        <v>0.97898450000000004</v>
      </c>
      <c r="Y1966">
        <v>0.14687339999999999</v>
      </c>
      <c r="Z1966">
        <v>2.2305950000000001E-2</v>
      </c>
      <c r="AA1966">
        <v>0.9889038</v>
      </c>
      <c r="AB1966">
        <v>18</v>
      </c>
      <c r="AC1966">
        <v>-0.74240000000000295</v>
      </c>
      <c r="AD1966">
        <v>-8.7847999999999898E-2</v>
      </c>
      <c r="AE1966">
        <v>1.4000000000009999E-2</v>
      </c>
      <c r="AF1966">
        <v>0.119099790468686</v>
      </c>
      <c r="AG1966">
        <v>-8.7847999999999898E-2</v>
      </c>
      <c r="AH1966">
        <v>0.72253205384805896</v>
      </c>
      <c r="AI1966">
        <v>96.840777775320305</v>
      </c>
      <c r="AJ1966">
        <v>80.639724255859207</v>
      </c>
      <c r="AK1966">
        <v>0.73753277895397995</v>
      </c>
      <c r="AL1966">
        <v>82.620128926888796</v>
      </c>
      <c r="AM1966">
        <v>80.809152923478095</v>
      </c>
      <c r="AN1966">
        <v>1.00000001057412</v>
      </c>
    </row>
    <row r="1967" spans="1:40" x14ac:dyDescent="0.25">
      <c r="A1967" t="str">
        <f>"20190312164027655"</f>
        <v>20190312164027655</v>
      </c>
      <c r="B1967" t="str">
        <f>"1552380027648505"</f>
        <v>1552380027648505</v>
      </c>
      <c r="C1967" t="s">
        <v>40</v>
      </c>
      <c r="D1967">
        <v>5.8558919999999999</v>
      </c>
      <c r="E1967">
        <v>0.49982510000000002</v>
      </c>
      <c r="F1967" t="s">
        <v>42</v>
      </c>
      <c r="G1967">
        <v>-206.69130000000001</v>
      </c>
      <c r="H1967">
        <v>1.02832099999999</v>
      </c>
      <c r="I1967">
        <v>284.82459999999998</v>
      </c>
      <c r="J1967">
        <v>-206.10319999999999</v>
      </c>
      <c r="K1967">
        <v>1.105675</v>
      </c>
      <c r="L1967">
        <v>284.8066</v>
      </c>
      <c r="M1967">
        <v>-0.99064929999999995</v>
      </c>
      <c r="N1967">
        <v>0</v>
      </c>
      <c r="O1967">
        <v>-0.13609180000000001</v>
      </c>
      <c r="P1967">
        <v>-0.99258049999999998</v>
      </c>
      <c r="Q1967">
        <v>0.1206266</v>
      </c>
      <c r="R1967">
        <v>1.527777E-2</v>
      </c>
      <c r="S1967">
        <v>-3.0605929999999999</v>
      </c>
      <c r="T1967">
        <v>-0.31721539999999998</v>
      </c>
      <c r="U1967">
        <v>1.800537E-2</v>
      </c>
      <c r="V1967">
        <v>0.15160670000000001</v>
      </c>
      <c r="W1967">
        <v>0.12847990000000001</v>
      </c>
      <c r="X1967">
        <v>0.98005529999999996</v>
      </c>
      <c r="Y1967">
        <v>0.1404456</v>
      </c>
      <c r="Z1967">
        <v>2.1295290000000001E-2</v>
      </c>
      <c r="AA1967">
        <v>0.9898593</v>
      </c>
      <c r="AB1967">
        <v>18</v>
      </c>
      <c r="AC1967">
        <v>-0.58810000000002505</v>
      </c>
      <c r="AD1967">
        <v>-7.7354000000000103E-2</v>
      </c>
      <c r="AE1967">
        <v>1.7999999999972201E-2</v>
      </c>
      <c r="AF1967">
        <v>9.6208903735385501E-2</v>
      </c>
      <c r="AG1967">
        <v>-7.7354000000000103E-2</v>
      </c>
      <c r="AH1967">
        <v>0.57032047795001495</v>
      </c>
      <c r="AI1967">
        <v>97.617697932928294</v>
      </c>
      <c r="AJ1967">
        <v>80.424769018540502</v>
      </c>
      <c r="AK1967">
        <v>0.58352827013187503</v>
      </c>
      <c r="AL1967">
        <v>82.618239872324395</v>
      </c>
      <c r="AM1967">
        <v>81.206501718425301</v>
      </c>
      <c r="AN1967">
        <v>1.00000003362349</v>
      </c>
    </row>
    <row r="1968" spans="1:40" x14ac:dyDescent="0.25">
      <c r="A1968" t="str">
        <f>"20190312164027668"</f>
        <v>20190312164027668</v>
      </c>
      <c r="B1968" t="str">
        <f>"1552380027658264"</f>
        <v>1552380027658264</v>
      </c>
      <c r="C1968" t="s">
        <v>40</v>
      </c>
      <c r="D1968">
        <v>5.514418</v>
      </c>
      <c r="E1968">
        <v>0.49965720000000002</v>
      </c>
      <c r="F1968" t="s">
        <v>42</v>
      </c>
      <c r="G1968">
        <v>-206.8561</v>
      </c>
      <c r="H1968">
        <v>1.0303150000000001</v>
      </c>
      <c r="I1968">
        <v>284.81130000000002</v>
      </c>
      <c r="J1968">
        <v>-206.2064</v>
      </c>
      <c r="K1968">
        <v>1.105664</v>
      </c>
      <c r="L1968">
        <v>284.79840000000002</v>
      </c>
      <c r="M1968">
        <v>-0.99134109999999998</v>
      </c>
      <c r="N1968">
        <v>0</v>
      </c>
      <c r="O1968">
        <v>-0.1309652</v>
      </c>
      <c r="P1968">
        <v>-0.99257620000000002</v>
      </c>
      <c r="Q1968">
        <v>0.1204607</v>
      </c>
      <c r="R1968">
        <v>1.678412E-2</v>
      </c>
      <c r="S1968">
        <v>-3.0593110000000001</v>
      </c>
      <c r="T1968">
        <v>-0.30585580000000001</v>
      </c>
      <c r="U1968">
        <v>1.876831E-2</v>
      </c>
      <c r="V1968">
        <v>0.14801589999999901</v>
      </c>
      <c r="W1968">
        <v>0.1282557</v>
      </c>
      <c r="X1968">
        <v>0.98063339999999999</v>
      </c>
      <c r="Y1968">
        <v>0.1357236</v>
      </c>
      <c r="Z1968">
        <v>1.9801780000000001E-2</v>
      </c>
      <c r="AA1968">
        <v>0.99054880000000001</v>
      </c>
      <c r="AB1968">
        <v>18</v>
      </c>
      <c r="AC1968">
        <v>-0.64969999999999495</v>
      </c>
      <c r="AD1968">
        <v>-7.5349000000000096E-2</v>
      </c>
      <c r="AE1968">
        <v>1.29000000000019E-2</v>
      </c>
      <c r="AF1968">
        <v>9.6582300509583496E-2</v>
      </c>
      <c r="AG1968">
        <v>-7.5349000000000096E-2</v>
      </c>
      <c r="AH1968">
        <v>0.63389145579990902</v>
      </c>
      <c r="AI1968">
        <v>96.702157642426599</v>
      </c>
      <c r="AJ1968">
        <v>81.336808285366104</v>
      </c>
      <c r="AK1968">
        <v>0.64561907523620399</v>
      </c>
      <c r="AL1968">
        <v>82.631192857754002</v>
      </c>
      <c r="AM1968">
        <v>81.416620496177899</v>
      </c>
      <c r="AN1968">
        <v>1.0000000482154201</v>
      </c>
    </row>
    <row r="1969" spans="1:40" x14ac:dyDescent="0.25">
      <c r="A1969" t="str">
        <f>"20190312164027681"</f>
        <v>20190312164027681</v>
      </c>
      <c r="B1969" t="str">
        <f>"1552380027677784"</f>
        <v>1552380027677784</v>
      </c>
      <c r="C1969" t="s">
        <v>40</v>
      </c>
      <c r="D1969">
        <v>5.3311900000000003</v>
      </c>
      <c r="E1969">
        <v>0.49934519999999999</v>
      </c>
      <c r="F1969" t="s">
        <v>42</v>
      </c>
      <c r="G1969">
        <v>-207.01920000000001</v>
      </c>
      <c r="H1969">
        <v>1.025352</v>
      </c>
      <c r="I1969">
        <v>284.80450000000002</v>
      </c>
      <c r="J1969">
        <v>-206.31399999999999</v>
      </c>
      <c r="K1969">
        <v>1.1056549999999901</v>
      </c>
      <c r="L1969">
        <v>284.79020000000003</v>
      </c>
      <c r="M1969">
        <v>-0.992031</v>
      </c>
      <c r="N1969">
        <v>0</v>
      </c>
      <c r="O1969">
        <v>-0.12564110000000001</v>
      </c>
      <c r="P1969">
        <v>-0.99257810000000002</v>
      </c>
      <c r="Q1969">
        <v>0.12024219999999999</v>
      </c>
      <c r="R1969">
        <v>1.8188280000000001E-2</v>
      </c>
      <c r="S1969">
        <v>-3.0587460000000002</v>
      </c>
      <c r="T1969">
        <v>-0.3022957</v>
      </c>
      <c r="U1969">
        <v>2.2949219999999999E-2</v>
      </c>
      <c r="V1969">
        <v>0.14412990000000001</v>
      </c>
      <c r="W1969">
        <v>0.1279767</v>
      </c>
      <c r="X1969">
        <v>0.98124840000000002</v>
      </c>
      <c r="Y1969">
        <v>0.13183410000000001</v>
      </c>
      <c r="Z1969">
        <v>1.8862710000000001E-2</v>
      </c>
      <c r="AA1969">
        <v>0.99109230000000004</v>
      </c>
      <c r="AB1969">
        <v>18</v>
      </c>
      <c r="AC1969">
        <v>-0.70519999999998995</v>
      </c>
      <c r="AD1969">
        <v>-8.0302999999999694E-2</v>
      </c>
      <c r="AE1969">
        <v>1.42999999999915E-2</v>
      </c>
      <c r="AF1969">
        <v>0.101477396778736</v>
      </c>
      <c r="AG1969">
        <v>-8.0302999999999694E-2</v>
      </c>
      <c r="AH1969">
        <v>0.68888548566281405</v>
      </c>
      <c r="AI1969">
        <v>96.578569846998903</v>
      </c>
      <c r="AJ1969">
        <v>81.620216872276202</v>
      </c>
      <c r="AK1969">
        <v>0.70093469469193803</v>
      </c>
      <c r="AL1969">
        <v>82.647310431482794</v>
      </c>
      <c r="AM1969">
        <v>81.643906731626302</v>
      </c>
      <c r="AN1969">
        <v>0.99999994315972796</v>
      </c>
    </row>
    <row r="1970" spans="1:40" x14ac:dyDescent="0.25">
      <c r="A1970" t="str">
        <f>"20190312164027702"</f>
        <v>20190312164027702</v>
      </c>
      <c r="B1970" t="str">
        <f>"1552380027698281"</f>
        <v>1552380027698281</v>
      </c>
      <c r="C1970" t="s">
        <v>40</v>
      </c>
      <c r="D1970">
        <v>5.4057870000000001</v>
      </c>
      <c r="E1970">
        <v>0.49916490000000002</v>
      </c>
      <c r="F1970" t="s">
        <v>42</v>
      </c>
      <c r="G1970">
        <v>-207.1824</v>
      </c>
      <c r="H1970">
        <v>1.019514</v>
      </c>
      <c r="I1970">
        <v>284.79750000000001</v>
      </c>
      <c r="J1970">
        <v>-206.48660000000001</v>
      </c>
      <c r="K1970">
        <v>1.1056429999999999</v>
      </c>
      <c r="L1970">
        <v>284.77839999999998</v>
      </c>
      <c r="M1970">
        <v>-0.99306539999999999</v>
      </c>
      <c r="N1970">
        <v>0</v>
      </c>
      <c r="O1970">
        <v>-0.11719789999999999</v>
      </c>
      <c r="P1970">
        <v>-0.99257550000000005</v>
      </c>
      <c r="Q1970">
        <v>0.12016010000000001</v>
      </c>
      <c r="R1970">
        <v>1.8854119999999999E-2</v>
      </c>
      <c r="S1970">
        <v>-3.0586700000000002</v>
      </c>
      <c r="T1970">
        <v>-0.30304049999999999</v>
      </c>
      <c r="U1970">
        <v>2.4932860000000001E-2</v>
      </c>
      <c r="V1970">
        <v>0.1364223</v>
      </c>
      <c r="W1970">
        <v>0.12781400000000001</v>
      </c>
      <c r="X1970">
        <v>0.98237090000000005</v>
      </c>
      <c r="Y1970">
        <v>0.1241144</v>
      </c>
      <c r="Z1970">
        <v>1.769801E-2</v>
      </c>
      <c r="AA1970">
        <v>0.99211009999999999</v>
      </c>
      <c r="AB1970">
        <v>18</v>
      </c>
      <c r="AC1970">
        <v>-0.69579999999999098</v>
      </c>
      <c r="AD1970">
        <v>-8.61289999999999E-2</v>
      </c>
      <c r="AE1970">
        <v>1.9100000000037198E-2</v>
      </c>
      <c r="AF1970">
        <v>9.9002336208110997E-2</v>
      </c>
      <c r="AG1970">
        <v>-8.61289999999999E-2</v>
      </c>
      <c r="AH1970">
        <v>0.678379313229586</v>
      </c>
      <c r="AI1970">
        <v>97.160671051622998</v>
      </c>
      <c r="AJ1970">
        <v>81.696899022068294</v>
      </c>
      <c r="AK1970">
        <v>0.69095452805051405</v>
      </c>
      <c r="AL1970">
        <v>82.656710240612895</v>
      </c>
      <c r="AM1970">
        <v>82.093873144101593</v>
      </c>
      <c r="AN1970">
        <v>1.0000000238500499</v>
      </c>
    </row>
    <row r="1971" spans="1:40" x14ac:dyDescent="0.25">
      <c r="A1971" t="str">
        <f>"20190312164027725"</f>
        <v>20190312164027725</v>
      </c>
      <c r="B1971" t="str">
        <f>"1552380027717801"</f>
        <v>1552380027717801</v>
      </c>
      <c r="C1971" t="s">
        <v>40</v>
      </c>
      <c r="D1971">
        <v>5.4304540000000001</v>
      </c>
      <c r="E1971">
        <v>0.49915320000000002</v>
      </c>
      <c r="F1971" t="s">
        <v>42</v>
      </c>
      <c r="G1971">
        <v>-207.3486</v>
      </c>
      <c r="H1971">
        <v>1.019755</v>
      </c>
      <c r="I1971">
        <v>284.78570000000002</v>
      </c>
      <c r="J1971">
        <v>-206.68279999999999</v>
      </c>
      <c r="K1971">
        <v>1.105631</v>
      </c>
      <c r="L1971">
        <v>284.76650000000001</v>
      </c>
      <c r="M1971">
        <v>-0.99414130000000001</v>
      </c>
      <c r="N1971">
        <v>0</v>
      </c>
      <c r="O1971">
        <v>-0.1077095</v>
      </c>
      <c r="P1971">
        <v>-0.99238570000000004</v>
      </c>
      <c r="Q1971">
        <v>0.1214595</v>
      </c>
      <c r="R1971">
        <v>2.045746E-2</v>
      </c>
      <c r="S1971">
        <v>-3.0588069999999998</v>
      </c>
      <c r="T1971">
        <v>-0.30457499999999998</v>
      </c>
      <c r="U1971">
        <v>2.581787E-2</v>
      </c>
      <c r="V1971">
        <v>0.12860450000000001</v>
      </c>
      <c r="W1971">
        <v>0.1290114</v>
      </c>
      <c r="X1971">
        <v>0.98326849999999999</v>
      </c>
      <c r="Y1971">
        <v>0.1150012</v>
      </c>
      <c r="Z1971">
        <v>1.639562E-2</v>
      </c>
      <c r="AA1971">
        <v>0.99322999999999995</v>
      </c>
      <c r="AB1971">
        <v>18</v>
      </c>
      <c r="AC1971">
        <v>-0.66580000000001804</v>
      </c>
      <c r="AD1971">
        <v>-8.5875999999999994E-2</v>
      </c>
      <c r="AE1971">
        <v>1.9200000000011999E-2</v>
      </c>
      <c r="AF1971">
        <v>8.9319500380802899E-2</v>
      </c>
      <c r="AG1971">
        <v>-8.5875999999999994E-2</v>
      </c>
      <c r="AH1971">
        <v>0.64906910538961105</v>
      </c>
      <c r="AI1971">
        <v>97.467257920928006</v>
      </c>
      <c r="AJ1971">
        <v>82.164642627514198</v>
      </c>
      <c r="AK1971">
        <v>0.66078995459642598</v>
      </c>
      <c r="AL1971">
        <v>82.587531357364199</v>
      </c>
      <c r="AM1971">
        <v>82.548419800436506</v>
      </c>
      <c r="AN1971">
        <v>1.00000000092123</v>
      </c>
    </row>
    <row r="1972" spans="1:40" x14ac:dyDescent="0.25">
      <c r="A1972" t="str">
        <f>"20190312164027744"</f>
        <v>20190312164027744</v>
      </c>
      <c r="B1972" t="str">
        <f>"1552380027738297"</f>
        <v>1552380027738297</v>
      </c>
      <c r="C1972" t="s">
        <v>40</v>
      </c>
      <c r="D1972">
        <v>5.2865029999999997</v>
      </c>
      <c r="E1972">
        <v>0.49879849999999998</v>
      </c>
      <c r="F1972" t="s">
        <v>42</v>
      </c>
      <c r="G1972">
        <v>-207.51730000000001</v>
      </c>
      <c r="H1972">
        <v>1.0234760000000001</v>
      </c>
      <c r="I1972">
        <v>284.77480000000003</v>
      </c>
      <c r="J1972">
        <v>-206.84460000000001</v>
      </c>
      <c r="K1972">
        <v>1.1056299999999999</v>
      </c>
      <c r="L1972">
        <v>284.75810000000001</v>
      </c>
      <c r="M1972">
        <v>-0.99495</v>
      </c>
      <c r="N1972">
        <v>0</v>
      </c>
      <c r="O1972">
        <v>-9.9978259999999999E-2</v>
      </c>
      <c r="P1972">
        <v>-0.99225180000000002</v>
      </c>
      <c r="Q1972">
        <v>0.1226874</v>
      </c>
      <c r="R1972">
        <v>1.9602950000000001E-2</v>
      </c>
      <c r="S1972">
        <v>-3.0592649999999999</v>
      </c>
      <c r="T1972">
        <v>-0.30099389999999998</v>
      </c>
      <c r="U1972">
        <v>2.9815669999999999E-2</v>
      </c>
      <c r="V1972">
        <v>0.12009209999999999</v>
      </c>
      <c r="W1972">
        <v>0.13018440000000001</v>
      </c>
      <c r="X1972">
        <v>0.98419000000000001</v>
      </c>
      <c r="Y1972">
        <v>0.10866779999999999</v>
      </c>
      <c r="Z1972">
        <v>1.5134720000000001E-2</v>
      </c>
      <c r="AA1972">
        <v>0.99396289999999998</v>
      </c>
      <c r="AB1972">
        <v>18</v>
      </c>
      <c r="AC1972">
        <v>-0.67269999999999097</v>
      </c>
      <c r="AD1972">
        <v>-8.2153999999999797E-2</v>
      </c>
      <c r="AE1972">
        <v>1.6700000000014301E-2</v>
      </c>
      <c r="AF1972">
        <v>8.2642517776472996E-2</v>
      </c>
      <c r="AG1972">
        <v>-8.2153999999999797E-2</v>
      </c>
      <c r="AH1972">
        <v>0.65785389793300497</v>
      </c>
      <c r="AI1972">
        <v>97.063399895991594</v>
      </c>
      <c r="AJ1972">
        <v>82.839759849724203</v>
      </c>
      <c r="AK1972">
        <v>0.66809491577625701</v>
      </c>
      <c r="AL1972">
        <v>82.519751962192601</v>
      </c>
      <c r="AM1972">
        <v>83.0430885708044</v>
      </c>
      <c r="AN1972">
        <v>1.0000000232928801</v>
      </c>
    </row>
    <row r="1973" spans="1:40" x14ac:dyDescent="0.25">
      <c r="A1973" t="str">
        <f>"20190312164027767"</f>
        <v>20190312164027767</v>
      </c>
      <c r="B1973" t="str">
        <f>"1552380027757816"</f>
        <v>1552380027757816</v>
      </c>
      <c r="C1973" t="s">
        <v>40</v>
      </c>
      <c r="D1973">
        <v>5.2976199999999896</v>
      </c>
      <c r="E1973">
        <v>0.49868200000000001</v>
      </c>
      <c r="F1973" t="s">
        <v>42</v>
      </c>
      <c r="G1973">
        <v>-207.68530000000001</v>
      </c>
      <c r="H1973">
        <v>1.0239020000000001</v>
      </c>
      <c r="I1973">
        <v>284.76479999999998</v>
      </c>
      <c r="J1973">
        <v>-207.0394</v>
      </c>
      <c r="K1973">
        <v>1.1056379999999999</v>
      </c>
      <c r="L1973">
        <v>284.74939999999998</v>
      </c>
      <c r="M1973">
        <v>-0.99583169999999999</v>
      </c>
      <c r="N1973">
        <v>0</v>
      </c>
      <c r="O1973">
        <v>-9.0792139999999993E-2</v>
      </c>
      <c r="P1973">
        <v>-0.99224809999999997</v>
      </c>
      <c r="Q1973">
        <v>0.1226975</v>
      </c>
      <c r="R1973">
        <v>1.9720789999999998E-2</v>
      </c>
      <c r="S1973">
        <v>-3.0596920000000001</v>
      </c>
      <c r="T1973">
        <v>-0.29716910000000002</v>
      </c>
      <c r="U1973">
        <v>2.4566649999999999E-2</v>
      </c>
      <c r="V1973">
        <v>0.1111019</v>
      </c>
      <c r="W1973">
        <v>0.13012580000000001</v>
      </c>
      <c r="X1973">
        <v>0.98525309999999999</v>
      </c>
      <c r="Y1973">
        <v>9.7901249999999995E-2</v>
      </c>
      <c r="Z1973">
        <v>1.3532290000000001E-2</v>
      </c>
      <c r="AA1973">
        <v>0.99510410000000005</v>
      </c>
      <c r="AB1973">
        <v>18</v>
      </c>
      <c r="AC1973">
        <v>-0.64590000000001102</v>
      </c>
      <c r="AD1973">
        <v>-8.1735999999999795E-2</v>
      </c>
      <c r="AE1973">
        <v>1.53999999999996E-2</v>
      </c>
      <c r="AF1973">
        <v>7.2815862248815894E-2</v>
      </c>
      <c r="AG1973">
        <v>-8.1735999999999795E-2</v>
      </c>
      <c r="AH1973">
        <v>0.63172330547482103</v>
      </c>
      <c r="AI1973">
        <v>97.324337246451606</v>
      </c>
      <c r="AJ1973">
        <v>83.424794193721198</v>
      </c>
      <c r="AK1973">
        <v>0.64113747213142303</v>
      </c>
      <c r="AL1973">
        <v>82.523138226803397</v>
      </c>
      <c r="AM1973">
        <v>83.566229614911904</v>
      </c>
      <c r="AN1973">
        <v>1.00000001353443</v>
      </c>
    </row>
    <row r="1974" spans="1:40" x14ac:dyDescent="0.25">
      <c r="A1974" t="str">
        <f>"20190312164027780"</f>
        <v>20190312164027780</v>
      </c>
      <c r="B1974" t="str">
        <f>"1552380027768553"</f>
        <v>1552380027768553</v>
      </c>
      <c r="C1974" t="s">
        <v>40</v>
      </c>
      <c r="D1974">
        <v>5.403009</v>
      </c>
      <c r="E1974">
        <v>0.49874560000000001</v>
      </c>
      <c r="F1974" t="s">
        <v>42</v>
      </c>
      <c r="G1974">
        <v>-207.85499999999999</v>
      </c>
      <c r="H1974">
        <v>1.0259259999999999</v>
      </c>
      <c r="I1974">
        <v>284.75630000000001</v>
      </c>
      <c r="J1974">
        <v>-207.14830000000001</v>
      </c>
      <c r="K1974">
        <v>1.1056459999999999</v>
      </c>
      <c r="L1974">
        <v>284.74509999999998</v>
      </c>
      <c r="M1974">
        <v>-0.996282</v>
      </c>
      <c r="N1974">
        <v>0</v>
      </c>
      <c r="O1974">
        <v>-8.5719550000000005E-2</v>
      </c>
      <c r="P1974">
        <v>-0.9922879</v>
      </c>
      <c r="Q1974">
        <v>0.1222563</v>
      </c>
      <c r="R1974">
        <v>2.0448939999999999E-2</v>
      </c>
      <c r="S1974">
        <v>-3.05986</v>
      </c>
      <c r="T1974">
        <v>-0.29860340000000002</v>
      </c>
      <c r="U1974">
        <v>2.554321E-2</v>
      </c>
      <c r="V1974">
        <v>0.1067946</v>
      </c>
      <c r="W1974">
        <v>0.1296426</v>
      </c>
      <c r="X1974">
        <v>0.98579289999999997</v>
      </c>
      <c r="Y1974">
        <v>9.3187320000000004E-2</v>
      </c>
      <c r="Z1974">
        <v>1.287461E-2</v>
      </c>
      <c r="AA1974">
        <v>0.99556540000000004</v>
      </c>
      <c r="AB1974">
        <v>19</v>
      </c>
      <c r="AC1974">
        <v>-0.70669999999998301</v>
      </c>
      <c r="AD1974">
        <v>-7.9719999999999694E-2</v>
      </c>
      <c r="AE1974">
        <v>1.1200000000030699E-2</v>
      </c>
      <c r="AF1974">
        <v>7.0837832031310902E-2</v>
      </c>
      <c r="AG1974">
        <v>-7.9719999999999694E-2</v>
      </c>
      <c r="AH1974">
        <v>0.69430561018267101</v>
      </c>
      <c r="AI1974">
        <v>96.516468196175794</v>
      </c>
      <c r="AJ1974">
        <v>84.174448492382595</v>
      </c>
      <c r="AK1974">
        <v>0.70244825943127498</v>
      </c>
      <c r="AL1974">
        <v>82.551059712514999</v>
      </c>
      <c r="AM1974">
        <v>83.8170486264207</v>
      </c>
      <c r="AN1974">
        <v>0.99999996600716401</v>
      </c>
    </row>
    <row r="1975" spans="1:40" x14ac:dyDescent="0.25">
      <c r="A1975" t="str">
        <f>"20190312164027791"</f>
        <v>20190312164027791</v>
      </c>
      <c r="B1975" t="str">
        <f>"1552380027788072"</f>
        <v>1552380027788072</v>
      </c>
      <c r="C1975" t="s">
        <v>40</v>
      </c>
      <c r="D1975">
        <v>5.4003839999999999</v>
      </c>
      <c r="E1975">
        <v>0.49885299999999999</v>
      </c>
      <c r="F1975" t="s">
        <v>42</v>
      </c>
      <c r="G1975">
        <v>-208.02199999999999</v>
      </c>
      <c r="H1975">
        <v>1.0198510000000001</v>
      </c>
      <c r="I1975">
        <v>284.75319999999999</v>
      </c>
      <c r="J1975">
        <v>-207.25299999999999</v>
      </c>
      <c r="K1975">
        <v>1.1056569999999999</v>
      </c>
      <c r="L1975">
        <v>284.74160000000001</v>
      </c>
      <c r="M1975">
        <v>-0.99668469999999998</v>
      </c>
      <c r="N1975">
        <v>0</v>
      </c>
      <c r="O1975">
        <v>-8.0915500000000001E-2</v>
      </c>
      <c r="P1975">
        <v>-0.99227719999999997</v>
      </c>
      <c r="Q1975">
        <v>0.1222181</v>
      </c>
      <c r="R1975">
        <v>2.118892E-2</v>
      </c>
      <c r="S1975">
        <v>-3.0597530000000002</v>
      </c>
      <c r="T1975">
        <v>-0.3003865</v>
      </c>
      <c r="U1975">
        <v>2.862549E-2</v>
      </c>
      <c r="V1975">
        <v>0.1027627</v>
      </c>
      <c r="W1975">
        <v>0.1295646</v>
      </c>
      <c r="X1975">
        <v>0.98623159999999999</v>
      </c>
      <c r="Y1975">
        <v>8.9420940000000004E-2</v>
      </c>
      <c r="Z1975">
        <v>1.2297809999999999E-2</v>
      </c>
      <c r="AA1975">
        <v>0.99591799999999997</v>
      </c>
      <c r="AB1975">
        <v>19</v>
      </c>
      <c r="AC1975">
        <v>-0.76900000000003299</v>
      </c>
      <c r="AD1975">
        <v>-8.5805999999999799E-2</v>
      </c>
      <c r="AE1975">
        <v>1.15999999999871E-2</v>
      </c>
      <c r="AF1975">
        <v>7.28810389053208E-2</v>
      </c>
      <c r="AG1975">
        <v>-8.5805999999999799E-2</v>
      </c>
      <c r="AH1975">
        <v>0.75612765012278005</v>
      </c>
      <c r="AI1975">
        <v>96.444661407089697</v>
      </c>
      <c r="AJ1975">
        <v>84.494427138640702</v>
      </c>
      <c r="AK1975">
        <v>0.76446277786960704</v>
      </c>
      <c r="AL1975">
        <v>82.555566777675097</v>
      </c>
      <c r="AM1975">
        <v>84.051398900874503</v>
      </c>
      <c r="AN1975">
        <v>0.99999996346150399</v>
      </c>
    </row>
    <row r="1976" spans="1:40" x14ac:dyDescent="0.25">
      <c r="A1976" t="str">
        <f>"20190312164027812"</f>
        <v>20190312164027812</v>
      </c>
      <c r="B1976" t="str">
        <f>"1552380027808568"</f>
        <v>1552380027808568</v>
      </c>
      <c r="C1976" t="s">
        <v>40</v>
      </c>
      <c r="D1976">
        <v>5.3931190000000004</v>
      </c>
      <c r="E1976">
        <v>0.4987721</v>
      </c>
      <c r="F1976" t="s">
        <v>42</v>
      </c>
      <c r="G1976">
        <v>-208.0265</v>
      </c>
      <c r="H1976">
        <v>1.029752</v>
      </c>
      <c r="I1976">
        <v>284.74950000000001</v>
      </c>
      <c r="J1976">
        <v>-207.41820000000001</v>
      </c>
      <c r="K1976">
        <v>1.105688</v>
      </c>
      <c r="L1976">
        <v>284.73689999999999</v>
      </c>
      <c r="M1976">
        <v>-0.99726400000000004</v>
      </c>
      <c r="N1976">
        <v>0</v>
      </c>
      <c r="O1976">
        <v>-7.3446940000000002E-2</v>
      </c>
      <c r="P1976">
        <v>-0.99224129999999999</v>
      </c>
      <c r="Q1976">
        <v>0.12253509999999999</v>
      </c>
      <c r="R1976">
        <v>2.1030750000000001E-2</v>
      </c>
      <c r="S1976">
        <v>-3.0596770000000002</v>
      </c>
      <c r="T1976">
        <v>-0.3001702</v>
      </c>
      <c r="U1976">
        <v>3.0975340000000001E-2</v>
      </c>
      <c r="V1976">
        <v>9.5187530000000006E-2</v>
      </c>
      <c r="W1976">
        <v>0.12983649999999999</v>
      </c>
      <c r="X1976">
        <v>0.98695580000000005</v>
      </c>
      <c r="Y1976">
        <v>8.2791950000000003E-2</v>
      </c>
      <c r="Z1976">
        <v>1.1235469999999999E-2</v>
      </c>
      <c r="AA1976">
        <v>0.99650349999999999</v>
      </c>
      <c r="AB1976">
        <v>19</v>
      </c>
      <c r="AC1976">
        <v>-0.60829999999998496</v>
      </c>
      <c r="AD1976">
        <v>-7.5936000000000003E-2</v>
      </c>
      <c r="AE1976">
        <v>1.26000000000203E-2</v>
      </c>
      <c r="AF1976">
        <v>5.6367292905654703E-2</v>
      </c>
      <c r="AG1976">
        <v>-7.5936000000000003E-2</v>
      </c>
      <c r="AH1976">
        <v>0.59644093940114196</v>
      </c>
      <c r="AI1976">
        <v>97.223744452493605</v>
      </c>
      <c r="AJ1976">
        <v>84.601235428222097</v>
      </c>
      <c r="AK1976">
        <v>0.60389182971723399</v>
      </c>
      <c r="AL1976">
        <v>82.539855369024707</v>
      </c>
      <c r="AM1976">
        <v>84.491113597872697</v>
      </c>
      <c r="AN1976">
        <v>0.99999996687669501</v>
      </c>
    </row>
    <row r="1977" spans="1:40" x14ac:dyDescent="0.25">
      <c r="A1977" t="str">
        <f>"20190312164027833"</f>
        <v>20190312164027833</v>
      </c>
      <c r="B1977" t="str">
        <f>"1552380027828089"</f>
        <v>1552380027828089</v>
      </c>
      <c r="C1977" t="s">
        <v>40</v>
      </c>
      <c r="D1977">
        <v>5.4031929999999999</v>
      </c>
      <c r="E1977">
        <v>0.49879400000000002</v>
      </c>
      <c r="F1977" t="s">
        <v>42</v>
      </c>
      <c r="G1977">
        <v>-208.1968</v>
      </c>
      <c r="H1977">
        <v>1.0293490000000001</v>
      </c>
      <c r="I1977">
        <v>284.7441</v>
      </c>
      <c r="J1977">
        <v>-207.6053</v>
      </c>
      <c r="K1977">
        <v>1.1057629999999901</v>
      </c>
      <c r="L1977">
        <v>284.7328</v>
      </c>
      <c r="M1977">
        <v>-0.99783829999999996</v>
      </c>
      <c r="N1977">
        <v>0</v>
      </c>
      <c r="O1977">
        <v>-6.5201270000000006E-2</v>
      </c>
      <c r="P1977">
        <v>-0.99230320000000005</v>
      </c>
      <c r="Q1977">
        <v>0.1220888</v>
      </c>
      <c r="R1977">
        <v>2.0704159999999999E-2</v>
      </c>
      <c r="S1977">
        <v>-3.0598749999999999</v>
      </c>
      <c r="T1977">
        <v>-0.29972369999999998</v>
      </c>
      <c r="U1977">
        <v>2.792358E-2</v>
      </c>
      <c r="V1977">
        <v>8.6659650000000005E-2</v>
      </c>
      <c r="W1977">
        <v>0.12934989999999999</v>
      </c>
      <c r="X1977">
        <v>0.98780500000000004</v>
      </c>
      <c r="Y1977">
        <v>7.3642470000000002E-2</v>
      </c>
      <c r="Z1977">
        <v>9.9666270000000005E-3</v>
      </c>
      <c r="AA1977">
        <v>0.99723490000000004</v>
      </c>
      <c r="AB1977">
        <v>19</v>
      </c>
      <c r="AC1977">
        <v>-0.59149999999999603</v>
      </c>
      <c r="AD1977">
        <v>-7.6413999999999704E-2</v>
      </c>
      <c r="AE1977">
        <v>1.1300000000005601E-2</v>
      </c>
      <c r="AF1977">
        <v>4.9025900626838301E-2</v>
      </c>
      <c r="AG1977">
        <v>-7.6413999999999704E-2</v>
      </c>
      <c r="AH1977">
        <v>0.57983107718047699</v>
      </c>
      <c r="AI1977">
        <v>97.481165730728605</v>
      </c>
      <c r="AJ1977">
        <v>85.167020132572304</v>
      </c>
      <c r="AK1977">
        <v>0.58689583095515796</v>
      </c>
      <c r="AL1977">
        <v>82.567972885705004</v>
      </c>
      <c r="AM1977">
        <v>84.986305543642402</v>
      </c>
      <c r="AN1977">
        <v>1.00000000479656</v>
      </c>
    </row>
    <row r="1978" spans="1:40" x14ac:dyDescent="0.25">
      <c r="A1978" t="str">
        <f>"20190312164027846"</f>
        <v>20190312164027846</v>
      </c>
      <c r="B1978" t="str">
        <f>"1552380027837849"</f>
        <v>1552380027837849</v>
      </c>
      <c r="C1978" t="s">
        <v>40</v>
      </c>
      <c r="D1978">
        <v>5.2756379999999998</v>
      </c>
      <c r="E1978">
        <v>0.49869809999999998</v>
      </c>
      <c r="F1978" t="s">
        <v>42</v>
      </c>
      <c r="G1978">
        <v>-208.36869999999999</v>
      </c>
      <c r="H1978">
        <v>1.0304180000000001</v>
      </c>
      <c r="I1978">
        <v>284.73939999999999</v>
      </c>
      <c r="J1978">
        <v>-207.71780000000001</v>
      </c>
      <c r="K1978">
        <v>1.105828</v>
      </c>
      <c r="L1978">
        <v>284.73099999999999</v>
      </c>
      <c r="M1978">
        <v>-0.99814219999999998</v>
      </c>
      <c r="N1978">
        <v>0</v>
      </c>
      <c r="O1978">
        <v>-6.038599E-2</v>
      </c>
      <c r="P1978">
        <v>-0.99238950000000004</v>
      </c>
      <c r="Q1978">
        <v>0.121384199999999</v>
      </c>
      <c r="R1978">
        <v>2.0725830000000001E-2</v>
      </c>
      <c r="S1978">
        <v>-3.0598749999999999</v>
      </c>
      <c r="T1978">
        <v>-0.3020447</v>
      </c>
      <c r="U1978">
        <v>2.62145999999999E-2</v>
      </c>
      <c r="V1978">
        <v>8.1883559999999994E-2</v>
      </c>
      <c r="W1978">
        <v>0.12862460000000001</v>
      </c>
      <c r="X1978">
        <v>0.98830709999999999</v>
      </c>
      <c r="Y1978">
        <v>6.8311739999999996E-2</v>
      </c>
      <c r="Z1978">
        <v>9.3074270000000001E-3</v>
      </c>
      <c r="AA1978">
        <v>0.99762059999999997</v>
      </c>
      <c r="AB1978">
        <v>19</v>
      </c>
      <c r="AC1978">
        <v>-0.65089999999997805</v>
      </c>
      <c r="AD1978">
        <v>-7.5409999999999894E-2</v>
      </c>
      <c r="AE1978">
        <v>8.3999999999946305E-3</v>
      </c>
      <c r="AF1978">
        <v>4.70596544884875E-2</v>
      </c>
      <c r="AG1978">
        <v>-7.5409999999999894E-2</v>
      </c>
      <c r="AH1978">
        <v>0.64060779054205796</v>
      </c>
      <c r="AI1978">
        <v>96.695873329373597</v>
      </c>
      <c r="AJ1978">
        <v>85.798544706285796</v>
      </c>
      <c r="AK1978">
        <v>0.64674540623320498</v>
      </c>
      <c r="AL1978">
        <v>82.609880037231804</v>
      </c>
      <c r="AM1978">
        <v>85.263727985775006</v>
      </c>
      <c r="AN1978">
        <v>1.00000006451691</v>
      </c>
    </row>
    <row r="1979" spans="1:40" x14ac:dyDescent="0.25">
      <c r="A1979" t="str">
        <f>"20190312164027862"</f>
        <v>20190312164027862</v>
      </c>
      <c r="B1979" t="str">
        <f>"1552380027858345"</f>
        <v>1552380027858345</v>
      </c>
      <c r="C1979" t="s">
        <v>40</v>
      </c>
      <c r="D1979">
        <v>5.399635</v>
      </c>
      <c r="E1979">
        <v>0.49872450000000002</v>
      </c>
      <c r="F1979" t="s">
        <v>42</v>
      </c>
      <c r="G1979">
        <v>-208.53790000000001</v>
      </c>
      <c r="H1979">
        <v>1.0240119999999999</v>
      </c>
      <c r="I1979">
        <v>284.73820000000001</v>
      </c>
      <c r="J1979">
        <v>-207.8407</v>
      </c>
      <c r="K1979">
        <v>1.1059079999999999</v>
      </c>
      <c r="L1979">
        <v>284.7294</v>
      </c>
      <c r="M1979">
        <v>-0.99844189999999999</v>
      </c>
      <c r="N1979">
        <v>0</v>
      </c>
      <c r="O1979">
        <v>-5.522034E-2</v>
      </c>
      <c r="P1979">
        <v>-0.99246659999999998</v>
      </c>
      <c r="Q1979">
        <v>0.1206816</v>
      </c>
      <c r="R1979">
        <v>2.1122439999999999E-2</v>
      </c>
      <c r="S1979">
        <v>-3.0597379999999998</v>
      </c>
      <c r="T1979">
        <v>-0.30479299999999998</v>
      </c>
      <c r="U1979">
        <v>2.6031490000000001E-2</v>
      </c>
      <c r="V1979">
        <v>7.7127349999999997E-2</v>
      </c>
      <c r="W1979">
        <v>0.127897699999999</v>
      </c>
      <c r="X1979">
        <v>0.98878390000000005</v>
      </c>
      <c r="Y1979">
        <v>6.3129019999999994E-2</v>
      </c>
      <c r="Z1979">
        <v>8.6218949999999992E-3</v>
      </c>
      <c r="AA1979">
        <v>0.99796810000000002</v>
      </c>
      <c r="AB1979">
        <v>19</v>
      </c>
      <c r="AC1979">
        <v>-0.69720000000000903</v>
      </c>
      <c r="AD1979">
        <v>-8.1895999999999705E-2</v>
      </c>
      <c r="AE1979">
        <v>8.8000000000079091E-3</v>
      </c>
      <c r="AF1979">
        <v>4.6643951932069397E-2</v>
      </c>
      <c r="AG1979">
        <v>-8.1895999999999705E-2</v>
      </c>
      <c r="AH1979">
        <v>0.68618384767948304</v>
      </c>
      <c r="AI1979">
        <v>96.790529879787897</v>
      </c>
      <c r="AJ1979">
        <v>86.111251124754702</v>
      </c>
      <c r="AK1979">
        <v>0.69262607941374899</v>
      </c>
      <c r="AL1979">
        <v>82.651874910199794</v>
      </c>
      <c r="AM1979">
        <v>85.539832488405196</v>
      </c>
      <c r="AN1979">
        <v>1.00000002534126</v>
      </c>
    </row>
    <row r="1980" spans="1:40" x14ac:dyDescent="0.25">
      <c r="A1980" t="str">
        <f>"20190312164027879"</f>
        <v>20190312164027879</v>
      </c>
      <c r="B1980" t="str">
        <f>"1552380027868104"</f>
        <v>1552380027868104</v>
      </c>
      <c r="C1980" t="s">
        <v>40</v>
      </c>
      <c r="D1980">
        <v>5.4515580000000003</v>
      </c>
      <c r="E1980">
        <v>0.49891639999999998</v>
      </c>
      <c r="F1980" t="s">
        <v>42</v>
      </c>
      <c r="G1980">
        <v>-208.70849999999999</v>
      </c>
      <c r="H1980">
        <v>1.019058</v>
      </c>
      <c r="I1980">
        <v>284.73759999999999</v>
      </c>
      <c r="J1980">
        <v>-207.99870000000001</v>
      </c>
      <c r="K1980">
        <v>1.1060289999999999</v>
      </c>
      <c r="L1980">
        <v>284.72809999999998</v>
      </c>
      <c r="M1980">
        <v>-0.9987779</v>
      </c>
      <c r="N1980">
        <v>0</v>
      </c>
      <c r="O1980">
        <v>-4.8787539999999997E-2</v>
      </c>
      <c r="P1980">
        <v>-0.99251999999999996</v>
      </c>
      <c r="Q1980">
        <v>0.1205348</v>
      </c>
      <c r="R1980">
        <v>1.937322E-2</v>
      </c>
      <c r="S1980">
        <v>-3.0593569999999999</v>
      </c>
      <c r="T1980">
        <v>-0.30589080000000002</v>
      </c>
      <c r="U1980">
        <v>2.8472899999999999E-2</v>
      </c>
      <c r="V1980">
        <v>6.8961460000000002E-2</v>
      </c>
      <c r="W1980">
        <v>0.12774540000000001</v>
      </c>
      <c r="X1980">
        <v>0.98940660000000002</v>
      </c>
      <c r="Y1980">
        <v>5.7552199999999901E-2</v>
      </c>
      <c r="Z1980">
        <v>7.734749E-3</v>
      </c>
      <c r="AA1980">
        <v>0.99831250000000005</v>
      </c>
      <c r="AB1980">
        <v>19</v>
      </c>
      <c r="AC1980">
        <v>-0.70979999999997201</v>
      </c>
      <c r="AD1980">
        <v>-8.6971000000000104E-2</v>
      </c>
      <c r="AE1980">
        <v>9.5000000000027198E-3</v>
      </c>
      <c r="AF1980">
        <v>4.3466701385419998E-2</v>
      </c>
      <c r="AG1980">
        <v>-8.6971000000000104E-2</v>
      </c>
      <c r="AH1980">
        <v>0.69801357721768398</v>
      </c>
      <c r="AI1980">
        <v>97.088737974305005</v>
      </c>
      <c r="AJ1980">
        <v>86.436678424495994</v>
      </c>
      <c r="AK1980">
        <v>0.70475262535910899</v>
      </c>
      <c r="AL1980">
        <v>82.660673005433694</v>
      </c>
      <c r="AM1980">
        <v>86.012942710409604</v>
      </c>
      <c r="AN1980">
        <v>0.99999999515502502</v>
      </c>
    </row>
    <row r="1981" spans="1:40" x14ac:dyDescent="0.25">
      <c r="A1981" t="str">
        <f>"20190312164027903"</f>
        <v>20190312164027903</v>
      </c>
      <c r="B1981" t="str">
        <f>"1552380027898361"</f>
        <v>1552380027898361</v>
      </c>
      <c r="C1981" t="s">
        <v>40</v>
      </c>
      <c r="D1981">
        <v>5.2961589999999896</v>
      </c>
      <c r="E1981">
        <v>0.49879449999999997</v>
      </c>
      <c r="F1981" t="s">
        <v>42</v>
      </c>
      <c r="G1981">
        <v>-208.88159999999999</v>
      </c>
      <c r="H1981">
        <v>1.0179</v>
      </c>
      <c r="I1981">
        <v>284.73540000000003</v>
      </c>
      <c r="J1981">
        <v>-208.20070000000001</v>
      </c>
      <c r="K1981">
        <v>1.1061970000000001</v>
      </c>
      <c r="L1981">
        <v>284.7276</v>
      </c>
      <c r="M1981">
        <v>-0.99913240000000003</v>
      </c>
      <c r="N1981">
        <v>0</v>
      </c>
      <c r="O1981">
        <v>-4.091347E-2</v>
      </c>
      <c r="P1981">
        <v>-0.9923497</v>
      </c>
      <c r="Q1981">
        <v>0.12159349999999999</v>
      </c>
      <c r="R1981">
        <v>2.1383760000000002E-2</v>
      </c>
      <c r="S1981">
        <v>-3.0591740000000001</v>
      </c>
      <c r="T1981">
        <v>-0.30505009999999999</v>
      </c>
      <c r="U1981">
        <v>2.478027E-2</v>
      </c>
      <c r="V1981">
        <v>6.3107899999999995E-2</v>
      </c>
      <c r="W1981">
        <v>0.12875699999999901</v>
      </c>
      <c r="X1981">
        <v>0.98966609999999999</v>
      </c>
      <c r="Y1981">
        <v>4.8562960000000002E-2</v>
      </c>
      <c r="Z1981">
        <v>6.4842650000000003E-3</v>
      </c>
      <c r="AA1981">
        <v>0.99879910000000005</v>
      </c>
      <c r="AB1981">
        <v>19</v>
      </c>
      <c r="AC1981">
        <v>-0.68089999999997897</v>
      </c>
      <c r="AD1981">
        <v>-8.8296999999999806E-2</v>
      </c>
      <c r="AE1981">
        <v>7.8000000000315499E-3</v>
      </c>
      <c r="AF1981">
        <v>3.5062752257355098E-2</v>
      </c>
      <c r="AG1981">
        <v>-8.8296999999999806E-2</v>
      </c>
      <c r="AH1981">
        <v>0.66876614727332595</v>
      </c>
      <c r="AI1981">
        <v>97.511045303734093</v>
      </c>
      <c r="AJ1981">
        <v>86.998786455521696</v>
      </c>
      <c r="AK1981">
        <v>0.67548050789321001</v>
      </c>
      <c r="AL1981">
        <v>82.602229845718497</v>
      </c>
      <c r="AM1981">
        <v>86.351368048607299</v>
      </c>
      <c r="AN1981">
        <v>0.99999998079030905</v>
      </c>
    </row>
    <row r="1982" spans="1:40" x14ac:dyDescent="0.25">
      <c r="A1982" t="str">
        <f>"20190312164027925"</f>
        <v>20190312164027925</v>
      </c>
      <c r="B1982" t="str">
        <f>"1552380027917880"</f>
        <v>1552380027917880</v>
      </c>
      <c r="C1982" t="s">
        <v>40</v>
      </c>
      <c r="D1982">
        <v>5.2593290000000001</v>
      </c>
      <c r="E1982">
        <v>0.49871709999999903</v>
      </c>
      <c r="F1982" t="s">
        <v>42</v>
      </c>
      <c r="G1982">
        <v>-209.05779999999999</v>
      </c>
      <c r="H1982">
        <v>1.0215540000000001</v>
      </c>
      <c r="I1982">
        <v>284.73480000000001</v>
      </c>
      <c r="J1982">
        <v>-208.39940000000001</v>
      </c>
      <c r="K1982">
        <v>1.10636</v>
      </c>
      <c r="L1982">
        <v>284.72809999999998</v>
      </c>
      <c r="M1982">
        <v>-0.99940839999999997</v>
      </c>
      <c r="N1982">
        <v>0</v>
      </c>
      <c r="O1982">
        <v>-3.3525020000000003E-2</v>
      </c>
      <c r="P1982">
        <v>-0.99218220000000001</v>
      </c>
      <c r="Q1982">
        <v>0.1228009</v>
      </c>
      <c r="R1982">
        <v>2.2238239999999999E-2</v>
      </c>
      <c r="S1982">
        <v>-3.0596009999999998</v>
      </c>
      <c r="T1982">
        <v>-0.30222490000000002</v>
      </c>
      <c r="U1982">
        <v>2.5634770000000001E-2</v>
      </c>
      <c r="V1982">
        <v>5.6587119999999998E-2</v>
      </c>
      <c r="W1982">
        <v>0.12992960000000001</v>
      </c>
      <c r="X1982">
        <v>0.98990710000000004</v>
      </c>
      <c r="Y1982">
        <v>4.1533029999999999E-2</v>
      </c>
      <c r="Z1982">
        <v>5.34951E-3</v>
      </c>
      <c r="AA1982">
        <v>0.99912279999999998</v>
      </c>
      <c r="AB1982">
        <v>19</v>
      </c>
      <c r="AC1982">
        <v>-0.65839999999997101</v>
      </c>
      <c r="AD1982">
        <v>-8.4805999999999895E-2</v>
      </c>
      <c r="AE1982">
        <v>6.7000000000234598E-3</v>
      </c>
      <c r="AF1982">
        <v>2.8300274790826498E-2</v>
      </c>
      <c r="AG1982">
        <v>-8.4805999999999895E-2</v>
      </c>
      <c r="AH1982">
        <v>0.64707078976913501</v>
      </c>
      <c r="AI1982">
        <v>97.459656034443697</v>
      </c>
      <c r="AJ1982">
        <v>87.495708914559302</v>
      </c>
      <c r="AK1982">
        <v>0.65321785811602595</v>
      </c>
      <c r="AL1982">
        <v>82.534475320820107</v>
      </c>
      <c r="AM1982">
        <v>86.728300555195602</v>
      </c>
      <c r="AN1982">
        <v>0.99999993486823002</v>
      </c>
    </row>
    <row r="1983" spans="1:40" x14ac:dyDescent="0.25">
      <c r="A1983" t="str">
        <f>"20190312164027947"</f>
        <v>20190312164027947</v>
      </c>
      <c r="B1983" t="str">
        <f>"1552380027938377"</f>
        <v>1552380027938377</v>
      </c>
      <c r="C1983" t="s">
        <v>40</v>
      </c>
      <c r="D1983">
        <v>5.308764</v>
      </c>
      <c r="E1983">
        <v>0.49865039999999999</v>
      </c>
      <c r="F1983" t="s">
        <v>42</v>
      </c>
      <c r="G1983">
        <v>-209.2345</v>
      </c>
      <c r="H1983">
        <v>1.024662</v>
      </c>
      <c r="I1983">
        <v>284.73520000000002</v>
      </c>
      <c r="J1983">
        <v>-208.59110000000001</v>
      </c>
      <c r="K1983">
        <v>1.1065119999999999</v>
      </c>
      <c r="L1983">
        <v>284.72969999999998</v>
      </c>
      <c r="M1983">
        <v>-0.99961350000000004</v>
      </c>
      <c r="N1983">
        <v>0</v>
      </c>
      <c r="O1983">
        <v>-2.6752829999999998E-2</v>
      </c>
      <c r="P1983">
        <v>-0.99235370000000001</v>
      </c>
      <c r="Q1983">
        <v>0.1215184</v>
      </c>
      <c r="R1983">
        <v>2.1624569999999999E-2</v>
      </c>
      <c r="S1983">
        <v>-3.0600890000000001</v>
      </c>
      <c r="T1983">
        <v>-0.29932249999999999</v>
      </c>
      <c r="U1983">
        <v>2.575684E-2</v>
      </c>
      <c r="V1983">
        <v>4.9202429999999998E-2</v>
      </c>
      <c r="W1983">
        <v>0.12862789999999999</v>
      </c>
      <c r="X1983">
        <v>0.99047160000000001</v>
      </c>
      <c r="Y1983">
        <v>3.4872269999999997E-2</v>
      </c>
      <c r="Z1983">
        <v>4.3118899999999996E-3</v>
      </c>
      <c r="AA1983">
        <v>0.99938249999999995</v>
      </c>
      <c r="AB1983">
        <v>19</v>
      </c>
      <c r="AC1983">
        <v>-0.64339999999998498</v>
      </c>
      <c r="AD1983">
        <v>-8.1849999999999895E-2</v>
      </c>
      <c r="AE1983">
        <v>5.5000000000404699E-3</v>
      </c>
      <c r="AF1983">
        <v>2.2349622878686599E-2</v>
      </c>
      <c r="AG1983">
        <v>-8.1849999999999895E-2</v>
      </c>
      <c r="AH1983">
        <v>0.63278260067331005</v>
      </c>
      <c r="AI1983">
        <v>97.365705180080695</v>
      </c>
      <c r="AJ1983">
        <v>87.977177340270401</v>
      </c>
      <c r="AK1983">
        <v>0.63844557157027704</v>
      </c>
      <c r="AL1983">
        <v>82.609688920899799</v>
      </c>
      <c r="AM1983">
        <v>87.156126298816403</v>
      </c>
      <c r="AN1983">
        <v>1.00000000309143</v>
      </c>
    </row>
    <row r="1984" spans="1:40" x14ac:dyDescent="0.25">
      <c r="A1984" t="str">
        <f>"20190312164027969"</f>
        <v>20190312164027969</v>
      </c>
      <c r="B1984" t="str">
        <f>"1552380027957897"</f>
        <v>1552380027957897</v>
      </c>
      <c r="C1984" t="s">
        <v>40</v>
      </c>
      <c r="D1984">
        <v>5.2694219999999996</v>
      </c>
      <c r="E1984">
        <v>0.49862719999999999</v>
      </c>
      <c r="F1984" t="s">
        <v>42</v>
      </c>
      <c r="G1984">
        <v>-209.41069999999999</v>
      </c>
      <c r="H1984">
        <v>1.0249349999999999</v>
      </c>
      <c r="I1984">
        <v>284.73610000000002</v>
      </c>
      <c r="J1984">
        <v>-208.78530000000001</v>
      </c>
      <c r="K1984">
        <v>1.106663</v>
      </c>
      <c r="L1984">
        <v>284.73219999999998</v>
      </c>
      <c r="M1984">
        <v>-0.99976640000000006</v>
      </c>
      <c r="N1984">
        <v>0</v>
      </c>
      <c r="O1984">
        <v>-2.0289560000000002E-2</v>
      </c>
      <c r="P1984">
        <v>-0.99265300000000001</v>
      </c>
      <c r="Q1984">
        <v>0.1190976</v>
      </c>
      <c r="R1984">
        <v>2.1358780000000001E-2</v>
      </c>
      <c r="S1984">
        <v>-3.0599059999999998</v>
      </c>
      <c r="T1984">
        <v>-0.30459259999999999</v>
      </c>
      <c r="U1984">
        <v>2.4108890000000001E-2</v>
      </c>
      <c r="V1984">
        <v>4.2457950000000001E-2</v>
      </c>
      <c r="W1984">
        <v>0.12618409999999999</v>
      </c>
      <c r="X1984">
        <v>0.99109780000000003</v>
      </c>
      <c r="Y1984">
        <v>2.79283E-2</v>
      </c>
      <c r="Z1984">
        <v>3.401257E-3</v>
      </c>
      <c r="AA1984">
        <v>0.99960420000000005</v>
      </c>
      <c r="AB1984">
        <v>19</v>
      </c>
      <c r="AC1984">
        <v>-0.62539999999998397</v>
      </c>
      <c r="AD1984">
        <v>-8.1727999999999995E-2</v>
      </c>
      <c r="AE1984">
        <v>3.9000000000442001E-3</v>
      </c>
      <c r="AF1984">
        <v>1.63101137297165E-2</v>
      </c>
      <c r="AG1984">
        <v>-8.1727999999999995E-2</v>
      </c>
      <c r="AH1984">
        <v>0.614695032913113</v>
      </c>
      <c r="AI1984">
        <v>97.570822290100807</v>
      </c>
      <c r="AJ1984">
        <v>88.480089450157607</v>
      </c>
      <c r="AK1984">
        <v>0.62031884485474797</v>
      </c>
      <c r="AL1984">
        <v>82.750858635655305</v>
      </c>
      <c r="AM1984">
        <v>87.546987963558493</v>
      </c>
      <c r="AN1984">
        <v>0.99999997688792597</v>
      </c>
    </row>
    <row r="1985" spans="1:40" x14ac:dyDescent="0.25">
      <c r="A1985" t="str">
        <f>"20190312164027984"</f>
        <v>20190312164027984</v>
      </c>
      <c r="B1985" t="str">
        <f>"1552380027978393"</f>
        <v>1552380027978393</v>
      </c>
      <c r="C1985" t="s">
        <v>40</v>
      </c>
      <c r="D1985">
        <v>5.4201329999999999</v>
      </c>
      <c r="E1985">
        <v>0.49885550000000001</v>
      </c>
      <c r="F1985" t="s">
        <v>42</v>
      </c>
      <c r="G1985">
        <v>-209.58709999999999</v>
      </c>
      <c r="H1985">
        <v>1.0244660000000001</v>
      </c>
      <c r="I1985">
        <v>284.7389</v>
      </c>
      <c r="J1985">
        <v>-208.9151</v>
      </c>
      <c r="K1985">
        <v>1.106784</v>
      </c>
      <c r="L1985">
        <v>284.73430000000002</v>
      </c>
      <c r="M1985">
        <v>-0.99984150000000005</v>
      </c>
      <c r="N1985">
        <v>0</v>
      </c>
      <c r="O1985">
        <v>-1.620603E-2</v>
      </c>
      <c r="P1985">
        <v>-0.99263040000000002</v>
      </c>
      <c r="Q1985">
        <v>0.1190209</v>
      </c>
      <c r="R1985">
        <v>2.2787849999999998E-2</v>
      </c>
      <c r="S1985">
        <v>-3.0592800000000002</v>
      </c>
      <c r="T1985">
        <v>-0.31335089999999999</v>
      </c>
      <c r="U1985">
        <v>2.5115970000000001E-2</v>
      </c>
      <c r="V1985">
        <v>3.9792460000000002E-2</v>
      </c>
      <c r="W1985">
        <v>0.1260753</v>
      </c>
      <c r="X1985">
        <v>0.9912223</v>
      </c>
      <c r="Y1985">
        <v>2.4202930000000001E-2</v>
      </c>
      <c r="Z1985">
        <v>2.8918379999999999E-3</v>
      </c>
      <c r="AA1985">
        <v>0.99970289999999995</v>
      </c>
      <c r="AB1985">
        <v>19</v>
      </c>
      <c r="AC1985">
        <v>-0.67199999999999704</v>
      </c>
      <c r="AD1985">
        <v>-8.2318000000000099E-2</v>
      </c>
      <c r="AE1985">
        <v>4.5999999999821696E-3</v>
      </c>
      <c r="AF1985">
        <v>1.52611531076558E-2</v>
      </c>
      <c r="AG1985">
        <v>-8.2318000000000099E-2</v>
      </c>
      <c r="AH1985">
        <v>0.66190542389033902</v>
      </c>
      <c r="AI1985">
        <v>97.087337325648903</v>
      </c>
      <c r="AJ1985">
        <v>88.679199869699403</v>
      </c>
      <c r="AK1985">
        <v>0.66717909596571201</v>
      </c>
      <c r="AL1985">
        <v>82.757143021978806</v>
      </c>
      <c r="AM1985">
        <v>87.7011045781977</v>
      </c>
      <c r="AN1985">
        <v>1.0000000345801101</v>
      </c>
    </row>
    <row r="1986" spans="1:40" x14ac:dyDescent="0.25">
      <c r="A1986" t="str">
        <f>"20190312164028002"</f>
        <v>20190312164028002</v>
      </c>
      <c r="B1986" t="str">
        <f>"1552380027997913"</f>
        <v>1552380027997913</v>
      </c>
      <c r="C1986" t="s">
        <v>40</v>
      </c>
      <c r="D1986">
        <v>5.279871</v>
      </c>
      <c r="E1986">
        <v>0.4988089</v>
      </c>
      <c r="F1986" t="s">
        <v>42</v>
      </c>
      <c r="G1986">
        <v>-209.76220000000001</v>
      </c>
      <c r="H1986">
        <v>1.019692</v>
      </c>
      <c r="I1986">
        <v>284.74259999999998</v>
      </c>
      <c r="J1986">
        <v>-209.08269999999999</v>
      </c>
      <c r="K1986">
        <v>1.1069599999999999</v>
      </c>
      <c r="L1986">
        <v>284.73739999999998</v>
      </c>
      <c r="M1986">
        <v>-0.99991019999999997</v>
      </c>
      <c r="N1986">
        <v>0</v>
      </c>
      <c r="O1986">
        <v>-1.1240770000000001E-2</v>
      </c>
      <c r="P1986">
        <v>-0.99250249999999995</v>
      </c>
      <c r="Q1986">
        <v>0.1198066</v>
      </c>
      <c r="R1986">
        <v>2.4199829999999999E-2</v>
      </c>
      <c r="S1986">
        <v>-3.0592800000000002</v>
      </c>
      <c r="T1986">
        <v>-0.3143842</v>
      </c>
      <c r="U1986">
        <v>2.9937740000000001E-2</v>
      </c>
      <c r="V1986">
        <v>3.6220269999999999E-2</v>
      </c>
      <c r="W1986">
        <v>0.12681889999999901</v>
      </c>
      <c r="X1986">
        <v>0.99126440000000005</v>
      </c>
      <c r="Y1986">
        <v>2.0856300000000001E-2</v>
      </c>
      <c r="Z1986">
        <v>2.220914E-3</v>
      </c>
      <c r="AA1986">
        <v>0.99978</v>
      </c>
      <c r="AB1986">
        <v>20</v>
      </c>
      <c r="AC1986">
        <v>-0.67950000000001798</v>
      </c>
      <c r="AD1986">
        <v>-8.7267999999999901E-2</v>
      </c>
      <c r="AE1986">
        <v>5.2000000000020901E-3</v>
      </c>
      <c r="AF1986">
        <v>1.26296738830664E-2</v>
      </c>
      <c r="AG1986">
        <v>-8.7267999999999901E-2</v>
      </c>
      <c r="AH1986">
        <v>0.66837495252434098</v>
      </c>
      <c r="AI1986">
        <v>97.437568004549703</v>
      </c>
      <c r="AJ1986">
        <v>88.917462572152999</v>
      </c>
      <c r="AK1986">
        <v>0.67416636644696804</v>
      </c>
      <c r="AL1986">
        <v>82.714193074553293</v>
      </c>
      <c r="AM1986">
        <v>87.907373898587906</v>
      </c>
      <c r="AN1986">
        <v>1.0000000260317199</v>
      </c>
    </row>
    <row r="1987" spans="1:40" x14ac:dyDescent="0.25">
      <c r="A1987" t="str">
        <f>"20190312164028025"</f>
        <v>20190312164028025</v>
      </c>
      <c r="B1987" t="str">
        <f>"1552380028018409"</f>
        <v>1552380028018409</v>
      </c>
      <c r="C1987" t="s">
        <v>40</v>
      </c>
      <c r="D1987">
        <v>5.4396259999999996</v>
      </c>
      <c r="E1987">
        <v>0.49883139999999998</v>
      </c>
      <c r="F1987" t="s">
        <v>42</v>
      </c>
      <c r="G1987">
        <v>-209.9401</v>
      </c>
      <c r="H1987">
        <v>1.019317</v>
      </c>
      <c r="I1987">
        <v>284.74560000000002</v>
      </c>
      <c r="J1987">
        <v>-209.27789999999999</v>
      </c>
      <c r="K1987">
        <v>1.107202</v>
      </c>
      <c r="L1987">
        <v>284.74160000000001</v>
      </c>
      <c r="M1987">
        <v>-0.99995650000000003</v>
      </c>
      <c r="N1987">
        <v>0</v>
      </c>
      <c r="O1987">
        <v>-5.8996710000000004E-3</v>
      </c>
      <c r="P1987">
        <v>-0.99248239999999999</v>
      </c>
      <c r="Q1987">
        <v>0.1198857</v>
      </c>
      <c r="R1987">
        <v>2.4621509999999999E-2</v>
      </c>
      <c r="S1987">
        <v>-3.059723</v>
      </c>
      <c r="T1987">
        <v>-0.31261909999999998</v>
      </c>
      <c r="U1987">
        <v>2.8472899999999999E-2</v>
      </c>
      <c r="V1987">
        <v>3.126317E-2</v>
      </c>
      <c r="W1987">
        <v>0.12685339999999901</v>
      </c>
      <c r="X1987">
        <v>0.99142870000000005</v>
      </c>
      <c r="Y1987">
        <v>1.509542E-2</v>
      </c>
      <c r="Z1987">
        <v>1.3703719999999999E-3</v>
      </c>
      <c r="AA1987">
        <v>0.99988509999999997</v>
      </c>
      <c r="AB1987">
        <v>20</v>
      </c>
      <c r="AC1987">
        <v>-0.662200000000012</v>
      </c>
      <c r="AD1987">
        <v>-8.7884999999999894E-2</v>
      </c>
      <c r="AE1987">
        <v>4.0000000000190898E-3</v>
      </c>
      <c r="AF1987">
        <v>7.7699418645135899E-3</v>
      </c>
      <c r="AG1987">
        <v>-8.7884999999999894E-2</v>
      </c>
      <c r="AH1987">
        <v>0.650703974334506</v>
      </c>
      <c r="AI1987">
        <v>97.691361874789095</v>
      </c>
      <c r="AJ1987">
        <v>89.315873674318595</v>
      </c>
      <c r="AK1987">
        <v>0.65665805975126801</v>
      </c>
      <c r="AL1987">
        <v>82.712200224481606</v>
      </c>
      <c r="AM1987">
        <v>88.193864737866306</v>
      </c>
      <c r="AN1987">
        <v>1.0000000190368401</v>
      </c>
    </row>
    <row r="1988" spans="1:40" x14ac:dyDescent="0.25">
      <c r="A1988" t="str">
        <f>"20190312164028046"</f>
        <v>20190312164028046</v>
      </c>
      <c r="B1988" t="str">
        <f>"1552380028037928"</f>
        <v>1552380028037928</v>
      </c>
      <c r="C1988" t="s">
        <v>40</v>
      </c>
      <c r="D1988">
        <v>5.3070250000000003</v>
      </c>
      <c r="E1988">
        <v>0.4987878</v>
      </c>
      <c r="F1988" t="s">
        <v>42</v>
      </c>
      <c r="G1988">
        <v>-210.1198</v>
      </c>
      <c r="H1988">
        <v>1.0212129999999999</v>
      </c>
      <c r="I1988">
        <v>284.74950000000001</v>
      </c>
      <c r="J1988">
        <v>-209.4821</v>
      </c>
      <c r="K1988">
        <v>1.107456</v>
      </c>
      <c r="L1988">
        <v>284.7466</v>
      </c>
      <c r="M1988">
        <v>-0.99997440000000004</v>
      </c>
      <c r="N1988">
        <v>0</v>
      </c>
      <c r="O1988">
        <v>-7.8489649999999897E-4</v>
      </c>
      <c r="P1988">
        <v>-0.99283279999999996</v>
      </c>
      <c r="Q1988">
        <v>0.11726979999999999</v>
      </c>
      <c r="R1988">
        <v>2.3049779999999999E-2</v>
      </c>
      <c r="S1988">
        <v>-3.0597840000000001</v>
      </c>
      <c r="T1988">
        <v>-0.312469</v>
      </c>
      <c r="U1988">
        <v>2.8228759999999999E-2</v>
      </c>
      <c r="V1988">
        <v>2.4517589999999999E-2</v>
      </c>
      <c r="W1988">
        <v>0.12420050000000001</v>
      </c>
      <c r="X1988">
        <v>0.99195420000000001</v>
      </c>
      <c r="Y1988">
        <v>9.9543749999999997E-3</v>
      </c>
      <c r="Z1988">
        <v>5.868949E-4</v>
      </c>
      <c r="AA1988">
        <v>0.99995029999999996</v>
      </c>
      <c r="AB1988">
        <v>20</v>
      </c>
      <c r="AC1988">
        <v>-0.63769999999999505</v>
      </c>
      <c r="AD1988">
        <v>-8.6243E-2</v>
      </c>
      <c r="AE1988">
        <v>2.9000000000110001E-3</v>
      </c>
      <c r="AF1988">
        <v>3.3394625920185198E-3</v>
      </c>
      <c r="AG1988">
        <v>-8.6243E-2</v>
      </c>
      <c r="AH1988">
        <v>0.62624373536866196</v>
      </c>
      <c r="AI1988">
        <v>97.841042070566502</v>
      </c>
      <c r="AJ1988">
        <v>89.694471516476</v>
      </c>
      <c r="AK1988">
        <v>0.63216313017123804</v>
      </c>
      <c r="AL1988">
        <v>82.865412020416102</v>
      </c>
      <c r="AM1988">
        <v>88.584139792574803</v>
      </c>
      <c r="AN1988">
        <v>1.00000000565864</v>
      </c>
    </row>
    <row r="1989" spans="1:40" x14ac:dyDescent="0.25">
      <c r="A1989" t="str">
        <f>"20190312164028069"</f>
        <v>20190312164028069</v>
      </c>
      <c r="B1989" t="str">
        <f>"1552380028058425"</f>
        <v>1552380028058425</v>
      </c>
      <c r="C1989" t="s">
        <v>40</v>
      </c>
      <c r="D1989">
        <v>5.3050240000000004</v>
      </c>
      <c r="E1989">
        <v>0.49875839999999999</v>
      </c>
      <c r="F1989" t="s">
        <v>42</v>
      </c>
      <c r="G1989">
        <v>-210.29949999999999</v>
      </c>
      <c r="H1989">
        <v>1.021657</v>
      </c>
      <c r="I1989">
        <v>284.75349999999997</v>
      </c>
      <c r="J1989">
        <v>-209.67679999999999</v>
      </c>
      <c r="K1989">
        <v>1.1076779999999999</v>
      </c>
      <c r="L1989">
        <v>284.75170000000003</v>
      </c>
      <c r="M1989">
        <v>-0.99996879999999999</v>
      </c>
      <c r="N1989">
        <v>0</v>
      </c>
      <c r="O1989">
        <v>3.6480100000000001E-3</v>
      </c>
      <c r="P1989">
        <v>-0.99336679999999999</v>
      </c>
      <c r="Q1989">
        <v>0.11307780000000001</v>
      </c>
      <c r="R1989">
        <v>2.0882999999999999E-2</v>
      </c>
      <c r="S1989">
        <v>-3.0590060000000001</v>
      </c>
      <c r="T1989">
        <v>-0.32113429999999998</v>
      </c>
      <c r="U1989">
        <v>2.5604249999999999E-2</v>
      </c>
      <c r="V1989">
        <v>1.7852299999999901E-2</v>
      </c>
      <c r="W1989">
        <v>0.11996709999999999</v>
      </c>
      <c r="X1989">
        <v>0.99261739999999998</v>
      </c>
      <c r="Y1989">
        <v>4.7159330000000003E-3</v>
      </c>
      <c r="Z1989">
        <v>-1.350627E-4</v>
      </c>
      <c r="AA1989">
        <v>0.99998889999999996</v>
      </c>
      <c r="AB1989">
        <v>20</v>
      </c>
      <c r="AC1989">
        <v>-0.62270000000000802</v>
      </c>
      <c r="AD1989">
        <v>-8.6021000000000097E-2</v>
      </c>
      <c r="AE1989">
        <v>1.79999999994606E-3</v>
      </c>
      <c r="AF1989">
        <v>-4.6285096044697299E-4</v>
      </c>
      <c r="AG1989">
        <v>-8.6021000000000097E-2</v>
      </c>
      <c r="AH1989">
        <v>0.61104188477212695</v>
      </c>
      <c r="AI1989">
        <v>98.013299270834395</v>
      </c>
      <c r="AJ1989">
        <v>90.043400300643896</v>
      </c>
      <c r="AK1989">
        <v>0.61706726668806899</v>
      </c>
      <c r="AL1989">
        <v>83.109796557968195</v>
      </c>
      <c r="AM1989">
        <v>88.969642099702199</v>
      </c>
      <c r="AN1989">
        <v>1.00000005624022</v>
      </c>
    </row>
    <row r="1990" spans="1:40" x14ac:dyDescent="0.25">
      <c r="A1990" t="str">
        <f>"20190312164028091"</f>
        <v>20190312164028091</v>
      </c>
      <c r="B1990" t="str">
        <f>"1552380028088681"</f>
        <v>1552380028088681</v>
      </c>
      <c r="C1990" t="s">
        <v>40</v>
      </c>
      <c r="D1990">
        <v>5.3163299999999998</v>
      </c>
      <c r="E1990">
        <v>0.49867210000000001</v>
      </c>
      <c r="F1990" t="s">
        <v>42</v>
      </c>
      <c r="G1990">
        <v>-210.47890000000001</v>
      </c>
      <c r="H1990">
        <v>1.0198499999999999</v>
      </c>
      <c r="I1990">
        <v>284.75740000000002</v>
      </c>
      <c r="J1990">
        <v>-209.88059999999999</v>
      </c>
      <c r="K1990">
        <v>1.107899</v>
      </c>
      <c r="L1990">
        <v>284.75740000000002</v>
      </c>
      <c r="M1990">
        <v>-0.99994559999999999</v>
      </c>
      <c r="N1990">
        <v>0</v>
      </c>
      <c r="O1990">
        <v>7.7995740000000001E-3</v>
      </c>
      <c r="P1990">
        <v>-0.99352130000000005</v>
      </c>
      <c r="Q1990">
        <v>0.1118402</v>
      </c>
      <c r="R1990">
        <v>2.0181569999999999E-2</v>
      </c>
      <c r="S1990">
        <v>-3.057693</v>
      </c>
      <c r="T1990">
        <v>-0.33482050000000002</v>
      </c>
      <c r="U1990">
        <v>2.1881100000000001E-2</v>
      </c>
      <c r="V1990">
        <v>1.294764E-2</v>
      </c>
      <c r="W1990">
        <v>0.1186652</v>
      </c>
      <c r="X1990">
        <v>0.99284989999999995</v>
      </c>
      <c r="Y1990">
        <v>-5.9371300000000005E-4</v>
      </c>
      <c r="Z1990">
        <v>-8.8392229999999998E-4</v>
      </c>
      <c r="AA1990">
        <v>0.99999939999999998</v>
      </c>
      <c r="AB1990">
        <v>20</v>
      </c>
      <c r="AC1990">
        <v>-0.59830000000002304</v>
      </c>
      <c r="AD1990">
        <v>-8.8049000000000002E-2</v>
      </c>
      <c r="AE1990">
        <v>0</v>
      </c>
      <c r="AF1990">
        <v>-4.5676721049054498E-3</v>
      </c>
      <c r="AG1990">
        <v>-8.8049000000000002E-2</v>
      </c>
      <c r="AH1990">
        <v>0.58559911394429298</v>
      </c>
      <c r="AI1990">
        <v>98.550519878380996</v>
      </c>
      <c r="AJ1990">
        <v>90.446897921000996</v>
      </c>
      <c r="AK1990">
        <v>0.59219913228727195</v>
      </c>
      <c r="AL1990">
        <v>83.184926238293798</v>
      </c>
      <c r="AM1990">
        <v>89.252854759748502</v>
      </c>
      <c r="AN1990">
        <v>0.99999999750130897</v>
      </c>
    </row>
    <row r="1991" spans="1:40" x14ac:dyDescent="0.25">
      <c r="A1991" t="str">
        <f>"20190312164028115"</f>
        <v>20190312164028115</v>
      </c>
      <c r="B1991" t="str">
        <f>"1552380028108201"</f>
        <v>1552380028108201</v>
      </c>
      <c r="C1991" t="s">
        <v>40</v>
      </c>
      <c r="D1991">
        <v>5.4168750000000001</v>
      </c>
      <c r="E1991">
        <v>0.4986738</v>
      </c>
      <c r="F1991" t="s">
        <v>42</v>
      </c>
      <c r="G1991">
        <v>-210.66059999999999</v>
      </c>
      <c r="H1991">
        <v>1.0216000000000001</v>
      </c>
      <c r="I1991">
        <v>284.76209999999998</v>
      </c>
      <c r="J1991">
        <v>-210.0941</v>
      </c>
      <c r="K1991">
        <v>1.1081299999999901</v>
      </c>
      <c r="L1991">
        <v>284.76369999999997</v>
      </c>
      <c r="M1991">
        <v>-0.9999093</v>
      </c>
      <c r="N1991">
        <v>0</v>
      </c>
      <c r="O1991">
        <v>1.1617209999999999E-2</v>
      </c>
      <c r="P1991">
        <v>-0.99372309999999997</v>
      </c>
      <c r="Q1991">
        <v>0.1107407</v>
      </c>
      <c r="R1991">
        <v>1.58412E-2</v>
      </c>
      <c r="S1991">
        <v>-3.0572810000000001</v>
      </c>
      <c r="T1991">
        <v>-0.33819579999999999</v>
      </c>
      <c r="U1991">
        <v>1.7822270000000001E-2</v>
      </c>
      <c r="V1991">
        <v>4.7347420000000001E-3</v>
      </c>
      <c r="W1991">
        <v>0.1175046</v>
      </c>
      <c r="X1991">
        <v>0.99306110000000003</v>
      </c>
      <c r="Y1991">
        <v>-5.6828039999999996E-3</v>
      </c>
      <c r="Z1991">
        <v>-1.5945289999999999E-3</v>
      </c>
      <c r="AA1991">
        <v>0.99998260000000005</v>
      </c>
      <c r="AB1991">
        <v>20</v>
      </c>
      <c r="AC1991">
        <v>-0.56649999999999001</v>
      </c>
      <c r="AD1991">
        <v>-8.6529999999999704E-2</v>
      </c>
      <c r="AE1991">
        <v>-1.59999999999627E-3</v>
      </c>
      <c r="AF1991">
        <v>-7.9946719817439293E-3</v>
      </c>
      <c r="AG1991">
        <v>-8.6529999999999704E-2</v>
      </c>
      <c r="AH1991">
        <v>0.55352889532887195</v>
      </c>
      <c r="AI1991">
        <v>98.883901222598098</v>
      </c>
      <c r="AJ1991">
        <v>90.827471013747299</v>
      </c>
      <c r="AK1991">
        <v>0.56030848078901796</v>
      </c>
      <c r="AL1991">
        <v>83.251892597848098</v>
      </c>
      <c r="AM1991">
        <v>89.726825793385302</v>
      </c>
      <c r="AN1991">
        <v>1.00000004856808</v>
      </c>
    </row>
    <row r="1992" spans="1:40" x14ac:dyDescent="0.25">
      <c r="A1992" t="str">
        <f>"20190312164028149"</f>
        <v>20190312164028149</v>
      </c>
      <c r="B1992" t="str">
        <f>"1552380028138457"</f>
        <v>1552380028138457</v>
      </c>
      <c r="C1992" t="s">
        <v>40</v>
      </c>
      <c r="D1992">
        <v>5.4120780000000002</v>
      </c>
      <c r="E1992">
        <v>0.49865900000000002</v>
      </c>
      <c r="F1992" t="s">
        <v>42</v>
      </c>
      <c r="G1992">
        <v>-210.84370000000001</v>
      </c>
      <c r="H1992">
        <v>1.0244089999999999</v>
      </c>
      <c r="I1992">
        <v>284.76479999999998</v>
      </c>
      <c r="J1992">
        <v>-210.40119999999999</v>
      </c>
      <c r="K1992">
        <v>1.1084670000000001</v>
      </c>
      <c r="L1992">
        <v>284.7731</v>
      </c>
      <c r="M1992">
        <v>-0.9998475</v>
      </c>
      <c r="N1992">
        <v>0</v>
      </c>
      <c r="O1992">
        <v>1.614494E-2</v>
      </c>
      <c r="P1992">
        <v>-0.99391269999999998</v>
      </c>
      <c r="Q1992">
        <v>0.1096279</v>
      </c>
      <c r="R1992">
        <v>1.0947999999999999E-2</v>
      </c>
      <c r="S1992">
        <v>-3.0569310000000001</v>
      </c>
      <c r="T1992">
        <v>-0.34146259999999901</v>
      </c>
      <c r="U1992">
        <v>4.4250490000000003E-3</v>
      </c>
      <c r="V1992">
        <v>-4.7656720000000003E-3</v>
      </c>
      <c r="W1992">
        <v>0.11627709999999999</v>
      </c>
      <c r="X1992">
        <v>0.99320540000000002</v>
      </c>
      <c r="Y1992">
        <v>-1.45072999999999E-2</v>
      </c>
      <c r="Z1992">
        <v>-2.605521E-3</v>
      </c>
      <c r="AA1992">
        <v>0.99989130000000004</v>
      </c>
      <c r="AB1992">
        <v>20</v>
      </c>
      <c r="AC1992">
        <v>-0.44250000000002299</v>
      </c>
      <c r="AD1992">
        <v>-8.4057999999999897E-2</v>
      </c>
      <c r="AE1992">
        <v>-8.3000000000197308E-3</v>
      </c>
      <c r="AF1992">
        <v>-1.49055295441971E-2</v>
      </c>
      <c r="AG1992">
        <v>-8.4057999999999897E-2</v>
      </c>
      <c r="AH1992">
        <v>0.42690856741307798</v>
      </c>
      <c r="AI1992">
        <v>101.132393373753</v>
      </c>
      <c r="AJ1992">
        <v>91.999672102170294</v>
      </c>
      <c r="AK1992">
        <v>0.43536059434183899</v>
      </c>
      <c r="AL1992">
        <v>83.322708444520799</v>
      </c>
      <c r="AM1992">
        <v>90.274918759638197</v>
      </c>
      <c r="AN1992">
        <v>1.00000002110159</v>
      </c>
    </row>
    <row r="1993" spans="1:40" x14ac:dyDescent="0.25">
      <c r="A1993" t="str">
        <f>"20190312164028173"</f>
        <v>20190312164028173</v>
      </c>
      <c r="B1993" t="str">
        <f>"1552380028167738"</f>
        <v>1552380028167738</v>
      </c>
      <c r="C1993" t="s">
        <v>40</v>
      </c>
      <c r="D1993">
        <v>5.4015370000000003</v>
      </c>
      <c r="E1993">
        <v>0.49864209999999898</v>
      </c>
      <c r="F1993" t="s">
        <v>42</v>
      </c>
      <c r="G1993">
        <v>-211.2062</v>
      </c>
      <c r="H1993">
        <v>1.017673</v>
      </c>
      <c r="I1993">
        <v>284.77120000000002</v>
      </c>
      <c r="J1993">
        <v>-210.62309999999999</v>
      </c>
      <c r="K1993">
        <v>1.108673</v>
      </c>
      <c r="L1993">
        <v>284.7801</v>
      </c>
      <c r="M1993">
        <v>-0.99980060000000004</v>
      </c>
      <c r="N1993">
        <v>0</v>
      </c>
      <c r="O1993">
        <v>1.8862529999999999E-2</v>
      </c>
      <c r="P1993">
        <v>-0.99391419999999997</v>
      </c>
      <c r="Q1993">
        <v>0.109773</v>
      </c>
      <c r="R1993">
        <v>9.1902319999999996E-3</v>
      </c>
      <c r="S1993">
        <v>-3.056473</v>
      </c>
      <c r="T1993">
        <v>-0.34466180000000002</v>
      </c>
      <c r="U1993">
        <v>-7.2631839999999998E-3</v>
      </c>
      <c r="V1993">
        <v>-9.2879360000000001E-3</v>
      </c>
      <c r="W1993">
        <v>0.1163235</v>
      </c>
      <c r="X1993">
        <v>0.99316789999999999</v>
      </c>
      <c r="Y1993">
        <v>-2.098624E-2</v>
      </c>
      <c r="Z1993">
        <v>-3.2997790000000001E-3</v>
      </c>
      <c r="AA1993">
        <v>0.9997743</v>
      </c>
      <c r="AB1993">
        <v>20</v>
      </c>
      <c r="AC1993">
        <v>-0.58310000000000095</v>
      </c>
      <c r="AD1993">
        <v>-9.09999999999999E-2</v>
      </c>
      <c r="AE1993">
        <v>-8.8999999999828001E-3</v>
      </c>
      <c r="AF1993">
        <v>-1.9424413304899701E-2</v>
      </c>
      <c r="AG1993">
        <v>-9.09999999999999E-2</v>
      </c>
      <c r="AH1993">
        <v>0.568973967401875</v>
      </c>
      <c r="AI1993">
        <v>99.081555914873505</v>
      </c>
      <c r="AJ1993">
        <v>91.955282478623701</v>
      </c>
      <c r="AK1993">
        <v>0.576532465185847</v>
      </c>
      <c r="AL1993">
        <v>83.320031279533296</v>
      </c>
      <c r="AM1993">
        <v>90.535804691596397</v>
      </c>
      <c r="AN1993">
        <v>0.99999994999889796</v>
      </c>
    </row>
    <row r="1994" spans="1:40" x14ac:dyDescent="0.25">
      <c r="A1994" t="str">
        <f>"20190312164028195"</f>
        <v>20190312164028195</v>
      </c>
      <c r="B1994" t="str">
        <f>"1552380028188233"</f>
        <v>1552380028188233</v>
      </c>
      <c r="C1994" t="s">
        <v>40</v>
      </c>
      <c r="D1994">
        <v>5.5184850000000001</v>
      </c>
      <c r="E1994">
        <v>0.49865900000000002</v>
      </c>
      <c r="F1994" t="s">
        <v>42</v>
      </c>
      <c r="G1994">
        <v>-211.39269999999999</v>
      </c>
      <c r="H1994">
        <v>1.022821</v>
      </c>
      <c r="I1994">
        <v>284.77699999999999</v>
      </c>
      <c r="J1994">
        <v>-210.82320000000001</v>
      </c>
      <c r="K1994">
        <v>1.108835</v>
      </c>
      <c r="L1994">
        <v>284.78640000000001</v>
      </c>
      <c r="M1994">
        <v>-0.99975939999999996</v>
      </c>
      <c r="N1994">
        <v>0</v>
      </c>
      <c r="O1994">
        <v>2.09587E-2</v>
      </c>
      <c r="P1994">
        <v>-0.99385599999999996</v>
      </c>
      <c r="Q1994">
        <v>0.110454</v>
      </c>
      <c r="R1994">
        <v>7.090959E-3</v>
      </c>
      <c r="S1994">
        <v>-3.056168</v>
      </c>
      <c r="T1994">
        <v>-0.3409992</v>
      </c>
      <c r="U1994">
        <v>-1.2847900000000001E-2</v>
      </c>
      <c r="V1994">
        <v>-1.3516439999999999E-2</v>
      </c>
      <c r="W1994">
        <v>0.11691219999999999</v>
      </c>
      <c r="X1994">
        <v>0.99305030000000005</v>
      </c>
      <c r="Y1994">
        <v>-2.4877489999999999E-2</v>
      </c>
      <c r="Z1994">
        <v>-3.7148039999999999E-3</v>
      </c>
      <c r="AA1994">
        <v>0.99968360000000001</v>
      </c>
      <c r="AB1994">
        <v>20</v>
      </c>
      <c r="AC1994">
        <v>-0.56949999999997603</v>
      </c>
      <c r="AD1994">
        <v>-8.6013999999999993E-2</v>
      </c>
      <c r="AE1994">
        <v>-9.4000000000278305E-3</v>
      </c>
      <c r="AF1994">
        <v>-2.0858484277682901E-2</v>
      </c>
      <c r="AG1994">
        <v>-8.6013999999999993E-2</v>
      </c>
      <c r="AH1994">
        <v>0.55648712326979499</v>
      </c>
      <c r="AI1994">
        <v>98.780379986159204</v>
      </c>
      <c r="AJ1994">
        <v>92.146579602731194</v>
      </c>
      <c r="AK1994">
        <v>0.563481501850286</v>
      </c>
      <c r="AL1994">
        <v>83.286070048838397</v>
      </c>
      <c r="AM1994">
        <v>90.779806569075703</v>
      </c>
      <c r="AN1994">
        <v>1.0000000274945999</v>
      </c>
    </row>
    <row r="1995" spans="1:40" x14ac:dyDescent="0.25">
      <c r="A1995" t="str">
        <f>"20190312164028214"</f>
        <v>20190312164028214</v>
      </c>
      <c r="B1995" t="str">
        <f>"1552380028207753"</f>
        <v>1552380028207753</v>
      </c>
      <c r="C1995" t="s">
        <v>40</v>
      </c>
      <c r="D1995">
        <v>5.4605459999999999</v>
      </c>
      <c r="E1995">
        <v>0.49867980000000001</v>
      </c>
      <c r="F1995" t="s">
        <v>42</v>
      </c>
      <c r="G1995">
        <v>-211.57939999999999</v>
      </c>
      <c r="H1995">
        <v>1.025479</v>
      </c>
      <c r="I1995">
        <v>284.78070000000002</v>
      </c>
      <c r="J1995">
        <v>-211.00739999999999</v>
      </c>
      <c r="K1995">
        <v>1.1089690000000001</v>
      </c>
      <c r="L1995">
        <v>284.79230000000001</v>
      </c>
      <c r="M1995">
        <v>-0.99972459999999996</v>
      </c>
      <c r="N1995">
        <v>0</v>
      </c>
      <c r="O1995">
        <v>2.2586490000000001E-2</v>
      </c>
      <c r="P1995">
        <v>-0.99391269999999998</v>
      </c>
      <c r="Q1995">
        <v>0.11008419999999999</v>
      </c>
      <c r="R1995">
        <v>4.397687E-3</v>
      </c>
      <c r="S1995">
        <v>-3.056168</v>
      </c>
      <c r="T1995">
        <v>-0.33684190000000003</v>
      </c>
      <c r="U1995">
        <v>-2.3345950000000001E-2</v>
      </c>
      <c r="V1995">
        <v>-1.786942E-2</v>
      </c>
      <c r="W1995">
        <v>0.1164528</v>
      </c>
      <c r="X1995">
        <v>0.99303540000000001</v>
      </c>
      <c r="Y1995">
        <v>-2.9905230000000001E-2</v>
      </c>
      <c r="Z1995">
        <v>-4.1248470000000001E-3</v>
      </c>
      <c r="AA1995">
        <v>0.99954419999999999</v>
      </c>
      <c r="AB1995">
        <v>20</v>
      </c>
      <c r="AC1995">
        <v>-0.57200000000000195</v>
      </c>
      <c r="AD1995">
        <v>-8.3489999999999995E-2</v>
      </c>
      <c r="AE1995">
        <v>-1.15999999999871E-2</v>
      </c>
      <c r="AF1995">
        <v>-2.40055524820907E-2</v>
      </c>
      <c r="AG1995">
        <v>-8.3489999999999995E-2</v>
      </c>
      <c r="AH1995">
        <v>0.55967325553189895</v>
      </c>
      <c r="AI1995">
        <v>98.476924820872398</v>
      </c>
      <c r="AJ1995">
        <v>92.456030000940402</v>
      </c>
      <c r="AK1995">
        <v>0.56637531691242005</v>
      </c>
      <c r="AL1995">
        <v>83.312572162697805</v>
      </c>
      <c r="AM1995">
        <v>91.030911747333406</v>
      </c>
      <c r="AN1995">
        <v>0.99999993822606603</v>
      </c>
    </row>
    <row r="1996" spans="1:40" x14ac:dyDescent="0.25">
      <c r="A1996" t="str">
        <f>"20190312164028238"</f>
        <v>20190312164028238</v>
      </c>
      <c r="B1996" t="str">
        <f>"1552380028228249"</f>
        <v>1552380028228249</v>
      </c>
      <c r="C1996" t="s">
        <v>40</v>
      </c>
      <c r="D1996">
        <v>5.4085999999999999</v>
      </c>
      <c r="E1996">
        <v>0.49867050000000002</v>
      </c>
      <c r="F1996" t="s">
        <v>42</v>
      </c>
      <c r="G1996">
        <v>-211.76589999999999</v>
      </c>
      <c r="H1996">
        <v>1.025569</v>
      </c>
      <c r="I1996">
        <v>284.7842</v>
      </c>
      <c r="J1996">
        <v>-211.22139999999999</v>
      </c>
      <c r="K1996">
        <v>1.1090990000000001</v>
      </c>
      <c r="L1996">
        <v>284.79910000000001</v>
      </c>
      <c r="M1996">
        <v>-0.99968840000000003</v>
      </c>
      <c r="N1996">
        <v>0</v>
      </c>
      <c r="O1996">
        <v>2.4161249999999999E-2</v>
      </c>
      <c r="P1996">
        <v>-0.99417809999999995</v>
      </c>
      <c r="Q1996">
        <v>0.1077486</v>
      </c>
      <c r="R1996">
        <v>5.6850499999999997E-4</v>
      </c>
      <c r="S1996">
        <v>-3.0557400000000001</v>
      </c>
      <c r="T1996">
        <v>-0.33601429999999999</v>
      </c>
      <c r="U1996">
        <v>-3.329468E-2</v>
      </c>
      <c r="V1996">
        <v>-2.3315539999999999E-2</v>
      </c>
      <c r="W1996">
        <v>0.11400449999999999</v>
      </c>
      <c r="X1996">
        <v>0.99320660000000005</v>
      </c>
      <c r="Y1996">
        <v>-3.4697510000000001E-2</v>
      </c>
      <c r="Z1996">
        <v>-4.5506059999999996E-3</v>
      </c>
      <c r="AA1996">
        <v>0.99938749999999998</v>
      </c>
      <c r="AB1996">
        <v>21</v>
      </c>
      <c r="AC1996">
        <v>-0.54449999999999898</v>
      </c>
      <c r="AD1996">
        <v>-8.3530000000000104E-2</v>
      </c>
      <c r="AE1996">
        <v>-1.4900000000011401E-2</v>
      </c>
      <c r="AF1996">
        <v>-2.74072008148879E-2</v>
      </c>
      <c r="AG1996">
        <v>-8.3530000000000104E-2</v>
      </c>
      <c r="AH1996">
        <v>0.53148266528308696</v>
      </c>
      <c r="AI1996">
        <v>98.920117089170205</v>
      </c>
      <c r="AJ1996">
        <v>92.951981926531701</v>
      </c>
      <c r="AK1996">
        <v>0.53870422223417003</v>
      </c>
      <c r="AL1996">
        <v>83.4537904945809</v>
      </c>
      <c r="AM1996">
        <v>91.344772305359598</v>
      </c>
      <c r="AN1996">
        <v>0.99999999535465001</v>
      </c>
    </row>
    <row r="1997" spans="1:40" x14ac:dyDescent="0.25">
      <c r="A1997" t="str">
        <f>"20190312164028260"</f>
        <v>20190312164028260</v>
      </c>
      <c r="B1997" t="str">
        <f>"1552380028247769"</f>
        <v>1552380028247769</v>
      </c>
      <c r="C1997" t="s">
        <v>40</v>
      </c>
      <c r="D1997">
        <v>5.3622949999999996</v>
      </c>
      <c r="E1997">
        <v>0.49865579999999998</v>
      </c>
      <c r="F1997" t="s">
        <v>42</v>
      </c>
      <c r="G1997">
        <v>-211.95400000000001</v>
      </c>
      <c r="H1997">
        <v>1.0265959999999901</v>
      </c>
      <c r="I1997">
        <v>284.78809999999999</v>
      </c>
      <c r="J1997">
        <v>-211.42920000000001</v>
      </c>
      <c r="K1997">
        <v>1.109202</v>
      </c>
      <c r="L1997">
        <v>284.8057</v>
      </c>
      <c r="M1997">
        <v>-0.99965879999999996</v>
      </c>
      <c r="N1997">
        <v>0</v>
      </c>
      <c r="O1997">
        <v>2.5389080000000001E-2</v>
      </c>
      <c r="P1997">
        <v>-0.99447209999999997</v>
      </c>
      <c r="Q1997">
        <v>0.1049398</v>
      </c>
      <c r="R1997">
        <v>-3.595858E-3</v>
      </c>
      <c r="S1997">
        <v>-3.0548709999999999</v>
      </c>
      <c r="T1997">
        <v>-0.34400839999999999</v>
      </c>
      <c r="U1997">
        <v>-4.5501710000000001E-2</v>
      </c>
      <c r="V1997">
        <v>-2.8745550000000002E-2</v>
      </c>
      <c r="W1997">
        <v>0.1110768</v>
      </c>
      <c r="X1997">
        <v>0.99339599999999995</v>
      </c>
      <c r="Y1997">
        <v>-3.9862750000000002E-2</v>
      </c>
      <c r="Z1997">
        <v>-5.0871290000000001E-3</v>
      </c>
      <c r="AA1997">
        <v>0.99919219999999997</v>
      </c>
      <c r="AB1997">
        <v>21</v>
      </c>
      <c r="AC1997">
        <v>-0.52479999999999805</v>
      </c>
      <c r="AD1997">
        <v>-8.2606000000000096E-2</v>
      </c>
      <c r="AE1997">
        <v>-1.7600000000015801E-2</v>
      </c>
      <c r="AF1997">
        <v>-3.01720560459116E-2</v>
      </c>
      <c r="AG1997">
        <v>-8.2606000000000096E-2</v>
      </c>
      <c r="AH1997">
        <v>0.51152454495980004</v>
      </c>
      <c r="AI1997">
        <v>99.157839853673295</v>
      </c>
      <c r="AJ1997">
        <v>93.375655785561605</v>
      </c>
      <c r="AK1997">
        <v>0.51902934820525104</v>
      </c>
      <c r="AL1997">
        <v>83.622607838020997</v>
      </c>
      <c r="AM1997">
        <v>91.657485264708697</v>
      </c>
      <c r="AN1997">
        <v>0.99999998747952101</v>
      </c>
    </row>
    <row r="1998" spans="1:40" x14ac:dyDescent="0.25">
      <c r="A1998" t="str">
        <f>"20190312164028282"</f>
        <v>20190312164028282</v>
      </c>
      <c r="B1998" t="str">
        <f>"1552380028278025"</f>
        <v>1552380028278025</v>
      </c>
      <c r="C1998" t="s">
        <v>40</v>
      </c>
      <c r="D1998">
        <v>5.5340989999999897</v>
      </c>
      <c r="E1998">
        <v>0.49876930000000003</v>
      </c>
      <c r="F1998" t="s">
        <v>42</v>
      </c>
      <c r="G1998">
        <v>-212.31899999999999</v>
      </c>
      <c r="H1998">
        <v>1.007174</v>
      </c>
      <c r="I1998">
        <v>284.78919999999999</v>
      </c>
      <c r="J1998">
        <v>-211.6439</v>
      </c>
      <c r="K1998">
        <v>1.109281</v>
      </c>
      <c r="L1998">
        <v>284.81240000000003</v>
      </c>
      <c r="M1998">
        <v>-0.99963310000000005</v>
      </c>
      <c r="N1998">
        <v>0</v>
      </c>
      <c r="O1998">
        <v>2.6412000000000001E-2</v>
      </c>
      <c r="P1998">
        <v>-0.99468239999999997</v>
      </c>
      <c r="Q1998">
        <v>0.10276390000000001</v>
      </c>
      <c r="R1998">
        <v>-6.8188719999999897E-3</v>
      </c>
      <c r="S1998">
        <v>-3.0534210000000002</v>
      </c>
      <c r="T1998">
        <v>-0.35021259999999999</v>
      </c>
      <c r="U1998">
        <v>-5.7098389999999999E-2</v>
      </c>
      <c r="V1998">
        <v>-3.3020750000000001E-2</v>
      </c>
      <c r="W1998">
        <v>0.1087692</v>
      </c>
      <c r="X1998">
        <v>0.99351849999999997</v>
      </c>
      <c r="Y1998">
        <v>-4.4632239999999997E-2</v>
      </c>
      <c r="Z1998">
        <v>-5.5701129999999998E-3</v>
      </c>
      <c r="AA1998">
        <v>0.99898799999999999</v>
      </c>
      <c r="AB1998">
        <v>21</v>
      </c>
      <c r="AC1998">
        <v>-0.67510000000001402</v>
      </c>
      <c r="AD1998">
        <v>-0.102106999999999</v>
      </c>
      <c r="AE1998">
        <v>-2.3200000000031199E-2</v>
      </c>
      <c r="AF1998">
        <v>-4.0106584151210198E-2</v>
      </c>
      <c r="AG1998">
        <v>-0.102106999999999</v>
      </c>
      <c r="AH1998">
        <v>0.65919004711201701</v>
      </c>
      <c r="AI1998">
        <v>98.789009179179999</v>
      </c>
      <c r="AJ1998">
        <v>93.481710335775702</v>
      </c>
      <c r="AK1998">
        <v>0.66825586099399203</v>
      </c>
      <c r="AL1998">
        <v>83.755630160131204</v>
      </c>
      <c r="AM1998">
        <v>91.903591558431202</v>
      </c>
      <c r="AN1998">
        <v>1.0000000593207199</v>
      </c>
    </row>
    <row r="1999" spans="1:40" x14ac:dyDescent="0.25">
      <c r="A1999" t="str">
        <f>"20190312164028304"</f>
        <v>20190312164028304</v>
      </c>
      <c r="B1999" t="str">
        <f>"1552380028298521"</f>
        <v>1552380028298521</v>
      </c>
      <c r="C1999" t="s">
        <v>40</v>
      </c>
      <c r="D1999">
        <v>5.4265720000000002</v>
      </c>
      <c r="E1999">
        <v>0.49879580000000001</v>
      </c>
      <c r="F1999" t="s">
        <v>42</v>
      </c>
      <c r="G1999">
        <v>-212.50919999999999</v>
      </c>
      <c r="H1999">
        <v>1.0086389999999901</v>
      </c>
      <c r="I1999">
        <v>284.79399999999998</v>
      </c>
      <c r="J1999">
        <v>-211.8477</v>
      </c>
      <c r="K1999">
        <v>1.1093200000000001</v>
      </c>
      <c r="L1999">
        <v>284.81889999999999</v>
      </c>
      <c r="M1999">
        <v>-0.99961169999999999</v>
      </c>
      <c r="N1999">
        <v>0</v>
      </c>
      <c r="O1999">
        <v>2.7229929999999999E-2</v>
      </c>
      <c r="P1999">
        <v>-0.99475720000000001</v>
      </c>
      <c r="Q1999">
        <v>0.1017887</v>
      </c>
      <c r="R1999">
        <v>-9.8543169999999996E-3</v>
      </c>
      <c r="S1999">
        <v>-3.0522610000000001</v>
      </c>
      <c r="T1999">
        <v>-0.355018099999999</v>
      </c>
      <c r="U1999">
        <v>-6.5185549999999995E-2</v>
      </c>
      <c r="V1999">
        <v>-3.6889739999999997E-2</v>
      </c>
      <c r="W1999">
        <v>0.1076699</v>
      </c>
      <c r="X1999">
        <v>0.99350210000000005</v>
      </c>
      <c r="Y1999">
        <v>-4.8060510000000001E-2</v>
      </c>
      <c r="Z1999">
        <v>-5.9415229999999998E-3</v>
      </c>
      <c r="AA1999">
        <v>0.99882669999999996</v>
      </c>
      <c r="AB1999">
        <v>21</v>
      </c>
      <c r="AC1999">
        <v>-0.66149999999998899</v>
      </c>
      <c r="AD1999">
        <v>-0.10068100000000001</v>
      </c>
      <c r="AE1999">
        <v>-2.48999999999455E-2</v>
      </c>
      <c r="AF1999">
        <v>-4.1933654933533501E-2</v>
      </c>
      <c r="AG1999">
        <v>-0.10068100000000001</v>
      </c>
      <c r="AH1999">
        <v>0.64564144098752096</v>
      </c>
      <c r="AI1999">
        <v>98.844951334951901</v>
      </c>
      <c r="AJ1999">
        <v>93.716074362119699</v>
      </c>
      <c r="AK1999">
        <v>0.65478848913028997</v>
      </c>
      <c r="AL1999">
        <v>83.818987395995904</v>
      </c>
      <c r="AM1999">
        <v>92.126473463177803</v>
      </c>
      <c r="AN1999">
        <v>1.0000000414938399</v>
      </c>
    </row>
    <row r="2000" spans="1:40" x14ac:dyDescent="0.25">
      <c r="A2000" t="str">
        <f>"20190312164028326"</f>
        <v>20190312164028326</v>
      </c>
      <c r="B2000" t="str">
        <f>"1552380028318041"</f>
        <v>1552380028318041</v>
      </c>
      <c r="C2000" t="s">
        <v>40</v>
      </c>
      <c r="D2000">
        <v>5.4367799999999997</v>
      </c>
      <c r="E2000">
        <v>0.49883169999999999</v>
      </c>
      <c r="F2000" t="s">
        <v>42</v>
      </c>
      <c r="G2000">
        <v>-212.7003</v>
      </c>
      <c r="H2000">
        <v>1.009339</v>
      </c>
      <c r="I2000">
        <v>284.79820000000001</v>
      </c>
      <c r="J2000">
        <v>-212.0694</v>
      </c>
      <c r="K2000">
        <v>1.109343</v>
      </c>
      <c r="L2000">
        <v>284.82580000000002</v>
      </c>
      <c r="M2000">
        <v>-0.99959209999999998</v>
      </c>
      <c r="N2000">
        <v>0</v>
      </c>
      <c r="O2000">
        <v>2.7973609999999999E-2</v>
      </c>
      <c r="P2000">
        <v>-0.99472989999999994</v>
      </c>
      <c r="Q2000">
        <v>0.1017409</v>
      </c>
      <c r="R2000">
        <v>-1.271794E-2</v>
      </c>
      <c r="S2000">
        <v>-3.0516969999999999</v>
      </c>
      <c r="T2000">
        <v>-0.35785600000000001</v>
      </c>
      <c r="U2000">
        <v>-7.388306E-2</v>
      </c>
      <c r="V2000">
        <v>-4.0503490000000003E-2</v>
      </c>
      <c r="W2000">
        <v>0.1074893</v>
      </c>
      <c r="X2000">
        <v>0.99338079999999995</v>
      </c>
      <c r="Y2000">
        <v>-5.1614710000000001E-2</v>
      </c>
      <c r="Z2000">
        <v>-6.284169E-3</v>
      </c>
      <c r="AA2000">
        <v>0.99864730000000002</v>
      </c>
      <c r="AB2000">
        <v>21</v>
      </c>
      <c r="AC2000">
        <v>-0.63089999999999602</v>
      </c>
      <c r="AD2000">
        <v>-0.100003999999999</v>
      </c>
      <c r="AE2000">
        <v>-2.7600000000006699E-2</v>
      </c>
      <c r="AF2000">
        <v>-4.4131340087519302E-2</v>
      </c>
      <c r="AG2000">
        <v>-0.100003999999999</v>
      </c>
      <c r="AH2000">
        <v>0.61447163221148404</v>
      </c>
      <c r="AI2000">
        <v>99.220386994857606</v>
      </c>
      <c r="AJ2000">
        <v>94.107928356525207</v>
      </c>
      <c r="AK2000">
        <v>0.62411838779719098</v>
      </c>
      <c r="AL2000">
        <v>83.829394837804102</v>
      </c>
      <c r="AM2000">
        <v>92.334849128731705</v>
      </c>
      <c r="AN2000">
        <v>0.99999994806265302</v>
      </c>
    </row>
    <row r="2001" spans="1:40" x14ac:dyDescent="0.25">
      <c r="A2001" t="str">
        <f>"20190312164028350"</f>
        <v>20190312164028350</v>
      </c>
      <c r="B2001" t="str">
        <f>"1552380028338537"</f>
        <v>1552380028338537</v>
      </c>
      <c r="C2001" t="s">
        <v>40</v>
      </c>
      <c r="D2001">
        <v>5.5240400000000003</v>
      </c>
      <c r="E2001">
        <v>0.4988301</v>
      </c>
      <c r="F2001" t="s">
        <v>42</v>
      </c>
      <c r="G2001">
        <v>-212.89490000000001</v>
      </c>
      <c r="H2001">
        <v>1.013069</v>
      </c>
      <c r="I2001">
        <v>284.80399999999997</v>
      </c>
      <c r="J2001">
        <v>-212.292</v>
      </c>
      <c r="K2001">
        <v>1.1093519999999999</v>
      </c>
      <c r="L2001">
        <v>284.83280000000002</v>
      </c>
      <c r="M2001">
        <v>-0.99957560000000001</v>
      </c>
      <c r="N2001">
        <v>0</v>
      </c>
      <c r="O2001">
        <v>2.8583000000000001E-2</v>
      </c>
      <c r="P2001">
        <v>-0.99464030000000003</v>
      </c>
      <c r="Q2001">
        <v>0.1023838</v>
      </c>
      <c r="R2001">
        <v>-1.4438990000000001E-2</v>
      </c>
      <c r="S2001">
        <v>-3.0512700000000001</v>
      </c>
      <c r="T2001">
        <v>-0.35599370000000002</v>
      </c>
      <c r="U2001">
        <v>-8.1329349999999995E-2</v>
      </c>
      <c r="V2001">
        <v>-4.2834850000000001E-2</v>
      </c>
      <c r="W2001">
        <v>0.1079951</v>
      </c>
      <c r="X2001">
        <v>0.99322820000000001</v>
      </c>
      <c r="Y2001">
        <v>-5.4643030000000002E-2</v>
      </c>
      <c r="Z2001">
        <v>-6.4992579999999999E-3</v>
      </c>
      <c r="AA2001">
        <v>0.99848479999999995</v>
      </c>
      <c r="AB2001">
        <v>21</v>
      </c>
      <c r="AC2001">
        <v>-0.60290000000000499</v>
      </c>
      <c r="AD2001">
        <v>-9.6283000000000105E-2</v>
      </c>
      <c r="AE2001">
        <v>-2.8799999999989698E-2</v>
      </c>
      <c r="AF2001">
        <v>-4.4879201653011597E-2</v>
      </c>
      <c r="AG2001">
        <v>-9.6283000000000105E-2</v>
      </c>
      <c r="AH2001">
        <v>0.58689631937139797</v>
      </c>
      <c r="AI2001">
        <v>99.289994434656705</v>
      </c>
      <c r="AJ2001">
        <v>94.372824016469195</v>
      </c>
      <c r="AK2001">
        <v>0.59643260182664903</v>
      </c>
      <c r="AL2001">
        <v>83.800245340950397</v>
      </c>
      <c r="AM2001">
        <v>92.469458917851398</v>
      </c>
      <c r="AN2001">
        <v>1.0000000116368799</v>
      </c>
    </row>
    <row r="2002" spans="1:40" x14ac:dyDescent="0.25">
      <c r="A2002" t="str">
        <f>"20190312164028370"</f>
        <v>20190312164028370</v>
      </c>
      <c r="B2002" t="str">
        <f>"1552380028358057"</f>
        <v>1552380028358057</v>
      </c>
      <c r="C2002" t="s">
        <v>40</v>
      </c>
      <c r="D2002">
        <v>5.423305</v>
      </c>
      <c r="E2002">
        <v>0.49884139999999999</v>
      </c>
      <c r="F2002" t="s">
        <v>42</v>
      </c>
      <c r="G2002">
        <v>-213.09059999999999</v>
      </c>
      <c r="H2002">
        <v>1.016945</v>
      </c>
      <c r="I2002">
        <v>284.81040000000002</v>
      </c>
      <c r="J2002">
        <v>-212.48699999999999</v>
      </c>
      <c r="K2002">
        <v>1.109351</v>
      </c>
      <c r="L2002">
        <v>284.83890000000002</v>
      </c>
      <c r="M2002">
        <v>-0.99956409999999996</v>
      </c>
      <c r="N2002">
        <v>0</v>
      </c>
      <c r="O2002">
        <v>2.900954E-2</v>
      </c>
      <c r="P2002">
        <v>-0.99460139999999997</v>
      </c>
      <c r="Q2002">
        <v>0.102483199999999</v>
      </c>
      <c r="R2002">
        <v>-1.6300930000000002E-2</v>
      </c>
      <c r="S2002">
        <v>-3.051285</v>
      </c>
      <c r="T2002">
        <v>-0.35308040000000002</v>
      </c>
      <c r="U2002">
        <v>-8.5968020000000006E-2</v>
      </c>
      <c r="V2002">
        <v>-4.5124780000000003E-2</v>
      </c>
      <c r="W2002">
        <v>0.1079647</v>
      </c>
      <c r="X2002">
        <v>0.99313010000000002</v>
      </c>
      <c r="Y2002">
        <v>-5.6579079999999997E-2</v>
      </c>
      <c r="Z2002">
        <v>-6.6070729999999998E-3</v>
      </c>
      <c r="AA2002">
        <v>0.99837629999999999</v>
      </c>
      <c r="AB2002">
        <v>21</v>
      </c>
      <c r="AC2002">
        <v>-0.60360000000000003</v>
      </c>
      <c r="AD2002">
        <v>-9.2406000000000002E-2</v>
      </c>
      <c r="AE2002">
        <v>-2.8500000000008099E-2</v>
      </c>
      <c r="AF2002">
        <v>-4.4947339335129399E-2</v>
      </c>
      <c r="AG2002">
        <v>-9.2406000000000002E-2</v>
      </c>
      <c r="AH2002">
        <v>0.58875130811281295</v>
      </c>
      <c r="AI2002">
        <v>98.894480212508398</v>
      </c>
      <c r="AJ2002">
        <v>94.365692292947401</v>
      </c>
      <c r="AK2002">
        <v>0.59765143265439902</v>
      </c>
      <c r="AL2002">
        <v>83.801997359434694</v>
      </c>
      <c r="AM2002">
        <v>92.601554828311393</v>
      </c>
      <c r="AN2002">
        <v>1.0000000088710701</v>
      </c>
    </row>
    <row r="2003" spans="1:40" x14ac:dyDescent="0.25">
      <c r="A2003" t="str">
        <f>"20190312164028393"</f>
        <v>20190312164028393</v>
      </c>
      <c r="B2003" t="str">
        <f>"1552380028388313"</f>
        <v>1552380028388313</v>
      </c>
      <c r="C2003" t="s">
        <v>40</v>
      </c>
      <c r="D2003">
        <v>5.4116970000000002</v>
      </c>
      <c r="E2003">
        <v>0.49889050000000001</v>
      </c>
      <c r="F2003" t="s">
        <v>42</v>
      </c>
      <c r="G2003">
        <v>-213.2851</v>
      </c>
      <c r="H2003">
        <v>1.0173920000000001</v>
      </c>
      <c r="I2003">
        <v>284.81490000000002</v>
      </c>
      <c r="J2003">
        <v>-212.70959999999999</v>
      </c>
      <c r="K2003">
        <v>1.1093569999999999</v>
      </c>
      <c r="L2003">
        <v>284.84589999999997</v>
      </c>
      <c r="M2003">
        <v>-0.99955400000000005</v>
      </c>
      <c r="N2003">
        <v>0</v>
      </c>
      <c r="O2003">
        <v>2.937932E-2</v>
      </c>
      <c r="P2003">
        <v>-0.99473599999999995</v>
      </c>
      <c r="Q2003">
        <v>0.1010327</v>
      </c>
      <c r="R2003">
        <v>-1.7115060000000001E-2</v>
      </c>
      <c r="S2003">
        <v>-3.0510100000000002</v>
      </c>
      <c r="T2003">
        <v>-0.35165740000000001</v>
      </c>
      <c r="U2003">
        <v>-9.2315670000000002E-2</v>
      </c>
      <c r="V2003">
        <v>-4.6320970000000003E-2</v>
      </c>
      <c r="W2003">
        <v>0.10635849999999999</v>
      </c>
      <c r="X2003">
        <v>0.99324829999999997</v>
      </c>
      <c r="Y2003">
        <v>-5.9012059999999998E-2</v>
      </c>
      <c r="Z2003">
        <v>-6.7632169999999898E-3</v>
      </c>
      <c r="AA2003">
        <v>0.99823430000000002</v>
      </c>
      <c r="AB2003">
        <v>22</v>
      </c>
      <c r="AC2003">
        <v>-0.57550000000000501</v>
      </c>
      <c r="AD2003">
        <v>-9.1964999999999797E-2</v>
      </c>
      <c r="AE2003">
        <v>-3.0999999999948999E-2</v>
      </c>
      <c r="AF2003">
        <v>-4.6705435076453097E-2</v>
      </c>
      <c r="AG2003">
        <v>-9.1964999999999797E-2</v>
      </c>
      <c r="AH2003">
        <v>0.56007992198118395</v>
      </c>
      <c r="AI2003">
        <v>99.293054929677794</v>
      </c>
      <c r="AJ2003">
        <v>94.766903673183805</v>
      </c>
      <c r="AK2003">
        <v>0.56949844415689999</v>
      </c>
      <c r="AL2003">
        <v>83.894558641641794</v>
      </c>
      <c r="AM2003">
        <v>92.670102260087404</v>
      </c>
      <c r="AN2003">
        <v>0.99999997411843999</v>
      </c>
    </row>
    <row r="2004" spans="1:40" x14ac:dyDescent="0.25">
      <c r="A2004" t="str">
        <f>"20190312164028416"</f>
        <v>20190312164028416</v>
      </c>
      <c r="B2004" t="str">
        <f>"1552380028407833"</f>
        <v>1552380028407833</v>
      </c>
      <c r="C2004" t="s">
        <v>40</v>
      </c>
      <c r="D2004">
        <v>5.8918210000000002</v>
      </c>
      <c r="E2004">
        <v>0.49890630000000002</v>
      </c>
      <c r="F2004" t="s">
        <v>42</v>
      </c>
      <c r="G2004">
        <v>-213.4847</v>
      </c>
      <c r="H2004">
        <v>1.0195590000000001</v>
      </c>
      <c r="I2004">
        <v>284.822</v>
      </c>
      <c r="J2004">
        <v>-212.9331</v>
      </c>
      <c r="K2004">
        <v>1.1093740000000001</v>
      </c>
      <c r="L2004">
        <v>284.8528</v>
      </c>
      <c r="M2004">
        <v>-0.99954759999999998</v>
      </c>
      <c r="N2004">
        <v>0</v>
      </c>
      <c r="O2004">
        <v>2.962586E-2</v>
      </c>
      <c r="P2004">
        <v>-0.99494959999999999</v>
      </c>
      <c r="Q2004">
        <v>9.8612859999999997E-2</v>
      </c>
      <c r="R2004">
        <v>-1.8733739999999999E-2</v>
      </c>
      <c r="S2004">
        <v>-3.0501399999999999</v>
      </c>
      <c r="T2004">
        <v>-0.3534987</v>
      </c>
      <c r="U2004">
        <v>-9.4543459999999996E-2</v>
      </c>
      <c r="V2004">
        <v>-4.8204419999999998E-2</v>
      </c>
      <c r="W2004">
        <v>0.10377740000000001</v>
      </c>
      <c r="X2004">
        <v>0.99343170000000003</v>
      </c>
      <c r="Y2004">
        <v>-5.9980680000000001E-2</v>
      </c>
      <c r="Z2004">
        <v>-6.8846489999999996E-3</v>
      </c>
      <c r="AA2004">
        <v>0.99817579999999995</v>
      </c>
      <c r="AB2004">
        <v>22</v>
      </c>
      <c r="AC2004">
        <v>-0.55160000000000697</v>
      </c>
      <c r="AD2004">
        <v>-8.9814999999999895E-2</v>
      </c>
      <c r="AE2004">
        <v>-3.07999999999992E-2</v>
      </c>
      <c r="AF2004">
        <v>-4.59147960332041E-2</v>
      </c>
      <c r="AG2004">
        <v>-8.9814999999999895E-2</v>
      </c>
      <c r="AH2004">
        <v>0.53627171883513802</v>
      </c>
      <c r="AI2004">
        <v>99.473651004043205</v>
      </c>
      <c r="AJ2004">
        <v>94.893646002683994</v>
      </c>
      <c r="AK2004">
        <v>0.54567596533305796</v>
      </c>
      <c r="AL2004">
        <v>84.043267951546696</v>
      </c>
      <c r="AM2004">
        <v>92.777991927419194</v>
      </c>
      <c r="AN2004">
        <v>0.99999997871159296</v>
      </c>
    </row>
    <row r="2005" spans="1:40" x14ac:dyDescent="0.25">
      <c r="A2005" t="str">
        <f>"20190312164028438"</f>
        <v>20190312164028438</v>
      </c>
      <c r="B2005" t="str">
        <f>"1552380028428329"</f>
        <v>1552380028428329</v>
      </c>
      <c r="C2005" t="s">
        <v>40</v>
      </c>
      <c r="D2005">
        <v>5.4840460000000002</v>
      </c>
      <c r="E2005">
        <v>0.49889359999999999</v>
      </c>
      <c r="F2005" t="s">
        <v>42</v>
      </c>
      <c r="G2005">
        <v>-213.6859</v>
      </c>
      <c r="H2005">
        <v>1.0207850000000001</v>
      </c>
      <c r="I2005">
        <v>284.82870000000003</v>
      </c>
      <c r="J2005">
        <v>-213.15280000000001</v>
      </c>
      <c r="K2005">
        <v>1.1093980000000001</v>
      </c>
      <c r="L2005">
        <v>284.85950000000003</v>
      </c>
      <c r="M2005">
        <v>-0.99954449999999995</v>
      </c>
      <c r="N2005">
        <v>0</v>
      </c>
      <c r="O2005">
        <v>2.975657E-2</v>
      </c>
      <c r="P2005">
        <v>-0.99514919999999996</v>
      </c>
      <c r="Q2005">
        <v>9.6214530000000006E-2</v>
      </c>
      <c r="R2005">
        <v>-2.0521069999999999E-2</v>
      </c>
      <c r="S2005">
        <v>-3.04895</v>
      </c>
      <c r="T2005">
        <v>-0.35901379999999999</v>
      </c>
      <c r="U2005">
        <v>-9.8480219999999993E-2</v>
      </c>
      <c r="V2005">
        <v>-5.014039E-2</v>
      </c>
      <c r="W2005">
        <v>0.101218</v>
      </c>
      <c r="X2005">
        <v>0.99360000000000004</v>
      </c>
      <c r="Y2005">
        <v>-6.138093E-2</v>
      </c>
      <c r="Z2005">
        <v>-7.0913779999999997E-3</v>
      </c>
      <c r="AA2005">
        <v>0.99808920000000001</v>
      </c>
      <c r="AB2005">
        <v>22</v>
      </c>
      <c r="AC2005">
        <v>-0.53309999999999003</v>
      </c>
      <c r="AD2005">
        <v>-8.8612999999999803E-2</v>
      </c>
      <c r="AE2005">
        <v>-3.07999999999992E-2</v>
      </c>
      <c r="AF2005">
        <v>-4.5399581568211902E-2</v>
      </c>
      <c r="AG2005">
        <v>-8.8612999999999803E-2</v>
      </c>
      <c r="AH2005">
        <v>0.51769129727367202</v>
      </c>
      <c r="AI2005">
        <v>99.676729607722706</v>
      </c>
      <c r="AJ2005">
        <v>95.011802844969594</v>
      </c>
      <c r="AK2005">
        <v>0.52717896870841296</v>
      </c>
      <c r="AL2005">
        <v>84.190687658385997</v>
      </c>
      <c r="AM2005">
        <v>92.888886720103102</v>
      </c>
      <c r="AN2005">
        <v>1.00000005111667</v>
      </c>
    </row>
    <row r="2006" spans="1:40" x14ac:dyDescent="0.25">
      <c r="A2006" t="str">
        <f>"20190312164028460"</f>
        <v>20190312164028460</v>
      </c>
      <c r="B2006" t="str">
        <f>"1552380028447849"</f>
        <v>1552380028447849</v>
      </c>
      <c r="C2006" t="s">
        <v>40</v>
      </c>
      <c r="D2006">
        <v>5.4268070000000002</v>
      </c>
      <c r="E2006">
        <v>0.49891770000000002</v>
      </c>
      <c r="F2006" t="s">
        <v>42</v>
      </c>
      <c r="G2006">
        <v>-214.0616</v>
      </c>
      <c r="H2006">
        <v>1.0007429999999999</v>
      </c>
      <c r="I2006">
        <v>284.8288</v>
      </c>
      <c r="J2006">
        <v>-213.36859999999999</v>
      </c>
      <c r="K2006">
        <v>1.109416</v>
      </c>
      <c r="L2006">
        <v>284.86590000000001</v>
      </c>
      <c r="M2006">
        <v>-0.99954460000000001</v>
      </c>
      <c r="N2006">
        <v>0</v>
      </c>
      <c r="O2006">
        <v>2.978391E-2</v>
      </c>
      <c r="P2006">
        <v>-0.99520419999999998</v>
      </c>
      <c r="Q2006">
        <v>9.5456180000000002E-2</v>
      </c>
      <c r="R2006">
        <v>-2.1384259999999999E-2</v>
      </c>
      <c r="S2006">
        <v>-3.0477289999999999</v>
      </c>
      <c r="T2006">
        <v>-0.36448540000000001</v>
      </c>
      <c r="U2006">
        <v>-0.10321039999999999</v>
      </c>
      <c r="V2006">
        <v>-5.1044390000000002E-2</v>
      </c>
      <c r="W2006">
        <v>0.1002991</v>
      </c>
      <c r="X2006">
        <v>0.99364710000000001</v>
      </c>
      <c r="Y2006">
        <v>-6.2937400000000004E-2</v>
      </c>
      <c r="Z2006">
        <v>-7.2973650000000001E-3</v>
      </c>
      <c r="AA2006">
        <v>0.99799079999999996</v>
      </c>
      <c r="AB2006">
        <v>22</v>
      </c>
      <c r="AC2006">
        <v>-0.69300000000001205</v>
      </c>
      <c r="AD2006">
        <v>-0.10867300000000001</v>
      </c>
      <c r="AE2006">
        <v>-3.7100000000009403E-2</v>
      </c>
      <c r="AF2006">
        <v>-5.6342472647061097E-2</v>
      </c>
      <c r="AG2006">
        <v>-0.10867300000000001</v>
      </c>
      <c r="AH2006">
        <v>0.67503517945026603</v>
      </c>
      <c r="AI2006">
        <v>99.114341676411897</v>
      </c>
      <c r="AJ2006">
        <v>94.771189275731302</v>
      </c>
      <c r="AK2006">
        <v>0.686044305164351</v>
      </c>
      <c r="AL2006">
        <v>84.243605756561195</v>
      </c>
      <c r="AM2006">
        <v>92.940741766696505</v>
      </c>
      <c r="AN2006">
        <v>0.99999999927484595</v>
      </c>
    </row>
    <row r="2007" spans="1:40" x14ac:dyDescent="0.25">
      <c r="A2007" t="str">
        <f>"20190312164028482"</f>
        <v>20190312164028482</v>
      </c>
      <c r="B2007" t="str">
        <f>"1552380028478105"</f>
        <v>1552380028478105</v>
      </c>
      <c r="C2007" t="s">
        <v>40</v>
      </c>
      <c r="D2007">
        <v>5.4338870000000004</v>
      </c>
      <c r="E2007">
        <v>0.49900820000000001</v>
      </c>
      <c r="F2007" t="s">
        <v>42</v>
      </c>
      <c r="G2007">
        <v>-214.26249999999999</v>
      </c>
      <c r="H2007">
        <v>1.002421</v>
      </c>
      <c r="I2007">
        <v>284.83479999999997</v>
      </c>
      <c r="J2007">
        <v>-213.5941</v>
      </c>
      <c r="K2007">
        <v>1.1094329999999999</v>
      </c>
      <c r="L2007">
        <v>284.87259999999998</v>
      </c>
      <c r="M2007">
        <v>-0.99954659999999995</v>
      </c>
      <c r="N2007">
        <v>0</v>
      </c>
      <c r="O2007">
        <v>2.9734650000000001E-2</v>
      </c>
      <c r="P2007">
        <v>-0.99525629999999998</v>
      </c>
      <c r="Q2007">
        <v>9.4988290000000003E-2</v>
      </c>
      <c r="R2007">
        <v>-2.1030509999999999E-2</v>
      </c>
      <c r="S2007">
        <v>-3.0471650000000001</v>
      </c>
      <c r="T2007">
        <v>-0.3648304</v>
      </c>
      <c r="U2007">
        <v>-0.1066589</v>
      </c>
      <c r="V2007">
        <v>-5.065103E-2</v>
      </c>
      <c r="W2007">
        <v>9.9668049999999994E-2</v>
      </c>
      <c r="X2007">
        <v>0.99373069999999997</v>
      </c>
      <c r="Y2007">
        <v>-6.4013710000000001E-2</v>
      </c>
      <c r="Z2007">
        <v>-7.3637469999999899E-3</v>
      </c>
      <c r="AA2007">
        <v>0.99792179999999997</v>
      </c>
      <c r="AB2007">
        <v>22</v>
      </c>
      <c r="AC2007">
        <v>-0.668399999999991</v>
      </c>
      <c r="AD2007">
        <v>-0.107011999999999</v>
      </c>
      <c r="AE2007">
        <v>-3.7800000000004198E-2</v>
      </c>
      <c r="AF2007">
        <v>-5.6221638082376998E-2</v>
      </c>
      <c r="AG2007">
        <v>-0.107011999999999</v>
      </c>
      <c r="AH2007">
        <v>0.65036313332568496</v>
      </c>
      <c r="AI2007">
        <v>99.3097230848538</v>
      </c>
      <c r="AJ2007">
        <v>94.940738541648102</v>
      </c>
      <c r="AK2007">
        <v>0.66150181097398997</v>
      </c>
      <c r="AL2007">
        <v>84.279944212361798</v>
      </c>
      <c r="AM2007">
        <v>92.917873974470993</v>
      </c>
      <c r="AN2007">
        <v>0.99999997557667597</v>
      </c>
    </row>
    <row r="2008" spans="1:40" x14ac:dyDescent="0.25">
      <c r="A2008" t="str">
        <f>"20190312164028505"</f>
        <v>20190312164028505</v>
      </c>
      <c r="B2008" t="str">
        <f>"1552380028498601"</f>
        <v>1552380028498601</v>
      </c>
      <c r="C2008" t="s">
        <v>40</v>
      </c>
      <c r="D2008">
        <v>5.4325070000000002</v>
      </c>
      <c r="E2008">
        <v>0.49898480000000001</v>
      </c>
      <c r="F2008" t="s">
        <v>42</v>
      </c>
      <c r="G2008">
        <v>-214.46449999999999</v>
      </c>
      <c r="H2008">
        <v>1.0048919999999999</v>
      </c>
      <c r="I2008">
        <v>284.84289999999999</v>
      </c>
      <c r="J2008">
        <v>-213.8169</v>
      </c>
      <c r="K2008">
        <v>1.1094170000000001</v>
      </c>
      <c r="L2008">
        <v>284.87920000000003</v>
      </c>
      <c r="M2008">
        <v>-0.99955070000000001</v>
      </c>
      <c r="N2008">
        <v>0</v>
      </c>
      <c r="O2008">
        <v>2.9625530000000001E-2</v>
      </c>
      <c r="P2008">
        <v>-0.99520469999999905</v>
      </c>
      <c r="Q2008">
        <v>9.5494490000000001E-2</v>
      </c>
      <c r="R2008">
        <v>-2.1178450000000001E-2</v>
      </c>
      <c r="S2008">
        <v>-3.0470280000000001</v>
      </c>
      <c r="T2008">
        <v>-0.36619040000000003</v>
      </c>
      <c r="U2008">
        <v>-0.1052551</v>
      </c>
      <c r="V2008">
        <v>-5.0692849999999998E-2</v>
      </c>
      <c r="W2008">
        <v>0.1000163</v>
      </c>
      <c r="X2008">
        <v>0.99369359999999995</v>
      </c>
      <c r="Y2008">
        <v>-6.3446920000000004E-2</v>
      </c>
      <c r="Z2008">
        <v>-7.3443930000000003E-3</v>
      </c>
      <c r="AA2008">
        <v>0.99795820000000002</v>
      </c>
      <c r="AB2008">
        <v>22</v>
      </c>
      <c r="AC2008">
        <v>-0.64759999999998197</v>
      </c>
      <c r="AD2008">
        <v>-0.10452500000000001</v>
      </c>
      <c r="AE2008">
        <v>-3.6300000000039703E-2</v>
      </c>
      <c r="AF2008">
        <v>-5.4065697121959501E-2</v>
      </c>
      <c r="AG2008">
        <v>-0.10452500000000001</v>
      </c>
      <c r="AH2008">
        <v>0.62988256241061003</v>
      </c>
      <c r="AI2008">
        <v>99.388107844512504</v>
      </c>
      <c r="AJ2008">
        <v>94.9059337413332</v>
      </c>
      <c r="AK2008">
        <v>0.64078125570216204</v>
      </c>
      <c r="AL2008">
        <v>84.259890884277894</v>
      </c>
      <c r="AM2008">
        <v>92.920387788589295</v>
      </c>
      <c r="AN2008">
        <v>0.99999999799388595</v>
      </c>
    </row>
    <row r="2009" spans="1:40" x14ac:dyDescent="0.25">
      <c r="A2009" t="str">
        <f>"20190312164028529"</f>
        <v>20190312164028529</v>
      </c>
      <c r="B2009" t="str">
        <f>"1552380028518121"</f>
        <v>1552380028518121</v>
      </c>
      <c r="C2009" t="s">
        <v>40</v>
      </c>
      <c r="D2009">
        <v>5.4620819999999997</v>
      </c>
      <c r="E2009">
        <v>0.49899860000000001</v>
      </c>
      <c r="F2009" t="s">
        <v>42</v>
      </c>
      <c r="G2009">
        <v>-214.66849999999999</v>
      </c>
      <c r="H2009">
        <v>1.0078</v>
      </c>
      <c r="I2009">
        <v>284.84989999999999</v>
      </c>
      <c r="J2009">
        <v>-214.0634</v>
      </c>
      <c r="K2009">
        <v>1.109391</v>
      </c>
      <c r="L2009">
        <v>284.88630000000001</v>
      </c>
      <c r="M2009">
        <v>-0.99955629999999995</v>
      </c>
      <c r="N2009">
        <v>0</v>
      </c>
      <c r="O2009">
        <v>2.9461230000000001E-2</v>
      </c>
      <c r="P2009">
        <v>-0.99514270000000005</v>
      </c>
      <c r="Q2009">
        <v>9.6020430000000004E-2</v>
      </c>
      <c r="R2009">
        <v>-2.1710440000000001E-2</v>
      </c>
      <c r="S2009">
        <v>-3.0471339999999998</v>
      </c>
      <c r="T2009">
        <v>-0.36385630000000002</v>
      </c>
      <c r="U2009">
        <v>-0.1054382</v>
      </c>
      <c r="V2009">
        <v>-5.1059220000000002E-2</v>
      </c>
      <c r="W2009">
        <v>0.1003636</v>
      </c>
      <c r="X2009">
        <v>0.99363979999999996</v>
      </c>
      <c r="Y2009">
        <v>-6.3351920000000006E-2</v>
      </c>
      <c r="Z2009">
        <v>-7.2724579999999999E-3</v>
      </c>
      <c r="AA2009">
        <v>0.99796470000000004</v>
      </c>
      <c r="AB2009">
        <v>22</v>
      </c>
      <c r="AC2009">
        <v>-0.60509999999999298</v>
      </c>
      <c r="AD2009">
        <v>-0.101591</v>
      </c>
      <c r="AE2009">
        <v>-3.6400000000014601E-2</v>
      </c>
      <c r="AF2009">
        <v>-5.2730383898689497E-2</v>
      </c>
      <c r="AG2009">
        <v>-0.101591</v>
      </c>
      <c r="AH2009">
        <v>0.58727093805714603</v>
      </c>
      <c r="AI2009">
        <v>99.775806339569797</v>
      </c>
      <c r="AJ2009">
        <v>95.130763702083996</v>
      </c>
      <c r="AK2009">
        <v>0.59832130110303094</v>
      </c>
      <c r="AL2009">
        <v>84.239891291392993</v>
      </c>
      <c r="AM2009">
        <v>92.941616217433094</v>
      </c>
      <c r="AN2009">
        <v>0.99999997414800301</v>
      </c>
    </row>
    <row r="2010" spans="1:40" x14ac:dyDescent="0.25">
      <c r="A2010" t="str">
        <f>"20190312164028552"</f>
        <v>20190312164028552</v>
      </c>
      <c r="B2010" t="str">
        <f>"1552380028548379"</f>
        <v>1552380028548379</v>
      </c>
      <c r="C2010" t="s">
        <v>40</v>
      </c>
      <c r="D2010">
        <v>5.4074400000000002</v>
      </c>
      <c r="E2010">
        <v>0.4989748</v>
      </c>
      <c r="F2010" t="s">
        <v>42</v>
      </c>
      <c r="G2010">
        <v>-214.87520000000001</v>
      </c>
      <c r="H2010">
        <v>1.0131559999999999</v>
      </c>
      <c r="I2010">
        <v>284.8587</v>
      </c>
      <c r="J2010">
        <v>-214.2928</v>
      </c>
      <c r="K2010">
        <v>1.109353</v>
      </c>
      <c r="L2010">
        <v>284.8929</v>
      </c>
      <c r="M2010">
        <v>-0.99956210000000001</v>
      </c>
      <c r="N2010">
        <v>0</v>
      </c>
      <c r="O2010">
        <v>2.9291790000000002E-2</v>
      </c>
      <c r="P2010">
        <v>-0.99507219999999996</v>
      </c>
      <c r="Q2010">
        <v>9.6617800000000004E-2</v>
      </c>
      <c r="R2010">
        <v>-2.2279520000000001E-2</v>
      </c>
      <c r="S2010">
        <v>-3.047256</v>
      </c>
      <c r="T2010">
        <v>-0.36155369999999998</v>
      </c>
      <c r="U2010">
        <v>-0.1045532</v>
      </c>
      <c r="V2010">
        <v>-5.1455000000000001E-2</v>
      </c>
      <c r="W2010">
        <v>0.1007849</v>
      </c>
      <c r="X2010">
        <v>0.99357680000000004</v>
      </c>
      <c r="Y2010">
        <v>-6.2904489999999993E-2</v>
      </c>
      <c r="Z2010">
        <v>-7.1800259999999999E-3</v>
      </c>
      <c r="AA2010">
        <v>0.99799369999999998</v>
      </c>
      <c r="AB2010">
        <v>23</v>
      </c>
      <c r="AC2010">
        <v>-0.58240000000000602</v>
      </c>
      <c r="AD2010">
        <v>-9.6197000000000005E-2</v>
      </c>
      <c r="AE2010">
        <v>-3.4199999999998398E-2</v>
      </c>
      <c r="AF2010">
        <v>-4.9888616423093897E-2</v>
      </c>
      <c r="AG2010">
        <v>-9.6197000000000005E-2</v>
      </c>
      <c r="AH2010">
        <v>0.565765971526205</v>
      </c>
      <c r="AI2010">
        <v>99.613096410155194</v>
      </c>
      <c r="AJ2010">
        <v>95.039244407441004</v>
      </c>
      <c r="AK2010">
        <v>0.57605023339514505</v>
      </c>
      <c r="AL2010">
        <v>84.215629915814901</v>
      </c>
      <c r="AM2010">
        <v>92.964564950919595</v>
      </c>
      <c r="AN2010">
        <v>1.00000003529562</v>
      </c>
    </row>
    <row r="2011" spans="1:40" x14ac:dyDescent="0.25">
      <c r="A2011" t="str">
        <f>"20190312164028571"</f>
        <v>20190312164028571</v>
      </c>
      <c r="B2011" t="str">
        <f>"1552380028567897"</f>
        <v>1552380028567897</v>
      </c>
      <c r="C2011" t="s">
        <v>40</v>
      </c>
      <c r="D2011">
        <v>5.4671669999999999</v>
      </c>
      <c r="E2011">
        <v>0.49899700000000002</v>
      </c>
      <c r="F2011" t="s">
        <v>42</v>
      </c>
      <c r="G2011">
        <v>-215.08199999999999</v>
      </c>
      <c r="H2011">
        <v>1.0161770000000001</v>
      </c>
      <c r="I2011">
        <v>284.86559999999997</v>
      </c>
      <c r="J2011">
        <v>-214.49950000000001</v>
      </c>
      <c r="K2011">
        <v>1.109308</v>
      </c>
      <c r="L2011">
        <v>284.89879999999999</v>
      </c>
      <c r="M2011">
        <v>-0.99956710000000004</v>
      </c>
      <c r="N2011">
        <v>0</v>
      </c>
      <c r="O2011">
        <v>2.914313E-2</v>
      </c>
      <c r="P2011">
        <v>-0.99494439999999995</v>
      </c>
      <c r="Q2011">
        <v>9.8117060000000006E-2</v>
      </c>
      <c r="R2011">
        <v>-2.1422409999999999E-2</v>
      </c>
      <c r="S2011">
        <v>-3.0474549999999998</v>
      </c>
      <c r="T2011">
        <v>-0.3599001</v>
      </c>
      <c r="U2011">
        <v>-0.1054382</v>
      </c>
      <c r="V2011">
        <v>-5.0443210000000002E-2</v>
      </c>
      <c r="W2011">
        <v>0.10212019999999999</v>
      </c>
      <c r="X2011">
        <v>0.99349229999999999</v>
      </c>
      <c r="Y2011">
        <v>-6.3049300000000003E-2</v>
      </c>
      <c r="Z2011">
        <v>-7.1379499999999997E-3</v>
      </c>
      <c r="AA2011">
        <v>0.99798489999999995</v>
      </c>
      <c r="AB2011">
        <v>23</v>
      </c>
      <c r="AC2011">
        <v>-0.58249999999998103</v>
      </c>
      <c r="AD2011">
        <v>-9.3130999999999797E-2</v>
      </c>
      <c r="AE2011">
        <v>-3.3200000000022101E-2</v>
      </c>
      <c r="AF2011">
        <v>-4.8915573082965798E-2</v>
      </c>
      <c r="AG2011">
        <v>-9.3130999999999797E-2</v>
      </c>
      <c r="AH2011">
        <v>0.56684225292086698</v>
      </c>
      <c r="AI2011">
        <v>99.296277183180294</v>
      </c>
      <c r="AJ2011">
        <v>94.932112688275495</v>
      </c>
      <c r="AK2011">
        <v>0.57652082022025797</v>
      </c>
      <c r="AL2011">
        <v>84.138725864279195</v>
      </c>
      <c r="AM2011">
        <v>92.906618681498401</v>
      </c>
      <c r="AN2011">
        <v>1.00000000142121</v>
      </c>
    </row>
    <row r="2012" spans="1:40" x14ac:dyDescent="0.25">
      <c r="A2012" t="str">
        <f>"20190312164028594"</f>
        <v>20190312164028594</v>
      </c>
      <c r="B2012" t="str">
        <f>"1552380028588393"</f>
        <v>1552380028588393</v>
      </c>
      <c r="C2012" t="s">
        <v>40</v>
      </c>
      <c r="D2012">
        <v>5.4600339999999896</v>
      </c>
      <c r="E2012">
        <v>0.49902819999999998</v>
      </c>
      <c r="F2012" t="s">
        <v>42</v>
      </c>
      <c r="G2012">
        <v>-215.28980000000001</v>
      </c>
      <c r="H2012">
        <v>1.017631</v>
      </c>
      <c r="I2012">
        <v>284.87220000000002</v>
      </c>
      <c r="J2012">
        <v>-214.73679999999999</v>
      </c>
      <c r="K2012">
        <v>1.109253</v>
      </c>
      <c r="L2012">
        <v>284.90550000000002</v>
      </c>
      <c r="M2012">
        <v>-0.99957229999999997</v>
      </c>
      <c r="N2012">
        <v>0</v>
      </c>
      <c r="O2012">
        <v>2.8991320000000001E-2</v>
      </c>
      <c r="P2012">
        <v>-0.99497340000000001</v>
      </c>
      <c r="Q2012">
        <v>9.8221920000000004E-2</v>
      </c>
      <c r="R2012">
        <v>-1.951491E-2</v>
      </c>
      <c r="S2012">
        <v>-3.0479129999999999</v>
      </c>
      <c r="T2012">
        <v>-0.35380729999999999</v>
      </c>
      <c r="U2012">
        <v>-0.1035156</v>
      </c>
      <c r="V2012">
        <v>-4.8381349999999997E-2</v>
      </c>
      <c r="W2012">
        <v>0.1020358</v>
      </c>
      <c r="X2012">
        <v>0.99360349999999997</v>
      </c>
      <c r="Y2012">
        <v>-6.229142E-2</v>
      </c>
      <c r="Z2012">
        <v>-6.9555559999999999E-3</v>
      </c>
      <c r="AA2012">
        <v>0.99803379999999997</v>
      </c>
      <c r="AB2012">
        <v>23</v>
      </c>
      <c r="AC2012">
        <v>-0.55300000000002503</v>
      </c>
      <c r="AD2012">
        <v>-9.1621999999999995E-2</v>
      </c>
      <c r="AE2012">
        <v>-3.3299999999996999E-2</v>
      </c>
      <c r="AF2012">
        <v>-4.8005314720068998E-2</v>
      </c>
      <c r="AG2012">
        <v>-9.1621999999999995E-2</v>
      </c>
      <c r="AH2012">
        <v>0.537111457439018</v>
      </c>
      <c r="AI2012">
        <v>99.642786914819496</v>
      </c>
      <c r="AJ2012">
        <v>95.107343970037803</v>
      </c>
      <c r="AK2012">
        <v>0.54698063844860101</v>
      </c>
      <c r="AL2012">
        <v>84.143586938180604</v>
      </c>
      <c r="AM2012">
        <v>92.787690906302601</v>
      </c>
      <c r="AN2012">
        <v>0.99999998736085605</v>
      </c>
    </row>
    <row r="2013" spans="1:40" x14ac:dyDescent="0.25">
      <c r="A2013" t="str">
        <f>"20190312164028616"</f>
        <v>20190312164028616</v>
      </c>
      <c r="B2013" t="str">
        <f>"1552380028607913"</f>
        <v>1552380028607913</v>
      </c>
      <c r="C2013" t="s">
        <v>40</v>
      </c>
      <c r="D2013">
        <v>5.5664600000000002</v>
      </c>
      <c r="E2013">
        <v>0.4990483</v>
      </c>
      <c r="F2013" t="s">
        <v>42</v>
      </c>
      <c r="G2013">
        <v>-215.5035</v>
      </c>
      <c r="H2013">
        <v>1.0207729999999999</v>
      </c>
      <c r="I2013">
        <v>284.8809</v>
      </c>
      <c r="J2013">
        <v>-214.97130000000001</v>
      </c>
      <c r="K2013">
        <v>1.109199</v>
      </c>
      <c r="L2013">
        <v>284.91219999999998</v>
      </c>
      <c r="M2013">
        <v>-0.99957640000000003</v>
      </c>
      <c r="N2013">
        <v>0</v>
      </c>
      <c r="O2013">
        <v>2.8873030000000001E-2</v>
      </c>
      <c r="P2013">
        <v>-0.99509380000000003</v>
      </c>
      <c r="Q2013">
        <v>9.7276489999999993E-2</v>
      </c>
      <c r="R2013">
        <v>-1.8047259999999999E-2</v>
      </c>
      <c r="S2013">
        <v>-3.0479579999999999</v>
      </c>
      <c r="T2013">
        <v>-0.35195959999999898</v>
      </c>
      <c r="U2013">
        <v>-9.8815920000000002E-2</v>
      </c>
      <c r="V2013">
        <v>-4.6793809999999998E-2</v>
      </c>
      <c r="W2013">
        <v>0.1009101</v>
      </c>
      <c r="X2013">
        <v>0.99379450000000003</v>
      </c>
      <c r="Y2013">
        <v>-6.0653510000000001E-2</v>
      </c>
      <c r="Z2013">
        <v>-6.811681E-3</v>
      </c>
      <c r="AA2013">
        <v>0.99813560000000001</v>
      </c>
      <c r="AB2013">
        <v>23</v>
      </c>
      <c r="AC2013">
        <v>-0.53219999999998802</v>
      </c>
      <c r="AD2013">
        <v>-8.8426000000000102E-2</v>
      </c>
      <c r="AE2013">
        <v>-3.12999999999874E-2</v>
      </c>
      <c r="AF2013">
        <v>-4.5404153833710097E-2</v>
      </c>
      <c r="AG2013">
        <v>-8.8426000000000102E-2</v>
      </c>
      <c r="AH2013">
        <v>0.51685504582265396</v>
      </c>
      <c r="AI2013">
        <v>99.671898394780399</v>
      </c>
      <c r="AJ2013">
        <v>95.020373324068998</v>
      </c>
      <c r="AK2013">
        <v>0.52632673602401403</v>
      </c>
      <c r="AL2013">
        <v>84.208419570935106</v>
      </c>
      <c r="AM2013">
        <v>92.695838069320601</v>
      </c>
      <c r="AN2013">
        <v>1.0000000085832801</v>
      </c>
    </row>
    <row r="2014" spans="1:40" x14ac:dyDescent="0.25">
      <c r="A2014" t="str">
        <f>"20190312164028641"</f>
        <v>20190312164028641</v>
      </c>
      <c r="B2014" t="str">
        <f>"1552380028628409"</f>
        <v>1552380028628409</v>
      </c>
      <c r="C2014" t="s">
        <v>40</v>
      </c>
      <c r="D2014">
        <v>5.6574960000000001</v>
      </c>
      <c r="E2014">
        <v>0.49903710000000001</v>
      </c>
      <c r="F2014" t="s">
        <v>42</v>
      </c>
      <c r="G2014">
        <v>-215.71430000000001</v>
      </c>
      <c r="H2014">
        <v>1.0229140000000001</v>
      </c>
      <c r="I2014">
        <v>284.88909999999998</v>
      </c>
      <c r="J2014">
        <v>-215.21559999999999</v>
      </c>
      <c r="K2014">
        <v>1.109138</v>
      </c>
      <c r="L2014">
        <v>284.91919999999999</v>
      </c>
      <c r="M2014">
        <v>-0.99957940000000001</v>
      </c>
      <c r="N2014">
        <v>0</v>
      </c>
      <c r="O2014">
        <v>2.8791779999999999E-2</v>
      </c>
      <c r="P2014">
        <v>-0.99520030000000004</v>
      </c>
      <c r="Q2014">
        <v>9.6295829999999999E-2</v>
      </c>
      <c r="R2014">
        <v>-1.742604E-2</v>
      </c>
      <c r="S2014">
        <v>-3.0476990000000002</v>
      </c>
      <c r="T2014">
        <v>-0.35417009999999899</v>
      </c>
      <c r="U2014">
        <v>-9.5397949999999995E-2</v>
      </c>
      <c r="V2014">
        <v>-4.6087900000000001E-2</v>
      </c>
      <c r="W2014">
        <v>9.9757250000000006E-2</v>
      </c>
      <c r="X2014">
        <v>0.99394389999999999</v>
      </c>
      <c r="Y2014">
        <v>-5.9457799999999998E-2</v>
      </c>
      <c r="Z2014">
        <v>-6.7762289999999999E-3</v>
      </c>
      <c r="AA2014">
        <v>0.99820779999999998</v>
      </c>
      <c r="AB2014">
        <v>23</v>
      </c>
      <c r="AC2014">
        <v>-0.49870000000001302</v>
      </c>
      <c r="AD2014">
        <v>-8.6223999999999995E-2</v>
      </c>
      <c r="AE2014">
        <v>-3.0100000000004401E-2</v>
      </c>
      <c r="AF2014">
        <v>-4.3160529955367198E-2</v>
      </c>
      <c r="AG2014">
        <v>-8.6223999999999995E-2</v>
      </c>
      <c r="AH2014">
        <v>0.48323347998590699</v>
      </c>
      <c r="AI2014">
        <v>100.077603867538</v>
      </c>
      <c r="AJ2014">
        <v>95.103892467445107</v>
      </c>
      <c r="AK2014">
        <v>0.49275958204921599</v>
      </c>
      <c r="AL2014">
        <v>84.274808199883296</v>
      </c>
      <c r="AM2014">
        <v>92.654829999330602</v>
      </c>
      <c r="AN2014">
        <v>1.0000000399005899</v>
      </c>
    </row>
    <row r="2015" spans="1:40" x14ac:dyDescent="0.25">
      <c r="A2015" t="str">
        <f>"20190312164028663"</f>
        <v>20190312164028663</v>
      </c>
      <c r="B2015" t="str">
        <f>"1552380028658666"</f>
        <v>1552380028658666</v>
      </c>
      <c r="C2015" t="s">
        <v>40</v>
      </c>
      <c r="D2015">
        <v>5.5791399999999998</v>
      </c>
      <c r="E2015">
        <v>0.49911359999999999</v>
      </c>
      <c r="F2015" t="s">
        <v>42</v>
      </c>
      <c r="G2015">
        <v>-216.11930000000001</v>
      </c>
      <c r="H2015">
        <v>1.0033190000000001</v>
      </c>
      <c r="I2015">
        <v>284.89179999999999</v>
      </c>
      <c r="J2015">
        <v>-215.45599999999999</v>
      </c>
      <c r="K2015">
        <v>1.1090990000000001</v>
      </c>
      <c r="L2015">
        <v>284.92610000000002</v>
      </c>
      <c r="M2015">
        <v>-0.99958130000000001</v>
      </c>
      <c r="N2015">
        <v>0</v>
      </c>
      <c r="O2015">
        <v>2.8747109999999999E-2</v>
      </c>
      <c r="P2015">
        <v>-0.9952898</v>
      </c>
      <c r="Q2015">
        <v>9.5434850000000002E-2</v>
      </c>
      <c r="R2015">
        <v>-1.7053200000000001E-2</v>
      </c>
      <c r="S2015">
        <v>-3.047409</v>
      </c>
      <c r="T2015">
        <v>-0.35706520000000003</v>
      </c>
      <c r="U2015">
        <v>-9.3048099999999995E-2</v>
      </c>
      <c r="V2015">
        <v>-4.566692E-2</v>
      </c>
      <c r="W2015">
        <v>9.8745639999999996E-2</v>
      </c>
      <c r="X2015">
        <v>0.99406430000000001</v>
      </c>
      <c r="Y2015">
        <v>-5.8643180000000003E-2</v>
      </c>
      <c r="Z2015">
        <v>-6.779195E-3</v>
      </c>
      <c r="AA2015">
        <v>0.99825600000000003</v>
      </c>
      <c r="AB2015">
        <v>24</v>
      </c>
      <c r="AC2015">
        <v>-0.66330000000001998</v>
      </c>
      <c r="AD2015">
        <v>-0.10578</v>
      </c>
      <c r="AE2015">
        <v>-3.4300000000030098E-2</v>
      </c>
      <c r="AF2015">
        <v>-5.2034064296425001E-2</v>
      </c>
      <c r="AG2015">
        <v>-0.10578</v>
      </c>
      <c r="AH2015">
        <v>0.64566287901429598</v>
      </c>
      <c r="AI2015">
        <v>99.274659638698694</v>
      </c>
      <c r="AJ2015">
        <v>94.607517406302193</v>
      </c>
      <c r="AK2015">
        <v>0.65633642713492102</v>
      </c>
      <c r="AL2015">
        <v>84.333056570250093</v>
      </c>
      <c r="AM2015">
        <v>92.630296078064106</v>
      </c>
      <c r="AN2015">
        <v>1.00000000076789</v>
      </c>
    </row>
    <row r="2016" spans="1:40" x14ac:dyDescent="0.25">
      <c r="A2016" t="str">
        <f>"20190312164028685"</f>
        <v>20190312164028685</v>
      </c>
      <c r="B2016" t="str">
        <f>"1552380028678185"</f>
        <v>1552380028678185</v>
      </c>
      <c r="C2016" t="s">
        <v>40</v>
      </c>
      <c r="D2016">
        <v>5.5651460000000004</v>
      </c>
      <c r="E2016">
        <v>0.5108433</v>
      </c>
      <c r="F2016" t="s">
        <v>42</v>
      </c>
      <c r="G2016">
        <v>-216.33430000000001</v>
      </c>
      <c r="H2016">
        <v>1.0058860000000001</v>
      </c>
      <c r="I2016">
        <v>284.8999</v>
      </c>
      <c r="J2016">
        <v>-215.6866</v>
      </c>
      <c r="K2016">
        <v>1.109062</v>
      </c>
      <c r="L2016">
        <v>284.93270000000001</v>
      </c>
      <c r="M2016">
        <v>-0.99958219999999998</v>
      </c>
      <c r="N2016">
        <v>0</v>
      </c>
      <c r="O2016">
        <v>2.872686E-2</v>
      </c>
      <c r="P2016">
        <v>-0.9952801</v>
      </c>
      <c r="Q2016">
        <v>9.5637429999999996E-2</v>
      </c>
      <c r="R2016">
        <v>-1.6461199999999999E-2</v>
      </c>
      <c r="S2016">
        <v>-3.046967</v>
      </c>
      <c r="T2016">
        <v>-0.35807480000000003</v>
      </c>
      <c r="U2016">
        <v>-9.1369629999999993E-2</v>
      </c>
      <c r="V2016">
        <v>-4.504942E-2</v>
      </c>
      <c r="W2016">
        <v>9.8818699999999995E-2</v>
      </c>
      <c r="X2016">
        <v>0.9940852</v>
      </c>
      <c r="Y2016">
        <v>-5.8078419999999999E-2</v>
      </c>
      <c r="Z2016">
        <v>-6.7638259999999997E-3</v>
      </c>
      <c r="AA2016">
        <v>0.99828910000000004</v>
      </c>
      <c r="AB2016">
        <v>24</v>
      </c>
      <c r="AC2016">
        <v>-0.64770000000001404</v>
      </c>
      <c r="AD2016">
        <v>-0.103175999999999</v>
      </c>
      <c r="AE2016">
        <v>-3.2800000000008801E-2</v>
      </c>
      <c r="AF2016">
        <v>-5.0124284706155701E-2</v>
      </c>
      <c r="AG2016">
        <v>-0.103175999999999</v>
      </c>
      <c r="AH2016">
        <v>0.63053150428426896</v>
      </c>
      <c r="AI2016">
        <v>99.264423957797007</v>
      </c>
      <c r="AJ2016">
        <v>94.545186245942702</v>
      </c>
      <c r="AK2016">
        <v>0.64088041691745201</v>
      </c>
      <c r="AL2016">
        <v>84.328849878351605</v>
      </c>
      <c r="AM2016">
        <v>92.594724144038395</v>
      </c>
      <c r="AN2016">
        <v>0.99999998528553302</v>
      </c>
    </row>
    <row r="2017" spans="1:40" x14ac:dyDescent="0.25">
      <c r="A2017" t="str">
        <f>"20190312164028707"</f>
        <v>20190312164028707</v>
      </c>
      <c r="B2017" t="str">
        <f>"1552380028697705"</f>
        <v>1552380028697705</v>
      </c>
      <c r="C2017" t="s">
        <v>40</v>
      </c>
      <c r="D2017">
        <v>5.5750359999999999</v>
      </c>
      <c r="E2017">
        <v>0.50996980000000003</v>
      </c>
      <c r="F2017" t="s">
        <v>48</v>
      </c>
      <c r="G2017">
        <v>-230.37379999999999</v>
      </c>
      <c r="H2017" s="1">
        <v>-1.3538540000000001E-6</v>
      </c>
      <c r="I2017">
        <v>284.98200000000003</v>
      </c>
      <c r="J2017">
        <v>-215.93260000000001</v>
      </c>
      <c r="K2017">
        <v>1.1090310000000001</v>
      </c>
      <c r="L2017">
        <v>284.93979999999999</v>
      </c>
      <c r="M2017">
        <v>-0.99958270000000005</v>
      </c>
      <c r="N2017">
        <v>0</v>
      </c>
      <c r="O2017">
        <v>2.8722299999999999E-2</v>
      </c>
      <c r="P2017">
        <v>-0.99528030000000001</v>
      </c>
      <c r="Q2017">
        <v>9.5810149999999997E-2</v>
      </c>
      <c r="R2017">
        <v>-1.541031E-2</v>
      </c>
      <c r="S2017">
        <v>-3.0364529999999998</v>
      </c>
      <c r="T2017">
        <v>-0.22928879999999999</v>
      </c>
      <c r="U2017">
        <v>1.019287E-2</v>
      </c>
      <c r="V2017">
        <v>-4.3990689999999999E-2</v>
      </c>
      <c r="W2017">
        <v>9.8869960000000007E-2</v>
      </c>
      <c r="X2017">
        <v>0.99412750000000005</v>
      </c>
      <c r="Y2017">
        <v>-2.5213309999999999E-2</v>
      </c>
      <c r="Z2017">
        <v>-3.1161489999999999E-3</v>
      </c>
      <c r="AA2017">
        <v>0.99967720000000004</v>
      </c>
      <c r="AB2017">
        <v>24</v>
      </c>
      <c r="AC2017">
        <v>-14.441199999999901</v>
      </c>
      <c r="AD2017">
        <v>-1.1090323538539999</v>
      </c>
      <c r="AE2017">
        <v>4.2200000000036597E-2</v>
      </c>
      <c r="AF2017">
        <v>-0.37041925148622001</v>
      </c>
      <c r="AG2017">
        <v>-1.1090323538539999</v>
      </c>
      <c r="AH2017">
        <v>14.351812217144699</v>
      </c>
      <c r="AI2017">
        <v>94.4172690773309</v>
      </c>
      <c r="AJ2017">
        <v>91.478471752266799</v>
      </c>
      <c r="AK2017">
        <v>14.3993637741378</v>
      </c>
      <c r="AL2017">
        <v>84.325898344951696</v>
      </c>
      <c r="AM2017">
        <v>92.533716930290296</v>
      </c>
      <c r="AN2017">
        <v>0.99999996802666302</v>
      </c>
    </row>
    <row r="2018" spans="1:40" x14ac:dyDescent="0.25">
      <c r="A2018" t="str">
        <f>"20190312164028730"</f>
        <v>20190312164028730</v>
      </c>
      <c r="B2018" t="str">
        <f>"1552380028718202"</f>
        <v>1552380028718202</v>
      </c>
      <c r="C2018" t="s">
        <v>40</v>
      </c>
      <c r="D2018">
        <v>5.5165280000000001</v>
      </c>
      <c r="E2018">
        <v>0.50892020000000004</v>
      </c>
      <c r="F2018" t="s">
        <v>48</v>
      </c>
      <c r="G2018">
        <v>-230.768</v>
      </c>
      <c r="H2018" s="1">
        <v>-1.1435299999999999E-6</v>
      </c>
      <c r="I2018">
        <v>284.96960000000001</v>
      </c>
      <c r="J2018">
        <v>-216.1849</v>
      </c>
      <c r="K2018">
        <v>1.1090070000000001</v>
      </c>
      <c r="L2018">
        <v>284.947</v>
      </c>
      <c r="M2018">
        <v>-0.99958279999999999</v>
      </c>
      <c r="N2018">
        <v>0</v>
      </c>
      <c r="O2018">
        <v>2.8728469999999999E-2</v>
      </c>
      <c r="P2018">
        <v>-0.99528240000000001</v>
      </c>
      <c r="Q2018">
        <v>9.5907729999999997E-2</v>
      </c>
      <c r="R2018">
        <v>-1.4655059999999999E-2</v>
      </c>
      <c r="S2018">
        <v>-3.0361790000000002</v>
      </c>
      <c r="T2018">
        <v>-0.22697229999999999</v>
      </c>
      <c r="U2018">
        <v>6.1035159999999998E-3</v>
      </c>
      <c r="V2018">
        <v>-4.3239380000000001E-2</v>
      </c>
      <c r="W2018">
        <v>9.8859530000000001E-2</v>
      </c>
      <c r="X2018">
        <v>0.99416150000000003</v>
      </c>
      <c r="Y2018">
        <v>-2.6564839999999999E-2</v>
      </c>
      <c r="Z2018">
        <v>-3.1359560000000001E-3</v>
      </c>
      <c r="AA2018">
        <v>0.99964219999999904</v>
      </c>
      <c r="AB2018">
        <v>24</v>
      </c>
      <c r="AC2018">
        <v>-14.5831</v>
      </c>
      <c r="AD2018">
        <v>-1.1090081435299901</v>
      </c>
      <c r="AE2018">
        <v>2.2600000000011201E-2</v>
      </c>
      <c r="AF2018">
        <v>-0.39408228424663</v>
      </c>
      <c r="AG2018">
        <v>-1.1090081435299901</v>
      </c>
      <c r="AH2018">
        <v>14.4939088007041</v>
      </c>
      <c r="AI2018">
        <v>94.373877296421796</v>
      </c>
      <c r="AJ2018">
        <v>91.557460474933194</v>
      </c>
      <c r="AK2018">
        <v>14.5416158741833</v>
      </c>
      <c r="AL2018">
        <v>84.326498889691905</v>
      </c>
      <c r="AM2018">
        <v>92.490413873539794</v>
      </c>
      <c r="AN2018">
        <v>0.99999996936842706</v>
      </c>
    </row>
    <row r="2019" spans="1:40" x14ac:dyDescent="0.25">
      <c r="A2019" t="str">
        <f>"20190312164028753"</f>
        <v>20190312164028753</v>
      </c>
      <c r="B2019" t="str">
        <f>"1552380028748458"</f>
        <v>1552380028748458</v>
      </c>
      <c r="C2019" t="s">
        <v>40</v>
      </c>
      <c r="D2019">
        <v>5.5707750000000003</v>
      </c>
      <c r="E2019">
        <v>0.50791350000000002</v>
      </c>
      <c r="F2019" t="s">
        <v>48</v>
      </c>
      <c r="G2019">
        <v>-229.78720000000001</v>
      </c>
      <c r="H2019" s="1">
        <v>3.6714469999999999E-6</v>
      </c>
      <c r="I2019">
        <v>284.93900000000002</v>
      </c>
      <c r="J2019">
        <v>-216.43049999999999</v>
      </c>
      <c r="K2019">
        <v>1.1089850000000001</v>
      </c>
      <c r="L2019">
        <v>284.95409999999998</v>
      </c>
      <c r="M2019">
        <v>-0.99958279999999999</v>
      </c>
      <c r="N2019">
        <v>0</v>
      </c>
      <c r="O2019">
        <v>2.8739589999999999E-2</v>
      </c>
      <c r="P2019">
        <v>-0.99533490000000002</v>
      </c>
      <c r="Q2019">
        <v>9.5567750000000007E-2</v>
      </c>
      <c r="R2019">
        <v>-1.3251550000000001E-2</v>
      </c>
      <c r="S2019">
        <v>-3.038071</v>
      </c>
      <c r="T2019">
        <v>-0.24769649999999999</v>
      </c>
      <c r="U2019">
        <v>-1.8005370000000001E-3</v>
      </c>
      <c r="V2019">
        <v>-4.1847420000000003E-2</v>
      </c>
      <c r="W2019">
        <v>9.8428660000000001E-2</v>
      </c>
      <c r="X2019">
        <v>0.99426380000000003</v>
      </c>
      <c r="Y2019">
        <v>-2.9140079999999999E-2</v>
      </c>
      <c r="Z2019">
        <v>-3.524995E-3</v>
      </c>
      <c r="AA2019">
        <v>0.99956909999999999</v>
      </c>
      <c r="AB2019">
        <v>24</v>
      </c>
      <c r="AC2019">
        <v>-13.3567</v>
      </c>
      <c r="AD2019">
        <v>-1.1089813285529999</v>
      </c>
      <c r="AE2019">
        <v>-1.50999999999612E-2</v>
      </c>
      <c r="AF2019">
        <v>-0.39622995734258498</v>
      </c>
      <c r="AG2019">
        <v>-1.1089813285529999</v>
      </c>
      <c r="AH2019">
        <v>13.259343423998001</v>
      </c>
      <c r="AI2019">
        <v>94.778837990213304</v>
      </c>
      <c r="AJ2019">
        <v>91.711664707639301</v>
      </c>
      <c r="AK2019">
        <v>13.311537319246501</v>
      </c>
      <c r="AL2019">
        <v>84.351306840719403</v>
      </c>
      <c r="AM2019">
        <v>92.410091009067102</v>
      </c>
      <c r="AN2019">
        <v>0.99999995583024504</v>
      </c>
    </row>
    <row r="2020" spans="1:40" x14ac:dyDescent="0.25">
      <c r="A2020" t="str">
        <f>"20190312164028774"</f>
        <v>20190312164028774</v>
      </c>
      <c r="B2020" t="str">
        <f>"1552380028767978"</f>
        <v>1552380028767978</v>
      </c>
      <c r="C2020" t="s">
        <v>40</v>
      </c>
      <c r="D2020">
        <v>5.5844279999999999</v>
      </c>
      <c r="E2020">
        <v>0.50712049999999997</v>
      </c>
      <c r="F2020" t="s">
        <v>48</v>
      </c>
      <c r="G2020">
        <v>-229.44630000000001</v>
      </c>
      <c r="H2020" s="1">
        <v>3.4900559999999999E-6</v>
      </c>
      <c r="I2020">
        <v>284.9246</v>
      </c>
      <c r="J2020">
        <v>-216.66820000000001</v>
      </c>
      <c r="K2020">
        <v>1.108967</v>
      </c>
      <c r="L2020">
        <v>284.96100000000001</v>
      </c>
      <c r="M2020">
        <v>-0.99958279999999999</v>
      </c>
      <c r="N2020">
        <v>0</v>
      </c>
      <c r="O2020">
        <v>2.875103E-2</v>
      </c>
      <c r="P2020">
        <v>-0.99536369999999996</v>
      </c>
      <c r="Q2020">
        <v>9.5377240000000002E-2</v>
      </c>
      <c r="R2020">
        <v>-1.2436040000000001E-2</v>
      </c>
      <c r="S2020">
        <v>-3.038834</v>
      </c>
      <c r="T2020">
        <v>-0.25891789999999998</v>
      </c>
      <c r="U2020">
        <v>-6.8969729999999998E-3</v>
      </c>
      <c r="V2020">
        <v>-4.1044419999999998E-2</v>
      </c>
      <c r="W2020">
        <v>9.8162460000000007E-2</v>
      </c>
      <c r="X2020">
        <v>0.99432359999999997</v>
      </c>
      <c r="Y2020">
        <v>-3.0803980000000002E-2</v>
      </c>
      <c r="Z2020">
        <v>-3.7549409999999999E-3</v>
      </c>
      <c r="AA2020">
        <v>0.99951840000000003</v>
      </c>
      <c r="AB2020">
        <v>24</v>
      </c>
      <c r="AC2020">
        <v>-12.778099999999901</v>
      </c>
      <c r="AD2020">
        <v>-1.1089635099439901</v>
      </c>
      <c r="AE2020">
        <v>-3.6400000000014601E-2</v>
      </c>
      <c r="AF2020">
        <v>-0.40075150781278401</v>
      </c>
      <c r="AG2020">
        <v>-1.1089635099439901</v>
      </c>
      <c r="AH2020">
        <v>12.676295752921799</v>
      </c>
      <c r="AI2020">
        <v>94.997208021328106</v>
      </c>
      <c r="AJ2020">
        <v>91.810759657425393</v>
      </c>
      <c r="AK2020">
        <v>12.731020220428</v>
      </c>
      <c r="AL2020">
        <v>84.366633263933196</v>
      </c>
      <c r="AM2020">
        <v>92.3637553252685</v>
      </c>
      <c r="AN2020">
        <v>0.99999996724167295</v>
      </c>
    </row>
    <row r="2021" spans="1:40" x14ac:dyDescent="0.25">
      <c r="A2021" t="str">
        <f>"20190312164028796"</f>
        <v>20190312164028796</v>
      </c>
      <c r="B2021" t="str">
        <f>"1552380028788475"</f>
        <v>1552380028788475</v>
      </c>
      <c r="C2021" t="s">
        <v>40</v>
      </c>
      <c r="D2021">
        <v>5.5712479999999998</v>
      </c>
      <c r="E2021">
        <v>0.50726949999999904</v>
      </c>
      <c r="F2021" t="s">
        <v>48</v>
      </c>
      <c r="G2021">
        <v>-229.2124</v>
      </c>
      <c r="H2021" s="1">
        <v>3.3656029999999999E-6</v>
      </c>
      <c r="I2021">
        <v>284.9067</v>
      </c>
      <c r="J2021">
        <v>-216.9051</v>
      </c>
      <c r="K2021">
        <v>1.1089549999999999</v>
      </c>
      <c r="L2021">
        <v>284.96780000000001</v>
      </c>
      <c r="M2021">
        <v>-0.99958259999999999</v>
      </c>
      <c r="N2021">
        <v>0</v>
      </c>
      <c r="O2021">
        <v>2.876072E-2</v>
      </c>
      <c r="P2021">
        <v>-0.99537750000000003</v>
      </c>
      <c r="Q2021">
        <v>9.5312659999999993E-2</v>
      </c>
      <c r="R2021">
        <v>-1.1794570000000001E-2</v>
      </c>
      <c r="S2021">
        <v>-3.039536</v>
      </c>
      <c r="T2021">
        <v>-0.26870739999999999</v>
      </c>
      <c r="U2021">
        <v>-1.3153079999999999E-2</v>
      </c>
      <c r="V2021">
        <v>-4.0412900000000002E-2</v>
      </c>
      <c r="W2021">
        <v>9.8033869999999995E-2</v>
      </c>
      <c r="X2021">
        <v>0.99436219999999997</v>
      </c>
      <c r="Y2021">
        <v>-3.2845810000000003E-2</v>
      </c>
      <c r="Z2021">
        <v>-3.9864109999999996E-3</v>
      </c>
      <c r="AA2021">
        <v>0.99945249999999997</v>
      </c>
      <c r="AB2021">
        <v>25</v>
      </c>
      <c r="AC2021">
        <v>-12.3072999999999</v>
      </c>
      <c r="AD2021">
        <v>-1.1089516343969901</v>
      </c>
      <c r="AE2021">
        <v>-6.1100000000010299E-2</v>
      </c>
      <c r="AF2021">
        <v>-0.41170036098829998</v>
      </c>
      <c r="AG2021">
        <v>-1.1089516343969901</v>
      </c>
      <c r="AH2021">
        <v>12.2013914591484</v>
      </c>
      <c r="AI2021">
        <v>95.1902534790338</v>
      </c>
      <c r="AJ2021">
        <v>91.932545740178796</v>
      </c>
      <c r="AK2021">
        <v>12.2585979807663</v>
      </c>
      <c r="AL2021">
        <v>84.374036897764</v>
      </c>
      <c r="AM2021">
        <v>92.327336036470797</v>
      </c>
      <c r="AN2021">
        <v>1.0000000134712099</v>
      </c>
    </row>
    <row r="2022" spans="1:40" x14ac:dyDescent="0.25">
      <c r="A2022" t="str">
        <f>"20190312164028817"</f>
        <v>20190312164028817</v>
      </c>
      <c r="B2022" t="str">
        <f>"1552380028807997"</f>
        <v>1552380028807997</v>
      </c>
      <c r="C2022" t="s">
        <v>40</v>
      </c>
      <c r="D2022">
        <v>5.7434000000000003</v>
      </c>
      <c r="E2022">
        <v>0.50731009999999999</v>
      </c>
      <c r="F2022" t="s">
        <v>48</v>
      </c>
      <c r="G2022">
        <v>-229.36510000000001</v>
      </c>
      <c r="H2022" s="1">
        <v>3.44687E-6</v>
      </c>
      <c r="I2022">
        <v>284.92149999999998</v>
      </c>
      <c r="J2022">
        <v>-217.15129999999999</v>
      </c>
      <c r="K2022">
        <v>1.108946</v>
      </c>
      <c r="L2022">
        <v>284.97489999999999</v>
      </c>
      <c r="M2022">
        <v>-0.99958270000000005</v>
      </c>
      <c r="N2022">
        <v>0</v>
      </c>
      <c r="O2022">
        <v>2.8767649999999999E-2</v>
      </c>
      <c r="P2022">
        <v>-0.99542540000000002</v>
      </c>
      <c r="Q2022">
        <v>9.4845209999999999E-2</v>
      </c>
      <c r="R2022">
        <v>-1.152677E-2</v>
      </c>
      <c r="S2022">
        <v>-3.0397029999999998</v>
      </c>
      <c r="T2022">
        <v>-0.2705362</v>
      </c>
      <c r="U2022">
        <v>-1.1291499999999999E-2</v>
      </c>
      <c r="V2022">
        <v>-4.015324E-2</v>
      </c>
      <c r="W2022">
        <v>9.7509460000000006E-2</v>
      </c>
      <c r="X2022">
        <v>0.99442430000000004</v>
      </c>
      <c r="Y2022">
        <v>-3.2239539999999997E-2</v>
      </c>
      <c r="Z2022">
        <v>-3.986903E-3</v>
      </c>
      <c r="AA2022">
        <v>0.99947220000000003</v>
      </c>
      <c r="AB2022">
        <v>25</v>
      </c>
      <c r="AC2022">
        <v>-12.213800000000001</v>
      </c>
      <c r="AD2022">
        <v>-1.1089425531299999</v>
      </c>
      <c r="AE2022">
        <v>-5.3400000000010502E-2</v>
      </c>
      <c r="AF2022">
        <v>-0.40143224523112903</v>
      </c>
      <c r="AG2022">
        <v>-1.1089425531299999</v>
      </c>
      <c r="AH2022">
        <v>12.1074022111377</v>
      </c>
      <c r="AI2022">
        <v>95.230381852090105</v>
      </c>
      <c r="AJ2022">
        <v>91.8989994996045</v>
      </c>
      <c r="AK2022">
        <v>12.16470672626</v>
      </c>
      <c r="AL2022">
        <v>84.404228136325997</v>
      </c>
      <c r="AM2022">
        <v>92.312254529292304</v>
      </c>
      <c r="AN2022">
        <v>1.00000003295123</v>
      </c>
    </row>
    <row r="2023" spans="1:40" x14ac:dyDescent="0.25">
      <c r="A2023" t="str">
        <f>"20190312164028840"</f>
        <v>20190312164028840</v>
      </c>
      <c r="B2023" t="str">
        <f>"1552380028828492"</f>
        <v>1552380028828492</v>
      </c>
      <c r="C2023" t="s">
        <v>40</v>
      </c>
      <c r="D2023">
        <v>5.6316930000000003</v>
      </c>
      <c r="E2023">
        <v>0.50731959999999998</v>
      </c>
      <c r="F2023" t="s">
        <v>48</v>
      </c>
      <c r="G2023">
        <v>-229.83320000000001</v>
      </c>
      <c r="H2023" s="1">
        <v>3.6959500000000002E-6</v>
      </c>
      <c r="I2023">
        <v>284.93209999999999</v>
      </c>
      <c r="J2023">
        <v>-217.39330000000001</v>
      </c>
      <c r="K2023">
        <v>1.108935</v>
      </c>
      <c r="L2023">
        <v>284.9819</v>
      </c>
      <c r="M2023">
        <v>-0.99958270000000005</v>
      </c>
      <c r="N2023">
        <v>0</v>
      </c>
      <c r="O2023">
        <v>2.8771169999999999E-2</v>
      </c>
      <c r="P2023">
        <v>-0.99541659999999998</v>
      </c>
      <c r="Q2023">
        <v>9.5009270000000007E-2</v>
      </c>
      <c r="R2023">
        <v>-1.0936909999999999E-2</v>
      </c>
      <c r="S2023">
        <v>-3.038986</v>
      </c>
      <c r="T2023">
        <v>-0.26573839999999999</v>
      </c>
      <c r="U2023">
        <v>-1.025391E-2</v>
      </c>
      <c r="V2023">
        <v>-3.9567159999999997E-2</v>
      </c>
      <c r="W2023">
        <v>9.7630010000000003E-2</v>
      </c>
      <c r="X2023">
        <v>0.99443590000000004</v>
      </c>
      <c r="Y2023">
        <v>-3.191227E-2</v>
      </c>
      <c r="Z2023">
        <v>-3.9034130000000001E-3</v>
      </c>
      <c r="AA2023">
        <v>0.99948300000000001</v>
      </c>
      <c r="AB2023">
        <v>25</v>
      </c>
      <c r="AC2023">
        <v>-12.4398999999999</v>
      </c>
      <c r="AD2023">
        <v>-1.10893130405</v>
      </c>
      <c r="AE2023">
        <v>-4.9800000000004702E-2</v>
      </c>
      <c r="AF2023">
        <v>-0.40447692922851203</v>
      </c>
      <c r="AG2023">
        <v>-1.10893130405</v>
      </c>
      <c r="AH2023">
        <v>12.335296561594101</v>
      </c>
      <c r="AI2023">
        <v>95.134281651967797</v>
      </c>
      <c r="AJ2023">
        <v>91.8780675726547</v>
      </c>
      <c r="AK2023">
        <v>12.391645229179799</v>
      </c>
      <c r="AL2023">
        <v>84.397287658023302</v>
      </c>
      <c r="AM2023">
        <v>92.278513955960605</v>
      </c>
      <c r="AN2023">
        <v>0.99999996910593703</v>
      </c>
    </row>
    <row r="2024" spans="1:40" x14ac:dyDescent="0.25">
      <c r="A2024" t="str">
        <f>"20190312164028852"</f>
        <v>20190312164028852</v>
      </c>
      <c r="B2024" t="str">
        <f>"1552380028848010"</f>
        <v>1552380028848010</v>
      </c>
      <c r="C2024" t="s">
        <v>40</v>
      </c>
      <c r="D2024">
        <v>5.5667609999999996</v>
      </c>
      <c r="E2024">
        <v>0.50727509999999998</v>
      </c>
      <c r="F2024" t="s">
        <v>42</v>
      </c>
      <c r="G2024">
        <v>-218.33279999999999</v>
      </c>
      <c r="H2024">
        <v>1.0283850000000001</v>
      </c>
      <c r="I2024">
        <v>284.9796</v>
      </c>
      <c r="J2024">
        <v>-217.54900000000001</v>
      </c>
      <c r="K2024">
        <v>1.1089329999999999</v>
      </c>
      <c r="L2024">
        <v>284.9864</v>
      </c>
      <c r="M2024">
        <v>-0.99958259999999999</v>
      </c>
      <c r="N2024">
        <v>0</v>
      </c>
      <c r="O2024">
        <v>2.8772030000000001E-2</v>
      </c>
      <c r="P2024">
        <v>-0.99543910000000002</v>
      </c>
      <c r="Q2024">
        <v>9.484447E-2</v>
      </c>
      <c r="R2024">
        <v>-1.0273910000000001E-2</v>
      </c>
      <c r="S2024">
        <v>-3.0386199999999999</v>
      </c>
      <c r="T2024">
        <v>-0.26073859999999999</v>
      </c>
      <c r="U2024">
        <v>-8.3923339999999996E-3</v>
      </c>
      <c r="V2024">
        <v>-3.8906370000000003E-2</v>
      </c>
      <c r="W2024">
        <v>9.7445420000000005E-2</v>
      </c>
      <c r="X2024">
        <v>0.99448009999999998</v>
      </c>
      <c r="Y2024">
        <v>-3.1311989999999998E-2</v>
      </c>
      <c r="Z2024">
        <v>-3.805068E-3</v>
      </c>
      <c r="AA2024">
        <v>0.99950240000000001</v>
      </c>
      <c r="AB2024">
        <v>25</v>
      </c>
      <c r="AC2024">
        <v>-0.78379999999998495</v>
      </c>
      <c r="AD2024">
        <v>-8.05479999999998E-2</v>
      </c>
      <c r="AE2024">
        <v>-6.7999999999983603E-3</v>
      </c>
      <c r="AF2024">
        <v>-2.9042092332958201E-2</v>
      </c>
      <c r="AG2024">
        <v>-8.05479999999998E-2</v>
      </c>
      <c r="AH2024">
        <v>0.77509480730775404</v>
      </c>
      <c r="AI2024">
        <v>95.928761576951104</v>
      </c>
      <c r="AJ2024">
        <v>92.145816549282202</v>
      </c>
      <c r="AK2024">
        <v>0.77980983819551797</v>
      </c>
      <c r="AL2024">
        <v>84.407914687859801</v>
      </c>
      <c r="AM2024">
        <v>92.2404013415469</v>
      </c>
      <c r="AN2024">
        <v>0.99999999240078097</v>
      </c>
    </row>
    <row r="2025" spans="1:40" x14ac:dyDescent="0.25">
      <c r="A2025" t="str">
        <f>"20190312164028872"</f>
        <v>20190312164028872</v>
      </c>
      <c r="B2025" t="str">
        <f>"1552380028868506"</f>
        <v>1552380028868506</v>
      </c>
      <c r="C2025" t="s">
        <v>40</v>
      </c>
      <c r="D2025">
        <v>5.5742059999999896</v>
      </c>
      <c r="E2025">
        <v>0.50722049999999996</v>
      </c>
      <c r="F2025" t="s">
        <v>48</v>
      </c>
      <c r="G2025">
        <v>-230.6223</v>
      </c>
      <c r="H2025" s="1">
        <v>-1.220539E-6</v>
      </c>
      <c r="I2025">
        <v>284.95670000000001</v>
      </c>
      <c r="J2025">
        <v>-217.76650000000001</v>
      </c>
      <c r="K2025">
        <v>1.108924</v>
      </c>
      <c r="L2025">
        <v>284.99270000000001</v>
      </c>
      <c r="M2025">
        <v>-0.99958279999999999</v>
      </c>
      <c r="N2025">
        <v>0</v>
      </c>
      <c r="O2025">
        <v>2.8772059999999999E-2</v>
      </c>
      <c r="P2025">
        <v>-0.99540980000000001</v>
      </c>
      <c r="Q2025">
        <v>9.5255049999999994E-2</v>
      </c>
      <c r="R2025">
        <v>-9.287811E-3</v>
      </c>
      <c r="S2025">
        <v>-3.038208</v>
      </c>
      <c r="T2025">
        <v>-0.25771559999999999</v>
      </c>
      <c r="U2025">
        <v>-6.8969729999999998E-3</v>
      </c>
      <c r="V2025">
        <v>-3.7919509999999997E-2</v>
      </c>
      <c r="W2025">
        <v>9.7832169999999996E-2</v>
      </c>
      <c r="X2025">
        <v>0.99448029999999998</v>
      </c>
      <c r="Y2025">
        <v>-3.0827199999999999E-2</v>
      </c>
      <c r="Z2025">
        <v>-3.7410949999999998E-3</v>
      </c>
      <c r="AA2025">
        <v>0.99951769999999995</v>
      </c>
      <c r="AB2025">
        <v>25</v>
      </c>
      <c r="AC2025">
        <v>-12.855799999999901</v>
      </c>
      <c r="AD2025">
        <v>-1.1089252205389999</v>
      </c>
      <c r="AE2025">
        <v>-3.6000000000001302E-2</v>
      </c>
      <c r="AF2025">
        <v>-0.40287651930508001</v>
      </c>
      <c r="AG2025">
        <v>-1.1089252205389999</v>
      </c>
      <c r="AH2025">
        <v>12.754541512444799</v>
      </c>
      <c r="AI2025">
        <v>94.966538914597706</v>
      </c>
      <c r="AJ2025">
        <v>91.809194933560505</v>
      </c>
      <c r="AK2025">
        <v>12.808995035803299</v>
      </c>
      <c r="AL2025">
        <v>84.385649454024005</v>
      </c>
      <c r="AM2025">
        <v>92.183628853614806</v>
      </c>
      <c r="AN2025">
        <v>1.00000004490681</v>
      </c>
    </row>
    <row r="2026" spans="1:40" x14ac:dyDescent="0.25">
      <c r="A2026" t="str">
        <f>"20190312164028895"</f>
        <v>20190312164028895</v>
      </c>
      <c r="B2026" t="str">
        <f>"1552380028888025"</f>
        <v>1552380028888025</v>
      </c>
      <c r="C2026" t="s">
        <v>40</v>
      </c>
      <c r="D2026">
        <v>5.6343560000000004</v>
      </c>
      <c r="E2026">
        <v>0.50708829999999905</v>
      </c>
      <c r="F2026" t="s">
        <v>48</v>
      </c>
      <c r="G2026">
        <v>-231.1874</v>
      </c>
      <c r="H2026" s="1">
        <v>-9.2041399999999997E-7</v>
      </c>
      <c r="I2026">
        <v>284.97129999999999</v>
      </c>
      <c r="J2026">
        <v>-218.0376</v>
      </c>
      <c r="K2026">
        <v>1.1089199999999999</v>
      </c>
      <c r="L2026">
        <v>285.00049999999999</v>
      </c>
      <c r="M2026">
        <v>-0.99958279999999999</v>
      </c>
      <c r="N2026">
        <v>0</v>
      </c>
      <c r="O2026">
        <v>2.8767910000000001E-2</v>
      </c>
      <c r="P2026">
        <v>-0.99534400000000001</v>
      </c>
      <c r="Q2026">
        <v>9.6018999999999993E-2</v>
      </c>
      <c r="R2026">
        <v>-8.4109549999999995E-3</v>
      </c>
      <c r="S2026">
        <v>-3.037811</v>
      </c>
      <c r="T2026">
        <v>-0.2510037</v>
      </c>
      <c r="U2026">
        <v>-4.8522950000000004E-3</v>
      </c>
      <c r="V2026">
        <v>-3.7037580000000001E-2</v>
      </c>
      <c r="W2026">
        <v>9.8576250000000004E-2</v>
      </c>
      <c r="X2026">
        <v>0.99443999999999999</v>
      </c>
      <c r="Y2026">
        <v>-3.0163800000000001E-2</v>
      </c>
      <c r="Z2026">
        <v>-3.6167669999999999E-3</v>
      </c>
      <c r="AA2026">
        <v>0.99953840000000005</v>
      </c>
      <c r="AB2026">
        <v>25</v>
      </c>
      <c r="AC2026">
        <v>-13.149800000000001</v>
      </c>
      <c r="AD2026">
        <v>-1.108920920414</v>
      </c>
      <c r="AE2026">
        <v>-2.9200000000002901E-2</v>
      </c>
      <c r="AF2026">
        <v>-0.404604093438093</v>
      </c>
      <c r="AG2026">
        <v>-1.108920920414</v>
      </c>
      <c r="AH2026">
        <v>13.050707473075899</v>
      </c>
      <c r="AI2026">
        <v>94.854445206742298</v>
      </c>
      <c r="AJ2026">
        <v>91.775741588988893</v>
      </c>
      <c r="AK2026">
        <v>13.1039831970267</v>
      </c>
      <c r="AL2026">
        <v>84.342809404786095</v>
      </c>
      <c r="AM2026">
        <v>92.132975946806695</v>
      </c>
      <c r="AN2026">
        <v>0.99999998649815902</v>
      </c>
    </row>
    <row r="2027" spans="1:40" x14ac:dyDescent="0.25">
      <c r="A2027" t="str">
        <f>"20190312164028917"</f>
        <v>20190312164028917</v>
      </c>
      <c r="B2027" t="str">
        <f>"1552380028908525"</f>
        <v>1552380028908525</v>
      </c>
      <c r="C2027" t="s">
        <v>40</v>
      </c>
      <c r="D2027">
        <v>5.5583410000000004</v>
      </c>
      <c r="E2027">
        <v>0.50699519999999998</v>
      </c>
      <c r="F2027" t="s">
        <v>48</v>
      </c>
      <c r="G2027">
        <v>-231.68729999999999</v>
      </c>
      <c r="H2027" s="1">
        <v>-6.5490869999999998E-7</v>
      </c>
      <c r="I2027">
        <v>284.98250000000002</v>
      </c>
      <c r="J2027">
        <v>-218.29239999999999</v>
      </c>
      <c r="K2027">
        <v>1.108922</v>
      </c>
      <c r="L2027">
        <v>285.00779999999997</v>
      </c>
      <c r="M2027">
        <v>-0.99958320000000001</v>
      </c>
      <c r="N2027">
        <v>0</v>
      </c>
      <c r="O2027">
        <v>2.875347E-2</v>
      </c>
      <c r="P2027">
        <v>-0.99531579999999997</v>
      </c>
      <c r="Q2027">
        <v>9.6383419999999997E-2</v>
      </c>
      <c r="R2027">
        <v>-7.5440699999999999E-3</v>
      </c>
      <c r="S2027">
        <v>-3.037811</v>
      </c>
      <c r="T2027">
        <v>-0.24679670000000001</v>
      </c>
      <c r="U2027">
        <v>-3.9978030000000003E-3</v>
      </c>
      <c r="V2027">
        <v>-3.6157620000000001E-2</v>
      </c>
      <c r="W2027">
        <v>9.8932599999999996E-2</v>
      </c>
      <c r="X2027">
        <v>0.99443700000000002</v>
      </c>
      <c r="Y2027">
        <v>-2.9875869999999999E-2</v>
      </c>
      <c r="Z2027">
        <v>-3.5434989999999999E-3</v>
      </c>
      <c r="AA2027">
        <v>0.99954739999999997</v>
      </c>
      <c r="AB2027">
        <v>26</v>
      </c>
      <c r="AC2027">
        <v>-13.3949</v>
      </c>
      <c r="AD2027">
        <v>-1.1089226549086999</v>
      </c>
      <c r="AE2027">
        <v>-2.52999999999588E-2</v>
      </c>
      <c r="AF2027">
        <v>-0.40764680877891601</v>
      </c>
      <c r="AG2027">
        <v>-1.1089226549086999</v>
      </c>
      <c r="AH2027">
        <v>13.297497741414601</v>
      </c>
      <c r="AI2027">
        <v>94.764827566990107</v>
      </c>
      <c r="AJ2027">
        <v>91.7559039737083</v>
      </c>
      <c r="AK2027">
        <v>13.3498813312405</v>
      </c>
      <c r="AL2027">
        <v>84.322291779091302</v>
      </c>
      <c r="AM2027">
        <v>92.082350916254498</v>
      </c>
      <c r="AN2027">
        <v>0.99999998989791195</v>
      </c>
    </row>
    <row r="2028" spans="1:40" x14ac:dyDescent="0.25">
      <c r="A2028" t="str">
        <f>"20190312164028931"</f>
        <v>20190312164028931</v>
      </c>
      <c r="B2028" t="str">
        <f>"1552380028928042"</f>
        <v>1552380028928042</v>
      </c>
      <c r="C2028" t="s">
        <v>40</v>
      </c>
      <c r="D2028">
        <v>5.573804</v>
      </c>
      <c r="E2028">
        <v>0.50685820000000004</v>
      </c>
      <c r="F2028" t="s">
        <v>48</v>
      </c>
      <c r="G2028">
        <v>-232.0992</v>
      </c>
      <c r="H2028" s="1">
        <v>-4.363278E-7</v>
      </c>
      <c r="I2028">
        <v>284.9966</v>
      </c>
      <c r="J2028">
        <v>-218.45</v>
      </c>
      <c r="K2028">
        <v>1.108932</v>
      </c>
      <c r="L2028">
        <v>285.01240000000001</v>
      </c>
      <c r="M2028">
        <v>-0.99958380000000002</v>
      </c>
      <c r="N2028">
        <v>0</v>
      </c>
      <c r="O2028">
        <v>2.8733180000000001E-2</v>
      </c>
      <c r="P2028">
        <v>-0.99528709999999998</v>
      </c>
      <c r="Q2028">
        <v>9.6730449999999996E-2</v>
      </c>
      <c r="R2028">
        <v>-6.8778379999999998E-3</v>
      </c>
      <c r="S2028">
        <v>-3.0377200000000002</v>
      </c>
      <c r="T2028">
        <v>-0.2439817</v>
      </c>
      <c r="U2028">
        <v>-2.4719239999999999E-3</v>
      </c>
      <c r="V2028">
        <v>-3.5472610000000002E-2</v>
      </c>
      <c r="W2028">
        <v>9.9278030000000003E-2</v>
      </c>
      <c r="X2028">
        <v>0.99442730000000001</v>
      </c>
      <c r="Y2028">
        <v>-2.9359630000000001E-2</v>
      </c>
      <c r="Z2028">
        <v>-3.4809889999999999E-3</v>
      </c>
      <c r="AA2028">
        <v>0.99956290000000003</v>
      </c>
      <c r="AB2028">
        <v>26</v>
      </c>
      <c r="AC2028">
        <v>-13.6492</v>
      </c>
      <c r="AD2028">
        <v>-1.1089324363277999</v>
      </c>
      <c r="AE2028">
        <v>-1.5800000000012901E-2</v>
      </c>
      <c r="AF2028">
        <v>-0.40530437256711199</v>
      </c>
      <c r="AG2028">
        <v>-1.1089324363277999</v>
      </c>
      <c r="AH2028">
        <v>13.553645831851</v>
      </c>
      <c r="AI2028">
        <v>94.675327849402194</v>
      </c>
      <c r="AJ2028">
        <v>91.712846266149597</v>
      </c>
      <c r="AK2028">
        <v>13.604974021217901</v>
      </c>
      <c r="AL2028">
        <v>84.302402490271106</v>
      </c>
      <c r="AM2028">
        <v>92.042954215303993</v>
      </c>
      <c r="AN2028">
        <v>1.0000000441430901</v>
      </c>
    </row>
    <row r="2029" spans="1:40" x14ac:dyDescent="0.25">
      <c r="A2029" t="str">
        <f>"20190312164028952"</f>
        <v>20190312164028952</v>
      </c>
      <c r="B2029" t="str">
        <f>"1552380028948538"</f>
        <v>1552380028948538</v>
      </c>
      <c r="C2029" t="s">
        <v>40</v>
      </c>
      <c r="D2029">
        <v>5.4980690000000001</v>
      </c>
      <c r="E2029">
        <v>0.50672170000000005</v>
      </c>
      <c r="F2029" t="s">
        <v>48</v>
      </c>
      <c r="G2029">
        <v>-232.38310000000001</v>
      </c>
      <c r="H2029" s="1">
        <v>-2.8571679999999998E-7</v>
      </c>
      <c r="I2029">
        <v>285.0068</v>
      </c>
      <c r="J2029">
        <v>-218.68729999999999</v>
      </c>
      <c r="K2029">
        <v>1.1089450000000001</v>
      </c>
      <c r="L2029">
        <v>285.01929999999999</v>
      </c>
      <c r="M2029">
        <v>-0.99958519999999895</v>
      </c>
      <c r="N2029">
        <v>0</v>
      </c>
      <c r="O2029">
        <v>2.8688430000000001E-2</v>
      </c>
      <c r="P2029">
        <v>-0.99521269999999995</v>
      </c>
      <c r="Q2029">
        <v>9.757644E-2</v>
      </c>
      <c r="R2029">
        <v>-5.5744619999999996E-3</v>
      </c>
      <c r="S2029">
        <v>-3.0377040000000002</v>
      </c>
      <c r="T2029">
        <v>-0.24177180000000001</v>
      </c>
      <c r="U2029">
        <v>-1.2207030000000001E-3</v>
      </c>
      <c r="V2029">
        <v>-3.4126320000000002E-2</v>
      </c>
      <c r="W2029">
        <v>0.10012450000000001</v>
      </c>
      <c r="X2029">
        <v>0.99438950000000004</v>
      </c>
      <c r="Y2029">
        <v>-2.8908090000000001E-2</v>
      </c>
      <c r="Z2029">
        <v>-3.4280769999999999E-3</v>
      </c>
      <c r="AA2029">
        <v>0.99957620000000003</v>
      </c>
      <c r="AB2029">
        <v>26</v>
      </c>
      <c r="AC2029">
        <v>-13.6958</v>
      </c>
      <c r="AD2029">
        <v>-1.1089452857168001</v>
      </c>
      <c r="AE2029">
        <v>-1.24999999999886E-2</v>
      </c>
      <c r="AF2029">
        <v>-0.402766537654209</v>
      </c>
      <c r="AG2029">
        <v>-1.1089452857168001</v>
      </c>
      <c r="AH2029">
        <v>13.6006371635184</v>
      </c>
      <c r="AI2029">
        <v>94.659339181329699</v>
      </c>
      <c r="AJ2029">
        <v>91.696249966699696</v>
      </c>
      <c r="AK2029">
        <v>13.6517146096835</v>
      </c>
      <c r="AL2029">
        <v>84.253660213621203</v>
      </c>
      <c r="AM2029">
        <v>91.965554754871604</v>
      </c>
      <c r="AN2029">
        <v>0.99999999946362095</v>
      </c>
    </row>
    <row r="2030" spans="1:40" x14ac:dyDescent="0.25">
      <c r="A2030" t="str">
        <f>"20190312164028973"</f>
        <v>20190312164028973</v>
      </c>
      <c r="B2030" t="str">
        <f>"1552380028968058"</f>
        <v>1552380028968058</v>
      </c>
      <c r="C2030" t="s">
        <v>40</v>
      </c>
      <c r="D2030">
        <v>5.4158200000000001</v>
      </c>
      <c r="E2030">
        <v>0.50653950000000003</v>
      </c>
      <c r="F2030" t="s">
        <v>48</v>
      </c>
      <c r="G2030">
        <v>-232.81030000000001</v>
      </c>
      <c r="H2030" s="1">
        <v>-5.9226470000000001E-8</v>
      </c>
      <c r="I2030">
        <v>285.0265</v>
      </c>
      <c r="J2030">
        <v>-218.9503</v>
      </c>
      <c r="K2030">
        <v>1.1089739999999999</v>
      </c>
      <c r="L2030">
        <v>285.02679999999998</v>
      </c>
      <c r="M2030">
        <v>-0.99958720000000001</v>
      </c>
      <c r="N2030">
        <v>0</v>
      </c>
      <c r="O2030">
        <v>2.8614569999999999E-2</v>
      </c>
      <c r="P2030">
        <v>-0.99503920000000001</v>
      </c>
      <c r="Q2030">
        <v>9.9389279999999997E-2</v>
      </c>
      <c r="R2030">
        <v>-4.3145340000000001E-3</v>
      </c>
      <c r="S2030">
        <v>-3.0378419999999999</v>
      </c>
      <c r="T2030">
        <v>-0.238534</v>
      </c>
      <c r="U2030">
        <v>1.556396E-3</v>
      </c>
      <c r="V2030">
        <v>-3.2793500000000003E-2</v>
      </c>
      <c r="W2030">
        <v>0.10194</v>
      </c>
      <c r="X2030">
        <v>0.99424990000000002</v>
      </c>
      <c r="Y2030">
        <v>-2.792851E-2</v>
      </c>
      <c r="Z2030">
        <v>-3.3379619999999999E-3</v>
      </c>
      <c r="AA2030">
        <v>0.9996043</v>
      </c>
      <c r="AB2030">
        <v>26</v>
      </c>
      <c r="AC2030">
        <v>-13.86</v>
      </c>
      <c r="AD2030">
        <v>-1.1089740592264701</v>
      </c>
      <c r="AE2030">
        <v>-2.9999999998153699E-4</v>
      </c>
      <c r="AF2030">
        <v>-0.394374344967863</v>
      </c>
      <c r="AG2030">
        <v>-1.1089740592264701</v>
      </c>
      <c r="AH2030">
        <v>13.766184730809901</v>
      </c>
      <c r="AI2030">
        <v>94.603797592223799</v>
      </c>
      <c r="AJ2030">
        <v>91.640963521075903</v>
      </c>
      <c r="AK2030">
        <v>13.8164104104789</v>
      </c>
      <c r="AL2030">
        <v>84.149104839499003</v>
      </c>
      <c r="AM2030">
        <v>91.8891108107278</v>
      </c>
      <c r="AN2030">
        <v>1.0000000204461299</v>
      </c>
    </row>
    <row r="2031" spans="1:40" x14ac:dyDescent="0.25">
      <c r="A2031" t="str">
        <f>"20190312164028989"</f>
        <v>20190312164028989</v>
      </c>
      <c r="B2031" t="str">
        <f>"1552380028977818"</f>
        <v>1552380028977818</v>
      </c>
      <c r="C2031" t="s">
        <v>40</v>
      </c>
      <c r="D2031">
        <v>5.4857060000000004</v>
      </c>
      <c r="E2031">
        <v>0.5064362</v>
      </c>
      <c r="F2031" t="s">
        <v>48</v>
      </c>
      <c r="G2031">
        <v>-233.4331</v>
      </c>
      <c r="H2031" s="1">
        <v>2.7145210000000001E-7</v>
      </c>
      <c r="I2031">
        <v>285.04379999999998</v>
      </c>
      <c r="J2031">
        <v>-219.12360000000001</v>
      </c>
      <c r="K2031">
        <v>1.108992</v>
      </c>
      <c r="L2031">
        <v>285.0317</v>
      </c>
      <c r="M2031">
        <v>-0.99958919999999996</v>
      </c>
      <c r="N2031">
        <v>0</v>
      </c>
      <c r="O2031">
        <v>2.8547400000000001E-2</v>
      </c>
      <c r="P2031">
        <v>-0.99495109999999998</v>
      </c>
      <c r="Q2031">
        <v>0.1002938</v>
      </c>
      <c r="R2031">
        <v>-3.6924089999999998E-3</v>
      </c>
      <c r="S2031">
        <v>-3.038208</v>
      </c>
      <c r="T2031">
        <v>-0.23264099999999999</v>
      </c>
      <c r="U2031">
        <v>3.5705569999999998E-3</v>
      </c>
      <c r="V2031">
        <v>-3.2105889999999998E-2</v>
      </c>
      <c r="W2031">
        <v>0.1028483</v>
      </c>
      <c r="X2031">
        <v>0.99417880000000003</v>
      </c>
      <c r="Y2031">
        <v>-2.7209529999999999E-2</v>
      </c>
      <c r="Z2031">
        <v>-3.2227229999999998E-3</v>
      </c>
      <c r="AA2031">
        <v>0.99962459999999997</v>
      </c>
      <c r="AB2031">
        <v>26</v>
      </c>
      <c r="AC2031">
        <v>-14.3094999999999</v>
      </c>
      <c r="AD2031">
        <v>-1.1089917285478901</v>
      </c>
      <c r="AE2031">
        <v>1.2099999999975301E-2</v>
      </c>
      <c r="AF2031">
        <v>-0.394038558993201</v>
      </c>
      <c r="AG2031">
        <v>-1.1089917285478901</v>
      </c>
      <c r="AH2031">
        <v>14.218612084417201</v>
      </c>
      <c r="AI2031">
        <v>94.458095412272598</v>
      </c>
      <c r="AJ2031">
        <v>91.587424233275698</v>
      </c>
      <c r="AK2031">
        <v>14.267237246471201</v>
      </c>
      <c r="AL2031">
        <v>84.096788119609897</v>
      </c>
      <c r="AM2031">
        <v>91.849660156717604</v>
      </c>
      <c r="AN2031">
        <v>1.00000002367751</v>
      </c>
    </row>
    <row r="2032" spans="1:40" x14ac:dyDescent="0.25">
      <c r="A2032" t="str">
        <f>"20190312164029008"</f>
        <v>20190312164029008</v>
      </c>
      <c r="B2032" t="str">
        <f>"1552380028998317"</f>
        <v>1552380028998317</v>
      </c>
      <c r="C2032" t="s">
        <v>40</v>
      </c>
      <c r="D2032">
        <v>5.5182129999999896</v>
      </c>
      <c r="E2032">
        <v>0.50631359999999903</v>
      </c>
      <c r="F2032" t="s">
        <v>48</v>
      </c>
      <c r="G2032">
        <v>-233.80940000000001</v>
      </c>
      <c r="H2032" s="1">
        <v>4.7139139999999998E-7</v>
      </c>
      <c r="I2032">
        <v>285.05099999999999</v>
      </c>
      <c r="J2032">
        <v>-219.34970000000001</v>
      </c>
      <c r="K2032">
        <v>1.1090169999999999</v>
      </c>
      <c r="L2032">
        <v>285.03809999999999</v>
      </c>
      <c r="M2032">
        <v>-0.99959240000000005</v>
      </c>
      <c r="N2032">
        <v>0</v>
      </c>
      <c r="O2032">
        <v>2.8437649999999998E-2</v>
      </c>
      <c r="P2032">
        <v>-0.99486450000000004</v>
      </c>
      <c r="Q2032">
        <v>0.1011987</v>
      </c>
      <c r="R2032">
        <v>-1.9741950000000002E-3</v>
      </c>
      <c r="S2032">
        <v>-3.0383610000000001</v>
      </c>
      <c r="T2032">
        <v>-0.22944059999999999</v>
      </c>
      <c r="U2032">
        <v>3.9978030000000003E-3</v>
      </c>
      <c r="V2032">
        <v>-3.028256E-2</v>
      </c>
      <c r="W2032">
        <v>0.1037594</v>
      </c>
      <c r="X2032">
        <v>0.99414130000000001</v>
      </c>
      <c r="Y2032">
        <v>-2.6964749999999999E-2</v>
      </c>
      <c r="Z2032">
        <v>-3.160852E-3</v>
      </c>
      <c r="AA2032">
        <v>0.99963139999999995</v>
      </c>
      <c r="AB2032">
        <v>26</v>
      </c>
      <c r="AC2032">
        <v>-14.4596999999999</v>
      </c>
      <c r="AD2032">
        <v>-1.1090165286086</v>
      </c>
      <c r="AE2032">
        <v>1.29000000000019E-2</v>
      </c>
      <c r="AF2032">
        <v>-0.39597709768420403</v>
      </c>
      <c r="AG2032">
        <v>-1.1090165286086</v>
      </c>
      <c r="AH2032">
        <v>14.3696900821014</v>
      </c>
      <c r="AI2032">
        <v>94.411527762147102</v>
      </c>
      <c r="AJ2032">
        <v>91.578466637623706</v>
      </c>
      <c r="AK2032">
        <v>14.4178607490245</v>
      </c>
      <c r="AL2032">
        <v>84.044304913695498</v>
      </c>
      <c r="AM2032">
        <v>91.744748497605897</v>
      </c>
      <c r="AN2032">
        <v>0.999999985447101</v>
      </c>
    </row>
    <row r="2033" spans="1:40" x14ac:dyDescent="0.25">
      <c r="A2033" t="str">
        <f>"20190312164029029"</f>
        <v>20190312164029029</v>
      </c>
      <c r="B2033" t="str">
        <f>"1552380029017846"</f>
        <v>1552380029017846</v>
      </c>
      <c r="C2033" t="s">
        <v>40</v>
      </c>
      <c r="D2033">
        <v>5.4329390000000002</v>
      </c>
      <c r="E2033">
        <v>0.50607539999999995</v>
      </c>
      <c r="F2033" t="s">
        <v>48</v>
      </c>
      <c r="G2033">
        <v>-234.21340000000001</v>
      </c>
      <c r="H2033" s="1">
        <v>6.8543049999999897E-7</v>
      </c>
      <c r="I2033">
        <v>285.07229999999998</v>
      </c>
      <c r="J2033">
        <v>-219.60890000000001</v>
      </c>
      <c r="K2033">
        <v>1.10904</v>
      </c>
      <c r="L2033">
        <v>285.0453</v>
      </c>
      <c r="M2033">
        <v>-0.99959679999999995</v>
      </c>
      <c r="N2033">
        <v>0</v>
      </c>
      <c r="O2033">
        <v>2.827416E-2</v>
      </c>
      <c r="P2033">
        <v>-0.99479850000000003</v>
      </c>
      <c r="Q2033">
        <v>0.1018573</v>
      </c>
      <c r="R2033">
        <v>-1.0083850000000001E-3</v>
      </c>
      <c r="S2033">
        <v>-3.0385589999999998</v>
      </c>
      <c r="T2033">
        <v>-0.2267141</v>
      </c>
      <c r="U2033">
        <v>6.9885249999999998E-3</v>
      </c>
      <c r="V2033">
        <v>-2.9159379999999999E-2</v>
      </c>
      <c r="W2033">
        <v>0.1044267</v>
      </c>
      <c r="X2033">
        <v>0.99410500000000002</v>
      </c>
      <c r="Y2033">
        <v>-2.5824799999999998E-2</v>
      </c>
      <c r="Z2033">
        <v>-3.068538E-3</v>
      </c>
      <c r="AA2033">
        <v>0.99966180000000004</v>
      </c>
      <c r="AB2033">
        <v>26</v>
      </c>
      <c r="AC2033">
        <v>-14.6045</v>
      </c>
      <c r="AD2033">
        <v>-1.1090393145694999</v>
      </c>
      <c r="AE2033">
        <v>2.6999999999986798E-2</v>
      </c>
      <c r="AF2033">
        <v>-0.38372936054069601</v>
      </c>
      <c r="AG2033">
        <v>-1.1090393145694999</v>
      </c>
      <c r="AH2033">
        <v>14.5157183892932</v>
      </c>
      <c r="AI2033">
        <v>94.367541251868104</v>
      </c>
      <c r="AJ2033">
        <v>91.514286297440407</v>
      </c>
      <c r="AK2033">
        <v>14.5630799208363</v>
      </c>
      <c r="AL2033">
        <v>84.005862558903701</v>
      </c>
      <c r="AM2033">
        <v>91.680134899400997</v>
      </c>
      <c r="AN2033">
        <v>0.99999997806993701</v>
      </c>
    </row>
    <row r="2034" spans="1:40" x14ac:dyDescent="0.25">
      <c r="A2034" t="str">
        <f>"20190312164029051"</f>
        <v>20190312164029051</v>
      </c>
      <c r="B2034" t="str">
        <f>"1552380029048090"</f>
        <v>1552380029048090</v>
      </c>
      <c r="C2034" t="s">
        <v>40</v>
      </c>
      <c r="D2034">
        <v>5.2541769999999897</v>
      </c>
      <c r="E2034">
        <v>0.50558349999999996</v>
      </c>
      <c r="F2034" t="s">
        <v>48</v>
      </c>
      <c r="G2034">
        <v>-234.613</v>
      </c>
      <c r="H2034" s="1">
        <v>8.9760699999999997E-7</v>
      </c>
      <c r="I2034">
        <v>285.08300000000003</v>
      </c>
      <c r="J2034">
        <v>-219.87469999999999</v>
      </c>
      <c r="K2034">
        <v>1.10907</v>
      </c>
      <c r="L2034">
        <v>285.05270000000002</v>
      </c>
      <c r="M2034">
        <v>-0.99960289999999996</v>
      </c>
      <c r="N2034">
        <v>0</v>
      </c>
      <c r="O2034">
        <v>2.8058139999999999E-2</v>
      </c>
      <c r="P2034">
        <v>-0.99468979999999996</v>
      </c>
      <c r="Q2034">
        <v>0.1029185</v>
      </c>
      <c r="R2034" s="1">
        <v>1.459166E-5</v>
      </c>
      <c r="S2034">
        <v>-3.0386959999999998</v>
      </c>
      <c r="T2034">
        <v>-0.22460720000000001</v>
      </c>
      <c r="U2034">
        <v>7.6293949999999998E-3</v>
      </c>
      <c r="V2034">
        <v>-2.792845E-2</v>
      </c>
      <c r="W2034">
        <v>0.10549790000000001</v>
      </c>
      <c r="X2034">
        <v>0.99402729999999995</v>
      </c>
      <c r="Y2034">
        <v>-2.5402569999999999E-2</v>
      </c>
      <c r="Z2034">
        <v>-3.0084349999999998E-3</v>
      </c>
      <c r="AA2034">
        <v>0.99967280000000003</v>
      </c>
      <c r="AB2034">
        <v>27</v>
      </c>
      <c r="AC2034">
        <v>-14.738300000000001</v>
      </c>
      <c r="AD2034">
        <v>-1.1090691023929999</v>
      </c>
      <c r="AE2034">
        <v>3.02999999999542E-2</v>
      </c>
      <c r="AF2034">
        <v>-0.38108466327214902</v>
      </c>
      <c r="AG2034">
        <v>-1.1090691023929999</v>
      </c>
      <c r="AH2034">
        <v>14.650387368796499</v>
      </c>
      <c r="AI2034">
        <v>94.327710889582505</v>
      </c>
      <c r="AJ2034">
        <v>91.490037070679506</v>
      </c>
      <c r="AK2034">
        <v>14.6972483768308</v>
      </c>
      <c r="AL2034">
        <v>83.944146779372304</v>
      </c>
      <c r="AM2034">
        <v>91.6093737580767</v>
      </c>
      <c r="AN2034">
        <v>1.00000003918455</v>
      </c>
    </row>
    <row r="2035" spans="1:40" x14ac:dyDescent="0.25">
      <c r="A2035" t="str">
        <f>"20190312164029074"</f>
        <v>20190312164029074</v>
      </c>
      <c r="B2035" t="str">
        <f>"1552380029068585"</f>
        <v>1552380029068585</v>
      </c>
      <c r="C2035" t="s">
        <v>40</v>
      </c>
      <c r="D2035">
        <v>5.5670080000000004</v>
      </c>
      <c r="E2035">
        <v>0.49099809999999999</v>
      </c>
      <c r="F2035" t="s">
        <v>48</v>
      </c>
      <c r="G2035">
        <v>-235.17080000000001</v>
      </c>
      <c r="H2035" s="1">
        <v>1.1943999999999999E-6</v>
      </c>
      <c r="I2035">
        <v>285.084</v>
      </c>
      <c r="J2035">
        <v>-220.14099999999999</v>
      </c>
      <c r="K2035">
        <v>1.109111</v>
      </c>
      <c r="L2035">
        <v>285.05990000000003</v>
      </c>
      <c r="M2035">
        <v>-0.99961060000000002</v>
      </c>
      <c r="N2035">
        <v>0</v>
      </c>
      <c r="O2035">
        <v>2.7781230000000001E-2</v>
      </c>
      <c r="P2035">
        <v>-0.99457099999999998</v>
      </c>
      <c r="Q2035">
        <v>0.1040572</v>
      </c>
      <c r="R2035">
        <v>9.3217650000000001E-4</v>
      </c>
      <c r="S2035">
        <v>-3.0388030000000001</v>
      </c>
      <c r="T2035">
        <v>-0.2203331</v>
      </c>
      <c r="U2035">
        <v>6.225586E-3</v>
      </c>
      <c r="V2035">
        <v>-2.6743490000000002E-2</v>
      </c>
      <c r="W2035">
        <v>0.1066444</v>
      </c>
      <c r="X2035">
        <v>0.99393750000000003</v>
      </c>
      <c r="Y2035">
        <v>-2.5593270000000001E-2</v>
      </c>
      <c r="Z2035">
        <v>-2.938099E-3</v>
      </c>
      <c r="AA2035">
        <v>0.99966809999999995</v>
      </c>
      <c r="AB2035">
        <v>27</v>
      </c>
      <c r="AC2035">
        <v>-15.0298</v>
      </c>
      <c r="AD2035">
        <v>-1.1091098055999999</v>
      </c>
      <c r="AE2035">
        <v>2.4099999999975801E-2</v>
      </c>
      <c r="AF2035">
        <v>-0.39132607826408</v>
      </c>
      <c r="AG2035">
        <v>-1.1091098055999999</v>
      </c>
      <c r="AH2035">
        <v>14.9432939745277</v>
      </c>
      <c r="AI2035">
        <v>94.243331239543707</v>
      </c>
      <c r="AJ2035">
        <v>91.500084885959794</v>
      </c>
      <c r="AK2035">
        <v>14.989506178309</v>
      </c>
      <c r="AL2035">
        <v>83.878084226914496</v>
      </c>
      <c r="AM2035">
        <v>91.541263401425496</v>
      </c>
      <c r="AN2035">
        <v>0.99999999810749496</v>
      </c>
    </row>
    <row r="2036" spans="1:40" x14ac:dyDescent="0.25">
      <c r="A2036" t="str">
        <f>"20190312164029087"</f>
        <v>20190312164029087</v>
      </c>
      <c r="B2036" t="str">
        <f>"1552380029078346"</f>
        <v>1552380029078346</v>
      </c>
      <c r="C2036" t="s">
        <v>40</v>
      </c>
      <c r="D2036">
        <v>5.443905</v>
      </c>
      <c r="E2036">
        <v>0.4915312</v>
      </c>
      <c r="F2036" t="s">
        <v>48</v>
      </c>
      <c r="G2036">
        <v>-233.2415</v>
      </c>
      <c r="H2036" s="1">
        <v>1.8984669999999999E-7</v>
      </c>
      <c r="I2036">
        <v>284.57760000000002</v>
      </c>
      <c r="J2036">
        <v>-220.3013</v>
      </c>
      <c r="K2036">
        <v>1.1091359999999999</v>
      </c>
      <c r="L2036">
        <v>285.06420000000003</v>
      </c>
      <c r="M2036">
        <v>-0.99961650000000002</v>
      </c>
      <c r="N2036">
        <v>0</v>
      </c>
      <c r="O2036">
        <v>2.7572840000000001E-2</v>
      </c>
      <c r="P2036">
        <v>-0.99454430000000005</v>
      </c>
      <c r="Q2036">
        <v>0.1043104</v>
      </c>
      <c r="R2036">
        <v>1.237141E-3</v>
      </c>
      <c r="S2036">
        <v>-3.0434570000000001</v>
      </c>
      <c r="T2036">
        <v>-0.25766489999999997</v>
      </c>
      <c r="U2036">
        <v>-0.11206049999999999</v>
      </c>
      <c r="V2036">
        <v>-2.6238959999999999E-2</v>
      </c>
      <c r="W2036">
        <v>0.10689899999999999</v>
      </c>
      <c r="X2036">
        <v>0.99392360000000002</v>
      </c>
      <c r="Y2036">
        <v>-6.4008250000000003E-2</v>
      </c>
      <c r="Z2036">
        <v>-5.0332789999999999E-3</v>
      </c>
      <c r="AA2036">
        <v>0.99793670000000001</v>
      </c>
      <c r="AB2036">
        <v>27</v>
      </c>
      <c r="AC2036">
        <v>-12.940200000000001</v>
      </c>
      <c r="AD2036">
        <v>-1.1091358101533</v>
      </c>
      <c r="AE2036">
        <v>-0.48660000000000903</v>
      </c>
      <c r="AF2036">
        <v>-0.83707325792674403</v>
      </c>
      <c r="AG2036">
        <v>-1.1091358101533</v>
      </c>
      <c r="AH2036">
        <v>12.8277555244465</v>
      </c>
      <c r="AI2036">
        <v>94.931281375455697</v>
      </c>
      <c r="AJ2036">
        <v>93.733534108517105</v>
      </c>
      <c r="AK2036">
        <v>12.9027975911997</v>
      </c>
      <c r="AL2036">
        <v>83.863412870788594</v>
      </c>
      <c r="AM2036">
        <v>91.512221426010598</v>
      </c>
      <c r="AN2036">
        <v>1.0000000009299199</v>
      </c>
    </row>
    <row r="2037" spans="1:40" x14ac:dyDescent="0.25">
      <c r="A2037" t="str">
        <f>"20190312164029107"</f>
        <v>20190312164029107</v>
      </c>
      <c r="B2037" t="str">
        <f>"1552380029097865"</f>
        <v>1552380029097865</v>
      </c>
      <c r="C2037" t="s">
        <v>40</v>
      </c>
      <c r="D2037">
        <v>5.4270420000000001</v>
      </c>
      <c r="E2037">
        <v>0.49224980000000002</v>
      </c>
      <c r="F2037" t="s">
        <v>48</v>
      </c>
      <c r="G2037">
        <v>-234.14230000000001</v>
      </c>
      <c r="H2037" s="1">
        <v>6.6912330000000001E-7</v>
      </c>
      <c r="I2037">
        <v>284.58010000000002</v>
      </c>
      <c r="J2037">
        <v>-220.5556</v>
      </c>
      <c r="K2037">
        <v>1.109181</v>
      </c>
      <c r="L2037">
        <v>285.07089999999999</v>
      </c>
      <c r="M2037">
        <v>-0.99962740000000005</v>
      </c>
      <c r="N2037">
        <v>0</v>
      </c>
      <c r="O2037">
        <v>2.7174859999999999E-2</v>
      </c>
      <c r="P2037">
        <v>-0.99447390000000002</v>
      </c>
      <c r="Q2037">
        <v>0.1049737</v>
      </c>
      <c r="R2037">
        <v>1.5650239999999999E-3</v>
      </c>
      <c r="S2037">
        <v>-3.0421909999999999</v>
      </c>
      <c r="T2037">
        <v>-0.24378320000000001</v>
      </c>
      <c r="U2037">
        <v>-0.1064148</v>
      </c>
      <c r="V2037">
        <v>-2.5530000000000001E-2</v>
      </c>
      <c r="W2037">
        <v>0.1075613</v>
      </c>
      <c r="X2037">
        <v>0.99387060000000005</v>
      </c>
      <c r="Y2037">
        <v>-6.1818730000000002E-2</v>
      </c>
      <c r="Z2037">
        <v>-4.6457290000000004E-3</v>
      </c>
      <c r="AA2037">
        <v>0.99807659999999998</v>
      </c>
      <c r="AB2037">
        <v>27</v>
      </c>
      <c r="AC2037">
        <v>-13.5867</v>
      </c>
      <c r="AD2037">
        <v>-1.1091803308767001</v>
      </c>
      <c r="AE2037">
        <v>-0.49079999999997798</v>
      </c>
      <c r="AF2037">
        <v>-0.85415144202287496</v>
      </c>
      <c r="AG2037">
        <v>-1.1091803308767001</v>
      </c>
      <c r="AH2037">
        <v>13.4786317807317</v>
      </c>
      <c r="AI2037">
        <v>94.694994875696295</v>
      </c>
      <c r="AJ2037">
        <v>93.626029693614001</v>
      </c>
      <c r="AK2037">
        <v>13.5511390802716</v>
      </c>
      <c r="AL2037">
        <v>83.825245756393997</v>
      </c>
      <c r="AM2037">
        <v>91.471458805982294</v>
      </c>
      <c r="AN2037">
        <v>0.99999999185102495</v>
      </c>
    </row>
    <row r="2038" spans="1:40" x14ac:dyDescent="0.25">
      <c r="A2038" t="str">
        <f>"20190312164029120"</f>
        <v>20190312164029120</v>
      </c>
      <c r="B2038" t="str">
        <f>"1552380029108601"</f>
        <v>1552380029108601</v>
      </c>
      <c r="C2038" t="s">
        <v>40</v>
      </c>
      <c r="D2038">
        <v>5.4247839999999998</v>
      </c>
      <c r="E2038">
        <v>0.49224790000000002</v>
      </c>
      <c r="F2038" t="s">
        <v>48</v>
      </c>
      <c r="G2038">
        <v>-233.50030000000001</v>
      </c>
      <c r="H2038" s="1">
        <v>3.2511490000000002E-7</v>
      </c>
      <c r="I2038">
        <v>284.6343</v>
      </c>
      <c r="J2038">
        <v>-220.7071</v>
      </c>
      <c r="K2038">
        <v>1.1092169999999999</v>
      </c>
      <c r="L2038">
        <v>285.07490000000001</v>
      </c>
      <c r="M2038">
        <v>-0.99963489999999999</v>
      </c>
      <c r="N2038">
        <v>0</v>
      </c>
      <c r="O2038">
        <v>2.6897999999999998E-2</v>
      </c>
      <c r="P2038">
        <v>-0.994417</v>
      </c>
      <c r="Q2038">
        <v>0.105509199999999</v>
      </c>
      <c r="R2038">
        <v>1.7226940000000001E-3</v>
      </c>
      <c r="S2038">
        <v>-3.0443570000000002</v>
      </c>
      <c r="T2038">
        <v>-0.26085940000000002</v>
      </c>
      <c r="U2038">
        <v>-0.1026917</v>
      </c>
      <c r="V2038">
        <v>-2.5107230000000001E-2</v>
      </c>
      <c r="W2038">
        <v>0.1080937</v>
      </c>
      <c r="X2038">
        <v>0.99382360000000003</v>
      </c>
      <c r="Y2038">
        <v>-6.0264159999999997E-2</v>
      </c>
      <c r="Z2038">
        <v>-4.8764350000000001E-3</v>
      </c>
      <c r="AA2038">
        <v>0.99817060000000002</v>
      </c>
      <c r="AB2038">
        <v>27</v>
      </c>
      <c r="AC2038">
        <v>-12.793200000000001</v>
      </c>
      <c r="AD2038">
        <v>-1.1092166748851</v>
      </c>
      <c r="AE2038">
        <v>-0.44060000000001698</v>
      </c>
      <c r="AF2038">
        <v>-0.77870620396152301</v>
      </c>
      <c r="AG2038">
        <v>-1.1092166748851</v>
      </c>
      <c r="AH2038">
        <v>12.6814994388182</v>
      </c>
      <c r="AI2038">
        <v>94.989435902348802</v>
      </c>
      <c r="AJ2038">
        <v>93.513829668498104</v>
      </c>
      <c r="AK2038">
        <v>12.7537121263057</v>
      </c>
      <c r="AL2038">
        <v>83.794562542051594</v>
      </c>
      <c r="AM2038">
        <v>91.447170695803393</v>
      </c>
      <c r="AN2038">
        <v>0.99999998444746097</v>
      </c>
    </row>
    <row r="2039" spans="1:40" x14ac:dyDescent="0.25">
      <c r="A2039" t="str">
        <f>"20190312164029153"</f>
        <v>20190312164029153</v>
      </c>
      <c r="B2039" t="str">
        <f>"1552380029148619"</f>
        <v>1552380029148619</v>
      </c>
      <c r="C2039" t="s">
        <v>40</v>
      </c>
      <c r="D2039">
        <v>5.401052</v>
      </c>
      <c r="E2039">
        <v>0.4921471</v>
      </c>
      <c r="F2039" t="s">
        <v>48</v>
      </c>
      <c r="G2039">
        <v>-233.6026</v>
      </c>
      <c r="H2039" s="1">
        <v>3.7955669999999999E-7</v>
      </c>
      <c r="I2039">
        <v>284.63459999999998</v>
      </c>
      <c r="J2039">
        <v>-221.1129</v>
      </c>
      <c r="K2039">
        <v>1.1093489999999999</v>
      </c>
      <c r="L2039">
        <v>285.08479999999997</v>
      </c>
      <c r="M2039">
        <v>-0.99965999999999999</v>
      </c>
      <c r="N2039">
        <v>0</v>
      </c>
      <c r="O2039">
        <v>2.5942440000000001E-2</v>
      </c>
      <c r="P2039">
        <v>-0.99433369999999999</v>
      </c>
      <c r="Q2039">
        <v>0.10628460000000001</v>
      </c>
      <c r="R2039">
        <v>2.0658450000000002E-3</v>
      </c>
      <c r="S2039">
        <v>-3.0448</v>
      </c>
      <c r="T2039">
        <v>-0.26189980000000002</v>
      </c>
      <c r="U2039">
        <v>-0.1039429</v>
      </c>
      <c r="V2039">
        <v>-2.3848439999999999E-2</v>
      </c>
      <c r="W2039">
        <v>0.10885830000000001</v>
      </c>
      <c r="X2039">
        <v>0.99377119999999997</v>
      </c>
      <c r="Y2039">
        <v>-5.9717920000000001E-2</v>
      </c>
      <c r="Z2039">
        <v>-4.7896170000000004E-3</v>
      </c>
      <c r="AA2039">
        <v>0.99820379999999997</v>
      </c>
      <c r="AB2039">
        <v>27</v>
      </c>
      <c r="AC2039">
        <v>-12.489699999999999</v>
      </c>
      <c r="AD2039">
        <v>-1.1093486204432901</v>
      </c>
      <c r="AE2039">
        <v>-0.45019999999999499</v>
      </c>
      <c r="AF2039">
        <v>-0.76801176153756301</v>
      </c>
      <c r="AG2039">
        <v>-1.1093486204432901</v>
      </c>
      <c r="AH2039">
        <v>12.376304841023099</v>
      </c>
      <c r="AI2039">
        <v>95.112230797420196</v>
      </c>
      <c r="AJ2039">
        <v>93.5509370190033</v>
      </c>
      <c r="AK2039">
        <v>12.4496352535113</v>
      </c>
      <c r="AL2039">
        <v>83.750494477109697</v>
      </c>
      <c r="AM2039">
        <v>91.374715572769205</v>
      </c>
      <c r="AN2039">
        <v>1.0000000377593801</v>
      </c>
    </row>
    <row r="2040" spans="1:40" x14ac:dyDescent="0.25">
      <c r="A2040" t="str">
        <f>"20190312164029176"</f>
        <v>20190312164029176</v>
      </c>
      <c r="B2040" t="str">
        <f>"1552380029168138"</f>
        <v>1552380029168138</v>
      </c>
      <c r="C2040" t="s">
        <v>40</v>
      </c>
      <c r="D2040">
        <v>5.4854479999999999</v>
      </c>
      <c r="E2040">
        <v>0.49193140000000002</v>
      </c>
      <c r="F2040" t="s">
        <v>48</v>
      </c>
      <c r="G2040">
        <v>-233.7911</v>
      </c>
      <c r="H2040" s="1">
        <v>4.7948199999999995E-7</v>
      </c>
      <c r="I2040">
        <v>284.64330000000001</v>
      </c>
      <c r="J2040">
        <v>-221.4067</v>
      </c>
      <c r="K2040">
        <v>1.109456</v>
      </c>
      <c r="L2040">
        <v>285.0917</v>
      </c>
      <c r="M2040">
        <v>-0.99968219999999997</v>
      </c>
      <c r="N2040">
        <v>0</v>
      </c>
      <c r="O2040">
        <v>2.5077849999999999E-2</v>
      </c>
      <c r="P2040">
        <v>-0.99420980000000003</v>
      </c>
      <c r="Q2040">
        <v>0.10744140000000001</v>
      </c>
      <c r="R2040">
        <v>1.8598690000000001E-3</v>
      </c>
      <c r="S2040">
        <v>-3.0458069999999999</v>
      </c>
      <c r="T2040">
        <v>-0.2665092</v>
      </c>
      <c r="U2040">
        <v>-0.1060791</v>
      </c>
      <c r="V2040">
        <v>-2.322283E-2</v>
      </c>
      <c r="W2040">
        <v>0.1100029</v>
      </c>
      <c r="X2040">
        <v>0.99365990000000004</v>
      </c>
      <c r="Y2040">
        <v>-5.9535640000000001E-2</v>
      </c>
      <c r="Z2040">
        <v>-4.7884950000000003E-3</v>
      </c>
      <c r="AA2040">
        <v>0.99821470000000001</v>
      </c>
      <c r="AB2040">
        <v>28</v>
      </c>
      <c r="AC2040">
        <v>-12.384399999999999</v>
      </c>
      <c r="AD2040">
        <v>-1.1094555205179999</v>
      </c>
      <c r="AE2040">
        <v>-0.44839999999999203</v>
      </c>
      <c r="AF2040">
        <v>-0.75280046920937504</v>
      </c>
      <c r="AG2040">
        <v>-1.1094555205179999</v>
      </c>
      <c r="AH2040">
        <v>12.270909409195401</v>
      </c>
      <c r="AI2040">
        <v>95.156621257241497</v>
      </c>
      <c r="AJ2040">
        <v>93.5106037283294</v>
      </c>
      <c r="AK2040">
        <v>12.343938505482299</v>
      </c>
      <c r="AL2040">
        <v>83.684517051375707</v>
      </c>
      <c r="AM2040">
        <v>91.338816201127898</v>
      </c>
      <c r="AN2040">
        <v>0.999999967354814</v>
      </c>
    </row>
    <row r="2041" spans="1:40" x14ac:dyDescent="0.25">
      <c r="A2041" t="str">
        <f>"20190312164029197"</f>
        <v>20190312164029197</v>
      </c>
      <c r="B2041" t="str">
        <f>"1552380029188635"</f>
        <v>1552380029188635</v>
      </c>
      <c r="C2041" t="s">
        <v>40</v>
      </c>
      <c r="D2041">
        <v>5.6187899999999997</v>
      </c>
      <c r="E2041">
        <v>0.49166650000000001</v>
      </c>
      <c r="F2041" t="s">
        <v>48</v>
      </c>
      <c r="G2041">
        <v>-234.2045</v>
      </c>
      <c r="H2041" s="1">
        <v>6.9994769999999903E-7</v>
      </c>
      <c r="I2041">
        <v>284.63200000000001</v>
      </c>
      <c r="J2041">
        <v>-221.66669999999999</v>
      </c>
      <c r="K2041">
        <v>1.1095630000000001</v>
      </c>
      <c r="L2041">
        <v>285.09739999999999</v>
      </c>
      <c r="M2041">
        <v>-0.99970479999999995</v>
      </c>
      <c r="N2041">
        <v>0</v>
      </c>
      <c r="O2041">
        <v>2.4155590000000001E-2</v>
      </c>
      <c r="P2041">
        <v>-0.99418589999999996</v>
      </c>
      <c r="Q2041">
        <v>0.10766820000000001</v>
      </c>
      <c r="R2041">
        <v>1.426882E-3</v>
      </c>
      <c r="S2041">
        <v>-3.0462039999999999</v>
      </c>
      <c r="T2041">
        <v>-0.26407890000000001</v>
      </c>
      <c r="U2041">
        <v>-0.10943600000000001</v>
      </c>
      <c r="V2041">
        <v>-2.2767900000000001E-2</v>
      </c>
      <c r="W2041">
        <v>0.1102186</v>
      </c>
      <c r="X2041">
        <v>0.99364660000000005</v>
      </c>
      <c r="Y2041">
        <v>-5.9717630000000001E-2</v>
      </c>
      <c r="Z2041">
        <v>-4.6723880000000004E-3</v>
      </c>
      <c r="AA2041">
        <v>0.99820439999999999</v>
      </c>
      <c r="AB2041">
        <v>28</v>
      </c>
      <c r="AC2041">
        <v>-12.537800000000001</v>
      </c>
      <c r="AD2041">
        <v>-1.1095623000522901</v>
      </c>
      <c r="AE2041">
        <v>-0.46539999999998799</v>
      </c>
      <c r="AF2041">
        <v>-0.76216231229478104</v>
      </c>
      <c r="AG2041">
        <v>-1.1095623000522901</v>
      </c>
      <c r="AH2041">
        <v>12.4257178989747</v>
      </c>
      <c r="AI2041">
        <v>95.093207278148</v>
      </c>
      <c r="AJ2041">
        <v>93.509981695556405</v>
      </c>
      <c r="AK2041">
        <v>12.4984193077716</v>
      </c>
      <c r="AL2041">
        <v>83.672083212597897</v>
      </c>
      <c r="AM2041">
        <v>91.312615924021202</v>
      </c>
      <c r="AN2041">
        <v>1.00000004137396</v>
      </c>
    </row>
    <row r="2042" spans="1:40" x14ac:dyDescent="0.25">
      <c r="A2042" t="str">
        <f>"20190312164029219"</f>
        <v>20190312164029219</v>
      </c>
      <c r="B2042" t="str">
        <f>"1552380029208157"</f>
        <v>1552380029208157</v>
      </c>
      <c r="C2042" t="s">
        <v>40</v>
      </c>
      <c r="D2042">
        <v>5.6278759999999997</v>
      </c>
      <c r="E2042">
        <v>0.49161060000000001</v>
      </c>
      <c r="F2042" t="s">
        <v>48</v>
      </c>
      <c r="G2042">
        <v>-234.541</v>
      </c>
      <c r="H2042" s="1">
        <v>8.7972049999999995E-7</v>
      </c>
      <c r="I2042">
        <v>284.61630000000002</v>
      </c>
      <c r="J2042">
        <v>-221.9333</v>
      </c>
      <c r="K2042">
        <v>1.1096870000000001</v>
      </c>
      <c r="L2042">
        <v>285.1028</v>
      </c>
      <c r="M2042">
        <v>-0.99973120000000004</v>
      </c>
      <c r="N2042">
        <v>0</v>
      </c>
      <c r="O2042">
        <v>2.3043790000000001E-2</v>
      </c>
      <c r="P2042">
        <v>-0.99409000000000003</v>
      </c>
      <c r="Q2042">
        <v>0.1085531</v>
      </c>
      <c r="R2042">
        <v>1.205198E-3</v>
      </c>
      <c r="S2042">
        <v>-3.0461429999999998</v>
      </c>
      <c r="T2042">
        <v>-0.26252999999999999</v>
      </c>
      <c r="U2042">
        <v>-0.1138306</v>
      </c>
      <c r="V2042">
        <v>-2.1917619999999999E-2</v>
      </c>
      <c r="W2042">
        <v>0.11109430000000001</v>
      </c>
      <c r="X2042">
        <v>0.99356809999999995</v>
      </c>
      <c r="Y2042">
        <v>-6.0052910000000001E-2</v>
      </c>
      <c r="Z2042">
        <v>-4.5638689999999999E-3</v>
      </c>
      <c r="AA2042">
        <v>0.99818470000000004</v>
      </c>
      <c r="AB2042">
        <v>28</v>
      </c>
      <c r="AC2042">
        <v>-12.6076999999999</v>
      </c>
      <c r="AD2042">
        <v>-1.1096861202795001</v>
      </c>
      <c r="AE2042">
        <v>-0.48649999999997801</v>
      </c>
      <c r="AF2042">
        <v>-0.77093744512433005</v>
      </c>
      <c r="AG2042">
        <v>-1.1096861202795001</v>
      </c>
      <c r="AH2042">
        <v>12.4964760906203</v>
      </c>
      <c r="AI2042">
        <v>95.064971304296293</v>
      </c>
      <c r="AJ2042">
        <v>93.530239328228504</v>
      </c>
      <c r="AK2042">
        <v>12.5693143215245</v>
      </c>
      <c r="AL2042">
        <v>83.621598661108493</v>
      </c>
      <c r="AM2042">
        <v>91.263711550978201</v>
      </c>
      <c r="AN2042">
        <v>0.99999994744828002</v>
      </c>
    </row>
    <row r="2043" spans="1:40" x14ac:dyDescent="0.25">
      <c r="A2043" t="str">
        <f>"20190312164029240"</f>
        <v>20190312164029240</v>
      </c>
      <c r="B2043" t="str">
        <f>"1552380029228649"</f>
        <v>1552380029228649</v>
      </c>
      <c r="C2043" t="s">
        <v>40</v>
      </c>
      <c r="D2043">
        <v>5.4795259999999999</v>
      </c>
      <c r="E2043">
        <v>0.49176439999999999</v>
      </c>
      <c r="F2043" t="s">
        <v>48</v>
      </c>
      <c r="G2043">
        <v>-235.22470000000001</v>
      </c>
      <c r="H2043" s="1">
        <v>1.244106E-6</v>
      </c>
      <c r="I2043">
        <v>284.60289999999998</v>
      </c>
      <c r="J2043">
        <v>-222.2045</v>
      </c>
      <c r="K2043">
        <v>1.109818</v>
      </c>
      <c r="L2043">
        <v>285.10789999999997</v>
      </c>
      <c r="M2043">
        <v>-0.99975999999999998</v>
      </c>
      <c r="N2043">
        <v>0</v>
      </c>
      <c r="O2043">
        <v>2.1753100000000001E-2</v>
      </c>
      <c r="P2043">
        <v>-0.99381260000000005</v>
      </c>
      <c r="Q2043">
        <v>0.1110651</v>
      </c>
      <c r="R2043">
        <v>1.121908E-3</v>
      </c>
      <c r="S2043">
        <v>-3.0457459999999998</v>
      </c>
      <c r="T2043">
        <v>-0.25428699999999999</v>
      </c>
      <c r="U2043">
        <v>-0.114563</v>
      </c>
      <c r="V2043">
        <v>-2.07519E-2</v>
      </c>
      <c r="W2043">
        <v>0.1135994</v>
      </c>
      <c r="X2043">
        <v>0.99330989999999997</v>
      </c>
      <c r="Y2043">
        <v>-5.9035700000000003E-2</v>
      </c>
      <c r="Z2043">
        <v>-4.2717199999999997E-3</v>
      </c>
      <c r="AA2043">
        <v>0.99824669999999904</v>
      </c>
      <c r="AB2043">
        <v>28</v>
      </c>
      <c r="AC2043">
        <v>-13.020200000000001</v>
      </c>
      <c r="AD2043">
        <v>-1.109816755894</v>
      </c>
      <c r="AE2043">
        <v>-0.50499999999999501</v>
      </c>
      <c r="AF2043">
        <v>-0.78243490605771004</v>
      </c>
      <c r="AG2043">
        <v>-1.109816755894</v>
      </c>
      <c r="AH2043">
        <v>12.9124587749591</v>
      </c>
      <c r="AI2043">
        <v>94.903509021385602</v>
      </c>
      <c r="AJ2043">
        <v>93.467617598522907</v>
      </c>
      <c r="AK2043">
        <v>12.983662396600501</v>
      </c>
      <c r="AL2043">
        <v>83.477152893365798</v>
      </c>
      <c r="AM2043">
        <v>91.196830262497301</v>
      </c>
      <c r="AN2043">
        <v>1.0000000112359899</v>
      </c>
    </row>
    <row r="2044" spans="1:40" x14ac:dyDescent="0.25">
      <c r="A2044" t="str">
        <f>"20190312164029262"</f>
        <v>20190312164029262</v>
      </c>
      <c r="B2044" t="str">
        <f>"1552380029257930"</f>
        <v>1552380029257930</v>
      </c>
      <c r="C2044" t="s">
        <v>40</v>
      </c>
      <c r="D2044">
        <v>5.4764150000000003</v>
      </c>
      <c r="E2044">
        <v>0.49196679999999998</v>
      </c>
      <c r="F2044" t="s">
        <v>48</v>
      </c>
      <c r="G2044">
        <v>-236.12299999999999</v>
      </c>
      <c r="H2044" s="1">
        <v>1.7225780000000001E-6</v>
      </c>
      <c r="I2044">
        <v>284.59359999999998</v>
      </c>
      <c r="J2044">
        <v>-222.4922</v>
      </c>
      <c r="K2044">
        <v>1.1099410000000001</v>
      </c>
      <c r="L2044">
        <v>285.11270000000002</v>
      </c>
      <c r="M2044">
        <v>-0.99979169999999995</v>
      </c>
      <c r="N2044">
        <v>0</v>
      </c>
      <c r="O2044">
        <v>2.0246750000000001E-2</v>
      </c>
      <c r="P2044">
        <v>-0.99359889999999995</v>
      </c>
      <c r="Q2044">
        <v>0.1129589</v>
      </c>
      <c r="R2044">
        <v>1.1655179999999999E-3</v>
      </c>
      <c r="S2044">
        <v>-3.045944</v>
      </c>
      <c r="T2044">
        <v>-0.24287300000000001</v>
      </c>
      <c r="U2044">
        <v>-0.1125488</v>
      </c>
      <c r="V2044">
        <v>-1.924619E-2</v>
      </c>
      <c r="W2044">
        <v>0.11549089999999999</v>
      </c>
      <c r="X2044">
        <v>0.99312199999999995</v>
      </c>
      <c r="Y2044">
        <v>-5.690605E-2</v>
      </c>
      <c r="Z2044">
        <v>-3.8757539999999999E-3</v>
      </c>
      <c r="AA2044">
        <v>0.99837200000000004</v>
      </c>
      <c r="AB2044">
        <v>28</v>
      </c>
      <c r="AC2044">
        <v>-13.630799999999899</v>
      </c>
      <c r="AD2044">
        <v>-1.109939277422</v>
      </c>
      <c r="AE2044">
        <v>-0.51910000000003698</v>
      </c>
      <c r="AF2044">
        <v>-0.78974497036062996</v>
      </c>
      <c r="AG2044">
        <v>-1.109939277422</v>
      </c>
      <c r="AH2044">
        <v>13.527926757567</v>
      </c>
      <c r="AI2044">
        <v>94.682560457097296</v>
      </c>
      <c r="AJ2044">
        <v>93.341070295309606</v>
      </c>
      <c r="AK2044">
        <v>13.5963401206306</v>
      </c>
      <c r="AL2044">
        <v>83.368059359487106</v>
      </c>
      <c r="AM2044">
        <v>91.110223559332795</v>
      </c>
      <c r="AN2044">
        <v>0.99999993534816101</v>
      </c>
    </row>
    <row r="2045" spans="1:40" x14ac:dyDescent="0.25">
      <c r="A2045" t="str">
        <f>"20190312164029286"</f>
        <v>20190312164029286</v>
      </c>
      <c r="B2045" t="str">
        <f>"1552380029278425"</f>
        <v>1552380029278425</v>
      </c>
      <c r="C2045" t="s">
        <v>40</v>
      </c>
      <c r="D2045">
        <v>5.5111049999999997</v>
      </c>
      <c r="E2045">
        <v>0.49204829999999999</v>
      </c>
      <c r="F2045" t="s">
        <v>48</v>
      </c>
      <c r="G2045">
        <v>-236.81110000000001</v>
      </c>
      <c r="H2045" s="1">
        <v>2.088753E-6</v>
      </c>
      <c r="I2045">
        <v>284.59339999999997</v>
      </c>
      <c r="J2045">
        <v>-222.79050000000001</v>
      </c>
      <c r="K2045">
        <v>1.1100479999999999</v>
      </c>
      <c r="L2045">
        <v>285.11709999999999</v>
      </c>
      <c r="M2045">
        <v>-0.9998245</v>
      </c>
      <c r="N2045">
        <v>0</v>
      </c>
      <c r="O2045">
        <v>1.8559059999999999E-2</v>
      </c>
      <c r="P2045">
        <v>-0.99343789999999998</v>
      </c>
      <c r="Q2045">
        <v>0.1143638</v>
      </c>
      <c r="R2045">
        <v>1.418559E-3</v>
      </c>
      <c r="S2045">
        <v>-3.0462950000000002</v>
      </c>
      <c r="T2045">
        <v>-0.2361345</v>
      </c>
      <c r="U2045">
        <v>-0.11047360000000001</v>
      </c>
      <c r="V2045">
        <v>-1.7347629999999999E-2</v>
      </c>
      <c r="W2045">
        <v>0.116897</v>
      </c>
      <c r="X2045">
        <v>0.99299249999999994</v>
      </c>
      <c r="Y2045">
        <v>-5.4562689999999997E-2</v>
      </c>
      <c r="Z2045">
        <v>-3.5469149999999999E-3</v>
      </c>
      <c r="AA2045">
        <v>0.99850399999999995</v>
      </c>
      <c r="AB2045">
        <v>28</v>
      </c>
      <c r="AC2045">
        <v>-14.0206</v>
      </c>
      <c r="AD2045">
        <v>-1.110045911247</v>
      </c>
      <c r="AE2045">
        <v>-0.52370000000001904</v>
      </c>
      <c r="AF2045">
        <v>-0.77894396713164504</v>
      </c>
      <c r="AG2045">
        <v>-1.110045911247</v>
      </c>
      <c r="AH2045">
        <v>13.921324504795001</v>
      </c>
      <c r="AI2045">
        <v>94.551863271228001</v>
      </c>
      <c r="AJ2045">
        <v>93.202548250678504</v>
      </c>
      <c r="AK2045">
        <v>13.9872167208781</v>
      </c>
      <c r="AL2045">
        <v>83.286946616732394</v>
      </c>
      <c r="AM2045">
        <v>91.000858398967097</v>
      </c>
      <c r="AN2045">
        <v>0.99999997696593301</v>
      </c>
    </row>
    <row r="2046" spans="1:40" x14ac:dyDescent="0.25">
      <c r="A2046" t="str">
        <f>"20190312164029308"</f>
        <v>20190312164029308</v>
      </c>
      <c r="B2046" t="str">
        <f>"1552380029297945"</f>
        <v>1552380029297945</v>
      </c>
      <c r="C2046" t="s">
        <v>40</v>
      </c>
      <c r="D2046">
        <v>5.7642389999999999</v>
      </c>
      <c r="E2046">
        <v>0.49208039999999997</v>
      </c>
      <c r="F2046" t="s">
        <v>48</v>
      </c>
      <c r="G2046">
        <v>-237.4256</v>
      </c>
      <c r="H2046" s="1">
        <v>2.4157500000000001E-6</v>
      </c>
      <c r="I2046">
        <v>284.59390000000002</v>
      </c>
      <c r="J2046">
        <v>-223.07749999999999</v>
      </c>
      <c r="K2046">
        <v>1.1101319999999999</v>
      </c>
      <c r="L2046">
        <v>285.12079999999997</v>
      </c>
      <c r="M2046">
        <v>-0.99985489999999999</v>
      </c>
      <c r="N2046">
        <v>0</v>
      </c>
      <c r="O2046">
        <v>1.683345E-2</v>
      </c>
      <c r="P2046">
        <v>-0.99330629999999998</v>
      </c>
      <c r="Q2046">
        <v>0.11550299999999999</v>
      </c>
      <c r="R2046">
        <v>1.3726379999999901E-3</v>
      </c>
      <c r="S2046">
        <v>-3.04657</v>
      </c>
      <c r="T2046">
        <v>-0.23107539999999999</v>
      </c>
      <c r="U2046">
        <v>-0.10891720000000001</v>
      </c>
      <c r="V2046">
        <v>-1.5705279999999999E-2</v>
      </c>
      <c r="W2046">
        <v>0.1180406</v>
      </c>
      <c r="X2046">
        <v>0.99288460000000001</v>
      </c>
      <c r="Y2046">
        <v>-5.2347159999999997E-2</v>
      </c>
      <c r="Z2046">
        <v>-3.2563269999999998E-3</v>
      </c>
      <c r="AA2046">
        <v>0.99862359999999994</v>
      </c>
      <c r="AB2046">
        <v>29</v>
      </c>
      <c r="AC2046">
        <v>-14.348100000000001</v>
      </c>
      <c r="AD2046">
        <v>-1.1101295842500001</v>
      </c>
      <c r="AE2046">
        <v>-0.52689999999995496</v>
      </c>
      <c r="AF2046">
        <v>-0.76378808064880299</v>
      </c>
      <c r="AG2046">
        <v>-1.1101295842500001</v>
      </c>
      <c r="AH2046">
        <v>14.2519955533879</v>
      </c>
      <c r="AI2046">
        <v>94.447585787146494</v>
      </c>
      <c r="AJ2046">
        <v>93.067641280504205</v>
      </c>
      <c r="AK2046">
        <v>14.3155557761394</v>
      </c>
      <c r="AL2046">
        <v>83.220966736847203</v>
      </c>
      <c r="AM2046">
        <v>90.9062193360962</v>
      </c>
      <c r="AN2046">
        <v>1.00000003399269</v>
      </c>
    </row>
    <row r="2047" spans="1:40" x14ac:dyDescent="0.25">
      <c r="A2047" t="str">
        <f>"20190312164029330"</f>
        <v>20190312164029330</v>
      </c>
      <c r="B2047" t="str">
        <f>"1552380029318445"</f>
        <v>1552380029318445</v>
      </c>
      <c r="C2047" t="s">
        <v>40</v>
      </c>
      <c r="D2047">
        <v>5.5689229999999998</v>
      </c>
      <c r="E2047">
        <v>0.49212679999999998</v>
      </c>
      <c r="F2047" t="s">
        <v>48</v>
      </c>
      <c r="G2047">
        <v>-237.95509999999999</v>
      </c>
      <c r="H2047" s="1">
        <v>2.6976319999999998E-6</v>
      </c>
      <c r="I2047">
        <v>284.59140000000002</v>
      </c>
      <c r="J2047">
        <v>-223.34979999999999</v>
      </c>
      <c r="K2047">
        <v>1.1102019999999999</v>
      </c>
      <c r="L2047">
        <v>285.12380000000002</v>
      </c>
      <c r="M2047">
        <v>-0.9998823</v>
      </c>
      <c r="N2047">
        <v>0</v>
      </c>
      <c r="O2047">
        <v>1.5120669999999999E-2</v>
      </c>
      <c r="P2047">
        <v>-0.99323510000000004</v>
      </c>
      <c r="Q2047">
        <v>0.116118</v>
      </c>
      <c r="R2047">
        <v>1.0113639999999901E-3</v>
      </c>
      <c r="S2047">
        <v>-3.046783</v>
      </c>
      <c r="T2047">
        <v>-0.22734299999999999</v>
      </c>
      <c r="U2047">
        <v>-0.108429</v>
      </c>
      <c r="V2047">
        <v>-1.438707E-2</v>
      </c>
      <c r="W2047">
        <v>0.1186614</v>
      </c>
      <c r="X2047">
        <v>0.99283060000000001</v>
      </c>
      <c r="Y2047">
        <v>-5.0490390000000003E-2</v>
      </c>
      <c r="Z2047">
        <v>-3.0069129999999999E-3</v>
      </c>
      <c r="AA2047">
        <v>0.99872000000000005</v>
      </c>
      <c r="AB2047">
        <v>29</v>
      </c>
      <c r="AC2047">
        <v>-14.6053</v>
      </c>
      <c r="AD2047">
        <v>-1.1101993023679999</v>
      </c>
      <c r="AE2047">
        <v>-0.53239999999999499</v>
      </c>
      <c r="AF2047">
        <v>-0.74886059222275403</v>
      </c>
      <c r="AG2047">
        <v>-1.1101993023679999</v>
      </c>
      <c r="AH2047">
        <v>14.5118411789501</v>
      </c>
      <c r="AI2047">
        <v>94.368986511601193</v>
      </c>
      <c r="AJ2047">
        <v>92.954037748810194</v>
      </c>
      <c r="AK2047">
        <v>14.573498861997299</v>
      </c>
      <c r="AL2047">
        <v>83.185145925524196</v>
      </c>
      <c r="AM2047">
        <v>90.830212826686903</v>
      </c>
      <c r="AN2047">
        <v>1.0000000579647501</v>
      </c>
    </row>
    <row r="2048" spans="1:40" x14ac:dyDescent="0.25">
      <c r="A2048" t="str">
        <f>"20190312164029354"</f>
        <v>20190312164029354</v>
      </c>
      <c r="B2048" t="str">
        <f>"1552380029347722"</f>
        <v>1552380029347722</v>
      </c>
      <c r="C2048" t="s">
        <v>40</v>
      </c>
      <c r="D2048">
        <v>5.5519020000000001</v>
      </c>
      <c r="E2048">
        <v>0.49221619999999999</v>
      </c>
      <c r="F2048" t="s">
        <v>48</v>
      </c>
      <c r="G2048">
        <v>-238.40809999999999</v>
      </c>
      <c r="H2048" s="1">
        <v>2.93898E-6</v>
      </c>
      <c r="I2048">
        <v>284.58420000000001</v>
      </c>
      <c r="J2048">
        <v>-223.66720000000001</v>
      </c>
      <c r="K2048">
        <v>1.1102700000000001</v>
      </c>
      <c r="L2048">
        <v>285.1266</v>
      </c>
      <c r="M2048">
        <v>-0.99991140000000001</v>
      </c>
      <c r="N2048">
        <v>0</v>
      </c>
      <c r="O2048">
        <v>1.3059650000000001E-2</v>
      </c>
      <c r="P2048">
        <v>-0.99319009999999996</v>
      </c>
      <c r="Q2048">
        <v>0.1165056</v>
      </c>
      <c r="R2048" s="1">
        <v>2.6964090000000001E-5</v>
      </c>
      <c r="S2048">
        <v>-3.0468139999999999</v>
      </c>
      <c r="T2048">
        <v>-0.22463169999999999</v>
      </c>
      <c r="U2048">
        <v>-0.109191899999999</v>
      </c>
      <c r="V2048">
        <v>-1.334537E-2</v>
      </c>
      <c r="W2048">
        <v>0.1190624</v>
      </c>
      <c r="X2048">
        <v>0.99279709999999999</v>
      </c>
      <c r="Y2048">
        <v>-4.8695910000000002E-2</v>
      </c>
      <c r="Z2048">
        <v>-2.7533610000000002E-3</v>
      </c>
      <c r="AA2048">
        <v>0.99880990000000003</v>
      </c>
      <c r="AB2048">
        <v>29</v>
      </c>
      <c r="AC2048">
        <v>-14.7408999999999</v>
      </c>
      <c r="AD2048">
        <v>-1.1102670610200001</v>
      </c>
      <c r="AE2048">
        <v>-0.542399999999986</v>
      </c>
      <c r="AF2048">
        <v>-0.73072563136445101</v>
      </c>
      <c r="AG2048">
        <v>-1.1102670610200001</v>
      </c>
      <c r="AH2048">
        <v>14.6495658003898</v>
      </c>
      <c r="AI2048">
        <v>94.328708459440307</v>
      </c>
      <c r="AJ2048">
        <v>92.855567472783804</v>
      </c>
      <c r="AK2048">
        <v>14.7097393258708</v>
      </c>
      <c r="AL2048">
        <v>83.162006002041593</v>
      </c>
      <c r="AM2048">
        <v>90.770134529518202</v>
      </c>
      <c r="AN2048">
        <v>1.0000000178813</v>
      </c>
    </row>
    <row r="2049" spans="1:40" x14ac:dyDescent="0.25">
      <c r="A2049" t="str">
        <f>"20190312164029377"</f>
        <v>20190312164029377</v>
      </c>
      <c r="B2049" t="str">
        <f>"1552380029368217"</f>
        <v>1552380029368217</v>
      </c>
      <c r="C2049" t="s">
        <v>40</v>
      </c>
      <c r="D2049">
        <v>5.6240180000000004</v>
      </c>
      <c r="E2049">
        <v>0.49225170000000001</v>
      </c>
      <c r="F2049" t="s">
        <v>48</v>
      </c>
      <c r="G2049">
        <v>-238.8416</v>
      </c>
      <c r="H2049" s="1">
        <v>3.1702799999999998E-6</v>
      </c>
      <c r="I2049">
        <v>284.57100000000003</v>
      </c>
      <c r="J2049">
        <v>-223.9734</v>
      </c>
      <c r="K2049">
        <v>1.1103289999999999</v>
      </c>
      <c r="L2049">
        <v>285.12880000000001</v>
      </c>
      <c r="M2049">
        <v>-0.99993569999999998</v>
      </c>
      <c r="N2049">
        <v>0</v>
      </c>
      <c r="O2049">
        <v>1.103086E-2</v>
      </c>
      <c r="P2049">
        <v>-0.9930795</v>
      </c>
      <c r="Q2049">
        <v>0.11744110000000001</v>
      </c>
      <c r="R2049">
        <v>-1.013952E-3</v>
      </c>
      <c r="S2049">
        <v>-3.0467529999999998</v>
      </c>
      <c r="T2049">
        <v>-0.22292090000000001</v>
      </c>
      <c r="U2049">
        <v>-0.1115723</v>
      </c>
      <c r="V2049">
        <v>-1.239001E-2</v>
      </c>
      <c r="W2049">
        <v>0.1200272</v>
      </c>
      <c r="X2049">
        <v>0.9926933</v>
      </c>
      <c r="Y2049">
        <v>-4.7460660000000002E-2</v>
      </c>
      <c r="Z2049">
        <v>-2.5391509999999999E-3</v>
      </c>
      <c r="AA2049">
        <v>0.99886989999999998</v>
      </c>
      <c r="AB2049">
        <v>29</v>
      </c>
      <c r="AC2049">
        <v>-14.8682</v>
      </c>
      <c r="AD2049">
        <v>-1.11032582972</v>
      </c>
      <c r="AE2049">
        <v>-0.55780000000004204</v>
      </c>
      <c r="AF2049">
        <v>-0.71777839050320402</v>
      </c>
      <c r="AG2049">
        <v>-1.11032582972</v>
      </c>
      <c r="AH2049">
        <v>14.7788397407329</v>
      </c>
      <c r="AI2049">
        <v>94.291488089142504</v>
      </c>
      <c r="AJ2049">
        <v>92.780555334451293</v>
      </c>
      <c r="AK2049">
        <v>14.8378614816382</v>
      </c>
      <c r="AL2049">
        <v>83.106327729667299</v>
      </c>
      <c r="AM2049">
        <v>90.715083321256103</v>
      </c>
      <c r="AN2049">
        <v>1.00000001447626</v>
      </c>
    </row>
    <row r="2050" spans="1:40" x14ac:dyDescent="0.25">
      <c r="A2050" t="str">
        <f>"20190312164029397"</f>
        <v>20190312164029397</v>
      </c>
      <c r="B2050" t="str">
        <f>"1552380029387738"</f>
        <v>1552380029387738</v>
      </c>
      <c r="C2050" t="s">
        <v>40</v>
      </c>
      <c r="D2050">
        <v>5.5688500000000003</v>
      </c>
      <c r="E2050">
        <v>0.49221740000000003</v>
      </c>
      <c r="F2050" t="s">
        <v>48</v>
      </c>
      <c r="G2050">
        <v>-239.34379999999999</v>
      </c>
      <c r="H2050" s="1">
        <v>3.4383039999999999E-6</v>
      </c>
      <c r="I2050">
        <v>284.553</v>
      </c>
      <c r="J2050">
        <v>-224.244</v>
      </c>
      <c r="K2050">
        <v>1.1103799999999999</v>
      </c>
      <c r="L2050">
        <v>285.13</v>
      </c>
      <c r="M2050">
        <v>-0.99995389999999995</v>
      </c>
      <c r="N2050">
        <v>0</v>
      </c>
      <c r="O2050">
        <v>9.2204609999999992E-3</v>
      </c>
      <c r="P2050">
        <v>-0.99289539999999998</v>
      </c>
      <c r="Q2050">
        <v>0.11898160000000001</v>
      </c>
      <c r="R2050">
        <v>-1.554702E-3</v>
      </c>
      <c r="S2050">
        <v>-3.0468139999999999</v>
      </c>
      <c r="T2050">
        <v>-0.2200947</v>
      </c>
      <c r="U2050">
        <v>-0.11413570000000001</v>
      </c>
      <c r="V2050">
        <v>-1.1148119999999999E-2</v>
      </c>
      <c r="W2050">
        <v>0.12161760000000001</v>
      </c>
      <c r="X2050">
        <v>0.99251440000000002</v>
      </c>
      <c r="Y2050">
        <v>-4.6501870000000001E-2</v>
      </c>
      <c r="Z2050">
        <v>-2.341812E-3</v>
      </c>
      <c r="AA2050">
        <v>0.99891540000000001</v>
      </c>
      <c r="AB2050">
        <v>29</v>
      </c>
      <c r="AC2050">
        <v>-15.099799999999901</v>
      </c>
      <c r="AD2050">
        <v>-1.110376561696</v>
      </c>
      <c r="AE2050">
        <v>-0.57699999999999796</v>
      </c>
      <c r="AF2050">
        <v>-0.712356622297175</v>
      </c>
      <c r="AG2050">
        <v>-1.110376561696</v>
      </c>
      <c r="AH2050">
        <v>15.012774369119301</v>
      </c>
      <c r="AI2050">
        <v>94.225278336981205</v>
      </c>
      <c r="AJ2050">
        <v>92.716648936666104</v>
      </c>
      <c r="AK2050">
        <v>15.0706264741775</v>
      </c>
      <c r="AL2050">
        <v>83.014531772501996</v>
      </c>
      <c r="AM2050">
        <v>90.643530578388393</v>
      </c>
      <c r="AN2050">
        <v>0.99999997770832705</v>
      </c>
    </row>
    <row r="2051" spans="1:40" x14ac:dyDescent="0.25">
      <c r="A2051" t="str">
        <f>"20190312164029419"</f>
        <v>20190312164029419</v>
      </c>
      <c r="B2051" t="str">
        <f>"1552380029408237"</f>
        <v>1552380029408237</v>
      </c>
      <c r="C2051" t="s">
        <v>40</v>
      </c>
      <c r="D2051">
        <v>5.5686150000000003</v>
      </c>
      <c r="E2051">
        <v>0.49218149999999999</v>
      </c>
      <c r="F2051" t="s">
        <v>48</v>
      </c>
      <c r="G2051">
        <v>-239.9111</v>
      </c>
      <c r="H2051" s="1">
        <v>3.7410939999999999E-6</v>
      </c>
      <c r="I2051">
        <v>284.5324</v>
      </c>
      <c r="J2051">
        <v>-224.52709999999999</v>
      </c>
      <c r="K2051">
        <v>1.1104339999999999</v>
      </c>
      <c r="L2051">
        <v>285.13080000000002</v>
      </c>
      <c r="M2051">
        <v>-0.99996929999999995</v>
      </c>
      <c r="N2051">
        <v>0</v>
      </c>
      <c r="O2051">
        <v>7.319603E-3</v>
      </c>
      <c r="P2051">
        <v>-0.99272550000000004</v>
      </c>
      <c r="Q2051">
        <v>0.12038980000000001</v>
      </c>
      <c r="R2051">
        <v>-1.5830429999999999E-3</v>
      </c>
      <c r="S2051">
        <v>-3.0471499999999998</v>
      </c>
      <c r="T2051">
        <v>-0.2159604</v>
      </c>
      <c r="U2051">
        <v>-0.1162415</v>
      </c>
      <c r="V2051">
        <v>-9.3034599999999995E-3</v>
      </c>
      <c r="W2051">
        <v>0.1231193</v>
      </c>
      <c r="X2051">
        <v>0.99234829999999996</v>
      </c>
      <c r="Y2051">
        <v>-4.5301359999999999E-2</v>
      </c>
      <c r="Z2051">
        <v>-2.1206689999999999E-3</v>
      </c>
      <c r="AA2051">
        <v>0.9989711</v>
      </c>
      <c r="AB2051">
        <v>29</v>
      </c>
      <c r="AC2051">
        <v>-15.384</v>
      </c>
      <c r="AD2051">
        <v>-1.110430258906</v>
      </c>
      <c r="AE2051">
        <v>-0.59840000000002602</v>
      </c>
      <c r="AF2051">
        <v>-0.70730961316139096</v>
      </c>
      <c r="AG2051">
        <v>-1.110430258906</v>
      </c>
      <c r="AH2051">
        <v>15.2996160786002</v>
      </c>
      <c r="AI2051">
        <v>94.146775816085196</v>
      </c>
      <c r="AJ2051">
        <v>92.646930545564999</v>
      </c>
      <c r="AK2051">
        <v>15.3561581914659</v>
      </c>
      <c r="AL2051">
        <v>82.927839561761999</v>
      </c>
      <c r="AM2051">
        <v>90.537143436804399</v>
      </c>
      <c r="AN2051">
        <v>1.00000003245667</v>
      </c>
    </row>
    <row r="2052" spans="1:40" x14ac:dyDescent="0.25">
      <c r="A2052" t="str">
        <f>"20190312164029442"</f>
        <v>20190312164029442</v>
      </c>
      <c r="B2052" t="str">
        <f>"1552380029438490"</f>
        <v>1552380029438490</v>
      </c>
      <c r="C2052" t="s">
        <v>40</v>
      </c>
      <c r="D2052">
        <v>5.4923460000000004</v>
      </c>
      <c r="E2052">
        <v>0.49213990000000002</v>
      </c>
      <c r="F2052" t="s">
        <v>48</v>
      </c>
      <c r="G2052">
        <v>-240.39580000000001</v>
      </c>
      <c r="H2052" s="1">
        <v>-1.326159E-6</v>
      </c>
      <c r="I2052">
        <v>284.51220000000001</v>
      </c>
      <c r="J2052">
        <v>-224.83760000000001</v>
      </c>
      <c r="K2052">
        <v>1.110501</v>
      </c>
      <c r="L2052">
        <v>285.13099999999997</v>
      </c>
      <c r="M2052">
        <v>-0.99998220000000004</v>
      </c>
      <c r="N2052">
        <v>0</v>
      </c>
      <c r="O2052">
        <v>5.2309189999999997E-3</v>
      </c>
      <c r="P2052">
        <v>-0.99267159999999999</v>
      </c>
      <c r="Q2052">
        <v>0.1208341</v>
      </c>
      <c r="R2052">
        <v>-1.5921520000000001E-3</v>
      </c>
      <c r="S2052">
        <v>-3.0476380000000001</v>
      </c>
      <c r="T2052">
        <v>-0.2132628</v>
      </c>
      <c r="U2052">
        <v>-0.1188049</v>
      </c>
      <c r="V2052">
        <v>-7.2502039999999997E-3</v>
      </c>
      <c r="W2052">
        <v>0.1237183</v>
      </c>
      <c r="X2052">
        <v>0.99229089999999998</v>
      </c>
      <c r="Y2052">
        <v>-4.4059130000000002E-2</v>
      </c>
      <c r="Z2052">
        <v>-1.904551E-3</v>
      </c>
      <c r="AA2052">
        <v>0.99902709999999995</v>
      </c>
      <c r="AB2052">
        <v>30</v>
      </c>
      <c r="AC2052">
        <v>-15.558199999999999</v>
      </c>
      <c r="AD2052">
        <v>-1.1105023261589999</v>
      </c>
      <c r="AE2052">
        <v>-0.61879999999996405</v>
      </c>
      <c r="AF2052">
        <v>-0.69663201420723997</v>
      </c>
      <c r="AG2052">
        <v>-1.1105023261589999</v>
      </c>
      <c r="AH2052">
        <v>15.4760287459419</v>
      </c>
      <c r="AI2052">
        <v>94.100159983026202</v>
      </c>
      <c r="AJ2052">
        <v>92.577350388962103</v>
      </c>
      <c r="AK2052">
        <v>15.5314512304821</v>
      </c>
      <c r="AL2052">
        <v>82.893254796168605</v>
      </c>
      <c r="AM2052">
        <v>90.418625926973604</v>
      </c>
      <c r="AN2052">
        <v>1.00000000671787</v>
      </c>
    </row>
    <row r="2053" spans="1:40" x14ac:dyDescent="0.25">
      <c r="A2053" t="str">
        <f>"20190312164029465"</f>
        <v>20190312164029465</v>
      </c>
      <c r="B2053" t="str">
        <f>"1552380029458010"</f>
        <v>1552380029458010</v>
      </c>
      <c r="C2053" t="s">
        <v>40</v>
      </c>
      <c r="D2053">
        <v>5.5802250000000004</v>
      </c>
      <c r="E2053">
        <v>0.49111169999999998</v>
      </c>
      <c r="F2053" t="s">
        <v>48</v>
      </c>
      <c r="G2053">
        <v>-240.7877</v>
      </c>
      <c r="H2053" s="1">
        <v>-1.117597E-6</v>
      </c>
      <c r="I2053">
        <v>284.50080000000003</v>
      </c>
      <c r="J2053">
        <v>-225.14619999999999</v>
      </c>
      <c r="K2053">
        <v>1.1105609999999999</v>
      </c>
      <c r="L2053">
        <v>285.13060000000002</v>
      </c>
      <c r="M2053">
        <v>-0.99999020000000005</v>
      </c>
      <c r="N2053">
        <v>0</v>
      </c>
      <c r="O2053">
        <v>3.1527460000000001E-3</v>
      </c>
      <c r="P2053">
        <v>-0.99259629999999999</v>
      </c>
      <c r="Q2053">
        <v>0.1214485</v>
      </c>
      <c r="R2053">
        <v>-1.757209E-3</v>
      </c>
      <c r="S2053">
        <v>-3.0477910000000001</v>
      </c>
      <c r="T2053">
        <v>-0.212198</v>
      </c>
      <c r="U2053">
        <v>-0.1204224</v>
      </c>
      <c r="V2053">
        <v>-5.3626819999999997E-3</v>
      </c>
      <c r="W2053">
        <v>0.1245208</v>
      </c>
      <c r="X2053">
        <v>0.99220249999999999</v>
      </c>
      <c r="Y2053">
        <v>-4.2520269999999999E-2</v>
      </c>
      <c r="Z2053">
        <v>-1.6970010000000001E-3</v>
      </c>
      <c r="AA2053">
        <v>0.99909420000000004</v>
      </c>
      <c r="AB2053">
        <v>30</v>
      </c>
      <c r="AC2053">
        <v>-15.641500000000001</v>
      </c>
      <c r="AD2053">
        <v>-1.110562117597</v>
      </c>
      <c r="AE2053">
        <v>-0.62979999999998804</v>
      </c>
      <c r="AF2053">
        <v>-0.675709948595837</v>
      </c>
      <c r="AG2053">
        <v>-1.110562117597</v>
      </c>
      <c r="AH2053">
        <v>15.5611178259756</v>
      </c>
      <c r="AI2053">
        <v>94.0783200459516</v>
      </c>
      <c r="AJ2053">
        <v>92.486390943741199</v>
      </c>
      <c r="AK2053">
        <v>15.6153232481934</v>
      </c>
      <c r="AL2053">
        <v>82.846916523628906</v>
      </c>
      <c r="AM2053">
        <v>90.309670710993501</v>
      </c>
      <c r="AN2053">
        <v>0.99999999449856103</v>
      </c>
    </row>
    <row r="2054" spans="1:40" x14ac:dyDescent="0.25">
      <c r="A2054" t="str">
        <f>"20190312164029488"</f>
        <v>20190312164029488</v>
      </c>
      <c r="B2054" t="str">
        <f>"1552380029478509"</f>
        <v>1552380029478509</v>
      </c>
      <c r="C2054" t="s">
        <v>40</v>
      </c>
      <c r="D2054">
        <v>5.500184</v>
      </c>
      <c r="E2054">
        <v>0.49879970000000001</v>
      </c>
      <c r="F2054" t="s">
        <v>42</v>
      </c>
      <c r="G2054">
        <v>-226.0307</v>
      </c>
      <c r="H2054">
        <v>1.019587</v>
      </c>
      <c r="I2054">
        <v>285.09050000000002</v>
      </c>
      <c r="J2054">
        <v>-225.4401</v>
      </c>
      <c r="K2054">
        <v>1.1106229999999999</v>
      </c>
      <c r="L2054">
        <v>285.12950000000001</v>
      </c>
      <c r="M2054">
        <v>-0.99999389999999999</v>
      </c>
      <c r="N2054">
        <v>0</v>
      </c>
      <c r="O2054">
        <v>1.1737500000000001E-3</v>
      </c>
      <c r="P2054">
        <v>-0.99247019999999997</v>
      </c>
      <c r="Q2054">
        <v>0.1224761</v>
      </c>
      <c r="R2054">
        <v>-1.667127E-3</v>
      </c>
      <c r="S2054">
        <v>-3.0606689999999999</v>
      </c>
      <c r="T2054">
        <v>-0.31490770000000001</v>
      </c>
      <c r="U2054">
        <v>-0.1387939</v>
      </c>
      <c r="V2054">
        <v>-3.3187440000000002E-3</v>
      </c>
      <c r="W2054">
        <v>0.1257731</v>
      </c>
      <c r="X2054">
        <v>0.99205350000000003</v>
      </c>
      <c r="Y2054">
        <v>-4.6223840000000002E-2</v>
      </c>
      <c r="Z2054">
        <v>-2.4908700000000001E-3</v>
      </c>
      <c r="AA2054">
        <v>0.99892800000000004</v>
      </c>
      <c r="AB2054">
        <v>30</v>
      </c>
      <c r="AC2054">
        <v>-0.59059999999999402</v>
      </c>
      <c r="AD2054">
        <v>-9.1035999999999895E-2</v>
      </c>
      <c r="AE2054">
        <v>-3.8999999999987198E-2</v>
      </c>
      <c r="AF2054">
        <v>-3.87758931808476E-2</v>
      </c>
      <c r="AG2054">
        <v>-9.1035999999999895E-2</v>
      </c>
      <c r="AH2054">
        <v>0.57690625558268505</v>
      </c>
      <c r="AI2054">
        <v>98.947488881141297</v>
      </c>
      <c r="AJ2054">
        <v>93.845266759373999</v>
      </c>
      <c r="AK2054">
        <v>0.58533063384586903</v>
      </c>
      <c r="AL2054">
        <v>82.774596610815905</v>
      </c>
      <c r="AM2054">
        <v>90.191672440198403</v>
      </c>
      <c r="AN2054">
        <v>1.0000000168037899</v>
      </c>
    </row>
    <row r="2055" spans="1:40" x14ac:dyDescent="0.25">
      <c r="A2055" t="str">
        <f>"20190312164029509"</f>
        <v>20190312164029509</v>
      </c>
      <c r="B2055" t="str">
        <f>"1552380029498029"</f>
        <v>1552380029498029</v>
      </c>
      <c r="C2055" t="s">
        <v>40</v>
      </c>
      <c r="D2055">
        <v>5.5548650000000004</v>
      </c>
      <c r="E2055">
        <v>0.50016640000000001</v>
      </c>
      <c r="F2055" t="s">
        <v>48</v>
      </c>
      <c r="G2055">
        <v>-240.02379999999999</v>
      </c>
      <c r="H2055" s="1">
        <v>-1.5241069999999999E-6</v>
      </c>
      <c r="I2055">
        <v>284.79899999999998</v>
      </c>
      <c r="J2055">
        <v>-225.73410000000001</v>
      </c>
      <c r="K2055">
        <v>1.1106860000000001</v>
      </c>
      <c r="L2055">
        <v>285.12790000000001</v>
      </c>
      <c r="M2055">
        <v>-0.99999329999999997</v>
      </c>
      <c r="N2055">
        <v>0</v>
      </c>
      <c r="O2055">
        <v>-8.0547599999999996E-4</v>
      </c>
      <c r="P2055">
        <v>-0.99228570000000005</v>
      </c>
      <c r="Q2055">
        <v>0.123969</v>
      </c>
      <c r="R2055">
        <v>-1.0223490000000001E-3</v>
      </c>
      <c r="S2055">
        <v>-3.0513150000000002</v>
      </c>
      <c r="T2055">
        <v>-0.23237289999999999</v>
      </c>
      <c r="U2055">
        <v>-6.9152829999999998E-2</v>
      </c>
      <c r="V2055">
        <v>-7.2295539999999998E-4</v>
      </c>
      <c r="W2055">
        <v>0.12754960000000001</v>
      </c>
      <c r="X2055">
        <v>0.99183189999999999</v>
      </c>
      <c r="Y2055">
        <v>-2.179145E-2</v>
      </c>
      <c r="Z2055">
        <v>-7.6721359999999998E-4</v>
      </c>
      <c r="AA2055">
        <v>0.99976220000000005</v>
      </c>
      <c r="AB2055">
        <v>30</v>
      </c>
      <c r="AC2055">
        <v>-14.2896999999999</v>
      </c>
      <c r="AD2055">
        <v>-1.110687524107</v>
      </c>
      <c r="AE2055">
        <v>-0.32889999999997599</v>
      </c>
      <c r="AF2055">
        <v>-0.31548484865286403</v>
      </c>
      <c r="AG2055">
        <v>-1.110687524107</v>
      </c>
      <c r="AH2055">
        <v>14.204192520279101</v>
      </c>
      <c r="AI2055">
        <v>94.470010132554407</v>
      </c>
      <c r="AJ2055">
        <v>91.272369323736797</v>
      </c>
      <c r="AK2055">
        <v>14.2510435624585</v>
      </c>
      <c r="AL2055">
        <v>82.671983866278396</v>
      </c>
      <c r="AM2055">
        <v>90.041763413598801</v>
      </c>
      <c r="AN2055">
        <v>0.99999997049113898</v>
      </c>
    </row>
    <row r="2056" spans="1:40" x14ac:dyDescent="0.25">
      <c r="A2056" t="str">
        <f>"20190312164029531"</f>
        <v>20190312164029531</v>
      </c>
      <c r="B2056" t="str">
        <f>"1552380029528282"</f>
        <v>1552380029528282</v>
      </c>
      <c r="C2056" t="s">
        <v>40</v>
      </c>
      <c r="D2056">
        <v>5.5437810000000001</v>
      </c>
      <c r="E2056">
        <v>0.50067720000000004</v>
      </c>
      <c r="F2056" t="s">
        <v>48</v>
      </c>
      <c r="G2056">
        <v>-242.28219999999999</v>
      </c>
      <c r="H2056" s="1">
        <v>-3.2230150000000001E-7</v>
      </c>
      <c r="I2056">
        <v>284.8365</v>
      </c>
      <c r="J2056">
        <v>-226.02029999999999</v>
      </c>
      <c r="K2056">
        <v>1.1107689999999999</v>
      </c>
      <c r="L2056">
        <v>285.12580000000003</v>
      </c>
      <c r="M2056">
        <v>-0.99998849999999995</v>
      </c>
      <c r="N2056">
        <v>0</v>
      </c>
      <c r="O2056">
        <v>-2.729731E-3</v>
      </c>
      <c r="P2056">
        <v>-0.99206130000000003</v>
      </c>
      <c r="Q2056">
        <v>0.1257559</v>
      </c>
      <c r="R2056">
        <v>-1.174834E-4</v>
      </c>
      <c r="S2056">
        <v>-3.0488279999999999</v>
      </c>
      <c r="T2056">
        <v>-0.20463339999999999</v>
      </c>
      <c r="U2056">
        <v>-5.368042E-2</v>
      </c>
      <c r="V2056">
        <v>2.0778200000000002E-3</v>
      </c>
      <c r="W2056">
        <v>0.12966949999999999</v>
      </c>
      <c r="X2056">
        <v>0.99155510000000002</v>
      </c>
      <c r="Y2056">
        <v>-1.4847529999999999E-2</v>
      </c>
      <c r="Z2056">
        <v>-3.1467879999999999E-4</v>
      </c>
      <c r="AA2056">
        <v>0.99988969999999999</v>
      </c>
      <c r="AB2056">
        <v>30</v>
      </c>
      <c r="AC2056">
        <v>-16.261899999999901</v>
      </c>
      <c r="AD2056">
        <v>-1.1107693223015001</v>
      </c>
      <c r="AE2056">
        <v>-0.28930000000002498</v>
      </c>
      <c r="AF2056">
        <v>-0.24377099244818101</v>
      </c>
      <c r="AG2056">
        <v>-1.1107693223015001</v>
      </c>
      <c r="AH2056">
        <v>16.187130749621598</v>
      </c>
      <c r="AI2056">
        <v>93.925068757305894</v>
      </c>
      <c r="AJ2056">
        <v>90.862783746628494</v>
      </c>
      <c r="AK2056">
        <v>16.227027906843301</v>
      </c>
      <c r="AL2056">
        <v>82.549505638579703</v>
      </c>
      <c r="AM2056">
        <v>89.879935928592502</v>
      </c>
      <c r="AN2056">
        <v>1.0000000064511001</v>
      </c>
    </row>
    <row r="2057" spans="1:40" x14ac:dyDescent="0.25">
      <c r="A2057" t="str">
        <f>"20190312164029555"</f>
        <v>20190312164029555</v>
      </c>
      <c r="B2057" t="str">
        <f>"1552380029547802"</f>
        <v>1552380029547802</v>
      </c>
      <c r="C2057" t="s">
        <v>40</v>
      </c>
      <c r="D2057">
        <v>5.7329319999999999</v>
      </c>
      <c r="E2057">
        <v>0.50077550000000004</v>
      </c>
      <c r="F2057" t="s">
        <v>48</v>
      </c>
      <c r="G2057">
        <v>-243.3587</v>
      </c>
      <c r="H2057" s="1">
        <v>2.505626E-7</v>
      </c>
      <c r="I2057">
        <v>284.86040000000003</v>
      </c>
      <c r="J2057">
        <v>-226.35290000000001</v>
      </c>
      <c r="K2057">
        <v>1.110867</v>
      </c>
      <c r="L2057">
        <v>285.12259999999998</v>
      </c>
      <c r="M2057">
        <v>-0.99997809999999998</v>
      </c>
      <c r="N2057">
        <v>0</v>
      </c>
      <c r="O2057">
        <v>-4.9578959999999998E-3</v>
      </c>
      <c r="P2057">
        <v>-0.99181189999999997</v>
      </c>
      <c r="Q2057">
        <v>0.12770580000000001</v>
      </c>
      <c r="R2057">
        <v>6.9902789999999897E-4</v>
      </c>
      <c r="S2057">
        <v>-3.0487669999999998</v>
      </c>
      <c r="T2057">
        <v>-0.19531599999999999</v>
      </c>
      <c r="U2057">
        <v>-4.6661380000000002E-2</v>
      </c>
      <c r="V2057">
        <v>5.089835E-3</v>
      </c>
      <c r="W2057">
        <v>0.13207199999999999</v>
      </c>
      <c r="X2057">
        <v>0.99122699999999997</v>
      </c>
      <c r="Y2057">
        <v>-1.0334640000000001E-2</v>
      </c>
      <c r="Z2057" s="1">
        <v>-1.3402810000000001E-5</v>
      </c>
      <c r="AA2057">
        <v>0.99994660000000002</v>
      </c>
      <c r="AB2057">
        <v>30</v>
      </c>
      <c r="AC2057">
        <v>-17.005799999999901</v>
      </c>
      <c r="AD2057">
        <v>-1.1108667494374</v>
      </c>
      <c r="AE2057">
        <v>-0.26219999999994997</v>
      </c>
      <c r="AF2057">
        <v>-0.17712734417599299</v>
      </c>
      <c r="AG2057">
        <v>-1.1108667494374</v>
      </c>
      <c r="AH2057">
        <v>16.934646805187</v>
      </c>
      <c r="AI2057">
        <v>93.752865543521096</v>
      </c>
      <c r="AJ2057">
        <v>90.599261343321501</v>
      </c>
      <c r="AK2057">
        <v>16.971966929248001</v>
      </c>
      <c r="AL2057">
        <v>82.410657841247101</v>
      </c>
      <c r="AM2057">
        <v>89.705795442563101</v>
      </c>
      <c r="AN2057">
        <v>0.99999994256666203</v>
      </c>
    </row>
    <row r="2058" spans="1:40" x14ac:dyDescent="0.25">
      <c r="A2058" t="str">
        <f>"20190312164029578"</f>
        <v>20190312164029578</v>
      </c>
      <c r="B2058" t="str">
        <f>"1552380029568297"</f>
        <v>1552380029568297</v>
      </c>
      <c r="C2058" t="s">
        <v>40</v>
      </c>
      <c r="D2058">
        <v>5.6752570000000002</v>
      </c>
      <c r="E2058">
        <v>0.50087369999999998</v>
      </c>
      <c r="F2058" t="s">
        <v>48</v>
      </c>
      <c r="G2058">
        <v>-244.37549999999999</v>
      </c>
      <c r="H2058" s="1">
        <v>7.9161000000000003E-7</v>
      </c>
      <c r="I2058">
        <v>284.87240000000003</v>
      </c>
      <c r="J2058">
        <v>-226.6584</v>
      </c>
      <c r="K2058">
        <v>1.1109579999999999</v>
      </c>
      <c r="L2058">
        <v>285.11900000000003</v>
      </c>
      <c r="M2058">
        <v>-0.99996399999999996</v>
      </c>
      <c r="N2058">
        <v>0</v>
      </c>
      <c r="O2058">
        <v>-6.9795480000000003E-3</v>
      </c>
      <c r="P2058">
        <v>-0.99155649999999995</v>
      </c>
      <c r="Q2058">
        <v>0.12966330000000001</v>
      </c>
      <c r="R2058">
        <v>1.905105E-3</v>
      </c>
      <c r="S2058">
        <v>-3.0490110000000001</v>
      </c>
      <c r="T2058">
        <v>-0.18793370000000001</v>
      </c>
      <c r="U2058">
        <v>-4.2327879999999998E-2</v>
      </c>
      <c r="V2058">
        <v>8.289111E-3</v>
      </c>
      <c r="W2058">
        <v>0.13450200000000001</v>
      </c>
      <c r="X2058">
        <v>0.99087860000000005</v>
      </c>
      <c r="Y2058">
        <v>-6.9020080000000003E-3</v>
      </c>
      <c r="Z2058">
        <v>2.1727150000000001E-4</v>
      </c>
      <c r="AA2058">
        <v>0.99997619999999998</v>
      </c>
      <c r="AB2058">
        <v>30</v>
      </c>
      <c r="AC2058">
        <v>-17.717099999999899</v>
      </c>
      <c r="AD2058">
        <v>-1.1109572083899999</v>
      </c>
      <c r="AE2058">
        <v>-0.24660000000000001</v>
      </c>
      <c r="AF2058">
        <v>-0.122453813221279</v>
      </c>
      <c r="AG2058">
        <v>-1.1109572083899999</v>
      </c>
      <c r="AH2058">
        <v>17.6490078260315</v>
      </c>
      <c r="AI2058">
        <v>93.601775289816004</v>
      </c>
      <c r="AJ2058">
        <v>90.397527961401494</v>
      </c>
      <c r="AK2058">
        <v>17.6843630956438</v>
      </c>
      <c r="AL2058">
        <v>82.270175644111205</v>
      </c>
      <c r="AM2058">
        <v>89.520708189586202</v>
      </c>
      <c r="AN2058">
        <v>0.99999994865156305</v>
      </c>
    </row>
    <row r="2059" spans="1:40" x14ac:dyDescent="0.25">
      <c r="A2059" t="str">
        <f>"20190312164029599"</f>
        <v>20190312164029599</v>
      </c>
      <c r="B2059" t="str">
        <f>"1552380029587818"</f>
        <v>1552380029587818</v>
      </c>
      <c r="C2059" t="s">
        <v>40</v>
      </c>
      <c r="D2059">
        <v>5.5395019999999997</v>
      </c>
      <c r="E2059">
        <v>0.50086200000000003</v>
      </c>
      <c r="F2059" t="s">
        <v>48</v>
      </c>
      <c r="G2059">
        <v>-245.03309999999999</v>
      </c>
      <c r="H2059" s="1">
        <v>1.1415870000000001E-6</v>
      </c>
      <c r="I2059">
        <v>284.90170000000001</v>
      </c>
      <c r="J2059">
        <v>-226.94370000000001</v>
      </c>
      <c r="K2059">
        <v>1.1110310000000001</v>
      </c>
      <c r="L2059">
        <v>285.11509999999998</v>
      </c>
      <c r="M2059">
        <v>-0.99994689999999997</v>
      </c>
      <c r="N2059">
        <v>0</v>
      </c>
      <c r="O2059">
        <v>-8.8270459999999999E-3</v>
      </c>
      <c r="P2059">
        <v>-0.9912455</v>
      </c>
      <c r="Q2059">
        <v>0.13198959999999901</v>
      </c>
      <c r="R2059">
        <v>3.338901E-3</v>
      </c>
      <c r="S2059">
        <v>-3.049728</v>
      </c>
      <c r="T2059">
        <v>-0.18438969999999999</v>
      </c>
      <c r="U2059">
        <v>-3.6071779999999998E-2</v>
      </c>
      <c r="V2059">
        <v>1.154546E-2</v>
      </c>
      <c r="W2059">
        <v>0.13731849999999901</v>
      </c>
      <c r="X2059">
        <v>0.99045970000000005</v>
      </c>
      <c r="Y2059">
        <v>-3.0106450000000002E-3</v>
      </c>
      <c r="Z2059">
        <v>4.4225509999999999E-4</v>
      </c>
      <c r="AA2059">
        <v>0.99999539999999998</v>
      </c>
      <c r="AB2059">
        <v>30</v>
      </c>
      <c r="AC2059">
        <v>-18.089399999999898</v>
      </c>
      <c r="AD2059">
        <v>-1.1110298584129901</v>
      </c>
      <c r="AE2059">
        <v>-0.213399999999978</v>
      </c>
      <c r="AF2059">
        <v>-5.3511629675914898E-2</v>
      </c>
      <c r="AG2059">
        <v>-1.1110298584129901</v>
      </c>
      <c r="AH2059">
        <v>18.022602232076402</v>
      </c>
      <c r="AI2059">
        <v>93.527603068235393</v>
      </c>
      <c r="AJ2059">
        <v>90.170118692414704</v>
      </c>
      <c r="AK2059">
        <v>18.056894585073099</v>
      </c>
      <c r="AL2059">
        <v>82.107291377294601</v>
      </c>
      <c r="AM2059">
        <v>89.332152361552502</v>
      </c>
      <c r="AN2059">
        <v>1.0000000427064699</v>
      </c>
    </row>
    <row r="2060" spans="1:40" x14ac:dyDescent="0.25">
      <c r="A2060" t="str">
        <f>"20190312164029621"</f>
        <v>20190312164029621</v>
      </c>
      <c r="B2060" t="str">
        <f>"1552380029608314"</f>
        <v>1552380029608314</v>
      </c>
      <c r="C2060" t="s">
        <v>40</v>
      </c>
      <c r="D2060">
        <v>5.6047529999999997</v>
      </c>
      <c r="E2060">
        <v>0.50080990000000003</v>
      </c>
      <c r="F2060" t="s">
        <v>48</v>
      </c>
      <c r="G2060">
        <v>-245.91810000000001</v>
      </c>
      <c r="H2060" s="1">
        <v>1.6125339999999999E-6</v>
      </c>
      <c r="I2060">
        <v>284.92259999999999</v>
      </c>
      <c r="J2060">
        <v>-227.23400000000001</v>
      </c>
      <c r="K2060">
        <v>1.111094</v>
      </c>
      <c r="L2060">
        <v>285.11070000000001</v>
      </c>
      <c r="M2060">
        <v>-0.99992610000000004</v>
      </c>
      <c r="N2060">
        <v>0</v>
      </c>
      <c r="O2060">
        <v>-1.065251E-2</v>
      </c>
      <c r="P2060">
        <v>-0.99099959999999998</v>
      </c>
      <c r="Q2060">
        <v>0.133799799999999</v>
      </c>
      <c r="R2060">
        <v>4.188944E-3</v>
      </c>
      <c r="S2060">
        <v>-3.0503849999999999</v>
      </c>
      <c r="T2060">
        <v>-0.17861250000000001</v>
      </c>
      <c r="U2060">
        <v>-3.0944820000000001E-2</v>
      </c>
      <c r="V2060">
        <v>1.4203540000000001E-2</v>
      </c>
      <c r="W2060">
        <v>0.1396627</v>
      </c>
      <c r="X2060">
        <v>0.99009729999999996</v>
      </c>
      <c r="Y2060">
        <v>4.895934E-4</v>
      </c>
      <c r="Z2060">
        <v>6.3751279999999997E-4</v>
      </c>
      <c r="AA2060">
        <v>0.99999970000000005</v>
      </c>
      <c r="AB2060">
        <v>30</v>
      </c>
      <c r="AC2060">
        <v>-18.684100000000001</v>
      </c>
      <c r="AD2060">
        <v>-1.1110923874659999</v>
      </c>
      <c r="AE2060">
        <v>-0.188100000000019</v>
      </c>
      <c r="AF2060">
        <v>1.09080795759011E-2</v>
      </c>
      <c r="AG2060">
        <v>-1.1110923874659999</v>
      </c>
      <c r="AH2060">
        <v>18.619206138344499</v>
      </c>
      <c r="AI2060">
        <v>93.415048289074406</v>
      </c>
      <c r="AJ2060">
        <v>89.966433217069195</v>
      </c>
      <c r="AK2060">
        <v>18.652331824784</v>
      </c>
      <c r="AL2060">
        <v>81.971671671453606</v>
      </c>
      <c r="AM2060">
        <v>89.178114032653497</v>
      </c>
      <c r="AN2060">
        <v>1.00000003689355</v>
      </c>
    </row>
    <row r="2061" spans="1:40" x14ac:dyDescent="0.25">
      <c r="A2061" t="str">
        <f>"20190312164029644"</f>
        <v>20190312164029644</v>
      </c>
      <c r="B2061" t="str">
        <f>"1552380029638570"</f>
        <v>1552380029638570</v>
      </c>
      <c r="C2061" t="s">
        <v>40</v>
      </c>
      <c r="D2061">
        <v>5.7305769999999896</v>
      </c>
      <c r="E2061">
        <v>0.50071239999999995</v>
      </c>
      <c r="F2061" t="s">
        <v>48</v>
      </c>
      <c r="G2061">
        <v>-246.73099999999999</v>
      </c>
      <c r="H2061" s="1">
        <v>2.0451020000000002E-6</v>
      </c>
      <c r="I2061">
        <v>284.93400000000003</v>
      </c>
      <c r="J2061">
        <v>-227.5538</v>
      </c>
      <c r="K2061">
        <v>1.111135</v>
      </c>
      <c r="L2061">
        <v>285.10520000000002</v>
      </c>
      <c r="M2061">
        <v>-0.99989980000000001</v>
      </c>
      <c r="N2061">
        <v>0</v>
      </c>
      <c r="O2061">
        <v>-1.26041E-2</v>
      </c>
      <c r="P2061">
        <v>-0.99088719999999997</v>
      </c>
      <c r="Q2061">
        <v>0.13464579999999901</v>
      </c>
      <c r="R2061">
        <v>3.6650509999999999E-3</v>
      </c>
      <c r="S2061">
        <v>-3.0508579999999998</v>
      </c>
      <c r="T2061">
        <v>-0.173862299999999</v>
      </c>
      <c r="U2061">
        <v>-2.7648929999999999E-2</v>
      </c>
      <c r="V2061">
        <v>1.562058E-2</v>
      </c>
      <c r="W2061">
        <v>0.14109279999999999</v>
      </c>
      <c r="X2061">
        <v>0.98987309999999995</v>
      </c>
      <c r="Y2061">
        <v>3.5161120000000001E-3</v>
      </c>
      <c r="Z2061">
        <v>8.1778119999999905E-4</v>
      </c>
      <c r="AA2061">
        <v>0.99999349999999998</v>
      </c>
      <c r="AB2061">
        <v>30</v>
      </c>
      <c r="AC2061">
        <v>-19.177199999999999</v>
      </c>
      <c r="AD2061">
        <v>-1.111132954898</v>
      </c>
      <c r="AE2061">
        <v>-0.17119999999999799</v>
      </c>
      <c r="AF2061">
        <v>7.0294001445580998E-2</v>
      </c>
      <c r="AG2061">
        <v>-1.111132954898</v>
      </c>
      <c r="AH2061">
        <v>19.113673452747001</v>
      </c>
      <c r="AI2061">
        <v>93.327001988811602</v>
      </c>
      <c r="AJ2061">
        <v>89.789285327070701</v>
      </c>
      <c r="AK2061">
        <v>19.146071935212898</v>
      </c>
      <c r="AL2061">
        <v>81.888912935572606</v>
      </c>
      <c r="AM2061">
        <v>89.095925499889006</v>
      </c>
      <c r="AN2061">
        <v>0.99999996741749198</v>
      </c>
    </row>
    <row r="2062" spans="1:40" x14ac:dyDescent="0.25">
      <c r="A2062" t="str">
        <f>"20190312164029665"</f>
        <v>20190312164029665</v>
      </c>
      <c r="B2062" t="str">
        <f>"1552380029658090"</f>
        <v>1552380029658090</v>
      </c>
      <c r="C2062" t="s">
        <v>40</v>
      </c>
      <c r="D2062">
        <v>5.7026269999999997</v>
      </c>
      <c r="E2062">
        <v>0.50064209999999998</v>
      </c>
      <c r="F2062" t="s">
        <v>48</v>
      </c>
      <c r="G2062">
        <v>-247.1003</v>
      </c>
      <c r="H2062" s="1">
        <v>2.2416479999999999E-6</v>
      </c>
      <c r="I2062">
        <v>284.91120000000001</v>
      </c>
      <c r="J2062">
        <v>-227.8526</v>
      </c>
      <c r="K2062">
        <v>1.1111690000000001</v>
      </c>
      <c r="L2062">
        <v>285.09949999999998</v>
      </c>
      <c r="M2062">
        <v>-0.99987250000000005</v>
      </c>
      <c r="N2062">
        <v>0</v>
      </c>
      <c r="O2062">
        <v>-1.4358630000000001E-2</v>
      </c>
      <c r="P2062">
        <v>-0.9906355</v>
      </c>
      <c r="Q2062">
        <v>0.13645450000000001</v>
      </c>
      <c r="R2062">
        <v>4.7071429999999996E-3</v>
      </c>
      <c r="S2062">
        <v>-3.0512700000000001</v>
      </c>
      <c r="T2062">
        <v>-0.17345150000000001</v>
      </c>
      <c r="U2062">
        <v>-3.0273439999999999E-2</v>
      </c>
      <c r="V2062">
        <v>1.8404509999999999E-2</v>
      </c>
      <c r="W2062">
        <v>0.1434541</v>
      </c>
      <c r="X2062">
        <v>0.98948579999999997</v>
      </c>
      <c r="Y2062">
        <v>4.4079030000000003E-3</v>
      </c>
      <c r="Z2062">
        <v>9.4071330000000002E-4</v>
      </c>
      <c r="AA2062">
        <v>0.99998989999999999</v>
      </c>
      <c r="AB2062">
        <v>30</v>
      </c>
      <c r="AC2062">
        <v>-19.247699999999998</v>
      </c>
      <c r="AD2062">
        <v>-1.111166758352</v>
      </c>
      <c r="AE2062">
        <v>-0.18829999999996899</v>
      </c>
      <c r="AF2062">
        <v>8.7804161074186801E-2</v>
      </c>
      <c r="AG2062">
        <v>-1.111166758352</v>
      </c>
      <c r="AH2062">
        <v>19.184488744311601</v>
      </c>
      <c r="AI2062">
        <v>93.314836877049899</v>
      </c>
      <c r="AJ2062">
        <v>89.737768736331105</v>
      </c>
      <c r="AK2062">
        <v>19.216841819513</v>
      </c>
      <c r="AL2062">
        <v>81.752230026624005</v>
      </c>
      <c r="AM2062">
        <v>88.9344170818447</v>
      </c>
      <c r="AN2062">
        <v>0.99999997659839401</v>
      </c>
    </row>
    <row r="2063" spans="1:40" x14ac:dyDescent="0.25">
      <c r="A2063" t="str">
        <f>"20190312164029688"</f>
        <v>20190312164029688</v>
      </c>
      <c r="B2063" t="str">
        <f>"1552380029678586"</f>
        <v>1552380029678586</v>
      </c>
      <c r="C2063" t="s">
        <v>40</v>
      </c>
      <c r="D2063">
        <v>5.6535089999999997</v>
      </c>
      <c r="E2063">
        <v>0.5007452</v>
      </c>
      <c r="F2063" t="s">
        <v>48</v>
      </c>
      <c r="G2063">
        <v>-247.7689</v>
      </c>
      <c r="H2063" s="1">
        <v>2.5974369999999999E-6</v>
      </c>
      <c r="I2063">
        <v>284.92189999999999</v>
      </c>
      <c r="J2063">
        <v>-228.15710000000001</v>
      </c>
      <c r="K2063">
        <v>1.111192</v>
      </c>
      <c r="L2063">
        <v>285.0933</v>
      </c>
      <c r="M2063">
        <v>-0.99984240000000002</v>
      </c>
      <c r="N2063">
        <v>0</v>
      </c>
      <c r="O2063">
        <v>-1.6061579999999999E-2</v>
      </c>
      <c r="P2063">
        <v>-0.99038150000000003</v>
      </c>
      <c r="Q2063">
        <v>0.13822329999999999</v>
      </c>
      <c r="R2063">
        <v>6.234931E-3</v>
      </c>
      <c r="S2063">
        <v>-3.0519259999999999</v>
      </c>
      <c r="T2063">
        <v>-0.1702727</v>
      </c>
      <c r="U2063">
        <v>-2.7221680000000002E-2</v>
      </c>
      <c r="V2063">
        <v>2.1625769999999999E-2</v>
      </c>
      <c r="W2063">
        <v>0.14579300000000001</v>
      </c>
      <c r="X2063">
        <v>0.98907880000000004</v>
      </c>
      <c r="Y2063">
        <v>7.1073730000000002E-3</v>
      </c>
      <c r="Z2063">
        <v>1.093482E-3</v>
      </c>
      <c r="AA2063">
        <v>0.99997409999999998</v>
      </c>
      <c r="AB2063">
        <v>30</v>
      </c>
      <c r="AC2063">
        <v>-19.611799999999899</v>
      </c>
      <c r="AD2063">
        <v>-1.111189402563</v>
      </c>
      <c r="AE2063">
        <v>-0.17140000000000499</v>
      </c>
      <c r="AF2063">
        <v>0.143168042488519</v>
      </c>
      <c r="AG2063">
        <v>-1.111189402563</v>
      </c>
      <c r="AH2063">
        <v>19.549269456793599</v>
      </c>
      <c r="AI2063">
        <v>93.253130695326604</v>
      </c>
      <c r="AJ2063">
        <v>89.580404885728797</v>
      </c>
      <c r="AK2063">
        <v>19.581347636745601</v>
      </c>
      <c r="AL2063">
        <v>81.616797862193096</v>
      </c>
      <c r="AM2063">
        <v>88.747452723066104</v>
      </c>
      <c r="AN2063">
        <v>1.0000000726932601</v>
      </c>
    </row>
    <row r="2064" spans="1:40" x14ac:dyDescent="0.25">
      <c r="A2064" t="str">
        <f>"20190312164029700"</f>
        <v>20190312164029700</v>
      </c>
      <c r="B2064" t="str">
        <f>"1552380029698105"</f>
        <v>1552380029698105</v>
      </c>
      <c r="C2064" t="s">
        <v>40</v>
      </c>
      <c r="D2064">
        <v>5.6424050000000001</v>
      </c>
      <c r="E2064">
        <v>0.50055320000000003</v>
      </c>
      <c r="F2064" t="s">
        <v>48</v>
      </c>
      <c r="G2064">
        <v>-248.71250000000001</v>
      </c>
      <c r="H2064" s="1">
        <v>3.0995609999999999E-6</v>
      </c>
      <c r="I2064">
        <v>284.94159999999999</v>
      </c>
      <c r="J2064">
        <v>-228.3212</v>
      </c>
      <c r="K2064">
        <v>1.1112010000000001</v>
      </c>
      <c r="L2064">
        <v>285.08969999999999</v>
      </c>
      <c r="M2064">
        <v>-0.99982539999999998</v>
      </c>
      <c r="N2064">
        <v>0</v>
      </c>
      <c r="O2064">
        <v>-1.6946159999999998E-2</v>
      </c>
      <c r="P2064">
        <v>-0.99027929999999997</v>
      </c>
      <c r="Q2064">
        <v>0.1389175</v>
      </c>
      <c r="R2064">
        <v>6.9897419999999898E-3</v>
      </c>
      <c r="S2064">
        <v>-3.0523220000000002</v>
      </c>
      <c r="T2064">
        <v>-0.16500339999999999</v>
      </c>
      <c r="U2064">
        <v>-2.2521969999999999E-2</v>
      </c>
      <c r="V2064">
        <v>2.3263579999999999E-2</v>
      </c>
      <c r="W2064">
        <v>0.14679719999999999</v>
      </c>
      <c r="X2064">
        <v>0.98889300000000002</v>
      </c>
      <c r="Y2064">
        <v>9.5302019999999998E-3</v>
      </c>
      <c r="Z2064">
        <v>1.1727839999999901E-3</v>
      </c>
      <c r="AA2064">
        <v>0.99995389999999995</v>
      </c>
      <c r="AB2064">
        <v>30</v>
      </c>
      <c r="AC2064">
        <v>-20.391300000000001</v>
      </c>
      <c r="AD2064">
        <v>-1.111197900439</v>
      </c>
      <c r="AE2064">
        <v>-0.14809999999999901</v>
      </c>
      <c r="AF2064">
        <v>0.196901531286931</v>
      </c>
      <c r="AG2064">
        <v>-1.111197900439</v>
      </c>
      <c r="AH2064">
        <v>20.330511889316799</v>
      </c>
      <c r="AI2064">
        <v>93.128336771361901</v>
      </c>
      <c r="AJ2064">
        <v>89.445106248881004</v>
      </c>
      <c r="AK2064">
        <v>20.361808482269399</v>
      </c>
      <c r="AL2064">
        <v>81.558634961074304</v>
      </c>
      <c r="AM2064">
        <v>88.652372757454003</v>
      </c>
      <c r="AN2064">
        <v>0.99999998876562801</v>
      </c>
    </row>
    <row r="2065" spans="1:40" x14ac:dyDescent="0.25">
      <c r="A2065" t="str">
        <f>"20190312164029713"</f>
        <v>20190312164029713</v>
      </c>
      <c r="B2065" t="str">
        <f>"1552380029707866"</f>
        <v>1552380029707866</v>
      </c>
      <c r="C2065" t="s">
        <v>40</v>
      </c>
      <c r="D2065">
        <v>5.4911770000000004</v>
      </c>
      <c r="E2065">
        <v>0.50043859999999996</v>
      </c>
      <c r="F2065" t="s">
        <v>48</v>
      </c>
      <c r="G2065">
        <v>-248.93680000000001</v>
      </c>
      <c r="H2065" s="1">
        <v>3.2189580000000001E-6</v>
      </c>
      <c r="I2065">
        <v>284.93950000000001</v>
      </c>
      <c r="J2065">
        <v>-228.5043</v>
      </c>
      <c r="K2065">
        <v>1.1112059999999999</v>
      </c>
      <c r="L2065">
        <v>285.0856</v>
      </c>
      <c r="M2065">
        <v>-0.99980630000000004</v>
      </c>
      <c r="N2065">
        <v>0</v>
      </c>
      <c r="O2065">
        <v>-1.7887009999999998E-2</v>
      </c>
      <c r="P2065">
        <v>-0.99014740000000001</v>
      </c>
      <c r="Q2065">
        <v>0.1398189</v>
      </c>
      <c r="R2065">
        <v>7.6913390000000002E-3</v>
      </c>
      <c r="S2065">
        <v>-3.052689</v>
      </c>
      <c r="T2065">
        <v>-0.1645422</v>
      </c>
      <c r="U2065">
        <v>-2.2247309999999999E-2</v>
      </c>
      <c r="V2065">
        <v>2.4906339999999999E-2</v>
      </c>
      <c r="W2065">
        <v>0.1480484</v>
      </c>
      <c r="X2065">
        <v>0.98866639999999995</v>
      </c>
      <c r="Y2065">
        <v>1.055943E-2</v>
      </c>
      <c r="Z2065">
        <v>1.2477600000000001E-3</v>
      </c>
      <c r="AA2065">
        <v>0.99994349999999999</v>
      </c>
      <c r="AB2065">
        <v>30</v>
      </c>
      <c r="AC2065">
        <v>-20.432500000000001</v>
      </c>
      <c r="AD2065">
        <v>-1.111202781042</v>
      </c>
      <c r="AE2065">
        <v>-0.14609999999998899</v>
      </c>
      <c r="AF2065">
        <v>0.21876503498341801</v>
      </c>
      <c r="AG2065">
        <v>-1.111202781042</v>
      </c>
      <c r="AH2065">
        <v>20.371595726991298</v>
      </c>
      <c r="AI2065">
        <v>93.122020441755595</v>
      </c>
      <c r="AJ2065">
        <v>89.384739831347503</v>
      </c>
      <c r="AK2065">
        <v>20.403052277174002</v>
      </c>
      <c r="AL2065">
        <v>81.486154212032901</v>
      </c>
      <c r="AM2065">
        <v>88.556918287155398</v>
      </c>
      <c r="AN2065">
        <v>0.99999995250185603</v>
      </c>
    </row>
    <row r="2066" spans="1:40" x14ac:dyDescent="0.25">
      <c r="A2066" t="str">
        <f>"20190312164029734"</f>
        <v>20190312164029734</v>
      </c>
      <c r="B2066" t="str">
        <f>"1552380029728362"</f>
        <v>1552380029728362</v>
      </c>
      <c r="C2066" t="s">
        <v>40</v>
      </c>
      <c r="D2066">
        <v>5.5479269999999996</v>
      </c>
      <c r="E2066">
        <v>0.50034699999999999</v>
      </c>
      <c r="F2066" t="s">
        <v>48</v>
      </c>
      <c r="G2066">
        <v>-249.30940000000001</v>
      </c>
      <c r="H2066" s="1">
        <v>3.4172390000000001E-6</v>
      </c>
      <c r="I2066">
        <v>284.93900000000002</v>
      </c>
      <c r="J2066">
        <v>-228.77590000000001</v>
      </c>
      <c r="K2066">
        <v>1.11121</v>
      </c>
      <c r="L2066">
        <v>285.07929999999999</v>
      </c>
      <c r="M2066">
        <v>-0.99977689999999997</v>
      </c>
      <c r="N2066">
        <v>0</v>
      </c>
      <c r="O2066">
        <v>-1.9217499999999998E-2</v>
      </c>
      <c r="P2066">
        <v>-0.98975959999999996</v>
      </c>
      <c r="Q2066">
        <v>0.1424328</v>
      </c>
      <c r="R2066">
        <v>9.4365000000000004E-3</v>
      </c>
      <c r="S2066">
        <v>-3.0530240000000002</v>
      </c>
      <c r="T2066">
        <v>-0.16306199999999901</v>
      </c>
      <c r="U2066">
        <v>-2.1514889999999998E-2</v>
      </c>
      <c r="V2066">
        <v>2.797788E-2</v>
      </c>
      <c r="W2066">
        <v>0.151195</v>
      </c>
      <c r="X2066">
        <v>0.98810790000000004</v>
      </c>
      <c r="Y2066">
        <v>1.2127489999999999E-2</v>
      </c>
      <c r="Z2066">
        <v>1.3492679999999901E-3</v>
      </c>
      <c r="AA2066">
        <v>0.99992559999999997</v>
      </c>
      <c r="AB2066">
        <v>30</v>
      </c>
      <c r="AC2066">
        <v>-20.5335</v>
      </c>
      <c r="AD2066">
        <v>-1.111206582761</v>
      </c>
      <c r="AE2066">
        <v>-0.14029999999996701</v>
      </c>
      <c r="AF2066">
        <v>0.25360094180325599</v>
      </c>
      <c r="AG2066">
        <v>-1.111206582761</v>
      </c>
      <c r="AH2066">
        <v>20.472450724656699</v>
      </c>
      <c r="AI2066">
        <v>93.106621902419107</v>
      </c>
      <c r="AJ2066">
        <v>89.290289145398503</v>
      </c>
      <c r="AK2066">
        <v>20.504154022557302</v>
      </c>
      <c r="AL2066">
        <v>81.303814713823201</v>
      </c>
      <c r="AM2066">
        <v>88.378126253294397</v>
      </c>
      <c r="AN2066">
        <v>0.999999955918351</v>
      </c>
    </row>
    <row r="2067" spans="1:40" x14ac:dyDescent="0.25">
      <c r="A2067" t="str">
        <f>"20190312164029747"</f>
        <v>20190312164029747</v>
      </c>
      <c r="B2067" t="str">
        <f>"1552380029738123"</f>
        <v>1552380029738123</v>
      </c>
      <c r="C2067" t="s">
        <v>40</v>
      </c>
      <c r="D2067">
        <v>5.7337400000000001</v>
      </c>
      <c r="E2067">
        <v>0.50027670000000002</v>
      </c>
      <c r="F2067" t="s">
        <v>48</v>
      </c>
      <c r="G2067">
        <v>-250.36590000000001</v>
      </c>
      <c r="H2067" s="1">
        <v>-1.3420689999999901E-6</v>
      </c>
      <c r="I2067">
        <v>284.95979999999997</v>
      </c>
      <c r="J2067">
        <v>-228.96799999999999</v>
      </c>
      <c r="K2067">
        <v>1.111205</v>
      </c>
      <c r="L2067">
        <v>285.07470000000001</v>
      </c>
      <c r="M2067">
        <v>-0.99975610000000004</v>
      </c>
      <c r="N2067">
        <v>0</v>
      </c>
      <c r="O2067">
        <v>-2.010369E-2</v>
      </c>
      <c r="P2067">
        <v>-0.98963310000000004</v>
      </c>
      <c r="Q2067">
        <v>0.1432667</v>
      </c>
      <c r="R2067">
        <v>1.00724E-2</v>
      </c>
      <c r="S2067">
        <v>-3.0538180000000001</v>
      </c>
      <c r="T2067">
        <v>-0.1571765</v>
      </c>
      <c r="U2067">
        <v>-1.690674E-2</v>
      </c>
      <c r="V2067">
        <v>2.9505710000000001E-2</v>
      </c>
      <c r="W2067">
        <v>0.1524073</v>
      </c>
      <c r="X2067">
        <v>0.98787720000000001</v>
      </c>
      <c r="Y2067">
        <v>1.4523329999999999E-2</v>
      </c>
      <c r="Z2067">
        <v>1.4074980000000001E-3</v>
      </c>
      <c r="AA2067">
        <v>0.99989349999999999</v>
      </c>
      <c r="AB2067">
        <v>30</v>
      </c>
      <c r="AC2067">
        <v>-21.3979</v>
      </c>
      <c r="AD2067">
        <v>-1.1112063420689999</v>
      </c>
      <c r="AE2067">
        <v>-0.114900000000034</v>
      </c>
      <c r="AF2067">
        <v>0.31446991526943102</v>
      </c>
      <c r="AG2067">
        <v>-1.1112063420689999</v>
      </c>
      <c r="AH2067">
        <v>21.338341776253301</v>
      </c>
      <c r="AI2067">
        <v>92.980694615511496</v>
      </c>
      <c r="AJ2067">
        <v>89.155675034736504</v>
      </c>
      <c r="AK2067">
        <v>21.369569500166801</v>
      </c>
      <c r="AL2067">
        <v>81.233540729149794</v>
      </c>
      <c r="AM2067">
        <v>88.289210219742003</v>
      </c>
      <c r="AN2067">
        <v>0.99999996714786599</v>
      </c>
    </row>
    <row r="2068" spans="1:40" x14ac:dyDescent="0.25">
      <c r="A2068" t="str">
        <f>"20190312164029768"</f>
        <v>20190312164029768</v>
      </c>
      <c r="B2068" t="str">
        <f>"1552380029758618"</f>
        <v>1552380029758618</v>
      </c>
      <c r="C2068" t="s">
        <v>40</v>
      </c>
      <c r="D2068">
        <v>5.5632260000000002</v>
      </c>
      <c r="E2068">
        <v>0.50021870000000002</v>
      </c>
      <c r="F2068" t="s">
        <v>48</v>
      </c>
      <c r="G2068">
        <v>-250.6995</v>
      </c>
      <c r="H2068" s="1">
        <v>-1.16456E-6</v>
      </c>
      <c r="I2068">
        <v>284.96480000000003</v>
      </c>
      <c r="J2068">
        <v>-229.23910000000001</v>
      </c>
      <c r="K2068">
        <v>1.1111979999999999</v>
      </c>
      <c r="L2068">
        <v>285.06790000000001</v>
      </c>
      <c r="M2068">
        <v>-0.99972649999999996</v>
      </c>
      <c r="N2068">
        <v>0</v>
      </c>
      <c r="O2068">
        <v>-2.1287810000000001E-2</v>
      </c>
      <c r="P2068">
        <v>-0.9892706</v>
      </c>
      <c r="Q2068">
        <v>0.145592</v>
      </c>
      <c r="R2068">
        <v>1.2113580000000001E-2</v>
      </c>
      <c r="S2068">
        <v>-3.054214</v>
      </c>
      <c r="T2068">
        <v>-0.1561729</v>
      </c>
      <c r="U2068">
        <v>-1.544189E-2</v>
      </c>
      <c r="V2068">
        <v>3.2733140000000001E-2</v>
      </c>
      <c r="W2068">
        <v>0.1552521</v>
      </c>
      <c r="X2068">
        <v>0.9873324</v>
      </c>
      <c r="Y2068">
        <v>1.6184859999999999E-2</v>
      </c>
      <c r="Z2068">
        <v>1.501301E-3</v>
      </c>
      <c r="AA2068">
        <v>0.99986790000000003</v>
      </c>
      <c r="AB2068">
        <v>30</v>
      </c>
      <c r="AC2068">
        <v>-21.4604</v>
      </c>
      <c r="AD2068">
        <v>-1.1111991645599999</v>
      </c>
      <c r="AE2068">
        <v>-0.103099999999983</v>
      </c>
      <c r="AF2068">
        <v>0.35284372365983202</v>
      </c>
      <c r="AG2068">
        <v>-1.1111991645599999</v>
      </c>
      <c r="AH2068">
        <v>21.400356720438801</v>
      </c>
      <c r="AI2068">
        <v>92.971972310645</v>
      </c>
      <c r="AJ2068">
        <v>89.055407120729797</v>
      </c>
      <c r="AK2068">
        <v>21.432091126128501</v>
      </c>
      <c r="AL2068">
        <v>81.068582220792194</v>
      </c>
      <c r="AM2068">
        <v>88.101162185027405</v>
      </c>
      <c r="AN2068">
        <v>0.99999997054921397</v>
      </c>
    </row>
    <row r="2069" spans="1:40" x14ac:dyDescent="0.25">
      <c r="A2069" t="str">
        <f>"20190312164029790"</f>
        <v>20190312164029790</v>
      </c>
      <c r="B2069" t="str">
        <f>"1552380029778138"</f>
        <v>1552380029778138</v>
      </c>
      <c r="C2069" t="s">
        <v>40</v>
      </c>
      <c r="D2069">
        <v>5.7271580000000002</v>
      </c>
      <c r="E2069">
        <v>0.50006079999999997</v>
      </c>
      <c r="F2069" t="s">
        <v>48</v>
      </c>
      <c r="G2069">
        <v>-251.68369999999999</v>
      </c>
      <c r="H2069" s="1">
        <v>-6.4078709999999997E-7</v>
      </c>
      <c r="I2069">
        <v>284.99590000000001</v>
      </c>
      <c r="J2069">
        <v>-229.53989999999999</v>
      </c>
      <c r="K2069">
        <v>1.1111740000000001</v>
      </c>
      <c r="L2069">
        <v>285.06009999999998</v>
      </c>
      <c r="M2069">
        <v>-0.99969439999999998</v>
      </c>
      <c r="N2069">
        <v>0</v>
      </c>
      <c r="O2069">
        <v>-2.2505250000000001E-2</v>
      </c>
      <c r="P2069">
        <v>-0.98898079999999999</v>
      </c>
      <c r="Q2069">
        <v>0.1473409</v>
      </c>
      <c r="R2069">
        <v>1.4414110000000001E-2</v>
      </c>
      <c r="S2069">
        <v>-3.054916</v>
      </c>
      <c r="T2069">
        <v>-0.15124389999999999</v>
      </c>
      <c r="U2069">
        <v>-9.7961430000000002E-3</v>
      </c>
      <c r="V2069">
        <v>3.6258690000000003E-2</v>
      </c>
      <c r="W2069">
        <v>0.15753729999999999</v>
      </c>
      <c r="X2069">
        <v>0.98684720000000004</v>
      </c>
      <c r="Y2069">
        <v>1.924932E-2</v>
      </c>
      <c r="Z2069">
        <v>1.589699E-3</v>
      </c>
      <c r="AA2069">
        <v>0.99981339999999996</v>
      </c>
      <c r="AB2069">
        <v>30</v>
      </c>
      <c r="AC2069">
        <v>-22.143799999999999</v>
      </c>
      <c r="AD2069">
        <v>-1.1111746407870999</v>
      </c>
      <c r="AE2069">
        <v>-6.41999999999711E-2</v>
      </c>
      <c r="AF2069">
        <v>0.433103530712872</v>
      </c>
      <c r="AG2069">
        <v>-1.1111746407870999</v>
      </c>
      <c r="AH2069">
        <v>22.0840281435358</v>
      </c>
      <c r="AI2069">
        <v>92.879898649504199</v>
      </c>
      <c r="AJ2069">
        <v>88.876481067566502</v>
      </c>
      <c r="AK2069">
        <v>22.116206428660501</v>
      </c>
      <c r="AL2069">
        <v>80.9360193059388</v>
      </c>
      <c r="AM2069">
        <v>87.895787896166894</v>
      </c>
      <c r="AN2069">
        <v>1.0000000448198201</v>
      </c>
    </row>
    <row r="2070" spans="1:40" x14ac:dyDescent="0.25">
      <c r="A2070" t="str">
        <f>"20190312164029810"</f>
        <v>20190312164029810</v>
      </c>
      <c r="B2070" t="str">
        <f>"1552380029808394"</f>
        <v>1552380029808394</v>
      </c>
      <c r="C2070" t="s">
        <v>40</v>
      </c>
      <c r="D2070">
        <v>5.6760799999999998</v>
      </c>
      <c r="E2070">
        <v>0.49988060000000001</v>
      </c>
      <c r="F2070" t="s">
        <v>48</v>
      </c>
      <c r="G2070">
        <v>-252.50069999999999</v>
      </c>
      <c r="H2070" s="1">
        <v>-2.060273E-7</v>
      </c>
      <c r="I2070">
        <v>285.02690000000001</v>
      </c>
      <c r="J2070">
        <v>-229.81319999999999</v>
      </c>
      <c r="K2070">
        <v>1.111146</v>
      </c>
      <c r="L2070">
        <v>285.05290000000002</v>
      </c>
      <c r="M2070">
        <v>-0.99966630000000001</v>
      </c>
      <c r="N2070">
        <v>0</v>
      </c>
      <c r="O2070">
        <v>-2.35234E-2</v>
      </c>
      <c r="P2070">
        <v>-0.98867300000000002</v>
      </c>
      <c r="Q2070">
        <v>0.1492164</v>
      </c>
      <c r="R2070">
        <v>1.6134909999999999E-2</v>
      </c>
      <c r="S2070">
        <v>-3.0555270000000001</v>
      </c>
      <c r="T2070">
        <v>-0.147869899999999</v>
      </c>
      <c r="U2070">
        <v>-4.4250490000000003E-3</v>
      </c>
      <c r="V2070">
        <v>3.9001840000000003E-2</v>
      </c>
      <c r="W2070">
        <v>0.15985360000000001</v>
      </c>
      <c r="X2070">
        <v>0.98636999999999997</v>
      </c>
      <c r="Y2070">
        <v>2.2023600000000001E-2</v>
      </c>
      <c r="Z2070">
        <v>1.6703079999999999E-3</v>
      </c>
      <c r="AA2070">
        <v>0.99975599999999998</v>
      </c>
      <c r="AB2070">
        <v>30</v>
      </c>
      <c r="AC2070">
        <v>-22.6875</v>
      </c>
      <c r="AD2070">
        <v>-1.1111462060273001</v>
      </c>
      <c r="AE2070">
        <v>-2.60000000000104E-2</v>
      </c>
      <c r="AF2070">
        <v>0.50650979475660096</v>
      </c>
      <c r="AG2070">
        <v>-1.1111462060273001</v>
      </c>
      <c r="AH2070">
        <v>22.627557191406801</v>
      </c>
      <c r="AI2070">
        <v>92.810598720510797</v>
      </c>
      <c r="AJ2070">
        <v>88.717668568989694</v>
      </c>
      <c r="AK2070">
        <v>22.6604841632684</v>
      </c>
      <c r="AL2070">
        <v>80.801601688234499</v>
      </c>
      <c r="AM2070">
        <v>87.735659726005196</v>
      </c>
      <c r="AN2070">
        <v>1.00000004692817</v>
      </c>
    </row>
    <row r="2071" spans="1:40" x14ac:dyDescent="0.25">
      <c r="A2071" t="str">
        <f>"20190312164029833"</f>
        <v>20190312164029833</v>
      </c>
      <c r="B2071" t="str">
        <f>"1552380029827914"</f>
        <v>1552380029827914</v>
      </c>
      <c r="C2071" t="s">
        <v>40</v>
      </c>
      <c r="D2071">
        <v>5.6696869999999997</v>
      </c>
      <c r="E2071">
        <v>0.49979319999999999</v>
      </c>
      <c r="F2071" t="s">
        <v>48</v>
      </c>
      <c r="G2071">
        <v>-253.18719999999999</v>
      </c>
      <c r="H2071" s="1">
        <v>1.5928119999999999E-7</v>
      </c>
      <c r="I2071">
        <v>285.04770000000002</v>
      </c>
      <c r="J2071">
        <v>-230.1224</v>
      </c>
      <c r="K2071">
        <v>1.111116</v>
      </c>
      <c r="L2071">
        <v>285.04430000000002</v>
      </c>
      <c r="M2071">
        <v>-0.99963590000000002</v>
      </c>
      <c r="N2071">
        <v>0</v>
      </c>
      <c r="O2071">
        <v>-2.45779E-2</v>
      </c>
      <c r="P2071">
        <v>-0.98827010000000004</v>
      </c>
      <c r="Q2071">
        <v>0.15165020000000001</v>
      </c>
      <c r="R2071">
        <v>1.8013830000000002E-2</v>
      </c>
      <c r="S2071">
        <v>-3.056305</v>
      </c>
      <c r="T2071">
        <v>-0.14528940000000001</v>
      </c>
      <c r="U2071">
        <v>-6.7138669999999997E-4</v>
      </c>
      <c r="V2071">
        <v>4.1937830000000002E-2</v>
      </c>
      <c r="W2071">
        <v>0.16273689999999999</v>
      </c>
      <c r="X2071">
        <v>0.98577780000000004</v>
      </c>
      <c r="Y2071">
        <v>2.4304630000000001E-2</v>
      </c>
      <c r="Z2071">
        <v>1.7450650000000001E-3</v>
      </c>
      <c r="AA2071">
        <v>0.99970300000000001</v>
      </c>
      <c r="AB2071">
        <v>30</v>
      </c>
      <c r="AC2071">
        <v>-23.064799999999899</v>
      </c>
      <c r="AD2071">
        <v>-1.1111158407188</v>
      </c>
      <c r="AE2071">
        <v>3.3999999999991802E-3</v>
      </c>
      <c r="AF2071">
        <v>0.56899799468604195</v>
      </c>
      <c r="AG2071">
        <v>-1.1111158407188</v>
      </c>
      <c r="AH2071">
        <v>23.004361843003601</v>
      </c>
      <c r="AI2071">
        <v>92.764405812228901</v>
      </c>
      <c r="AJ2071">
        <v>88.583114890602999</v>
      </c>
      <c r="AK2071">
        <v>23.038207415797199</v>
      </c>
      <c r="AL2071">
        <v>80.634208229416501</v>
      </c>
      <c r="AM2071">
        <v>87.563941296150105</v>
      </c>
      <c r="AN2071">
        <v>0.99999997558977904</v>
      </c>
    </row>
    <row r="2072" spans="1:40" x14ac:dyDescent="0.25">
      <c r="A2072" t="str">
        <f>"20190312164029856"</f>
        <v>20190312164029856</v>
      </c>
      <c r="B2072" t="str">
        <f>"1552380029848410"</f>
        <v>1552380029848410</v>
      </c>
      <c r="C2072" t="s">
        <v>40</v>
      </c>
      <c r="D2072">
        <v>6.3894710000000003</v>
      </c>
      <c r="E2072">
        <v>0.49967080000000003</v>
      </c>
      <c r="F2072" t="s">
        <v>48</v>
      </c>
      <c r="G2072">
        <v>-254.37219999999999</v>
      </c>
      <c r="H2072" s="1">
        <v>7.8988849999999899E-7</v>
      </c>
      <c r="I2072">
        <v>285.07990000000001</v>
      </c>
      <c r="J2072">
        <v>-230.42679999999999</v>
      </c>
      <c r="K2072">
        <v>1.1110719999999901</v>
      </c>
      <c r="L2072">
        <v>285.03570000000002</v>
      </c>
      <c r="M2072">
        <v>-0.99960789999999999</v>
      </c>
      <c r="N2072">
        <v>0</v>
      </c>
      <c r="O2072">
        <v>-2.5514530000000001E-2</v>
      </c>
      <c r="P2072">
        <v>-0.987792</v>
      </c>
      <c r="Q2072">
        <v>0.1545675</v>
      </c>
      <c r="R2072">
        <v>1.9391769999999999E-2</v>
      </c>
      <c r="S2072">
        <v>-3.057007</v>
      </c>
      <c r="T2072">
        <v>-0.14007069999999999</v>
      </c>
      <c r="U2072">
        <v>4.4860840000000004E-3</v>
      </c>
      <c r="V2072">
        <v>4.4253859999999999E-2</v>
      </c>
      <c r="W2072">
        <v>0.16604389999999999</v>
      </c>
      <c r="X2072">
        <v>0.98512489999999997</v>
      </c>
      <c r="Y2072">
        <v>2.6928179999999999E-2</v>
      </c>
      <c r="Z2072">
        <v>1.785034E-3</v>
      </c>
      <c r="AA2072">
        <v>0.99963579999999996</v>
      </c>
      <c r="AB2072">
        <v>30</v>
      </c>
      <c r="AC2072">
        <v>-23.945399999999999</v>
      </c>
      <c r="AD2072">
        <v>-1.1110712101114999</v>
      </c>
      <c r="AE2072">
        <v>4.4199999999989303E-2</v>
      </c>
      <c r="AF2072">
        <v>0.65377432794700496</v>
      </c>
      <c r="AG2072">
        <v>-1.1110712101114999</v>
      </c>
      <c r="AH2072">
        <v>23.885051936846299</v>
      </c>
      <c r="AI2072">
        <v>92.662336730639197</v>
      </c>
      <c r="AJ2072">
        <v>88.432108948780794</v>
      </c>
      <c r="AK2072">
        <v>23.919816180975701</v>
      </c>
      <c r="AL2072">
        <v>80.442118135745005</v>
      </c>
      <c r="AM2072">
        <v>87.427883625049702</v>
      </c>
      <c r="AN2072">
        <v>1.0000000247260501</v>
      </c>
    </row>
    <row r="2073" spans="1:40" x14ac:dyDescent="0.25">
      <c r="A2073" t="str">
        <f>"20190312164029868"</f>
        <v>20190312164029868</v>
      </c>
      <c r="B2073" t="str">
        <f>"1552380029858170"</f>
        <v>1552380029858170</v>
      </c>
      <c r="C2073" t="s">
        <v>40</v>
      </c>
      <c r="D2073">
        <v>5.6496469999999999</v>
      </c>
      <c r="E2073">
        <v>0.49967080000000003</v>
      </c>
      <c r="F2073" t="s">
        <v>48</v>
      </c>
      <c r="G2073">
        <v>-255.9008</v>
      </c>
      <c r="H2073" s="1">
        <v>1.6033050000000001E-6</v>
      </c>
      <c r="I2073">
        <v>285.10079999999999</v>
      </c>
      <c r="J2073">
        <v>-230.5951</v>
      </c>
      <c r="K2073">
        <v>1.111035</v>
      </c>
      <c r="L2073">
        <v>285.03089999999997</v>
      </c>
      <c r="M2073">
        <v>-0.99959350000000002</v>
      </c>
      <c r="N2073">
        <v>0</v>
      </c>
      <c r="O2073">
        <v>-2.5981879999999999E-2</v>
      </c>
      <c r="P2073">
        <v>-0.98746029999999996</v>
      </c>
      <c r="Q2073">
        <v>0.15660789999999999</v>
      </c>
      <c r="R2073">
        <v>1.991677E-2</v>
      </c>
      <c r="S2073">
        <v>-3.057785</v>
      </c>
      <c r="T2073">
        <v>-0.13336799999999999</v>
      </c>
      <c r="U2073">
        <v>7.8125E-3</v>
      </c>
      <c r="V2073">
        <v>4.524682E-2</v>
      </c>
      <c r="W2073">
        <v>0.1682747</v>
      </c>
      <c r="X2073">
        <v>0.98470119999999906</v>
      </c>
      <c r="Y2073">
        <v>2.848589E-2</v>
      </c>
      <c r="Z2073">
        <v>1.753597E-3</v>
      </c>
      <c r="AA2073">
        <v>0.9995927</v>
      </c>
      <c r="AB2073">
        <v>30</v>
      </c>
      <c r="AC2073">
        <v>-25.305700000000002</v>
      </c>
      <c r="AD2073">
        <v>-1.1110333966949999</v>
      </c>
      <c r="AE2073">
        <v>6.9900000000018198E-2</v>
      </c>
      <c r="AF2073">
        <v>0.72601190644468505</v>
      </c>
      <c r="AG2073">
        <v>-1.1110333966949999</v>
      </c>
      <c r="AH2073">
        <v>25.246674527719598</v>
      </c>
      <c r="AI2073">
        <v>92.518756475253198</v>
      </c>
      <c r="AJ2073">
        <v>88.352814449648406</v>
      </c>
      <c r="AK2073">
        <v>25.2815360135708</v>
      </c>
      <c r="AL2073">
        <v>80.312478904093197</v>
      </c>
      <c r="AM2073">
        <v>87.369121133704397</v>
      </c>
      <c r="AN2073">
        <v>1.00000005133081</v>
      </c>
    </row>
    <row r="2074" spans="1:40" x14ac:dyDescent="0.25">
      <c r="A2074" t="str">
        <f>"20190312164029889"</f>
        <v>20190312164029889</v>
      </c>
      <c r="B2074" t="str">
        <f>"1552380029877690"</f>
        <v>1552380029877690</v>
      </c>
      <c r="C2074" t="s">
        <v>40</v>
      </c>
      <c r="D2074">
        <v>5.6838150000000001</v>
      </c>
      <c r="E2074">
        <v>0.49914350000000002</v>
      </c>
      <c r="F2074" t="s">
        <v>48</v>
      </c>
      <c r="G2074">
        <v>-257.33010000000002</v>
      </c>
      <c r="H2074" s="1">
        <v>2.3639520000000001E-6</v>
      </c>
      <c r="I2074">
        <v>285.11680000000001</v>
      </c>
      <c r="J2074">
        <v>-230.87549999999999</v>
      </c>
      <c r="K2074">
        <v>1.1109849999999999</v>
      </c>
      <c r="L2074">
        <v>285.02269999999999</v>
      </c>
      <c r="M2074">
        <v>-0.99957070000000003</v>
      </c>
      <c r="N2074">
        <v>0</v>
      </c>
      <c r="O2074">
        <v>-2.6702199999999999E-2</v>
      </c>
      <c r="P2074">
        <v>-0.98683810000000005</v>
      </c>
      <c r="Q2074">
        <v>0.16034809999999999</v>
      </c>
      <c r="R2074">
        <v>2.0957989999999999E-2</v>
      </c>
      <c r="S2074">
        <v>-3.0580599999999998</v>
      </c>
      <c r="T2074">
        <v>-0.12708439999999999</v>
      </c>
      <c r="U2074">
        <v>9.8266599999999992E-3</v>
      </c>
      <c r="V2074">
        <v>4.7009200000000001E-2</v>
      </c>
      <c r="W2074">
        <v>0.17230429999999999</v>
      </c>
      <c r="X2074">
        <v>0.98392139999999995</v>
      </c>
      <c r="Y2074">
        <v>2.9867390000000001E-2</v>
      </c>
      <c r="Z2074">
        <v>1.7295139999999999E-3</v>
      </c>
      <c r="AA2074">
        <v>0.99955240000000001</v>
      </c>
      <c r="AB2074">
        <v>30</v>
      </c>
      <c r="AC2074">
        <v>-26.454599999999999</v>
      </c>
      <c r="AD2074">
        <v>-1.110982636048</v>
      </c>
      <c r="AE2074">
        <v>9.4100000000025802E-2</v>
      </c>
      <c r="AF2074">
        <v>0.79910450376294995</v>
      </c>
      <c r="AG2074">
        <v>-1.110982636048</v>
      </c>
      <c r="AH2074">
        <v>26.396100057477099</v>
      </c>
      <c r="AI2074">
        <v>92.408991122023593</v>
      </c>
      <c r="AJ2074">
        <v>88.265981119010902</v>
      </c>
      <c r="AK2074">
        <v>26.431552142654802</v>
      </c>
      <c r="AL2074">
        <v>80.078176754615001</v>
      </c>
      <c r="AM2074">
        <v>87.264637043960406</v>
      </c>
      <c r="AN2074">
        <v>0.99999997903054405</v>
      </c>
    </row>
    <row r="2075" spans="1:40" x14ac:dyDescent="0.25">
      <c r="A2075" t="str">
        <f>"20190312164029910"</f>
        <v>20190312164029910</v>
      </c>
      <c r="B2075" t="str">
        <f>"1552380029907947"</f>
        <v>1552380029907947</v>
      </c>
      <c r="C2075" t="s">
        <v>40</v>
      </c>
      <c r="D2075">
        <v>5.8935449999999996</v>
      </c>
      <c r="E2075">
        <v>0.49858069999999999</v>
      </c>
      <c r="F2075" t="s">
        <v>48</v>
      </c>
      <c r="G2075">
        <v>-259.09660000000002</v>
      </c>
      <c r="H2075" s="1">
        <v>3.304E-6</v>
      </c>
      <c r="I2075">
        <v>285.10289999999998</v>
      </c>
      <c r="J2075">
        <v>-231.1627</v>
      </c>
      <c r="K2075">
        <v>1.1109260000000001</v>
      </c>
      <c r="L2075">
        <v>285.01429999999999</v>
      </c>
      <c r="M2075">
        <v>-0.99954980000000004</v>
      </c>
      <c r="N2075">
        <v>0</v>
      </c>
      <c r="O2075">
        <v>-2.7351819999999999E-2</v>
      </c>
      <c r="P2075">
        <v>-0.98618150000000004</v>
      </c>
      <c r="Q2075">
        <v>0.16413239999999901</v>
      </c>
      <c r="R2075">
        <v>2.2512399999999998E-2</v>
      </c>
      <c r="S2075">
        <v>-3.059418</v>
      </c>
      <c r="T2075">
        <v>-0.12044009999999999</v>
      </c>
      <c r="U2075">
        <v>8.6975100000000003E-3</v>
      </c>
      <c r="V2075">
        <v>4.9216179999999998E-2</v>
      </c>
      <c r="W2075">
        <v>0.1763479</v>
      </c>
      <c r="X2075">
        <v>0.98309669999999905</v>
      </c>
      <c r="Y2075">
        <v>3.015104E-2</v>
      </c>
      <c r="Z2075">
        <v>1.669579E-3</v>
      </c>
      <c r="AA2075">
        <v>0.99954399999999999</v>
      </c>
      <c r="AB2075">
        <v>30</v>
      </c>
      <c r="AC2075">
        <v>-27.933900000000001</v>
      </c>
      <c r="AD2075">
        <v>-1.110922696</v>
      </c>
      <c r="AE2075">
        <v>8.8599999999985302E-2</v>
      </c>
      <c r="AF2075">
        <v>0.85132149335306795</v>
      </c>
      <c r="AG2075">
        <v>-1.110922696</v>
      </c>
      <c r="AH2075">
        <v>27.876933402474801</v>
      </c>
      <c r="AI2075">
        <v>92.281022280274001</v>
      </c>
      <c r="AJ2075">
        <v>88.250812845618199</v>
      </c>
      <c r="AK2075">
        <v>27.912046027612298</v>
      </c>
      <c r="AL2075">
        <v>79.842892567738204</v>
      </c>
      <c r="AM2075">
        <v>87.1340284578107</v>
      </c>
      <c r="AN2075">
        <v>0.99999996787954504</v>
      </c>
    </row>
    <row r="2076" spans="1:40" x14ac:dyDescent="0.25">
      <c r="A2076" t="str">
        <f>"20190312164029922"</f>
        <v>20190312164029922</v>
      </c>
      <c r="B2076" t="str">
        <f>"1552380029917707"</f>
        <v>1552380029917707</v>
      </c>
      <c r="C2076" t="s">
        <v>40</v>
      </c>
      <c r="D2076">
        <v>5.6797599999999999</v>
      </c>
      <c r="E2076">
        <v>0.49837140000000002</v>
      </c>
      <c r="F2076" t="s">
        <v>48</v>
      </c>
      <c r="G2076">
        <v>-261.9744</v>
      </c>
      <c r="H2076" s="1">
        <v>-4.8611029999999998E-7</v>
      </c>
      <c r="I2076">
        <v>285.09719999999999</v>
      </c>
      <c r="J2076">
        <v>-231.32239999999999</v>
      </c>
      <c r="K2076">
        <v>1.110895</v>
      </c>
      <c r="L2076">
        <v>285.00959999999998</v>
      </c>
      <c r="M2076">
        <v>-0.99953910000000001</v>
      </c>
      <c r="N2076">
        <v>0</v>
      </c>
      <c r="O2076">
        <v>-2.767644E-2</v>
      </c>
      <c r="P2076">
        <v>-0.98599020000000004</v>
      </c>
      <c r="Q2076">
        <v>0.165233299999999</v>
      </c>
      <c r="R2076">
        <v>2.2835089999999999E-2</v>
      </c>
      <c r="S2076">
        <v>-3.0602109999999998</v>
      </c>
      <c r="T2076">
        <v>-0.110337</v>
      </c>
      <c r="U2076">
        <v>8.2397459999999992E-3</v>
      </c>
      <c r="V2076">
        <v>4.9872369999999999E-2</v>
      </c>
      <c r="W2076">
        <v>0.17757989999999901</v>
      </c>
      <c r="X2076">
        <v>0.98284179999999999</v>
      </c>
      <c r="Y2076">
        <v>3.0332310000000001E-2</v>
      </c>
      <c r="Z2076">
        <v>1.544192E-3</v>
      </c>
      <c r="AA2076">
        <v>0.9995387</v>
      </c>
      <c r="AB2076">
        <v>30</v>
      </c>
      <c r="AC2076">
        <v>-30.652000000000001</v>
      </c>
      <c r="AD2076">
        <v>-1.1108954861103</v>
      </c>
      <c r="AE2076">
        <v>8.7600000000008907E-2</v>
      </c>
      <c r="AF2076">
        <v>0.934742915343314</v>
      </c>
      <c r="AG2076">
        <v>-1.1108954861103</v>
      </c>
      <c r="AH2076">
        <v>30.5976422335142</v>
      </c>
      <c r="AI2076">
        <v>92.078331268412896</v>
      </c>
      <c r="AJ2076">
        <v>88.250186342535997</v>
      </c>
      <c r="AK2076">
        <v>30.632067239234399</v>
      </c>
      <c r="AL2076">
        <v>79.771171923785701</v>
      </c>
      <c r="AM2076">
        <v>87.095130092911603</v>
      </c>
      <c r="AN2076">
        <v>0.99999993900033102</v>
      </c>
    </row>
    <row r="2077" spans="1:40" x14ac:dyDescent="0.25">
      <c r="A2077" t="str">
        <f>"20190312164029935"</f>
        <v>20190312164029935</v>
      </c>
      <c r="B2077" t="str">
        <f>"1552380029928443"</f>
        <v>1552380029928443</v>
      </c>
      <c r="C2077" t="s">
        <v>40</v>
      </c>
      <c r="D2077">
        <v>5.6221030000000001</v>
      </c>
      <c r="E2077">
        <v>0.49821260000000001</v>
      </c>
      <c r="F2077" t="s">
        <v>48</v>
      </c>
      <c r="G2077">
        <v>-262.96859999999998</v>
      </c>
      <c r="H2077" s="1">
        <v>4.2929940000000002E-8</v>
      </c>
      <c r="I2077">
        <v>285.08150000000001</v>
      </c>
      <c r="J2077">
        <v>-231.4933</v>
      </c>
      <c r="K2077">
        <v>1.110857</v>
      </c>
      <c r="L2077">
        <v>285.00450000000001</v>
      </c>
      <c r="M2077">
        <v>-0.99952850000000004</v>
      </c>
      <c r="N2077">
        <v>0</v>
      </c>
      <c r="O2077">
        <v>-2.7993980000000002E-2</v>
      </c>
      <c r="P2077">
        <v>-0.98568549999999999</v>
      </c>
      <c r="Q2077">
        <v>0.16693949999999999</v>
      </c>
      <c r="R2077">
        <v>2.3573239999999999E-2</v>
      </c>
      <c r="S2077">
        <v>-3.0604710000000002</v>
      </c>
      <c r="T2077">
        <v>-0.107433399999999</v>
      </c>
      <c r="U2077">
        <v>6.9580079999999999E-3</v>
      </c>
      <c r="V2077">
        <v>5.0933989999999998E-2</v>
      </c>
      <c r="W2077">
        <v>0.179415299999999</v>
      </c>
      <c r="X2077">
        <v>0.98245400000000005</v>
      </c>
      <c r="Y2077">
        <v>3.023288E-2</v>
      </c>
      <c r="Z2077">
        <v>1.512851E-3</v>
      </c>
      <c r="AA2077">
        <v>0.99954180000000004</v>
      </c>
      <c r="AB2077">
        <v>30</v>
      </c>
      <c r="AC2077">
        <v>-31.475299999999901</v>
      </c>
      <c r="AD2077">
        <v>-1.1108569570700599</v>
      </c>
      <c r="AE2077">
        <v>7.6999999999998098E-2</v>
      </c>
      <c r="AF2077">
        <v>0.95696685975424101</v>
      </c>
      <c r="AG2077">
        <v>-1.1108569570700599</v>
      </c>
      <c r="AH2077">
        <v>31.4216684898871</v>
      </c>
      <c r="AI2077">
        <v>92.023809078845403</v>
      </c>
      <c r="AJ2077">
        <v>88.255559880590397</v>
      </c>
      <c r="AK2077">
        <v>31.455858586884901</v>
      </c>
      <c r="AL2077">
        <v>79.664295367762406</v>
      </c>
      <c r="AM2077">
        <v>87.032235299978794</v>
      </c>
      <c r="AN2077">
        <v>0.99999999166370501</v>
      </c>
    </row>
    <row r="2078" spans="1:40" x14ac:dyDescent="0.25">
      <c r="A2078" t="str">
        <f>"20190312164029957"</f>
        <v>20190312164029957</v>
      </c>
      <c r="B2078" t="str">
        <f>"1552380029947962"</f>
        <v>1552380029947962</v>
      </c>
      <c r="C2078" t="s">
        <v>40</v>
      </c>
      <c r="D2078">
        <v>5.6213009999999999</v>
      </c>
      <c r="E2078">
        <v>0.49789060000000002</v>
      </c>
      <c r="F2078" t="s">
        <v>48</v>
      </c>
      <c r="G2078">
        <v>-264.53859999999997</v>
      </c>
      <c r="H2078" s="1">
        <v>8.7845239999999995E-7</v>
      </c>
      <c r="I2078">
        <v>285.08580000000001</v>
      </c>
      <c r="J2078">
        <v>-231.78540000000001</v>
      </c>
      <c r="K2078">
        <v>1.110803</v>
      </c>
      <c r="L2078">
        <v>284.9957</v>
      </c>
      <c r="M2078">
        <v>-0.99951259999999997</v>
      </c>
      <c r="N2078">
        <v>0</v>
      </c>
      <c r="O2078">
        <v>-2.84593E-2</v>
      </c>
      <c r="P2078">
        <v>-0.9850333</v>
      </c>
      <c r="Q2078">
        <v>0.17055709999999999</v>
      </c>
      <c r="R2078">
        <v>2.489214E-2</v>
      </c>
      <c r="S2078">
        <v>-3.0608059999999999</v>
      </c>
      <c r="T2078">
        <v>-0.10289230000000001</v>
      </c>
      <c r="U2078">
        <v>7.5378419999999899E-3</v>
      </c>
      <c r="V2078">
        <v>5.2723939999999997E-2</v>
      </c>
      <c r="W2078">
        <v>0.1832259</v>
      </c>
      <c r="X2078">
        <v>0.98165599999999997</v>
      </c>
      <c r="Y2078">
        <v>3.0889719999999999E-2</v>
      </c>
      <c r="Z2078">
        <v>1.475456E-3</v>
      </c>
      <c r="AA2078">
        <v>0.99952169999999896</v>
      </c>
      <c r="AB2078">
        <v>30</v>
      </c>
      <c r="AC2078">
        <v>-32.7531999999999</v>
      </c>
      <c r="AD2078">
        <v>-1.1108021215476001</v>
      </c>
      <c r="AE2078">
        <v>9.0100000000006703E-2</v>
      </c>
      <c r="AF2078">
        <v>1.02109894326021</v>
      </c>
      <c r="AG2078">
        <v>-1.1108021215476001</v>
      </c>
      <c r="AH2078">
        <v>32.699756474592697</v>
      </c>
      <c r="AI2078">
        <v>91.944627282280507</v>
      </c>
      <c r="AJ2078">
        <v>88.211434533963498</v>
      </c>
      <c r="AK2078">
        <v>32.734547467512499</v>
      </c>
      <c r="AL2078">
        <v>79.442284201792205</v>
      </c>
      <c r="AM2078">
        <v>86.925644497704099</v>
      </c>
      <c r="AN2078">
        <v>1.00000002330796</v>
      </c>
    </row>
    <row r="2079" spans="1:40" x14ac:dyDescent="0.25">
      <c r="A2079" t="str">
        <f>"20190312164029980"</f>
        <v>20190312164029980</v>
      </c>
      <c r="B2079" t="str">
        <f>"1552380029968458"</f>
        <v>1552380029968458</v>
      </c>
      <c r="C2079" t="s">
        <v>40</v>
      </c>
      <c r="D2079">
        <v>5.6739670000000002</v>
      </c>
      <c r="E2079">
        <v>0.49758740000000001</v>
      </c>
      <c r="F2079" t="s">
        <v>48</v>
      </c>
      <c r="G2079">
        <v>-268.46660000000003</v>
      </c>
      <c r="H2079" s="1">
        <v>2.9687320000000001E-6</v>
      </c>
      <c r="I2079">
        <v>285.10059999999999</v>
      </c>
      <c r="J2079">
        <v>-232.08320000000001</v>
      </c>
      <c r="K2079">
        <v>1.110754</v>
      </c>
      <c r="L2079">
        <v>284.98680000000002</v>
      </c>
      <c r="M2079">
        <v>-0.99949949999999999</v>
      </c>
      <c r="N2079">
        <v>0</v>
      </c>
      <c r="O2079">
        <v>-2.883281E-2</v>
      </c>
      <c r="P2079">
        <v>-0.98423760000000005</v>
      </c>
      <c r="Q2079">
        <v>0.17492160000000001</v>
      </c>
      <c r="R2079">
        <v>2.6059209999999999E-2</v>
      </c>
      <c r="S2079">
        <v>-3.0614319999999999</v>
      </c>
      <c r="T2079">
        <v>-9.2707750000000005E-2</v>
      </c>
      <c r="U2079">
        <v>8.7585449999999995E-3</v>
      </c>
      <c r="V2079">
        <v>5.4267129999999997E-2</v>
      </c>
      <c r="W2079">
        <v>0.18775639999999999</v>
      </c>
      <c r="X2079">
        <v>0.98071540000000001</v>
      </c>
      <c r="Y2079">
        <v>3.1667140000000003E-2</v>
      </c>
      <c r="Z2079">
        <v>1.3522880000000001E-3</v>
      </c>
      <c r="AA2079">
        <v>0.99949750000000004</v>
      </c>
      <c r="AB2079">
        <v>30</v>
      </c>
      <c r="AC2079">
        <v>-36.383400000000002</v>
      </c>
      <c r="AD2079">
        <v>-1.110751031268</v>
      </c>
      <c r="AE2079">
        <v>0.113799999999969</v>
      </c>
      <c r="AF2079">
        <v>1.16179440396575</v>
      </c>
      <c r="AG2079">
        <v>-1.110751031268</v>
      </c>
      <c r="AH2079">
        <v>36.331128381079402</v>
      </c>
      <c r="AI2079">
        <v>91.750263404571697</v>
      </c>
      <c r="AJ2079">
        <v>88.168423524262593</v>
      </c>
      <c r="AK2079">
        <v>36.366666379158602</v>
      </c>
      <c r="AL2079">
        <v>79.178121320074993</v>
      </c>
      <c r="AM2079">
        <v>86.832812124446804</v>
      </c>
      <c r="AN2079">
        <v>1.0000000414682699</v>
      </c>
    </row>
    <row r="2080" spans="1:40" x14ac:dyDescent="0.25">
      <c r="A2080" t="str">
        <f>"20190312164030001"</f>
        <v>20190312164030001</v>
      </c>
      <c r="B2080" t="str">
        <f>"1552380029997739"</f>
        <v>1552380029997739</v>
      </c>
      <c r="C2080" t="s">
        <v>40</v>
      </c>
      <c r="D2080">
        <v>5.6662369999999997</v>
      </c>
      <c r="E2080">
        <v>0.49711949999999999</v>
      </c>
      <c r="F2080" t="s">
        <v>48</v>
      </c>
      <c r="G2080">
        <v>-274.16520000000003</v>
      </c>
      <c r="H2080" s="1">
        <v>6.5793679999999996E-7</v>
      </c>
      <c r="I2080">
        <v>285.11509999999998</v>
      </c>
      <c r="J2080">
        <v>-232.3775</v>
      </c>
      <c r="K2080">
        <v>1.110708</v>
      </c>
      <c r="L2080">
        <v>284.97789999999998</v>
      </c>
      <c r="M2080">
        <v>-0.99948910000000002</v>
      </c>
      <c r="N2080">
        <v>0</v>
      </c>
      <c r="O2080">
        <v>-2.91153E-2</v>
      </c>
      <c r="P2080">
        <v>-0.98346409999999995</v>
      </c>
      <c r="Q2080">
        <v>0.17904879999999901</v>
      </c>
      <c r="R2080">
        <v>2.720622E-2</v>
      </c>
      <c r="S2080">
        <v>-3.0621800000000001</v>
      </c>
      <c r="T2080">
        <v>-8.0826159999999994E-2</v>
      </c>
      <c r="U2080">
        <v>9.3383790000000008E-3</v>
      </c>
      <c r="V2080">
        <v>5.5699739999999998E-2</v>
      </c>
      <c r="W2080">
        <v>0.19202230000000001</v>
      </c>
      <c r="X2080">
        <v>0.97980860000000003</v>
      </c>
      <c r="Y2080">
        <v>3.2144640000000002E-2</v>
      </c>
      <c r="Z2080">
        <v>1.1925099999999999E-3</v>
      </c>
      <c r="AA2080">
        <v>0.99948250000000005</v>
      </c>
      <c r="AB2080">
        <v>30</v>
      </c>
      <c r="AC2080">
        <v>-41.787700000000001</v>
      </c>
      <c r="AD2080">
        <v>-1.1107073420631901</v>
      </c>
      <c r="AE2080">
        <v>0.13720000000000701</v>
      </c>
      <c r="AF2080">
        <v>1.3529531825437</v>
      </c>
      <c r="AG2080">
        <v>-1.1107073420631901</v>
      </c>
      <c r="AH2080">
        <v>41.7365006131757</v>
      </c>
      <c r="AI2080">
        <v>91.523616932478603</v>
      </c>
      <c r="AJ2080">
        <v>88.1433189122275</v>
      </c>
      <c r="AK2080">
        <v>41.773192798102997</v>
      </c>
      <c r="AL2080">
        <v>78.929172642380493</v>
      </c>
      <c r="AM2080">
        <v>86.746375884006497</v>
      </c>
      <c r="AN2080">
        <v>0.99999995868365799</v>
      </c>
    </row>
    <row r="2081" spans="1:40" x14ac:dyDescent="0.25">
      <c r="A2081" t="str">
        <f>"20190312164030024"</f>
        <v>20190312164030024</v>
      </c>
      <c r="B2081" t="str">
        <f>"1552380030018235"</f>
        <v>1552380030018235</v>
      </c>
      <c r="C2081" t="s">
        <v>40</v>
      </c>
      <c r="D2081">
        <v>6.3520989999999999</v>
      </c>
      <c r="E2081">
        <v>0.49699880000000002</v>
      </c>
      <c r="F2081" t="s">
        <v>49</v>
      </c>
      <c r="G2081">
        <v>-280.61770000000001</v>
      </c>
      <c r="H2081" s="1">
        <v>8.0263079999999999E-6</v>
      </c>
      <c r="I2081">
        <v>285.11</v>
      </c>
      <c r="J2081">
        <v>-232.66630000000001</v>
      </c>
      <c r="K2081">
        <v>1.1106689999999999</v>
      </c>
      <c r="L2081">
        <v>284.9692</v>
      </c>
      <c r="M2081">
        <v>-0.99948099999999995</v>
      </c>
      <c r="N2081">
        <v>0</v>
      </c>
      <c r="O2081">
        <v>-2.9331779999999998E-2</v>
      </c>
      <c r="P2081">
        <v>-0.9827844</v>
      </c>
      <c r="Q2081">
        <v>0.18256790000000001</v>
      </c>
      <c r="R2081">
        <v>2.8357340000000002E-2</v>
      </c>
      <c r="S2081">
        <v>-3.0630649999999999</v>
      </c>
      <c r="T2081">
        <v>-7.0525169999999998E-2</v>
      </c>
      <c r="U2081">
        <v>8.3923339999999996E-3</v>
      </c>
      <c r="V2081">
        <v>5.7070080000000002E-2</v>
      </c>
      <c r="W2081">
        <v>0.19565979999999999</v>
      </c>
      <c r="X2081">
        <v>0.97900980000000004</v>
      </c>
      <c r="Y2081">
        <v>3.2056670000000002E-2</v>
      </c>
      <c r="Z2081">
        <v>1.0442419999999999E-3</v>
      </c>
      <c r="AA2081">
        <v>0.99948550000000003</v>
      </c>
      <c r="AB2081">
        <v>30</v>
      </c>
      <c r="AC2081">
        <v>-47.9514</v>
      </c>
      <c r="AD2081">
        <v>-1.1106609736919999</v>
      </c>
      <c r="AE2081">
        <v>0.140800000000012</v>
      </c>
      <c r="AF2081">
        <v>1.54653438921873</v>
      </c>
      <c r="AG2081">
        <v>-1.1106609736919999</v>
      </c>
      <c r="AH2081">
        <v>47.900935965120702</v>
      </c>
      <c r="AI2081">
        <v>91.327566182424604</v>
      </c>
      <c r="AJ2081">
        <v>88.150785113553297</v>
      </c>
      <c r="AK2081">
        <v>47.9387630498547</v>
      </c>
      <c r="AL2081">
        <v>78.716729814306206</v>
      </c>
      <c r="AM2081">
        <v>86.663793958502197</v>
      </c>
      <c r="AN2081">
        <v>0.99999996993164197</v>
      </c>
    </row>
    <row r="2082" spans="1:40" x14ac:dyDescent="0.25">
      <c r="A2082" t="str">
        <f>"20190312164030046"</f>
        <v>20190312164030046</v>
      </c>
      <c r="B2082" t="str">
        <f>"1552380030038731"</f>
        <v>1552380030038731</v>
      </c>
      <c r="C2082" t="s">
        <v>40</v>
      </c>
      <c r="D2082">
        <v>5.5446239999999998</v>
      </c>
      <c r="E2082">
        <v>0.49674390000000002</v>
      </c>
      <c r="F2082" t="s">
        <v>49</v>
      </c>
      <c r="G2082">
        <v>-288.82380000000001</v>
      </c>
      <c r="H2082" s="1">
        <v>4.376601E-6</v>
      </c>
      <c r="I2082">
        <v>285.16160000000002</v>
      </c>
      <c r="J2082">
        <v>-232.96469999999999</v>
      </c>
      <c r="K2082">
        <v>1.1106320000000001</v>
      </c>
      <c r="L2082">
        <v>284.96019999999999</v>
      </c>
      <c r="M2082">
        <v>-0.99947439999999999</v>
      </c>
      <c r="N2082">
        <v>0</v>
      </c>
      <c r="O2082">
        <v>-2.9497869999999999E-2</v>
      </c>
      <c r="P2082">
        <v>-0.98209009999999997</v>
      </c>
      <c r="Q2082">
        <v>0.186059</v>
      </c>
      <c r="R2082">
        <v>2.9682099999999999E-2</v>
      </c>
      <c r="S2082">
        <v>-3.063507</v>
      </c>
      <c r="T2082">
        <v>-6.0589079999999997E-2</v>
      </c>
      <c r="U2082">
        <v>1.049805E-2</v>
      </c>
      <c r="V2082">
        <v>5.8561179999999997E-2</v>
      </c>
      <c r="W2082">
        <v>0.1992545</v>
      </c>
      <c r="X2082">
        <v>0.97819639999999997</v>
      </c>
      <c r="Y2082">
        <v>3.2913459999999999E-2</v>
      </c>
      <c r="Z2082">
        <v>9.087807E-4</v>
      </c>
      <c r="AA2082">
        <v>0.99945779999999995</v>
      </c>
      <c r="AB2082">
        <v>30</v>
      </c>
      <c r="AC2082">
        <v>-55.859099999999998</v>
      </c>
      <c r="AD2082">
        <v>-1.110627623399</v>
      </c>
      <c r="AE2082">
        <v>0.201400000000035</v>
      </c>
      <c r="AF2082">
        <v>1.8484550654429199</v>
      </c>
      <c r="AG2082">
        <v>-1.110627623399</v>
      </c>
      <c r="AH2082">
        <v>55.806785459214602</v>
      </c>
      <c r="AI2082">
        <v>91.139485314900995</v>
      </c>
      <c r="AJ2082">
        <v>88.102919423004707</v>
      </c>
      <c r="AK2082">
        <v>55.848434025831303</v>
      </c>
      <c r="AL2082">
        <v>78.506632177386294</v>
      </c>
      <c r="AM2082">
        <v>86.573992109973801</v>
      </c>
      <c r="AN2082">
        <v>0.99999998227310005</v>
      </c>
    </row>
    <row r="2083" spans="1:40" x14ac:dyDescent="0.25">
      <c r="A2083" t="str">
        <f>"20190312164030068"</f>
        <v>20190312164030068</v>
      </c>
      <c r="B2083" t="str">
        <f>"1552380030058254"</f>
        <v>1552380030058254</v>
      </c>
      <c r="C2083" t="s">
        <v>40</v>
      </c>
      <c r="D2083">
        <v>5.5441260000000003</v>
      </c>
      <c r="E2083">
        <v>0.49648890000000001</v>
      </c>
      <c r="F2083" t="s">
        <v>49</v>
      </c>
      <c r="G2083">
        <v>-298.83710000000002</v>
      </c>
      <c r="H2083" s="1">
        <v>3.7217330000000002E-6</v>
      </c>
      <c r="I2083">
        <v>285.20620000000002</v>
      </c>
      <c r="J2083">
        <v>-233.2551</v>
      </c>
      <c r="K2083">
        <v>1.110614</v>
      </c>
      <c r="L2083">
        <v>284.95150000000001</v>
      </c>
      <c r="M2083">
        <v>-0.99946959999999996</v>
      </c>
      <c r="N2083">
        <v>0</v>
      </c>
      <c r="O2083">
        <v>-2.9611430000000001E-2</v>
      </c>
      <c r="P2083">
        <v>-0.98142430000000003</v>
      </c>
      <c r="Q2083">
        <v>0.18923590000000001</v>
      </c>
      <c r="R2083">
        <v>3.1564950000000001E-2</v>
      </c>
      <c r="S2083">
        <v>-3.0641479999999999</v>
      </c>
      <c r="T2083">
        <v>-5.1662449999999999E-2</v>
      </c>
      <c r="U2083">
        <v>1.1444090000000001E-2</v>
      </c>
      <c r="V2083">
        <v>6.0555400000000002E-2</v>
      </c>
      <c r="W2083">
        <v>0.20251730000000001</v>
      </c>
      <c r="X2083">
        <v>0.97740459999999996</v>
      </c>
      <c r="Y2083">
        <v>3.333817E-2</v>
      </c>
      <c r="Z2083">
        <v>7.8024309999999897E-4</v>
      </c>
      <c r="AA2083">
        <v>0.99944379999999999</v>
      </c>
      <c r="AB2083">
        <v>30</v>
      </c>
      <c r="AC2083">
        <v>-65.581999999999994</v>
      </c>
      <c r="AD2083">
        <v>-1.110610278267</v>
      </c>
      <c r="AE2083">
        <v>0.25470000000001303</v>
      </c>
      <c r="AF2083">
        <v>2.19611367011685</v>
      </c>
      <c r="AG2083">
        <v>-1.110610278267</v>
      </c>
      <c r="AH2083">
        <v>65.526901584307097</v>
      </c>
      <c r="AI2083">
        <v>90.970463896515696</v>
      </c>
      <c r="AJ2083">
        <v>88.080468298469</v>
      </c>
      <c r="AK2083">
        <v>65.573098155278004</v>
      </c>
      <c r="AL2083">
        <v>78.315797172932903</v>
      </c>
      <c r="AM2083">
        <v>86.454753972004994</v>
      </c>
      <c r="AN2083">
        <v>0.99999998268480395</v>
      </c>
    </row>
    <row r="2084" spans="1:40" x14ac:dyDescent="0.25">
      <c r="A2084" t="str">
        <f>"20190312164030089"</f>
        <v>20190312164030089</v>
      </c>
      <c r="B2084" t="str">
        <f>"1552380030077771"</f>
        <v>1552380030077771</v>
      </c>
      <c r="C2084" t="s">
        <v>40</v>
      </c>
      <c r="D2084">
        <v>5.5957330000000001</v>
      </c>
      <c r="E2084">
        <v>0.4962435</v>
      </c>
      <c r="F2084" t="s">
        <v>49</v>
      </c>
      <c r="G2084">
        <v>-309.8854</v>
      </c>
      <c r="H2084" s="1">
        <v>2.1516409999999999E-6</v>
      </c>
      <c r="I2084">
        <v>285.29640000000001</v>
      </c>
      <c r="J2084">
        <v>-233.54429999999999</v>
      </c>
      <c r="K2084">
        <v>1.1105989999999999</v>
      </c>
      <c r="L2084">
        <v>284.94279999999998</v>
      </c>
      <c r="M2084">
        <v>-0.99946610000000002</v>
      </c>
      <c r="N2084">
        <v>0</v>
      </c>
      <c r="O2084">
        <v>-2.9689150000000001E-2</v>
      </c>
      <c r="P2084">
        <v>-0.98086859999999998</v>
      </c>
      <c r="Q2084">
        <v>0.19182669999999999</v>
      </c>
      <c r="R2084">
        <v>3.3157060000000002E-2</v>
      </c>
      <c r="S2084">
        <v>-3.0648960000000001</v>
      </c>
      <c r="T2084">
        <v>-4.4419880000000002E-2</v>
      </c>
      <c r="U2084">
        <v>1.3793949999999999E-2</v>
      </c>
      <c r="V2084">
        <v>6.2223500000000001E-2</v>
      </c>
      <c r="W2084">
        <v>0.20518239999999999</v>
      </c>
      <c r="X2084">
        <v>0.97674380000000005</v>
      </c>
      <c r="Y2084">
        <v>3.418351E-2</v>
      </c>
      <c r="Z2084">
        <v>6.7796190000000002E-4</v>
      </c>
      <c r="AA2084">
        <v>0.99941530000000001</v>
      </c>
      <c r="AB2084">
        <v>30</v>
      </c>
      <c r="AC2084">
        <v>-76.341099999999997</v>
      </c>
      <c r="AD2084">
        <v>-1.1105968483590001</v>
      </c>
      <c r="AE2084">
        <v>0.353600000000028</v>
      </c>
      <c r="AF2084">
        <v>2.6196029601202202</v>
      </c>
      <c r="AG2084">
        <v>-1.1105968483590001</v>
      </c>
      <c r="AH2084">
        <v>76.280798335280906</v>
      </c>
      <c r="AI2084">
        <v>90.833637517620403</v>
      </c>
      <c r="AJ2084">
        <v>88.033145494479299</v>
      </c>
      <c r="AK2084">
        <v>76.333845309246996</v>
      </c>
      <c r="AL2084">
        <v>78.159823415783507</v>
      </c>
      <c r="AM2084">
        <v>86.354895930118701</v>
      </c>
      <c r="AN2084">
        <v>1.00000001603022</v>
      </c>
    </row>
    <row r="2085" spans="1:40" x14ac:dyDescent="0.25">
      <c r="A2085" t="str">
        <f>"20190312164030112"</f>
        <v>20190312164030112</v>
      </c>
      <c r="B2085" t="str">
        <f>"1552380030108027"</f>
        <v>1552380030108027</v>
      </c>
      <c r="C2085" t="s">
        <v>40</v>
      </c>
      <c r="D2085">
        <v>5.5325790000000001</v>
      </c>
      <c r="E2085">
        <v>0.49589149999999999</v>
      </c>
      <c r="F2085" t="s">
        <v>48</v>
      </c>
      <c r="G2085">
        <v>-320.78410000000002</v>
      </c>
      <c r="H2085" s="1">
        <v>-1.153282E-6</v>
      </c>
      <c r="I2085">
        <v>285.38830000000002</v>
      </c>
      <c r="J2085">
        <v>-233.85659999999999</v>
      </c>
      <c r="K2085">
        <v>1.1105969999999901</v>
      </c>
      <c r="L2085">
        <v>284.93349999999998</v>
      </c>
      <c r="M2085">
        <v>-0.99946330000000005</v>
      </c>
      <c r="N2085">
        <v>0</v>
      </c>
      <c r="O2085">
        <v>-2.9747989999999998E-2</v>
      </c>
      <c r="P2085">
        <v>-0.98002670000000003</v>
      </c>
      <c r="Q2085">
        <v>0.19554460000000001</v>
      </c>
      <c r="R2085">
        <v>3.6195209999999998E-2</v>
      </c>
      <c r="S2085">
        <v>-3.0656279999999998</v>
      </c>
      <c r="T2085">
        <v>-3.9026739999999997E-2</v>
      </c>
      <c r="U2085">
        <v>1.5655519999999999E-2</v>
      </c>
      <c r="V2085">
        <v>6.5307030000000002E-2</v>
      </c>
      <c r="W2085">
        <v>0.20896439999999999</v>
      </c>
      <c r="X2085">
        <v>0.97574019999999995</v>
      </c>
      <c r="Y2085">
        <v>3.4849629999999999E-2</v>
      </c>
      <c r="Z2085">
        <v>6.0050230000000004E-4</v>
      </c>
      <c r="AA2085">
        <v>0.99939239999999996</v>
      </c>
      <c r="AB2085">
        <v>30</v>
      </c>
      <c r="AC2085">
        <v>-86.927499999999995</v>
      </c>
      <c r="AD2085">
        <v>-1.11059815328199</v>
      </c>
      <c r="AE2085">
        <v>0.45480000000003401</v>
      </c>
      <c r="AF2085">
        <v>3.0402641633115199</v>
      </c>
      <c r="AG2085">
        <v>-1.11059815328199</v>
      </c>
      <c r="AH2085">
        <v>86.861312679696596</v>
      </c>
      <c r="AI2085">
        <v>90.732088681606498</v>
      </c>
      <c r="AJ2085">
        <v>87.995388082909599</v>
      </c>
      <c r="AK2085">
        <v>86.921598437217099</v>
      </c>
      <c r="AL2085">
        <v>77.938330056828704</v>
      </c>
      <c r="AM2085">
        <v>86.170861134014103</v>
      </c>
      <c r="AN2085">
        <v>1.00000003326541</v>
      </c>
    </row>
    <row r="2086" spans="1:40" x14ac:dyDescent="0.25">
      <c r="A2086" t="str">
        <f>"20190312164030126"</f>
        <v>20190312164030126</v>
      </c>
      <c r="B2086" t="str">
        <f>"1552380030117786"</f>
        <v>1552380030117786</v>
      </c>
      <c r="C2086" t="s">
        <v>40</v>
      </c>
      <c r="D2086">
        <v>5.4301089999999999</v>
      </c>
      <c r="E2086">
        <v>0.49575839999999999</v>
      </c>
      <c r="F2086" t="s">
        <v>48</v>
      </c>
      <c r="G2086">
        <v>-342.88139999999999</v>
      </c>
      <c r="H2086" s="1">
        <v>-3.4576289999999999E-9</v>
      </c>
      <c r="I2086">
        <v>285.66149999999999</v>
      </c>
      <c r="J2086">
        <v>-234.02760000000001</v>
      </c>
      <c r="K2086">
        <v>1.1105959999999999</v>
      </c>
      <c r="L2086">
        <v>284.92829999999998</v>
      </c>
      <c r="M2086">
        <v>-0.99946190000000001</v>
      </c>
      <c r="N2086">
        <v>0</v>
      </c>
      <c r="O2086">
        <v>-2.9773210000000001E-2</v>
      </c>
      <c r="P2086">
        <v>-0.97982919999999996</v>
      </c>
      <c r="Q2086">
        <v>0.1963531</v>
      </c>
      <c r="R2086">
        <v>3.7150679999999998E-2</v>
      </c>
      <c r="S2086">
        <v>-3.066605</v>
      </c>
      <c r="T2086">
        <v>-3.1238439999999999E-2</v>
      </c>
      <c r="U2086">
        <v>2.0477289999999999E-2</v>
      </c>
      <c r="V2086">
        <v>6.6286709999999999E-2</v>
      </c>
      <c r="W2086">
        <v>0.20980689999999999</v>
      </c>
      <c r="X2086">
        <v>0.97549330000000001</v>
      </c>
      <c r="Y2086">
        <v>3.6446340000000001E-2</v>
      </c>
      <c r="Z2086">
        <v>4.8890700000000001E-4</v>
      </c>
      <c r="AA2086">
        <v>0.99933550000000004</v>
      </c>
      <c r="AB2086">
        <v>30</v>
      </c>
      <c r="AC2086">
        <v>-108.853799999999</v>
      </c>
      <c r="AD2086">
        <v>-1.1105960034576201</v>
      </c>
      <c r="AE2086">
        <v>0.73320000000000995</v>
      </c>
      <c r="AF2086">
        <v>3.9736953912642101</v>
      </c>
      <c r="AG2086">
        <v>-1.1105960034576201</v>
      </c>
      <c r="AH2086">
        <v>108.772379948937</v>
      </c>
      <c r="AI2086">
        <v>90.584595441823794</v>
      </c>
      <c r="AJ2086">
        <v>87.907788994822994</v>
      </c>
      <c r="AK2086">
        <v>108.85060550268599</v>
      </c>
      <c r="AL2086">
        <v>77.888963920196801</v>
      </c>
      <c r="AM2086">
        <v>86.1126137707071</v>
      </c>
      <c r="AN2086">
        <v>1.0000000207775599</v>
      </c>
    </row>
    <row r="2087" spans="1:40" x14ac:dyDescent="0.25">
      <c r="A2087" t="str">
        <f>"20190312164030146"</f>
        <v>20190312164030146</v>
      </c>
      <c r="B2087" t="str">
        <f>"1552380030137812"</f>
        <v>1552380030137812</v>
      </c>
      <c r="C2087" t="s">
        <v>40</v>
      </c>
      <c r="D2087">
        <v>5.4147480000000003</v>
      </c>
      <c r="E2087">
        <v>0.49550830000000001</v>
      </c>
      <c r="F2087" t="s">
        <v>48</v>
      </c>
      <c r="G2087">
        <v>-347.89620000000002</v>
      </c>
      <c r="H2087" s="1">
        <v>2.665204E-6</v>
      </c>
      <c r="I2087">
        <v>285.7362</v>
      </c>
      <c r="J2087">
        <v>-234.30350000000001</v>
      </c>
      <c r="K2087">
        <v>1.110589</v>
      </c>
      <c r="L2087">
        <v>284.92009999999999</v>
      </c>
      <c r="M2087">
        <v>-0.99946020000000002</v>
      </c>
      <c r="N2087">
        <v>0</v>
      </c>
      <c r="O2087">
        <v>-2.9808660000000001E-2</v>
      </c>
      <c r="P2087">
        <v>-0.97958639999999997</v>
      </c>
      <c r="Q2087">
        <v>0.19717750000000001</v>
      </c>
      <c r="R2087">
        <v>3.9138529999999998E-2</v>
      </c>
      <c r="S2087">
        <v>-3.0669249999999999</v>
      </c>
      <c r="T2087">
        <v>-2.9912589999999999E-2</v>
      </c>
      <c r="U2087">
        <v>2.1759029999999999E-2</v>
      </c>
      <c r="V2087">
        <v>6.8307569999999998E-2</v>
      </c>
      <c r="W2087">
        <v>0.21068049999999999</v>
      </c>
      <c r="X2087">
        <v>0.97516550000000002</v>
      </c>
      <c r="Y2087">
        <v>3.689899E-2</v>
      </c>
      <c r="Z2087">
        <v>4.7066149999999999E-4</v>
      </c>
      <c r="AA2087">
        <v>0.99931890000000001</v>
      </c>
      <c r="AB2087">
        <v>30</v>
      </c>
      <c r="AC2087">
        <v>-113.59269999999999</v>
      </c>
      <c r="AD2087">
        <v>-1.1105863347959899</v>
      </c>
      <c r="AE2087">
        <v>0.81610000000000504</v>
      </c>
      <c r="AF2087">
        <v>4.2017048298410602</v>
      </c>
      <c r="AG2087">
        <v>-1.1105863347959899</v>
      </c>
      <c r="AH2087">
        <v>113.507033872976</v>
      </c>
      <c r="AI2087">
        <v>90.560197282076302</v>
      </c>
      <c r="AJ2087">
        <v>87.880042529583903</v>
      </c>
      <c r="AK2087">
        <v>113.59020408523401</v>
      </c>
      <c r="AL2087">
        <v>77.837765434444293</v>
      </c>
      <c r="AM2087">
        <v>85.993138397211297</v>
      </c>
      <c r="AN2087">
        <v>0.99999997479490199</v>
      </c>
    </row>
    <row r="2088" spans="1:40" x14ac:dyDescent="0.25">
      <c r="A2088" t="str">
        <f>"20190312164030169"</f>
        <v>20190312164030169</v>
      </c>
      <c r="B2088" t="str">
        <f>"1552380030158308"</f>
        <v>1552380030158308</v>
      </c>
      <c r="C2088" t="s">
        <v>40</v>
      </c>
      <c r="D2088">
        <v>5.4665530000000002</v>
      </c>
      <c r="E2088">
        <v>0.49526940000000003</v>
      </c>
      <c r="F2088" t="s">
        <v>48</v>
      </c>
      <c r="G2088">
        <v>-349.68759999999997</v>
      </c>
      <c r="H2088" s="1">
        <v>3.6184730000000001E-6</v>
      </c>
      <c r="I2088">
        <v>285.86250000000001</v>
      </c>
      <c r="J2088">
        <v>-234.5992</v>
      </c>
      <c r="K2088">
        <v>1.1105830000000001</v>
      </c>
      <c r="L2088">
        <v>284.91129999999998</v>
      </c>
      <c r="M2088">
        <v>-0.99945830000000002</v>
      </c>
      <c r="N2088">
        <v>0</v>
      </c>
      <c r="O2088">
        <v>-2.9843089999999999E-2</v>
      </c>
      <c r="P2088">
        <v>-0.9795026</v>
      </c>
      <c r="Q2088">
        <v>0.19725319999999999</v>
      </c>
      <c r="R2088">
        <v>4.0813950000000002E-2</v>
      </c>
      <c r="S2088">
        <v>-3.0674739999999998</v>
      </c>
      <c r="T2088">
        <v>-2.95248E-2</v>
      </c>
      <c r="U2088">
        <v>2.505493E-2</v>
      </c>
      <c r="V2088">
        <v>7.0017319999999994E-2</v>
      </c>
      <c r="W2088">
        <v>0.2108022</v>
      </c>
      <c r="X2088">
        <v>0.97501800000000005</v>
      </c>
      <c r="Y2088">
        <v>3.8005850000000001E-2</v>
      </c>
      <c r="Z2088">
        <v>4.7013429999999998E-4</v>
      </c>
      <c r="AA2088">
        <v>0.99927739999999998</v>
      </c>
      <c r="AB2088">
        <v>30</v>
      </c>
      <c r="AC2088">
        <v>-115.088399999999</v>
      </c>
      <c r="AD2088">
        <v>-1.110579381527</v>
      </c>
      <c r="AE2088">
        <v>0.95120000000002802</v>
      </c>
      <c r="AF2088">
        <v>4.3852920264528503</v>
      </c>
      <c r="AG2088">
        <v>-1.110579381527</v>
      </c>
      <c r="AH2088">
        <v>114.998032075355</v>
      </c>
      <c r="AI2088">
        <v>90.552907916932895</v>
      </c>
      <c r="AJ2088">
        <v>87.816162281994195</v>
      </c>
      <c r="AK2088">
        <v>115.08697386726401</v>
      </c>
      <c r="AL2088">
        <v>77.830633227532303</v>
      </c>
      <c r="AM2088">
        <v>85.892565817414294</v>
      </c>
      <c r="AN2088">
        <v>1.0000000464744101</v>
      </c>
    </row>
    <row r="2089" spans="1:40" x14ac:dyDescent="0.25">
      <c r="A2089" t="str">
        <f>"20190312164030192"</f>
        <v>20190312164030192</v>
      </c>
      <c r="B2089" t="str">
        <f>"1552380030188565"</f>
        <v>1552380030188565</v>
      </c>
      <c r="C2089" t="s">
        <v>40</v>
      </c>
      <c r="D2089">
        <v>5.4974429999999996</v>
      </c>
      <c r="E2089">
        <v>0.49494270000000001</v>
      </c>
      <c r="F2089" t="s">
        <v>48</v>
      </c>
      <c r="G2089">
        <v>-341.8861</v>
      </c>
      <c r="H2089" s="1">
        <v>-5.3307189999999995E-7</v>
      </c>
      <c r="I2089">
        <v>285.86110000000002</v>
      </c>
      <c r="J2089">
        <v>-234.90039999999999</v>
      </c>
      <c r="K2089">
        <v>1.110584</v>
      </c>
      <c r="L2089">
        <v>284.90219999999999</v>
      </c>
      <c r="M2089">
        <v>-0.99945680000000003</v>
      </c>
      <c r="N2089">
        <v>0</v>
      </c>
      <c r="O2089">
        <v>-2.9878490000000001E-2</v>
      </c>
      <c r="P2089">
        <v>-0.97938820000000004</v>
      </c>
      <c r="Q2089">
        <v>0.19735369999999999</v>
      </c>
      <c r="R2089">
        <v>4.3020240000000001E-2</v>
      </c>
      <c r="S2089">
        <v>-3.0680390000000002</v>
      </c>
      <c r="T2089">
        <v>-3.17589E-2</v>
      </c>
      <c r="U2089">
        <v>2.716064E-2</v>
      </c>
      <c r="V2089">
        <v>7.2255559999999996E-2</v>
      </c>
      <c r="W2089">
        <v>0.21094160000000001</v>
      </c>
      <c r="X2089">
        <v>0.97482449999999998</v>
      </c>
      <c r="Y2089">
        <v>3.8725000000000002E-2</v>
      </c>
      <c r="Z2089">
        <v>5.0970170000000001E-4</v>
      </c>
      <c r="AA2089">
        <v>0.99924979999999997</v>
      </c>
      <c r="AB2089">
        <v>30</v>
      </c>
      <c r="AC2089">
        <v>-106.98569999999999</v>
      </c>
      <c r="AD2089">
        <v>-1.1105845330719</v>
      </c>
      <c r="AE2089">
        <v>0.95890000000002795</v>
      </c>
      <c r="AF2089">
        <v>4.1549044045827497</v>
      </c>
      <c r="AG2089">
        <v>-1.1105845330719</v>
      </c>
      <c r="AH2089">
        <v>106.89775425946399</v>
      </c>
      <c r="AI2089">
        <v>90.594788097134995</v>
      </c>
      <c r="AJ2089">
        <v>87.774146737739201</v>
      </c>
      <c r="AK2089">
        <v>106.984234793417</v>
      </c>
      <c r="AL2089">
        <v>77.822462079167806</v>
      </c>
      <c r="AM2089">
        <v>85.760896547568606</v>
      </c>
      <c r="AN2089">
        <v>1.0000000151808599</v>
      </c>
    </row>
    <row r="2090" spans="1:40" x14ac:dyDescent="0.25">
      <c r="A2090" t="str">
        <f>"20190312164030213"</f>
        <v>20190312164030213</v>
      </c>
      <c r="B2090" t="str">
        <f>"1552380030208084"</f>
        <v>1552380030208084</v>
      </c>
      <c r="C2090" t="s">
        <v>40</v>
      </c>
      <c r="D2090">
        <v>5.2674570000000003</v>
      </c>
      <c r="E2090">
        <v>0.48522929999999997</v>
      </c>
      <c r="F2090" t="s">
        <v>48</v>
      </c>
      <c r="G2090">
        <v>-331.47089999999997</v>
      </c>
      <c r="H2090" s="1">
        <v>-8.0859730000000003E-7</v>
      </c>
      <c r="I2090">
        <v>285.86439999999999</v>
      </c>
      <c r="J2090">
        <v>-235.18510000000001</v>
      </c>
      <c r="K2090">
        <v>1.1105959999999999</v>
      </c>
      <c r="L2090">
        <v>284.89359999999999</v>
      </c>
      <c r="M2090">
        <v>-0.99945530000000005</v>
      </c>
      <c r="N2090">
        <v>0</v>
      </c>
      <c r="O2090">
        <v>-2.9914699999999999E-2</v>
      </c>
      <c r="P2090">
        <v>-0.97924860000000002</v>
      </c>
      <c r="Q2090">
        <v>0.19777339999999999</v>
      </c>
      <c r="R2090">
        <v>4.4249690000000001E-2</v>
      </c>
      <c r="S2090">
        <v>-3.0689090000000001</v>
      </c>
      <c r="T2090">
        <v>-3.529322E-2</v>
      </c>
      <c r="U2090">
        <v>3.0578609999999999E-2</v>
      </c>
      <c r="V2090">
        <v>7.3516059999999994E-2</v>
      </c>
      <c r="W2090">
        <v>0.21139179999999999</v>
      </c>
      <c r="X2090">
        <v>0.97463270000000002</v>
      </c>
      <c r="Y2090">
        <v>3.9870559999999999E-2</v>
      </c>
      <c r="Z2090">
        <v>5.7326190000000002E-4</v>
      </c>
      <c r="AA2090">
        <v>0.99920469999999895</v>
      </c>
      <c r="AB2090">
        <v>30</v>
      </c>
      <c r="AC2090">
        <v>-96.285799999999895</v>
      </c>
      <c r="AD2090">
        <v>-1.1105968085972999</v>
      </c>
      <c r="AE2090">
        <v>0.970799999999997</v>
      </c>
      <c r="AF2090">
        <v>3.8504937795084699</v>
      </c>
      <c r="AG2090">
        <v>-1.1105968085972999</v>
      </c>
      <c r="AH2090">
        <v>96.200857966785904</v>
      </c>
      <c r="AI2090">
        <v>90.660896184994598</v>
      </c>
      <c r="AJ2090">
        <v>87.707927481053602</v>
      </c>
      <c r="AK2090">
        <v>96.2842915597504</v>
      </c>
      <c r="AL2090">
        <v>77.796072271795097</v>
      </c>
      <c r="AM2090">
        <v>85.686376406887604</v>
      </c>
      <c r="AN2090">
        <v>1.0000000020472199</v>
      </c>
    </row>
    <row r="2091" spans="1:40" x14ac:dyDescent="0.25">
      <c r="A2091" t="str">
        <f>"20190312164030235"</f>
        <v>20190312164030235</v>
      </c>
      <c r="B2091" t="str">
        <f>"1552380030228581"</f>
        <v>1552380030228581</v>
      </c>
      <c r="C2091" t="s">
        <v>40</v>
      </c>
      <c r="D2091">
        <v>5.4190269999999998</v>
      </c>
      <c r="E2091">
        <v>0.48752139999999999</v>
      </c>
      <c r="F2091" t="s">
        <v>48</v>
      </c>
      <c r="G2091">
        <v>-252.6403</v>
      </c>
      <c r="H2091" s="1">
        <v>-1.3174199999999999E-7</v>
      </c>
      <c r="I2091">
        <v>284.56110000000001</v>
      </c>
      <c r="J2091">
        <v>-235.4802</v>
      </c>
      <c r="K2091">
        <v>1.1106100000000001</v>
      </c>
      <c r="L2091">
        <v>284.88479999999998</v>
      </c>
      <c r="M2091">
        <v>-0.99945349999999999</v>
      </c>
      <c r="N2091">
        <v>0</v>
      </c>
      <c r="O2091">
        <v>-2.9955320000000001E-2</v>
      </c>
      <c r="P2091">
        <v>-0.9790527</v>
      </c>
      <c r="Q2091">
        <v>0.19841929999999999</v>
      </c>
      <c r="R2091">
        <v>4.5667390000000002E-2</v>
      </c>
      <c r="S2091">
        <v>-3.1061709999999998</v>
      </c>
      <c r="T2091">
        <v>-0.1976311</v>
      </c>
      <c r="U2091">
        <v>-5.9173580000000003E-2</v>
      </c>
      <c r="V2091">
        <v>7.4966749999999999E-2</v>
      </c>
      <c r="W2091">
        <v>0.21206330000000001</v>
      </c>
      <c r="X2091">
        <v>0.97437629999999997</v>
      </c>
      <c r="Y2091">
        <v>1.0832059999999999E-2</v>
      </c>
      <c r="Z2091">
        <v>2.247874E-3</v>
      </c>
      <c r="AA2091">
        <v>0.99993880000000002</v>
      </c>
      <c r="AB2091">
        <v>30</v>
      </c>
      <c r="AC2091">
        <v>-17.1601</v>
      </c>
      <c r="AD2091">
        <v>-1.1106101317420001</v>
      </c>
      <c r="AE2091">
        <v>-0.32369999999997301</v>
      </c>
      <c r="AF2091">
        <v>0.18973732471639301</v>
      </c>
      <c r="AG2091">
        <v>-1.1106101317420001</v>
      </c>
      <c r="AH2091">
        <v>17.090532818598199</v>
      </c>
      <c r="AI2091">
        <v>93.717849114842494</v>
      </c>
      <c r="AJ2091">
        <v>89.363934323163306</v>
      </c>
      <c r="AK2091">
        <v>17.127631685107598</v>
      </c>
      <c r="AL2091">
        <v>77.756705830143702</v>
      </c>
      <c r="AM2091">
        <v>85.600433759847206</v>
      </c>
      <c r="AN2091">
        <v>1.0000000154070701</v>
      </c>
    </row>
    <row r="2092" spans="1:40" x14ac:dyDescent="0.25">
      <c r="A2092" t="str">
        <f>"20190312164030258"</f>
        <v>20190312164030258</v>
      </c>
      <c r="B2092" t="str">
        <f>"1552380030248101"</f>
        <v>1552380030248101</v>
      </c>
      <c r="C2092" t="s">
        <v>40</v>
      </c>
      <c r="D2092">
        <v>5.2774289999999997</v>
      </c>
      <c r="E2092">
        <v>0.4869597</v>
      </c>
      <c r="F2092" t="s">
        <v>48</v>
      </c>
      <c r="G2092">
        <v>-254.2535</v>
      </c>
      <c r="H2092" s="1">
        <v>7.2670620000000001E-7</v>
      </c>
      <c r="I2092">
        <v>284.67099999999999</v>
      </c>
      <c r="J2092">
        <v>-235.77440000000001</v>
      </c>
      <c r="K2092">
        <v>1.110619</v>
      </c>
      <c r="L2092">
        <v>284.8759</v>
      </c>
      <c r="M2092">
        <v>-0.9994518</v>
      </c>
      <c r="N2092">
        <v>0</v>
      </c>
      <c r="O2092">
        <v>-2.9998529999999999E-2</v>
      </c>
      <c r="P2092">
        <v>-0.97887109999999999</v>
      </c>
      <c r="Q2092">
        <v>0.1990826</v>
      </c>
      <c r="R2092">
        <v>4.6666850000000003E-2</v>
      </c>
      <c r="S2092">
        <v>-3.1030579999999999</v>
      </c>
      <c r="T2092">
        <v>-0.18357409999999999</v>
      </c>
      <c r="U2092">
        <v>-3.533936E-2</v>
      </c>
      <c r="V2092">
        <v>7.6002609999999998E-2</v>
      </c>
      <c r="W2092">
        <v>0.21274779999999999</v>
      </c>
      <c r="X2092">
        <v>0.97414679999999998</v>
      </c>
      <c r="Y2092">
        <v>1.8532010000000002E-2</v>
      </c>
      <c r="Z2092">
        <v>2.3206490000000001E-3</v>
      </c>
      <c r="AA2092">
        <v>0.99982559999999998</v>
      </c>
      <c r="AB2092">
        <v>30</v>
      </c>
      <c r="AC2092">
        <v>-18.479099999999899</v>
      </c>
      <c r="AD2092">
        <v>-1.1106182732937999</v>
      </c>
      <c r="AE2092">
        <v>-0.20490000000000899</v>
      </c>
      <c r="AF2092">
        <v>0.34833436870446399</v>
      </c>
      <c r="AG2092">
        <v>-1.1106182732937999</v>
      </c>
      <c r="AH2092">
        <v>18.4104355980961</v>
      </c>
      <c r="AI2092">
        <v>93.451595193545202</v>
      </c>
      <c r="AJ2092">
        <v>88.916065400660997</v>
      </c>
      <c r="AK2092">
        <v>18.447193518067699</v>
      </c>
      <c r="AL2092">
        <v>77.716570934468706</v>
      </c>
      <c r="AM2092">
        <v>85.538839450240204</v>
      </c>
      <c r="AN2092">
        <v>1.0000000055409399</v>
      </c>
    </row>
    <row r="2093" spans="1:40" x14ac:dyDescent="0.25">
      <c r="A2093" t="str">
        <f>"20190312164030279"</f>
        <v>20190312164030279</v>
      </c>
      <c r="B2093" t="str">
        <f>"1552380030268599"</f>
        <v>1552380030268599</v>
      </c>
      <c r="C2093" t="s">
        <v>40</v>
      </c>
      <c r="D2093">
        <v>5.3991410000000002</v>
      </c>
      <c r="E2093">
        <v>0.48656949999999999</v>
      </c>
      <c r="F2093" t="s">
        <v>48</v>
      </c>
      <c r="G2093">
        <v>-257.46019999999999</v>
      </c>
      <c r="H2093" s="1">
        <v>2.4331789999999999E-6</v>
      </c>
      <c r="I2093">
        <v>284.62759999999997</v>
      </c>
      <c r="J2093">
        <v>-236.05539999999999</v>
      </c>
      <c r="K2093">
        <v>1.1106240000000001</v>
      </c>
      <c r="L2093">
        <v>284.86750000000001</v>
      </c>
      <c r="M2093">
        <v>-0.99945030000000001</v>
      </c>
      <c r="N2093">
        <v>0</v>
      </c>
      <c r="O2093">
        <v>-3.0042650000000001E-2</v>
      </c>
      <c r="P2093">
        <v>-0.9787015</v>
      </c>
      <c r="Q2093">
        <v>0.19967270000000001</v>
      </c>
      <c r="R2093">
        <v>4.7689259999999997E-2</v>
      </c>
      <c r="S2093">
        <v>-3.0987239999999998</v>
      </c>
      <c r="T2093">
        <v>-0.15869759999999999</v>
      </c>
      <c r="U2093">
        <v>-3.549194E-2</v>
      </c>
      <c r="V2093">
        <v>7.7062350000000002E-2</v>
      </c>
      <c r="W2093">
        <v>0.2133544</v>
      </c>
      <c r="X2093">
        <v>0.97393079999999999</v>
      </c>
      <c r="Y2093">
        <v>1.853219E-2</v>
      </c>
      <c r="Z2093">
        <v>2.0116800000000001E-3</v>
      </c>
      <c r="AA2093">
        <v>0.99982629999999995</v>
      </c>
      <c r="AB2093">
        <v>29</v>
      </c>
      <c r="AC2093">
        <v>-21.404799999999899</v>
      </c>
      <c r="AD2093">
        <v>-1.110621566821</v>
      </c>
      <c r="AE2093">
        <v>-0.239900000000034</v>
      </c>
      <c r="AF2093">
        <v>0.402245628187477</v>
      </c>
      <c r="AG2093">
        <v>-1.110621566821</v>
      </c>
      <c r="AH2093">
        <v>21.344886471391099</v>
      </c>
      <c r="AI2093">
        <v>92.978012054531206</v>
      </c>
      <c r="AJ2093">
        <v>88.920385490794501</v>
      </c>
      <c r="AK2093">
        <v>21.3775457030656</v>
      </c>
      <c r="AL2093">
        <v>77.680997972472397</v>
      </c>
      <c r="AM2093">
        <v>85.475892772727605</v>
      </c>
      <c r="AN2093">
        <v>0.99999995448776002</v>
      </c>
    </row>
    <row r="2094" spans="1:40" x14ac:dyDescent="0.25">
      <c r="A2094" t="str">
        <f>"20190312164030301"</f>
        <v>20190312164030301</v>
      </c>
      <c r="B2094" t="str">
        <f>"1552380030298495"</f>
        <v>1552380030298495</v>
      </c>
      <c r="C2094" t="s">
        <v>40</v>
      </c>
      <c r="D2094">
        <v>5.3762259999999999</v>
      </c>
      <c r="E2094">
        <v>0.48537849999999999</v>
      </c>
      <c r="F2094" t="s">
        <v>48</v>
      </c>
      <c r="G2094">
        <v>-256.11810000000003</v>
      </c>
      <c r="H2094" s="1">
        <v>1.7189679999999999E-6</v>
      </c>
      <c r="I2094">
        <v>284.6216</v>
      </c>
      <c r="J2094">
        <v>-236.34119999999999</v>
      </c>
      <c r="K2094">
        <v>1.110638</v>
      </c>
      <c r="L2094">
        <v>284.85890000000001</v>
      </c>
      <c r="M2094">
        <v>-0.99944869999999997</v>
      </c>
      <c r="N2094">
        <v>0</v>
      </c>
      <c r="O2094">
        <v>-3.0087119999999998E-2</v>
      </c>
      <c r="P2094">
        <v>-0.97850919999999997</v>
      </c>
      <c r="Q2094">
        <v>0.20053979999999999</v>
      </c>
      <c r="R2094">
        <v>4.7995139999999999E-2</v>
      </c>
      <c r="S2094">
        <v>-3.1022029999999998</v>
      </c>
      <c r="T2094">
        <v>-0.17173050000000001</v>
      </c>
      <c r="U2094">
        <v>-3.80249E-2</v>
      </c>
      <c r="V2094">
        <v>7.740553E-2</v>
      </c>
      <c r="W2094">
        <v>0.2142348</v>
      </c>
      <c r="X2094">
        <v>0.97371039999999998</v>
      </c>
      <c r="Y2094">
        <v>1.7763669999999999E-2</v>
      </c>
      <c r="Z2094">
        <v>2.1553950000000001E-3</v>
      </c>
      <c r="AA2094">
        <v>0.9998399</v>
      </c>
      <c r="AB2094">
        <v>29</v>
      </c>
      <c r="AC2094">
        <v>-19.776900000000001</v>
      </c>
      <c r="AD2094">
        <v>-1.1106362810320001</v>
      </c>
      <c r="AE2094">
        <v>-0.23730000000000401</v>
      </c>
      <c r="AF2094">
        <v>0.35677104772337997</v>
      </c>
      <c r="AG2094">
        <v>-1.1106362810320001</v>
      </c>
      <c r="AH2094">
        <v>19.712924528055002</v>
      </c>
      <c r="AI2094">
        <v>93.224137652384201</v>
      </c>
      <c r="AJ2094">
        <v>88.963155171081695</v>
      </c>
      <c r="AK2094">
        <v>19.747409753636902</v>
      </c>
      <c r="AL2094">
        <v>77.629362097706903</v>
      </c>
      <c r="AM2094">
        <v>85.454805596976698</v>
      </c>
      <c r="AN2094">
        <v>1.0000000543368801</v>
      </c>
    </row>
    <row r="2095" spans="1:40" x14ac:dyDescent="0.25">
      <c r="A2095" t="str">
        <f>"20190312164030324"</f>
        <v>20190312164030324</v>
      </c>
      <c r="B2095" t="str">
        <f>"1552380030318015"</f>
        <v>1552380030318015</v>
      </c>
      <c r="C2095" t="s">
        <v>40</v>
      </c>
      <c r="D2095">
        <v>5.2560269999999996</v>
      </c>
      <c r="E2095">
        <v>0.48558570000000001</v>
      </c>
      <c r="F2095" t="s">
        <v>48</v>
      </c>
      <c r="G2095">
        <v>-254.5043</v>
      </c>
      <c r="H2095" s="1">
        <v>8.6017790000000002E-7</v>
      </c>
      <c r="I2095">
        <v>284.57330000000002</v>
      </c>
      <c r="J2095">
        <v>-236.64349999999999</v>
      </c>
      <c r="K2095">
        <v>1.110649</v>
      </c>
      <c r="L2095">
        <v>284.84969999999998</v>
      </c>
      <c r="M2095">
        <v>-0.99944719999999998</v>
      </c>
      <c r="N2095">
        <v>0</v>
      </c>
      <c r="O2095">
        <v>-3.0131539999999998E-2</v>
      </c>
      <c r="P2095">
        <v>-0.97839030000000005</v>
      </c>
      <c r="Q2095">
        <v>0.20109199999999999</v>
      </c>
      <c r="R2095">
        <v>4.8106000000000003E-2</v>
      </c>
      <c r="S2095">
        <v>-3.107208</v>
      </c>
      <c r="T2095">
        <v>-0.189999</v>
      </c>
      <c r="U2095">
        <v>-4.8858640000000002E-2</v>
      </c>
      <c r="V2095">
        <v>7.7556490000000006E-2</v>
      </c>
      <c r="W2095">
        <v>0.21479970000000001</v>
      </c>
      <c r="X2095">
        <v>0.97357389999999999</v>
      </c>
      <c r="Y2095">
        <v>1.4332579999999999E-2</v>
      </c>
      <c r="Z2095">
        <v>2.278277E-3</v>
      </c>
      <c r="AA2095">
        <v>0.99989470000000003</v>
      </c>
      <c r="AB2095">
        <v>29</v>
      </c>
      <c r="AC2095">
        <v>-17.860800000000001</v>
      </c>
      <c r="AD2095">
        <v>-1.1106481398221</v>
      </c>
      <c r="AE2095">
        <v>-0.27639999999996601</v>
      </c>
      <c r="AF2095">
        <v>0.26094328483214901</v>
      </c>
      <c r="AG2095">
        <v>-1.1106481398221</v>
      </c>
      <c r="AH2095">
        <v>17.792235282294001</v>
      </c>
      <c r="AI2095">
        <v>93.571567670853199</v>
      </c>
      <c r="AJ2095">
        <v>89.159752731799799</v>
      </c>
      <c r="AK2095">
        <v>17.828776374975799</v>
      </c>
      <c r="AL2095">
        <v>77.596223958385494</v>
      </c>
      <c r="AM2095">
        <v>85.445342778985506</v>
      </c>
      <c r="AN2095">
        <v>1.0000000295111999</v>
      </c>
    </row>
    <row r="2096" spans="1:40" x14ac:dyDescent="0.25">
      <c r="A2096" t="str">
        <f>"20190312164030347"</f>
        <v>20190312164030347</v>
      </c>
      <c r="B2096" t="str">
        <f>"1552380030338514"</f>
        <v>1552380030338514</v>
      </c>
      <c r="C2096" t="s">
        <v>40</v>
      </c>
      <c r="D2096">
        <v>5.1867720000000004</v>
      </c>
      <c r="E2096">
        <v>0.48563610000000001</v>
      </c>
      <c r="F2096" t="s">
        <v>48</v>
      </c>
      <c r="G2096">
        <v>-255.95339999999999</v>
      </c>
      <c r="H2096" s="1">
        <v>1.6312919999999999E-6</v>
      </c>
      <c r="I2096">
        <v>284.56619999999998</v>
      </c>
      <c r="J2096">
        <v>-236.9383</v>
      </c>
      <c r="K2096">
        <v>1.1106510000000001</v>
      </c>
      <c r="L2096">
        <v>284.8408</v>
      </c>
      <c r="M2096">
        <v>-0.9994459</v>
      </c>
      <c r="N2096">
        <v>0</v>
      </c>
      <c r="O2096">
        <v>-3.0167920000000001E-2</v>
      </c>
      <c r="P2096">
        <v>-0.97826639999999998</v>
      </c>
      <c r="Q2096">
        <v>0.20183680000000001</v>
      </c>
      <c r="R2096">
        <v>4.7504810000000001E-2</v>
      </c>
      <c r="S2096">
        <v>-3.1052089999999999</v>
      </c>
      <c r="T2096">
        <v>-0.17860229999999999</v>
      </c>
      <c r="U2096">
        <v>-4.5593259999999997E-2</v>
      </c>
      <c r="V2096">
        <v>7.6989569999999993E-2</v>
      </c>
      <c r="W2096">
        <v>0.2155541</v>
      </c>
      <c r="X2096">
        <v>0.97345219999999999</v>
      </c>
      <c r="Y2096">
        <v>1.5417780000000001E-2</v>
      </c>
      <c r="Z2096">
        <v>2.1765230000000001E-3</v>
      </c>
      <c r="AA2096">
        <v>0.99987879999999996</v>
      </c>
      <c r="AB2096">
        <v>29</v>
      </c>
      <c r="AC2096">
        <v>-19.015099999999901</v>
      </c>
      <c r="AD2096">
        <v>-1.1106493687079999</v>
      </c>
      <c r="AE2096">
        <v>-0.27460000000001999</v>
      </c>
      <c r="AF2096">
        <v>0.298210605051554</v>
      </c>
      <c r="AG2096">
        <v>-1.1106493687079999</v>
      </c>
      <c r="AH2096">
        <v>18.9500919466653</v>
      </c>
      <c r="AI2096">
        <v>93.353807301893099</v>
      </c>
      <c r="AJ2096">
        <v>89.098431874914198</v>
      </c>
      <c r="AK2096">
        <v>18.984953420333799</v>
      </c>
      <c r="AL2096">
        <v>77.551963791271504</v>
      </c>
      <c r="AM2096">
        <v>85.477934781999494</v>
      </c>
      <c r="AN2096">
        <v>1.00000007480021</v>
      </c>
    </row>
    <row r="2097" spans="1:40" x14ac:dyDescent="0.25">
      <c r="A2097" t="str">
        <f>"20190312164030368"</f>
        <v>20190312164030368</v>
      </c>
      <c r="B2097" t="str">
        <f>"1552380030358034"</f>
        <v>1552380030358034</v>
      </c>
      <c r="C2097" t="s">
        <v>40</v>
      </c>
      <c r="D2097">
        <v>5.2152750000000001</v>
      </c>
      <c r="E2097">
        <v>0.48568790000000001</v>
      </c>
      <c r="F2097" t="s">
        <v>48</v>
      </c>
      <c r="G2097">
        <v>-257.19690000000003</v>
      </c>
      <c r="H2097" s="1">
        <v>2.2930560000000002E-6</v>
      </c>
      <c r="I2097">
        <v>284.54000000000002</v>
      </c>
      <c r="J2097">
        <v>-237.22040000000001</v>
      </c>
      <c r="K2097">
        <v>1.1106590000000001</v>
      </c>
      <c r="L2097">
        <v>284.8322</v>
      </c>
      <c r="M2097">
        <v>-0.99944500000000003</v>
      </c>
      <c r="N2097">
        <v>0</v>
      </c>
      <c r="O2097">
        <v>-3.0194220000000001E-2</v>
      </c>
      <c r="P2097">
        <v>-0.97817149999999997</v>
      </c>
      <c r="Q2097">
        <v>0.2023655</v>
      </c>
      <c r="R2097">
        <v>4.7214520000000003E-2</v>
      </c>
      <c r="S2097">
        <v>-3.1040040000000002</v>
      </c>
      <c r="T2097">
        <v>-0.17017199999999999</v>
      </c>
      <c r="U2097">
        <v>-4.6081539999999997E-2</v>
      </c>
      <c r="V2097">
        <v>7.672582E-2</v>
      </c>
      <c r="W2097">
        <v>0.21608949999999999</v>
      </c>
      <c r="X2097">
        <v>0.97335419999999995</v>
      </c>
      <c r="Y2097">
        <v>1.528817E-2</v>
      </c>
      <c r="Z2097">
        <v>2.0726360000000001E-3</v>
      </c>
      <c r="AA2097">
        <v>0.99988100000000002</v>
      </c>
      <c r="AB2097">
        <v>29</v>
      </c>
      <c r="AC2097">
        <v>-19.976500000000001</v>
      </c>
      <c r="AD2097">
        <v>-1.1106567069439901</v>
      </c>
      <c r="AE2097">
        <v>-0.29219999999997898</v>
      </c>
      <c r="AF2097">
        <v>0.31020911456258998</v>
      </c>
      <c r="AG2097">
        <v>-1.1106567069439901</v>
      </c>
      <c r="AH2097">
        <v>19.914667376668401</v>
      </c>
      <c r="AI2097">
        <v>93.191737583344803</v>
      </c>
      <c r="AJ2097">
        <v>89.107580590357003</v>
      </c>
      <c r="AK2097">
        <v>19.948026587579498</v>
      </c>
      <c r="AL2097">
        <v>77.520545789258506</v>
      </c>
      <c r="AM2097">
        <v>85.492910625798302</v>
      </c>
      <c r="AN2097">
        <v>0.99999996106127997</v>
      </c>
    </row>
    <row r="2098" spans="1:40" x14ac:dyDescent="0.25">
      <c r="A2098" t="str">
        <f>"20190312164030393"</f>
        <v>20190312164030393</v>
      </c>
      <c r="B2098" t="str">
        <f>"1552380030388287"</f>
        <v>1552380030388287</v>
      </c>
      <c r="C2098" t="s">
        <v>40</v>
      </c>
      <c r="D2098">
        <v>5.2882369999999996</v>
      </c>
      <c r="E2098">
        <v>0.48570000000000002</v>
      </c>
      <c r="F2098" t="s">
        <v>48</v>
      </c>
      <c r="G2098">
        <v>-258.08699999999999</v>
      </c>
      <c r="H2098" s="1">
        <v>2.766735E-6</v>
      </c>
      <c r="I2098">
        <v>284.52460000000002</v>
      </c>
      <c r="J2098">
        <v>-237.53550000000001</v>
      </c>
      <c r="K2098">
        <v>1.110657</v>
      </c>
      <c r="L2098">
        <v>284.8227</v>
      </c>
      <c r="M2098">
        <v>-0.99944440000000001</v>
      </c>
      <c r="N2098">
        <v>0</v>
      </c>
      <c r="O2098">
        <v>-3.0213190000000001E-2</v>
      </c>
      <c r="P2098">
        <v>-0.97812699999999997</v>
      </c>
      <c r="Q2098">
        <v>0.20285819999999999</v>
      </c>
      <c r="R2098">
        <v>4.6003660000000002E-2</v>
      </c>
      <c r="S2098">
        <v>-3.1033170000000001</v>
      </c>
      <c r="T2098">
        <v>-0.165178399999999</v>
      </c>
      <c r="U2098">
        <v>-4.5745849999999998E-2</v>
      </c>
      <c r="V2098">
        <v>7.5537199999999999E-2</v>
      </c>
      <c r="W2098">
        <v>0.21658910000000001</v>
      </c>
      <c r="X2098">
        <v>0.97333619999999998</v>
      </c>
      <c r="Y2098">
        <v>1.5415720000000001E-2</v>
      </c>
      <c r="Z2098">
        <v>2.0167509999999998E-3</v>
      </c>
      <c r="AA2098">
        <v>0.99987910000000002</v>
      </c>
      <c r="AB2098">
        <v>29</v>
      </c>
      <c r="AC2098">
        <v>-20.551499999999901</v>
      </c>
      <c r="AD2098">
        <v>-1.110654233265</v>
      </c>
      <c r="AE2098">
        <v>-0.298099999999976</v>
      </c>
      <c r="AF2098">
        <v>0.32208351215333503</v>
      </c>
      <c r="AG2098">
        <v>-1.110654233265</v>
      </c>
      <c r="AH2098">
        <v>20.491289279531099</v>
      </c>
      <c r="AI2098">
        <v>93.102086767007506</v>
      </c>
      <c r="AJ2098">
        <v>89.099495100860906</v>
      </c>
      <c r="AK2098">
        <v>20.523894049426801</v>
      </c>
      <c r="AL2098">
        <v>77.491227391969304</v>
      </c>
      <c r="AM2098">
        <v>85.562370688972607</v>
      </c>
      <c r="AN2098">
        <v>1.0000000325265399</v>
      </c>
    </row>
    <row r="2099" spans="1:40" x14ac:dyDescent="0.25">
      <c r="A2099" t="str">
        <f>"20190312164030414"</f>
        <v>20190312164030414</v>
      </c>
      <c r="B2099" t="str">
        <f>"1552380030408783"</f>
        <v>1552380030408783</v>
      </c>
      <c r="C2099" t="s">
        <v>40</v>
      </c>
      <c r="D2099">
        <v>5.2901069999999999</v>
      </c>
      <c r="E2099">
        <v>0.4856953</v>
      </c>
      <c r="F2099" t="s">
        <v>48</v>
      </c>
      <c r="G2099">
        <v>-259.18819999999999</v>
      </c>
      <c r="H2099" s="1">
        <v>3.352721E-6</v>
      </c>
      <c r="I2099">
        <v>284.48320000000001</v>
      </c>
      <c r="J2099">
        <v>-237.81720000000001</v>
      </c>
      <c r="K2099">
        <v>1.110654</v>
      </c>
      <c r="L2099">
        <v>284.81420000000003</v>
      </c>
      <c r="M2099">
        <v>-0.99944390000000005</v>
      </c>
      <c r="N2099">
        <v>0</v>
      </c>
      <c r="O2099">
        <v>-3.022265E-2</v>
      </c>
      <c r="P2099">
        <v>-0.9782729</v>
      </c>
      <c r="Q2099">
        <v>0.20237620000000001</v>
      </c>
      <c r="R2099">
        <v>4.501645E-2</v>
      </c>
      <c r="S2099">
        <v>-3.1023559999999999</v>
      </c>
      <c r="T2099">
        <v>-0.15913189999999999</v>
      </c>
      <c r="U2099">
        <v>-4.8645019999999997E-2</v>
      </c>
      <c r="V2099">
        <v>7.4568040000000002E-2</v>
      </c>
      <c r="W2099">
        <v>0.21611420000000001</v>
      </c>
      <c r="X2099">
        <v>0.97351650000000001</v>
      </c>
      <c r="Y2099">
        <v>1.449224E-2</v>
      </c>
      <c r="Z2099">
        <v>1.9204230000000001E-3</v>
      </c>
      <c r="AA2099">
        <v>0.99989309999999998</v>
      </c>
      <c r="AB2099">
        <v>29</v>
      </c>
      <c r="AC2099">
        <v>-21.370999999999899</v>
      </c>
      <c r="AD2099">
        <v>-1.1106506472790001</v>
      </c>
      <c r="AE2099">
        <v>-0.331000000000017</v>
      </c>
      <c r="AF2099">
        <v>0.31425503350739098</v>
      </c>
      <c r="AG2099">
        <v>-1.1106506472790001</v>
      </c>
      <c r="AH2099">
        <v>21.313688389627899</v>
      </c>
      <c r="AI2099">
        <v>92.982646210582899</v>
      </c>
      <c r="AJ2099">
        <v>89.155276074651795</v>
      </c>
      <c r="AK2099">
        <v>21.3449200948738</v>
      </c>
      <c r="AL2099">
        <v>77.5190975621597</v>
      </c>
      <c r="AM2099">
        <v>85.619891640473696</v>
      </c>
      <c r="AN2099">
        <v>1.0000000579016599</v>
      </c>
    </row>
    <row r="2100" spans="1:40" x14ac:dyDescent="0.25">
      <c r="A2100" t="str">
        <f>"20190312164030437"</f>
        <v>20190312164030437</v>
      </c>
      <c r="B2100" t="str">
        <f>"1552380030428306"</f>
        <v>1552380030428306</v>
      </c>
      <c r="C2100" t="s">
        <v>40</v>
      </c>
      <c r="D2100">
        <v>5.1245180000000001</v>
      </c>
      <c r="E2100">
        <v>0.48573909999999998</v>
      </c>
      <c r="F2100" t="s">
        <v>48</v>
      </c>
      <c r="G2100">
        <v>-259.55059999999997</v>
      </c>
      <c r="H2100" s="1">
        <v>3.5455720000000001E-6</v>
      </c>
      <c r="I2100">
        <v>284.4588</v>
      </c>
      <c r="J2100">
        <v>-238.11199999999999</v>
      </c>
      <c r="K2100">
        <v>1.1106419999999999</v>
      </c>
      <c r="L2100">
        <v>284.80520000000001</v>
      </c>
      <c r="M2100">
        <v>-0.99944379999999999</v>
      </c>
      <c r="N2100">
        <v>0</v>
      </c>
      <c r="O2100">
        <v>-3.0225450000000001E-2</v>
      </c>
      <c r="P2100">
        <v>-0.97850040000000005</v>
      </c>
      <c r="Q2100">
        <v>0.20150119999999999</v>
      </c>
      <c r="R2100">
        <v>4.3988239999999998E-2</v>
      </c>
      <c r="S2100">
        <v>-3.1017299999999999</v>
      </c>
      <c r="T2100">
        <v>-0.1585085</v>
      </c>
      <c r="U2100">
        <v>-5.0720210000000002E-2</v>
      </c>
      <c r="V2100">
        <v>7.3552950000000006E-2</v>
      </c>
      <c r="W2100">
        <v>0.2152472</v>
      </c>
      <c r="X2100">
        <v>0.97378569999999998</v>
      </c>
      <c r="Y2100">
        <v>1.3824380000000001E-2</v>
      </c>
      <c r="Z2100">
        <v>1.8963719999999999E-3</v>
      </c>
      <c r="AA2100">
        <v>0.99990270000000003</v>
      </c>
      <c r="AB2100">
        <v>29</v>
      </c>
      <c r="AC2100">
        <v>-21.438599999999902</v>
      </c>
      <c r="AD2100">
        <v>-1.1106384544279999</v>
      </c>
      <c r="AE2100">
        <v>-0.34640000000001597</v>
      </c>
      <c r="AF2100">
        <v>0.30100632408127698</v>
      </c>
      <c r="AG2100">
        <v>-1.1106384544279999</v>
      </c>
      <c r="AH2100">
        <v>21.381903941558001</v>
      </c>
      <c r="AI2100">
        <v>92.973143579162297</v>
      </c>
      <c r="AJ2100">
        <v>89.193465050351307</v>
      </c>
      <c r="AK2100">
        <v>21.412845181096401</v>
      </c>
      <c r="AL2100">
        <v>77.569969508479403</v>
      </c>
      <c r="AM2100">
        <v>85.680480358503402</v>
      </c>
      <c r="AN2100">
        <v>0.999999991543016</v>
      </c>
    </row>
    <row r="2101" spans="1:40" x14ac:dyDescent="0.25">
      <c r="A2101" t="str">
        <f>"20190312164030458"</f>
        <v>20190312164030458</v>
      </c>
      <c r="B2101" t="str">
        <f>"1552380030447823"</f>
        <v>1552380030447823</v>
      </c>
      <c r="C2101" t="s">
        <v>40</v>
      </c>
      <c r="D2101">
        <v>5.2870189999999999</v>
      </c>
      <c r="E2101">
        <v>0.48571180000000003</v>
      </c>
      <c r="F2101" t="s">
        <v>48</v>
      </c>
      <c r="G2101">
        <v>-259.66840000000002</v>
      </c>
      <c r="H2101" s="1">
        <v>3.608237E-6</v>
      </c>
      <c r="I2101">
        <v>284.43340000000001</v>
      </c>
      <c r="J2101">
        <v>-238.38480000000001</v>
      </c>
      <c r="K2101">
        <v>1.1106370000000001</v>
      </c>
      <c r="L2101">
        <v>284.79700000000003</v>
      </c>
      <c r="M2101">
        <v>-0.99944390000000005</v>
      </c>
      <c r="N2101">
        <v>0</v>
      </c>
      <c r="O2101">
        <v>-3.021656E-2</v>
      </c>
      <c r="P2101">
        <v>-0.97860190000000002</v>
      </c>
      <c r="Q2101">
        <v>0.2012343</v>
      </c>
      <c r="R2101">
        <v>4.2929670000000003E-2</v>
      </c>
      <c r="S2101">
        <v>-3.1012270000000002</v>
      </c>
      <c r="T2101">
        <v>-0.15978299999999901</v>
      </c>
      <c r="U2101">
        <v>-5.3497309999999999E-2</v>
      </c>
      <c r="V2101">
        <v>7.2491990000000006E-2</v>
      </c>
      <c r="W2101">
        <v>0.21498510000000001</v>
      </c>
      <c r="X2101">
        <v>0.97392310000000004</v>
      </c>
      <c r="Y2101">
        <v>1.2917949999999999E-2</v>
      </c>
      <c r="Z2101">
        <v>1.8880990000000001E-3</v>
      </c>
      <c r="AA2101">
        <v>0.99991479999999999</v>
      </c>
      <c r="AB2101">
        <v>29</v>
      </c>
      <c r="AC2101">
        <v>-21.2836</v>
      </c>
      <c r="AD2101">
        <v>-1.110633391763</v>
      </c>
      <c r="AE2101">
        <v>-0.36360000000001902</v>
      </c>
      <c r="AF2101">
        <v>0.27898772138406602</v>
      </c>
      <c r="AG2101">
        <v>-1.110633391763</v>
      </c>
      <c r="AH2101">
        <v>21.2270823225664</v>
      </c>
      <c r="AI2101">
        <v>92.994813527279007</v>
      </c>
      <c r="AJ2101">
        <v>89.247004443428395</v>
      </c>
      <c r="AK2101">
        <v>21.257948269026201</v>
      </c>
      <c r="AL2101">
        <v>77.585346128111894</v>
      </c>
      <c r="AM2101">
        <v>85.743154669453702</v>
      </c>
      <c r="AN2101">
        <v>0.99999994327488795</v>
      </c>
    </row>
    <row r="2102" spans="1:40" x14ac:dyDescent="0.25">
      <c r="A2102" t="str">
        <f>"20190312164030480"</f>
        <v>20190312164030480</v>
      </c>
      <c r="B2102" t="str">
        <f>"1552380030468319"</f>
        <v>1552380030468319</v>
      </c>
      <c r="C2102" t="s">
        <v>40</v>
      </c>
      <c r="D2102">
        <v>5.1128280000000004</v>
      </c>
      <c r="E2102">
        <v>0.48583199999999999</v>
      </c>
      <c r="F2102" t="s">
        <v>48</v>
      </c>
      <c r="G2102">
        <v>-260.05950000000001</v>
      </c>
      <c r="H2102" s="1">
        <v>-1.505132E-6</v>
      </c>
      <c r="I2102">
        <v>284.40589999999997</v>
      </c>
      <c r="J2102">
        <v>-238.66829999999999</v>
      </c>
      <c r="K2102">
        <v>1.110636</v>
      </c>
      <c r="L2102">
        <v>284.78840000000002</v>
      </c>
      <c r="M2102">
        <v>-0.99944460000000002</v>
      </c>
      <c r="N2102">
        <v>0</v>
      </c>
      <c r="O2102">
        <v>-3.0193660000000001E-2</v>
      </c>
      <c r="P2102">
        <v>-0.97872550000000003</v>
      </c>
      <c r="Q2102">
        <v>0.20078409999999999</v>
      </c>
      <c r="R2102">
        <v>4.2213779999999999E-2</v>
      </c>
      <c r="S2102">
        <v>-3.1007389999999999</v>
      </c>
      <c r="T2102">
        <v>-0.158886</v>
      </c>
      <c r="U2102">
        <v>-5.5938719999999997E-2</v>
      </c>
      <c r="V2102">
        <v>7.1762220000000002E-2</v>
      </c>
      <c r="W2102">
        <v>0.21453839999999999</v>
      </c>
      <c r="X2102">
        <v>0.97407569999999999</v>
      </c>
      <c r="Y2102">
        <v>1.2107E-2</v>
      </c>
      <c r="Z2102">
        <v>1.855857E-3</v>
      </c>
      <c r="AA2102">
        <v>0.99992499999999995</v>
      </c>
      <c r="AB2102">
        <v>29</v>
      </c>
      <c r="AC2102">
        <v>-21.391200000000001</v>
      </c>
      <c r="AD2102">
        <v>-1.1106375051320001</v>
      </c>
      <c r="AE2102">
        <v>-0.38250000000004902</v>
      </c>
      <c r="AF2102">
        <v>0.26290876846204703</v>
      </c>
      <c r="AG2102">
        <v>-1.1106375051320001</v>
      </c>
      <c r="AH2102">
        <v>21.335499245680701</v>
      </c>
      <c r="AI2102">
        <v>92.979664873446097</v>
      </c>
      <c r="AJ2102">
        <v>89.294002906772207</v>
      </c>
      <c r="AK2102">
        <v>21.366004885115601</v>
      </c>
      <c r="AL2102">
        <v>77.6115524020489</v>
      </c>
      <c r="AM2102">
        <v>85.786510581986406</v>
      </c>
      <c r="AN2102">
        <v>1.00000000531218</v>
      </c>
    </row>
    <row r="2103" spans="1:40" x14ac:dyDescent="0.25">
      <c r="A2103" t="str">
        <f>"20190312164030502"</f>
        <v>20190312164030502</v>
      </c>
      <c r="B2103" t="str">
        <f>"1552380030498106"</f>
        <v>1552380030498106</v>
      </c>
      <c r="C2103" t="s">
        <v>40</v>
      </c>
      <c r="D2103">
        <v>5.1132119999999999</v>
      </c>
      <c r="E2103">
        <v>0.51586620000000005</v>
      </c>
      <c r="F2103" t="s">
        <v>48</v>
      </c>
      <c r="G2103">
        <v>-260.22030000000001</v>
      </c>
      <c r="H2103" s="1">
        <v>-1.4195379999999999E-6</v>
      </c>
      <c r="I2103">
        <v>284.39190000000002</v>
      </c>
      <c r="J2103">
        <v>-238.9622</v>
      </c>
      <c r="K2103">
        <v>1.110622</v>
      </c>
      <c r="L2103">
        <v>284.77960000000002</v>
      </c>
      <c r="M2103">
        <v>-0.99944569999999999</v>
      </c>
      <c r="N2103">
        <v>0</v>
      </c>
      <c r="O2103">
        <v>-3.0157380000000001E-2</v>
      </c>
      <c r="P2103">
        <v>-0.9787555</v>
      </c>
      <c r="Q2103">
        <v>0.20062920000000001</v>
      </c>
      <c r="R2103">
        <v>4.2259379999999999E-2</v>
      </c>
      <c r="S2103">
        <v>-3.1004640000000001</v>
      </c>
      <c r="T2103">
        <v>-0.159776</v>
      </c>
      <c r="U2103">
        <v>-5.7037350000000001E-2</v>
      </c>
      <c r="V2103">
        <v>7.1778910000000001E-2</v>
      </c>
      <c r="W2103">
        <v>0.2143843</v>
      </c>
      <c r="X2103">
        <v>0.97410839999999999</v>
      </c>
      <c r="Y2103">
        <v>1.1714830000000001E-2</v>
      </c>
      <c r="Z2103">
        <v>1.8544309999999999E-3</v>
      </c>
      <c r="AA2103">
        <v>0.99992970000000003</v>
      </c>
      <c r="AB2103">
        <v>29</v>
      </c>
      <c r="AC2103">
        <v>-21.258099999999999</v>
      </c>
      <c r="AD2103">
        <v>-1.110623419538</v>
      </c>
      <c r="AE2103">
        <v>-0.38769999999999499</v>
      </c>
      <c r="AF2103">
        <v>0.25293854817752398</v>
      </c>
      <c r="AG2103">
        <v>-1.110623419538</v>
      </c>
      <c r="AH2103">
        <v>21.202269706054299</v>
      </c>
      <c r="AI2103">
        <v>92.998330549710204</v>
      </c>
      <c r="AJ2103">
        <v>89.316506014117493</v>
      </c>
      <c r="AK2103">
        <v>21.232844910125699</v>
      </c>
      <c r="AL2103">
        <v>77.620592038199902</v>
      </c>
      <c r="AM2103">
        <v>85.785675132258405</v>
      </c>
      <c r="AN2103">
        <v>1.0000000074789099</v>
      </c>
    </row>
    <row r="2104" spans="1:40" x14ac:dyDescent="0.25">
      <c r="A2104" t="str">
        <f>"20190312164030525"</f>
        <v>20190312164030525</v>
      </c>
      <c r="B2104" t="str">
        <f>"1552380030518601"</f>
        <v>1552380030518601</v>
      </c>
      <c r="C2104" t="s">
        <v>40</v>
      </c>
      <c r="D2104">
        <v>5.1044</v>
      </c>
      <c r="E2104">
        <v>0.51600500000000005</v>
      </c>
      <c r="F2104" t="s">
        <v>42</v>
      </c>
      <c r="G2104">
        <v>-239.89949999999999</v>
      </c>
      <c r="H2104">
        <v>1.0453319999999999</v>
      </c>
      <c r="I2104">
        <v>284.83390000000003</v>
      </c>
      <c r="J2104">
        <v>-239.26130000000001</v>
      </c>
      <c r="K2104">
        <v>1.1106229999999999</v>
      </c>
      <c r="L2104">
        <v>284.7706</v>
      </c>
      <c r="M2104">
        <v>-0.99944699999999997</v>
      </c>
      <c r="N2104">
        <v>0</v>
      </c>
      <c r="O2104">
        <v>-3.0110729999999999E-2</v>
      </c>
      <c r="P2104">
        <v>-0.97886949999999995</v>
      </c>
      <c r="Q2104">
        <v>0.200187</v>
      </c>
      <c r="R2104">
        <v>4.1708769999999999E-2</v>
      </c>
      <c r="S2104">
        <v>-3.101639</v>
      </c>
      <c r="T2104">
        <v>-0.2160839</v>
      </c>
      <c r="U2104">
        <v>0.17950439999999901</v>
      </c>
      <c r="V2104">
        <v>7.1191309999999994E-2</v>
      </c>
      <c r="W2104">
        <v>0.2139441</v>
      </c>
      <c r="X2104">
        <v>0.97424829999999996</v>
      </c>
      <c r="Y2104">
        <v>8.7530289999999997E-2</v>
      </c>
      <c r="Z2104">
        <v>5.1366729999999996E-3</v>
      </c>
      <c r="AA2104">
        <v>0.99614860000000005</v>
      </c>
      <c r="AB2104">
        <v>29</v>
      </c>
      <c r="AC2104">
        <v>-0.638199999999983</v>
      </c>
      <c r="AD2104">
        <v>-6.5290999999999905E-2</v>
      </c>
      <c r="AE2104">
        <v>6.3300000000026502E-2</v>
      </c>
      <c r="AF2104">
        <v>8.1643690122311097E-2</v>
      </c>
      <c r="AG2104">
        <v>-6.5290999999999905E-2</v>
      </c>
      <c r="AH2104">
        <v>0.62948021977860802</v>
      </c>
      <c r="AI2104">
        <v>95.872820039909698</v>
      </c>
      <c r="AJ2104">
        <v>82.609982136938896</v>
      </c>
      <c r="AK2104">
        <v>0.63810183662979103</v>
      </c>
      <c r="AL2104">
        <v>77.646412838879201</v>
      </c>
      <c r="AM2104">
        <v>85.8206499660552</v>
      </c>
      <c r="AN2104">
        <v>1.0000000152985999</v>
      </c>
    </row>
    <row r="2105" spans="1:40" x14ac:dyDescent="0.25">
      <c r="A2105" t="str">
        <f>"20190312164030547"</f>
        <v>20190312164030547</v>
      </c>
      <c r="B2105" t="str">
        <f>"1552380030538121"</f>
        <v>1552380030538121</v>
      </c>
      <c r="C2105" t="s">
        <v>40</v>
      </c>
      <c r="D2105">
        <v>5.1037249999999998</v>
      </c>
      <c r="E2105">
        <v>0.5161808</v>
      </c>
      <c r="F2105" t="s">
        <v>42</v>
      </c>
      <c r="G2105">
        <v>-240.16229999999999</v>
      </c>
      <c r="H2105">
        <v>1.04993</v>
      </c>
      <c r="I2105">
        <v>284.82330000000002</v>
      </c>
      <c r="J2105">
        <v>-239.55019999999999</v>
      </c>
      <c r="K2105">
        <v>1.110619</v>
      </c>
      <c r="L2105">
        <v>284.76190000000003</v>
      </c>
      <c r="M2105">
        <v>-0.99944869999999997</v>
      </c>
      <c r="N2105">
        <v>0</v>
      </c>
      <c r="O2105">
        <v>-3.005853E-2</v>
      </c>
      <c r="P2105">
        <v>-0.97891459999999997</v>
      </c>
      <c r="Q2105">
        <v>0.20001769999999999</v>
      </c>
      <c r="R2105">
        <v>4.1465389999999998E-2</v>
      </c>
      <c r="S2105">
        <v>-3.0998540000000001</v>
      </c>
      <c r="T2105">
        <v>-0.20909130000000001</v>
      </c>
      <c r="U2105">
        <v>0.18011469999999999</v>
      </c>
      <c r="V2105">
        <v>7.090225E-2</v>
      </c>
      <c r="W2105">
        <v>0.21377550000000001</v>
      </c>
      <c r="X2105">
        <v>0.97430629999999996</v>
      </c>
      <c r="Y2105">
        <v>8.7724289999999996E-2</v>
      </c>
      <c r="Z2105">
        <v>4.9766709999999898E-3</v>
      </c>
      <c r="AA2105">
        <v>0.99613240000000003</v>
      </c>
      <c r="AB2105">
        <v>29</v>
      </c>
      <c r="AC2105">
        <v>-0.61209999999999798</v>
      </c>
      <c r="AD2105">
        <v>-6.0688999999999903E-2</v>
      </c>
      <c r="AE2105">
        <v>6.1399999999991899E-2</v>
      </c>
      <c r="AF2105">
        <v>7.90039943255708E-2</v>
      </c>
      <c r="AG2105">
        <v>-6.0688999999999903E-2</v>
      </c>
      <c r="AH2105">
        <v>0.60409816278510198</v>
      </c>
      <c r="AI2105">
        <v>95.688688971002094</v>
      </c>
      <c r="AJ2105">
        <v>82.549140862274399</v>
      </c>
      <c r="AK2105">
        <v>0.61225760601296797</v>
      </c>
      <c r="AL2105">
        <v>77.656300620534694</v>
      </c>
      <c r="AM2105">
        <v>85.837806645773995</v>
      </c>
      <c r="AN2105">
        <v>0.99999992983749797</v>
      </c>
    </row>
    <row r="2106" spans="1:40" x14ac:dyDescent="0.25">
      <c r="A2106" t="str">
        <f>"20190312164030570"</f>
        <v>20190312164030570</v>
      </c>
      <c r="B2106" t="str">
        <f>"1552380030558618"</f>
        <v>1552380030558618</v>
      </c>
      <c r="C2106" t="s">
        <v>40</v>
      </c>
      <c r="D2106">
        <v>5.1213499999999996</v>
      </c>
      <c r="E2106">
        <v>0.51687399999999994</v>
      </c>
      <c r="F2106" t="s">
        <v>42</v>
      </c>
      <c r="G2106">
        <v>-240.42230000000001</v>
      </c>
      <c r="H2106">
        <v>1.051823</v>
      </c>
      <c r="I2106">
        <v>284.8125</v>
      </c>
      <c r="J2106">
        <v>-239.8383</v>
      </c>
      <c r="K2106">
        <v>1.1106229999999999</v>
      </c>
      <c r="L2106">
        <v>284.75330000000002</v>
      </c>
      <c r="M2106">
        <v>-0.99945039999999996</v>
      </c>
      <c r="N2106">
        <v>0</v>
      </c>
      <c r="O2106">
        <v>-3.000135E-2</v>
      </c>
      <c r="P2106">
        <v>-0.97902769999999995</v>
      </c>
      <c r="Q2106">
        <v>0.19951820000000001</v>
      </c>
      <c r="R2106">
        <v>4.1198029999999997E-2</v>
      </c>
      <c r="S2106">
        <v>-3.0996700000000001</v>
      </c>
      <c r="T2106">
        <v>-0.2089107</v>
      </c>
      <c r="U2106">
        <v>0.18002319999999999</v>
      </c>
      <c r="V2106">
        <v>7.0584809999999998E-2</v>
      </c>
      <c r="W2106">
        <v>0.213278</v>
      </c>
      <c r="X2106">
        <v>0.97443840000000004</v>
      </c>
      <c r="Y2106">
        <v>8.7642129999999999E-2</v>
      </c>
      <c r="Z2106">
        <v>4.9660679999999997E-3</v>
      </c>
      <c r="AA2106">
        <v>0.99613960000000001</v>
      </c>
      <c r="AB2106">
        <v>29</v>
      </c>
      <c r="AC2106">
        <v>-0.58400000000000296</v>
      </c>
      <c r="AD2106">
        <v>-5.8799999999999901E-2</v>
      </c>
      <c r="AE2106">
        <v>5.9199999999975703E-2</v>
      </c>
      <c r="AF2106">
        <v>7.5933929506640893E-2</v>
      </c>
      <c r="AG2106">
        <v>-5.8799999999999901E-2</v>
      </c>
      <c r="AH2106">
        <v>0.57617922779571396</v>
      </c>
      <c r="AI2106">
        <v>95.777339394076293</v>
      </c>
      <c r="AJ2106">
        <v>82.492327496286606</v>
      </c>
      <c r="AK2106">
        <v>0.58412832853199703</v>
      </c>
      <c r="AL2106">
        <v>77.685478541965793</v>
      </c>
      <c r="AM2106">
        <v>85.856936132039806</v>
      </c>
      <c r="AN2106">
        <v>0.99999995804064701</v>
      </c>
    </row>
    <row r="2107" spans="1:40" x14ac:dyDescent="0.25">
      <c r="A2107" t="str">
        <f>"20190312164030593"</f>
        <v>20190312164030593</v>
      </c>
      <c r="B2107" t="str">
        <f>"1552380030588404"</f>
        <v>1552380030588404</v>
      </c>
      <c r="C2107" t="s">
        <v>40</v>
      </c>
      <c r="D2107">
        <v>5.0879370000000002</v>
      </c>
      <c r="E2107">
        <v>0.51719919999999997</v>
      </c>
      <c r="F2107" t="s">
        <v>42</v>
      </c>
      <c r="G2107">
        <v>-240.68430000000001</v>
      </c>
      <c r="H2107">
        <v>1.053061</v>
      </c>
      <c r="I2107">
        <v>284.80430000000001</v>
      </c>
      <c r="J2107">
        <v>-240.1379</v>
      </c>
      <c r="K2107">
        <v>1.110627</v>
      </c>
      <c r="L2107">
        <v>284.74439999999998</v>
      </c>
      <c r="M2107">
        <v>-0.99945229999999996</v>
      </c>
      <c r="N2107">
        <v>0</v>
      </c>
      <c r="O2107">
        <v>-2.9938469999999998E-2</v>
      </c>
      <c r="P2107">
        <v>-0.97895299999999996</v>
      </c>
      <c r="Q2107">
        <v>0.19984730000000001</v>
      </c>
      <c r="R2107">
        <v>4.1380930000000003E-2</v>
      </c>
      <c r="S2107">
        <v>-3.099472</v>
      </c>
      <c r="T2107">
        <v>-0.2111286</v>
      </c>
      <c r="U2107">
        <v>0.18560789999999999</v>
      </c>
      <c r="V2107">
        <v>7.0705240000000003E-2</v>
      </c>
      <c r="W2107">
        <v>0.21360180000000001</v>
      </c>
      <c r="X2107">
        <v>0.97435879999999997</v>
      </c>
      <c r="Y2107">
        <v>8.9362150000000001E-2</v>
      </c>
      <c r="Z2107">
        <v>5.072923E-3</v>
      </c>
      <c r="AA2107">
        <v>0.99598629999999999</v>
      </c>
      <c r="AB2107">
        <v>29</v>
      </c>
      <c r="AC2107">
        <v>-0.54640000000000499</v>
      </c>
      <c r="AD2107">
        <v>-5.7565999999999999E-2</v>
      </c>
      <c r="AE2107">
        <v>5.9900000000027299E-2</v>
      </c>
      <c r="AF2107">
        <v>7.5406105542830199E-2</v>
      </c>
      <c r="AG2107">
        <v>-5.7565999999999999E-2</v>
      </c>
      <c r="AH2107">
        <v>0.538455815324269</v>
      </c>
      <c r="AI2107">
        <v>96.043747035070197</v>
      </c>
      <c r="AJ2107">
        <v>82.028063242260799</v>
      </c>
      <c r="AK2107">
        <v>0.54674911080463495</v>
      </c>
      <c r="AL2107">
        <v>77.666489286603095</v>
      </c>
      <c r="AM2107">
        <v>85.849554162656702</v>
      </c>
      <c r="AN2107">
        <v>1.0000000155320601</v>
      </c>
    </row>
    <row r="2108" spans="1:40" x14ac:dyDescent="0.25">
      <c r="A2108" t="str">
        <f>"20190312164030615"</f>
        <v>20190312164030615</v>
      </c>
      <c r="B2108" t="str">
        <f>"1552380030607924"</f>
        <v>1552380030607924</v>
      </c>
      <c r="C2108" t="s">
        <v>40</v>
      </c>
      <c r="D2108">
        <v>5.070805</v>
      </c>
      <c r="E2108">
        <v>0.51726479999999997</v>
      </c>
      <c r="F2108" t="s">
        <v>48</v>
      </c>
      <c r="G2108">
        <v>-256.60890000000001</v>
      </c>
      <c r="H2108" s="1">
        <v>1.9801299999999999E-6</v>
      </c>
      <c r="I2108">
        <v>285.75599999999997</v>
      </c>
      <c r="J2108">
        <v>-240.42769999999999</v>
      </c>
      <c r="K2108">
        <v>1.110625</v>
      </c>
      <c r="L2108">
        <v>284.73579999999998</v>
      </c>
      <c r="M2108">
        <v>-0.99945410000000001</v>
      </c>
      <c r="N2108">
        <v>0</v>
      </c>
      <c r="O2108">
        <v>-2.987652E-2</v>
      </c>
      <c r="P2108">
        <v>-0.97888929999999996</v>
      </c>
      <c r="Q2108">
        <v>0.200101</v>
      </c>
      <c r="R2108">
        <v>4.1655449999999997E-2</v>
      </c>
      <c r="S2108">
        <v>-3.0991209999999998</v>
      </c>
      <c r="T2108">
        <v>-0.20897070000000001</v>
      </c>
      <c r="U2108">
        <v>0.19033810000000001</v>
      </c>
      <c r="V2108">
        <v>7.0917670000000002E-2</v>
      </c>
      <c r="W2108">
        <v>0.21384590000000001</v>
      </c>
      <c r="X2108">
        <v>0.97428979999999998</v>
      </c>
      <c r="Y2108">
        <v>9.0824080000000001E-2</v>
      </c>
      <c r="Z2108">
        <v>5.0665559999999998E-3</v>
      </c>
      <c r="AA2108">
        <v>0.99585409999999996</v>
      </c>
      <c r="AB2108">
        <v>29</v>
      </c>
      <c r="AC2108">
        <v>-16.1812</v>
      </c>
      <c r="AD2108">
        <v>-1.11062301987</v>
      </c>
      <c r="AE2108">
        <v>1.02019999999998</v>
      </c>
      <c r="AF2108">
        <v>1.4962098020567101</v>
      </c>
      <c r="AG2108">
        <v>-1.11062301987</v>
      </c>
      <c r="AH2108">
        <v>16.068095296972601</v>
      </c>
      <c r="AI2108">
        <v>93.937004592703005</v>
      </c>
      <c r="AJ2108">
        <v>84.680140012870496</v>
      </c>
      <c r="AK2108">
        <v>16.175778612995099</v>
      </c>
      <c r="AL2108">
        <v>77.652172387503498</v>
      </c>
      <c r="AM2108">
        <v>85.836834367898703</v>
      </c>
      <c r="AN2108">
        <v>0.999999999624539</v>
      </c>
    </row>
    <row r="2109" spans="1:40" x14ac:dyDescent="0.25">
      <c r="A2109" t="str">
        <f>"20190312164030637"</f>
        <v>20190312164030637</v>
      </c>
      <c r="B2109" t="str">
        <f>"1552380030628423"</f>
        <v>1552380030628423</v>
      </c>
      <c r="C2109" t="s">
        <v>40</v>
      </c>
      <c r="D2109">
        <v>5.0705140000000002</v>
      </c>
      <c r="E2109">
        <v>0.51732670000000003</v>
      </c>
      <c r="F2109" t="s">
        <v>48</v>
      </c>
      <c r="G2109">
        <v>-256.82459999999998</v>
      </c>
      <c r="H2109" s="1">
        <v>2.094912E-6</v>
      </c>
      <c r="I2109">
        <v>285.75110000000001</v>
      </c>
      <c r="J2109">
        <v>-240.70650000000001</v>
      </c>
      <c r="K2109">
        <v>1.1106199999999999</v>
      </c>
      <c r="L2109">
        <v>284.72750000000002</v>
      </c>
      <c r="M2109">
        <v>-0.99945620000000002</v>
      </c>
      <c r="N2109">
        <v>0</v>
      </c>
      <c r="O2109">
        <v>-2.9816479999999999E-2</v>
      </c>
      <c r="P2109">
        <v>-0.97890540000000004</v>
      </c>
      <c r="Q2109">
        <v>0.2000219</v>
      </c>
      <c r="R2109">
        <v>4.1660780000000001E-2</v>
      </c>
      <c r="S2109">
        <v>-3.0994259999999998</v>
      </c>
      <c r="T2109">
        <v>-0.2099364</v>
      </c>
      <c r="U2109">
        <v>0.19192500000000001</v>
      </c>
      <c r="V2109">
        <v>7.0865460000000005E-2</v>
      </c>
      <c r="W2109">
        <v>0.2137569</v>
      </c>
      <c r="X2109">
        <v>0.97431310000000004</v>
      </c>
      <c r="Y2109">
        <v>9.1262839999999998E-2</v>
      </c>
      <c r="Z2109">
        <v>5.1001090000000002E-3</v>
      </c>
      <c r="AA2109">
        <v>0.99581379999999997</v>
      </c>
      <c r="AB2109">
        <v>29</v>
      </c>
      <c r="AC2109">
        <v>-16.118099999999899</v>
      </c>
      <c r="AD2109">
        <v>-1.1106179050880001</v>
      </c>
      <c r="AE2109">
        <v>1.0235999999999801</v>
      </c>
      <c r="AF2109">
        <v>1.4966998277444299</v>
      </c>
      <c r="AG2109">
        <v>-1.1106179050880001</v>
      </c>
      <c r="AH2109">
        <v>16.0047255174489</v>
      </c>
      <c r="AI2109">
        <v>93.952379934288501</v>
      </c>
      <c r="AJ2109">
        <v>84.657458847578198</v>
      </c>
      <c r="AK2109">
        <v>16.112877501996699</v>
      </c>
      <c r="AL2109">
        <v>77.657392058360998</v>
      </c>
      <c r="AM2109">
        <v>85.839987686810602</v>
      </c>
      <c r="AN2109">
        <v>0.99999997127511497</v>
      </c>
    </row>
    <row r="2110" spans="1:40" x14ac:dyDescent="0.25">
      <c r="A2110" t="str">
        <f>"20190312164030659"</f>
        <v>20190312164030659</v>
      </c>
      <c r="B2110" t="str">
        <f>"1552380030647943"</f>
        <v>1552380030647943</v>
      </c>
      <c r="C2110" t="s">
        <v>40</v>
      </c>
      <c r="D2110">
        <v>5.0572330000000001</v>
      </c>
      <c r="E2110">
        <v>0.51741380000000003</v>
      </c>
      <c r="F2110" t="s">
        <v>48</v>
      </c>
      <c r="G2110">
        <v>-257.15179999999998</v>
      </c>
      <c r="H2110" s="1">
        <v>2.2690569999999999E-6</v>
      </c>
      <c r="I2110">
        <v>285.75529999999998</v>
      </c>
      <c r="J2110">
        <v>-240.98240000000001</v>
      </c>
      <c r="K2110">
        <v>1.110611</v>
      </c>
      <c r="L2110">
        <v>284.71929999999998</v>
      </c>
      <c r="M2110">
        <v>-0.99945819999999996</v>
      </c>
      <c r="N2110">
        <v>0</v>
      </c>
      <c r="O2110">
        <v>-2.975599E-2</v>
      </c>
      <c r="P2110">
        <v>-0.978931</v>
      </c>
      <c r="Q2110">
        <v>0.1999551</v>
      </c>
      <c r="R2110">
        <v>4.1376410000000002E-2</v>
      </c>
      <c r="S2110">
        <v>-3.099167</v>
      </c>
      <c r="T2110">
        <v>-0.20929909999999999</v>
      </c>
      <c r="U2110">
        <v>0.19369510000000001</v>
      </c>
      <c r="V2110">
        <v>7.0523550000000004E-2</v>
      </c>
      <c r="W2110">
        <v>0.21367069999999999</v>
      </c>
      <c r="X2110">
        <v>0.97435680000000002</v>
      </c>
      <c r="Y2110">
        <v>9.1774880000000003E-2</v>
      </c>
      <c r="Z2110">
        <v>5.0981769999999997E-3</v>
      </c>
      <c r="AA2110">
        <v>0.99576679999999995</v>
      </c>
      <c r="AB2110">
        <v>29</v>
      </c>
      <c r="AC2110">
        <v>-16.1693999999999</v>
      </c>
      <c r="AD2110">
        <v>-1.1106087309429999</v>
      </c>
      <c r="AE2110">
        <v>1.036</v>
      </c>
      <c r="AF2110">
        <v>1.50963233692054</v>
      </c>
      <c r="AG2110">
        <v>-1.1106087309429999</v>
      </c>
      <c r="AH2110">
        <v>16.0559701275441</v>
      </c>
      <c r="AI2110">
        <v>93.9395876947125</v>
      </c>
      <c r="AJ2110">
        <v>84.628663310801301</v>
      </c>
      <c r="AK2110">
        <v>16.164981233595999</v>
      </c>
      <c r="AL2110">
        <v>77.6624475739373</v>
      </c>
      <c r="AM2110">
        <v>85.860173893559704</v>
      </c>
      <c r="AN2110">
        <v>0.99999995642466499</v>
      </c>
    </row>
    <row r="2111" spans="1:40" x14ac:dyDescent="0.25">
      <c r="A2111" t="str">
        <f>"20190312164030681"</f>
        <v>20190312164030681</v>
      </c>
      <c r="B2111" t="str">
        <f>"1552380030678196"</f>
        <v>1552380030678196</v>
      </c>
      <c r="C2111" t="s">
        <v>40</v>
      </c>
      <c r="D2111">
        <v>5.206277</v>
      </c>
      <c r="E2111">
        <v>0.51749029999999996</v>
      </c>
      <c r="F2111" t="s">
        <v>42</v>
      </c>
      <c r="G2111">
        <v>-241.96129999999999</v>
      </c>
      <c r="H2111">
        <v>1.043968</v>
      </c>
      <c r="I2111">
        <v>284.78059999999999</v>
      </c>
      <c r="J2111">
        <v>-241.2654</v>
      </c>
      <c r="K2111">
        <v>1.1106039999999999</v>
      </c>
      <c r="L2111">
        <v>284.71089999999998</v>
      </c>
      <c r="M2111">
        <v>-0.99946080000000004</v>
      </c>
      <c r="N2111">
        <v>0</v>
      </c>
      <c r="O2111">
        <v>-2.968898E-2</v>
      </c>
      <c r="P2111">
        <v>-0.97901939999999998</v>
      </c>
      <c r="Q2111">
        <v>0.1996289</v>
      </c>
      <c r="R2111">
        <v>4.0861969999999997E-2</v>
      </c>
      <c r="S2111">
        <v>-3.0994259999999998</v>
      </c>
      <c r="T2111">
        <v>-0.21095059999999999</v>
      </c>
      <c r="U2111">
        <v>0.19424440000000001</v>
      </c>
      <c r="V2111">
        <v>6.9948800000000005E-2</v>
      </c>
      <c r="W2111">
        <v>0.2133176</v>
      </c>
      <c r="X2111">
        <v>0.9744756</v>
      </c>
      <c r="Y2111">
        <v>9.1874289999999997E-2</v>
      </c>
      <c r="Z2111">
        <v>5.1366800000000002E-3</v>
      </c>
      <c r="AA2111">
        <v>0.99575729999999996</v>
      </c>
      <c r="AB2111">
        <v>29</v>
      </c>
      <c r="AC2111">
        <v>-0.69589999999999397</v>
      </c>
      <c r="AD2111">
        <v>-6.6636000000000098E-2</v>
      </c>
      <c r="AE2111">
        <v>6.97000000000116E-2</v>
      </c>
      <c r="AF2111">
        <v>8.9519208806666195E-2</v>
      </c>
      <c r="AG2111">
        <v>-6.6636000000000098E-2</v>
      </c>
      <c r="AH2111">
        <v>0.687284496676698</v>
      </c>
      <c r="AI2111">
        <v>95.491729589295403</v>
      </c>
      <c r="AJ2111">
        <v>82.578969383469399</v>
      </c>
      <c r="AK2111">
        <v>0.69628587851076995</v>
      </c>
      <c r="AL2111">
        <v>77.683156260228401</v>
      </c>
      <c r="AM2111">
        <v>85.894295488036306</v>
      </c>
      <c r="AN2111">
        <v>0.99999996404327895</v>
      </c>
    </row>
    <row r="2112" spans="1:40" x14ac:dyDescent="0.25">
      <c r="A2112" t="str">
        <f>"20190312164030704"</f>
        <v>20190312164030704</v>
      </c>
      <c r="B2112" t="str">
        <f>"1552380030698692"</f>
        <v>1552380030698692</v>
      </c>
      <c r="C2112" t="s">
        <v>40</v>
      </c>
      <c r="D2112">
        <v>5.0724080000000002</v>
      </c>
      <c r="E2112">
        <v>0.51805369999999995</v>
      </c>
      <c r="F2112" t="s">
        <v>42</v>
      </c>
      <c r="G2112">
        <v>-242.21899999999999</v>
      </c>
      <c r="H2112">
        <v>1.0452790000000001</v>
      </c>
      <c r="I2112">
        <v>284.77089999999998</v>
      </c>
      <c r="J2112">
        <v>-241.56370000000001</v>
      </c>
      <c r="K2112">
        <v>1.110587</v>
      </c>
      <c r="L2112">
        <v>284.70209999999997</v>
      </c>
      <c r="M2112">
        <v>-0.9994634</v>
      </c>
      <c r="N2112">
        <v>0</v>
      </c>
      <c r="O2112">
        <v>-2.9611539999999999E-2</v>
      </c>
      <c r="P2112">
        <v>-0.97906199999999999</v>
      </c>
      <c r="Q2112">
        <v>0.1995606</v>
      </c>
      <c r="R2112">
        <v>4.0169030000000001E-2</v>
      </c>
      <c r="S2112">
        <v>-3.0995330000000001</v>
      </c>
      <c r="T2112">
        <v>-0.2125216</v>
      </c>
      <c r="U2112">
        <v>0.19409180000000001</v>
      </c>
      <c r="V2112">
        <v>6.9184560000000006E-2</v>
      </c>
      <c r="W2112">
        <v>0.2132175</v>
      </c>
      <c r="X2112">
        <v>0.97455210000000003</v>
      </c>
      <c r="Y2112">
        <v>9.1742489999999996E-2</v>
      </c>
      <c r="Z2112">
        <v>5.1648650000000003E-3</v>
      </c>
      <c r="AA2112">
        <v>0.99576940000000003</v>
      </c>
      <c r="AB2112">
        <v>29</v>
      </c>
      <c r="AC2112">
        <v>-0.65530000000001098</v>
      </c>
      <c r="AD2112">
        <v>-6.5307999999999894E-2</v>
      </c>
      <c r="AE2112">
        <v>6.8800000000010103E-2</v>
      </c>
      <c r="AF2112">
        <v>8.7318347277482097E-2</v>
      </c>
      <c r="AG2112">
        <v>-6.5307999999999894E-2</v>
      </c>
      <c r="AH2112">
        <v>0.646622643338434</v>
      </c>
      <c r="AI2112">
        <v>95.715708396374794</v>
      </c>
      <c r="AJ2112">
        <v>82.309438444422199</v>
      </c>
      <c r="AK2112">
        <v>0.65575183683559302</v>
      </c>
      <c r="AL2112">
        <v>77.689027080003598</v>
      </c>
      <c r="AM2112">
        <v>85.939320012339394</v>
      </c>
      <c r="AN2112">
        <v>1.0000000006315199</v>
      </c>
    </row>
    <row r="2113" spans="1:40" x14ac:dyDescent="0.25">
      <c r="A2113" t="str">
        <f>"20190312164030726"</f>
        <v>20190312164030726</v>
      </c>
      <c r="B2113" t="str">
        <f>"1552380030718215"</f>
        <v>1552380030718215</v>
      </c>
      <c r="C2113" t="s">
        <v>40</v>
      </c>
      <c r="D2113">
        <v>5.0813220000000001</v>
      </c>
      <c r="E2113">
        <v>0.51826570000000005</v>
      </c>
      <c r="F2113" t="s">
        <v>48</v>
      </c>
      <c r="G2113">
        <v>-268.5317</v>
      </c>
      <c r="H2113" s="1">
        <v>3.0033440000000001E-6</v>
      </c>
      <c r="I2113">
        <v>286.49759999999998</v>
      </c>
      <c r="J2113">
        <v>-241.85130000000001</v>
      </c>
      <c r="K2113">
        <v>1.110581</v>
      </c>
      <c r="L2113">
        <v>284.69369999999998</v>
      </c>
      <c r="M2113">
        <v>-0.99946650000000004</v>
      </c>
      <c r="N2113">
        <v>0</v>
      </c>
      <c r="O2113">
        <v>-2.952511E-2</v>
      </c>
      <c r="P2113">
        <v>-0.97909919999999995</v>
      </c>
      <c r="Q2113">
        <v>0.19961229999999999</v>
      </c>
      <c r="R2113">
        <v>3.8985859999999997E-2</v>
      </c>
      <c r="S2113">
        <v>-3.0815890000000001</v>
      </c>
      <c r="T2113">
        <v>-0.12690470000000001</v>
      </c>
      <c r="U2113">
        <v>0.20516970000000001</v>
      </c>
      <c r="V2113">
        <v>6.7922440000000001E-2</v>
      </c>
      <c r="W2113">
        <v>0.21323510000000001</v>
      </c>
      <c r="X2113">
        <v>0.97463699999999998</v>
      </c>
      <c r="Y2113">
        <v>9.5760150000000002E-2</v>
      </c>
      <c r="Z2113">
        <v>3.1830840000000001E-3</v>
      </c>
      <c r="AA2113">
        <v>0.99539940000000005</v>
      </c>
      <c r="AB2113">
        <v>29</v>
      </c>
      <c r="AC2113">
        <v>-26.680399999999899</v>
      </c>
      <c r="AD2113">
        <v>-1.1105779966560001</v>
      </c>
      <c r="AE2113">
        <v>1.8038999999999901</v>
      </c>
      <c r="AF2113">
        <v>2.5864708879012701</v>
      </c>
      <c r="AG2113">
        <v>-1.1105779966560001</v>
      </c>
      <c r="AH2113">
        <v>26.5696738412103</v>
      </c>
      <c r="AI2113">
        <v>92.382248326822605</v>
      </c>
      <c r="AJ2113">
        <v>84.439962032090804</v>
      </c>
      <c r="AK2113">
        <v>26.718360413186101</v>
      </c>
      <c r="AL2113">
        <v>77.687994601769404</v>
      </c>
      <c r="AM2113">
        <v>86.013503257194202</v>
      </c>
      <c r="AN2113">
        <v>0.99999997374828098</v>
      </c>
    </row>
    <row r="2114" spans="1:40" x14ac:dyDescent="0.25">
      <c r="A2114" t="str">
        <f>"20190312164030738"</f>
        <v>20190312164030738</v>
      </c>
      <c r="B2114" t="str">
        <f>"1552380030727972"</f>
        <v>1552380030727972</v>
      </c>
      <c r="C2114" t="s">
        <v>40</v>
      </c>
      <c r="D2114">
        <v>5.0944839999999996</v>
      </c>
      <c r="E2114">
        <v>0.51849970000000001</v>
      </c>
      <c r="F2114" t="s">
        <v>48</v>
      </c>
      <c r="G2114">
        <v>-269.22820000000002</v>
      </c>
      <c r="H2114" s="1">
        <v>3.3739929999999998E-6</v>
      </c>
      <c r="I2114">
        <v>286.50729999999999</v>
      </c>
      <c r="J2114">
        <v>-242.00540000000001</v>
      </c>
      <c r="K2114">
        <v>1.110574</v>
      </c>
      <c r="L2114">
        <v>284.68920000000003</v>
      </c>
      <c r="M2114">
        <v>-0.99946829999999998</v>
      </c>
      <c r="N2114">
        <v>0</v>
      </c>
      <c r="O2114">
        <v>-2.9473639999999999E-2</v>
      </c>
      <c r="P2114">
        <v>-0.97915949999999996</v>
      </c>
      <c r="Q2114">
        <v>0.19944239999999999</v>
      </c>
      <c r="R2114">
        <v>3.8337009999999998E-2</v>
      </c>
      <c r="S2114">
        <v>-3.081375</v>
      </c>
      <c r="T2114">
        <v>-0.12499979999999999</v>
      </c>
      <c r="U2114">
        <v>0.20413210000000001</v>
      </c>
      <c r="V2114">
        <v>6.7227770000000006E-2</v>
      </c>
      <c r="W2114">
        <v>0.2130464</v>
      </c>
      <c r="X2114">
        <v>0.97472639999999999</v>
      </c>
      <c r="Y2114">
        <v>9.5383209999999996E-2</v>
      </c>
      <c r="Z2114">
        <v>3.125872E-3</v>
      </c>
      <c r="AA2114">
        <v>0.99543570000000003</v>
      </c>
      <c r="AB2114">
        <v>29</v>
      </c>
      <c r="AC2114">
        <v>-27.222799999999999</v>
      </c>
      <c r="AD2114">
        <v>-1.1105706260070001</v>
      </c>
      <c r="AE2114">
        <v>1.8180999999999501</v>
      </c>
      <c r="AF2114">
        <v>2.6154095542948901</v>
      </c>
      <c r="AG2114">
        <v>-1.1105706260070001</v>
      </c>
      <c r="AH2114">
        <v>27.112457344032201</v>
      </c>
      <c r="AI2114">
        <v>92.334791601138605</v>
      </c>
      <c r="AJ2114">
        <v>84.489998173664006</v>
      </c>
      <c r="AK2114">
        <v>27.2609441781463</v>
      </c>
      <c r="AL2114">
        <v>77.699060276810798</v>
      </c>
      <c r="AM2114">
        <v>86.054506064723498</v>
      </c>
      <c r="AN2114">
        <v>0.99999994823454497</v>
      </c>
    </row>
    <row r="2115" spans="1:40" x14ac:dyDescent="0.25">
      <c r="A2115" t="str">
        <f>"20190312164030759"</f>
        <v>20190312164030759</v>
      </c>
      <c r="B2115" t="str">
        <f>"1552380030748471"</f>
        <v>1552380030748471</v>
      </c>
      <c r="C2115" t="s">
        <v>40</v>
      </c>
      <c r="D2115">
        <v>5.116187</v>
      </c>
      <c r="E2115">
        <v>0.51942069999999996</v>
      </c>
      <c r="F2115" t="s">
        <v>48</v>
      </c>
      <c r="G2115">
        <v>-269.24419999999998</v>
      </c>
      <c r="H2115" s="1">
        <v>3.382529E-6</v>
      </c>
      <c r="I2115">
        <v>286.4982</v>
      </c>
      <c r="J2115">
        <v>-242.2714</v>
      </c>
      <c r="K2115">
        <v>1.110557</v>
      </c>
      <c r="L2115">
        <v>284.6814</v>
      </c>
      <c r="M2115">
        <v>-0.99947209999999997</v>
      </c>
      <c r="N2115">
        <v>0</v>
      </c>
      <c r="O2115">
        <v>-2.9366739999999999E-2</v>
      </c>
      <c r="P2115">
        <v>-0.97922810000000005</v>
      </c>
      <c r="Q2115">
        <v>0.19932739999999999</v>
      </c>
      <c r="R2115">
        <v>3.71644E-2</v>
      </c>
      <c r="S2115">
        <v>-3.0814360000000001</v>
      </c>
      <c r="T2115">
        <v>-0.12563530000000001</v>
      </c>
      <c r="U2115">
        <v>0.2046509</v>
      </c>
      <c r="V2115">
        <v>6.5959279999999995E-2</v>
      </c>
      <c r="W2115">
        <v>0.2128941</v>
      </c>
      <c r="X2115">
        <v>0.9748464</v>
      </c>
      <c r="Y2115">
        <v>9.5441289999999998E-2</v>
      </c>
      <c r="Z2115">
        <v>3.1385010000000001E-3</v>
      </c>
      <c r="AA2115">
        <v>0.99543009999999998</v>
      </c>
      <c r="AB2115">
        <v>29</v>
      </c>
      <c r="AC2115">
        <v>-26.9727999999999</v>
      </c>
      <c r="AD2115">
        <v>-1.110553617471</v>
      </c>
      <c r="AE2115">
        <v>1.8168</v>
      </c>
      <c r="AF2115">
        <v>2.6038018793808599</v>
      </c>
      <c r="AG2115">
        <v>-1.110553617471</v>
      </c>
      <c r="AH2115">
        <v>26.862473622826499</v>
      </c>
      <c r="AI2115">
        <v>92.356353885572801</v>
      </c>
      <c r="AJ2115">
        <v>84.463568611639801</v>
      </c>
      <c r="AK2115">
        <v>27.0112125366744</v>
      </c>
      <c r="AL2115">
        <v>77.707992135449402</v>
      </c>
      <c r="AM2115">
        <v>86.129198339859201</v>
      </c>
      <c r="AN2115">
        <v>1.0000000140129399</v>
      </c>
    </row>
    <row r="2116" spans="1:40" x14ac:dyDescent="0.25">
      <c r="A2116" t="str">
        <f>"20190312164030771"</f>
        <v>20190312164030771</v>
      </c>
      <c r="B2116" t="str">
        <f>"1552380030767987"</f>
        <v>1552380030767987</v>
      </c>
      <c r="C2116" t="s">
        <v>40</v>
      </c>
      <c r="D2116">
        <v>4.989439</v>
      </c>
      <c r="E2116">
        <v>0.51558800000000005</v>
      </c>
      <c r="F2116" t="s">
        <v>42</v>
      </c>
      <c r="G2116">
        <v>-243.2405</v>
      </c>
      <c r="H2116">
        <v>1.041506</v>
      </c>
      <c r="I2116">
        <v>284.7448</v>
      </c>
      <c r="J2116">
        <v>-242.43129999999999</v>
      </c>
      <c r="K2116">
        <v>1.1105430000000001</v>
      </c>
      <c r="L2116">
        <v>284.67680000000001</v>
      </c>
      <c r="M2116">
        <v>-0.99947459999999999</v>
      </c>
      <c r="N2116">
        <v>0</v>
      </c>
      <c r="O2116">
        <v>-2.9290839999999999E-2</v>
      </c>
      <c r="P2116">
        <v>-0.97928850000000001</v>
      </c>
      <c r="Q2116">
        <v>0.1991964</v>
      </c>
      <c r="R2116">
        <v>3.6265770000000003E-2</v>
      </c>
      <c r="S2116">
        <v>-3.101013</v>
      </c>
      <c r="T2116">
        <v>-0.2212297</v>
      </c>
      <c r="U2116">
        <v>0.20181270000000001</v>
      </c>
      <c r="V2116">
        <v>6.4993640000000005E-2</v>
      </c>
      <c r="W2116">
        <v>0.21273990000000001</v>
      </c>
      <c r="X2116">
        <v>0.9749449</v>
      </c>
      <c r="Y2116">
        <v>9.3834440000000005E-2</v>
      </c>
      <c r="Z2116">
        <v>5.4246219999999996E-3</v>
      </c>
      <c r="AA2116">
        <v>0.99557300000000004</v>
      </c>
      <c r="AB2116">
        <v>29</v>
      </c>
      <c r="AC2116">
        <v>-0.80920000000000403</v>
      </c>
      <c r="AD2116">
        <v>-6.9037000000000001E-2</v>
      </c>
      <c r="AE2116">
        <v>6.7999999999983601E-2</v>
      </c>
      <c r="AF2116">
        <v>9.1017407629566893E-2</v>
      </c>
      <c r="AG2116">
        <v>-6.9037000000000001E-2</v>
      </c>
      <c r="AH2116">
        <v>0.801070916209638</v>
      </c>
      <c r="AI2116">
        <v>94.894295011830593</v>
      </c>
      <c r="AJ2116">
        <v>83.517870979618095</v>
      </c>
      <c r="AK2116">
        <v>0.809175437502619</v>
      </c>
      <c r="AL2116">
        <v>77.717034083616596</v>
      </c>
      <c r="AM2116">
        <v>86.186082357733696</v>
      </c>
      <c r="AN2116">
        <v>0.99999999816423402</v>
      </c>
    </row>
    <row r="2117" spans="1:40" x14ac:dyDescent="0.25">
      <c r="A2117" t="str">
        <f>"20190312164030794"</f>
        <v>20190312164030794</v>
      </c>
      <c r="B2117" t="str">
        <f>"1552380030788015"</f>
        <v>1552380030788015</v>
      </c>
      <c r="C2117" t="s">
        <v>40</v>
      </c>
      <c r="D2117">
        <v>5.1286529999999999</v>
      </c>
      <c r="E2117">
        <v>0.51651389999999997</v>
      </c>
      <c r="F2117" t="s">
        <v>48</v>
      </c>
      <c r="G2117">
        <v>-261.14240000000001</v>
      </c>
      <c r="H2117" s="1">
        <v>-9.2888150000000003E-7</v>
      </c>
      <c r="I2117">
        <v>285.71499999999997</v>
      </c>
      <c r="J2117">
        <v>-242.7183</v>
      </c>
      <c r="K2117">
        <v>1.110517</v>
      </c>
      <c r="L2117">
        <v>284.66849999999999</v>
      </c>
      <c r="M2117">
        <v>-0.99947969999999997</v>
      </c>
      <c r="N2117">
        <v>0</v>
      </c>
      <c r="O2117">
        <v>-2.9136470000000001E-2</v>
      </c>
      <c r="P2117">
        <v>-0.97935530000000004</v>
      </c>
      <c r="Q2117">
        <v>0.19899069999999999</v>
      </c>
      <c r="R2117">
        <v>3.5584079999999997E-2</v>
      </c>
      <c r="S2117">
        <v>-3.0944210000000001</v>
      </c>
      <c r="T2117">
        <v>-0.18366070000000001</v>
      </c>
      <c r="U2117">
        <v>0.17169189999999901</v>
      </c>
      <c r="V2117">
        <v>6.4173270000000004E-2</v>
      </c>
      <c r="W2117">
        <v>0.21249199999999999</v>
      </c>
      <c r="X2117">
        <v>0.97505330000000001</v>
      </c>
      <c r="Y2117">
        <v>8.4271079999999998E-2</v>
      </c>
      <c r="Z2117">
        <v>4.2235229999999999E-3</v>
      </c>
      <c r="AA2117">
        <v>0.99643389999999998</v>
      </c>
      <c r="AB2117">
        <v>29</v>
      </c>
      <c r="AC2117">
        <v>-18.424099999999999</v>
      </c>
      <c r="AD2117">
        <v>-1.1105179288814999</v>
      </c>
      <c r="AE2117">
        <v>1.04649999999998</v>
      </c>
      <c r="AF2117">
        <v>1.57720848748427</v>
      </c>
      <c r="AG2117">
        <v>-1.1105179288814999</v>
      </c>
      <c r="AH2117">
        <v>18.319439682377201</v>
      </c>
      <c r="AI2117">
        <v>93.456250143262494</v>
      </c>
      <c r="AJ2117">
        <v>85.079265419161203</v>
      </c>
      <c r="AK2117">
        <v>18.420714073010799</v>
      </c>
      <c r="AL2117">
        <v>77.731570061255098</v>
      </c>
      <c r="AM2117">
        <v>86.234500871206606</v>
      </c>
      <c r="AN2117">
        <v>0.99999999824369101</v>
      </c>
    </row>
    <row r="2118" spans="1:40" x14ac:dyDescent="0.25">
      <c r="A2118" t="str">
        <f>"20190312164030817"</f>
        <v>20190312164030817</v>
      </c>
      <c r="B2118" t="str">
        <f>"1552380030808511"</f>
        <v>1552380030808511</v>
      </c>
      <c r="C2118" t="s">
        <v>40</v>
      </c>
      <c r="D2118">
        <v>5.1374180000000003</v>
      </c>
      <c r="E2118">
        <v>0.51683809999999997</v>
      </c>
      <c r="F2118" t="s">
        <v>48</v>
      </c>
      <c r="G2118">
        <v>-260.47030000000001</v>
      </c>
      <c r="H2118" s="1">
        <v>-1.2865089999999999E-6</v>
      </c>
      <c r="I2118">
        <v>285.685</v>
      </c>
      <c r="J2118">
        <v>-243.0087</v>
      </c>
      <c r="K2118">
        <v>1.1104879999999999</v>
      </c>
      <c r="L2118">
        <v>284.66019999999997</v>
      </c>
      <c r="M2118">
        <v>-0.99948559999999997</v>
      </c>
      <c r="N2118">
        <v>0</v>
      </c>
      <c r="O2118">
        <v>-2.8949740000000002E-2</v>
      </c>
      <c r="P2118">
        <v>-0.97944140000000002</v>
      </c>
      <c r="Q2118">
        <v>0.1987884</v>
      </c>
      <c r="R2118">
        <v>3.4320049999999998E-2</v>
      </c>
      <c r="S2118">
        <v>-3.0961609999999999</v>
      </c>
      <c r="T2118">
        <v>-0.19368769999999999</v>
      </c>
      <c r="U2118">
        <v>0.17727660000000001</v>
      </c>
      <c r="V2118">
        <v>6.27418E-2</v>
      </c>
      <c r="W2118">
        <v>0.2122502</v>
      </c>
      <c r="X2118">
        <v>0.97519909999999999</v>
      </c>
      <c r="Y2118">
        <v>8.5820779999999999E-2</v>
      </c>
      <c r="Z2118">
        <v>4.4876839999999996E-3</v>
      </c>
      <c r="AA2118">
        <v>0.99630050000000003</v>
      </c>
      <c r="AB2118">
        <v>29</v>
      </c>
      <c r="AC2118">
        <v>-17.461600000000001</v>
      </c>
      <c r="AD2118">
        <v>-1.1104892865089999</v>
      </c>
      <c r="AE2118">
        <v>1.0248000000000199</v>
      </c>
      <c r="AF2118">
        <v>1.5237855783185299</v>
      </c>
      <c r="AG2118">
        <v>-1.1104892865089999</v>
      </c>
      <c r="AH2118">
        <v>17.354660060947499</v>
      </c>
      <c r="AI2118">
        <v>93.647254701818994</v>
      </c>
      <c r="AJ2118">
        <v>84.982145616971707</v>
      </c>
      <c r="AK2118">
        <v>17.456784777707199</v>
      </c>
      <c r="AL2118">
        <v>77.745747390229894</v>
      </c>
      <c r="AM2118">
        <v>86.318810614881599</v>
      </c>
      <c r="AN2118">
        <v>0.999999982754044</v>
      </c>
    </row>
    <row r="2119" spans="1:40" x14ac:dyDescent="0.25">
      <c r="A2119" t="str">
        <f>"20190312164030838"</f>
        <v>20190312164030838</v>
      </c>
      <c r="B2119" t="str">
        <f>"1552380030828035"</f>
        <v>1552380030828035</v>
      </c>
      <c r="C2119" t="s">
        <v>40</v>
      </c>
      <c r="D2119">
        <v>5.1673799999999996</v>
      </c>
      <c r="E2119">
        <v>0.51755909999999905</v>
      </c>
      <c r="F2119" t="s">
        <v>48</v>
      </c>
      <c r="G2119">
        <v>-260.3655</v>
      </c>
      <c r="H2119" s="1">
        <v>-1.3422999999999901E-6</v>
      </c>
      <c r="I2119">
        <v>285.64789999999999</v>
      </c>
      <c r="J2119">
        <v>-243.2817</v>
      </c>
      <c r="K2119">
        <v>1.1104609999999999</v>
      </c>
      <c r="L2119">
        <v>284.65249999999997</v>
      </c>
      <c r="M2119">
        <v>-0.99949209999999999</v>
      </c>
      <c r="N2119">
        <v>0</v>
      </c>
      <c r="O2119">
        <v>-2.873933E-2</v>
      </c>
      <c r="P2119">
        <v>-0.9794872</v>
      </c>
      <c r="Q2119">
        <v>0.19866210000000001</v>
      </c>
      <c r="R2119">
        <v>3.3737669999999997E-2</v>
      </c>
      <c r="S2119">
        <v>-3.0970309999999999</v>
      </c>
      <c r="T2119">
        <v>-0.19814870000000001</v>
      </c>
      <c r="U2119">
        <v>0.17623900000000001</v>
      </c>
      <c r="V2119">
        <v>6.1967380000000002E-2</v>
      </c>
      <c r="W2119">
        <v>0.21208850000000001</v>
      </c>
      <c r="X2119">
        <v>0.97528380000000003</v>
      </c>
      <c r="Y2119">
        <v>8.5253640000000006E-2</v>
      </c>
      <c r="Z2119">
        <v>4.5580430000000003E-3</v>
      </c>
      <c r="AA2119">
        <v>0.99634889999999998</v>
      </c>
      <c r="AB2119">
        <v>29</v>
      </c>
      <c r="AC2119">
        <v>-17.083799999999901</v>
      </c>
      <c r="AD2119">
        <v>-1.1104623423</v>
      </c>
      <c r="AE2119">
        <v>0.99540000000001705</v>
      </c>
      <c r="AF2119">
        <v>1.4797811832440699</v>
      </c>
      <c r="AG2119">
        <v>-1.1104623423</v>
      </c>
      <c r="AH2119">
        <v>16.976646560791899</v>
      </c>
      <c r="AI2119">
        <v>93.728355774957507</v>
      </c>
      <c r="AJ2119">
        <v>85.018364727086706</v>
      </c>
      <c r="AK2119">
        <v>17.077160402537601</v>
      </c>
      <c r="AL2119">
        <v>77.755228044118098</v>
      </c>
      <c r="AM2119">
        <v>86.364439691877294</v>
      </c>
      <c r="AN2119">
        <v>0.99999998927937706</v>
      </c>
    </row>
    <row r="2120" spans="1:40" x14ac:dyDescent="0.25">
      <c r="A2120" t="str">
        <f>"20190312164030860"</f>
        <v>20190312164030860</v>
      </c>
      <c r="B2120" t="str">
        <f>"1552380030848531"</f>
        <v>1552380030848531</v>
      </c>
      <c r="C2120" t="s">
        <v>40</v>
      </c>
      <c r="D2120">
        <v>5.123958</v>
      </c>
      <c r="E2120">
        <v>0.51806929999999995</v>
      </c>
      <c r="F2120" t="s">
        <v>42</v>
      </c>
      <c r="G2120">
        <v>-244.26400000000001</v>
      </c>
      <c r="H2120">
        <v>1.0452999999999999</v>
      </c>
      <c r="I2120">
        <v>284.70979999999997</v>
      </c>
      <c r="J2120">
        <v>-243.55510000000001</v>
      </c>
      <c r="K2120">
        <v>1.110439</v>
      </c>
      <c r="L2120">
        <v>284.64490000000001</v>
      </c>
      <c r="M2120">
        <v>-0.99949960000000004</v>
      </c>
      <c r="N2120">
        <v>0</v>
      </c>
      <c r="O2120">
        <v>-2.849604E-2</v>
      </c>
      <c r="P2120">
        <v>-0.97947980000000001</v>
      </c>
      <c r="Q2120">
        <v>0.1988374</v>
      </c>
      <c r="R2120">
        <v>3.291177E-2</v>
      </c>
      <c r="S2120">
        <v>-3.098328</v>
      </c>
      <c r="T2120">
        <v>-0.2056974</v>
      </c>
      <c r="U2120">
        <v>0.18014530000000001</v>
      </c>
      <c r="V2120">
        <v>6.0916270000000002E-2</v>
      </c>
      <c r="W2120">
        <v>0.21223059999999999</v>
      </c>
      <c r="X2120">
        <v>0.97531909999999999</v>
      </c>
      <c r="Y2120">
        <v>8.6220030000000003E-2</v>
      </c>
      <c r="Z2120">
        <v>4.7450690000000002E-3</v>
      </c>
      <c r="AA2120">
        <v>0.99626479999999995</v>
      </c>
      <c r="AB2120">
        <v>29</v>
      </c>
      <c r="AC2120">
        <v>-0.70889999999999898</v>
      </c>
      <c r="AD2120">
        <v>-6.5139000000000002E-2</v>
      </c>
      <c r="AE2120">
        <v>6.4899999999965902E-2</v>
      </c>
      <c r="AF2120">
        <v>8.4369946918995506E-2</v>
      </c>
      <c r="AG2120">
        <v>-6.5139000000000002E-2</v>
      </c>
      <c r="AH2120">
        <v>0.70089382899932395</v>
      </c>
      <c r="AI2120">
        <v>95.271808005796103</v>
      </c>
      <c r="AJ2120">
        <v>83.136058521029298</v>
      </c>
      <c r="AK2120">
        <v>0.70895242209435105</v>
      </c>
      <c r="AL2120">
        <v>77.746896573954501</v>
      </c>
      <c r="AM2120">
        <v>86.426074999502305</v>
      </c>
      <c r="AN2120">
        <v>0.99999998317594097</v>
      </c>
    </row>
    <row r="2121" spans="1:40" x14ac:dyDescent="0.25">
      <c r="A2121" t="str">
        <f>"20190312164030882"</f>
        <v>20190312164030882</v>
      </c>
      <c r="B2121" t="str">
        <f>"1552380030877808"</f>
        <v>1552380030877808</v>
      </c>
      <c r="C2121" t="s">
        <v>40</v>
      </c>
      <c r="D2121">
        <v>5.1469310000000004</v>
      </c>
      <c r="E2121">
        <v>0.51817170000000001</v>
      </c>
      <c r="F2121" t="s">
        <v>42</v>
      </c>
      <c r="G2121">
        <v>-244.52350000000001</v>
      </c>
      <c r="H2121">
        <v>1.0505450000000001</v>
      </c>
      <c r="I2121">
        <v>284.70249999999999</v>
      </c>
      <c r="J2121">
        <v>-243.83629999999999</v>
      </c>
      <c r="K2121">
        <v>1.110417</v>
      </c>
      <c r="L2121">
        <v>284.63720000000001</v>
      </c>
      <c r="M2121">
        <v>-0.99950779999999995</v>
      </c>
      <c r="N2121">
        <v>0</v>
      </c>
      <c r="O2121">
        <v>-2.821918E-2</v>
      </c>
      <c r="P2121">
        <v>-0.97953690000000004</v>
      </c>
      <c r="Q2121">
        <v>0.19863900000000001</v>
      </c>
      <c r="R2121">
        <v>3.2405660000000003E-2</v>
      </c>
      <c r="S2121">
        <v>-3.0955349999999999</v>
      </c>
      <c r="T2121">
        <v>-0.19147690000000001</v>
      </c>
      <c r="U2121">
        <v>0.18402099999999999</v>
      </c>
      <c r="V2121">
        <v>6.015247E-2</v>
      </c>
      <c r="W2121">
        <v>0.2120023</v>
      </c>
      <c r="X2121">
        <v>0.97541619999999996</v>
      </c>
      <c r="Y2121">
        <v>8.7270899999999998E-2</v>
      </c>
      <c r="Z2121">
        <v>4.4368350000000001E-3</v>
      </c>
      <c r="AA2121">
        <v>0.99617480000000003</v>
      </c>
      <c r="AB2121">
        <v>29</v>
      </c>
      <c r="AC2121">
        <v>-0.68720000000001802</v>
      </c>
      <c r="AD2121">
        <v>-5.9871999999999898E-2</v>
      </c>
      <c r="AE2121">
        <v>6.5299999999979194E-2</v>
      </c>
      <c r="AF2121">
        <v>8.4035850232697898E-2</v>
      </c>
      <c r="AG2121">
        <v>-5.9871999999999898E-2</v>
      </c>
      <c r="AH2121">
        <v>0.67996815277161105</v>
      </c>
      <c r="AI2121">
        <v>94.994181964492199</v>
      </c>
      <c r="AJ2121">
        <v>82.954658913141799</v>
      </c>
      <c r="AK2121">
        <v>0.68775240406120697</v>
      </c>
      <c r="AL2121">
        <v>77.760282359356694</v>
      </c>
      <c r="AM2121">
        <v>86.471123195931597</v>
      </c>
      <c r="AN2121">
        <v>1.00000002903741</v>
      </c>
    </row>
    <row r="2122" spans="1:40" x14ac:dyDescent="0.25">
      <c r="A2122" t="str">
        <f>"20190312164030894"</f>
        <v>20190312164030894</v>
      </c>
      <c r="B2122" t="str">
        <f>"1552380030888544"</f>
        <v>1552380030888544</v>
      </c>
      <c r="C2122" t="s">
        <v>40</v>
      </c>
      <c r="D2122">
        <v>5.145791</v>
      </c>
      <c r="E2122">
        <v>0.51821669999999997</v>
      </c>
      <c r="F2122" t="s">
        <v>42</v>
      </c>
      <c r="G2122">
        <v>-244.78749999999999</v>
      </c>
      <c r="H2122">
        <v>1.052859</v>
      </c>
      <c r="I2122">
        <v>284.69409999999999</v>
      </c>
      <c r="J2122">
        <v>-243.9967</v>
      </c>
      <c r="K2122">
        <v>1.110401</v>
      </c>
      <c r="L2122">
        <v>284.63279999999997</v>
      </c>
      <c r="M2122">
        <v>-0.99951270000000003</v>
      </c>
      <c r="N2122">
        <v>0</v>
      </c>
      <c r="O2122">
        <v>-2.805071E-2</v>
      </c>
      <c r="P2122">
        <v>-0.97963929999999999</v>
      </c>
      <c r="Q2122">
        <v>0.19824839999999999</v>
      </c>
      <c r="R2122">
        <v>3.1697030000000001E-2</v>
      </c>
      <c r="S2122">
        <v>-3.0945740000000002</v>
      </c>
      <c r="T2122">
        <v>-0.18738750000000001</v>
      </c>
      <c r="U2122">
        <v>0.1843872</v>
      </c>
      <c r="V2122">
        <v>5.9287630000000001E-2</v>
      </c>
      <c r="W2122">
        <v>0.2115978</v>
      </c>
      <c r="X2122">
        <v>0.97555700000000001</v>
      </c>
      <c r="Y2122">
        <v>8.7248279999999998E-2</v>
      </c>
      <c r="Z2122">
        <v>4.33271E-3</v>
      </c>
      <c r="AA2122">
        <v>0.99617719999999998</v>
      </c>
      <c r="AB2122">
        <v>28</v>
      </c>
      <c r="AC2122">
        <v>-0.79079999999998996</v>
      </c>
      <c r="AD2122">
        <v>-5.7541999999999899E-2</v>
      </c>
      <c r="AE2122">
        <v>6.1300000000017001E-2</v>
      </c>
      <c r="AF2122">
        <v>8.3023501473727196E-2</v>
      </c>
      <c r="AG2122">
        <v>-5.7541999999999899E-2</v>
      </c>
      <c r="AH2122">
        <v>0.78463952172753004</v>
      </c>
      <c r="AI2122">
        <v>94.171109283874799</v>
      </c>
      <c r="AJ2122">
        <v>83.959950112305506</v>
      </c>
      <c r="AK2122">
        <v>0.79111513866046401</v>
      </c>
      <c r="AL2122">
        <v>77.783996840206797</v>
      </c>
      <c r="AM2122">
        <v>86.522234807548401</v>
      </c>
      <c r="AN2122">
        <v>1.00000005614242</v>
      </c>
    </row>
    <row r="2123" spans="1:40" x14ac:dyDescent="0.25">
      <c r="A2123" t="str">
        <f>"20190312164030907"</f>
        <v>20190312164030907</v>
      </c>
      <c r="B2123" t="str">
        <f>"1552380030898304"</f>
        <v>1552380030898304</v>
      </c>
      <c r="C2123" t="s">
        <v>40</v>
      </c>
      <c r="D2123">
        <v>5.1004149999999999</v>
      </c>
      <c r="E2123">
        <v>0.51803220000000005</v>
      </c>
      <c r="F2123" t="s">
        <v>48</v>
      </c>
      <c r="G2123">
        <v>-262.1807</v>
      </c>
      <c r="H2123" s="1">
        <v>-3.7634419999999998E-7</v>
      </c>
      <c r="I2123">
        <v>285.70729999999998</v>
      </c>
      <c r="J2123">
        <v>-244.15440000000001</v>
      </c>
      <c r="K2123">
        <v>1.11039</v>
      </c>
      <c r="L2123">
        <v>284.62860000000001</v>
      </c>
      <c r="M2123">
        <v>-0.99951780000000001</v>
      </c>
      <c r="N2123">
        <v>0</v>
      </c>
      <c r="O2123">
        <v>-2.787595E-2</v>
      </c>
      <c r="P2123">
        <v>-0.97976940000000001</v>
      </c>
      <c r="Q2123">
        <v>0.1976752</v>
      </c>
      <c r="R2123">
        <v>3.1253240000000002E-2</v>
      </c>
      <c r="S2123">
        <v>-3.0946959999999999</v>
      </c>
      <c r="T2123">
        <v>-0.1889769</v>
      </c>
      <c r="U2123">
        <v>0.1828613</v>
      </c>
      <c r="V2123">
        <v>5.868131E-2</v>
      </c>
      <c r="W2123">
        <v>0.21101239999999999</v>
      </c>
      <c r="X2123">
        <v>0.97572040000000004</v>
      </c>
      <c r="Y2123">
        <v>8.6580299999999999E-2</v>
      </c>
      <c r="Z2123">
        <v>4.3382680000000002E-3</v>
      </c>
      <c r="AA2123">
        <v>0.99623539999999999</v>
      </c>
      <c r="AB2123">
        <v>28</v>
      </c>
      <c r="AC2123">
        <v>-18.0262999999999</v>
      </c>
      <c r="AD2123">
        <v>-1.1103903763442</v>
      </c>
      <c r="AE2123">
        <v>1.07869999999996</v>
      </c>
      <c r="AF2123">
        <v>1.5748736695196699</v>
      </c>
      <c r="AG2123">
        <v>-1.1103903763442</v>
      </c>
      <c r="AH2123">
        <v>17.92146309408</v>
      </c>
      <c r="AI2123">
        <v>93.531863130591702</v>
      </c>
      <c r="AJ2123">
        <v>84.977953800688795</v>
      </c>
      <c r="AK2123">
        <v>18.024761670970701</v>
      </c>
      <c r="AL2123">
        <v>77.818312112719696</v>
      </c>
      <c r="AM2123">
        <v>86.558290173243407</v>
      </c>
      <c r="AN2123">
        <v>1.0000000140366101</v>
      </c>
    </row>
    <row r="2124" spans="1:40" x14ac:dyDescent="0.25">
      <c r="A2124" t="str">
        <f>"20190312164030919"</f>
        <v>20190312164030919</v>
      </c>
      <c r="B2124" t="str">
        <f>"1552380030908064"</f>
        <v>1552380030908064</v>
      </c>
      <c r="C2124" t="s">
        <v>40</v>
      </c>
      <c r="D2124">
        <v>5.089283</v>
      </c>
      <c r="E2124">
        <v>0.51759549999999999</v>
      </c>
      <c r="F2124" t="s">
        <v>48</v>
      </c>
      <c r="G2124">
        <v>-262.26530000000002</v>
      </c>
      <c r="H2124" s="1">
        <v>-3.31291299999999E-7</v>
      </c>
      <c r="I2124">
        <v>285.68290000000002</v>
      </c>
      <c r="J2124">
        <v>-244.3075</v>
      </c>
      <c r="K2124">
        <v>1.110379</v>
      </c>
      <c r="L2124">
        <v>284.62450000000001</v>
      </c>
      <c r="M2124">
        <v>-0.99952280000000004</v>
      </c>
      <c r="N2124">
        <v>0</v>
      </c>
      <c r="O2124">
        <v>-2.7701920000000001E-2</v>
      </c>
      <c r="P2124">
        <v>-0.97976580000000002</v>
      </c>
      <c r="Q2124">
        <v>0.1977093</v>
      </c>
      <c r="R2124">
        <v>3.1145559999999999E-2</v>
      </c>
      <c r="S2124">
        <v>-3.0944820000000002</v>
      </c>
      <c r="T2124">
        <v>-0.1897238</v>
      </c>
      <c r="U2124">
        <v>0.18014530000000001</v>
      </c>
      <c r="V2124">
        <v>5.8407859999999999E-2</v>
      </c>
      <c r="W2124">
        <v>0.211032</v>
      </c>
      <c r="X2124">
        <v>0.97573259999999995</v>
      </c>
      <c r="Y2124">
        <v>8.5539970000000007E-2</v>
      </c>
      <c r="Z2124">
        <v>4.3133009999999899E-3</v>
      </c>
      <c r="AA2124">
        <v>0.99632540000000003</v>
      </c>
      <c r="AB2124">
        <v>28</v>
      </c>
      <c r="AC2124">
        <v>-17.957799999999999</v>
      </c>
      <c r="AD2124">
        <v>-1.1103793312913</v>
      </c>
      <c r="AE2124">
        <v>1.0584</v>
      </c>
      <c r="AF2124">
        <v>1.54960168553932</v>
      </c>
      <c r="AG2124">
        <v>-1.1103793312913</v>
      </c>
      <c r="AH2124">
        <v>17.853561632167601</v>
      </c>
      <c r="AI2124">
        <v>93.545557730900398</v>
      </c>
      <c r="AJ2124">
        <v>85.039438716453603</v>
      </c>
      <c r="AK2124">
        <v>17.955051394991699</v>
      </c>
      <c r="AL2124">
        <v>77.817163626401495</v>
      </c>
      <c r="AM2124">
        <v>86.574332700411901</v>
      </c>
      <c r="AN2124">
        <v>1.00000004491826</v>
      </c>
    </row>
    <row r="2125" spans="1:40" x14ac:dyDescent="0.25">
      <c r="A2125" t="str">
        <f>"20190312164030939"</f>
        <v>20190312164030939</v>
      </c>
      <c r="B2125" t="str">
        <f>"1552380030928563"</f>
        <v>1552380030928563</v>
      </c>
      <c r="C2125" t="s">
        <v>40</v>
      </c>
      <c r="D2125">
        <v>5.2069369999999999</v>
      </c>
      <c r="E2125">
        <v>0.51684330000000001</v>
      </c>
      <c r="F2125" t="s">
        <v>42</v>
      </c>
      <c r="G2125">
        <v>-245.28630000000001</v>
      </c>
      <c r="H2125">
        <v>1.0506580000000001</v>
      </c>
      <c r="I2125">
        <v>284.68060000000003</v>
      </c>
      <c r="J2125">
        <v>-244.55770000000001</v>
      </c>
      <c r="K2125">
        <v>1.1103609999999999</v>
      </c>
      <c r="L2125">
        <v>284.61779999999999</v>
      </c>
      <c r="M2125">
        <v>-0.99953130000000001</v>
      </c>
      <c r="N2125">
        <v>0</v>
      </c>
      <c r="O2125">
        <v>-2.7399590000000001E-2</v>
      </c>
      <c r="P2125">
        <v>-0.97991399999999995</v>
      </c>
      <c r="Q2125">
        <v>0.19717090000000001</v>
      </c>
      <c r="R2125">
        <v>2.9868390000000002E-2</v>
      </c>
      <c r="S2125">
        <v>-3.0944370000000001</v>
      </c>
      <c r="T2125">
        <v>-0.18891810000000001</v>
      </c>
      <c r="U2125">
        <v>0.177063</v>
      </c>
      <c r="V2125">
        <v>5.6846470000000003E-2</v>
      </c>
      <c r="W2125">
        <v>0.21047170000000001</v>
      </c>
      <c r="X2125">
        <v>0.97594579999999997</v>
      </c>
      <c r="Y2125">
        <v>8.4255010000000005E-2</v>
      </c>
      <c r="Z2125">
        <v>4.2376130000000003E-3</v>
      </c>
      <c r="AA2125">
        <v>0.99643519999999997</v>
      </c>
      <c r="AB2125">
        <v>28</v>
      </c>
      <c r="AC2125">
        <v>-0.72860000000000003</v>
      </c>
      <c r="AD2125">
        <v>-5.9702999999999999E-2</v>
      </c>
      <c r="AE2125">
        <v>6.2800000000038297E-2</v>
      </c>
      <c r="AF2125">
        <v>8.2193799776856397E-2</v>
      </c>
      <c r="AG2125">
        <v>-5.9702999999999999E-2</v>
      </c>
      <c r="AH2125">
        <v>0.72179479477233099</v>
      </c>
      <c r="AI2125">
        <v>94.698209846701801</v>
      </c>
      <c r="AJ2125">
        <v>83.503473766956404</v>
      </c>
      <c r="AK2125">
        <v>0.72890876979989006</v>
      </c>
      <c r="AL2125">
        <v>77.850003889614797</v>
      </c>
      <c r="AM2125">
        <v>86.666426769712601</v>
      </c>
      <c r="AN2125">
        <v>1.0000000310949899</v>
      </c>
    </row>
    <row r="2126" spans="1:40" x14ac:dyDescent="0.25">
      <c r="A2126" t="str">
        <f>"20190312164030960"</f>
        <v>20190312164030960</v>
      </c>
      <c r="B2126" t="str">
        <f>"1552380030948080"</f>
        <v>1552380030948080</v>
      </c>
      <c r="C2126" t="s">
        <v>40</v>
      </c>
      <c r="D2126">
        <v>5.3376510000000001</v>
      </c>
      <c r="E2126">
        <v>0.47720240000000003</v>
      </c>
      <c r="F2126" t="s">
        <v>42</v>
      </c>
      <c r="G2126">
        <v>-245.53909999999999</v>
      </c>
      <c r="H2126">
        <v>1.0496589999999999</v>
      </c>
      <c r="I2126">
        <v>284.67110000000002</v>
      </c>
      <c r="J2126">
        <v>-244.82939999999999</v>
      </c>
      <c r="K2126">
        <v>1.1103400000000001</v>
      </c>
      <c r="L2126">
        <v>284.61070000000001</v>
      </c>
      <c r="M2126">
        <v>-0.99954120000000002</v>
      </c>
      <c r="N2126">
        <v>0</v>
      </c>
      <c r="O2126">
        <v>-2.7053710000000002E-2</v>
      </c>
      <c r="P2126">
        <v>-0.98000909999999997</v>
      </c>
      <c r="Q2126">
        <v>0.19687399999999999</v>
      </c>
      <c r="R2126">
        <v>2.8682280000000001E-2</v>
      </c>
      <c r="S2126">
        <v>-3.0948180000000001</v>
      </c>
      <c r="T2126">
        <v>-0.19125890000000001</v>
      </c>
      <c r="U2126">
        <v>0.16848750000000001</v>
      </c>
      <c r="V2126">
        <v>5.5332560000000003E-2</v>
      </c>
      <c r="W2126">
        <v>0.21014820000000001</v>
      </c>
      <c r="X2126">
        <v>0.97610249999999998</v>
      </c>
      <c r="Y2126">
        <v>8.1151749999999995E-2</v>
      </c>
      <c r="Z2126">
        <v>4.1727350000000003E-3</v>
      </c>
      <c r="AA2126">
        <v>0.99669300000000005</v>
      </c>
      <c r="AB2126">
        <v>28</v>
      </c>
      <c r="AC2126">
        <v>-0.709699999999997</v>
      </c>
      <c r="AD2126">
        <v>-6.06809999999997E-2</v>
      </c>
      <c r="AE2126">
        <v>6.0400000000015497E-2</v>
      </c>
      <c r="AF2126">
        <v>7.9006253835566906E-2</v>
      </c>
      <c r="AG2126">
        <v>-6.06809999999997E-2</v>
      </c>
      <c r="AH2126">
        <v>0.70270570093186102</v>
      </c>
      <c r="AI2126">
        <v>94.904689621537003</v>
      </c>
      <c r="AJ2126">
        <v>83.585089183633698</v>
      </c>
      <c r="AK2126">
        <v>0.70973197337323601</v>
      </c>
      <c r="AL2126">
        <v>77.868963017805498</v>
      </c>
      <c r="AM2126">
        <v>86.755532532317204</v>
      </c>
      <c r="AN2126">
        <v>1.00000002433282</v>
      </c>
    </row>
    <row r="2127" spans="1:40" x14ac:dyDescent="0.25">
      <c r="A2127" t="str">
        <f>"20190312164030986"</f>
        <v>20190312164030986</v>
      </c>
      <c r="B2127" t="str">
        <f>"1552380030978335"</f>
        <v>1552380030978335</v>
      </c>
      <c r="C2127" t="s">
        <v>40</v>
      </c>
      <c r="D2127">
        <v>5.3287550000000001</v>
      </c>
      <c r="E2127">
        <v>0.47650320000000002</v>
      </c>
      <c r="F2127" t="s">
        <v>48</v>
      </c>
      <c r="G2127">
        <v>-277.39620000000002</v>
      </c>
      <c r="H2127" s="1">
        <v>2.4662939999999998E-6</v>
      </c>
      <c r="I2127">
        <v>283.0797</v>
      </c>
      <c r="J2127">
        <v>-245.1497</v>
      </c>
      <c r="K2127">
        <v>1.1103149999999999</v>
      </c>
      <c r="L2127">
        <v>284.60250000000002</v>
      </c>
      <c r="M2127">
        <v>-0.99955320000000003</v>
      </c>
      <c r="N2127">
        <v>0</v>
      </c>
      <c r="O2127">
        <v>-2.662803E-2</v>
      </c>
      <c r="P2127">
        <v>-0.98007480000000002</v>
      </c>
      <c r="Q2127">
        <v>0.1966619</v>
      </c>
      <c r="R2127">
        <v>2.7891550000000001E-2</v>
      </c>
      <c r="S2127">
        <v>-3.0865779999999998</v>
      </c>
      <c r="T2127">
        <v>-0.10523399999999999</v>
      </c>
      <c r="U2127">
        <v>-0.14511109999999999</v>
      </c>
      <c r="V2127">
        <v>5.4135740000000002E-2</v>
      </c>
      <c r="W2127">
        <v>0.20990529999999999</v>
      </c>
      <c r="X2127">
        <v>0.97622189999999998</v>
      </c>
      <c r="Y2127">
        <v>-2.0347580000000001E-2</v>
      </c>
      <c r="Z2127">
        <v>5.6038129999999998E-4</v>
      </c>
      <c r="AA2127">
        <v>0.99979280000000004</v>
      </c>
      <c r="AB2127">
        <v>28</v>
      </c>
      <c r="AC2127">
        <v>-32.246499999999997</v>
      </c>
      <c r="AD2127">
        <v>-1.110312533706</v>
      </c>
      <c r="AE2127">
        <v>-1.5228000000000099</v>
      </c>
      <c r="AF2127">
        <v>-0.66273603756240296</v>
      </c>
      <c r="AG2127">
        <v>-1.110312533706</v>
      </c>
      <c r="AH2127">
        <v>32.237481961444502</v>
      </c>
      <c r="AI2127">
        <v>91.972165902788404</v>
      </c>
      <c r="AJ2127">
        <v>91.177716979764497</v>
      </c>
      <c r="AK2127">
        <v>32.2634042870936</v>
      </c>
      <c r="AL2127">
        <v>77.883198042401105</v>
      </c>
      <c r="AM2127">
        <v>86.825951360672093</v>
      </c>
      <c r="AN2127">
        <v>1.0000000556765201</v>
      </c>
    </row>
    <row r="2128" spans="1:40" x14ac:dyDescent="0.25">
      <c r="A2128" t="str">
        <f>"20190312164031007"</f>
        <v>20190312164031007</v>
      </c>
      <c r="B2128" t="str">
        <f>"1552380030997855"</f>
        <v>1552380030997855</v>
      </c>
      <c r="C2128" t="s">
        <v>40</v>
      </c>
      <c r="D2128">
        <v>5.0789499999999999</v>
      </c>
      <c r="E2128">
        <v>0.47670230000000002</v>
      </c>
      <c r="F2128" t="s">
        <v>48</v>
      </c>
      <c r="G2128">
        <v>-276.90570000000002</v>
      </c>
      <c r="H2128" s="1">
        <v>2.2076019999999999E-6</v>
      </c>
      <c r="I2128">
        <v>283.02620000000002</v>
      </c>
      <c r="J2128">
        <v>-245.42179999999999</v>
      </c>
      <c r="K2128">
        <v>1.110295</v>
      </c>
      <c r="L2128">
        <v>284.59570000000002</v>
      </c>
      <c r="M2128">
        <v>-0.99956350000000005</v>
      </c>
      <c r="N2128">
        <v>0</v>
      </c>
      <c r="O2128">
        <v>-2.6250240000000001E-2</v>
      </c>
      <c r="P2128">
        <v>-0.98017220000000005</v>
      </c>
      <c r="Q2128">
        <v>0.19623409999999999</v>
      </c>
      <c r="R2128">
        <v>2.74848E-2</v>
      </c>
      <c r="S2128">
        <v>-3.0870060000000001</v>
      </c>
      <c r="T2128">
        <v>-0.1079335</v>
      </c>
      <c r="U2128">
        <v>-0.153228799999999</v>
      </c>
      <c r="V2128">
        <v>5.3368350000000002E-2</v>
      </c>
      <c r="W2128">
        <v>0.20944789999999999</v>
      </c>
      <c r="X2128">
        <v>0.97636230000000002</v>
      </c>
      <c r="Y2128">
        <v>-2.333998E-2</v>
      </c>
      <c r="Z2128">
        <v>5.0916830000000005E-4</v>
      </c>
      <c r="AA2128">
        <v>0.99972740000000004</v>
      </c>
      <c r="AB2128">
        <v>28</v>
      </c>
      <c r="AC2128">
        <v>-31.483899999999998</v>
      </c>
      <c r="AD2128">
        <v>-1.1102927923979999</v>
      </c>
      <c r="AE2128">
        <v>-1.5694999999999999</v>
      </c>
      <c r="AF2128">
        <v>-0.74150330538818499</v>
      </c>
      <c r="AG2128">
        <v>-1.1102927923979999</v>
      </c>
      <c r="AH2128">
        <v>31.4752052016634</v>
      </c>
      <c r="AI2128">
        <v>92.019719977910398</v>
      </c>
      <c r="AJ2128">
        <v>91.349543317741094</v>
      </c>
      <c r="AK2128">
        <v>31.5035096413649</v>
      </c>
      <c r="AL2128">
        <v>77.909999913680295</v>
      </c>
      <c r="AM2128">
        <v>86.871303451809794</v>
      </c>
      <c r="AN2128">
        <v>0.99999997222871095</v>
      </c>
    </row>
    <row r="2129" spans="1:40" x14ac:dyDescent="0.25">
      <c r="A2129" t="str">
        <f>"20190312164031030"</f>
        <v>20190312164031030</v>
      </c>
      <c r="B2129" t="str">
        <f>"1552380031018353"</f>
        <v>1552380031018353</v>
      </c>
      <c r="C2129" t="s">
        <v>40</v>
      </c>
      <c r="D2129">
        <v>5.2922739999999999</v>
      </c>
      <c r="E2129">
        <v>0.47677700000000001</v>
      </c>
      <c r="F2129" t="s">
        <v>48</v>
      </c>
      <c r="G2129">
        <v>-274.99380000000002</v>
      </c>
      <c r="H2129" s="1">
        <v>1.1856600000000001E-6</v>
      </c>
      <c r="I2129">
        <v>283.12900000000002</v>
      </c>
      <c r="J2129">
        <v>-245.7056</v>
      </c>
      <c r="K2129">
        <v>1.110282</v>
      </c>
      <c r="L2129">
        <v>284.58870000000002</v>
      </c>
      <c r="M2129">
        <v>-0.99957470000000004</v>
      </c>
      <c r="N2129">
        <v>0</v>
      </c>
      <c r="O2129">
        <v>-2.5837599999999999E-2</v>
      </c>
      <c r="P2129">
        <v>-0.98024230000000001</v>
      </c>
      <c r="Q2129">
        <v>0.19591149999999999</v>
      </c>
      <c r="R2129">
        <v>2.7272000000000001E-2</v>
      </c>
      <c r="S2129">
        <v>-3.0882109999999998</v>
      </c>
      <c r="T2129">
        <v>-0.1159483</v>
      </c>
      <c r="U2129">
        <v>-0.15316769999999999</v>
      </c>
      <c r="V2129">
        <v>5.2759849999999997E-2</v>
      </c>
      <c r="W2129">
        <v>0.20909159999999999</v>
      </c>
      <c r="X2129">
        <v>0.9764718</v>
      </c>
      <c r="Y2129">
        <v>-2.3713379999999999E-2</v>
      </c>
      <c r="Z2129">
        <v>5.2426529999999999E-4</v>
      </c>
      <c r="AA2129">
        <v>0.99971869999999996</v>
      </c>
      <c r="AB2129">
        <v>28</v>
      </c>
      <c r="AC2129">
        <v>-29.2882</v>
      </c>
      <c r="AD2129">
        <v>-1.11028081434</v>
      </c>
      <c r="AE2129">
        <v>-1.45969999999999</v>
      </c>
      <c r="AF2129">
        <v>-0.70140113882049104</v>
      </c>
      <c r="AG2129">
        <v>-1.11028081434</v>
      </c>
      <c r="AH2129">
        <v>29.274174011831601</v>
      </c>
      <c r="AI2129">
        <v>92.171391869405099</v>
      </c>
      <c r="AJ2129">
        <v>91.372528479900595</v>
      </c>
      <c r="AK2129">
        <v>29.303616690081601</v>
      </c>
      <c r="AL2129">
        <v>77.930877455062102</v>
      </c>
      <c r="AM2129">
        <v>86.907253016745798</v>
      </c>
      <c r="AN2129">
        <v>1.00000003757891</v>
      </c>
    </row>
    <row r="2130" spans="1:40" x14ac:dyDescent="0.25">
      <c r="A2130" t="str">
        <f>"20190312164031050"</f>
        <v>20190312164031050</v>
      </c>
      <c r="B2130" t="str">
        <f>"1552380031037871"</f>
        <v>1552380031037871</v>
      </c>
      <c r="C2130" t="s">
        <v>40</v>
      </c>
      <c r="D2130">
        <v>5.2553210000000004</v>
      </c>
      <c r="E2130">
        <v>0.4767787</v>
      </c>
      <c r="F2130" t="s">
        <v>48</v>
      </c>
      <c r="G2130">
        <v>-274.0573</v>
      </c>
      <c r="H2130" s="1">
        <v>6.8484800000000005E-7</v>
      </c>
      <c r="I2130">
        <v>283.1859</v>
      </c>
      <c r="J2130">
        <v>-245.96780000000001</v>
      </c>
      <c r="K2130">
        <v>1.11026</v>
      </c>
      <c r="L2130">
        <v>284.58240000000001</v>
      </c>
      <c r="M2130">
        <v>-0.99958550000000002</v>
      </c>
      <c r="N2130">
        <v>0</v>
      </c>
      <c r="O2130">
        <v>-2.5437319999999999E-2</v>
      </c>
      <c r="P2130">
        <v>-0.98042589999999996</v>
      </c>
      <c r="Q2130">
        <v>0.19509209999999999</v>
      </c>
      <c r="R2130">
        <v>2.6537229999999998E-2</v>
      </c>
      <c r="S2130">
        <v>-3.0888979999999999</v>
      </c>
      <c r="T2130">
        <v>-0.1209641</v>
      </c>
      <c r="U2130">
        <v>-0.152832</v>
      </c>
      <c r="V2130">
        <v>5.1644309999999999E-2</v>
      </c>
      <c r="W2130">
        <v>0.20823449999999999</v>
      </c>
      <c r="X2130">
        <v>0.97671450000000004</v>
      </c>
      <c r="Y2130">
        <v>-2.399397E-2</v>
      </c>
      <c r="Z2130">
        <v>5.256665E-4</v>
      </c>
      <c r="AA2130">
        <v>0.99971200000000005</v>
      </c>
      <c r="AB2130">
        <v>28</v>
      </c>
      <c r="AC2130">
        <v>-28.089499999999902</v>
      </c>
      <c r="AD2130">
        <v>-1.1102593151519999</v>
      </c>
      <c r="AE2130">
        <v>-1.3965000000000001</v>
      </c>
      <c r="AF2130">
        <v>-0.68040112738313696</v>
      </c>
      <c r="AG2130">
        <v>-1.1102593151519999</v>
      </c>
      <c r="AH2130">
        <v>28.072186884806101</v>
      </c>
      <c r="AI2130">
        <v>92.264212203440394</v>
      </c>
      <c r="AJ2130">
        <v>91.3884376720859</v>
      </c>
      <c r="AK2130">
        <v>28.102371749311601</v>
      </c>
      <c r="AL2130">
        <v>77.981090263078102</v>
      </c>
      <c r="AM2130">
        <v>86.973273150871506</v>
      </c>
      <c r="AN2130">
        <v>0.99999997812793695</v>
      </c>
    </row>
    <row r="2131" spans="1:40" x14ac:dyDescent="0.25">
      <c r="A2131" t="str">
        <f>"20190312164031073"</f>
        <v>20190312164031073</v>
      </c>
      <c r="B2131" t="str">
        <f>"1552380031068127"</f>
        <v>1552380031068127</v>
      </c>
      <c r="C2131" t="s">
        <v>40</v>
      </c>
      <c r="D2131">
        <v>5.3332129999999998</v>
      </c>
      <c r="E2131">
        <v>0.47677239999999999</v>
      </c>
      <c r="F2131" t="s">
        <v>48</v>
      </c>
      <c r="G2131">
        <v>-272.916</v>
      </c>
      <c r="H2131" s="1">
        <v>7.5504149999999895E-8</v>
      </c>
      <c r="I2131">
        <v>283.23200000000003</v>
      </c>
      <c r="J2131">
        <v>-246.2552</v>
      </c>
      <c r="K2131">
        <v>1.1102289999999999</v>
      </c>
      <c r="L2131">
        <v>284.57560000000001</v>
      </c>
      <c r="M2131">
        <v>-0.99959790000000004</v>
      </c>
      <c r="N2131">
        <v>0</v>
      </c>
      <c r="O2131">
        <v>-2.4977880000000001E-2</v>
      </c>
      <c r="P2131">
        <v>-0.98053210000000002</v>
      </c>
      <c r="Q2131">
        <v>0.1946978</v>
      </c>
      <c r="R2131">
        <v>2.5491799999999998E-2</v>
      </c>
      <c r="S2131">
        <v>-3.0894170000000001</v>
      </c>
      <c r="T2131">
        <v>-0.1272829</v>
      </c>
      <c r="U2131">
        <v>-0.1548157</v>
      </c>
      <c r="V2131">
        <v>5.0160320000000001E-2</v>
      </c>
      <c r="W2131">
        <v>0.20778540000000001</v>
      </c>
      <c r="X2131">
        <v>0.97688750000000002</v>
      </c>
      <c r="Y2131">
        <v>-2.5084289999999999E-2</v>
      </c>
      <c r="Z2131">
        <v>5.1166169999999997E-4</v>
      </c>
      <c r="AA2131">
        <v>0.99968520000000005</v>
      </c>
      <c r="AB2131">
        <v>28</v>
      </c>
      <c r="AC2131">
        <v>-26.660799999999899</v>
      </c>
      <c r="AD2131">
        <v>-1.1102289244958501</v>
      </c>
      <c r="AE2131">
        <v>-1.3435999999999799</v>
      </c>
      <c r="AF2131">
        <v>-0.67602114311516404</v>
      </c>
      <c r="AG2131">
        <v>-1.1102289244958501</v>
      </c>
      <c r="AH2131">
        <v>26.639963926128999</v>
      </c>
      <c r="AI2131">
        <v>92.385671645092103</v>
      </c>
      <c r="AJ2131">
        <v>91.453637384268205</v>
      </c>
      <c r="AK2131">
        <v>26.671657069559402</v>
      </c>
      <c r="AL2131">
        <v>78.007397592756504</v>
      </c>
      <c r="AM2131">
        <v>87.060610503522895</v>
      </c>
      <c r="AN2131">
        <v>1.00000000890595</v>
      </c>
    </row>
    <row r="2132" spans="1:40" x14ac:dyDescent="0.25">
      <c r="A2132" t="str">
        <f>"20190312164031085"</f>
        <v>20190312164031085</v>
      </c>
      <c r="B2132" t="str">
        <f>"1552380031077887"</f>
        <v>1552380031077887</v>
      </c>
      <c r="C2132" t="s">
        <v>40</v>
      </c>
      <c r="D2132">
        <v>5.1996909999999996</v>
      </c>
      <c r="E2132">
        <v>0.47673539999999998</v>
      </c>
      <c r="F2132" t="s">
        <v>48</v>
      </c>
      <c r="G2132">
        <v>-272.33069999999998</v>
      </c>
      <c r="H2132" s="1">
        <v>-2.3676000000000001E-7</v>
      </c>
      <c r="I2132">
        <v>283.24970000000002</v>
      </c>
      <c r="J2132">
        <v>-246.4144</v>
      </c>
      <c r="K2132">
        <v>1.110215</v>
      </c>
      <c r="L2132">
        <v>284.57190000000003</v>
      </c>
      <c r="M2132">
        <v>-0.99960479999999996</v>
      </c>
      <c r="N2132">
        <v>0</v>
      </c>
      <c r="O2132">
        <v>-2.471514E-2</v>
      </c>
      <c r="P2132">
        <v>-0.98059110000000005</v>
      </c>
      <c r="Q2132">
        <v>0.19444980000000001</v>
      </c>
      <c r="R2132">
        <v>2.510832E-2</v>
      </c>
      <c r="S2132">
        <v>-3.0897670000000002</v>
      </c>
      <c r="T2132">
        <v>-0.1315547</v>
      </c>
      <c r="U2132">
        <v>-0.15710450000000001</v>
      </c>
      <c r="V2132">
        <v>4.9525960000000001E-2</v>
      </c>
      <c r="W2132">
        <v>0.2075032</v>
      </c>
      <c r="X2132">
        <v>0.97697990000000001</v>
      </c>
      <c r="Y2132">
        <v>-2.607889E-2</v>
      </c>
      <c r="Z2132">
        <v>4.9642580000000005E-4</v>
      </c>
      <c r="AA2132">
        <v>0.99965979999999999</v>
      </c>
      <c r="AB2132">
        <v>28</v>
      </c>
      <c r="AC2132">
        <v>-25.9162999999999</v>
      </c>
      <c r="AD2132">
        <v>-1.11021523676</v>
      </c>
      <c r="AE2132">
        <v>-1.3222</v>
      </c>
      <c r="AF2132">
        <v>-0.67996899688715895</v>
      </c>
      <c r="AG2132">
        <v>-1.11021523676</v>
      </c>
      <c r="AH2132">
        <v>25.893668274280699</v>
      </c>
      <c r="AI2132">
        <v>92.454261371408606</v>
      </c>
      <c r="AJ2132">
        <v>91.504244268642395</v>
      </c>
      <c r="AK2132">
        <v>25.926376384044701</v>
      </c>
      <c r="AL2132">
        <v>78.023927367642301</v>
      </c>
      <c r="AM2132">
        <v>87.097993992065597</v>
      </c>
      <c r="AN2132">
        <v>1.0000000618640801</v>
      </c>
    </row>
    <row r="2133" spans="1:40" x14ac:dyDescent="0.25">
      <c r="A2133" t="str">
        <f>"20190312164031107"</f>
        <v>20190312164031107</v>
      </c>
      <c r="B2133" t="str">
        <f>"1552380031098383"</f>
        <v>1552380031098383</v>
      </c>
      <c r="C2133" t="s">
        <v>40</v>
      </c>
      <c r="D2133">
        <v>5.332757</v>
      </c>
      <c r="E2133">
        <v>0.47669929999999999</v>
      </c>
      <c r="F2133" t="s">
        <v>48</v>
      </c>
      <c r="G2133">
        <v>-272.1549</v>
      </c>
      <c r="H2133" s="1">
        <v>-3.3041689999999999E-7</v>
      </c>
      <c r="I2133">
        <v>283.25139999999999</v>
      </c>
      <c r="J2133">
        <v>-246.68940000000001</v>
      </c>
      <c r="K2133">
        <v>1.1101920000000001</v>
      </c>
      <c r="L2133">
        <v>284.56560000000002</v>
      </c>
      <c r="M2133">
        <v>-0.99961719999999998</v>
      </c>
      <c r="N2133">
        <v>0</v>
      </c>
      <c r="O2133">
        <v>-2.4248169999999999E-2</v>
      </c>
      <c r="P2133">
        <v>-0.98062910000000003</v>
      </c>
      <c r="Q2133">
        <v>0.1943078</v>
      </c>
      <c r="R2133">
        <v>2.4727780000000001E-2</v>
      </c>
      <c r="S2133">
        <v>-3.0898590000000001</v>
      </c>
      <c r="T2133">
        <v>-0.1332691</v>
      </c>
      <c r="U2133">
        <v>-0.15850829999999999</v>
      </c>
      <c r="V2133">
        <v>4.8697579999999997E-2</v>
      </c>
      <c r="W2133">
        <v>0.20729929999999999</v>
      </c>
      <c r="X2133">
        <v>0.97706470000000001</v>
      </c>
      <c r="Y2133">
        <v>-2.699607E-2</v>
      </c>
      <c r="Z2133">
        <v>4.6299919999999998E-4</v>
      </c>
      <c r="AA2133">
        <v>0.99963550000000001</v>
      </c>
      <c r="AB2133">
        <v>28</v>
      </c>
      <c r="AC2133">
        <v>-25.465499999999899</v>
      </c>
      <c r="AD2133">
        <v>-1.1101923304168999</v>
      </c>
      <c r="AE2133">
        <v>-1.31420000000002</v>
      </c>
      <c r="AF2133">
        <v>-0.69494962364916102</v>
      </c>
      <c r="AG2133">
        <v>-1.1101923304168999</v>
      </c>
      <c r="AH2133">
        <v>25.441654706279699</v>
      </c>
      <c r="AI2133">
        <v>92.497688742488194</v>
      </c>
      <c r="AJ2133">
        <v>91.564669523733599</v>
      </c>
      <c r="AK2133">
        <v>25.475346438929801</v>
      </c>
      <c r="AL2133">
        <v>78.035868182793195</v>
      </c>
      <c r="AM2133">
        <v>87.146699805351503</v>
      </c>
      <c r="AN2133">
        <v>0.99999994103221601</v>
      </c>
    </row>
    <row r="2134" spans="1:40" x14ac:dyDescent="0.25">
      <c r="A2134" t="str">
        <f>"20190312164031128"</f>
        <v>20190312164031128</v>
      </c>
      <c r="B2134" t="str">
        <f>"1552380031117907"</f>
        <v>1552380031117907</v>
      </c>
      <c r="C2134" t="s">
        <v>40</v>
      </c>
      <c r="D2134">
        <v>5.0776209999999997</v>
      </c>
      <c r="E2134">
        <v>0.47672910000000002</v>
      </c>
      <c r="F2134" t="s">
        <v>48</v>
      </c>
      <c r="G2134">
        <v>-272.25279999999998</v>
      </c>
      <c r="H2134" s="1">
        <v>-2.7797840000000002E-7</v>
      </c>
      <c r="I2134">
        <v>283.24439999999998</v>
      </c>
      <c r="J2134">
        <v>-246.95689999999999</v>
      </c>
      <c r="K2134">
        <v>1.1101639999999999</v>
      </c>
      <c r="L2134">
        <v>284.55970000000002</v>
      </c>
      <c r="M2134">
        <v>-0.99962930000000005</v>
      </c>
      <c r="N2134">
        <v>0</v>
      </c>
      <c r="O2134">
        <v>-2.3776249999999999E-2</v>
      </c>
      <c r="P2134">
        <v>-0.98063350000000005</v>
      </c>
      <c r="Q2134">
        <v>0.1943182</v>
      </c>
      <c r="R2134">
        <v>2.4465379999999998E-2</v>
      </c>
      <c r="S2134">
        <v>-3.0899049999999999</v>
      </c>
      <c r="T2134">
        <v>-0.13419139999999999</v>
      </c>
      <c r="U2134">
        <v>-0.15969849999999999</v>
      </c>
      <c r="V2134">
        <v>4.7979870000000001E-2</v>
      </c>
      <c r="W2134">
        <v>0.2072494</v>
      </c>
      <c r="X2134">
        <v>0.9771109</v>
      </c>
      <c r="Y2134">
        <v>-2.7849990000000002E-2</v>
      </c>
      <c r="Z2134">
        <v>4.2720289999999999E-4</v>
      </c>
      <c r="AA2134">
        <v>0.99961199999999995</v>
      </c>
      <c r="AB2134">
        <v>28</v>
      </c>
      <c r="AC2134">
        <v>-25.2958999999999</v>
      </c>
      <c r="AD2134">
        <v>-1.11016427797839</v>
      </c>
      <c r="AE2134">
        <v>-1.3153000000000299</v>
      </c>
      <c r="AF2134">
        <v>-0.71206574663412803</v>
      </c>
      <c r="AG2134">
        <v>-1.11016427797839</v>
      </c>
      <c r="AH2134">
        <v>25.271479734099898</v>
      </c>
      <c r="AI2134">
        <v>92.514362935121099</v>
      </c>
      <c r="AJ2134">
        <v>91.613976334451607</v>
      </c>
      <c r="AK2134">
        <v>25.305872644559201</v>
      </c>
      <c r="AL2134">
        <v>78.038791989238803</v>
      </c>
      <c r="AM2134">
        <v>87.188816786745605</v>
      </c>
      <c r="AN2134">
        <v>1.0000000463121901</v>
      </c>
    </row>
    <row r="2135" spans="1:40" x14ac:dyDescent="0.25">
      <c r="A2135" t="str">
        <f>"20190312164031151"</f>
        <v>20190312164031151</v>
      </c>
      <c r="B2135" t="str">
        <f>"1552380031148159"</f>
        <v>1552380031148159</v>
      </c>
      <c r="C2135" t="s">
        <v>40</v>
      </c>
      <c r="D2135">
        <v>5.226254</v>
      </c>
      <c r="E2135">
        <v>0.4777266</v>
      </c>
      <c r="F2135" t="s">
        <v>48</v>
      </c>
      <c r="G2135">
        <v>-272.39760000000001</v>
      </c>
      <c r="H2135" s="1">
        <v>-2.0072739999999999E-7</v>
      </c>
      <c r="I2135">
        <v>283.24009999999998</v>
      </c>
      <c r="J2135">
        <v>-247.2422</v>
      </c>
      <c r="K2135">
        <v>1.1101399999999999</v>
      </c>
      <c r="L2135">
        <v>284.55349999999999</v>
      </c>
      <c r="M2135">
        <v>-0.99964240000000004</v>
      </c>
      <c r="N2135">
        <v>0</v>
      </c>
      <c r="O2135">
        <v>-2.325609E-2</v>
      </c>
      <c r="P2135">
        <v>-0.98069329999999999</v>
      </c>
      <c r="Q2135">
        <v>0.194025</v>
      </c>
      <c r="R2135">
        <v>2.4394450000000002E-2</v>
      </c>
      <c r="S2135">
        <v>-3.0899350000000001</v>
      </c>
      <c r="T2135">
        <v>-0.1348366</v>
      </c>
      <c r="U2135">
        <v>-0.16027829999999901</v>
      </c>
      <c r="V2135">
        <v>4.7405660000000002E-2</v>
      </c>
      <c r="W2135">
        <v>0.20689389999999999</v>
      </c>
      <c r="X2135">
        <v>0.97721420000000003</v>
      </c>
      <c r="Y2135">
        <v>-2.8555520000000001E-2</v>
      </c>
      <c r="Z2135">
        <v>3.9120859999999997E-4</v>
      </c>
      <c r="AA2135">
        <v>0.99959209999999998</v>
      </c>
      <c r="AB2135">
        <v>28</v>
      </c>
      <c r="AC2135">
        <v>-25.1554</v>
      </c>
      <c r="AD2135">
        <v>-1.1101402007273999</v>
      </c>
      <c r="AE2135">
        <v>-1.3133999999999999</v>
      </c>
      <c r="AF2135">
        <v>-0.726566308782576</v>
      </c>
      <c r="AG2135">
        <v>-1.1101402007273999</v>
      </c>
      <c r="AH2135">
        <v>25.130332470634599</v>
      </c>
      <c r="AI2135">
        <v>92.528359133561395</v>
      </c>
      <c r="AJ2135">
        <v>91.656069995166703</v>
      </c>
      <c r="AK2135">
        <v>25.165331707548798</v>
      </c>
      <c r="AL2135">
        <v>78.059611181431094</v>
      </c>
      <c r="AM2135">
        <v>87.222700412160904</v>
      </c>
      <c r="AN2135">
        <v>0.99999998756944197</v>
      </c>
    </row>
    <row r="2136" spans="1:40" x14ac:dyDescent="0.25">
      <c r="A2136" t="str">
        <f>"20190312164031173"</f>
        <v>20190312164031173</v>
      </c>
      <c r="B2136" t="str">
        <f>"1552380031168656"</f>
        <v>1552380031168656</v>
      </c>
      <c r="C2136" t="s">
        <v>40</v>
      </c>
      <c r="D2136">
        <v>5.250407</v>
      </c>
      <c r="E2136">
        <v>0.47853980000000002</v>
      </c>
      <c r="F2136" t="s">
        <v>48</v>
      </c>
      <c r="G2136">
        <v>-271.61130000000003</v>
      </c>
      <c r="H2136" s="1">
        <v>-6.2379590000000002E-7</v>
      </c>
      <c r="I2136">
        <v>283.3458</v>
      </c>
      <c r="J2136">
        <v>-247.52889999999999</v>
      </c>
      <c r="K2136">
        <v>1.1101259999999999</v>
      </c>
      <c r="L2136">
        <v>284.54750000000001</v>
      </c>
      <c r="M2136">
        <v>-0.99965559999999998</v>
      </c>
      <c r="N2136">
        <v>0</v>
      </c>
      <c r="O2136">
        <v>-2.272018E-2</v>
      </c>
      <c r="P2136">
        <v>-0.98083220000000004</v>
      </c>
      <c r="Q2136">
        <v>0.19331599999999999</v>
      </c>
      <c r="R2136">
        <v>2.4440710000000001E-2</v>
      </c>
      <c r="S2136">
        <v>-3.0907290000000001</v>
      </c>
      <c r="T2136">
        <v>-0.1407989</v>
      </c>
      <c r="U2136">
        <v>-0.15316769999999999</v>
      </c>
      <c r="V2136">
        <v>4.6932179999999997E-2</v>
      </c>
      <c r="W2136">
        <v>0.2061288</v>
      </c>
      <c r="X2136">
        <v>0.97739880000000001</v>
      </c>
      <c r="Y2136">
        <v>-2.6785139999999999E-2</v>
      </c>
      <c r="Z2136">
        <v>4.2431849999999998E-4</v>
      </c>
      <c r="AA2136">
        <v>0.99964109999999995</v>
      </c>
      <c r="AB2136">
        <v>28</v>
      </c>
      <c r="AC2136">
        <v>-24.0824</v>
      </c>
      <c r="AD2136">
        <v>-1.1101266237959</v>
      </c>
      <c r="AE2136">
        <v>-1.20170000000001</v>
      </c>
      <c r="AF2136">
        <v>-0.65280237268395602</v>
      </c>
      <c r="AG2136">
        <v>-1.1101266237959</v>
      </c>
      <c r="AH2136">
        <v>24.0525045276923</v>
      </c>
      <c r="AI2136">
        <v>92.641600144911905</v>
      </c>
      <c r="AJ2136">
        <v>91.554667246824195</v>
      </c>
      <c r="AK2136">
        <v>24.086957178384001</v>
      </c>
      <c r="AL2136">
        <v>78.104414853432303</v>
      </c>
      <c r="AM2136">
        <v>87.2509153609723</v>
      </c>
      <c r="AN2136">
        <v>1.0000000629752099</v>
      </c>
    </row>
    <row r="2137" spans="1:40" x14ac:dyDescent="0.25">
      <c r="A2137" t="str">
        <f>"20190312164031196"</f>
        <v>20190312164031196</v>
      </c>
      <c r="B2137" t="str">
        <f>"1552380031188176"</f>
        <v>1552380031188176</v>
      </c>
      <c r="C2137" t="s">
        <v>40</v>
      </c>
      <c r="D2137">
        <v>5.2025249999999996</v>
      </c>
      <c r="E2137">
        <v>0.47930080000000003</v>
      </c>
      <c r="F2137" t="s">
        <v>48</v>
      </c>
      <c r="G2137">
        <v>-270.92180000000002</v>
      </c>
      <c r="H2137" s="1">
        <v>-9.9495150000000004E-7</v>
      </c>
      <c r="I2137">
        <v>283.44290000000001</v>
      </c>
      <c r="J2137">
        <v>-247.82140000000001</v>
      </c>
      <c r="K2137">
        <v>1.110109</v>
      </c>
      <c r="L2137">
        <v>284.54149999999998</v>
      </c>
      <c r="M2137">
        <v>-0.99966880000000002</v>
      </c>
      <c r="N2137">
        <v>0</v>
      </c>
      <c r="O2137">
        <v>-2.216512E-2</v>
      </c>
      <c r="P2137">
        <v>-0.98097650000000003</v>
      </c>
      <c r="Q2137">
        <v>0.1926069</v>
      </c>
      <c r="R2137">
        <v>2.424173E-2</v>
      </c>
      <c r="S2137">
        <v>-3.0911559999999998</v>
      </c>
      <c r="T2137">
        <v>-0.14669299999999999</v>
      </c>
      <c r="U2137">
        <v>-0.1459656</v>
      </c>
      <c r="V2137">
        <v>4.6192940000000002E-2</v>
      </c>
      <c r="W2137">
        <v>0.20536299999999999</v>
      </c>
      <c r="X2137">
        <v>0.9775952</v>
      </c>
      <c r="Y2137">
        <v>-2.50107E-2</v>
      </c>
      <c r="Z2137">
        <v>4.577866E-4</v>
      </c>
      <c r="AA2137">
        <v>0.99968710000000005</v>
      </c>
      <c r="AB2137">
        <v>28</v>
      </c>
      <c r="AC2137">
        <v>-23.1004</v>
      </c>
      <c r="AD2137">
        <v>-1.1101099949515001</v>
      </c>
      <c r="AE2137">
        <v>-1.09859999999997</v>
      </c>
      <c r="AF2137">
        <v>-0.584915396296801</v>
      </c>
      <c r="AG2137">
        <v>-1.1101099949515001</v>
      </c>
      <c r="AH2137">
        <v>23.065928989348901</v>
      </c>
      <c r="AI2137">
        <v>92.7545035669811</v>
      </c>
      <c r="AJ2137">
        <v>91.452618831170597</v>
      </c>
      <c r="AK2137">
        <v>23.1000335576251</v>
      </c>
      <c r="AL2137">
        <v>78.149251205072403</v>
      </c>
      <c r="AM2137">
        <v>87.294694783134901</v>
      </c>
      <c r="AN2137">
        <v>1.00000006226893</v>
      </c>
    </row>
    <row r="2138" spans="1:40" x14ac:dyDescent="0.25">
      <c r="A2138" t="str">
        <f>"20190312164031219"</f>
        <v>20190312164031219</v>
      </c>
      <c r="B2138" t="str">
        <f>"1552380031208672"</f>
        <v>1552380031208672</v>
      </c>
      <c r="C2138" t="s">
        <v>40</v>
      </c>
      <c r="D2138">
        <v>5.243989</v>
      </c>
      <c r="E2138">
        <v>0.47995209999999999</v>
      </c>
      <c r="F2138" t="s">
        <v>48</v>
      </c>
      <c r="G2138">
        <v>-270.78739999999999</v>
      </c>
      <c r="H2138" s="1">
        <v>-1.06913E-6</v>
      </c>
      <c r="I2138">
        <v>283.50409999999999</v>
      </c>
      <c r="J2138">
        <v>-248.1019</v>
      </c>
      <c r="K2138">
        <v>1.1100989999999999</v>
      </c>
      <c r="L2138">
        <v>284.53590000000003</v>
      </c>
      <c r="M2138">
        <v>-0.99968140000000005</v>
      </c>
      <c r="N2138">
        <v>0</v>
      </c>
      <c r="O2138">
        <v>-2.1629059999999999E-2</v>
      </c>
      <c r="P2138">
        <v>-0.98111720000000002</v>
      </c>
      <c r="Q2138">
        <v>0.19192670000000001</v>
      </c>
      <c r="R2138">
        <v>2.3947670000000001E-2</v>
      </c>
      <c r="S2138">
        <v>-3.0909420000000001</v>
      </c>
      <c r="T2138">
        <v>-0.1494067</v>
      </c>
      <c r="U2138">
        <v>-0.13961789999999999</v>
      </c>
      <c r="V2138">
        <v>4.5376300000000001E-2</v>
      </c>
      <c r="W2138">
        <v>0.20462939999999999</v>
      </c>
      <c r="X2138">
        <v>0.97778719999999997</v>
      </c>
      <c r="Y2138">
        <v>-2.3502410000000001E-2</v>
      </c>
      <c r="Z2138">
        <v>4.768436E-4</v>
      </c>
      <c r="AA2138">
        <v>0.99972369999999999</v>
      </c>
      <c r="AB2138">
        <v>28</v>
      </c>
      <c r="AC2138">
        <v>-22.685499999999902</v>
      </c>
      <c r="AD2138">
        <v>-1.11010006912999</v>
      </c>
      <c r="AE2138">
        <v>-1.03180000000003</v>
      </c>
      <c r="AF2138">
        <v>-0.53956165713917004</v>
      </c>
      <c r="AG2138">
        <v>-1.11010006912999</v>
      </c>
      <c r="AH2138">
        <v>22.648389715098102</v>
      </c>
      <c r="AI2138">
        <v>92.805285046542906</v>
      </c>
      <c r="AJ2138">
        <v>91.364722152312297</v>
      </c>
      <c r="AK2138">
        <v>22.681997390712699</v>
      </c>
      <c r="AL2138">
        <v>78.192194707796702</v>
      </c>
      <c r="AM2138">
        <v>87.342973493068399</v>
      </c>
      <c r="AN2138">
        <v>1.00000000421494</v>
      </c>
    </row>
    <row r="2139" spans="1:40" x14ac:dyDescent="0.25">
      <c r="A2139" t="str">
        <f>"20190312164031240"</f>
        <v>20190312164031240</v>
      </c>
      <c r="B2139" t="str">
        <f>"1552380031237952"</f>
        <v>1552380031237952</v>
      </c>
      <c r="C2139" t="s">
        <v>40</v>
      </c>
      <c r="D2139">
        <v>5.1830059999999998</v>
      </c>
      <c r="E2139">
        <v>0.48091139999999999</v>
      </c>
      <c r="F2139" t="s">
        <v>48</v>
      </c>
      <c r="G2139">
        <v>-270.762</v>
      </c>
      <c r="H2139" s="1">
        <v>-1.084626E-6</v>
      </c>
      <c r="I2139">
        <v>283.5489</v>
      </c>
      <c r="J2139">
        <v>-248.38079999999999</v>
      </c>
      <c r="K2139">
        <v>1.1100969999999999</v>
      </c>
      <c r="L2139">
        <v>284.53050000000002</v>
      </c>
      <c r="M2139">
        <v>-0.99969350000000001</v>
      </c>
      <c r="N2139">
        <v>0</v>
      </c>
      <c r="O2139">
        <v>-2.1094439999999999E-2</v>
      </c>
      <c r="P2139">
        <v>-0.98125720000000005</v>
      </c>
      <c r="Q2139">
        <v>0.19123889999999999</v>
      </c>
      <c r="R2139">
        <v>2.3703450000000001E-2</v>
      </c>
      <c r="S2139">
        <v>-3.0906370000000001</v>
      </c>
      <c r="T2139">
        <v>-0.1514074</v>
      </c>
      <c r="U2139">
        <v>-0.13461300000000001</v>
      </c>
      <c r="V2139">
        <v>4.4610329999999997E-2</v>
      </c>
      <c r="W2139">
        <v>0.2038876</v>
      </c>
      <c r="X2139">
        <v>0.9779774</v>
      </c>
      <c r="Y2139">
        <v>-2.2426350000000001E-2</v>
      </c>
      <c r="Z2139">
        <v>4.8346540000000001E-4</v>
      </c>
      <c r="AA2139">
        <v>0.99974839999999998</v>
      </c>
      <c r="AB2139">
        <v>28</v>
      </c>
      <c r="AC2139">
        <v>-22.3812</v>
      </c>
      <c r="AD2139">
        <v>-1.11009808462599</v>
      </c>
      <c r="AE2139">
        <v>-0.98160000000001402</v>
      </c>
      <c r="AF2139">
        <v>-0.50797573680211505</v>
      </c>
      <c r="AG2139">
        <v>-1.11009808462599</v>
      </c>
      <c r="AH2139">
        <v>22.342068502924999</v>
      </c>
      <c r="AI2139">
        <v>92.843750973133197</v>
      </c>
      <c r="AJ2139">
        <v>91.302469026964403</v>
      </c>
      <c r="AK2139">
        <v>22.375396803097399</v>
      </c>
      <c r="AL2139">
        <v>78.235612215247798</v>
      </c>
      <c r="AM2139">
        <v>87.388269830011694</v>
      </c>
      <c r="AN2139">
        <v>1.0000000149436099</v>
      </c>
    </row>
    <row r="2140" spans="1:40" x14ac:dyDescent="0.25">
      <c r="A2140" t="str">
        <f>"20190312164031262"</f>
        <v>20190312164031262</v>
      </c>
      <c r="B2140" t="str">
        <f>"1552380031258448"</f>
        <v>1552380031258448</v>
      </c>
      <c r="C2140" t="s">
        <v>40</v>
      </c>
      <c r="D2140">
        <v>5.2448499999999996</v>
      </c>
      <c r="E2140">
        <v>0.4813404</v>
      </c>
      <c r="F2140" t="s">
        <v>48</v>
      </c>
      <c r="G2140">
        <v>-270.55290000000002</v>
      </c>
      <c r="H2140" s="1">
        <v>-1.19905E-6</v>
      </c>
      <c r="I2140">
        <v>283.62139999999999</v>
      </c>
      <c r="J2140">
        <v>-248.64410000000001</v>
      </c>
      <c r="K2140">
        <v>1.1100909999999999</v>
      </c>
      <c r="L2140">
        <v>284.52550000000002</v>
      </c>
      <c r="M2140">
        <v>-0.9997047</v>
      </c>
      <c r="N2140">
        <v>0</v>
      </c>
      <c r="O2140">
        <v>-2.058929E-2</v>
      </c>
      <c r="P2140">
        <v>-0.98126440000000004</v>
      </c>
      <c r="Q2140">
        <v>0.19124160000000001</v>
      </c>
      <c r="R2140">
        <v>2.3380729999999999E-2</v>
      </c>
      <c r="S2140">
        <v>-3.0905149999999999</v>
      </c>
      <c r="T2140">
        <v>-0.1547337</v>
      </c>
      <c r="U2140">
        <v>-0.12670899999999999</v>
      </c>
      <c r="V2140">
        <v>4.3792209999999998E-2</v>
      </c>
      <c r="W2140">
        <v>0.20383860000000001</v>
      </c>
      <c r="X2140">
        <v>0.97802449999999996</v>
      </c>
      <c r="Y2140">
        <v>-2.0382750000000002E-2</v>
      </c>
      <c r="Z2140">
        <v>5.1997389999999897E-4</v>
      </c>
      <c r="AA2140">
        <v>0.99979209999999996</v>
      </c>
      <c r="AB2140">
        <v>28</v>
      </c>
      <c r="AC2140">
        <v>-21.908799999999999</v>
      </c>
      <c r="AD2140">
        <v>-1.1100921990499999</v>
      </c>
      <c r="AE2140">
        <v>-0.90410000000002799</v>
      </c>
      <c r="AF2140">
        <v>-0.45162659832701602</v>
      </c>
      <c r="AG2140">
        <v>-1.1100921990499999</v>
      </c>
      <c r="AH2140">
        <v>21.866727717140499</v>
      </c>
      <c r="AI2140">
        <v>92.905579493500099</v>
      </c>
      <c r="AJ2140">
        <v>91.183195762794696</v>
      </c>
      <c r="AK2140">
        <v>21.8995445690149</v>
      </c>
      <c r="AL2140">
        <v>78.238478889633598</v>
      </c>
      <c r="AM2140">
        <v>87.436225800633196</v>
      </c>
      <c r="AN2140">
        <v>0.99999992755344402</v>
      </c>
    </row>
    <row r="2141" spans="1:40" x14ac:dyDescent="0.25">
      <c r="A2141" t="str">
        <f>"20190312164031284"</f>
        <v>20190312164031284</v>
      </c>
      <c r="B2141" t="str">
        <f>"1552380031277968"</f>
        <v>1552380031277968</v>
      </c>
      <c r="C2141" t="s">
        <v>40</v>
      </c>
      <c r="D2141">
        <v>5.1883299999999997</v>
      </c>
      <c r="E2141">
        <v>0.48176459999999999</v>
      </c>
      <c r="F2141" t="s">
        <v>48</v>
      </c>
      <c r="G2141">
        <v>-270.8082</v>
      </c>
      <c r="H2141" s="1">
        <v>-1.063766E-6</v>
      </c>
      <c r="I2141">
        <v>283.6336</v>
      </c>
      <c r="J2141">
        <v>-248.93799999999999</v>
      </c>
      <c r="K2141">
        <v>1.11008</v>
      </c>
      <c r="L2141">
        <v>284.52010000000001</v>
      </c>
      <c r="M2141">
        <v>-0.99971710000000003</v>
      </c>
      <c r="N2141">
        <v>0</v>
      </c>
      <c r="O2141">
        <v>-2.0024610000000002E-2</v>
      </c>
      <c r="P2141">
        <v>-0.98131520000000005</v>
      </c>
      <c r="Q2141">
        <v>0.1910299</v>
      </c>
      <c r="R2141">
        <v>2.2987290000000001E-2</v>
      </c>
      <c r="S2141">
        <v>-3.090408</v>
      </c>
      <c r="T2141">
        <v>-0.1547838</v>
      </c>
      <c r="U2141">
        <v>-0.1243591</v>
      </c>
      <c r="V2141">
        <v>4.2845609999999999E-2</v>
      </c>
      <c r="W2141">
        <v>0.203566</v>
      </c>
      <c r="X2141">
        <v>0.97812319999999997</v>
      </c>
      <c r="Y2141">
        <v>-2.0189479999999999E-2</v>
      </c>
      <c r="Z2141">
        <v>4.9675900000000005E-4</v>
      </c>
      <c r="AA2141">
        <v>0.99979600000000002</v>
      </c>
      <c r="AB2141">
        <v>28</v>
      </c>
      <c r="AC2141">
        <v>-21.870200000000001</v>
      </c>
      <c r="AD2141">
        <v>-1.1100810637659999</v>
      </c>
      <c r="AE2141">
        <v>-0.88650000000001195</v>
      </c>
      <c r="AF2141">
        <v>-0.44719367907823898</v>
      </c>
      <c r="AG2141">
        <v>-1.1100810637659999</v>
      </c>
      <c r="AH2141">
        <v>21.8274245931634</v>
      </c>
      <c r="AI2141">
        <v>92.910783143118195</v>
      </c>
      <c r="AJ2141">
        <v>91.173694417189907</v>
      </c>
      <c r="AK2141">
        <v>21.8602087484309</v>
      </c>
      <c r="AL2141">
        <v>78.254432227185106</v>
      </c>
      <c r="AM2141">
        <v>87.491824846435804</v>
      </c>
      <c r="AN2141">
        <v>0.99999992851525299</v>
      </c>
    </row>
    <row r="2142" spans="1:40" x14ac:dyDescent="0.25">
      <c r="A2142" t="str">
        <f>"20190312164031307"</f>
        <v>20190312164031307</v>
      </c>
      <c r="B2142" t="str">
        <f>"1552380031298463"</f>
        <v>1552380031298463</v>
      </c>
      <c r="C2142" t="s">
        <v>40</v>
      </c>
      <c r="D2142">
        <v>5.1528549999999997</v>
      </c>
      <c r="E2142">
        <v>0.4821993</v>
      </c>
      <c r="F2142" t="s">
        <v>48</v>
      </c>
      <c r="G2142">
        <v>-271.00279999999998</v>
      </c>
      <c r="H2142" s="1">
        <v>-9.6086050000000006E-7</v>
      </c>
      <c r="I2142">
        <v>283.64870000000002</v>
      </c>
      <c r="J2142">
        <v>-249.22149999999999</v>
      </c>
      <c r="K2142">
        <v>1.1100639999999999</v>
      </c>
      <c r="L2142">
        <v>284.51499999999999</v>
      </c>
      <c r="M2142">
        <v>-0.99972859999999997</v>
      </c>
      <c r="N2142">
        <v>0</v>
      </c>
      <c r="O2142">
        <v>-1.9479949999999999E-2</v>
      </c>
      <c r="P2142">
        <v>-0.98138959999999997</v>
      </c>
      <c r="Q2142">
        <v>0.19071540000000001</v>
      </c>
      <c r="R2142">
        <v>2.2412729999999999E-2</v>
      </c>
      <c r="S2142">
        <v>-3.0902859999999999</v>
      </c>
      <c r="T2142">
        <v>-0.1554729</v>
      </c>
      <c r="U2142">
        <v>-0.1220398</v>
      </c>
      <c r="V2142">
        <v>4.1737490000000002E-2</v>
      </c>
      <c r="W2142">
        <v>0.2031887</v>
      </c>
      <c r="X2142">
        <v>0.97824960000000005</v>
      </c>
      <c r="Y2142">
        <v>-1.9986170000000001E-2</v>
      </c>
      <c r="Z2142">
        <v>4.767382E-4</v>
      </c>
      <c r="AA2142">
        <v>0.99980009999999997</v>
      </c>
      <c r="AB2142">
        <v>28</v>
      </c>
      <c r="AC2142">
        <v>-21.781299999999899</v>
      </c>
      <c r="AD2142">
        <v>-1.1100649608605</v>
      </c>
      <c r="AE2142">
        <v>-0.86629999999996699</v>
      </c>
      <c r="AF2142">
        <v>-0.44065958044040299</v>
      </c>
      <c r="AG2142">
        <v>-1.1100649608605</v>
      </c>
      <c r="AH2142">
        <v>21.7376721282535</v>
      </c>
      <c r="AI2142">
        <v>92.922751165122094</v>
      </c>
      <c r="AJ2142">
        <v>91.161323824706002</v>
      </c>
      <c r="AK2142">
        <v>21.770457382393499</v>
      </c>
      <c r="AL2142">
        <v>78.276511898763502</v>
      </c>
      <c r="AM2142">
        <v>87.556929681502197</v>
      </c>
      <c r="AN2142">
        <v>0.99999997288967402</v>
      </c>
    </row>
    <row r="2143" spans="1:40" x14ac:dyDescent="0.25">
      <c r="A2143" t="str">
        <f>"20190312164031328"</f>
        <v>20190312164031328</v>
      </c>
      <c r="B2143" t="str">
        <f>"1552380031317987"</f>
        <v>1552380031317987</v>
      </c>
      <c r="C2143" t="s">
        <v>40</v>
      </c>
      <c r="D2143">
        <v>5.2823010000000004</v>
      </c>
      <c r="E2143">
        <v>0.48268119999999998</v>
      </c>
      <c r="F2143" t="s">
        <v>48</v>
      </c>
      <c r="G2143">
        <v>-270.53070000000002</v>
      </c>
      <c r="H2143" s="1">
        <v>-1.2138909999999999E-6</v>
      </c>
      <c r="I2143">
        <v>283.69029999999998</v>
      </c>
      <c r="J2143">
        <v>-249.4906</v>
      </c>
      <c r="K2143">
        <v>1.1100559999999999</v>
      </c>
      <c r="L2143">
        <v>284.5104</v>
      </c>
      <c r="M2143">
        <v>-0.99973939999999994</v>
      </c>
      <c r="N2143">
        <v>0</v>
      </c>
      <c r="O2143">
        <v>-1.8963069999999999E-2</v>
      </c>
      <c r="P2143">
        <v>-0.98151469999999996</v>
      </c>
      <c r="Q2143">
        <v>0.19012299999999999</v>
      </c>
      <c r="R2143">
        <v>2.1958579999999998E-2</v>
      </c>
      <c r="S2143">
        <v>-3.0909119999999999</v>
      </c>
      <c r="T2143">
        <v>-0.1610154</v>
      </c>
      <c r="U2143">
        <v>-0.1196289</v>
      </c>
      <c r="V2143">
        <v>4.0777059999999997E-2</v>
      </c>
      <c r="W2143">
        <v>0.20253180000000001</v>
      </c>
      <c r="X2143">
        <v>0.97842629999999997</v>
      </c>
      <c r="Y2143">
        <v>-1.97161E-2</v>
      </c>
      <c r="Z2143">
        <v>4.7375599999999998E-4</v>
      </c>
      <c r="AA2143">
        <v>0.99980550000000001</v>
      </c>
      <c r="AB2143">
        <v>28</v>
      </c>
      <c r="AC2143">
        <v>-21.040099999999999</v>
      </c>
      <c r="AD2143">
        <v>-1.1100572138910001</v>
      </c>
      <c r="AE2143">
        <v>-0.82010000000002403</v>
      </c>
      <c r="AF2143">
        <v>-0.41976872764705397</v>
      </c>
      <c r="AG2143">
        <v>-1.1100572138910001</v>
      </c>
      <c r="AH2143">
        <v>20.993521582912699</v>
      </c>
      <c r="AI2143">
        <v>93.026159431329404</v>
      </c>
      <c r="AJ2143">
        <v>91.145485377283606</v>
      </c>
      <c r="AK2143">
        <v>21.027039288854802</v>
      </c>
      <c r="AL2143">
        <v>78.314948553456105</v>
      </c>
      <c r="AM2143">
        <v>87.613512460035395</v>
      </c>
      <c r="AN2143">
        <v>0.99999996158258597</v>
      </c>
    </row>
    <row r="2144" spans="1:40" x14ac:dyDescent="0.25">
      <c r="A2144" t="str">
        <f>"20190312164031351"</f>
        <v>20190312164031351</v>
      </c>
      <c r="B2144" t="str">
        <f>"1552380031348240"</f>
        <v>1552380031348240</v>
      </c>
      <c r="C2144" t="s">
        <v>40</v>
      </c>
      <c r="D2144">
        <v>5.2464259999999996</v>
      </c>
      <c r="E2144">
        <v>0.48322599999999999</v>
      </c>
      <c r="F2144" t="s">
        <v>48</v>
      </c>
      <c r="G2144">
        <v>-270.08569999999997</v>
      </c>
      <c r="H2144" s="1">
        <v>-1.4524799999999999E-6</v>
      </c>
      <c r="I2144">
        <v>283.7303</v>
      </c>
      <c r="J2144">
        <v>-249.7679</v>
      </c>
      <c r="K2144">
        <v>1.110047</v>
      </c>
      <c r="L2144">
        <v>284.50569999999999</v>
      </c>
      <c r="M2144">
        <v>-0.99975040000000004</v>
      </c>
      <c r="N2144">
        <v>0</v>
      </c>
      <c r="O2144">
        <v>-1.84315E-2</v>
      </c>
      <c r="P2144">
        <v>-0.98166569999999997</v>
      </c>
      <c r="Q2144">
        <v>0.18934960000000001</v>
      </c>
      <c r="R2144">
        <v>2.1886610000000001E-2</v>
      </c>
      <c r="S2144">
        <v>-3.0913849999999998</v>
      </c>
      <c r="T2144">
        <v>-0.16662349999999901</v>
      </c>
      <c r="U2144">
        <v>-0.1170959</v>
      </c>
      <c r="V2144">
        <v>4.0183829999999997E-2</v>
      </c>
      <c r="W2144">
        <v>0.20168749999999999</v>
      </c>
      <c r="X2144">
        <v>0.97862530000000003</v>
      </c>
      <c r="Y2144">
        <v>-1.9423380000000001E-2</v>
      </c>
      <c r="Z2144">
        <v>4.6943309999999998E-4</v>
      </c>
      <c r="AA2144">
        <v>0.99981120000000001</v>
      </c>
      <c r="AB2144">
        <v>28</v>
      </c>
      <c r="AC2144">
        <v>-20.317799999999899</v>
      </c>
      <c r="AD2144">
        <v>-1.1100484524800001</v>
      </c>
      <c r="AE2144">
        <v>-0.77539999999998999</v>
      </c>
      <c r="AF2144">
        <v>-0.39955996009164002</v>
      </c>
      <c r="AG2144">
        <v>-1.1100484524800001</v>
      </c>
      <c r="AH2144">
        <v>20.268230142288498</v>
      </c>
      <c r="AI2144">
        <v>93.134230081581407</v>
      </c>
      <c r="AJ2144">
        <v>91.1293602986335</v>
      </c>
      <c r="AK2144">
        <v>20.3025370047522</v>
      </c>
      <c r="AL2144">
        <v>78.364343576970697</v>
      </c>
      <c r="AM2144">
        <v>87.648669816479</v>
      </c>
      <c r="AN2144">
        <v>1.0000000328248999</v>
      </c>
    </row>
    <row r="2145" spans="1:40" x14ac:dyDescent="0.25">
      <c r="A2145" t="str">
        <f>"20190312164031374"</f>
        <v>20190312164031374</v>
      </c>
      <c r="B2145" t="str">
        <f>"1552380031367760"</f>
        <v>1552380031367760</v>
      </c>
      <c r="C2145" t="s">
        <v>40</v>
      </c>
      <c r="D2145">
        <v>5.8805699999999996</v>
      </c>
      <c r="E2145">
        <v>0.48347889999999999</v>
      </c>
      <c r="F2145" t="s">
        <v>48</v>
      </c>
      <c r="G2145">
        <v>-269.70760000000001</v>
      </c>
      <c r="H2145" s="1">
        <v>3.6291140000000001E-6</v>
      </c>
      <c r="I2145">
        <v>283.7681</v>
      </c>
      <c r="J2145">
        <v>-250.06309999999999</v>
      </c>
      <c r="K2145">
        <v>1.110039</v>
      </c>
      <c r="L2145">
        <v>284.5009</v>
      </c>
      <c r="M2145">
        <v>-0.99976180000000003</v>
      </c>
      <c r="N2145">
        <v>0</v>
      </c>
      <c r="O2145">
        <v>-1.7867669999999999E-2</v>
      </c>
      <c r="P2145">
        <v>-0.98176770000000002</v>
      </c>
      <c r="Q2145">
        <v>0.18881680000000001</v>
      </c>
      <c r="R2145">
        <v>2.1927559999999999E-2</v>
      </c>
      <c r="S2145">
        <v>-3.0917819999999998</v>
      </c>
      <c r="T2145">
        <v>-0.17211940000000001</v>
      </c>
      <c r="U2145">
        <v>-0.11437990000000001</v>
      </c>
      <c r="V2145">
        <v>3.9671270000000002E-2</v>
      </c>
      <c r="W2145">
        <v>0.2010681</v>
      </c>
      <c r="X2145">
        <v>0.97877369999999997</v>
      </c>
      <c r="Y2145">
        <v>-1.9104860000000001E-2</v>
      </c>
      <c r="Z2145">
        <v>4.6234960000000002E-4</v>
      </c>
      <c r="AA2145">
        <v>0.99981739999999997</v>
      </c>
      <c r="AB2145">
        <v>28</v>
      </c>
      <c r="AC2145">
        <v>-19.644500000000001</v>
      </c>
      <c r="AD2145">
        <v>-1.110035370886</v>
      </c>
      <c r="AE2145">
        <v>-0.73279999999999701</v>
      </c>
      <c r="AF2145">
        <v>-0.38044094213903201</v>
      </c>
      <c r="AG2145">
        <v>-1.110035370886</v>
      </c>
      <c r="AH2145">
        <v>19.591988675507999</v>
      </c>
      <c r="AI2145">
        <v>93.242165483420493</v>
      </c>
      <c r="AJ2145">
        <v>91.112440477575603</v>
      </c>
      <c r="AK2145">
        <v>19.627096935010801</v>
      </c>
      <c r="AL2145">
        <v>78.400575302836799</v>
      </c>
      <c r="AM2145">
        <v>87.678980480190802</v>
      </c>
      <c r="AN2145">
        <v>1.0000000731563501</v>
      </c>
    </row>
    <row r="2146" spans="1:40" x14ac:dyDescent="0.25">
      <c r="A2146" t="str">
        <f>"20190312164031398"</f>
        <v>20190312164031398</v>
      </c>
      <c r="B2146" t="str">
        <f>"1552380031388256"</f>
        <v>1552380031388256</v>
      </c>
      <c r="C2146" t="s">
        <v>40</v>
      </c>
      <c r="D2146">
        <v>5.2432169999999996</v>
      </c>
      <c r="E2146">
        <v>0.48379299999999997</v>
      </c>
      <c r="F2146" t="s">
        <v>48</v>
      </c>
      <c r="G2146">
        <v>-269.88729999999998</v>
      </c>
      <c r="H2146" s="1">
        <v>3.7247390000000001E-6</v>
      </c>
      <c r="I2146">
        <v>283.78559999999999</v>
      </c>
      <c r="J2146">
        <v>-250.35740000000001</v>
      </c>
      <c r="K2146">
        <v>1.110017</v>
      </c>
      <c r="L2146">
        <v>284.49619999999999</v>
      </c>
      <c r="M2146">
        <v>-0.99977300000000002</v>
      </c>
      <c r="N2146">
        <v>0</v>
      </c>
      <c r="O2146">
        <v>-1.730756E-2</v>
      </c>
      <c r="P2146">
        <v>-0.98180840000000003</v>
      </c>
      <c r="Q2146">
        <v>0.1886119</v>
      </c>
      <c r="R2146">
        <v>2.186739E-2</v>
      </c>
      <c r="S2146">
        <v>-3.0914920000000001</v>
      </c>
      <c r="T2146">
        <v>-0.173104799999999</v>
      </c>
      <c r="U2146">
        <v>-0.11154169999999999</v>
      </c>
      <c r="V2146">
        <v>3.90608E-2</v>
      </c>
      <c r="W2146">
        <v>0.20076169999999999</v>
      </c>
      <c r="X2146">
        <v>0.97886110000000004</v>
      </c>
      <c r="Y2146">
        <v>-1.8751469999999999E-2</v>
      </c>
      <c r="Z2146">
        <v>4.4360549999999997E-4</v>
      </c>
      <c r="AA2146">
        <v>0.99982409999999999</v>
      </c>
      <c r="AB2146">
        <v>28</v>
      </c>
      <c r="AC2146">
        <v>-19.529899999999898</v>
      </c>
      <c r="AD2146">
        <v>-1.1100132752609999</v>
      </c>
      <c r="AE2146">
        <v>-0.71059999999999901</v>
      </c>
      <c r="AF2146">
        <v>-0.37125481568101099</v>
      </c>
      <c r="AG2146">
        <v>-1.1100132752609999</v>
      </c>
      <c r="AH2146">
        <v>19.476440414657802</v>
      </c>
      <c r="AI2146">
        <v>93.261316474783797</v>
      </c>
      <c r="AJ2146">
        <v>91.092024921336602</v>
      </c>
      <c r="AK2146">
        <v>19.511578378879001</v>
      </c>
      <c r="AL2146">
        <v>78.418495647580002</v>
      </c>
      <c r="AM2146">
        <v>87.7148624963054</v>
      </c>
      <c r="AN2146">
        <v>1.00000002968836</v>
      </c>
    </row>
    <row r="2147" spans="1:40" x14ac:dyDescent="0.25">
      <c r="A2147" t="str">
        <f>"20190312164031420"</f>
        <v>20190312164031420</v>
      </c>
      <c r="B2147" t="str">
        <f>"1552380031407775"</f>
        <v>1552380031407775</v>
      </c>
      <c r="C2147" t="s">
        <v>40</v>
      </c>
      <c r="D2147">
        <v>5.2158199999999999</v>
      </c>
      <c r="E2147">
        <v>0.48405209999999999</v>
      </c>
      <c r="F2147" t="s">
        <v>48</v>
      </c>
      <c r="G2147">
        <v>-270.16449999999998</v>
      </c>
      <c r="H2147" s="1">
        <v>-1.413588E-6</v>
      </c>
      <c r="I2147">
        <v>283.80009999999999</v>
      </c>
      <c r="J2147">
        <v>-250.6353</v>
      </c>
      <c r="K2147">
        <v>1.10999</v>
      </c>
      <c r="L2147">
        <v>284.49200000000002</v>
      </c>
      <c r="M2147">
        <v>-0.99978330000000004</v>
      </c>
      <c r="N2147">
        <v>0</v>
      </c>
      <c r="O2147">
        <v>-1.6780400000000001E-2</v>
      </c>
      <c r="P2147">
        <v>-0.98201340000000004</v>
      </c>
      <c r="Q2147">
        <v>0.18746789999999999</v>
      </c>
      <c r="R2147">
        <v>2.248673E-2</v>
      </c>
      <c r="S2147">
        <v>-3.0913089999999999</v>
      </c>
      <c r="T2147">
        <v>-0.17324189999999901</v>
      </c>
      <c r="U2147">
        <v>-0.10864260000000001</v>
      </c>
      <c r="V2147">
        <v>3.9164020000000001E-2</v>
      </c>
      <c r="W2147">
        <v>0.1995073</v>
      </c>
      <c r="X2147">
        <v>0.97911340000000002</v>
      </c>
      <c r="Y2147">
        <v>-1.834413E-2</v>
      </c>
      <c r="Z2147">
        <v>4.2588720000000002E-4</v>
      </c>
      <c r="AA2147">
        <v>0.99983160000000004</v>
      </c>
      <c r="AB2147">
        <v>28</v>
      </c>
      <c r="AC2147">
        <v>-19.5291999999999</v>
      </c>
      <c r="AD2147">
        <v>-1.109991413588</v>
      </c>
      <c r="AE2147">
        <v>-0.69190000000003204</v>
      </c>
      <c r="AF2147">
        <v>-0.36289902910795702</v>
      </c>
      <c r="AG2147">
        <v>-1.109991413588</v>
      </c>
      <c r="AH2147">
        <v>19.475225167622298</v>
      </c>
      <c r="AI2147">
        <v>93.261481678552897</v>
      </c>
      <c r="AJ2147">
        <v>91.067519196080994</v>
      </c>
      <c r="AK2147">
        <v>19.510206866488002</v>
      </c>
      <c r="AL2147">
        <v>78.491851429981196</v>
      </c>
      <c r="AM2147">
        <v>87.709420104426101</v>
      </c>
      <c r="AN2147">
        <v>1.0000000166377001</v>
      </c>
    </row>
    <row r="2148" spans="1:40" x14ac:dyDescent="0.25">
      <c r="A2148" t="str">
        <f>"20190312164031440"</f>
        <v>20190312164031440</v>
      </c>
      <c r="B2148" t="str">
        <f>"1552380031438032"</f>
        <v>1552380031438032</v>
      </c>
      <c r="C2148" t="s">
        <v>40</v>
      </c>
      <c r="D2148">
        <v>5.3272510000000004</v>
      </c>
      <c r="E2148">
        <v>0.48436849999999998</v>
      </c>
      <c r="F2148" t="s">
        <v>48</v>
      </c>
      <c r="G2148">
        <v>-270.10520000000002</v>
      </c>
      <c r="H2148" s="1">
        <v>-1.44656E-6</v>
      </c>
      <c r="I2148">
        <v>283.83269999999999</v>
      </c>
      <c r="J2148">
        <v>-250.9059</v>
      </c>
      <c r="K2148">
        <v>1.1099619999999999</v>
      </c>
      <c r="L2148">
        <v>284.488</v>
      </c>
      <c r="M2148">
        <v>-0.9997935</v>
      </c>
      <c r="N2148">
        <v>0</v>
      </c>
      <c r="O2148">
        <v>-1.62668999999999E-2</v>
      </c>
      <c r="P2148">
        <v>-0.98226119999999995</v>
      </c>
      <c r="Q2148">
        <v>0.18618009999999999</v>
      </c>
      <c r="R2148">
        <v>2.2368800000000001E-2</v>
      </c>
      <c r="S2148">
        <v>-3.0910030000000002</v>
      </c>
      <c r="T2148">
        <v>-0.17621989999999901</v>
      </c>
      <c r="U2148">
        <v>-0.1046753</v>
      </c>
      <c r="V2148">
        <v>3.8544389999999998E-2</v>
      </c>
      <c r="W2148">
        <v>0.19810159999999999</v>
      </c>
      <c r="X2148">
        <v>0.9794233</v>
      </c>
      <c r="Y2148">
        <v>-1.7579709999999998E-2</v>
      </c>
      <c r="Z2148">
        <v>4.2577789999999999E-4</v>
      </c>
      <c r="AA2148">
        <v>0.9998454</v>
      </c>
      <c r="AB2148">
        <v>28</v>
      </c>
      <c r="AC2148">
        <v>-19.199300000000001</v>
      </c>
      <c r="AD2148">
        <v>-1.1099634465599999</v>
      </c>
      <c r="AE2148">
        <v>-0.65530000000001098</v>
      </c>
      <c r="AF2148">
        <v>-0.341736161715958</v>
      </c>
      <c r="AG2148">
        <v>-1.1099634465599999</v>
      </c>
      <c r="AH2148">
        <v>19.143510690643399</v>
      </c>
      <c r="AI2148">
        <v>93.317834557256305</v>
      </c>
      <c r="AJ2148">
        <v>91.022694355390001</v>
      </c>
      <c r="AK2148">
        <v>19.178707047653099</v>
      </c>
      <c r="AL2148">
        <v>78.574031827947394</v>
      </c>
      <c r="AM2148">
        <v>87.746335188994294</v>
      </c>
      <c r="AN2148">
        <v>0.99999995725295998</v>
      </c>
    </row>
    <row r="2149" spans="1:40" x14ac:dyDescent="0.25">
      <c r="A2149" t="str">
        <f>"20190312164031463"</f>
        <v>20190312164031463</v>
      </c>
      <c r="B2149" t="str">
        <f>"1552380031458528"</f>
        <v>1552380031458528</v>
      </c>
      <c r="C2149" t="s">
        <v>40</v>
      </c>
      <c r="D2149">
        <v>5.1999909999999998</v>
      </c>
      <c r="E2149">
        <v>0.4845873</v>
      </c>
      <c r="F2149" t="s">
        <v>48</v>
      </c>
      <c r="G2149">
        <v>-269.87430000000001</v>
      </c>
      <c r="H2149" s="1">
        <v>3.717824E-6</v>
      </c>
      <c r="I2149">
        <v>283.8623</v>
      </c>
      <c r="J2149">
        <v>-251.18350000000001</v>
      </c>
      <c r="K2149">
        <v>1.109934</v>
      </c>
      <c r="L2149">
        <v>284.48410000000001</v>
      </c>
      <c r="M2149">
        <v>-0.99980329999999995</v>
      </c>
      <c r="N2149">
        <v>0</v>
      </c>
      <c r="O2149">
        <v>-1.574072E-2</v>
      </c>
      <c r="P2149">
        <v>-0.98245720000000003</v>
      </c>
      <c r="Q2149">
        <v>0.1851496</v>
      </c>
      <c r="R2149">
        <v>2.2304480000000002E-2</v>
      </c>
      <c r="S2149">
        <v>-3.0907749999999998</v>
      </c>
      <c r="T2149">
        <v>-0.1808604</v>
      </c>
      <c r="U2149">
        <v>-0.1019592</v>
      </c>
      <c r="V2149">
        <v>3.796559E-2</v>
      </c>
      <c r="W2149">
        <v>0.19694610000000001</v>
      </c>
      <c r="X2149">
        <v>0.97967890000000002</v>
      </c>
      <c r="Y2149">
        <v>-1.7230369999999998E-2</v>
      </c>
      <c r="Z2149">
        <v>4.1646890000000001E-4</v>
      </c>
      <c r="AA2149">
        <v>0.9998515</v>
      </c>
      <c r="AB2149">
        <v>28</v>
      </c>
      <c r="AC2149">
        <v>-18.690799999999999</v>
      </c>
      <c r="AD2149">
        <v>-1.109930282176</v>
      </c>
      <c r="AE2149">
        <v>-0.62180000000000701</v>
      </c>
      <c r="AF2149">
        <v>-0.32634532099507102</v>
      </c>
      <c r="AG2149">
        <v>-1.109930282176</v>
      </c>
      <c r="AH2149">
        <v>18.632638191624199</v>
      </c>
      <c r="AI2149">
        <v>93.408510440608197</v>
      </c>
      <c r="AJ2149">
        <v>91.003416570955196</v>
      </c>
      <c r="AK2149">
        <v>18.6685203612873</v>
      </c>
      <c r="AL2149">
        <v>78.641567607822694</v>
      </c>
      <c r="AM2149">
        <v>87.780721711011793</v>
      </c>
      <c r="AN2149">
        <v>0.99999994971723205</v>
      </c>
    </row>
    <row r="2150" spans="1:40" x14ac:dyDescent="0.25">
      <c r="A2150" t="str">
        <f>"20190312164031487"</f>
        <v>20190312164031487</v>
      </c>
      <c r="B2150" t="str">
        <f>"1552380031478048"</f>
        <v>1552380031478048</v>
      </c>
      <c r="C2150" t="s">
        <v>40</v>
      </c>
      <c r="D2150">
        <v>5.2433829999999997</v>
      </c>
      <c r="E2150">
        <v>0.48488560000000003</v>
      </c>
      <c r="F2150" t="s">
        <v>48</v>
      </c>
      <c r="G2150">
        <v>-269.72660000000002</v>
      </c>
      <c r="H2150" s="1">
        <v>3.6392389999999998E-6</v>
      </c>
      <c r="I2150">
        <v>283.88080000000002</v>
      </c>
      <c r="J2150">
        <v>-251.49440000000001</v>
      </c>
      <c r="K2150">
        <v>1.1099030000000001</v>
      </c>
      <c r="L2150">
        <v>284.47980000000001</v>
      </c>
      <c r="M2150">
        <v>-0.99981450000000005</v>
      </c>
      <c r="N2150">
        <v>0</v>
      </c>
      <c r="O2150">
        <v>-1.515238E-2</v>
      </c>
      <c r="P2150">
        <v>-0.98260519999999996</v>
      </c>
      <c r="Q2150">
        <v>0.18437500000000001</v>
      </c>
      <c r="R2150">
        <v>2.2209360000000001E-2</v>
      </c>
      <c r="S2150">
        <v>-3.0906980000000002</v>
      </c>
      <c r="T2150">
        <v>-0.1849992</v>
      </c>
      <c r="U2150">
        <v>-0.1005554</v>
      </c>
      <c r="V2150">
        <v>3.7294830000000001E-2</v>
      </c>
      <c r="W2150">
        <v>0.1960161</v>
      </c>
      <c r="X2150">
        <v>0.97989119999999996</v>
      </c>
      <c r="Y2150">
        <v>-1.7364520000000001E-2</v>
      </c>
      <c r="Z2150">
        <v>3.8681479999999997E-4</v>
      </c>
      <c r="AA2150">
        <v>0.99984910000000005</v>
      </c>
      <c r="AB2150">
        <v>28</v>
      </c>
      <c r="AC2150">
        <v>-18.232199999999999</v>
      </c>
      <c r="AD2150">
        <v>-1.1098993607609999</v>
      </c>
      <c r="AE2150">
        <v>-0.59899999999998899</v>
      </c>
      <c r="AF2150">
        <v>-0.321460467242906</v>
      </c>
      <c r="AG2150">
        <v>-1.1098993607609999</v>
      </c>
      <c r="AH2150">
        <v>18.171913529746899</v>
      </c>
      <c r="AI2150">
        <v>93.494609277018796</v>
      </c>
      <c r="AJ2150">
        <v>91.013454479559499</v>
      </c>
      <c r="AK2150">
        <v>18.2086148499994</v>
      </c>
      <c r="AL2150">
        <v>78.695912448873102</v>
      </c>
      <c r="AM2150">
        <v>87.820364687499605</v>
      </c>
      <c r="AN2150">
        <v>0.99999998982068905</v>
      </c>
    </row>
    <row r="2151" spans="1:40" x14ac:dyDescent="0.25">
      <c r="A2151" t="str">
        <f>"20190312164031508"</f>
        <v>20190312164031508</v>
      </c>
      <c r="B2151" t="str">
        <f>"1552380031498547"</f>
        <v>1552380031498547</v>
      </c>
      <c r="C2151" t="s">
        <v>40</v>
      </c>
      <c r="D2151">
        <v>5.3064970000000002</v>
      </c>
      <c r="E2151">
        <v>0.4851705</v>
      </c>
      <c r="F2151" t="s">
        <v>48</v>
      </c>
      <c r="G2151">
        <v>-269.53160000000003</v>
      </c>
      <c r="H2151" s="1">
        <v>3.535465E-6</v>
      </c>
      <c r="I2151">
        <v>283.90339999999998</v>
      </c>
      <c r="J2151">
        <v>-251.75640000000001</v>
      </c>
      <c r="K2151">
        <v>1.109877</v>
      </c>
      <c r="L2151">
        <v>284.47640000000001</v>
      </c>
      <c r="M2151">
        <v>-0.99982360000000003</v>
      </c>
      <c r="N2151">
        <v>0</v>
      </c>
      <c r="O2151">
        <v>-1.465589E-2</v>
      </c>
      <c r="P2151">
        <v>-0.98290960000000005</v>
      </c>
      <c r="Q2151">
        <v>0.18276999999999999</v>
      </c>
      <c r="R2151">
        <v>2.1998139999999999E-2</v>
      </c>
      <c r="S2151">
        <v>-3.0910340000000001</v>
      </c>
      <c r="T2151">
        <v>-0.19020280000000001</v>
      </c>
      <c r="U2151">
        <v>-9.8785399999999995E-2</v>
      </c>
      <c r="V2151">
        <v>3.6599409999999999E-2</v>
      </c>
      <c r="W2151">
        <v>0.19426560000000001</v>
      </c>
      <c r="X2151">
        <v>0.98026599999999997</v>
      </c>
      <c r="Y2151">
        <v>-1.7284569999999999E-2</v>
      </c>
      <c r="Z2151">
        <v>3.6958120000000003E-4</v>
      </c>
      <c r="AA2151">
        <v>0.99985060000000003</v>
      </c>
      <c r="AB2151">
        <v>28</v>
      </c>
      <c r="AC2151">
        <v>-17.775200000000002</v>
      </c>
      <c r="AD2151">
        <v>-1.1098734645349999</v>
      </c>
      <c r="AE2151">
        <v>-0.57300000000003504</v>
      </c>
      <c r="AF2151">
        <v>-0.31119710030070102</v>
      </c>
      <c r="AG2151">
        <v>-1.1098734645349999</v>
      </c>
      <c r="AH2151">
        <v>17.7127044879037</v>
      </c>
      <c r="AI2151">
        <v>93.584899322404794</v>
      </c>
      <c r="AJ2151">
        <v>91.006534389431096</v>
      </c>
      <c r="AK2151">
        <v>17.750170788426701</v>
      </c>
      <c r="AL2151">
        <v>78.798175213004995</v>
      </c>
      <c r="AM2151">
        <v>87.861786348544797</v>
      </c>
      <c r="AN2151">
        <v>1.00000003545585</v>
      </c>
    </row>
    <row r="2152" spans="1:40" x14ac:dyDescent="0.25">
      <c r="A2152" t="str">
        <f>"20190312164031529"</f>
        <v>20190312164031529</v>
      </c>
      <c r="B2152" t="str">
        <f>"1552380031518064"</f>
        <v>1552380031518064</v>
      </c>
      <c r="C2152" t="s">
        <v>40</v>
      </c>
      <c r="D2152">
        <v>5.1855370000000001</v>
      </c>
      <c r="E2152">
        <v>0.48534359999999999</v>
      </c>
      <c r="F2152" t="s">
        <v>48</v>
      </c>
      <c r="G2152">
        <v>-269.20530000000002</v>
      </c>
      <c r="H2152" s="1">
        <v>3.3618179999999998E-6</v>
      </c>
      <c r="I2152">
        <v>283.92700000000002</v>
      </c>
      <c r="J2152">
        <v>-252.02860000000001</v>
      </c>
      <c r="K2152">
        <v>1.1098479999999999</v>
      </c>
      <c r="L2152">
        <v>284.47300000000001</v>
      </c>
      <c r="M2152">
        <v>-0.99983290000000002</v>
      </c>
      <c r="N2152">
        <v>0</v>
      </c>
      <c r="O2152">
        <v>-1.413942E-2</v>
      </c>
      <c r="P2152">
        <v>-0.98316029999999999</v>
      </c>
      <c r="Q2152">
        <v>0.18146280000000001</v>
      </c>
      <c r="R2152">
        <v>2.1607879999999999E-2</v>
      </c>
      <c r="S2152">
        <v>-3.090881</v>
      </c>
      <c r="T2152">
        <v>-0.19660150000000001</v>
      </c>
      <c r="U2152">
        <v>-9.732056E-2</v>
      </c>
      <c r="V2152">
        <v>3.5704239999999998E-2</v>
      </c>
      <c r="W2152">
        <v>0.19279669999999999</v>
      </c>
      <c r="X2152">
        <v>0.98058889999999999</v>
      </c>
      <c r="Y2152">
        <v>-1.7327800000000001E-2</v>
      </c>
      <c r="Z2152">
        <v>3.4783150000000001E-4</v>
      </c>
      <c r="AA2152">
        <v>0.99984980000000001</v>
      </c>
      <c r="AB2152">
        <v>28</v>
      </c>
      <c r="AC2152">
        <v>-17.1767</v>
      </c>
      <c r="AD2152">
        <v>-1.109844638182</v>
      </c>
      <c r="AE2152">
        <v>-0.54599999999999205</v>
      </c>
      <c r="AF2152">
        <v>-0.30180181415896401</v>
      </c>
      <c r="AG2152">
        <v>-1.109844638182</v>
      </c>
      <c r="AH2152">
        <v>17.1113374931405</v>
      </c>
      <c r="AI2152">
        <v>93.710441734602</v>
      </c>
      <c r="AJ2152">
        <v>91.010451547985596</v>
      </c>
      <c r="AK2152">
        <v>17.149947820914399</v>
      </c>
      <c r="AL2152">
        <v>78.883958128045407</v>
      </c>
      <c r="AM2152">
        <v>87.914723547345403</v>
      </c>
      <c r="AN2152">
        <v>0.99999997554403797</v>
      </c>
    </row>
    <row r="2153" spans="1:40" x14ac:dyDescent="0.25">
      <c r="A2153" t="str">
        <f>"20190312164031552"</f>
        <v>20190312164031552</v>
      </c>
      <c r="B2153" t="str">
        <f>"1552380031548320"</f>
        <v>1552380031548320</v>
      </c>
      <c r="C2153" t="s">
        <v>40</v>
      </c>
      <c r="D2153">
        <v>5.1103630000000004</v>
      </c>
      <c r="E2153">
        <v>0.48559059999999998</v>
      </c>
      <c r="F2153" t="s">
        <v>48</v>
      </c>
      <c r="G2153">
        <v>-268.9726</v>
      </c>
      <c r="H2153" s="1">
        <v>3.2379829999999999E-6</v>
      </c>
      <c r="I2153">
        <v>283.93830000000003</v>
      </c>
      <c r="J2153">
        <v>-252.31460000000001</v>
      </c>
      <c r="K2153">
        <v>1.1098209999999999</v>
      </c>
      <c r="L2153">
        <v>284.46949999999998</v>
      </c>
      <c r="M2153">
        <v>-0.99984260000000003</v>
      </c>
      <c r="N2153">
        <v>0</v>
      </c>
      <c r="O2153">
        <v>-1.3596570000000001E-2</v>
      </c>
      <c r="P2153">
        <v>-0.98333309999999996</v>
      </c>
      <c r="Q2153">
        <v>0.18058750000000001</v>
      </c>
      <c r="R2153">
        <v>2.1089569999999998E-2</v>
      </c>
      <c r="S2153">
        <v>-3.0909119999999999</v>
      </c>
      <c r="T2153">
        <v>-0.20245740000000001</v>
      </c>
      <c r="U2153">
        <v>-9.7534179999999998E-2</v>
      </c>
      <c r="V2153">
        <v>3.4654839999999999E-2</v>
      </c>
      <c r="W2153">
        <v>0.19175039999999999</v>
      </c>
      <c r="X2153">
        <v>0.98083169999999997</v>
      </c>
      <c r="Y2153">
        <v>-1.7936549999999999E-2</v>
      </c>
      <c r="Z2153">
        <v>3.0274760000000001E-4</v>
      </c>
      <c r="AA2153">
        <v>0.99983909999999998</v>
      </c>
      <c r="AB2153">
        <v>28</v>
      </c>
      <c r="AC2153">
        <v>-16.657999999999902</v>
      </c>
      <c r="AD2153">
        <v>-1.109817762017</v>
      </c>
      <c r="AE2153">
        <v>-0.53119999999995504</v>
      </c>
      <c r="AF2153">
        <v>-0.30329962054840398</v>
      </c>
      <c r="AG2153">
        <v>-1.109817762017</v>
      </c>
      <c r="AH2153">
        <v>16.5901188754295</v>
      </c>
      <c r="AI2153">
        <v>93.826536583764295</v>
      </c>
      <c r="AJ2153">
        <v>91.047361543800307</v>
      </c>
      <c r="AK2153">
        <v>16.6299648353686</v>
      </c>
      <c r="AL2153">
        <v>78.945046792970402</v>
      </c>
      <c r="AM2153">
        <v>87.976461757845399</v>
      </c>
      <c r="AN2153">
        <v>0.99999999878023704</v>
      </c>
    </row>
    <row r="2154" spans="1:40" x14ac:dyDescent="0.25">
      <c r="A2154" t="str">
        <f>"20190312164031575"</f>
        <v>20190312164031575</v>
      </c>
      <c r="B2154" t="str">
        <f>"1552380031567840"</f>
        <v>1552380031567840</v>
      </c>
      <c r="C2154" t="s">
        <v>40</v>
      </c>
      <c r="D2154">
        <v>5.1121460000000001</v>
      </c>
      <c r="E2154">
        <v>0.48578759999999999</v>
      </c>
      <c r="F2154" t="s">
        <v>48</v>
      </c>
      <c r="G2154">
        <v>-269.15449999999998</v>
      </c>
      <c r="H2154" s="1">
        <v>3.33479E-6</v>
      </c>
      <c r="I2154">
        <v>283.94170000000003</v>
      </c>
      <c r="J2154">
        <v>-252.60939999999999</v>
      </c>
      <c r="K2154">
        <v>1.109788</v>
      </c>
      <c r="L2154">
        <v>284.46609999999998</v>
      </c>
      <c r="M2154">
        <v>-0.99985210000000002</v>
      </c>
      <c r="N2154">
        <v>0</v>
      </c>
      <c r="O2154">
        <v>-1.3035969999999999E-2</v>
      </c>
      <c r="P2154">
        <v>-0.98336170000000001</v>
      </c>
      <c r="Q2154">
        <v>0.18040249999999999</v>
      </c>
      <c r="R2154">
        <v>2.1332839999999999E-2</v>
      </c>
      <c r="S2154">
        <v>-3.0903320000000001</v>
      </c>
      <c r="T2154">
        <v>-0.2036647</v>
      </c>
      <c r="U2154">
        <v>-9.6862790000000004E-2</v>
      </c>
      <c r="V2154">
        <v>3.4347839999999998E-2</v>
      </c>
      <c r="W2154">
        <v>0.19139</v>
      </c>
      <c r="X2154">
        <v>0.98091289999999998</v>
      </c>
      <c r="Y2154">
        <v>-1.8284000000000002E-2</v>
      </c>
      <c r="Z2154">
        <v>2.5627879999999998E-4</v>
      </c>
      <c r="AA2154">
        <v>0.99983279999999997</v>
      </c>
      <c r="AB2154">
        <v>28</v>
      </c>
      <c r="AC2154">
        <v>-16.545099999999898</v>
      </c>
      <c r="AD2154">
        <v>-1.1097846652100001</v>
      </c>
      <c r="AE2154">
        <v>-0.52439999999995701</v>
      </c>
      <c r="AF2154">
        <v>-0.30727930154482402</v>
      </c>
      <c r="AG2154">
        <v>-1.1097846652100001</v>
      </c>
      <c r="AH2154">
        <v>16.476473324383399</v>
      </c>
      <c r="AI2154">
        <v>93.852710062975007</v>
      </c>
      <c r="AJ2154">
        <v>91.068418347153695</v>
      </c>
      <c r="AK2154">
        <v>16.516664789884501</v>
      </c>
      <c r="AL2154">
        <v>78.966086003860696</v>
      </c>
      <c r="AM2154">
        <v>87.994539045971706</v>
      </c>
      <c r="AN2154">
        <v>1.00000001179953</v>
      </c>
    </row>
    <row r="2155" spans="1:40" x14ac:dyDescent="0.25">
      <c r="A2155" t="str">
        <f>"20190312164031598"</f>
        <v>20190312164031598</v>
      </c>
      <c r="B2155" t="str">
        <f>"1552380031588336"</f>
        <v>1552380031588336</v>
      </c>
      <c r="C2155" t="s">
        <v>40</v>
      </c>
      <c r="D2155">
        <v>5.1939120000000001</v>
      </c>
      <c r="E2155">
        <v>0.48614170000000001</v>
      </c>
      <c r="F2155" t="s">
        <v>48</v>
      </c>
      <c r="G2155">
        <v>-269.46350000000001</v>
      </c>
      <c r="H2155" s="1">
        <v>3.4992240000000001E-6</v>
      </c>
      <c r="I2155">
        <v>283.95760000000001</v>
      </c>
      <c r="J2155">
        <v>-252.8974</v>
      </c>
      <c r="K2155">
        <v>1.1097649999999999</v>
      </c>
      <c r="L2155">
        <v>284.46289999999999</v>
      </c>
      <c r="M2155">
        <v>-0.999861</v>
      </c>
      <c r="N2155">
        <v>0</v>
      </c>
      <c r="O2155">
        <v>-1.2488300000000001E-2</v>
      </c>
      <c r="P2155">
        <v>-0.98346489999999998</v>
      </c>
      <c r="Q2155">
        <v>0.1798689</v>
      </c>
      <c r="R2155">
        <v>2.1076709999999999E-2</v>
      </c>
      <c r="S2155">
        <v>-3.0900880000000002</v>
      </c>
      <c r="T2155">
        <v>-0.2034714</v>
      </c>
      <c r="U2155">
        <v>-9.32312E-2</v>
      </c>
      <c r="V2155">
        <v>3.3554529999999999E-2</v>
      </c>
      <c r="W2155">
        <v>0.19068979999999999</v>
      </c>
      <c r="X2155">
        <v>0.98107670000000002</v>
      </c>
      <c r="Y2155">
        <v>-1.7660410000000001E-2</v>
      </c>
      <c r="Z2155">
        <v>2.405528E-4</v>
      </c>
      <c r="AA2155">
        <v>0.99984399999999996</v>
      </c>
      <c r="AB2155">
        <v>28</v>
      </c>
      <c r="AC2155">
        <v>-16.566099999999999</v>
      </c>
      <c r="AD2155">
        <v>-1.109761500776</v>
      </c>
      <c r="AE2155">
        <v>-0.50529999999997699</v>
      </c>
      <c r="AF2155">
        <v>-0.297033796958457</v>
      </c>
      <c r="AG2155">
        <v>-1.109761500776</v>
      </c>
      <c r="AH2155">
        <v>16.497154109879101</v>
      </c>
      <c r="AI2155">
        <v>93.847860052977296</v>
      </c>
      <c r="AJ2155">
        <v>91.031507865024395</v>
      </c>
      <c r="AK2155">
        <v>16.537106560406599</v>
      </c>
      <c r="AL2155">
        <v>79.006957120165296</v>
      </c>
      <c r="AM2155">
        <v>88.041148215191001</v>
      </c>
      <c r="AN2155">
        <v>0.99999999879522505</v>
      </c>
    </row>
    <row r="2156" spans="1:40" x14ac:dyDescent="0.25">
      <c r="A2156" t="str">
        <f>"20190312164031620"</f>
        <v>20190312164031620</v>
      </c>
      <c r="B2156" t="str">
        <f>"1552380031607855"</f>
        <v>1552380031607855</v>
      </c>
      <c r="C2156" t="s">
        <v>40</v>
      </c>
      <c r="D2156">
        <v>5.2464149999999998</v>
      </c>
      <c r="E2156">
        <v>0.4864947</v>
      </c>
      <c r="F2156" t="s">
        <v>48</v>
      </c>
      <c r="G2156">
        <v>-269.76479999999998</v>
      </c>
      <c r="H2156" s="1">
        <v>3.6595619999999999E-6</v>
      </c>
      <c r="I2156">
        <v>283.96789999999999</v>
      </c>
      <c r="J2156">
        <v>-253.17400000000001</v>
      </c>
      <c r="K2156">
        <v>1.1097399999999999</v>
      </c>
      <c r="L2156">
        <v>284.45999999999998</v>
      </c>
      <c r="M2156">
        <v>-0.99986920000000001</v>
      </c>
      <c r="N2156">
        <v>0</v>
      </c>
      <c r="O2156">
        <v>-1.196238E-2</v>
      </c>
      <c r="P2156">
        <v>-0.98357430000000001</v>
      </c>
      <c r="Q2156">
        <v>0.17926329999999999</v>
      </c>
      <c r="R2156">
        <v>2.112729E-2</v>
      </c>
      <c r="S2156">
        <v>-3.089569</v>
      </c>
      <c r="T2156">
        <v>-0.20327290000000001</v>
      </c>
      <c r="U2156">
        <v>-9.0667719999999993E-2</v>
      </c>
      <c r="V2156">
        <v>3.3089349999999997E-2</v>
      </c>
      <c r="W2156">
        <v>0.18992819999999999</v>
      </c>
      <c r="X2156">
        <v>0.98124020000000001</v>
      </c>
      <c r="Y2156">
        <v>-1.736207E-2</v>
      </c>
      <c r="Z2156">
        <v>2.156096E-4</v>
      </c>
      <c r="AA2156">
        <v>0.99984930000000005</v>
      </c>
      <c r="AB2156">
        <v>28</v>
      </c>
      <c r="AC2156">
        <v>-16.590799999999899</v>
      </c>
      <c r="AD2156">
        <v>-1.1097363404379901</v>
      </c>
      <c r="AE2156">
        <v>-0.49209999999999299</v>
      </c>
      <c r="AF2156">
        <v>-0.29228102959667102</v>
      </c>
      <c r="AG2156">
        <v>-1.1097363404379901</v>
      </c>
      <c r="AH2156">
        <v>16.521645398541501</v>
      </c>
      <c r="AI2156">
        <v>93.842107812368994</v>
      </c>
      <c r="AJ2156">
        <v>91.013502126243395</v>
      </c>
      <c r="AK2156">
        <v>16.561452521463799</v>
      </c>
      <c r="AL2156">
        <v>79.051405694101504</v>
      </c>
      <c r="AM2156">
        <v>88.068605479991803</v>
      </c>
      <c r="AN2156">
        <v>0.99999997816735098</v>
      </c>
    </row>
    <row r="2157" spans="1:40" x14ac:dyDescent="0.25">
      <c r="A2157" t="str">
        <f>"20190312164031642"</f>
        <v>20190312164031642</v>
      </c>
      <c r="B2157" t="str">
        <f>"1552380031638113"</f>
        <v>1552380031638113</v>
      </c>
      <c r="C2157" t="s">
        <v>40</v>
      </c>
      <c r="D2157">
        <v>5.2131210000000001</v>
      </c>
      <c r="E2157">
        <v>0.48698540000000001</v>
      </c>
      <c r="F2157" t="s">
        <v>48</v>
      </c>
      <c r="G2157">
        <v>-270.04430000000002</v>
      </c>
      <c r="H2157" s="1">
        <v>-1.485439E-6</v>
      </c>
      <c r="I2157">
        <v>283.98079999999999</v>
      </c>
      <c r="J2157">
        <v>-253.46090000000001</v>
      </c>
      <c r="K2157">
        <v>1.1097109999999999</v>
      </c>
      <c r="L2157">
        <v>284.45710000000003</v>
      </c>
      <c r="M2157">
        <v>-0.99987720000000002</v>
      </c>
      <c r="N2157">
        <v>0</v>
      </c>
      <c r="O2157">
        <v>-1.141707E-2</v>
      </c>
      <c r="P2157">
        <v>-0.98381229999999997</v>
      </c>
      <c r="Q2157">
        <v>0.17798020000000001</v>
      </c>
      <c r="R2157">
        <v>2.0888739999999999E-2</v>
      </c>
      <c r="S2157">
        <v>-3.0890200000000001</v>
      </c>
      <c r="T2157">
        <v>-0.20319870000000001</v>
      </c>
      <c r="U2157">
        <v>-8.7738040000000003E-2</v>
      </c>
      <c r="V2157">
        <v>3.2316789999999998E-2</v>
      </c>
      <c r="W2157">
        <v>0.18849540000000001</v>
      </c>
      <c r="X2157">
        <v>0.98154220000000003</v>
      </c>
      <c r="Y2157">
        <v>-1.696479E-2</v>
      </c>
      <c r="Z2157">
        <v>1.9279949999999999E-4</v>
      </c>
      <c r="AA2157">
        <v>0.99985610000000003</v>
      </c>
      <c r="AB2157">
        <v>29</v>
      </c>
      <c r="AC2157">
        <v>-16.583400000000001</v>
      </c>
      <c r="AD2157">
        <v>-1.1097124854389999</v>
      </c>
      <c r="AE2157">
        <v>-0.47630000000003703</v>
      </c>
      <c r="AF2157">
        <v>-0.28564616520073699</v>
      </c>
      <c r="AG2157">
        <v>-1.1097124854389999</v>
      </c>
      <c r="AH2157">
        <v>16.513870875364098</v>
      </c>
      <c r="AI2157">
        <v>93.843855195445101</v>
      </c>
      <c r="AJ2157">
        <v>90.9909661919109</v>
      </c>
      <c r="AK2157">
        <v>16.553579275196999</v>
      </c>
      <c r="AL2157">
        <v>79.135009423545995</v>
      </c>
      <c r="AM2157">
        <v>88.114246086811605</v>
      </c>
      <c r="AN2157">
        <v>0.99999999055895195</v>
      </c>
    </row>
    <row r="2158" spans="1:40" x14ac:dyDescent="0.25">
      <c r="A2158" t="str">
        <f>"20190312164031664"</f>
        <v>20190312164031664</v>
      </c>
      <c r="B2158" t="str">
        <f>"1552380031658608"</f>
        <v>1552380031658608</v>
      </c>
      <c r="C2158" t="s">
        <v>40</v>
      </c>
      <c r="D2158">
        <v>5.318149</v>
      </c>
      <c r="E2158">
        <v>0.48733969999999999</v>
      </c>
      <c r="F2158" t="s">
        <v>48</v>
      </c>
      <c r="G2158">
        <v>-270.2054</v>
      </c>
      <c r="H2158" s="1">
        <v>-1.4004599999999999E-6</v>
      </c>
      <c r="I2158">
        <v>283.99829999999997</v>
      </c>
      <c r="J2158">
        <v>-253.75229999999999</v>
      </c>
      <c r="K2158">
        <v>1.109691</v>
      </c>
      <c r="L2158">
        <v>284.45440000000002</v>
      </c>
      <c r="M2158">
        <v>-0.99988500000000002</v>
      </c>
      <c r="N2158">
        <v>0</v>
      </c>
      <c r="O2158">
        <v>-1.086349E-2</v>
      </c>
      <c r="P2158">
        <v>-0.98405500000000001</v>
      </c>
      <c r="Q2158">
        <v>0.1766588</v>
      </c>
      <c r="R2158">
        <v>2.0682289999999999E-2</v>
      </c>
      <c r="S2158">
        <v>-3.0881959999999999</v>
      </c>
      <c r="T2158">
        <v>-0.2046646</v>
      </c>
      <c r="U2158">
        <v>-8.4625240000000004E-2</v>
      </c>
      <c r="V2158">
        <v>3.1567919999999999E-2</v>
      </c>
      <c r="W2158">
        <v>0.18703600000000001</v>
      </c>
      <c r="X2158">
        <v>0.98184570000000004</v>
      </c>
      <c r="Y2158">
        <v>-1.6518499999999998E-2</v>
      </c>
      <c r="Z2158">
        <v>1.7237289999999999E-4</v>
      </c>
      <c r="AA2158">
        <v>0.99986359999999996</v>
      </c>
      <c r="AB2158">
        <v>29</v>
      </c>
      <c r="AC2158">
        <v>-16.453099999999999</v>
      </c>
      <c r="AD2158">
        <v>-1.10969240046</v>
      </c>
      <c r="AE2158">
        <v>-0.45610000000004902</v>
      </c>
      <c r="AF2158">
        <v>-0.27607012704652301</v>
      </c>
      <c r="AG2158">
        <v>-1.10969240046</v>
      </c>
      <c r="AH2158">
        <v>16.382617875987801</v>
      </c>
      <c r="AI2158">
        <v>93.874517159772907</v>
      </c>
      <c r="AJ2158">
        <v>90.965423002518193</v>
      </c>
      <c r="AK2158">
        <v>16.422478509936401</v>
      </c>
      <c r="AL2158">
        <v>79.220141037907396</v>
      </c>
      <c r="AM2158">
        <v>88.158482810591096</v>
      </c>
      <c r="AN2158">
        <v>0.99999998873880802</v>
      </c>
    </row>
    <row r="2159" spans="1:40" x14ac:dyDescent="0.25">
      <c r="A2159" t="str">
        <f>"20190312164031677"</f>
        <v>20190312164031677</v>
      </c>
      <c r="B2159" t="str">
        <f>"1552380031668368"</f>
        <v>1552380031668368</v>
      </c>
      <c r="C2159" t="s">
        <v>40</v>
      </c>
      <c r="D2159">
        <v>5.2432990000000004</v>
      </c>
      <c r="E2159">
        <v>0.4874754</v>
      </c>
      <c r="F2159" t="s">
        <v>48</v>
      </c>
      <c r="G2159">
        <v>-270.22269999999997</v>
      </c>
      <c r="H2159" s="1">
        <v>-1.392038E-6</v>
      </c>
      <c r="I2159">
        <v>284.01609999999999</v>
      </c>
      <c r="J2159">
        <v>-253.91929999999999</v>
      </c>
      <c r="K2159">
        <v>1.1096779999999999</v>
      </c>
      <c r="L2159">
        <v>284.4529</v>
      </c>
      <c r="M2159">
        <v>-0.99988909999999998</v>
      </c>
      <c r="N2159">
        <v>0</v>
      </c>
      <c r="O2159">
        <v>-1.054601E-2</v>
      </c>
      <c r="P2159">
        <v>-0.9840932</v>
      </c>
      <c r="Q2159">
        <v>0.17647280000000001</v>
      </c>
      <c r="R2159">
        <v>2.044814E-2</v>
      </c>
      <c r="S2159">
        <v>-3.0877080000000001</v>
      </c>
      <c r="T2159">
        <v>-0.20803389999999999</v>
      </c>
      <c r="U2159">
        <v>-8.2183839999999994E-2</v>
      </c>
      <c r="V2159">
        <v>3.1022049999999999E-2</v>
      </c>
      <c r="W2159">
        <v>0.1867732</v>
      </c>
      <c r="X2159">
        <v>0.98191309999999998</v>
      </c>
      <c r="Y2159">
        <v>-1.605022E-2</v>
      </c>
      <c r="Z2159">
        <v>1.696279E-4</v>
      </c>
      <c r="AA2159">
        <v>0.99987119999999996</v>
      </c>
      <c r="AB2159">
        <v>29</v>
      </c>
      <c r="AC2159">
        <v>-16.3033999999999</v>
      </c>
      <c r="AD2159">
        <v>-1.1096793920379999</v>
      </c>
      <c r="AE2159">
        <v>-0.43680000000000502</v>
      </c>
      <c r="AF2159">
        <v>-0.26361001812886597</v>
      </c>
      <c r="AG2159">
        <v>-1.1096793920379999</v>
      </c>
      <c r="AH2159">
        <v>16.231955389201101</v>
      </c>
      <c r="AI2159">
        <v>93.910362481382194</v>
      </c>
      <c r="AJ2159">
        <v>90.930412478662603</v>
      </c>
      <c r="AK2159">
        <v>16.271977579624</v>
      </c>
      <c r="AL2159">
        <v>79.2354682189887</v>
      </c>
      <c r="AM2159">
        <v>88.190428958934206</v>
      </c>
      <c r="AN2159">
        <v>0.99999996588802498</v>
      </c>
    </row>
    <row r="2160" spans="1:40" x14ac:dyDescent="0.25">
      <c r="A2160" t="str">
        <f>"20190312164031689"</f>
        <v>20190312164031689</v>
      </c>
      <c r="B2160" t="str">
        <f>"1552380031678129"</f>
        <v>1552380031678129</v>
      </c>
      <c r="C2160" t="s">
        <v>40</v>
      </c>
      <c r="D2160">
        <v>5.2657129999999999</v>
      </c>
      <c r="E2160">
        <v>0.48761189999999999</v>
      </c>
      <c r="F2160" t="s">
        <v>48</v>
      </c>
      <c r="G2160">
        <v>-270.29820000000001</v>
      </c>
      <c r="H2160" s="1">
        <v>-1.3520140000000001E-6</v>
      </c>
      <c r="I2160">
        <v>284.01929999999999</v>
      </c>
      <c r="J2160">
        <v>-254.06870000000001</v>
      </c>
      <c r="K2160">
        <v>1.1096699999999999</v>
      </c>
      <c r="L2160">
        <v>284.45159999999998</v>
      </c>
      <c r="M2160">
        <v>-0.99989300000000003</v>
      </c>
      <c r="N2160">
        <v>0</v>
      </c>
      <c r="O2160">
        <v>-1.0263049999999999E-2</v>
      </c>
      <c r="P2160">
        <v>-0.9841917</v>
      </c>
      <c r="Q2160">
        <v>0.17591609999999999</v>
      </c>
      <c r="R2160">
        <v>2.0504229999999998E-2</v>
      </c>
      <c r="S2160">
        <v>-3.0876920000000001</v>
      </c>
      <c r="T2160">
        <v>-0.20919260000000001</v>
      </c>
      <c r="U2160">
        <v>-8.1756590000000004E-2</v>
      </c>
      <c r="V2160">
        <v>3.0800170000000002E-2</v>
      </c>
      <c r="W2160">
        <v>0.18615010000000001</v>
      </c>
      <c r="X2160">
        <v>0.98203839999999998</v>
      </c>
      <c r="Y2160">
        <v>-1.6193949999999999E-2</v>
      </c>
      <c r="Z2160">
        <v>1.4656389999999901E-4</v>
      </c>
      <c r="AA2160">
        <v>0.99986889999999995</v>
      </c>
      <c r="AB2160">
        <v>29</v>
      </c>
      <c r="AC2160">
        <v>-16.229500000000002</v>
      </c>
      <c r="AD2160">
        <v>-1.109671352014</v>
      </c>
      <c r="AE2160">
        <v>-0.43229999999999702</v>
      </c>
      <c r="AF2160">
        <v>-0.26446850510275899</v>
      </c>
      <c r="AG2160">
        <v>-1.109671352014</v>
      </c>
      <c r="AH2160">
        <v>16.1575994399381</v>
      </c>
      <c r="AI2160">
        <v>93.928264902557302</v>
      </c>
      <c r="AJ2160">
        <v>90.937736834402003</v>
      </c>
      <c r="AK2160">
        <v>16.197818796404601</v>
      </c>
      <c r="AL2160">
        <v>79.271806499847202</v>
      </c>
      <c r="AM2160">
        <v>88.203592184599302</v>
      </c>
      <c r="AN2160">
        <v>0.99999996463829799</v>
      </c>
    </row>
    <row r="2161" spans="1:40" x14ac:dyDescent="0.25">
      <c r="A2161" t="str">
        <f>"20190312164031709"</f>
        <v>20190312164031709</v>
      </c>
      <c r="B2161" t="str">
        <f>"1552380031698628"</f>
        <v>1552380031698628</v>
      </c>
      <c r="C2161" t="s">
        <v>40</v>
      </c>
      <c r="D2161">
        <v>5.2080399999999996</v>
      </c>
      <c r="E2161">
        <v>0.48791210000000002</v>
      </c>
      <c r="F2161" t="s">
        <v>48</v>
      </c>
      <c r="G2161">
        <v>-270.37599999999998</v>
      </c>
      <c r="H2161" s="1">
        <v>-1.310847E-6</v>
      </c>
      <c r="I2161">
        <v>284.02449999999999</v>
      </c>
      <c r="J2161">
        <v>-254.32570000000001</v>
      </c>
      <c r="K2161">
        <v>1.109658</v>
      </c>
      <c r="L2161">
        <v>284.4495</v>
      </c>
      <c r="M2161">
        <v>-0.99989890000000003</v>
      </c>
      <c r="N2161">
        <v>0</v>
      </c>
      <c r="O2161">
        <v>-9.7811679999999998E-3</v>
      </c>
      <c r="P2161">
        <v>-0.98438479999999995</v>
      </c>
      <c r="Q2161">
        <v>0.17485999999999999</v>
      </c>
      <c r="R2161">
        <v>2.0268080000000001E-2</v>
      </c>
      <c r="S2161">
        <v>-3.0874630000000001</v>
      </c>
      <c r="T2161">
        <v>-0.2100949</v>
      </c>
      <c r="U2161">
        <v>-8.0871579999999998E-2</v>
      </c>
      <c r="V2161">
        <v>3.0090080000000002E-2</v>
      </c>
      <c r="W2161">
        <v>0.1849816</v>
      </c>
      <c r="X2161">
        <v>0.98228119999999997</v>
      </c>
      <c r="Y2161">
        <v>-1.63897E-2</v>
      </c>
      <c r="Z2161">
        <v>1.078084E-4</v>
      </c>
      <c r="AA2161">
        <v>0.99986569999999997</v>
      </c>
      <c r="AB2161">
        <v>29</v>
      </c>
      <c r="AC2161">
        <v>-16.050299999999901</v>
      </c>
      <c r="AD2161">
        <v>-1.1096593108470001</v>
      </c>
      <c r="AE2161">
        <v>-0.42500000000001098</v>
      </c>
      <c r="AF2161">
        <v>-0.266706703434965</v>
      </c>
      <c r="AG2161">
        <v>-1.1096593108470001</v>
      </c>
      <c r="AH2161">
        <v>15.977373621497501</v>
      </c>
      <c r="AI2161">
        <v>93.972370694701397</v>
      </c>
      <c r="AJ2161">
        <v>90.956336736841905</v>
      </c>
      <c r="AK2161">
        <v>16.0180817856799</v>
      </c>
      <c r="AL2161">
        <v>79.339940150550106</v>
      </c>
      <c r="AM2161">
        <v>88.245415232704502</v>
      </c>
      <c r="AN2161">
        <v>0.99999998056320205</v>
      </c>
    </row>
    <row r="2162" spans="1:40" x14ac:dyDescent="0.25">
      <c r="A2162" t="str">
        <f>"20190312164031722"</f>
        <v>20190312164031722</v>
      </c>
      <c r="B2162" t="str">
        <f>"1552380031718144"</f>
        <v>1552380031718144</v>
      </c>
      <c r="C2162" t="s">
        <v>40</v>
      </c>
      <c r="D2162">
        <v>5.219665</v>
      </c>
      <c r="E2162">
        <v>0.48815330000000001</v>
      </c>
      <c r="F2162" t="s">
        <v>48</v>
      </c>
      <c r="G2162">
        <v>-270.32769999999999</v>
      </c>
      <c r="H2162" s="1">
        <v>-1.33718E-6</v>
      </c>
      <c r="I2162">
        <v>284.03870000000001</v>
      </c>
      <c r="J2162">
        <v>-254.48400000000001</v>
      </c>
      <c r="K2162">
        <v>1.10965</v>
      </c>
      <c r="L2162">
        <v>284.44819999999999</v>
      </c>
      <c r="M2162">
        <v>-0.99990239999999997</v>
      </c>
      <c r="N2162">
        <v>0</v>
      </c>
      <c r="O2162">
        <v>-9.4890540000000002E-3</v>
      </c>
      <c r="P2162">
        <v>-0.98451169999999999</v>
      </c>
      <c r="Q2162">
        <v>0.1741249</v>
      </c>
      <c r="R2162">
        <v>2.042708E-2</v>
      </c>
      <c r="S2162">
        <v>-3.08725</v>
      </c>
      <c r="T2162">
        <v>-0.21408579999999999</v>
      </c>
      <c r="U2162">
        <v>-7.9254149999999995E-2</v>
      </c>
      <c r="V2162">
        <v>2.9960609999999999E-2</v>
      </c>
      <c r="W2162">
        <v>0.1841788</v>
      </c>
      <c r="X2162">
        <v>0.98243599999999998</v>
      </c>
      <c r="Y2162">
        <v>-1.6159400000000001E-2</v>
      </c>
      <c r="Z2162" s="1">
        <v>9.7606040000000003E-5</v>
      </c>
      <c r="AA2162">
        <v>0.99986940000000002</v>
      </c>
      <c r="AB2162">
        <v>29</v>
      </c>
      <c r="AC2162">
        <v>-15.843699999999901</v>
      </c>
      <c r="AD2162">
        <v>-1.1096513371799901</v>
      </c>
      <c r="AE2162">
        <v>-0.40949999999997899</v>
      </c>
      <c r="AF2162">
        <v>-0.25786787372623998</v>
      </c>
      <c r="AG2162">
        <v>-1.1096513371799901</v>
      </c>
      <c r="AH2162">
        <v>15.769570762262701</v>
      </c>
      <c r="AI2162">
        <v>94.024539286657799</v>
      </c>
      <c r="AJ2162">
        <v>90.936831088734607</v>
      </c>
      <c r="AK2162">
        <v>15.810666777730001</v>
      </c>
      <c r="AL2162">
        <v>79.386741376723904</v>
      </c>
      <c r="AM2162">
        <v>88.253235184533594</v>
      </c>
      <c r="AN2162">
        <v>0.99999998130850498</v>
      </c>
    </row>
    <row r="2163" spans="1:40" x14ac:dyDescent="0.25">
      <c r="A2163" t="str">
        <f>"20190312164031742"</f>
        <v>20190312164031742</v>
      </c>
      <c r="B2163" t="str">
        <f>"1552380031738641"</f>
        <v>1552380031738641</v>
      </c>
      <c r="C2163" t="s">
        <v>40</v>
      </c>
      <c r="D2163">
        <v>5.2171260000000004</v>
      </c>
      <c r="E2163">
        <v>0.48840280000000003</v>
      </c>
      <c r="F2163" t="s">
        <v>48</v>
      </c>
      <c r="G2163">
        <v>-270.27839999999998</v>
      </c>
      <c r="H2163" s="1">
        <v>-1.3641270000000001E-6</v>
      </c>
      <c r="I2163">
        <v>284.05540000000002</v>
      </c>
      <c r="J2163">
        <v>-254.75630000000001</v>
      </c>
      <c r="K2163">
        <v>1.1096349999999999</v>
      </c>
      <c r="L2163">
        <v>284.44619999999998</v>
      </c>
      <c r="M2163">
        <v>-0.99990820000000002</v>
      </c>
      <c r="N2163">
        <v>0</v>
      </c>
      <c r="O2163">
        <v>-8.9995040000000002E-3</v>
      </c>
      <c r="P2163">
        <v>-0.98463460000000003</v>
      </c>
      <c r="Q2163">
        <v>0.17342050000000001</v>
      </c>
      <c r="R2163">
        <v>2.0503549999999999E-2</v>
      </c>
      <c r="S2163">
        <v>-3.0871279999999999</v>
      </c>
      <c r="T2163">
        <v>-0.21688959999999999</v>
      </c>
      <c r="U2163">
        <v>-7.6782230000000007E-2</v>
      </c>
      <c r="V2163">
        <v>2.9551600000000001E-2</v>
      </c>
      <c r="W2163">
        <v>0.18335850000000001</v>
      </c>
      <c r="X2163">
        <v>0.98260179999999997</v>
      </c>
      <c r="Y2163">
        <v>-1.584899E-2</v>
      </c>
      <c r="Z2163" s="1">
        <v>7.5429909999999995E-5</v>
      </c>
      <c r="AA2163">
        <v>0.99987440000000005</v>
      </c>
      <c r="AB2163">
        <v>29</v>
      </c>
      <c r="AC2163">
        <v>-15.522099999999901</v>
      </c>
      <c r="AD2163">
        <v>-1.109636364127</v>
      </c>
      <c r="AE2163">
        <v>-0.39079999999995602</v>
      </c>
      <c r="AF2163">
        <v>-0.24980996827862001</v>
      </c>
      <c r="AG2163">
        <v>-1.109636364127</v>
      </c>
      <c r="AH2163">
        <v>15.446101777953499</v>
      </c>
      <c r="AI2163">
        <v>94.108491344758406</v>
      </c>
      <c r="AJ2163">
        <v>90.926564470865898</v>
      </c>
      <c r="AK2163">
        <v>15.4879229729406</v>
      </c>
      <c r="AL2163">
        <v>79.434555249551195</v>
      </c>
      <c r="AM2163">
        <v>88.277357376771903</v>
      </c>
      <c r="AN2163">
        <v>0.99999996697402405</v>
      </c>
    </row>
    <row r="2164" spans="1:40" x14ac:dyDescent="0.25">
      <c r="A2164" t="str">
        <f>"20190312164031764"</f>
        <v>20190312164031764</v>
      </c>
      <c r="B2164" t="str">
        <f>"1552380031758160"</f>
        <v>1552380031758160</v>
      </c>
      <c r="C2164" t="s">
        <v>40</v>
      </c>
      <c r="D2164">
        <v>5.2539319999999998</v>
      </c>
      <c r="E2164">
        <v>0.48862040000000001</v>
      </c>
      <c r="F2164" t="s">
        <v>48</v>
      </c>
      <c r="G2164">
        <v>-270.36430000000001</v>
      </c>
      <c r="H2164" s="1">
        <v>-1.3190549999999901E-6</v>
      </c>
      <c r="I2164">
        <v>284.06950000000001</v>
      </c>
      <c r="J2164">
        <v>-255.04580000000001</v>
      </c>
      <c r="K2164">
        <v>1.109632</v>
      </c>
      <c r="L2164">
        <v>284.44409999999999</v>
      </c>
      <c r="M2164">
        <v>-0.99991379999999996</v>
      </c>
      <c r="N2164">
        <v>0</v>
      </c>
      <c r="O2164">
        <v>-8.5010709999999903E-3</v>
      </c>
      <c r="P2164">
        <v>-0.98468599999999995</v>
      </c>
      <c r="Q2164">
        <v>0.17309379999999999</v>
      </c>
      <c r="R2164">
        <v>2.079319E-2</v>
      </c>
      <c r="S2164">
        <v>-3.087021</v>
      </c>
      <c r="T2164">
        <v>-0.21947</v>
      </c>
      <c r="U2164">
        <v>-7.4493409999999996E-2</v>
      </c>
      <c r="V2164">
        <v>2.9343660000000001E-2</v>
      </c>
      <c r="W2164">
        <v>0.18291180000000001</v>
      </c>
      <c r="X2164">
        <v>0.98269130000000005</v>
      </c>
      <c r="Y2164">
        <v>-1.560633E-2</v>
      </c>
      <c r="Z2164" s="1">
        <v>4.9556840000000002E-5</v>
      </c>
      <c r="AA2164">
        <v>0.99987820000000005</v>
      </c>
      <c r="AB2164">
        <v>29</v>
      </c>
      <c r="AC2164">
        <v>-15.3185</v>
      </c>
      <c r="AD2164">
        <v>-1.1096333190549901</v>
      </c>
      <c r="AE2164">
        <v>-0.374599999999986</v>
      </c>
      <c r="AF2164">
        <v>-0.24308155473551199</v>
      </c>
      <c r="AG2164">
        <v>-1.1096333190549901</v>
      </c>
      <c r="AH2164">
        <v>15.2412054241841</v>
      </c>
      <c r="AI2164">
        <v>94.163534760494201</v>
      </c>
      <c r="AJ2164">
        <v>90.913731298877096</v>
      </c>
      <c r="AK2164">
        <v>15.283478580715499</v>
      </c>
      <c r="AL2164">
        <v>79.460589756286794</v>
      </c>
      <c r="AM2164">
        <v>88.289627230970893</v>
      </c>
      <c r="AN2164">
        <v>0.99999998402856205</v>
      </c>
    </row>
    <row r="2165" spans="1:40" x14ac:dyDescent="0.25">
      <c r="A2165" t="str">
        <f>"20190312164031776"</f>
        <v>20190312164031776</v>
      </c>
      <c r="B2165" t="str">
        <f>"1552380031767920"</f>
        <v>1552380031767920</v>
      </c>
      <c r="C2165" t="s">
        <v>40</v>
      </c>
      <c r="D2165">
        <v>5.311007</v>
      </c>
      <c r="E2165">
        <v>0.48874129999999899</v>
      </c>
      <c r="F2165" t="s">
        <v>48</v>
      </c>
      <c r="G2165">
        <v>-270.5607</v>
      </c>
      <c r="H2165" s="1">
        <v>-1.214952E-6</v>
      </c>
      <c r="I2165">
        <v>284.07990000000001</v>
      </c>
      <c r="J2165">
        <v>-255.2045</v>
      </c>
      <c r="K2165">
        <v>1.109632</v>
      </c>
      <c r="L2165">
        <v>284.44310000000002</v>
      </c>
      <c r="M2165">
        <v>-0.99991669999999999</v>
      </c>
      <c r="N2165">
        <v>0</v>
      </c>
      <c r="O2165">
        <v>-8.2367220000000001E-3</v>
      </c>
      <c r="P2165">
        <v>-0.98471109999999995</v>
      </c>
      <c r="Q2165">
        <v>0.17289939999999901</v>
      </c>
      <c r="R2165">
        <v>2.1221070000000002E-2</v>
      </c>
      <c r="S2165">
        <v>-3.0870060000000001</v>
      </c>
      <c r="T2165">
        <v>-0.2207836</v>
      </c>
      <c r="U2165">
        <v>-7.2479249999999995E-2</v>
      </c>
      <c r="V2165">
        <v>2.950705E-2</v>
      </c>
      <c r="W2165">
        <v>0.18265390000000001</v>
      </c>
      <c r="X2165">
        <v>0.98273440000000001</v>
      </c>
      <c r="Y2165">
        <v>-1.5218870000000001E-2</v>
      </c>
      <c r="Z2165" s="1">
        <v>4.4810179999999999E-5</v>
      </c>
      <c r="AA2165">
        <v>0.9998842</v>
      </c>
      <c r="AB2165">
        <v>29</v>
      </c>
      <c r="AC2165">
        <v>-15.356199999999999</v>
      </c>
      <c r="AD2165">
        <v>-1.1096332149519901</v>
      </c>
      <c r="AE2165">
        <v>-0.36320000000000602</v>
      </c>
      <c r="AF2165">
        <v>-0.235467885075033</v>
      </c>
      <c r="AG2165">
        <v>-1.1096332149519901</v>
      </c>
      <c r="AH2165">
        <v>15.2789371055382</v>
      </c>
      <c r="AI2165">
        <v>94.153323339616094</v>
      </c>
      <c r="AJ2165">
        <v>90.882931056593407</v>
      </c>
      <c r="AK2165">
        <v>15.320987242068201</v>
      </c>
      <c r="AL2165">
        <v>79.475619785433395</v>
      </c>
      <c r="AM2165">
        <v>88.280184701443602</v>
      </c>
      <c r="AN2165">
        <v>1.0000000070641299</v>
      </c>
    </row>
    <row r="2166" spans="1:40" x14ac:dyDescent="0.25">
      <c r="A2166" t="str">
        <f>"20190312164031800"</f>
        <v>20190312164031800</v>
      </c>
      <c r="B2166" t="str">
        <f>"1552380031788422"</f>
        <v>1552380031788422</v>
      </c>
      <c r="C2166" t="s">
        <v>40</v>
      </c>
      <c r="D2166">
        <v>5.3814120000000001</v>
      </c>
      <c r="E2166">
        <v>0.4890253</v>
      </c>
      <c r="F2166" t="s">
        <v>48</v>
      </c>
      <c r="G2166">
        <v>-270.62360000000001</v>
      </c>
      <c r="H2166" s="1">
        <v>-1.1819629999999999E-6</v>
      </c>
      <c r="I2166">
        <v>284.09030000000001</v>
      </c>
      <c r="J2166">
        <v>-255.48400000000001</v>
      </c>
      <c r="K2166">
        <v>1.109639</v>
      </c>
      <c r="L2166">
        <v>284.44119999999998</v>
      </c>
      <c r="M2166">
        <v>-0.99992110000000001</v>
      </c>
      <c r="N2166">
        <v>0</v>
      </c>
      <c r="O2166">
        <v>-7.7995929999999996E-3</v>
      </c>
      <c r="P2166">
        <v>-0.98476079999999999</v>
      </c>
      <c r="Q2166">
        <v>0.17258789999999999</v>
      </c>
      <c r="R2166">
        <v>2.1442349999999999E-2</v>
      </c>
      <c r="S2166">
        <v>-3.0870820000000001</v>
      </c>
      <c r="T2166">
        <v>-0.222162</v>
      </c>
      <c r="U2166">
        <v>-7.0617680000000002E-2</v>
      </c>
      <c r="V2166">
        <v>2.9288499999999999E-2</v>
      </c>
      <c r="W2166">
        <v>0.1822414</v>
      </c>
      <c r="X2166">
        <v>0.98281750000000001</v>
      </c>
      <c r="Y2166">
        <v>-1.505187E-2</v>
      </c>
      <c r="Z2166" s="1">
        <v>1.9676339999999999E-5</v>
      </c>
      <c r="AA2166">
        <v>0.99988670000000002</v>
      </c>
      <c r="AB2166">
        <v>29</v>
      </c>
      <c r="AC2166">
        <v>-15.1396</v>
      </c>
      <c r="AD2166">
        <v>-1.109640181963</v>
      </c>
      <c r="AE2166">
        <v>-0.35089999999996702</v>
      </c>
      <c r="AF2166">
        <v>-0.231557623913869</v>
      </c>
      <c r="AG2166">
        <v>-1.109640181963</v>
      </c>
      <c r="AH2166">
        <v>15.0610122273798</v>
      </c>
      <c r="AI2166">
        <v>94.213233585185293</v>
      </c>
      <c r="AJ2166">
        <v>90.880832519197895</v>
      </c>
      <c r="AK2166">
        <v>15.1036091574135</v>
      </c>
      <c r="AL2166">
        <v>79.499657589794694</v>
      </c>
      <c r="AM2166">
        <v>88.293059553423205</v>
      </c>
      <c r="AN2166">
        <v>0.99999999120622995</v>
      </c>
    </row>
    <row r="2167" spans="1:40" x14ac:dyDescent="0.25">
      <c r="A2167" t="str">
        <f>"20190312164031821"</f>
        <v>20190312164031821</v>
      </c>
      <c r="B2167" t="str">
        <f>"1552380031807940"</f>
        <v>1552380031807940</v>
      </c>
      <c r="C2167" t="s">
        <v>40</v>
      </c>
      <c r="D2167">
        <v>5.2561970000000002</v>
      </c>
      <c r="E2167">
        <v>0.4892648</v>
      </c>
      <c r="F2167" t="s">
        <v>48</v>
      </c>
      <c r="G2167">
        <v>-270.89240000000001</v>
      </c>
      <c r="H2167" s="1">
        <v>-1.0393759999999999E-6</v>
      </c>
      <c r="I2167">
        <v>284.10090000000002</v>
      </c>
      <c r="J2167">
        <v>-255.76689999999999</v>
      </c>
      <c r="K2167">
        <v>1.109653</v>
      </c>
      <c r="L2167">
        <v>284.43939999999998</v>
      </c>
      <c r="M2167">
        <v>-0.99992510000000001</v>
      </c>
      <c r="N2167">
        <v>0</v>
      </c>
      <c r="O2167">
        <v>-7.404529E-3</v>
      </c>
      <c r="P2167">
        <v>-0.98489510000000002</v>
      </c>
      <c r="Q2167">
        <v>0.1717854</v>
      </c>
      <c r="R2167">
        <v>2.1714799999999999E-2</v>
      </c>
      <c r="S2167">
        <v>-3.0868530000000001</v>
      </c>
      <c r="T2167">
        <v>-0.2223012</v>
      </c>
      <c r="U2167">
        <v>-6.8176269999999997E-2</v>
      </c>
      <c r="V2167">
        <v>2.9159460000000002E-2</v>
      </c>
      <c r="W2167">
        <v>0.1813439</v>
      </c>
      <c r="X2167">
        <v>0.98298730000000001</v>
      </c>
      <c r="Y2167">
        <v>-1.465817E-2</v>
      </c>
      <c r="Z2167" s="1">
        <v>5.4360719999999996E-6</v>
      </c>
      <c r="AA2167">
        <v>0.99989260000000002</v>
      </c>
      <c r="AB2167">
        <v>29</v>
      </c>
      <c r="AC2167">
        <v>-15.125500000000001</v>
      </c>
      <c r="AD2167">
        <v>-1.1096540393759999</v>
      </c>
      <c r="AE2167">
        <v>-0.33849999999995301</v>
      </c>
      <c r="AF2167">
        <v>-0.225276333859047</v>
      </c>
      <c r="AG2167">
        <v>-1.1096540393759999</v>
      </c>
      <c r="AH2167">
        <v>15.0466490955789</v>
      </c>
      <c r="AI2167">
        <v>94.217319073481306</v>
      </c>
      <c r="AJ2167">
        <v>90.857760340984598</v>
      </c>
      <c r="AK2167">
        <v>15.0891925071949</v>
      </c>
      <c r="AL2167">
        <v>79.551951590932902</v>
      </c>
      <c r="AM2167">
        <v>88.300868998621894</v>
      </c>
      <c r="AN2167">
        <v>0.99999995806799502</v>
      </c>
    </row>
    <row r="2168" spans="1:40" x14ac:dyDescent="0.25">
      <c r="A2168" t="str">
        <f>"20190312164031844"</f>
        <v>20190312164031844</v>
      </c>
      <c r="B2168" t="str">
        <f>"1552380031838195"</f>
        <v>1552380031838195</v>
      </c>
      <c r="C2168" t="s">
        <v>40</v>
      </c>
      <c r="D2168">
        <v>5.253253</v>
      </c>
      <c r="E2168">
        <v>0.48961329999999997</v>
      </c>
      <c r="F2168" t="s">
        <v>48</v>
      </c>
      <c r="G2168">
        <v>-271.09449999999998</v>
      </c>
      <c r="H2168" s="1">
        <v>-9.3262249999999996E-7</v>
      </c>
      <c r="I2168">
        <v>284.11919999999998</v>
      </c>
      <c r="J2168">
        <v>-256.0675</v>
      </c>
      <c r="K2168">
        <v>1.109667</v>
      </c>
      <c r="L2168">
        <v>284.43759999999997</v>
      </c>
      <c r="M2168">
        <v>-0.99992899999999996</v>
      </c>
      <c r="N2168">
        <v>0</v>
      </c>
      <c r="O2168">
        <v>-7.0320479999999999E-3</v>
      </c>
      <c r="P2168">
        <v>-0.98500509999999997</v>
      </c>
      <c r="Q2168">
        <v>0.1711191</v>
      </c>
      <c r="R2168">
        <v>2.1991380000000001E-2</v>
      </c>
      <c r="S2168">
        <v>-3.086395</v>
      </c>
      <c r="T2168">
        <v>-0.22344269999999999</v>
      </c>
      <c r="U2168">
        <v>-6.4483639999999995E-2</v>
      </c>
      <c r="V2168">
        <v>2.905458E-2</v>
      </c>
      <c r="W2168">
        <v>0.18058279999999999</v>
      </c>
      <c r="X2168">
        <v>0.98313059999999997</v>
      </c>
      <c r="Y2168">
        <v>-1.383915E-2</v>
      </c>
      <c r="Z2168" s="1">
        <v>8.1422619999999993E-6</v>
      </c>
      <c r="AA2168">
        <v>0.99990420000000002</v>
      </c>
      <c r="AB2168">
        <v>29</v>
      </c>
      <c r="AC2168">
        <v>-15.0269999999999</v>
      </c>
      <c r="AD2168">
        <v>-1.1096679326225001</v>
      </c>
      <c r="AE2168">
        <v>-0.31839999999999602</v>
      </c>
      <c r="AF2168">
        <v>-0.21156349750956699</v>
      </c>
      <c r="AG2168">
        <v>-1.1096679326225001</v>
      </c>
      <c r="AH2168">
        <v>14.947394835500599</v>
      </c>
      <c r="AI2168">
        <v>94.245324366526702</v>
      </c>
      <c r="AJ2168">
        <v>90.810902922030493</v>
      </c>
      <c r="AK2168">
        <v>14.9900211608429</v>
      </c>
      <c r="AL2168">
        <v>79.596292400204504</v>
      </c>
      <c r="AM2168">
        <v>88.307223455937105</v>
      </c>
      <c r="AN2168">
        <v>1.0000000464655801</v>
      </c>
    </row>
    <row r="2169" spans="1:40" x14ac:dyDescent="0.25">
      <c r="A2169" t="str">
        <f>"20190312164031866"</f>
        <v>20190312164031866</v>
      </c>
      <c r="B2169" t="str">
        <f>"1552380031858691"</f>
        <v>1552380031858691</v>
      </c>
      <c r="C2169" t="s">
        <v>40</v>
      </c>
      <c r="D2169">
        <v>5.3812470000000001</v>
      </c>
      <c r="E2169">
        <v>0.48981390000000002</v>
      </c>
      <c r="F2169" t="s">
        <v>48</v>
      </c>
      <c r="G2169">
        <v>-271.36380000000003</v>
      </c>
      <c r="H2169" s="1">
        <v>-7.9023709999999998E-7</v>
      </c>
      <c r="I2169">
        <v>284.14</v>
      </c>
      <c r="J2169">
        <v>-256.35610000000003</v>
      </c>
      <c r="K2169">
        <v>1.109693</v>
      </c>
      <c r="L2169">
        <v>284.4359</v>
      </c>
      <c r="M2169">
        <v>-0.99993189999999998</v>
      </c>
      <c r="N2169">
        <v>0</v>
      </c>
      <c r="O2169">
        <v>-6.7231590000000003E-3</v>
      </c>
      <c r="P2169">
        <v>-0.98499820000000005</v>
      </c>
      <c r="Q2169">
        <v>0.17112740000000001</v>
      </c>
      <c r="R2169">
        <v>2.2232129999999999E-2</v>
      </c>
      <c r="S2169">
        <v>-3.0859070000000002</v>
      </c>
      <c r="T2169">
        <v>-0.2238666</v>
      </c>
      <c r="U2169">
        <v>-6.0028079999999998E-2</v>
      </c>
      <c r="V2169">
        <v>2.8975589999999999E-2</v>
      </c>
      <c r="W2169">
        <v>0.180504</v>
      </c>
      <c r="X2169">
        <v>0.98314729999999995</v>
      </c>
      <c r="Y2169">
        <v>-1.2710290000000001E-2</v>
      </c>
      <c r="Z2169" s="1">
        <v>2.6671239999999999E-5</v>
      </c>
      <c r="AA2169">
        <v>0.99991920000000001</v>
      </c>
      <c r="AB2169">
        <v>29</v>
      </c>
      <c r="AC2169">
        <v>-15.0077</v>
      </c>
      <c r="AD2169">
        <v>-1.1096937902371</v>
      </c>
      <c r="AE2169">
        <v>-0.29590000000001698</v>
      </c>
      <c r="AF2169">
        <v>-0.193929695253131</v>
      </c>
      <c r="AG2169">
        <v>-1.1096937902371</v>
      </c>
      <c r="AH2169">
        <v>14.927766432179901</v>
      </c>
      <c r="AI2169">
        <v>94.251051577501698</v>
      </c>
      <c r="AJ2169">
        <v>90.744299428919703</v>
      </c>
      <c r="AK2169">
        <v>14.970211744945599</v>
      </c>
      <c r="AL2169">
        <v>79.600881685739694</v>
      </c>
      <c r="AM2169">
        <v>88.311851560063403</v>
      </c>
      <c r="AN2169">
        <v>0.999999946164567</v>
      </c>
    </row>
    <row r="2170" spans="1:40" x14ac:dyDescent="0.25">
      <c r="A2170" t="str">
        <f>"20190312164031877"</f>
        <v>20190312164031877</v>
      </c>
      <c r="B2170" t="str">
        <f>"1552380031868451"</f>
        <v>1552380031868451</v>
      </c>
      <c r="C2170" t="s">
        <v>40</v>
      </c>
      <c r="D2170">
        <v>5.357138</v>
      </c>
      <c r="E2170">
        <v>0.48995880000000003</v>
      </c>
      <c r="F2170" t="s">
        <v>48</v>
      </c>
      <c r="G2170">
        <v>-271.75479999999999</v>
      </c>
      <c r="H2170" s="1">
        <v>-5.8230730000000003E-7</v>
      </c>
      <c r="I2170">
        <v>284.14350000000002</v>
      </c>
      <c r="J2170">
        <v>-256.51339999999999</v>
      </c>
      <c r="K2170">
        <v>1.109707</v>
      </c>
      <c r="L2170">
        <v>284.435</v>
      </c>
      <c r="M2170">
        <v>-0.99993330000000002</v>
      </c>
      <c r="N2170">
        <v>0</v>
      </c>
      <c r="O2170">
        <v>-6.5712969999999898E-3</v>
      </c>
      <c r="P2170">
        <v>-0.985043</v>
      </c>
      <c r="Q2170">
        <v>0.170783399999999</v>
      </c>
      <c r="R2170">
        <v>2.2880339999999999E-2</v>
      </c>
      <c r="S2170">
        <v>-3.0856629999999998</v>
      </c>
      <c r="T2170">
        <v>-0.22236539999999999</v>
      </c>
      <c r="U2170">
        <v>-5.859375E-2</v>
      </c>
      <c r="V2170">
        <v>2.9465479999999999E-2</v>
      </c>
      <c r="W2170">
        <v>0.18011469999999999</v>
      </c>
      <c r="X2170">
        <v>0.98320419999999997</v>
      </c>
      <c r="Y2170">
        <v>-1.239968E-2</v>
      </c>
      <c r="Z2170" s="1">
        <v>2.674293E-5</v>
      </c>
      <c r="AA2170">
        <v>0.99992309999999995</v>
      </c>
      <c r="AB2170">
        <v>29</v>
      </c>
      <c r="AC2170">
        <v>-15.241400000000001</v>
      </c>
      <c r="AD2170">
        <v>-1.1097075823072999</v>
      </c>
      <c r="AE2170">
        <v>-0.29149999999998499</v>
      </c>
      <c r="AF2170">
        <v>-0.19032485608789801</v>
      </c>
      <c r="AG2170">
        <v>-1.1097075823072999</v>
      </c>
      <c r="AH2170">
        <v>15.162636988505099</v>
      </c>
      <c r="AI2170">
        <v>94.185513474170307</v>
      </c>
      <c r="AJ2170">
        <v>90.7191518426404</v>
      </c>
      <c r="AK2170">
        <v>15.2043820957728</v>
      </c>
      <c r="AL2170">
        <v>79.623559272171903</v>
      </c>
      <c r="AM2170">
        <v>88.283426275934602</v>
      </c>
      <c r="AN2170">
        <v>1.00000000928268</v>
      </c>
    </row>
    <row r="2171" spans="1:40" x14ac:dyDescent="0.25">
      <c r="A2171" t="str">
        <f>"20190312164031890"</f>
        <v>20190312164031890</v>
      </c>
      <c r="B2171" t="str">
        <f>"1552380031878211"</f>
        <v>1552380031878211</v>
      </c>
      <c r="C2171" t="s">
        <v>40</v>
      </c>
      <c r="D2171">
        <v>5.4070749999999999</v>
      </c>
      <c r="E2171">
        <v>0.49009960000000002</v>
      </c>
      <c r="F2171" t="s">
        <v>48</v>
      </c>
      <c r="G2171">
        <v>-271.83330000000001</v>
      </c>
      <c r="H2171" s="1">
        <v>-5.4121740000000002E-7</v>
      </c>
      <c r="I2171">
        <v>284.15879999999999</v>
      </c>
      <c r="J2171">
        <v>-256.67430000000002</v>
      </c>
      <c r="K2171">
        <v>1.109723</v>
      </c>
      <c r="L2171">
        <v>284.4341</v>
      </c>
      <c r="M2171">
        <v>-0.99993460000000001</v>
      </c>
      <c r="N2171">
        <v>0</v>
      </c>
      <c r="O2171">
        <v>-6.4455669999999897E-3</v>
      </c>
      <c r="P2171">
        <v>-0.98504349999999996</v>
      </c>
      <c r="Q2171">
        <v>0.17075399999999999</v>
      </c>
      <c r="R2171">
        <v>2.3073699999999999E-2</v>
      </c>
      <c r="S2171">
        <v>-3.0856319999999999</v>
      </c>
      <c r="T2171">
        <v>-0.2235105</v>
      </c>
      <c r="U2171">
        <v>-5.5633540000000002E-2</v>
      </c>
      <c r="V2171">
        <v>2.952511E-2</v>
      </c>
      <c r="W2171">
        <v>0.18004010000000001</v>
      </c>
      <c r="X2171">
        <v>0.98321599999999998</v>
      </c>
      <c r="Y2171">
        <v>-1.156834E-2</v>
      </c>
      <c r="Z2171" s="1">
        <v>4.7853969999999997E-5</v>
      </c>
      <c r="AA2171">
        <v>0.99993310000000002</v>
      </c>
      <c r="AB2171">
        <v>29</v>
      </c>
      <c r="AC2171">
        <v>-15.158999999999899</v>
      </c>
      <c r="AD2171">
        <v>-1.10972354121739</v>
      </c>
      <c r="AE2171">
        <v>-0.27530000000001498</v>
      </c>
      <c r="AF2171">
        <v>-0.176635283311982</v>
      </c>
      <c r="AG2171">
        <v>-1.10972354121739</v>
      </c>
      <c r="AH2171">
        <v>15.079673413174101</v>
      </c>
      <c r="AI2171">
        <v>94.208561304528502</v>
      </c>
      <c r="AJ2171">
        <v>90.671101631145703</v>
      </c>
      <c r="AK2171">
        <v>15.121482619413699</v>
      </c>
      <c r="AL2171">
        <v>79.6279038058304</v>
      </c>
      <c r="AM2171">
        <v>88.279975119730096</v>
      </c>
      <c r="AN2171">
        <v>0.99999993619225902</v>
      </c>
    </row>
    <row r="2172" spans="1:40" x14ac:dyDescent="0.25">
      <c r="A2172" t="str">
        <f>"20190312164031902"</f>
        <v>20190312164031902</v>
      </c>
      <c r="B2172" t="str">
        <f>"1552380031898708"</f>
        <v>1552380031898708</v>
      </c>
      <c r="C2172" t="s">
        <v>40</v>
      </c>
      <c r="D2172">
        <v>5.3282030000000002</v>
      </c>
      <c r="E2172">
        <v>0.4903304</v>
      </c>
      <c r="F2172" t="s">
        <v>48</v>
      </c>
      <c r="G2172">
        <v>-271.99740000000003</v>
      </c>
      <c r="H2172" s="1">
        <v>-4.5412139999999999E-7</v>
      </c>
      <c r="I2172">
        <v>284.16480000000001</v>
      </c>
      <c r="J2172">
        <v>-256.8295</v>
      </c>
      <c r="K2172">
        <v>1.1097379999999999</v>
      </c>
      <c r="L2172">
        <v>284.4332</v>
      </c>
      <c r="M2172">
        <v>-0.99993569999999998</v>
      </c>
      <c r="N2172">
        <v>0</v>
      </c>
      <c r="O2172">
        <v>-6.3360650000000001E-3</v>
      </c>
      <c r="P2172">
        <v>-0.98508890000000005</v>
      </c>
      <c r="Q2172">
        <v>0.17043359999999999</v>
      </c>
      <c r="R2172">
        <v>2.3503099999999999E-2</v>
      </c>
      <c r="S2172">
        <v>-3.0855709999999998</v>
      </c>
      <c r="T2172">
        <v>-0.22346189999999999</v>
      </c>
      <c r="U2172">
        <v>-5.4229739999999999E-2</v>
      </c>
      <c r="V2172">
        <v>2.9836890000000001E-2</v>
      </c>
      <c r="W2172">
        <v>0.17967759999999999</v>
      </c>
      <c r="X2172">
        <v>0.98327299999999995</v>
      </c>
      <c r="Y2172">
        <v>-1.1224039999999999E-2</v>
      </c>
      <c r="Z2172" s="1">
        <v>5.2375630000000003E-5</v>
      </c>
      <c r="AA2172">
        <v>0.99993699999999996</v>
      </c>
      <c r="AB2172">
        <v>29</v>
      </c>
      <c r="AC2172">
        <v>-15.167899999999999</v>
      </c>
      <c r="AD2172">
        <v>-1.1097384541213999</v>
      </c>
      <c r="AE2172">
        <v>-0.26839999999998498</v>
      </c>
      <c r="AF2172">
        <v>-0.17136852704069999</v>
      </c>
      <c r="AG2172">
        <v>-1.1097384541213999</v>
      </c>
      <c r="AH2172">
        <v>15.088553716869001</v>
      </c>
      <c r="AI2172">
        <v>94.206166792445501</v>
      </c>
      <c r="AJ2172">
        <v>90.650709894140505</v>
      </c>
      <c r="AK2172">
        <v>15.130278909374301</v>
      </c>
      <c r="AL2172">
        <v>79.649018893107396</v>
      </c>
      <c r="AM2172">
        <v>88.261923741247102</v>
      </c>
      <c r="AN2172">
        <v>1.0000000362378101</v>
      </c>
    </row>
    <row r="2173" spans="1:40" x14ac:dyDescent="0.25">
      <c r="A2173" t="str">
        <f>"20190312164031921"</f>
        <v>20190312164031921</v>
      </c>
      <c r="B2173" t="str">
        <f>"1552380031908468"</f>
        <v>1552380031908468</v>
      </c>
      <c r="C2173" t="s">
        <v>40</v>
      </c>
      <c r="D2173">
        <v>5.3113239999999999</v>
      </c>
      <c r="E2173">
        <v>0.4903304</v>
      </c>
      <c r="F2173" t="s">
        <v>48</v>
      </c>
      <c r="G2173">
        <v>-272.13240000000002</v>
      </c>
      <c r="H2173" s="1">
        <v>-3.8293310000000002E-7</v>
      </c>
      <c r="I2173">
        <v>284.17970000000003</v>
      </c>
      <c r="J2173">
        <v>-257.06979999999999</v>
      </c>
      <c r="K2173">
        <v>1.1097649999999999</v>
      </c>
      <c r="L2173">
        <v>284.43180000000001</v>
      </c>
      <c r="M2173">
        <v>-0.99993719999999997</v>
      </c>
      <c r="N2173">
        <v>0</v>
      </c>
      <c r="O2173">
        <v>-6.2060179999999998E-3</v>
      </c>
      <c r="P2173">
        <v>-0.98522310000000002</v>
      </c>
      <c r="Q2173">
        <v>0.16963989999999901</v>
      </c>
      <c r="R2173">
        <v>2.3623100000000001E-2</v>
      </c>
      <c r="S2173">
        <v>-3.0853269999999999</v>
      </c>
      <c r="T2173">
        <v>-0.22374240000000001</v>
      </c>
      <c r="U2173">
        <v>-5.111694E-2</v>
      </c>
      <c r="V2173">
        <v>2.98123E-2</v>
      </c>
      <c r="W2173">
        <v>0.17882379999999901</v>
      </c>
      <c r="X2173">
        <v>0.98342940000000001</v>
      </c>
      <c r="Y2173">
        <v>-1.034885E-2</v>
      </c>
      <c r="Z2173" s="1">
        <v>7.4717709999999897E-5</v>
      </c>
      <c r="AA2173">
        <v>0.99994649999999996</v>
      </c>
      <c r="AB2173">
        <v>29</v>
      </c>
      <c r="AC2173">
        <v>-15.0626</v>
      </c>
      <c r="AD2173">
        <v>-1.10976538293309</v>
      </c>
      <c r="AE2173">
        <v>-0.252099999999984</v>
      </c>
      <c r="AF2173">
        <v>-0.157756202176904</v>
      </c>
      <c r="AG2173">
        <v>-1.10976538293309</v>
      </c>
      <c r="AH2173">
        <v>14.982567673907299</v>
      </c>
      <c r="AI2173">
        <v>94.235953778081495</v>
      </c>
      <c r="AJ2173">
        <v>90.603263123089604</v>
      </c>
      <c r="AK2173">
        <v>15.0244401003064</v>
      </c>
      <c r="AL2173">
        <v>79.698743588545398</v>
      </c>
      <c r="AM2173">
        <v>88.263631313771199</v>
      </c>
      <c r="AN2173">
        <v>1.0000000547310399</v>
      </c>
    </row>
    <row r="2174" spans="1:40" x14ac:dyDescent="0.25">
      <c r="A2174" t="str">
        <f>"20190312164031931"</f>
        <v>20190312164031931</v>
      </c>
      <c r="B2174" t="str">
        <f>"1552380031927987"</f>
        <v>1552380031927987</v>
      </c>
      <c r="C2174" t="s">
        <v>40</v>
      </c>
      <c r="D2174">
        <v>5.2455189999999998</v>
      </c>
      <c r="E2174">
        <v>0.52147489999999996</v>
      </c>
      <c r="F2174" t="s">
        <v>42</v>
      </c>
      <c r="G2174">
        <v>-258.03129999999999</v>
      </c>
      <c r="H2174">
        <v>1.0393410000000001</v>
      </c>
      <c r="I2174">
        <v>284.4162</v>
      </c>
      <c r="J2174">
        <v>-257.226</v>
      </c>
      <c r="K2174">
        <v>1.109788</v>
      </c>
      <c r="L2174">
        <v>284.43090000000001</v>
      </c>
      <c r="M2174">
        <v>-0.99993790000000005</v>
      </c>
      <c r="N2174">
        <v>0</v>
      </c>
      <c r="O2174">
        <v>-6.1477149999999998E-3</v>
      </c>
      <c r="P2174">
        <v>-0.98528450000000001</v>
      </c>
      <c r="Q2174">
        <v>0.1692553</v>
      </c>
      <c r="R2174">
        <v>2.3819340000000001E-2</v>
      </c>
      <c r="S2174">
        <v>-3.085175</v>
      </c>
      <c r="T2174">
        <v>-0.22621069999999999</v>
      </c>
      <c r="U2174">
        <v>-5.078125E-2</v>
      </c>
      <c r="V2174">
        <v>2.9940080000000001E-2</v>
      </c>
      <c r="W2174">
        <v>0.17840200000000001</v>
      </c>
      <c r="X2174">
        <v>0.98350210000000005</v>
      </c>
      <c r="Y2174">
        <v>-1.0298939999999999E-2</v>
      </c>
      <c r="Z2174" s="1">
        <v>7.3101809999999898E-5</v>
      </c>
      <c r="AA2174">
        <v>0.99994700000000003</v>
      </c>
      <c r="AB2174">
        <v>29</v>
      </c>
      <c r="AC2174">
        <v>-0.80529999999998803</v>
      </c>
      <c r="AD2174">
        <v>-7.0446999999999899E-2</v>
      </c>
      <c r="AE2174">
        <v>-1.47000000000048E-2</v>
      </c>
      <c r="AF2174">
        <v>-9.6747410412500699E-3</v>
      </c>
      <c r="AG2174">
        <v>-7.0446999999999899E-2</v>
      </c>
      <c r="AH2174">
        <v>0.79926076203643104</v>
      </c>
      <c r="AI2174">
        <v>95.036677301384202</v>
      </c>
      <c r="AJ2174">
        <v>90.693509283673095</v>
      </c>
      <c r="AK2174">
        <v>0.80241768808661695</v>
      </c>
      <c r="AL2174">
        <v>79.723305680793999</v>
      </c>
      <c r="AM2174">
        <v>88.256322383515894</v>
      </c>
      <c r="AN2174">
        <v>1.0000000313494</v>
      </c>
    </row>
    <row r="2175" spans="1:40" x14ac:dyDescent="0.25">
      <c r="A2175" t="str">
        <f>"20190312164031945"</f>
        <v>20190312164031945</v>
      </c>
      <c r="B2175" t="str">
        <f>"1552380031938724"</f>
        <v>1552380031938724</v>
      </c>
      <c r="C2175" t="s">
        <v>40</v>
      </c>
      <c r="D2175">
        <v>4.8776349999999997</v>
      </c>
      <c r="E2175">
        <v>0.52612049999999999</v>
      </c>
      <c r="F2175" t="s">
        <v>48</v>
      </c>
      <c r="G2175">
        <v>-275.08879999999999</v>
      </c>
      <c r="H2175" s="1">
        <v>1.128207E-6</v>
      </c>
      <c r="I2175">
        <v>285.60019999999997</v>
      </c>
      <c r="J2175">
        <v>-257.39269999999999</v>
      </c>
      <c r="K2175">
        <v>1.1098079999999999</v>
      </c>
      <c r="L2175">
        <v>284.43</v>
      </c>
      <c r="M2175">
        <v>-0.99993849999999995</v>
      </c>
      <c r="N2175">
        <v>0</v>
      </c>
      <c r="O2175">
        <v>-6.0996660000000001E-3</v>
      </c>
      <c r="P2175">
        <v>-0.98538680000000001</v>
      </c>
      <c r="Q2175">
        <v>0.16864849999999901</v>
      </c>
      <c r="R2175">
        <v>2.3886399999999999E-2</v>
      </c>
      <c r="S2175">
        <v>-3.0727540000000002</v>
      </c>
      <c r="T2175">
        <v>-0.19090489999999999</v>
      </c>
      <c r="U2175">
        <v>0.2011414</v>
      </c>
      <c r="V2175">
        <v>2.9948740000000001E-2</v>
      </c>
      <c r="W2175">
        <v>0.17775920000000001</v>
      </c>
      <c r="X2175">
        <v>0.9836182</v>
      </c>
      <c r="Y2175">
        <v>7.1256990000000006E-2</v>
      </c>
      <c r="Z2175">
        <v>2.5872740000000001E-3</v>
      </c>
      <c r="AA2175">
        <v>0.99745459999999997</v>
      </c>
      <c r="AB2175">
        <v>29</v>
      </c>
      <c r="AC2175">
        <v>-17.696100000000001</v>
      </c>
      <c r="AD2175">
        <v>-1.1098068717930001</v>
      </c>
      <c r="AE2175">
        <v>1.1701999999999599</v>
      </c>
      <c r="AF2175">
        <v>1.2731375286555799</v>
      </c>
      <c r="AG2175">
        <v>-1.1098068717930001</v>
      </c>
      <c r="AH2175">
        <v>17.6196338229982</v>
      </c>
      <c r="AI2175">
        <v>93.594777404105699</v>
      </c>
      <c r="AJ2175">
        <v>85.867175571447902</v>
      </c>
      <c r="AK2175">
        <v>17.7003967897923</v>
      </c>
      <c r="AL2175">
        <v>79.7607334573744</v>
      </c>
      <c r="AM2175">
        <v>88.256024090944194</v>
      </c>
      <c r="AN2175">
        <v>1.00000001179173</v>
      </c>
    </row>
    <row r="2176" spans="1:40" x14ac:dyDescent="0.25">
      <c r="A2176" t="str">
        <f>"20190312164031958"</f>
        <v>20190312164031958</v>
      </c>
      <c r="B2176" t="str">
        <f>"1552380031948483"</f>
        <v>1552380031948483</v>
      </c>
      <c r="C2176" t="s">
        <v>40</v>
      </c>
      <c r="D2176">
        <v>5.4494819999999997</v>
      </c>
      <c r="E2176">
        <v>0.5268583</v>
      </c>
      <c r="F2176" t="s">
        <v>42</v>
      </c>
      <c r="G2176">
        <v>-258.30149999999998</v>
      </c>
      <c r="H2176">
        <v>1.0557840000000001</v>
      </c>
      <c r="I2176">
        <v>284.5009</v>
      </c>
      <c r="J2176">
        <v>-257.56229999999999</v>
      </c>
      <c r="K2176">
        <v>1.109829</v>
      </c>
      <c r="L2176">
        <v>284.42899999999997</v>
      </c>
      <c r="M2176">
        <v>-0.99993909999999997</v>
      </c>
      <c r="N2176">
        <v>0</v>
      </c>
      <c r="O2176">
        <v>-6.062581E-3</v>
      </c>
      <c r="P2176">
        <v>-0.98549290000000001</v>
      </c>
      <c r="Q2176">
        <v>0.1679957</v>
      </c>
      <c r="R2176">
        <v>2.4106949999999999E-2</v>
      </c>
      <c r="S2176">
        <v>-3.0699160000000001</v>
      </c>
      <c r="T2176">
        <v>-0.18251529999999999</v>
      </c>
      <c r="U2176">
        <v>0.239624</v>
      </c>
      <c r="V2176">
        <v>3.0122050000000001E-2</v>
      </c>
      <c r="W2176">
        <v>0.17707120000000001</v>
      </c>
      <c r="X2176">
        <v>0.98373699999999997</v>
      </c>
      <c r="Y2176">
        <v>8.3704329999999993E-2</v>
      </c>
      <c r="Z2176">
        <v>2.8418800000000002E-3</v>
      </c>
      <c r="AA2176">
        <v>0.9964866</v>
      </c>
      <c r="AB2176">
        <v>29</v>
      </c>
      <c r="AC2176">
        <v>-0.73919999999998198</v>
      </c>
      <c r="AD2176">
        <v>-5.40450000000001E-2</v>
      </c>
      <c r="AE2176">
        <v>7.1899999999970904E-2</v>
      </c>
      <c r="AF2176">
        <v>7.5977996173302698E-2</v>
      </c>
      <c r="AG2176">
        <v>-5.40450000000001E-2</v>
      </c>
      <c r="AH2176">
        <v>0.73485913334448305</v>
      </c>
      <c r="AI2176">
        <v>94.184004972034003</v>
      </c>
      <c r="AJ2176">
        <v>84.0970922832919</v>
      </c>
      <c r="AK2176">
        <v>0.74075060836108397</v>
      </c>
      <c r="AL2176">
        <v>79.800788429928502</v>
      </c>
      <c r="AM2176">
        <v>88.246149879592295</v>
      </c>
      <c r="AN2176">
        <v>1.00000001646732</v>
      </c>
    </row>
    <row r="2177" spans="1:40" x14ac:dyDescent="0.25">
      <c r="A2177" t="str">
        <f>"20190312164031969"</f>
        <v>20190312164031969</v>
      </c>
      <c r="B2177" t="str">
        <f>"1552380031958244"</f>
        <v>1552380031958244</v>
      </c>
      <c r="C2177" t="s">
        <v>40</v>
      </c>
      <c r="D2177">
        <v>5.34687</v>
      </c>
      <c r="E2177">
        <v>0.52890979999999999</v>
      </c>
      <c r="F2177" t="s">
        <v>42</v>
      </c>
      <c r="G2177">
        <v>-258.55900000000003</v>
      </c>
      <c r="H2177">
        <v>1.048748</v>
      </c>
      <c r="I2177">
        <v>284.50920000000002</v>
      </c>
      <c r="J2177">
        <v>-257.71719999999999</v>
      </c>
      <c r="K2177">
        <v>1.109836</v>
      </c>
      <c r="L2177">
        <v>284.428</v>
      </c>
      <c r="M2177">
        <v>-0.99993960000000004</v>
      </c>
      <c r="N2177">
        <v>0</v>
      </c>
      <c r="O2177">
        <v>-6.0461909999999898E-3</v>
      </c>
      <c r="P2177">
        <v>-0.98555959999999998</v>
      </c>
      <c r="Q2177">
        <v>0.16764209999999999</v>
      </c>
      <c r="R2177">
        <v>2.3843610000000001E-2</v>
      </c>
      <c r="S2177">
        <v>-3.0702509999999998</v>
      </c>
      <c r="T2177">
        <v>-0.18839629999999999</v>
      </c>
      <c r="U2177">
        <v>0.24603269999999999</v>
      </c>
      <c r="V2177">
        <v>2.9835070000000002E-2</v>
      </c>
      <c r="W2177">
        <v>0.17668919999999999</v>
      </c>
      <c r="X2177">
        <v>0.98381439999999998</v>
      </c>
      <c r="Y2177">
        <v>8.5732459999999996E-2</v>
      </c>
      <c r="Z2177">
        <v>2.9937890000000002E-3</v>
      </c>
      <c r="AA2177">
        <v>0.99631369999999997</v>
      </c>
      <c r="AB2177">
        <v>29</v>
      </c>
      <c r="AC2177">
        <v>-0.84180000000003397</v>
      </c>
      <c r="AD2177">
        <v>-6.1088000000000003E-2</v>
      </c>
      <c r="AE2177">
        <v>8.1200000000023906E-2</v>
      </c>
      <c r="AF2177">
        <v>8.5840531091100902E-2</v>
      </c>
      <c r="AG2177">
        <v>-6.1088000000000003E-2</v>
      </c>
      <c r="AH2177">
        <v>0.83692688113871405</v>
      </c>
      <c r="AI2177">
        <v>94.152953852755999</v>
      </c>
      <c r="AJ2177">
        <v>84.143859279425598</v>
      </c>
      <c r="AK2177">
        <v>0.843532420772657</v>
      </c>
      <c r="AL2177">
        <v>79.823025771439802</v>
      </c>
      <c r="AM2177">
        <v>88.262985527176198</v>
      </c>
      <c r="AN2177">
        <v>0.99999998922295197</v>
      </c>
    </row>
    <row r="2178" spans="1:40" x14ac:dyDescent="0.25">
      <c r="A2178" t="str">
        <f>"20190312164031989"</f>
        <v>20190312164031989</v>
      </c>
      <c r="B2178" t="str">
        <f>"1552380031978740"</f>
        <v>1552380031978740</v>
      </c>
      <c r="C2178" t="s">
        <v>40</v>
      </c>
      <c r="D2178">
        <v>5.3045999999999998</v>
      </c>
      <c r="E2178">
        <v>0.53145690000000001</v>
      </c>
      <c r="F2178" t="s">
        <v>42</v>
      </c>
      <c r="G2178">
        <v>-258.57209999999998</v>
      </c>
      <c r="H2178">
        <v>1.056079</v>
      </c>
      <c r="I2178">
        <v>284.50119999999998</v>
      </c>
      <c r="J2178">
        <v>-257.97489999999999</v>
      </c>
      <c r="K2178">
        <v>1.1098509999999999</v>
      </c>
      <c r="L2178">
        <v>284.42649999999998</v>
      </c>
      <c r="M2178">
        <v>-0.9999401</v>
      </c>
      <c r="N2178">
        <v>0</v>
      </c>
      <c r="O2178">
        <v>-6.0315809999999899E-3</v>
      </c>
      <c r="P2178">
        <v>-0.98562570000000005</v>
      </c>
      <c r="Q2178">
        <v>0.16725870000000001</v>
      </c>
      <c r="R2178">
        <v>2.380295E-2</v>
      </c>
      <c r="S2178">
        <v>-3.0705260000000001</v>
      </c>
      <c r="T2178">
        <v>-0.1933424</v>
      </c>
      <c r="U2178">
        <v>0.26153559999999998</v>
      </c>
      <c r="V2178">
        <v>2.976972E-2</v>
      </c>
      <c r="W2178">
        <v>0.17626020000000001</v>
      </c>
      <c r="X2178">
        <v>0.98389329999999997</v>
      </c>
      <c r="Y2178">
        <v>9.0687190000000001E-2</v>
      </c>
      <c r="Z2178">
        <v>3.2259659999999998E-3</v>
      </c>
      <c r="AA2178">
        <v>0.99587420000000004</v>
      </c>
      <c r="AB2178">
        <v>29</v>
      </c>
      <c r="AC2178">
        <v>-0.59719999999998596</v>
      </c>
      <c r="AD2178">
        <v>-5.3771999999999903E-2</v>
      </c>
      <c r="AE2178">
        <v>7.4700000000007094E-2</v>
      </c>
      <c r="AF2178">
        <v>7.7680776809230703E-2</v>
      </c>
      <c r="AG2178">
        <v>-5.3771999999999903E-2</v>
      </c>
      <c r="AH2178">
        <v>0.592012907297782</v>
      </c>
      <c r="AI2178">
        <v>95.146012084902907</v>
      </c>
      <c r="AJ2178">
        <v>82.524659820475307</v>
      </c>
      <c r="AK2178">
        <v>0.59950397286161305</v>
      </c>
      <c r="AL2178">
        <v>79.847997290407903</v>
      </c>
      <c r="AM2178">
        <v>88.266926821880602</v>
      </c>
      <c r="AN2178">
        <v>0.99999996005890301</v>
      </c>
    </row>
    <row r="2179" spans="1:40" x14ac:dyDescent="0.25">
      <c r="A2179" t="str">
        <f>"20190312164032010"</f>
        <v>20190312164032010</v>
      </c>
      <c r="B2179" t="str">
        <f>"1552380032008019"</f>
        <v>1552380032008019</v>
      </c>
      <c r="C2179" t="s">
        <v>40</v>
      </c>
      <c r="D2179">
        <v>5.357329</v>
      </c>
      <c r="E2179">
        <v>0.53384180000000003</v>
      </c>
      <c r="F2179" t="s">
        <v>48</v>
      </c>
      <c r="G2179">
        <v>-276.53280000000001</v>
      </c>
      <c r="H2179" s="1">
        <v>1.8731379999999999E-6</v>
      </c>
      <c r="I2179">
        <v>286.13819999999998</v>
      </c>
      <c r="J2179">
        <v>-258.25599999999997</v>
      </c>
      <c r="K2179">
        <v>1.1098589999999999</v>
      </c>
      <c r="L2179">
        <v>284.42489999999998</v>
      </c>
      <c r="M2179">
        <v>-0.9999403</v>
      </c>
      <c r="N2179">
        <v>0</v>
      </c>
      <c r="O2179">
        <v>-6.0339399999999998E-3</v>
      </c>
      <c r="P2179">
        <v>-0.98564390000000002</v>
      </c>
      <c r="Q2179">
        <v>0.16715429999999901</v>
      </c>
      <c r="R2179">
        <v>2.3777340000000001E-2</v>
      </c>
      <c r="S2179">
        <v>-3.0680540000000001</v>
      </c>
      <c r="T2179">
        <v>-0.1834837</v>
      </c>
      <c r="U2179">
        <v>0.2829895</v>
      </c>
      <c r="V2179">
        <v>2.973928E-2</v>
      </c>
      <c r="W2179">
        <v>0.1761114</v>
      </c>
      <c r="X2179">
        <v>0.98392089999999999</v>
      </c>
      <c r="Y2179">
        <v>9.767083E-2</v>
      </c>
      <c r="Z2179">
        <v>3.2716239999999999E-3</v>
      </c>
      <c r="AA2179">
        <v>0.99521340000000003</v>
      </c>
      <c r="AB2179">
        <v>29</v>
      </c>
      <c r="AC2179">
        <v>-18.276800000000001</v>
      </c>
      <c r="AD2179">
        <v>-1.1098571268620001</v>
      </c>
      <c r="AE2179">
        <v>1.7133</v>
      </c>
      <c r="AF2179">
        <v>1.8169129669714501</v>
      </c>
      <c r="AG2179">
        <v>-1.1098571268620001</v>
      </c>
      <c r="AH2179">
        <v>18.1996021696303</v>
      </c>
      <c r="AI2179">
        <v>93.472498926562594</v>
      </c>
      <c r="AJ2179">
        <v>84.298905354124898</v>
      </c>
      <c r="AK2179">
        <v>18.323713452911399</v>
      </c>
      <c r="AL2179">
        <v>79.856658733995104</v>
      </c>
      <c r="AM2179">
        <v>88.268746372280503</v>
      </c>
      <c r="AN2179">
        <v>0.99999999372084403</v>
      </c>
    </row>
    <row r="2180" spans="1:40" x14ac:dyDescent="0.25">
      <c r="A2180" t="str">
        <f>"20190312164032034"</f>
        <v>20190312164032034</v>
      </c>
      <c r="B2180" t="str">
        <f>"1552380032028515"</f>
        <v>1552380032028515</v>
      </c>
      <c r="C2180" t="s">
        <v>40</v>
      </c>
      <c r="D2180">
        <v>5.320411</v>
      </c>
      <c r="E2180">
        <v>0.53485990000000005</v>
      </c>
      <c r="F2180" t="s">
        <v>48</v>
      </c>
      <c r="G2180">
        <v>-277.77789999999999</v>
      </c>
      <c r="H2180" s="1">
        <v>2.5263089999999999E-6</v>
      </c>
      <c r="I2180">
        <v>286.35309999999998</v>
      </c>
      <c r="J2180">
        <v>-258.5598</v>
      </c>
      <c r="K2180">
        <v>1.1098629999999901</v>
      </c>
      <c r="L2180">
        <v>284.423</v>
      </c>
      <c r="M2180">
        <v>-0.99994079999999996</v>
      </c>
      <c r="N2180">
        <v>0</v>
      </c>
      <c r="O2180">
        <v>-6.0529379999999999E-3</v>
      </c>
      <c r="P2180">
        <v>-0.9856201</v>
      </c>
      <c r="Q2180">
        <v>0.16735920000000001</v>
      </c>
      <c r="R2180">
        <v>2.3329849999999999E-2</v>
      </c>
      <c r="S2180">
        <v>-3.0659480000000001</v>
      </c>
      <c r="T2180">
        <v>-0.17430499999999999</v>
      </c>
      <c r="U2180">
        <v>0.30282589999999998</v>
      </c>
      <c r="V2180">
        <v>2.930578E-2</v>
      </c>
      <c r="W2180">
        <v>0.17627379999999901</v>
      </c>
      <c r="X2180">
        <v>0.98390480000000002</v>
      </c>
      <c r="Y2180">
        <v>0.1041383</v>
      </c>
      <c r="Z2180">
        <v>3.2937280000000001E-3</v>
      </c>
      <c r="AA2180">
        <v>0.99455740000000004</v>
      </c>
      <c r="AB2180">
        <v>30</v>
      </c>
      <c r="AC2180">
        <v>-19.2181</v>
      </c>
      <c r="AD2180">
        <v>-1.1098604736909901</v>
      </c>
      <c r="AE2180">
        <v>1.9300999999999799</v>
      </c>
      <c r="AF2180">
        <v>2.03966070916122</v>
      </c>
      <c r="AG2180">
        <v>-1.1098604736909901</v>
      </c>
      <c r="AH2180">
        <v>19.142857815198202</v>
      </c>
      <c r="AI2180">
        <v>93.2995327619048</v>
      </c>
      <c r="AJ2180">
        <v>83.918113171194094</v>
      </c>
      <c r="AK2180">
        <v>19.2831794943794</v>
      </c>
      <c r="AL2180">
        <v>79.847205758372198</v>
      </c>
      <c r="AM2180">
        <v>88.293939380595006</v>
      </c>
      <c r="AN2180">
        <v>0.99999996838544303</v>
      </c>
    </row>
    <row r="2181" spans="1:40" x14ac:dyDescent="0.25">
      <c r="A2181" t="str">
        <f>"20190312164032056"</f>
        <v>20190312164032056</v>
      </c>
      <c r="B2181" t="str">
        <f>"1552380032048035"</f>
        <v>1552380032048035</v>
      </c>
      <c r="C2181" t="s">
        <v>40</v>
      </c>
      <c r="D2181">
        <v>5.3447849999999999</v>
      </c>
      <c r="E2181">
        <v>0.53542100000000004</v>
      </c>
      <c r="F2181" t="s">
        <v>48</v>
      </c>
      <c r="G2181">
        <v>-276.78140000000002</v>
      </c>
      <c r="H2181" s="1">
        <v>2.00025E-6</v>
      </c>
      <c r="I2181">
        <v>286.2559</v>
      </c>
      <c r="J2181">
        <v>-258.86529999999999</v>
      </c>
      <c r="K2181">
        <v>1.109866</v>
      </c>
      <c r="L2181">
        <v>284.42110000000002</v>
      </c>
      <c r="M2181">
        <v>-0.99994090000000002</v>
      </c>
      <c r="N2181">
        <v>0</v>
      </c>
      <c r="O2181">
        <v>-6.0864760000000004E-3</v>
      </c>
      <c r="P2181">
        <v>-0.98570570000000002</v>
      </c>
      <c r="Q2181">
        <v>0.16694100000000001</v>
      </c>
      <c r="R2181">
        <v>2.2700689999999999E-2</v>
      </c>
      <c r="S2181">
        <v>-3.0682070000000001</v>
      </c>
      <c r="T2181">
        <v>-0.18688189999999999</v>
      </c>
      <c r="U2181">
        <v>0.30862430000000002</v>
      </c>
      <c r="V2181">
        <v>2.8705899999999999E-2</v>
      </c>
      <c r="W2181">
        <v>0.17581569999999999</v>
      </c>
      <c r="X2181">
        <v>0.98400449999999995</v>
      </c>
      <c r="Y2181">
        <v>0.1059315</v>
      </c>
      <c r="Z2181">
        <v>3.5845159999999998E-3</v>
      </c>
      <c r="AA2181">
        <v>0.99436690000000005</v>
      </c>
      <c r="AB2181">
        <v>30</v>
      </c>
      <c r="AC2181">
        <v>-17.9161</v>
      </c>
      <c r="AD2181">
        <v>-1.1098639997499999</v>
      </c>
      <c r="AE2181">
        <v>1.83479999999997</v>
      </c>
      <c r="AF2181">
        <v>1.9364622333633901</v>
      </c>
      <c r="AG2181">
        <v>-1.1098639997499999</v>
      </c>
      <c r="AH2181">
        <v>17.836861029060699</v>
      </c>
      <c r="AI2181">
        <v>93.539781928701402</v>
      </c>
      <c r="AJ2181">
        <v>83.803939765680198</v>
      </c>
      <c r="AK2181">
        <v>17.975964381618201</v>
      </c>
      <c r="AL2181">
        <v>79.873869938368003</v>
      </c>
      <c r="AM2181">
        <v>88.329011116278295</v>
      </c>
      <c r="AN2181">
        <v>1.0000000225407699</v>
      </c>
    </row>
    <row r="2182" spans="1:40" x14ac:dyDescent="0.25">
      <c r="A2182" t="str">
        <f>"20190312164032078"</f>
        <v>20190312164032078</v>
      </c>
      <c r="B2182" t="str">
        <f>"1552380032068535"</f>
        <v>1552380032068535</v>
      </c>
      <c r="C2182" t="s">
        <v>40</v>
      </c>
      <c r="D2182">
        <v>5.4835279999999997</v>
      </c>
      <c r="E2182">
        <v>0.53593669999999904</v>
      </c>
      <c r="F2182" t="s">
        <v>48</v>
      </c>
      <c r="G2182">
        <v>-276.1309</v>
      </c>
      <c r="H2182" s="1">
        <v>1.658037E-6</v>
      </c>
      <c r="I2182">
        <v>286.16570000000002</v>
      </c>
      <c r="J2182">
        <v>-259.1465</v>
      </c>
      <c r="K2182">
        <v>1.1098709999999901</v>
      </c>
      <c r="L2182">
        <v>284.41930000000002</v>
      </c>
      <c r="M2182">
        <v>-0.99994090000000002</v>
      </c>
      <c r="N2182">
        <v>0</v>
      </c>
      <c r="O2182">
        <v>-6.1312700000000003E-3</v>
      </c>
      <c r="P2182">
        <v>-0.98576209999999997</v>
      </c>
      <c r="Q2182">
        <v>0.16666449999999999</v>
      </c>
      <c r="R2182">
        <v>2.2269919999999999E-2</v>
      </c>
      <c r="S2182">
        <v>-3.0697939999999999</v>
      </c>
      <c r="T2182">
        <v>-0.19733239999999999</v>
      </c>
      <c r="U2182">
        <v>0.31018069999999998</v>
      </c>
      <c r="V2182">
        <v>2.8314039999999999E-2</v>
      </c>
      <c r="W2182">
        <v>0.17550399999999999</v>
      </c>
      <c r="X2182">
        <v>0.98407149999999999</v>
      </c>
      <c r="Y2182">
        <v>0.1063996</v>
      </c>
      <c r="Z2182">
        <v>3.800384E-3</v>
      </c>
      <c r="AA2182">
        <v>0.99431619999999998</v>
      </c>
      <c r="AB2182">
        <v>30</v>
      </c>
      <c r="AC2182">
        <v>-16.984399999999901</v>
      </c>
      <c r="AD2182">
        <v>-1.1098693419629999</v>
      </c>
      <c r="AE2182">
        <v>1.74639999999999</v>
      </c>
      <c r="AF2182">
        <v>1.8427209361332899</v>
      </c>
      <c r="AG2182">
        <v>-1.1098693419629999</v>
      </c>
      <c r="AH2182">
        <v>16.9019538338109</v>
      </c>
      <c r="AI2182">
        <v>93.734874229214299</v>
      </c>
      <c r="AJ2182">
        <v>83.777951708166995</v>
      </c>
      <c r="AK2182">
        <v>17.0382943337931</v>
      </c>
      <c r="AL2182">
        <v>79.892011166731095</v>
      </c>
      <c r="AM2182">
        <v>88.351921024309107</v>
      </c>
      <c r="AN2182">
        <v>1.0000000279946799</v>
      </c>
    </row>
    <row r="2183" spans="1:40" x14ac:dyDescent="0.25">
      <c r="A2183" t="str">
        <f>"20190312164032099"</f>
        <v>20190312164032099</v>
      </c>
      <c r="B2183" t="str">
        <f>"1552380032088051"</f>
        <v>1552380032088051</v>
      </c>
      <c r="C2183" t="s">
        <v>40</v>
      </c>
      <c r="D2183">
        <v>5.470472</v>
      </c>
      <c r="E2183">
        <v>0.53615539999999995</v>
      </c>
      <c r="F2183" t="s">
        <v>48</v>
      </c>
      <c r="G2183">
        <v>-276.76220000000001</v>
      </c>
      <c r="H2183" s="1">
        <v>1.9916449999999999E-6</v>
      </c>
      <c r="I2183">
        <v>286.21980000000002</v>
      </c>
      <c r="J2183">
        <v>-259.42919999999998</v>
      </c>
      <c r="K2183">
        <v>1.1098840000000001</v>
      </c>
      <c r="L2183">
        <v>284.41759999999999</v>
      </c>
      <c r="M2183">
        <v>-0.99994099999999997</v>
      </c>
      <c r="N2183">
        <v>0</v>
      </c>
      <c r="O2183">
        <v>-6.1925879999999997E-3</v>
      </c>
      <c r="P2183">
        <v>-0.98576889999999995</v>
      </c>
      <c r="Q2183">
        <v>0.16668259999999999</v>
      </c>
      <c r="R2183">
        <v>2.183454E-2</v>
      </c>
      <c r="S2183">
        <v>-3.0689389999999999</v>
      </c>
      <c r="T2183">
        <v>-0.19335720000000001</v>
      </c>
      <c r="U2183">
        <v>0.31365969999999999</v>
      </c>
      <c r="V2183">
        <v>2.7931439999999998E-2</v>
      </c>
      <c r="W2183">
        <v>0.17548939999999999</v>
      </c>
      <c r="X2183">
        <v>0.98408499999999999</v>
      </c>
      <c r="Y2183">
        <v>0.10761039999999999</v>
      </c>
      <c r="Z2183">
        <v>3.766653E-3</v>
      </c>
      <c r="AA2183">
        <v>0.99418600000000001</v>
      </c>
      <c r="AB2183">
        <v>30</v>
      </c>
      <c r="AC2183">
        <v>-17.332999999999998</v>
      </c>
      <c r="AD2183">
        <v>-1.1098820083550001</v>
      </c>
      <c r="AE2183">
        <v>1.80220000000002</v>
      </c>
      <c r="AF2183">
        <v>1.9017914970456899</v>
      </c>
      <c r="AG2183">
        <v>-1.1098820083550001</v>
      </c>
      <c r="AH2183">
        <v>17.251528525304899</v>
      </c>
      <c r="AI2183">
        <v>93.658962107023001</v>
      </c>
      <c r="AJ2183">
        <v>83.709171083071197</v>
      </c>
      <c r="AK2183">
        <v>17.391488879049898</v>
      </c>
      <c r="AL2183">
        <v>79.892860495064795</v>
      </c>
      <c r="AM2183">
        <v>88.374201329067901</v>
      </c>
      <c r="AN2183">
        <v>0.99999999103891601</v>
      </c>
    </row>
    <row r="2184" spans="1:40" x14ac:dyDescent="0.25">
      <c r="A2184" t="str">
        <f>"20190312164032110"</f>
        <v>20190312164032110</v>
      </c>
      <c r="B2184" t="str">
        <f>"1552380032098787"</f>
        <v>1552380032098787</v>
      </c>
      <c r="C2184" t="s">
        <v>40</v>
      </c>
      <c r="D2184">
        <v>5.2107400000000004</v>
      </c>
      <c r="E2184">
        <v>0.53626700000000005</v>
      </c>
      <c r="F2184" t="s">
        <v>42</v>
      </c>
      <c r="G2184">
        <v>-260.41800000000001</v>
      </c>
      <c r="H2184">
        <v>1.0490999999999999</v>
      </c>
      <c r="I2184">
        <v>284.51900000000001</v>
      </c>
      <c r="J2184">
        <v>-259.58760000000001</v>
      </c>
      <c r="K2184">
        <v>1.10989</v>
      </c>
      <c r="L2184">
        <v>284.41660000000002</v>
      </c>
      <c r="M2184">
        <v>-0.99994090000000002</v>
      </c>
      <c r="N2184">
        <v>0</v>
      </c>
      <c r="O2184">
        <v>-6.236747E-3</v>
      </c>
      <c r="P2184">
        <v>-0.98577239999999999</v>
      </c>
      <c r="Q2184">
        <v>0.16671569999999999</v>
      </c>
      <c r="R2184">
        <v>2.1425449999999999E-2</v>
      </c>
      <c r="S2184">
        <v>-3.0682680000000002</v>
      </c>
      <c r="T2184">
        <v>-0.18871930000000001</v>
      </c>
      <c r="U2184">
        <v>0.3140869</v>
      </c>
      <c r="V2184">
        <v>2.756103E-2</v>
      </c>
      <c r="W2184">
        <v>0.1755072</v>
      </c>
      <c r="X2184">
        <v>0.98409230000000003</v>
      </c>
      <c r="Y2184">
        <v>0.1078233</v>
      </c>
      <c r="Z2184">
        <v>3.6864799999999998E-3</v>
      </c>
      <c r="AA2184">
        <v>0.99416320000000002</v>
      </c>
      <c r="AB2184">
        <v>30</v>
      </c>
      <c r="AC2184">
        <v>-0.83039999999999703</v>
      </c>
      <c r="AD2184">
        <v>-6.0790000000000101E-2</v>
      </c>
      <c r="AE2184">
        <v>0.102399999999988</v>
      </c>
      <c r="AF2184">
        <v>0.10701231168252701</v>
      </c>
      <c r="AG2184">
        <v>-6.0790000000000101E-2</v>
      </c>
      <c r="AH2184">
        <v>0.82538812080725998</v>
      </c>
      <c r="AI2184">
        <v>94.177402289786798</v>
      </c>
      <c r="AJ2184">
        <v>82.612758360256507</v>
      </c>
      <c r="AK2184">
        <v>0.83451339649006195</v>
      </c>
      <c r="AL2184">
        <v>79.891824860890196</v>
      </c>
      <c r="AM2184">
        <v>88.395762247453604</v>
      </c>
      <c r="AN2184">
        <v>1.0000000212728899</v>
      </c>
    </row>
    <row r="2185" spans="1:40" x14ac:dyDescent="0.25">
      <c r="A2185" t="str">
        <f>"20190312164032122"</f>
        <v>20190312164032122</v>
      </c>
      <c r="B2185" t="str">
        <f>"1552380032118307"</f>
        <v>1552380032118307</v>
      </c>
      <c r="C2185" t="s">
        <v>40</v>
      </c>
      <c r="D2185">
        <v>5.500432</v>
      </c>
      <c r="E2185">
        <v>0.53623969999999999</v>
      </c>
      <c r="F2185" t="s">
        <v>48</v>
      </c>
      <c r="G2185">
        <v>-277.84780000000001</v>
      </c>
      <c r="H2185" s="1">
        <v>2.5664850000000001E-6</v>
      </c>
      <c r="I2185">
        <v>286.28469999999999</v>
      </c>
      <c r="J2185">
        <v>-259.73860000000002</v>
      </c>
      <c r="K2185">
        <v>1.1098980000000001</v>
      </c>
      <c r="L2185">
        <v>284.41559999999998</v>
      </c>
      <c r="M2185">
        <v>-0.99994070000000002</v>
      </c>
      <c r="N2185">
        <v>0</v>
      </c>
      <c r="O2185">
        <v>-6.2817400000000001E-3</v>
      </c>
      <c r="P2185">
        <v>-0.98580659999999998</v>
      </c>
      <c r="Q2185">
        <v>0.16657839999999999</v>
      </c>
      <c r="R2185">
        <v>2.0913149999999998E-2</v>
      </c>
      <c r="S2185">
        <v>-3.067993</v>
      </c>
      <c r="T2185">
        <v>-0.1864778</v>
      </c>
      <c r="U2185">
        <v>0.31387330000000002</v>
      </c>
      <c r="V2185">
        <v>2.708872E-2</v>
      </c>
      <c r="W2185">
        <v>0.17535609999999999</v>
      </c>
      <c r="X2185">
        <v>0.98413229999999996</v>
      </c>
      <c r="Y2185">
        <v>0.10781350000000001</v>
      </c>
      <c r="Z2185">
        <v>3.6455400000000001E-3</v>
      </c>
      <c r="AA2185">
        <v>0.99416450000000001</v>
      </c>
      <c r="AB2185">
        <v>30</v>
      </c>
      <c r="AC2185">
        <v>-18.109199999999898</v>
      </c>
      <c r="AD2185">
        <v>-1.109895433515</v>
      </c>
      <c r="AE2185">
        <v>1.8691</v>
      </c>
      <c r="AF2185">
        <v>1.9754825278953101</v>
      </c>
      <c r="AG2185">
        <v>-1.109895433515</v>
      </c>
      <c r="AH2185">
        <v>18.030087641857499</v>
      </c>
      <c r="AI2185">
        <v>93.501663534240805</v>
      </c>
      <c r="AJ2185">
        <v>83.747278202126594</v>
      </c>
      <c r="AK2185">
        <v>18.171914028643702</v>
      </c>
      <c r="AL2185">
        <v>79.900618129682201</v>
      </c>
      <c r="AM2185">
        <v>88.423303929603804</v>
      </c>
      <c r="AN2185">
        <v>0.99999997223086801</v>
      </c>
    </row>
    <row r="2186" spans="1:40" x14ac:dyDescent="0.25">
      <c r="A2186" t="str">
        <f>"20190312164032134"</f>
        <v>20190312164032134</v>
      </c>
      <c r="B2186" t="str">
        <f>"1552380032128068"</f>
        <v>1552380032128068</v>
      </c>
      <c r="C2186" t="s">
        <v>40</v>
      </c>
      <c r="D2186">
        <v>5.4192460000000002</v>
      </c>
      <c r="E2186">
        <v>0.50769629999999999</v>
      </c>
      <c r="F2186" t="s">
        <v>42</v>
      </c>
      <c r="G2186">
        <v>-260.68790000000001</v>
      </c>
      <c r="H2186">
        <v>1.0526979999999999</v>
      </c>
      <c r="I2186">
        <v>284.51240000000001</v>
      </c>
      <c r="J2186">
        <v>-259.90929999999997</v>
      </c>
      <c r="K2186">
        <v>1.10991</v>
      </c>
      <c r="L2186">
        <v>284.41449999999998</v>
      </c>
      <c r="M2186">
        <v>-0.99994039999999995</v>
      </c>
      <c r="N2186">
        <v>0</v>
      </c>
      <c r="O2186">
        <v>-6.3387840000000001E-3</v>
      </c>
      <c r="P2186">
        <v>-0.98582429999999999</v>
      </c>
      <c r="Q2186">
        <v>0.16653579999999901</v>
      </c>
      <c r="R2186">
        <v>2.0403870000000001E-2</v>
      </c>
      <c r="S2186">
        <v>-3.067841</v>
      </c>
      <c r="T2186">
        <v>-0.1850513</v>
      </c>
      <c r="U2186">
        <v>0.3120117</v>
      </c>
      <c r="V2186">
        <v>2.6630520000000001E-2</v>
      </c>
      <c r="W2186">
        <v>0.17529879999999901</v>
      </c>
      <c r="X2186">
        <v>0.98415509999999995</v>
      </c>
      <c r="Y2186">
        <v>0.10728210000000001</v>
      </c>
      <c r="Z2186">
        <v>3.6054519999999999E-3</v>
      </c>
      <c r="AA2186">
        <v>0.9942221</v>
      </c>
      <c r="AB2186">
        <v>30</v>
      </c>
      <c r="AC2186">
        <v>-0.77860000000003904</v>
      </c>
      <c r="AD2186">
        <v>-5.7211999999999999E-2</v>
      </c>
      <c r="AE2186">
        <v>9.7900000000038206E-2</v>
      </c>
      <c r="AF2186">
        <v>0.102289897322273</v>
      </c>
      <c r="AG2186">
        <v>-5.7211999999999999E-2</v>
      </c>
      <c r="AH2186">
        <v>0.77385046907563504</v>
      </c>
      <c r="AI2186">
        <v>94.191944543761494</v>
      </c>
      <c r="AJ2186">
        <v>82.470122844794204</v>
      </c>
      <c r="AK2186">
        <v>0.78267552953109598</v>
      </c>
      <c r="AL2186">
        <v>79.903953700436503</v>
      </c>
      <c r="AM2186">
        <v>88.449996181787398</v>
      </c>
      <c r="AN2186">
        <v>1.00000005736645</v>
      </c>
    </row>
    <row r="2187" spans="1:40" x14ac:dyDescent="0.25">
      <c r="A2187" t="str">
        <f>"20190312164032157"</f>
        <v>20190312164032157</v>
      </c>
      <c r="B2187" t="str">
        <f>"1552380032148567"</f>
        <v>1552380032148567</v>
      </c>
      <c r="C2187" t="s">
        <v>40</v>
      </c>
      <c r="D2187">
        <v>5.4221259999999996</v>
      </c>
      <c r="E2187">
        <v>0.49462210000000001</v>
      </c>
      <c r="F2187" t="s">
        <v>49</v>
      </c>
      <c r="G2187">
        <v>-284.11160000000001</v>
      </c>
      <c r="H2187" s="1">
        <v>6.4811069999999996E-6</v>
      </c>
      <c r="I2187">
        <v>285.08969999999999</v>
      </c>
      <c r="J2187">
        <v>-260.20229999999998</v>
      </c>
      <c r="K2187">
        <v>1.1099250000000001</v>
      </c>
      <c r="L2187">
        <v>284.41250000000002</v>
      </c>
      <c r="M2187">
        <v>-0.99994000000000005</v>
      </c>
      <c r="N2187">
        <v>0</v>
      </c>
      <c r="O2187">
        <v>-6.4546450000000002E-3</v>
      </c>
      <c r="P2187">
        <v>-0.98592250000000003</v>
      </c>
      <c r="Q2187">
        <v>0.16608709999999999</v>
      </c>
      <c r="R2187">
        <v>1.9298740000000002E-2</v>
      </c>
      <c r="S2187">
        <v>-3.0651250000000001</v>
      </c>
      <c r="T2187">
        <v>-0.14056459999999901</v>
      </c>
      <c r="U2187">
        <v>8.5510249999999996E-2</v>
      </c>
      <c r="V2187">
        <v>2.5631870000000001E-2</v>
      </c>
      <c r="W2187">
        <v>0.17482839999999999</v>
      </c>
      <c r="X2187">
        <v>0.98426519999999995</v>
      </c>
      <c r="Y2187">
        <v>3.4295970000000002E-2</v>
      </c>
      <c r="Z2187">
        <v>1.0816389999999999E-3</v>
      </c>
      <c r="AA2187">
        <v>0.9994111</v>
      </c>
      <c r="AB2187">
        <v>30</v>
      </c>
      <c r="AC2187">
        <v>-23.909300000000002</v>
      </c>
      <c r="AD2187">
        <v>-1.1099185188930001</v>
      </c>
      <c r="AE2187">
        <v>0.67719999999997005</v>
      </c>
      <c r="AF2187">
        <v>0.82973133772054197</v>
      </c>
      <c r="AG2187">
        <v>-1.1099185188930001</v>
      </c>
      <c r="AH2187">
        <v>23.8530683394943</v>
      </c>
      <c r="AI2187">
        <v>92.662527595694101</v>
      </c>
      <c r="AJ2187">
        <v>88.007763929740605</v>
      </c>
      <c r="AK2187">
        <v>23.893288648069401</v>
      </c>
      <c r="AL2187">
        <v>79.931327519857703</v>
      </c>
      <c r="AM2187">
        <v>88.508261673372303</v>
      </c>
      <c r="AN2187">
        <v>0.99999997306864796</v>
      </c>
    </row>
    <row r="2188" spans="1:40" x14ac:dyDescent="0.25">
      <c r="A2188" t="str">
        <f>"20190312164032172"</f>
        <v>20190312164032172</v>
      </c>
      <c r="B2188" t="str">
        <f>"1552380032168084"</f>
        <v>1552380032168084</v>
      </c>
      <c r="C2188" t="s">
        <v>40</v>
      </c>
      <c r="D2188">
        <v>5.2892539999999997</v>
      </c>
      <c r="E2188">
        <v>0.48939909999999998</v>
      </c>
      <c r="F2188" t="s">
        <v>49</v>
      </c>
      <c r="G2188">
        <v>-285.3861</v>
      </c>
      <c r="H2188" s="1">
        <v>6.092218E-6</v>
      </c>
      <c r="I2188">
        <v>284.23649999999998</v>
      </c>
      <c r="J2188">
        <v>-260.4101</v>
      </c>
      <c r="K2188">
        <v>1.109931</v>
      </c>
      <c r="L2188">
        <v>284.41109999999998</v>
      </c>
      <c r="M2188">
        <v>-0.99993940000000003</v>
      </c>
      <c r="N2188">
        <v>0</v>
      </c>
      <c r="O2188">
        <v>-6.5529409999999996E-3</v>
      </c>
      <c r="P2188">
        <v>-0.98597619999999997</v>
      </c>
      <c r="Q2188">
        <v>0.16584679999999999</v>
      </c>
      <c r="R2188">
        <v>1.8598900000000002E-2</v>
      </c>
      <c r="S2188">
        <v>-3.0660099999999999</v>
      </c>
      <c r="T2188">
        <v>-0.13512729999999901</v>
      </c>
      <c r="U2188">
        <v>-2.1423339999999999E-2</v>
      </c>
      <c r="V2188">
        <v>2.5024000000000001E-2</v>
      </c>
      <c r="W2188">
        <v>0.17457439999999999</v>
      </c>
      <c r="X2188">
        <v>0.98432589999999998</v>
      </c>
      <c r="Y2188">
        <v>-4.3994450000000001E-4</v>
      </c>
      <c r="Z2188">
        <v>2.7898030000000001E-4</v>
      </c>
      <c r="AA2188">
        <v>0.99999990000000005</v>
      </c>
      <c r="AB2188">
        <v>30</v>
      </c>
      <c r="AC2188">
        <v>-24.975999999999999</v>
      </c>
      <c r="AD2188">
        <v>-1.1099249077819999</v>
      </c>
      <c r="AE2188">
        <v>-0.17459999999999801</v>
      </c>
      <c r="AF2188">
        <v>-1.09020629974805E-2</v>
      </c>
      <c r="AG2188">
        <v>-1.1099249077819999</v>
      </c>
      <c r="AH2188">
        <v>24.9273816304487</v>
      </c>
      <c r="AI2188">
        <v>92.549486766935502</v>
      </c>
      <c r="AJ2188">
        <v>90.025058474539094</v>
      </c>
      <c r="AK2188">
        <v>24.952082219845298</v>
      </c>
      <c r="AL2188">
        <v>79.946107710925801</v>
      </c>
      <c r="AM2188">
        <v>88.543713191490696</v>
      </c>
      <c r="AN2188">
        <v>0.99999994956108296</v>
      </c>
    </row>
    <row r="2189" spans="1:40" x14ac:dyDescent="0.25">
      <c r="A2189" t="str">
        <f>"20190312164032190"</f>
        <v>20190312164032190</v>
      </c>
      <c r="B2189" t="str">
        <f>"1552380032177844"</f>
        <v>1552380032177844</v>
      </c>
      <c r="C2189" t="s">
        <v>40</v>
      </c>
      <c r="D2189">
        <v>5.2906139999999997</v>
      </c>
      <c r="E2189">
        <v>0.48801559999999999</v>
      </c>
      <c r="F2189" t="s">
        <v>49</v>
      </c>
      <c r="G2189">
        <v>-284.66059999999999</v>
      </c>
      <c r="H2189" s="1">
        <v>6.4844080000000003E-6</v>
      </c>
      <c r="I2189">
        <v>283.89550000000003</v>
      </c>
      <c r="J2189">
        <v>-260.65109999999999</v>
      </c>
      <c r="K2189">
        <v>1.109939</v>
      </c>
      <c r="L2189">
        <v>284.40940000000001</v>
      </c>
      <c r="M2189">
        <v>-0.99993880000000002</v>
      </c>
      <c r="N2189">
        <v>0</v>
      </c>
      <c r="O2189">
        <v>-6.6777009999999899E-3</v>
      </c>
      <c r="P2189">
        <v>-0.98615209999999998</v>
      </c>
      <c r="Q2189">
        <v>0.16483529999999999</v>
      </c>
      <c r="R2189">
        <v>1.827726E-2</v>
      </c>
      <c r="S2189">
        <v>-3.0675050000000001</v>
      </c>
      <c r="T2189">
        <v>-0.1403971</v>
      </c>
      <c r="U2189">
        <v>-6.5216060000000006E-2</v>
      </c>
      <c r="V2189">
        <v>2.4821639999999999E-2</v>
      </c>
      <c r="W2189">
        <v>0.17355029999999999</v>
      </c>
      <c r="X2189">
        <v>0.98451219999999995</v>
      </c>
      <c r="Y2189">
        <v>-1.457031E-2</v>
      </c>
      <c r="Z2189" s="1">
        <v>-2.778022E-5</v>
      </c>
      <c r="AA2189">
        <v>0.99989380000000005</v>
      </c>
      <c r="AB2189">
        <v>30</v>
      </c>
      <c r="AC2189">
        <v>-24.009499999999999</v>
      </c>
      <c r="AD2189">
        <v>-1.1099325155919999</v>
      </c>
      <c r="AE2189">
        <v>-0.51389999999997804</v>
      </c>
      <c r="AF2189">
        <v>-0.352800413387171</v>
      </c>
      <c r="AG2189">
        <v>-1.1099325155919999</v>
      </c>
      <c r="AH2189">
        <v>23.961212142691899</v>
      </c>
      <c r="AI2189">
        <v>92.651875195441605</v>
      </c>
      <c r="AJ2189">
        <v>90.843551404386602</v>
      </c>
      <c r="AK2189">
        <v>23.989499904498601</v>
      </c>
      <c r="AL2189">
        <v>80.005694905858206</v>
      </c>
      <c r="AM2189">
        <v>88.555757875052507</v>
      </c>
      <c r="AN2189">
        <v>1.0000000461956</v>
      </c>
    </row>
    <row r="2190" spans="1:40" x14ac:dyDescent="0.25">
      <c r="A2190" t="str">
        <f>"20190312164032212"</f>
        <v>20190312164032212</v>
      </c>
      <c r="B2190" t="str">
        <f>"1552380032208100"</f>
        <v>1552380032208100</v>
      </c>
      <c r="C2190" t="s">
        <v>40</v>
      </c>
      <c r="D2190">
        <v>5.2198449999999896</v>
      </c>
      <c r="E2190">
        <v>0.48598069999999999</v>
      </c>
      <c r="F2190" t="s">
        <v>49</v>
      </c>
      <c r="G2190">
        <v>-284.18220000000002</v>
      </c>
      <c r="H2190" s="1">
        <v>6.7136859999999998E-6</v>
      </c>
      <c r="I2190">
        <v>283.81270000000001</v>
      </c>
      <c r="J2190">
        <v>-260.93239999999997</v>
      </c>
      <c r="K2190">
        <v>1.1099380000000001</v>
      </c>
      <c r="L2190">
        <v>284.40730000000002</v>
      </c>
      <c r="M2190">
        <v>-0.99993770000000004</v>
      </c>
      <c r="N2190">
        <v>0</v>
      </c>
      <c r="O2190">
        <v>-6.8350969999999896E-3</v>
      </c>
      <c r="P2190">
        <v>-0.98630490000000004</v>
      </c>
      <c r="Q2190">
        <v>0.1640144</v>
      </c>
      <c r="R2190">
        <v>1.7371850000000001E-2</v>
      </c>
      <c r="S2190">
        <v>-3.0677189999999999</v>
      </c>
      <c r="T2190">
        <v>-0.14470060000000001</v>
      </c>
      <c r="U2190">
        <v>-7.778931E-2</v>
      </c>
      <c r="V2190">
        <v>2.40678E-2</v>
      </c>
      <c r="W2190">
        <v>0.17271339999999999</v>
      </c>
      <c r="X2190">
        <v>0.98467800000000005</v>
      </c>
      <c r="Y2190">
        <v>-1.850251E-2</v>
      </c>
      <c r="Z2190">
        <v>-1.13882099999999E-4</v>
      </c>
      <c r="AA2190">
        <v>0.99982879999999996</v>
      </c>
      <c r="AB2190">
        <v>30</v>
      </c>
      <c r="AC2190">
        <v>-23.2498</v>
      </c>
      <c r="AD2190">
        <v>-1.1099312863139901</v>
      </c>
      <c r="AE2190">
        <v>-0.59460000000001401</v>
      </c>
      <c r="AF2190">
        <v>-0.434675283849218</v>
      </c>
      <c r="AG2190">
        <v>-1.1099312863139901</v>
      </c>
      <c r="AH2190">
        <v>23.200480677987599</v>
      </c>
      <c r="AI2190">
        <v>92.7385119868473</v>
      </c>
      <c r="AJ2190">
        <v>91.073346112832496</v>
      </c>
      <c r="AK2190">
        <v>23.231082492049399</v>
      </c>
      <c r="AL2190">
        <v>80.054380208613594</v>
      </c>
      <c r="AM2190">
        <v>88.599837868897893</v>
      </c>
      <c r="AN2190">
        <v>0.99999997061019896</v>
      </c>
    </row>
    <row r="2191" spans="1:40" x14ac:dyDescent="0.25">
      <c r="A2191" t="str">
        <f>"20190312164032225"</f>
        <v>20190312164032225</v>
      </c>
      <c r="B2191" t="str">
        <f>"1552380032217860"</f>
        <v>1552380032217860</v>
      </c>
      <c r="C2191" t="s">
        <v>40</v>
      </c>
      <c r="D2191">
        <v>5.1941769999999998</v>
      </c>
      <c r="E2191">
        <v>0.48544559999999998</v>
      </c>
      <c r="F2191" t="s">
        <v>49</v>
      </c>
      <c r="G2191">
        <v>-283.22050000000002</v>
      </c>
      <c r="H2191" s="1">
        <v>7.1615290000000001E-6</v>
      </c>
      <c r="I2191">
        <v>283.70940000000002</v>
      </c>
      <c r="J2191">
        <v>-261.1216</v>
      </c>
      <c r="K2191">
        <v>1.109939</v>
      </c>
      <c r="L2191">
        <v>284.40589999999997</v>
      </c>
      <c r="M2191">
        <v>-0.99993719999999997</v>
      </c>
      <c r="N2191">
        <v>0</v>
      </c>
      <c r="O2191">
        <v>-6.9459639999999998E-3</v>
      </c>
      <c r="P2191">
        <v>-0.98642010000000002</v>
      </c>
      <c r="Q2191">
        <v>0.16337360000000001</v>
      </c>
      <c r="R2191">
        <v>1.68776E-2</v>
      </c>
      <c r="S2191">
        <v>-3.068756</v>
      </c>
      <c r="T2191">
        <v>-0.15282190000000001</v>
      </c>
      <c r="U2191">
        <v>-9.6099850000000001E-2</v>
      </c>
      <c r="V2191">
        <v>2.3681580000000001E-2</v>
      </c>
      <c r="W2191">
        <v>0.17206150000000001</v>
      </c>
      <c r="X2191">
        <v>0.9848015</v>
      </c>
      <c r="Y2191">
        <v>-2.4335119999999998E-2</v>
      </c>
      <c r="Z2191">
        <v>-2.5980529999999999E-4</v>
      </c>
      <c r="AA2191">
        <v>0.99970380000000003</v>
      </c>
      <c r="AB2191">
        <v>30</v>
      </c>
      <c r="AC2191">
        <v>-22.0989</v>
      </c>
      <c r="AD2191">
        <v>-1.109931838471</v>
      </c>
      <c r="AE2191">
        <v>-0.69649999999995704</v>
      </c>
      <c r="AF2191">
        <v>-0.541614166769253</v>
      </c>
      <c r="AG2191">
        <v>-1.109931838471</v>
      </c>
      <c r="AH2191">
        <v>22.047642344162099</v>
      </c>
      <c r="AI2191">
        <v>92.881107885677494</v>
      </c>
      <c r="AJ2191">
        <v>91.407223743914102</v>
      </c>
      <c r="AK2191">
        <v>22.082206129093699</v>
      </c>
      <c r="AL2191">
        <v>80.092299154120894</v>
      </c>
      <c r="AM2191">
        <v>88.622470479397194</v>
      </c>
      <c r="AN2191">
        <v>0.99999998570789805</v>
      </c>
    </row>
    <row r="2192" spans="1:40" x14ac:dyDescent="0.25">
      <c r="A2192" t="str">
        <f>"20190312164032247"</f>
        <v>20190312164032247</v>
      </c>
      <c r="B2192" t="str">
        <f>"1552380032238356"</f>
        <v>1552380032238356</v>
      </c>
      <c r="C2192" t="s">
        <v>40</v>
      </c>
      <c r="D2192">
        <v>5.7585959999999998</v>
      </c>
      <c r="E2192">
        <v>0.48480069999999997</v>
      </c>
      <c r="F2192" t="s">
        <v>49</v>
      </c>
      <c r="G2192">
        <v>-283.04419999999999</v>
      </c>
      <c r="H2192" s="1">
        <v>7.2452270000000002E-6</v>
      </c>
      <c r="I2192">
        <v>283.6825</v>
      </c>
      <c r="J2192">
        <v>-261.41669999999999</v>
      </c>
      <c r="K2192">
        <v>1.1099399999999999</v>
      </c>
      <c r="L2192">
        <v>284.40370000000001</v>
      </c>
      <c r="M2192">
        <v>-0.99993589999999999</v>
      </c>
      <c r="N2192">
        <v>0</v>
      </c>
      <c r="O2192">
        <v>-7.1236789999999999E-3</v>
      </c>
      <c r="P2192">
        <v>-0.9865119</v>
      </c>
      <c r="Q2192">
        <v>0.1629003</v>
      </c>
      <c r="R2192">
        <v>1.6055070000000001E-2</v>
      </c>
      <c r="S2192">
        <v>-3.068756</v>
      </c>
      <c r="T2192">
        <v>-0.1553696</v>
      </c>
      <c r="U2192">
        <v>-0.10125729999999999</v>
      </c>
      <c r="V2192">
        <v>2.3032319999999998E-2</v>
      </c>
      <c r="W2192">
        <v>0.17156869999999999</v>
      </c>
      <c r="X2192">
        <v>0.98490290000000003</v>
      </c>
      <c r="Y2192">
        <v>-2.5833410000000001E-2</v>
      </c>
      <c r="Z2192">
        <v>-2.9302959999999998E-4</v>
      </c>
      <c r="AA2192">
        <v>0.99966619999999995</v>
      </c>
      <c r="AB2192">
        <v>30</v>
      </c>
      <c r="AC2192">
        <v>-21.627500000000001</v>
      </c>
      <c r="AD2192">
        <v>-1.109932754773</v>
      </c>
      <c r="AE2192">
        <v>-0.72120000000001006</v>
      </c>
      <c r="AF2192">
        <v>-0.56562029611947695</v>
      </c>
      <c r="AG2192">
        <v>-1.109932754773</v>
      </c>
      <c r="AH2192">
        <v>21.5753272793478</v>
      </c>
      <c r="AI2192">
        <v>92.943949073391195</v>
      </c>
      <c r="AJ2192">
        <v>91.501726208460497</v>
      </c>
      <c r="AK2192">
        <v>21.611261514554698</v>
      </c>
      <c r="AL2192">
        <v>80.120961022549196</v>
      </c>
      <c r="AM2192">
        <v>88.660361092470097</v>
      </c>
      <c r="AN2192">
        <v>1.0000000145063399</v>
      </c>
    </row>
    <row r="2193" spans="1:40" x14ac:dyDescent="0.25">
      <c r="A2193" t="str">
        <f>"20190312164032268"</f>
        <v>20190312164032268</v>
      </c>
      <c r="B2193" t="str">
        <f>"1552380032257876"</f>
        <v>1552380032257876</v>
      </c>
      <c r="C2193" t="s">
        <v>40</v>
      </c>
      <c r="D2193">
        <v>5.2623600000000001</v>
      </c>
      <c r="E2193">
        <v>0.48434199999999999</v>
      </c>
      <c r="F2193" t="s">
        <v>49</v>
      </c>
      <c r="G2193">
        <v>-282.79239999999999</v>
      </c>
      <c r="H2193" s="1">
        <v>7.3645590000000001E-6</v>
      </c>
      <c r="I2193">
        <v>283.64550000000003</v>
      </c>
      <c r="J2193">
        <v>-261.70330000000001</v>
      </c>
      <c r="K2193">
        <v>1.109936</v>
      </c>
      <c r="L2193">
        <v>284.4015</v>
      </c>
      <c r="M2193">
        <v>-0.99993500000000002</v>
      </c>
      <c r="N2193">
        <v>0</v>
      </c>
      <c r="O2193">
        <v>-7.2988649999999999E-3</v>
      </c>
      <c r="P2193">
        <v>-0.98651750000000005</v>
      </c>
      <c r="Q2193">
        <v>0.16295279999999901</v>
      </c>
      <c r="R2193">
        <v>1.515556E-2</v>
      </c>
      <c r="S2193">
        <v>-3.069061</v>
      </c>
      <c r="T2193">
        <v>-0.15936110000000001</v>
      </c>
      <c r="U2193">
        <v>-0.1088562</v>
      </c>
      <c r="V2193">
        <v>2.2304000000000001E-2</v>
      </c>
      <c r="W2193">
        <v>0.17160110000000001</v>
      </c>
      <c r="X2193">
        <v>0.98491399999999996</v>
      </c>
      <c r="Y2193">
        <v>-2.812309E-2</v>
      </c>
      <c r="Z2193">
        <v>-3.50806E-4</v>
      </c>
      <c r="AA2193">
        <v>0.99960439999999995</v>
      </c>
      <c r="AB2193">
        <v>30</v>
      </c>
      <c r="AC2193">
        <v>-21.089099999999899</v>
      </c>
      <c r="AD2193">
        <v>-1.1099286354410001</v>
      </c>
      <c r="AE2193">
        <v>-0.75599999999997103</v>
      </c>
      <c r="AF2193">
        <v>-0.60038654749187503</v>
      </c>
      <c r="AG2193">
        <v>-1.1099286354410001</v>
      </c>
      <c r="AH2193">
        <v>21.035862573946002</v>
      </c>
      <c r="AI2193">
        <v>93.019105823168999</v>
      </c>
      <c r="AJ2193">
        <v>91.634840459477005</v>
      </c>
      <c r="AK2193">
        <v>21.073678364540999</v>
      </c>
      <c r="AL2193">
        <v>80.119076515429001</v>
      </c>
      <c r="AM2193">
        <v>88.702722590033105</v>
      </c>
      <c r="AN2193">
        <v>0.999999996666604</v>
      </c>
    </row>
    <row r="2194" spans="1:40" x14ac:dyDescent="0.25">
      <c r="A2194" t="str">
        <f>"20190312164032290"</f>
        <v>20190312164032290</v>
      </c>
      <c r="B2194" t="str">
        <f>"1552380032278372"</f>
        <v>1552380032278372</v>
      </c>
      <c r="C2194" t="s">
        <v>40</v>
      </c>
      <c r="D2194">
        <v>5.1831569999999996</v>
      </c>
      <c r="E2194">
        <v>0.48394429999999999</v>
      </c>
      <c r="F2194" t="s">
        <v>49</v>
      </c>
      <c r="G2194">
        <v>-282.27379999999999</v>
      </c>
      <c r="H2194" s="1">
        <v>7.5985500000000003E-6</v>
      </c>
      <c r="I2194">
        <v>283.62610000000001</v>
      </c>
      <c r="J2194">
        <v>-261.99680000000001</v>
      </c>
      <c r="K2194">
        <v>1.1099300000000001</v>
      </c>
      <c r="L2194">
        <v>284.39909999999998</v>
      </c>
      <c r="M2194">
        <v>-0.99993399999999999</v>
      </c>
      <c r="N2194">
        <v>0</v>
      </c>
      <c r="O2194">
        <v>-7.4784269999999898E-3</v>
      </c>
      <c r="P2194">
        <v>-0.98659620000000003</v>
      </c>
      <c r="Q2194">
        <v>0.16255829999999999</v>
      </c>
      <c r="R2194">
        <v>1.424564E-2</v>
      </c>
      <c r="S2194">
        <v>-3.0700989999999999</v>
      </c>
      <c r="T2194">
        <v>-0.16565489999999999</v>
      </c>
      <c r="U2194">
        <v>-0.115722699999999</v>
      </c>
      <c r="V2194">
        <v>2.1570869999999999E-2</v>
      </c>
      <c r="W2194">
        <v>0.17118249999999999</v>
      </c>
      <c r="X2194">
        <v>0.98500319999999997</v>
      </c>
      <c r="Y2194">
        <v>-3.0159310000000002E-2</v>
      </c>
      <c r="Z2194">
        <v>-4.097018E-4</v>
      </c>
      <c r="AA2194">
        <v>0.99954500000000002</v>
      </c>
      <c r="AB2194">
        <v>30</v>
      </c>
      <c r="AC2194">
        <v>-20.276999999999902</v>
      </c>
      <c r="AD2194">
        <v>-1.10992240144999</v>
      </c>
      <c r="AE2194">
        <v>-0.77299999999996705</v>
      </c>
      <c r="AF2194">
        <v>-0.61947913030312096</v>
      </c>
      <c r="AG2194">
        <v>-1.10992240144999</v>
      </c>
      <c r="AH2194">
        <v>20.221712627819301</v>
      </c>
      <c r="AI2194">
        <v>93.140208431598296</v>
      </c>
      <c r="AJ2194">
        <v>91.754670508399897</v>
      </c>
      <c r="AK2194">
        <v>20.2616224358324</v>
      </c>
      <c r="AL2194">
        <v>80.143421057615697</v>
      </c>
      <c r="AM2194">
        <v>88.745463675060506</v>
      </c>
      <c r="AN2194">
        <v>1.00000002737452</v>
      </c>
    </row>
    <row r="2195" spans="1:40" x14ac:dyDescent="0.25">
      <c r="A2195" t="str">
        <f>"20190312164032312"</f>
        <v>20190312164032312</v>
      </c>
      <c r="B2195" t="str">
        <f>"1552380032308583"</f>
        <v>1552380032308583</v>
      </c>
      <c r="C2195" t="s">
        <v>40</v>
      </c>
      <c r="D2195">
        <v>5.1942320000000004</v>
      </c>
      <c r="E2195">
        <v>0.48369010000000001</v>
      </c>
      <c r="F2195" t="s">
        <v>49</v>
      </c>
      <c r="G2195">
        <v>-281.3014</v>
      </c>
      <c r="H2195" s="1">
        <v>8.028552E-6</v>
      </c>
      <c r="I2195">
        <v>283.63200000000001</v>
      </c>
      <c r="J2195">
        <v>-262.2998</v>
      </c>
      <c r="K2195">
        <v>1.1099209999999999</v>
      </c>
      <c r="L2195">
        <v>284.39670000000001</v>
      </c>
      <c r="M2195">
        <v>-0.99993279999999995</v>
      </c>
      <c r="N2195">
        <v>0</v>
      </c>
      <c r="O2195">
        <v>-7.6636600000000001E-3</v>
      </c>
      <c r="P2195">
        <v>-0.98663769999999995</v>
      </c>
      <c r="Q2195">
        <v>0.16237019999999999</v>
      </c>
      <c r="R2195">
        <v>1.350236E-2</v>
      </c>
      <c r="S2195">
        <v>-3.071625</v>
      </c>
      <c r="T2195">
        <v>-0.17660419999999999</v>
      </c>
      <c r="U2195">
        <v>-0.12207030000000001</v>
      </c>
      <c r="V2195">
        <v>2.101018E-2</v>
      </c>
      <c r="W2195">
        <v>0.17096120000000001</v>
      </c>
      <c r="X2195">
        <v>0.98505370000000003</v>
      </c>
      <c r="Y2195">
        <v>-3.2010719999999999E-2</v>
      </c>
      <c r="Z2195">
        <v>-4.7902809999999997E-4</v>
      </c>
      <c r="AA2195">
        <v>0.99948740000000003</v>
      </c>
      <c r="AB2195">
        <v>30</v>
      </c>
      <c r="AC2195">
        <v>-19.0016</v>
      </c>
      <c r="AD2195">
        <v>-1.1099129714479901</v>
      </c>
      <c r="AE2195">
        <v>-0.76470000000000404</v>
      </c>
      <c r="AF2195">
        <v>-0.61694866121304803</v>
      </c>
      <c r="AG2195">
        <v>-1.1099129714479901</v>
      </c>
      <c r="AH2195">
        <v>18.942377399116602</v>
      </c>
      <c r="AI2195">
        <v>93.351591606984897</v>
      </c>
      <c r="AJ2195">
        <v>91.865450283624099</v>
      </c>
      <c r="AK2195">
        <v>18.984893836556601</v>
      </c>
      <c r="AL2195">
        <v>80.156289811405003</v>
      </c>
      <c r="AM2195">
        <v>88.778125349689304</v>
      </c>
      <c r="AN2195">
        <v>0.999999975726381</v>
      </c>
    </row>
    <row r="2196" spans="1:40" x14ac:dyDescent="0.25">
      <c r="A2196" t="str">
        <f>"20190312164032334"</f>
        <v>20190312164032334</v>
      </c>
      <c r="B2196" t="str">
        <f>"1552380032328103"</f>
        <v>1552380032328103</v>
      </c>
      <c r="C2196" t="s">
        <v>40</v>
      </c>
      <c r="D2196">
        <v>5.7110320000000003</v>
      </c>
      <c r="E2196">
        <v>0.48365570000000002</v>
      </c>
      <c r="F2196" t="s">
        <v>49</v>
      </c>
      <c r="G2196">
        <v>-281.7654</v>
      </c>
      <c r="H2196" s="1">
        <v>7.8296929999999998E-6</v>
      </c>
      <c r="I2196">
        <v>283.59859999999998</v>
      </c>
      <c r="J2196">
        <v>-262.6069</v>
      </c>
      <c r="K2196">
        <v>1.1099060000000001</v>
      </c>
      <c r="L2196">
        <v>284.39409999999998</v>
      </c>
      <c r="M2196">
        <v>-0.99993189999999998</v>
      </c>
      <c r="N2196">
        <v>0</v>
      </c>
      <c r="O2196">
        <v>-7.8499090000000004E-3</v>
      </c>
      <c r="P2196">
        <v>-0.98670729999999995</v>
      </c>
      <c r="Q2196">
        <v>0.1620027</v>
      </c>
      <c r="R2196">
        <v>1.2817530000000001E-2</v>
      </c>
      <c r="S2196">
        <v>-3.071167</v>
      </c>
      <c r="T2196">
        <v>-0.17511640000000001</v>
      </c>
      <c r="U2196">
        <v>-0.12591550000000001</v>
      </c>
      <c r="V2196">
        <v>2.0509119999999999E-2</v>
      </c>
      <c r="W2196">
        <v>0.17054920000000001</v>
      </c>
      <c r="X2196">
        <v>0.98513569999999995</v>
      </c>
      <c r="Y2196">
        <v>-3.3079039999999997E-2</v>
      </c>
      <c r="Z2196">
        <v>-4.9487260000000003E-4</v>
      </c>
      <c r="AA2196">
        <v>0.99945260000000002</v>
      </c>
      <c r="AB2196">
        <v>30</v>
      </c>
      <c r="AC2196">
        <v>-19.1585</v>
      </c>
      <c r="AD2196">
        <v>-1.1098981703069899</v>
      </c>
      <c r="AE2196">
        <v>-0.79550000000000398</v>
      </c>
      <c r="AF2196">
        <v>-0.642923355492795</v>
      </c>
      <c r="AG2196">
        <v>-1.1098981703069899</v>
      </c>
      <c r="AH2196">
        <v>19.100161539880499</v>
      </c>
      <c r="AI2196">
        <v>93.323802951789403</v>
      </c>
      <c r="AJ2196">
        <v>91.927883787911497</v>
      </c>
      <c r="AK2196">
        <v>19.1431814294025</v>
      </c>
      <c r="AL2196">
        <v>80.180247774612994</v>
      </c>
      <c r="AM2196">
        <v>88.807355884262904</v>
      </c>
      <c r="AN2196">
        <v>1.0000000005191501</v>
      </c>
    </row>
    <row r="2197" spans="1:40" x14ac:dyDescent="0.25">
      <c r="A2197" t="str">
        <f>"20190312164032347"</f>
        <v>20190312164032347</v>
      </c>
      <c r="B2197" t="str">
        <f>"1552380032337863"</f>
        <v>1552380032337863</v>
      </c>
      <c r="C2197" t="s">
        <v>40</v>
      </c>
      <c r="D2197">
        <v>5.19339</v>
      </c>
      <c r="E2197">
        <v>0.48356779999999999</v>
      </c>
      <c r="F2197" t="s">
        <v>49</v>
      </c>
      <c r="G2197">
        <v>-281.9434</v>
      </c>
      <c r="H2197" s="1">
        <v>7.7525680000000001E-6</v>
      </c>
      <c r="I2197">
        <v>283.58980000000003</v>
      </c>
      <c r="J2197">
        <v>-262.78070000000002</v>
      </c>
      <c r="K2197">
        <v>1.1098969999999999</v>
      </c>
      <c r="L2197">
        <v>284.39260000000002</v>
      </c>
      <c r="M2197">
        <v>-0.99993129999999997</v>
      </c>
      <c r="N2197">
        <v>0</v>
      </c>
      <c r="O2197">
        <v>-7.9545569999999993E-3</v>
      </c>
      <c r="P2197">
        <v>-0.98671869999999995</v>
      </c>
      <c r="Q2197">
        <v>0.16196060000000001</v>
      </c>
      <c r="R2197">
        <v>1.247036E-2</v>
      </c>
      <c r="S2197">
        <v>-3.0710449999999998</v>
      </c>
      <c r="T2197">
        <v>-0.1762756</v>
      </c>
      <c r="U2197">
        <v>-0.12774659999999999</v>
      </c>
      <c r="V2197">
        <v>2.0265149999999999E-2</v>
      </c>
      <c r="W2197">
        <v>0.1704754</v>
      </c>
      <c r="X2197">
        <v>0.98515350000000002</v>
      </c>
      <c r="Y2197">
        <v>-3.3569790000000002E-2</v>
      </c>
      <c r="Z2197">
        <v>-5.0622500000000001E-4</v>
      </c>
      <c r="AA2197">
        <v>0.99943630000000006</v>
      </c>
      <c r="AB2197">
        <v>30</v>
      </c>
      <c r="AC2197">
        <v>-19.162699999999901</v>
      </c>
      <c r="AD2197">
        <v>-1.1098892474319999</v>
      </c>
      <c r="AE2197">
        <v>-0.80279999999998997</v>
      </c>
      <c r="AF2197">
        <v>-0.64816760104798499</v>
      </c>
      <c r="AG2197">
        <v>-1.1098892474319999</v>
      </c>
      <c r="AH2197">
        <v>19.104503399495901</v>
      </c>
      <c r="AI2197">
        <v>93.322992726663401</v>
      </c>
      <c r="AJ2197">
        <v>91.943155902553897</v>
      </c>
      <c r="AK2197">
        <v>19.1476898220637</v>
      </c>
      <c r="AL2197">
        <v>80.184538827563102</v>
      </c>
      <c r="AM2197">
        <v>88.821560462921596</v>
      </c>
      <c r="AN2197">
        <v>0.999999978435966</v>
      </c>
    </row>
    <row r="2198" spans="1:40" x14ac:dyDescent="0.25">
      <c r="A2198" t="str">
        <f>"20190312164032360"</f>
        <v>20190312164032360</v>
      </c>
      <c r="B2198" t="str">
        <f>"1552380032348599"</f>
        <v>1552380032348599</v>
      </c>
      <c r="C2198" t="s">
        <v>40</v>
      </c>
      <c r="D2198">
        <v>5.1428469999999997</v>
      </c>
      <c r="E2198">
        <v>0.48351889999999997</v>
      </c>
      <c r="F2198" t="s">
        <v>49</v>
      </c>
      <c r="G2198">
        <v>-282.11689999999999</v>
      </c>
      <c r="H2198" s="1">
        <v>7.6780970000000004E-6</v>
      </c>
      <c r="I2198">
        <v>283.57769999999999</v>
      </c>
      <c r="J2198">
        <v>-262.95490000000001</v>
      </c>
      <c r="K2198">
        <v>1.10989</v>
      </c>
      <c r="L2198">
        <v>284.39120000000003</v>
      </c>
      <c r="M2198">
        <v>-0.99993050000000006</v>
      </c>
      <c r="N2198">
        <v>0</v>
      </c>
      <c r="O2198">
        <v>-8.0588389999999999E-3</v>
      </c>
      <c r="P2198">
        <v>-0.98672090000000001</v>
      </c>
      <c r="Q2198">
        <v>0.161967</v>
      </c>
      <c r="R2198">
        <v>1.2175439999999999E-2</v>
      </c>
      <c r="S2198">
        <v>-3.0709529999999998</v>
      </c>
      <c r="T2198">
        <v>-0.17627100000000001</v>
      </c>
      <c r="U2198">
        <v>-0.12942500000000001</v>
      </c>
      <c r="V2198">
        <v>2.0072719999999999E-2</v>
      </c>
      <c r="W2198">
        <v>0.17044870000000001</v>
      </c>
      <c r="X2198">
        <v>0.98516210000000004</v>
      </c>
      <c r="Y2198">
        <v>-3.401154E-2</v>
      </c>
      <c r="Z2198">
        <v>-5.1290560000000001E-4</v>
      </c>
      <c r="AA2198">
        <v>0.99942129999999996</v>
      </c>
      <c r="AB2198">
        <v>30</v>
      </c>
      <c r="AC2198">
        <v>-19.1619999999999</v>
      </c>
      <c r="AD2198">
        <v>-1.1098823219030001</v>
      </c>
      <c r="AE2198">
        <v>-0.81350000000003297</v>
      </c>
      <c r="AF2198">
        <v>-0.65684474400765602</v>
      </c>
      <c r="AG2198">
        <v>-1.1098823219030001</v>
      </c>
      <c r="AH2198">
        <v>19.1039583395665</v>
      </c>
      <c r="AI2198">
        <v>93.323015148423593</v>
      </c>
      <c r="AJ2198">
        <v>91.969205094081403</v>
      </c>
      <c r="AK2198">
        <v>19.1474412918827</v>
      </c>
      <c r="AL2198">
        <v>80.186091742782494</v>
      </c>
      <c r="AM2198">
        <v>88.832757543451507</v>
      </c>
      <c r="AN2198">
        <v>1.0000000183481399</v>
      </c>
    </row>
    <row r="2199" spans="1:40" x14ac:dyDescent="0.25">
      <c r="A2199" t="str">
        <f>"20190312164032378"</f>
        <v>20190312164032378</v>
      </c>
      <c r="B2199" t="str">
        <f>"1552380032368122"</f>
        <v>1552380032368122</v>
      </c>
      <c r="C2199" t="s">
        <v>40</v>
      </c>
      <c r="D2199">
        <v>5.1891369999999997</v>
      </c>
      <c r="E2199">
        <v>0.48341109999999998</v>
      </c>
      <c r="F2199" t="s">
        <v>49</v>
      </c>
      <c r="G2199">
        <v>-282.34289999999999</v>
      </c>
      <c r="H2199" s="1">
        <v>7.5804070000000003E-6</v>
      </c>
      <c r="I2199">
        <v>283.56560000000002</v>
      </c>
      <c r="J2199">
        <v>-263.20909999999998</v>
      </c>
      <c r="K2199">
        <v>1.10988</v>
      </c>
      <c r="L2199">
        <v>284.38900000000001</v>
      </c>
      <c r="M2199">
        <v>-0.99992979999999998</v>
      </c>
      <c r="N2199">
        <v>0</v>
      </c>
      <c r="O2199">
        <v>-8.2104780000000002E-3</v>
      </c>
      <c r="P2199">
        <v>-0.98667210000000005</v>
      </c>
      <c r="Q2199">
        <v>0.1623242</v>
      </c>
      <c r="R2199">
        <v>1.1366670000000001E-2</v>
      </c>
      <c r="S2199">
        <v>-3.0708310000000001</v>
      </c>
      <c r="T2199">
        <v>-0.1757927</v>
      </c>
      <c r="U2199">
        <v>-0.13076779999999999</v>
      </c>
      <c r="V2199">
        <v>1.9412740000000001E-2</v>
      </c>
      <c r="W2199">
        <v>0.17075029999999999</v>
      </c>
      <c r="X2199">
        <v>0.98512310000000003</v>
      </c>
      <c r="Y2199">
        <v>-3.4297889999999998E-2</v>
      </c>
      <c r="Z2199">
        <v>-5.110491E-4</v>
      </c>
      <c r="AA2199">
        <v>0.99941150000000001</v>
      </c>
      <c r="AB2199">
        <v>31</v>
      </c>
      <c r="AC2199">
        <v>-19.133800000000001</v>
      </c>
      <c r="AD2199">
        <v>-1.1098724195930001</v>
      </c>
      <c r="AE2199">
        <v>-0.82339999999999203</v>
      </c>
      <c r="AF2199">
        <v>-0.66403871978218798</v>
      </c>
      <c r="AG2199">
        <v>-1.1098724195930001</v>
      </c>
      <c r="AH2199">
        <v>19.0758503003232</v>
      </c>
      <c r="AI2199">
        <v>93.327821867745897</v>
      </c>
      <c r="AJ2199">
        <v>91.993686193183095</v>
      </c>
      <c r="AK2199">
        <v>19.119645103648899</v>
      </c>
      <c r="AL2199">
        <v>80.168554268405003</v>
      </c>
      <c r="AM2199">
        <v>88.871081054361497</v>
      </c>
      <c r="AN2199">
        <v>1.0000000207890001</v>
      </c>
    </row>
    <row r="2200" spans="1:40" x14ac:dyDescent="0.25">
      <c r="A2200" t="str">
        <f>"20190312164032390"</f>
        <v>20190312164032390</v>
      </c>
      <c r="B2200" t="str">
        <f>"1552380032378856"</f>
        <v>1552380032378856</v>
      </c>
      <c r="C2200" t="s">
        <v>40</v>
      </c>
      <c r="D2200">
        <v>5.2049139999999996</v>
      </c>
      <c r="E2200">
        <v>0.48336000000000001</v>
      </c>
      <c r="F2200" t="s">
        <v>49</v>
      </c>
      <c r="G2200">
        <v>-282.71530000000001</v>
      </c>
      <c r="H2200" s="1">
        <v>7.4204269999999998E-6</v>
      </c>
      <c r="I2200">
        <v>283.54050000000001</v>
      </c>
      <c r="J2200">
        <v>-263.37299999999999</v>
      </c>
      <c r="K2200">
        <v>1.109872</v>
      </c>
      <c r="L2200">
        <v>284.38749999999999</v>
      </c>
      <c r="M2200">
        <v>-0.99992939999999997</v>
      </c>
      <c r="N2200">
        <v>0</v>
      </c>
      <c r="O2200">
        <v>-8.3084200000000004E-3</v>
      </c>
      <c r="P2200">
        <v>-0.98663429999999996</v>
      </c>
      <c r="Q2200">
        <v>0.1625964</v>
      </c>
      <c r="R2200">
        <v>1.074409E-2</v>
      </c>
      <c r="S2200">
        <v>-3.0708310000000001</v>
      </c>
      <c r="T2200">
        <v>-0.17472550000000001</v>
      </c>
      <c r="U2200">
        <v>-0.13357539999999901</v>
      </c>
      <c r="V2200">
        <v>1.888631E-2</v>
      </c>
      <c r="W2200">
        <v>0.17098429999999901</v>
      </c>
      <c r="X2200">
        <v>0.98509270000000004</v>
      </c>
      <c r="Y2200">
        <v>-3.5111410000000003E-2</v>
      </c>
      <c r="Z2200">
        <v>-5.2549159999999999E-4</v>
      </c>
      <c r="AA2200">
        <v>0.99938329999999997</v>
      </c>
      <c r="AB2200">
        <v>31</v>
      </c>
      <c r="AC2200">
        <v>-19.342300000000002</v>
      </c>
      <c r="AD2200">
        <v>-1.109864579573</v>
      </c>
      <c r="AE2200">
        <v>-0.84699999999997999</v>
      </c>
      <c r="AF2200">
        <v>-0.68401321945140003</v>
      </c>
      <c r="AG2200">
        <v>-1.109864579573</v>
      </c>
      <c r="AH2200">
        <v>19.2852948175445</v>
      </c>
      <c r="AI2200">
        <v>93.2916615468327</v>
      </c>
      <c r="AJ2200">
        <v>92.031322279835294</v>
      </c>
      <c r="AK2200">
        <v>19.3293111535042</v>
      </c>
      <c r="AL2200">
        <v>80.154946498087796</v>
      </c>
      <c r="AM2200">
        <v>88.901653316889096</v>
      </c>
      <c r="AN2200">
        <v>0.99999997557259701</v>
      </c>
    </row>
    <row r="2201" spans="1:40" x14ac:dyDescent="0.25">
      <c r="A2201" t="str">
        <f>"20190312164032403"</f>
        <v>20190312164032403</v>
      </c>
      <c r="B2201" t="str">
        <f>"1552380032398375"</f>
        <v>1552380032398375</v>
      </c>
      <c r="C2201" t="s">
        <v>40</v>
      </c>
      <c r="D2201">
        <v>5.394806</v>
      </c>
      <c r="E2201">
        <v>0.48333670000000001</v>
      </c>
      <c r="F2201" t="s">
        <v>49</v>
      </c>
      <c r="G2201">
        <v>-282.99110000000002</v>
      </c>
      <c r="H2201" s="1">
        <v>7.302355E-6</v>
      </c>
      <c r="I2201">
        <v>283.51990000000001</v>
      </c>
      <c r="J2201">
        <v>-263.53960000000001</v>
      </c>
      <c r="K2201">
        <v>1.109864</v>
      </c>
      <c r="L2201">
        <v>284.38600000000002</v>
      </c>
      <c r="M2201">
        <v>-0.99992899999999996</v>
      </c>
      <c r="N2201">
        <v>0</v>
      </c>
      <c r="O2201">
        <v>-8.4077900000000001E-3</v>
      </c>
      <c r="P2201">
        <v>-0.98659520000000001</v>
      </c>
      <c r="Q2201">
        <v>0.1628665</v>
      </c>
      <c r="R2201">
        <v>1.0228900000000001E-2</v>
      </c>
      <c r="S2201">
        <v>-3.0707399999999998</v>
      </c>
      <c r="T2201">
        <v>-0.17372199999999999</v>
      </c>
      <c r="U2201">
        <v>-0.13580320000000001</v>
      </c>
      <c r="V2201">
        <v>1.846857E-2</v>
      </c>
      <c r="W2201">
        <v>0.17121539999999999</v>
      </c>
      <c r="X2201">
        <v>0.98506050000000001</v>
      </c>
      <c r="Y2201">
        <v>-3.573668E-2</v>
      </c>
      <c r="Z2201">
        <v>-5.3453629999999995E-4</v>
      </c>
      <c r="AA2201">
        <v>0.9993611</v>
      </c>
      <c r="AB2201">
        <v>31</v>
      </c>
      <c r="AC2201">
        <v>-19.451499999999999</v>
      </c>
      <c r="AD2201">
        <v>-1.1098566976449999</v>
      </c>
      <c r="AE2201">
        <v>-0.86609999999996001</v>
      </c>
      <c r="AF2201">
        <v>-0.70024423993068996</v>
      </c>
      <c r="AG2201">
        <v>-1.1098566976449999</v>
      </c>
      <c r="AH2201">
        <v>19.395077482436701</v>
      </c>
      <c r="AI2201">
        <v>93.272972816065604</v>
      </c>
      <c r="AJ2201">
        <v>92.067721587669894</v>
      </c>
      <c r="AK2201">
        <v>19.439422687790501</v>
      </c>
      <c r="AL2201">
        <v>80.141507457131894</v>
      </c>
      <c r="AM2201">
        <v>88.925906425030604</v>
      </c>
      <c r="AN2201">
        <v>0.99999999496762704</v>
      </c>
    </row>
    <row r="2202" spans="1:40" x14ac:dyDescent="0.25">
      <c r="A2202" t="str">
        <f>"20190312164032415"</f>
        <v>20190312164032415</v>
      </c>
      <c r="B2202" t="str">
        <f>"1552380032408135"</f>
        <v>1552380032408135</v>
      </c>
      <c r="C2202" t="s">
        <v>40</v>
      </c>
      <c r="D2202">
        <v>5.0838010000000002</v>
      </c>
      <c r="E2202">
        <v>0.48332540000000002</v>
      </c>
      <c r="F2202" t="s">
        <v>49</v>
      </c>
      <c r="G2202">
        <v>-283.2235</v>
      </c>
      <c r="H2202" s="1">
        <v>7.2027059999999901E-6</v>
      </c>
      <c r="I2202">
        <v>283.5034</v>
      </c>
      <c r="J2202">
        <v>-263.72710000000001</v>
      </c>
      <c r="K2202">
        <v>1.109856</v>
      </c>
      <c r="L2202">
        <v>284.38440000000003</v>
      </c>
      <c r="M2202">
        <v>-0.99992840000000005</v>
      </c>
      <c r="N2202">
        <v>0</v>
      </c>
      <c r="O2202">
        <v>-8.5195389999999996E-3</v>
      </c>
      <c r="P2202">
        <v>-0.98660639999999999</v>
      </c>
      <c r="Q2202">
        <v>0.162828799999999</v>
      </c>
      <c r="R2202">
        <v>9.7438569999999999E-3</v>
      </c>
      <c r="S2202">
        <v>-3.0708009999999999</v>
      </c>
      <c r="T2202">
        <v>-0.17314309999999999</v>
      </c>
      <c r="U2202">
        <v>-0.13769529999999999</v>
      </c>
      <c r="V2202">
        <v>1.8093740000000001E-2</v>
      </c>
      <c r="W2202">
        <v>0.1711346</v>
      </c>
      <c r="X2202">
        <v>0.98508150000000005</v>
      </c>
      <c r="Y2202">
        <v>-3.6238350000000003E-2</v>
      </c>
      <c r="Z2202">
        <v>-5.405729E-4</v>
      </c>
      <c r="AA2202">
        <v>0.99934299999999998</v>
      </c>
      <c r="AB2202">
        <v>31</v>
      </c>
      <c r="AC2202">
        <v>-19.496399999999898</v>
      </c>
      <c r="AD2202">
        <v>-1.1098487972940001</v>
      </c>
      <c r="AE2202">
        <v>-0.88100000000002798</v>
      </c>
      <c r="AF2202">
        <v>-0.71255744679697597</v>
      </c>
      <c r="AG2202">
        <v>-1.1098487972940001</v>
      </c>
      <c r="AH2202">
        <v>19.440329374755599</v>
      </c>
      <c r="AI2202">
        <v>93.265282493069094</v>
      </c>
      <c r="AJ2202">
        <v>92.099155062281</v>
      </c>
      <c r="AK2202">
        <v>19.4850175434057</v>
      </c>
      <c r="AL2202">
        <v>80.146206340276706</v>
      </c>
      <c r="AM2202">
        <v>88.947723232687594</v>
      </c>
      <c r="AN2202">
        <v>0.99999999819329799</v>
      </c>
    </row>
    <row r="2203" spans="1:40" x14ac:dyDescent="0.25">
      <c r="A2203" t="str">
        <f>"20190312164032436"</f>
        <v>20190312164032436</v>
      </c>
      <c r="B2203" t="str">
        <f>"1552380032428632"</f>
        <v>1552380032428632</v>
      </c>
      <c r="C2203" t="s">
        <v>40</v>
      </c>
      <c r="D2203">
        <v>5.1366379999999996</v>
      </c>
      <c r="E2203">
        <v>0.48327039999999999</v>
      </c>
      <c r="F2203" t="s">
        <v>49</v>
      </c>
      <c r="G2203">
        <v>-283.34750000000003</v>
      </c>
      <c r="H2203" s="1">
        <v>7.1495309999999997E-6</v>
      </c>
      <c r="I2203">
        <v>283.4948</v>
      </c>
      <c r="J2203">
        <v>-263.9932</v>
      </c>
      <c r="K2203">
        <v>1.109847</v>
      </c>
      <c r="L2203">
        <v>284.38200000000001</v>
      </c>
      <c r="M2203">
        <v>-0.99992749999999997</v>
      </c>
      <c r="N2203">
        <v>0</v>
      </c>
      <c r="O2203">
        <v>-8.6774620000000004E-3</v>
      </c>
      <c r="P2203">
        <v>-0.98658389999999996</v>
      </c>
      <c r="Q2203">
        <v>0.16301199999999999</v>
      </c>
      <c r="R2203">
        <v>8.9135719999999998E-3</v>
      </c>
      <c r="S2203">
        <v>-3.07077</v>
      </c>
      <c r="T2203">
        <v>-0.1737021</v>
      </c>
      <c r="U2203">
        <v>-0.13922119999999999</v>
      </c>
      <c r="V2203">
        <v>1.7418679999999999E-2</v>
      </c>
      <c r="W2203">
        <v>0.17125489999999999</v>
      </c>
      <c r="X2203">
        <v>0.98507279999999997</v>
      </c>
      <c r="Y2203">
        <v>-3.6575950000000003E-2</v>
      </c>
      <c r="Z2203">
        <v>-5.4293059999999897E-4</v>
      </c>
      <c r="AA2203">
        <v>0.99933070000000002</v>
      </c>
      <c r="AB2203">
        <v>31</v>
      </c>
      <c r="AC2203">
        <v>-19.354299999999999</v>
      </c>
      <c r="AD2203">
        <v>-1.1098398504689999</v>
      </c>
      <c r="AE2203">
        <v>-0.88720000000000698</v>
      </c>
      <c r="AF2203">
        <v>-0.71686225483927701</v>
      </c>
      <c r="AG2203">
        <v>-1.1098398504689999</v>
      </c>
      <c r="AH2203">
        <v>19.2979466372228</v>
      </c>
      <c r="AI2203">
        <v>93.289235316663607</v>
      </c>
      <c r="AJ2203">
        <v>92.127392397136404</v>
      </c>
      <c r="AK2203">
        <v>19.343122302234502</v>
      </c>
      <c r="AL2203">
        <v>80.139210757007007</v>
      </c>
      <c r="AM2203">
        <v>88.986965379885703</v>
      </c>
      <c r="AN2203">
        <v>1.0000000362433901</v>
      </c>
    </row>
    <row r="2204" spans="1:40" x14ac:dyDescent="0.25">
      <c r="A2204" t="str">
        <f>"20190312164032459"</f>
        <v>20190312164032459</v>
      </c>
      <c r="B2204" t="str">
        <f>"1552380032448151"</f>
        <v>1552380032448151</v>
      </c>
      <c r="C2204" t="s">
        <v>40</v>
      </c>
      <c r="D2204">
        <v>5.2623730000000002</v>
      </c>
      <c r="E2204">
        <v>0.48355690000000001</v>
      </c>
      <c r="F2204" t="s">
        <v>49</v>
      </c>
      <c r="G2204">
        <v>-283.64819999999997</v>
      </c>
      <c r="H2204" s="1">
        <v>7.0210329999999996E-6</v>
      </c>
      <c r="I2204">
        <v>283.47129999999999</v>
      </c>
      <c r="J2204">
        <v>-264.31880000000001</v>
      </c>
      <c r="K2204">
        <v>1.1098330000000001</v>
      </c>
      <c r="L2204">
        <v>284.37889999999999</v>
      </c>
      <c r="M2204">
        <v>-0.99992650000000005</v>
      </c>
      <c r="N2204">
        <v>0</v>
      </c>
      <c r="O2204">
        <v>-8.8713319999999991E-3</v>
      </c>
      <c r="P2204">
        <v>-0.98657519999999999</v>
      </c>
      <c r="Q2204">
        <v>0.1630955</v>
      </c>
      <c r="R2204">
        <v>8.3390510000000001E-3</v>
      </c>
      <c r="S2204">
        <v>-3.0708009999999999</v>
      </c>
      <c r="T2204">
        <v>-0.1733963</v>
      </c>
      <c r="U2204">
        <v>-0.14227290000000001</v>
      </c>
      <c r="V2204">
        <v>1.7035169999999999E-2</v>
      </c>
      <c r="W2204">
        <v>0.17126429999999901</v>
      </c>
      <c r="X2204">
        <v>0.98507789999999995</v>
      </c>
      <c r="Y2204">
        <v>-3.7372000000000002E-2</v>
      </c>
      <c r="Z2204">
        <v>-5.534731E-4</v>
      </c>
      <c r="AA2204">
        <v>0.99930129999999995</v>
      </c>
      <c r="AB2204">
        <v>31</v>
      </c>
      <c r="AC2204">
        <v>-19.3293999999999</v>
      </c>
      <c r="AD2204">
        <v>-1.109825978967</v>
      </c>
      <c r="AE2204">
        <v>-0.90760000000000196</v>
      </c>
      <c r="AF2204">
        <v>-0.73366757649199699</v>
      </c>
      <c r="AG2204">
        <v>-1.109825978967</v>
      </c>
      <c r="AH2204">
        <v>19.273293654779199</v>
      </c>
      <c r="AI2204">
        <v>93.293278870325807</v>
      </c>
      <c r="AJ2204">
        <v>92.179999423633703</v>
      </c>
      <c r="AK2204">
        <v>19.319157075807901</v>
      </c>
      <c r="AL2204">
        <v>80.138664369541402</v>
      </c>
      <c r="AM2204">
        <v>89.009270165639194</v>
      </c>
      <c r="AN2204">
        <v>1.00000006326991</v>
      </c>
    </row>
    <row r="2205" spans="1:40" x14ac:dyDescent="0.25">
      <c r="A2205" t="str">
        <f>"20190312164032479"</f>
        <v>20190312164032479</v>
      </c>
      <c r="B2205" t="str">
        <f>"1552380032468647"</f>
        <v>1552380032468647</v>
      </c>
      <c r="C2205" t="s">
        <v>40</v>
      </c>
      <c r="D2205">
        <v>5.1441749999999997</v>
      </c>
      <c r="E2205">
        <v>0.49449480000000001</v>
      </c>
      <c r="F2205" t="s">
        <v>49</v>
      </c>
      <c r="G2205">
        <v>-283.90600000000001</v>
      </c>
      <c r="H2205" s="1">
        <v>6.9069020000000004E-6</v>
      </c>
      <c r="I2205">
        <v>283.47019999999998</v>
      </c>
      <c r="J2205">
        <v>-264.5933</v>
      </c>
      <c r="K2205">
        <v>1.10982</v>
      </c>
      <c r="L2205">
        <v>284.37630000000001</v>
      </c>
      <c r="M2205">
        <v>-0.99992539999999996</v>
      </c>
      <c r="N2205">
        <v>0</v>
      </c>
      <c r="O2205">
        <v>-9.0324849999999998E-3</v>
      </c>
      <c r="P2205">
        <v>-0.98657450000000002</v>
      </c>
      <c r="Q2205">
        <v>0.16311889999999901</v>
      </c>
      <c r="R2205">
        <v>7.9526809999999996E-3</v>
      </c>
      <c r="S2205">
        <v>-3.0708009999999999</v>
      </c>
      <c r="T2205">
        <v>-0.17399410000000001</v>
      </c>
      <c r="U2205">
        <v>-0.1424561</v>
      </c>
      <c r="V2205">
        <v>1.6807889999999999E-2</v>
      </c>
      <c r="W2205">
        <v>0.1712291</v>
      </c>
      <c r="X2205">
        <v>0.98508790000000002</v>
      </c>
      <c r="Y2205">
        <v>-3.7270530000000003E-2</v>
      </c>
      <c r="Z2205">
        <v>-5.4338839999999895E-4</v>
      </c>
      <c r="AA2205">
        <v>0.99930509999999995</v>
      </c>
      <c r="AB2205">
        <v>31</v>
      </c>
      <c r="AC2205">
        <v>-19.3127</v>
      </c>
      <c r="AD2205">
        <v>-1.1098130930979999</v>
      </c>
      <c r="AE2205">
        <v>-0.90610000000003699</v>
      </c>
      <c r="AF2205">
        <v>-0.72921268973261699</v>
      </c>
      <c r="AG2205">
        <v>-1.1098130930979999</v>
      </c>
      <c r="AH2205">
        <v>19.2566455848328</v>
      </c>
      <c r="AI2205">
        <v>93.296106311023607</v>
      </c>
      <c r="AJ2205">
        <v>92.168646420541194</v>
      </c>
      <c r="AK2205">
        <v>19.302379009550599</v>
      </c>
      <c r="AL2205">
        <v>80.140711190670103</v>
      </c>
      <c r="AM2205">
        <v>89.022495633816902</v>
      </c>
      <c r="AN2205">
        <v>1.00000004028973</v>
      </c>
    </row>
    <row r="2206" spans="1:40" x14ac:dyDescent="0.25">
      <c r="A2206" t="str">
        <f>"20190312164032491"</f>
        <v>20190312164032491</v>
      </c>
      <c r="B2206" t="str">
        <f>"1552380032488675"</f>
        <v>1552380032488675</v>
      </c>
      <c r="C2206" t="s">
        <v>40</v>
      </c>
      <c r="D2206">
        <v>5.1044450000000001</v>
      </c>
      <c r="E2206">
        <v>0.49490339999999999</v>
      </c>
      <c r="F2206" t="s">
        <v>49</v>
      </c>
      <c r="G2206">
        <v>-282.30669999999998</v>
      </c>
      <c r="H2206" s="1">
        <v>7.4969269999999999E-6</v>
      </c>
      <c r="I2206">
        <v>284.04719999999998</v>
      </c>
      <c r="J2206">
        <v>-264.76799999999997</v>
      </c>
      <c r="K2206">
        <v>1.109815</v>
      </c>
      <c r="L2206">
        <v>284.37470000000002</v>
      </c>
      <c r="M2206">
        <v>-0.99992479999999995</v>
      </c>
      <c r="N2206">
        <v>0</v>
      </c>
      <c r="O2206">
        <v>-9.1337810000000005E-3</v>
      </c>
      <c r="P2206">
        <v>-0.98656259999999996</v>
      </c>
      <c r="Q2206">
        <v>0.16320589999999999</v>
      </c>
      <c r="R2206">
        <v>7.6550730000000001E-3</v>
      </c>
      <c r="S2206">
        <v>-3.0731199999999999</v>
      </c>
      <c r="T2206">
        <v>-0.19254309999999999</v>
      </c>
      <c r="U2206">
        <v>-5.7098389999999999E-2</v>
      </c>
      <c r="V2206">
        <v>1.661025E-2</v>
      </c>
      <c r="W2206">
        <v>0.17128209999999999</v>
      </c>
      <c r="X2206">
        <v>0.98508200000000001</v>
      </c>
      <c r="Y2206">
        <v>-9.4428459999999995E-3</v>
      </c>
      <c r="Z2206">
        <v>2.7615829999999997E-4</v>
      </c>
      <c r="AA2206">
        <v>0.99995540000000005</v>
      </c>
      <c r="AB2206">
        <v>31</v>
      </c>
      <c r="AC2206">
        <v>-17.538699999999999</v>
      </c>
      <c r="AD2206">
        <v>-1.1098075030729999</v>
      </c>
      <c r="AE2206">
        <v>-0.32750000000004298</v>
      </c>
      <c r="AF2206">
        <v>-0.166619407251934</v>
      </c>
      <c r="AG2206">
        <v>-1.1098075030729999</v>
      </c>
      <c r="AH2206">
        <v>17.471029102527002</v>
      </c>
      <c r="AI2206">
        <v>93.634536030774896</v>
      </c>
      <c r="AJ2206">
        <v>90.546407389734696</v>
      </c>
      <c r="AK2206">
        <v>17.5070355178167</v>
      </c>
      <c r="AL2206">
        <v>80.137628602979404</v>
      </c>
      <c r="AM2206">
        <v>89.033981900502397</v>
      </c>
      <c r="AN2206">
        <v>1.00000000245473</v>
      </c>
    </row>
    <row r="2207" spans="1:40" x14ac:dyDescent="0.25">
      <c r="A2207" t="str">
        <f>"20190312164032504"</f>
        <v>20190312164032504</v>
      </c>
      <c r="B2207" t="str">
        <f>"1552380032498434"</f>
        <v>1552380032498434</v>
      </c>
      <c r="C2207" t="s">
        <v>40</v>
      </c>
      <c r="D2207">
        <v>5.1237149999999998</v>
      </c>
      <c r="E2207">
        <v>0.49443769999999998</v>
      </c>
      <c r="F2207" t="s">
        <v>42</v>
      </c>
      <c r="G2207">
        <v>-265.58609999999999</v>
      </c>
      <c r="H2207">
        <v>1.0397240000000001</v>
      </c>
      <c r="I2207">
        <v>284.35950000000003</v>
      </c>
      <c r="J2207">
        <v>-264.9323</v>
      </c>
      <c r="K2207">
        <v>1.1098170000000001</v>
      </c>
      <c r="L2207">
        <v>284.37310000000002</v>
      </c>
      <c r="M2207">
        <v>-0.99992420000000004</v>
      </c>
      <c r="N2207">
        <v>0</v>
      </c>
      <c r="O2207">
        <v>-9.2280509999999993E-3</v>
      </c>
      <c r="P2207">
        <v>-0.98656900000000003</v>
      </c>
      <c r="Q2207">
        <v>0.16317100000000001</v>
      </c>
      <c r="R2207">
        <v>7.5406830000000003E-3</v>
      </c>
      <c r="S2207">
        <v>-3.085083</v>
      </c>
      <c r="T2207">
        <v>-0.26459529999999998</v>
      </c>
      <c r="U2207">
        <v>-5.8227540000000001E-2</v>
      </c>
      <c r="V2207">
        <v>1.6589369999999999E-2</v>
      </c>
      <c r="W2207">
        <v>0.171215899999999</v>
      </c>
      <c r="X2207">
        <v>0.98509380000000002</v>
      </c>
      <c r="Y2207">
        <v>-9.6415019999999997E-3</v>
      </c>
      <c r="Z2207">
        <v>3.7727129999999998E-4</v>
      </c>
      <c r="AA2207">
        <v>0.99995339999999999</v>
      </c>
      <c r="AB2207">
        <v>31</v>
      </c>
      <c r="AC2207">
        <v>-0.65379999999998895</v>
      </c>
      <c r="AD2207">
        <v>-7.00930000000001E-2</v>
      </c>
      <c r="AE2207">
        <v>-1.35999999999967E-2</v>
      </c>
      <c r="AF2207">
        <v>-7.4799852657007598E-3</v>
      </c>
      <c r="AG2207">
        <v>-7.00930000000001E-2</v>
      </c>
      <c r="AH2207">
        <v>0.64647054734074005</v>
      </c>
      <c r="AI2207">
        <v>96.187660487854103</v>
      </c>
      <c r="AJ2207">
        <v>90.662911040012304</v>
      </c>
      <c r="AK2207">
        <v>0.65030235076278997</v>
      </c>
      <c r="AL2207">
        <v>80.141477864466793</v>
      </c>
      <c r="AM2207">
        <v>89.035207563601006</v>
      </c>
      <c r="AN2207">
        <v>0.999999943204121</v>
      </c>
    </row>
    <row r="2208" spans="1:40" x14ac:dyDescent="0.25">
      <c r="A2208" t="str">
        <f>"20190312164032524"</f>
        <v>20190312164032524</v>
      </c>
      <c r="B2208" t="str">
        <f>"1552380032517955"</f>
        <v>1552380032517955</v>
      </c>
      <c r="C2208" t="s">
        <v>40</v>
      </c>
      <c r="D2208">
        <v>5.0968470000000003</v>
      </c>
      <c r="E2208">
        <v>0.49463819999999997</v>
      </c>
      <c r="F2208" t="s">
        <v>42</v>
      </c>
      <c r="G2208">
        <v>-265.85640000000001</v>
      </c>
      <c r="H2208">
        <v>1.0295099999999999</v>
      </c>
      <c r="I2208">
        <v>284.35449999999997</v>
      </c>
      <c r="J2208">
        <v>-265.22579999999999</v>
      </c>
      <c r="K2208">
        <v>1.1098049999999999</v>
      </c>
      <c r="L2208">
        <v>284.37020000000001</v>
      </c>
      <c r="M2208">
        <v>-0.99992309999999995</v>
      </c>
      <c r="N2208">
        <v>0</v>
      </c>
      <c r="O2208">
        <v>-9.3920540000000004E-3</v>
      </c>
      <c r="P2208">
        <v>-0.98655029999999999</v>
      </c>
      <c r="Q2208">
        <v>0.16330639999999999</v>
      </c>
      <c r="R2208">
        <v>7.0505589999999996E-3</v>
      </c>
      <c r="S2208">
        <v>-3.0856319999999999</v>
      </c>
      <c r="T2208">
        <v>-0.26816400000000001</v>
      </c>
      <c r="U2208">
        <v>-6.2408449999999997E-2</v>
      </c>
      <c r="V2208">
        <v>1.626213E-2</v>
      </c>
      <c r="W2208">
        <v>0.17129620000000001</v>
      </c>
      <c r="X2208">
        <v>0.9850854</v>
      </c>
      <c r="Y2208">
        <v>-1.082463E-2</v>
      </c>
      <c r="Z2208">
        <v>3.4518109999999999E-4</v>
      </c>
      <c r="AA2208">
        <v>0.99994130000000003</v>
      </c>
      <c r="AB2208">
        <v>31</v>
      </c>
      <c r="AC2208">
        <v>-0.63060000000001504</v>
      </c>
      <c r="AD2208">
        <v>-8.02949999999997E-2</v>
      </c>
      <c r="AE2208">
        <v>-1.5700000000038E-2</v>
      </c>
      <c r="AF2208">
        <v>-9.6205998082862405E-3</v>
      </c>
      <c r="AG2208">
        <v>-8.02949999999997E-2</v>
      </c>
      <c r="AH2208">
        <v>0.62066293848910203</v>
      </c>
      <c r="AI2208">
        <v>97.370522247363198</v>
      </c>
      <c r="AJ2208">
        <v>90.888043398582596</v>
      </c>
      <c r="AK2208">
        <v>0.625909199628506</v>
      </c>
      <c r="AL2208">
        <v>80.136809039025593</v>
      </c>
      <c r="AM2208">
        <v>89.054227393143506</v>
      </c>
      <c r="AN2208">
        <v>1.0000000451498601</v>
      </c>
    </row>
    <row r="2209" spans="1:40" x14ac:dyDescent="0.25">
      <c r="A2209" t="str">
        <f>"20190312164032537"</f>
        <v>20190312164032537</v>
      </c>
      <c r="B2209" t="str">
        <f>"1552380032528691"</f>
        <v>1552380032528691</v>
      </c>
      <c r="C2209" t="s">
        <v>40</v>
      </c>
      <c r="D2209">
        <v>5.0931129999999998</v>
      </c>
      <c r="E2209">
        <v>0.49473909999999999</v>
      </c>
      <c r="F2209" t="s">
        <v>42</v>
      </c>
      <c r="G2209">
        <v>-266.13670000000002</v>
      </c>
      <c r="H2209">
        <v>1.031301</v>
      </c>
      <c r="I2209">
        <v>284.35210000000001</v>
      </c>
      <c r="J2209">
        <v>-265.4058</v>
      </c>
      <c r="K2209">
        <v>1.109796</v>
      </c>
      <c r="L2209">
        <v>284.36840000000001</v>
      </c>
      <c r="M2209">
        <v>-0.99992239999999999</v>
      </c>
      <c r="N2209">
        <v>0</v>
      </c>
      <c r="O2209">
        <v>-9.4886840000000007E-3</v>
      </c>
      <c r="P2209">
        <v>-0.98658500000000005</v>
      </c>
      <c r="Q2209">
        <v>0.16311249999999999</v>
      </c>
      <c r="R2209">
        <v>6.6601840000000004E-3</v>
      </c>
      <c r="S2209">
        <v>-3.085388</v>
      </c>
      <c r="T2209">
        <v>-0.26613330000000002</v>
      </c>
      <c r="U2209">
        <v>-6.2194819999999998E-2</v>
      </c>
      <c r="V2209">
        <v>1.5968639999999999E-2</v>
      </c>
      <c r="W2209">
        <v>0.17106930000000001</v>
      </c>
      <c r="X2209">
        <v>0.98512960000000005</v>
      </c>
      <c r="Y2209">
        <v>-1.0661439999999999E-2</v>
      </c>
      <c r="Z2209">
        <v>3.579465E-4</v>
      </c>
      <c r="AA2209">
        <v>0.99994309999999997</v>
      </c>
      <c r="AB2209">
        <v>31</v>
      </c>
      <c r="AC2209">
        <v>-0.73090000000001898</v>
      </c>
      <c r="AD2209">
        <v>-7.8494999999999898E-2</v>
      </c>
      <c r="AE2209">
        <v>-1.6300000000001001E-2</v>
      </c>
      <c r="AF2209">
        <v>-9.2570462792466203E-3</v>
      </c>
      <c r="AG2209">
        <v>-7.8494999999999898E-2</v>
      </c>
      <c r="AH2209">
        <v>0.72269062227150604</v>
      </c>
      <c r="AI2209">
        <v>96.198372988669902</v>
      </c>
      <c r="AJ2209">
        <v>90.733869599704704</v>
      </c>
      <c r="AK2209">
        <v>0.72699992671938596</v>
      </c>
      <c r="AL2209">
        <v>80.150003929358903</v>
      </c>
      <c r="AM2209">
        <v>89.071334822445905</v>
      </c>
      <c r="AN2209">
        <v>1.00000001583104</v>
      </c>
    </row>
    <row r="2210" spans="1:40" x14ac:dyDescent="0.25">
      <c r="A2210" t="str">
        <f>"20190312164032550"</f>
        <v>20190312164032550</v>
      </c>
      <c r="B2210" t="str">
        <f>"1552380032538451"</f>
        <v>1552380032538451</v>
      </c>
      <c r="C2210" t="s">
        <v>40</v>
      </c>
      <c r="D2210">
        <v>5.0976839999999903</v>
      </c>
      <c r="E2210">
        <v>0.49501849999999997</v>
      </c>
      <c r="F2210" t="s">
        <v>48</v>
      </c>
      <c r="G2210">
        <v>-278.27710000000002</v>
      </c>
      <c r="H2210" s="1">
        <v>2.8901289999999998E-6</v>
      </c>
      <c r="I2210">
        <v>284.10700000000003</v>
      </c>
      <c r="J2210">
        <v>-265.57670000000002</v>
      </c>
      <c r="K2210">
        <v>1.1097870000000001</v>
      </c>
      <c r="L2210">
        <v>284.36669999999998</v>
      </c>
      <c r="M2210">
        <v>-0.99992199999999998</v>
      </c>
      <c r="N2210">
        <v>0</v>
      </c>
      <c r="O2210">
        <v>-9.5739880000000003E-3</v>
      </c>
      <c r="P2210">
        <v>-0.98654500000000001</v>
      </c>
      <c r="Q2210">
        <v>0.1633715</v>
      </c>
      <c r="R2210">
        <v>6.2592730000000001E-3</v>
      </c>
      <c r="S2210">
        <v>-3.0851440000000001</v>
      </c>
      <c r="T2210">
        <v>-0.26600770000000001</v>
      </c>
      <c r="U2210">
        <v>-6.2652589999999994E-2</v>
      </c>
      <c r="V2210">
        <v>1.5653540000000001E-2</v>
      </c>
      <c r="W2210">
        <v>0.17129949999999999</v>
      </c>
      <c r="X2210">
        <v>0.98509460000000004</v>
      </c>
      <c r="Y2210">
        <v>-1.072612E-2</v>
      </c>
      <c r="Z2210">
        <v>3.6236269999999999E-4</v>
      </c>
      <c r="AA2210">
        <v>0.99994240000000001</v>
      </c>
      <c r="AB2210">
        <v>31</v>
      </c>
      <c r="AC2210">
        <v>-12.7004</v>
      </c>
      <c r="AD2210">
        <v>-1.109784109871</v>
      </c>
      <c r="AE2210">
        <v>-0.25969999999995202</v>
      </c>
      <c r="AF2210">
        <v>-0.137044729089217</v>
      </c>
      <c r="AG2210">
        <v>-1.109784109871</v>
      </c>
      <c r="AH2210">
        <v>12.606089711583699</v>
      </c>
      <c r="AI2210">
        <v>95.030799349237796</v>
      </c>
      <c r="AJ2210">
        <v>90.622855734723501</v>
      </c>
      <c r="AK2210">
        <v>12.655587692588201</v>
      </c>
      <c r="AL2210">
        <v>80.136616292857795</v>
      </c>
      <c r="AM2210">
        <v>89.089624185377204</v>
      </c>
      <c r="AN2210">
        <v>0.99999996148197001</v>
      </c>
    </row>
    <row r="2211" spans="1:40" x14ac:dyDescent="0.25">
      <c r="A2211" t="str">
        <f>"20190312164032563"</f>
        <v>20190312164032563</v>
      </c>
      <c r="B2211" t="str">
        <f>"1552380032558946"</f>
        <v>1552380032558946</v>
      </c>
      <c r="C2211" t="s">
        <v>40</v>
      </c>
      <c r="D2211">
        <v>5.0955209999999997</v>
      </c>
      <c r="E2211">
        <v>0.4953552</v>
      </c>
      <c r="F2211" t="s">
        <v>42</v>
      </c>
      <c r="G2211">
        <v>-266.42110000000002</v>
      </c>
      <c r="H2211">
        <v>1.0369360000000001</v>
      </c>
      <c r="I2211">
        <v>284.34989999999999</v>
      </c>
      <c r="J2211">
        <v>-265.76620000000003</v>
      </c>
      <c r="K2211">
        <v>1.1097760000000001</v>
      </c>
      <c r="L2211">
        <v>284.3648</v>
      </c>
      <c r="M2211">
        <v>-0.99992130000000001</v>
      </c>
      <c r="N2211">
        <v>0</v>
      </c>
      <c r="O2211">
        <v>-9.6622329999999992E-3</v>
      </c>
      <c r="P2211">
        <v>-0.98657550000000005</v>
      </c>
      <c r="Q2211">
        <v>0.16320499999999999</v>
      </c>
      <c r="R2211">
        <v>5.771928E-3</v>
      </c>
      <c r="S2211">
        <v>-3.0854189999999999</v>
      </c>
      <c r="T2211">
        <v>-0.26632329999999999</v>
      </c>
      <c r="U2211">
        <v>-6.1767580000000002E-2</v>
      </c>
      <c r="V2211">
        <v>1.525661E-2</v>
      </c>
      <c r="W2211">
        <v>0.17110029999999901</v>
      </c>
      <c r="X2211">
        <v>0.98513550000000005</v>
      </c>
      <c r="Y2211">
        <v>-1.035107E-2</v>
      </c>
      <c r="Z2211">
        <v>3.8651659999999998E-4</v>
      </c>
      <c r="AA2211">
        <v>0.99994640000000001</v>
      </c>
      <c r="AB2211">
        <v>31</v>
      </c>
      <c r="AC2211">
        <v>-0.65489999999999704</v>
      </c>
      <c r="AD2211">
        <v>-7.2840000000000002E-2</v>
      </c>
      <c r="AE2211">
        <v>-1.4900000000011401E-2</v>
      </c>
      <c r="AF2211">
        <v>-8.4666226104581892E-3</v>
      </c>
      <c r="AG2211">
        <v>-7.2840000000000002E-2</v>
      </c>
      <c r="AH2211">
        <v>0.647013609344809</v>
      </c>
      <c r="AI2211">
        <v>96.422698518269897</v>
      </c>
      <c r="AJ2211">
        <v>90.74971229242</v>
      </c>
      <c r="AK2211">
        <v>0.65115586457915298</v>
      </c>
      <c r="AL2211">
        <v>80.148201173627996</v>
      </c>
      <c r="AM2211">
        <v>89.112741863636003</v>
      </c>
      <c r="AN2211">
        <v>1.0000000150845101</v>
      </c>
    </row>
    <row r="2212" spans="1:40" x14ac:dyDescent="0.25">
      <c r="A2212" t="str">
        <f>"20190312164032579"</f>
        <v>20190312164032579</v>
      </c>
      <c r="B2212" t="str">
        <f>"1552380032568706"</f>
        <v>1552380032568706</v>
      </c>
      <c r="C2212" t="s">
        <v>40</v>
      </c>
      <c r="D2212">
        <v>5.4590259999999997</v>
      </c>
      <c r="E2212">
        <v>0.4953552</v>
      </c>
      <c r="F2212" t="s">
        <v>42</v>
      </c>
      <c r="G2212">
        <v>-266.69529999999997</v>
      </c>
      <c r="H2212">
        <v>1.029045</v>
      </c>
      <c r="I2212">
        <v>284.34690000000001</v>
      </c>
      <c r="J2212">
        <v>-265.99369999999999</v>
      </c>
      <c r="K2212">
        <v>1.109756</v>
      </c>
      <c r="L2212">
        <v>284.36250000000001</v>
      </c>
      <c r="M2212">
        <v>-0.99992080000000005</v>
      </c>
      <c r="N2212">
        <v>0</v>
      </c>
      <c r="O2212">
        <v>-9.7557619999999994E-3</v>
      </c>
      <c r="P2212">
        <v>-0.98657729999999999</v>
      </c>
      <c r="Q2212">
        <v>0.163221</v>
      </c>
      <c r="R2212">
        <v>4.9500999999999998E-3</v>
      </c>
      <c r="S2212">
        <v>-3.0855709999999998</v>
      </c>
      <c r="T2212">
        <v>-0.26836539999999998</v>
      </c>
      <c r="U2212">
        <v>-6.0760500000000002E-2</v>
      </c>
      <c r="V2212">
        <v>1.453196E-2</v>
      </c>
      <c r="W2212">
        <v>0.1710759</v>
      </c>
      <c r="X2212">
        <v>0.98515070000000005</v>
      </c>
      <c r="Y2212">
        <v>-9.9322160000000007E-3</v>
      </c>
      <c r="Z2212">
        <v>4.1574839999999999E-4</v>
      </c>
      <c r="AA2212">
        <v>0.99995060000000002</v>
      </c>
      <c r="AB2212">
        <v>31</v>
      </c>
      <c r="AC2212">
        <v>-0.70159999999998401</v>
      </c>
      <c r="AD2212">
        <v>-8.0710999999999894E-2</v>
      </c>
      <c r="AE2212">
        <v>-1.5600000000006199E-2</v>
      </c>
      <c r="AF2212">
        <v>-8.64011310432093E-3</v>
      </c>
      <c r="AG2212">
        <v>-8.0710999999999894E-2</v>
      </c>
      <c r="AH2212">
        <v>0.69255812124667404</v>
      </c>
      <c r="AI2212">
        <v>96.646774895128601</v>
      </c>
      <c r="AJ2212">
        <v>90.714765042122707</v>
      </c>
      <c r="AK2212">
        <v>0.697298837214131</v>
      </c>
      <c r="AL2212">
        <v>80.149620176313505</v>
      </c>
      <c r="AM2212">
        <v>89.154891131441104</v>
      </c>
      <c r="AN2212">
        <v>1.00000002156637</v>
      </c>
    </row>
    <row r="2213" spans="1:40" x14ac:dyDescent="0.25">
      <c r="A2213" t="str">
        <f>"20190312164032601"</f>
        <v>20190312164032601</v>
      </c>
      <c r="B2213" t="str">
        <f>"1552380032597986"</f>
        <v>1552380032597986</v>
      </c>
      <c r="C2213" t="s">
        <v>40</v>
      </c>
      <c r="D2213">
        <v>5.0903289999999997</v>
      </c>
      <c r="E2213">
        <v>0.49556329999999998</v>
      </c>
      <c r="F2213" t="s">
        <v>42</v>
      </c>
      <c r="G2213">
        <v>-266.9742</v>
      </c>
      <c r="H2213">
        <v>1.0244879999999901</v>
      </c>
      <c r="I2213">
        <v>284.3426</v>
      </c>
      <c r="J2213">
        <v>-266.3107</v>
      </c>
      <c r="K2213">
        <v>1.1097239999999999</v>
      </c>
      <c r="L2213">
        <v>284.35930000000002</v>
      </c>
      <c r="M2213">
        <v>-0.99992009999999998</v>
      </c>
      <c r="N2213">
        <v>0</v>
      </c>
      <c r="O2213">
        <v>-9.8548390000000007E-3</v>
      </c>
      <c r="P2213">
        <v>-0.9866376</v>
      </c>
      <c r="Q2213">
        <v>0.16287950000000001</v>
      </c>
      <c r="R2213">
        <v>4.0558180000000001E-3</v>
      </c>
      <c r="S2213">
        <v>-3.0855410000000001</v>
      </c>
      <c r="T2213">
        <v>-0.26835419999999999</v>
      </c>
      <c r="U2213">
        <v>-6.2927250000000004E-2</v>
      </c>
      <c r="V2213">
        <v>1.3745479999999999E-2</v>
      </c>
      <c r="W2213">
        <v>0.1706761</v>
      </c>
      <c r="X2213">
        <v>0.98523130000000003</v>
      </c>
      <c r="Y2213">
        <v>-1.053335E-2</v>
      </c>
      <c r="Z2213">
        <v>3.9824180000000003E-4</v>
      </c>
      <c r="AA2213">
        <v>0.99994439999999996</v>
      </c>
      <c r="AB2213">
        <v>31</v>
      </c>
      <c r="AC2213">
        <v>-0.66349999999999898</v>
      </c>
      <c r="AD2213">
        <v>-8.5236000000000006E-2</v>
      </c>
      <c r="AE2213">
        <v>-1.6700000000014301E-2</v>
      </c>
      <c r="AF2213">
        <v>-9.9954474463262704E-3</v>
      </c>
      <c r="AG2213">
        <v>-8.5236000000000006E-2</v>
      </c>
      <c r="AH2213">
        <v>0.65286491691833903</v>
      </c>
      <c r="AI2213">
        <v>97.4374240744785</v>
      </c>
      <c r="AJ2213">
        <v>90.877137364450405</v>
      </c>
      <c r="AK2213">
        <v>0.65848134704670402</v>
      </c>
      <c r="AL2213">
        <v>80.172868664857702</v>
      </c>
      <c r="AM2213">
        <v>89.200688306133301</v>
      </c>
      <c r="AN2213">
        <v>0.99999999191566502</v>
      </c>
    </row>
    <row r="2214" spans="1:40" x14ac:dyDescent="0.25">
      <c r="A2214" t="str">
        <f>"20190312164032613"</f>
        <v>20190312164032613</v>
      </c>
      <c r="B2214" t="str">
        <f>"1552380032608723"</f>
        <v>1552380032608723</v>
      </c>
      <c r="C2214" t="s">
        <v>40</v>
      </c>
      <c r="D2214">
        <v>5.1446009999999998</v>
      </c>
      <c r="E2214">
        <v>0.4955775</v>
      </c>
      <c r="F2214" t="s">
        <v>49</v>
      </c>
      <c r="G2214">
        <v>-283.08929999999998</v>
      </c>
      <c r="H2214" s="1">
        <v>7.15317E-6</v>
      </c>
      <c r="I2214">
        <v>284.03129999999999</v>
      </c>
      <c r="J2214">
        <v>-266.4769</v>
      </c>
      <c r="K2214">
        <v>1.109704</v>
      </c>
      <c r="L2214">
        <v>284.35759999999999</v>
      </c>
      <c r="M2214">
        <v>-0.99992009999999998</v>
      </c>
      <c r="N2214">
        <v>0</v>
      </c>
      <c r="O2214">
        <v>-9.8940409999999993E-3</v>
      </c>
      <c r="P2214">
        <v>-0.98669459999999998</v>
      </c>
      <c r="Q2214">
        <v>0.16253960000000001</v>
      </c>
      <c r="R2214">
        <v>3.7998620000000002E-3</v>
      </c>
      <c r="S2214">
        <v>-3.0744319999999998</v>
      </c>
      <c r="T2214">
        <v>-0.20333970000000001</v>
      </c>
      <c r="U2214">
        <v>-6.0089110000000001E-2</v>
      </c>
      <c r="V2214">
        <v>1.3534289999999999E-2</v>
      </c>
      <c r="W2214">
        <v>0.1703054</v>
      </c>
      <c r="X2214">
        <v>0.98529840000000002</v>
      </c>
      <c r="Y2214">
        <v>-9.6481740000000007E-3</v>
      </c>
      <c r="Z2214">
        <v>3.3492020000000001E-4</v>
      </c>
      <c r="AA2214">
        <v>0.99995339999999999</v>
      </c>
      <c r="AB2214">
        <v>31</v>
      </c>
      <c r="AC2214">
        <v>-16.612399999999901</v>
      </c>
      <c r="AD2214">
        <v>-1.1096968468299999</v>
      </c>
      <c r="AE2214">
        <v>-0.32630000000000298</v>
      </c>
      <c r="AF2214">
        <v>-0.16119616967420999</v>
      </c>
      <c r="AG2214">
        <v>-1.1096968468299999</v>
      </c>
      <c r="AH2214">
        <v>16.541035266183599</v>
      </c>
      <c r="AI2214">
        <v>93.837898248047097</v>
      </c>
      <c r="AJ2214">
        <v>90.558342793488805</v>
      </c>
      <c r="AK2214">
        <v>16.579000542074599</v>
      </c>
      <c r="AL2214">
        <v>80.194424087837305</v>
      </c>
      <c r="AM2214">
        <v>89.213021223786598</v>
      </c>
      <c r="AN2214">
        <v>1.0000000216587599</v>
      </c>
    </row>
    <row r="2215" spans="1:40" x14ac:dyDescent="0.25">
      <c r="A2215" t="str">
        <f>"20190312164032626"</f>
        <v>20190312164032626</v>
      </c>
      <c r="B2215" t="str">
        <f>"1552380032618483"</f>
        <v>1552380032618483</v>
      </c>
      <c r="C2215" t="s">
        <v>40</v>
      </c>
      <c r="D2215">
        <v>5.0860539999999999</v>
      </c>
      <c r="E2215">
        <v>0.49550159999999999</v>
      </c>
      <c r="F2215" t="s">
        <v>49</v>
      </c>
      <c r="G2215">
        <v>-283.28739999999999</v>
      </c>
      <c r="H2215" s="1">
        <v>7.0662399999999903E-6</v>
      </c>
      <c r="I2215">
        <v>284.02690000000001</v>
      </c>
      <c r="J2215">
        <v>-266.65069999999997</v>
      </c>
      <c r="K2215">
        <v>1.109683</v>
      </c>
      <c r="L2215">
        <v>284.35590000000002</v>
      </c>
      <c r="M2215">
        <v>-0.99992000000000003</v>
      </c>
      <c r="N2215">
        <v>0</v>
      </c>
      <c r="O2215">
        <v>-9.9257310000000001E-3</v>
      </c>
      <c r="P2215">
        <v>-0.98672649999999995</v>
      </c>
      <c r="Q2215">
        <v>0.16235559999999999</v>
      </c>
      <c r="R2215">
        <v>3.4376960000000001E-3</v>
      </c>
      <c r="S2215">
        <v>-3.0741879999999999</v>
      </c>
      <c r="T2215">
        <v>-0.20293430000000001</v>
      </c>
      <c r="U2215">
        <v>-6.0485839999999999E-2</v>
      </c>
      <c r="V2215">
        <v>1.3209540000000001E-2</v>
      </c>
      <c r="W2215">
        <v>0.17008970000000001</v>
      </c>
      <c r="X2215">
        <v>0.98534010000000005</v>
      </c>
      <c r="Y2215">
        <v>-9.7468859999999997E-3</v>
      </c>
      <c r="Z2215">
        <v>3.3311469999999999E-4</v>
      </c>
      <c r="AA2215">
        <v>0.99995239999999996</v>
      </c>
      <c r="AB2215">
        <v>31</v>
      </c>
      <c r="AC2215">
        <v>-16.636700000000001</v>
      </c>
      <c r="AD2215">
        <v>-1.10967593376</v>
      </c>
      <c r="AE2215">
        <v>-0.32900000000000701</v>
      </c>
      <c r="AF2215">
        <v>-0.16312186920566801</v>
      </c>
      <c r="AG2215">
        <v>-1.10967593376</v>
      </c>
      <c r="AH2215">
        <v>16.565475832523202</v>
      </c>
      <c r="AI2215">
        <v>93.832176910749695</v>
      </c>
      <c r="AJ2215">
        <v>90.564178939268999</v>
      </c>
      <c r="AK2215">
        <v>16.603402632595799</v>
      </c>
      <c r="AL2215">
        <v>80.206966103854498</v>
      </c>
      <c r="AM2215">
        <v>89.231934684188502</v>
      </c>
      <c r="AN2215">
        <v>1.0000000553305499</v>
      </c>
    </row>
    <row r="2216" spans="1:40" x14ac:dyDescent="0.25">
      <c r="A2216" t="str">
        <f>"20190312164032648"</f>
        <v>20190312164032648</v>
      </c>
      <c r="B2216" t="str">
        <f>"1552380032638002"</f>
        <v>1552380032638002</v>
      </c>
      <c r="C2216" t="s">
        <v>40</v>
      </c>
      <c r="D2216">
        <v>5.1188500000000001</v>
      </c>
      <c r="E2216">
        <v>0.49614140000000001</v>
      </c>
      <c r="F2216" t="s">
        <v>49</v>
      </c>
      <c r="G2216">
        <v>-283.42649999999998</v>
      </c>
      <c r="H2216" s="1">
        <v>7.0064249999999996E-6</v>
      </c>
      <c r="I2216">
        <v>284.01780000000002</v>
      </c>
      <c r="J2216">
        <v>-266.96660000000003</v>
      </c>
      <c r="K2216">
        <v>1.1096429999999999</v>
      </c>
      <c r="L2216">
        <v>284.35270000000003</v>
      </c>
      <c r="M2216">
        <v>-0.99992009999999998</v>
      </c>
      <c r="N2216">
        <v>0</v>
      </c>
      <c r="O2216">
        <v>-9.9647520000000003E-3</v>
      </c>
      <c r="P2216">
        <v>-0.98690149999999999</v>
      </c>
      <c r="Q2216">
        <v>0.16129979999999999</v>
      </c>
      <c r="R2216">
        <v>2.79847E-3</v>
      </c>
      <c r="S2216">
        <v>-3.0740050000000001</v>
      </c>
      <c r="T2216">
        <v>-0.20333760000000001</v>
      </c>
      <c r="U2216">
        <v>-6.1950680000000001E-2</v>
      </c>
      <c r="V2216">
        <v>1.261958E-2</v>
      </c>
      <c r="W2216">
        <v>0.1689773</v>
      </c>
      <c r="X2216">
        <v>0.9855391</v>
      </c>
      <c r="Y2216">
        <v>-1.0184479999999999E-2</v>
      </c>
      <c r="Z2216">
        <v>3.2191510000000002E-4</v>
      </c>
      <c r="AA2216">
        <v>0.99994810000000001</v>
      </c>
      <c r="AB2216">
        <v>32</v>
      </c>
      <c r="AC2216">
        <v>-16.459899999999902</v>
      </c>
      <c r="AD2216">
        <v>-1.109635993575</v>
      </c>
      <c r="AE2216">
        <v>-0.33490000000000397</v>
      </c>
      <c r="AF2216">
        <v>-0.17008691167120299</v>
      </c>
      <c r="AG2216">
        <v>-1.109635993575</v>
      </c>
      <c r="AH2216">
        <v>16.3879721743202</v>
      </c>
      <c r="AI2216">
        <v>93.873399068786995</v>
      </c>
      <c r="AJ2216">
        <v>90.594638079212501</v>
      </c>
      <c r="AK2216">
        <v>16.426376763670401</v>
      </c>
      <c r="AL2216">
        <v>80.271637055387203</v>
      </c>
      <c r="AM2216">
        <v>89.266382064684294</v>
      </c>
      <c r="AN2216">
        <v>0.999999949671736</v>
      </c>
    </row>
    <row r="2217" spans="1:40" x14ac:dyDescent="0.25">
      <c r="A2217" t="str">
        <f>"20190312164032670"</f>
        <v>20190312164032670</v>
      </c>
      <c r="B2217" t="str">
        <f>"1552380032658499"</f>
        <v>1552380032658499</v>
      </c>
      <c r="C2217" t="s">
        <v>40</v>
      </c>
      <c r="D2217">
        <v>5.1383939999999999</v>
      </c>
      <c r="E2217">
        <v>0.49595590000000001</v>
      </c>
      <c r="F2217" t="s">
        <v>49</v>
      </c>
      <c r="G2217">
        <v>-281.84699999999998</v>
      </c>
      <c r="H2217" s="1">
        <v>7.6978320000000003E-6</v>
      </c>
      <c r="I2217">
        <v>284.0616</v>
      </c>
      <c r="J2217">
        <v>-267.27379999999999</v>
      </c>
      <c r="K2217">
        <v>1.109615</v>
      </c>
      <c r="L2217">
        <v>284.34960000000001</v>
      </c>
      <c r="M2217">
        <v>-0.99992040000000004</v>
      </c>
      <c r="N2217">
        <v>0</v>
      </c>
      <c r="O2217">
        <v>-9.9791410000000004E-3</v>
      </c>
      <c r="P2217">
        <v>-0.98701209999999995</v>
      </c>
      <c r="Q2217">
        <v>0.16062839999999901</v>
      </c>
      <c r="R2217">
        <v>2.3913419999999999E-3</v>
      </c>
      <c r="S2217">
        <v>-3.077515</v>
      </c>
      <c r="T2217">
        <v>-0.229491</v>
      </c>
      <c r="U2217">
        <v>-6.0211180000000003E-2</v>
      </c>
      <c r="V2217">
        <v>1.2235029999999999E-2</v>
      </c>
      <c r="W2217">
        <v>0.16824929999999999</v>
      </c>
      <c r="X2217">
        <v>0.98566849999999995</v>
      </c>
      <c r="Y2217">
        <v>-9.5837270000000002E-3</v>
      </c>
      <c r="Z2217">
        <v>3.8623839999999998E-4</v>
      </c>
      <c r="AA2217">
        <v>0.99995400000000001</v>
      </c>
      <c r="AB2217">
        <v>32</v>
      </c>
      <c r="AC2217">
        <v>-14.5731999999999</v>
      </c>
      <c r="AD2217">
        <v>-1.109607302168</v>
      </c>
      <c r="AE2217">
        <v>-0.28800000000001003</v>
      </c>
      <c r="AF2217">
        <v>-0.14173195891198401</v>
      </c>
      <c r="AG2217">
        <v>-1.109607302168</v>
      </c>
      <c r="AH2217">
        <v>14.491369795390399</v>
      </c>
      <c r="AI2217">
        <v>94.378397653256499</v>
      </c>
      <c r="AJ2217">
        <v>90.560360011869705</v>
      </c>
      <c r="AK2217">
        <v>14.5344802060464</v>
      </c>
      <c r="AL2217">
        <v>80.313954347756294</v>
      </c>
      <c r="AM2217">
        <v>89.288828262023401</v>
      </c>
      <c r="AN2217">
        <v>0.99999995740091896</v>
      </c>
    </row>
    <row r="2218" spans="1:40" x14ac:dyDescent="0.25">
      <c r="A2218" t="str">
        <f>"20190312164032692"</f>
        <v>20190312164032692</v>
      </c>
      <c r="B2218" t="str">
        <f>"1552380032688755"</f>
        <v>1552380032688755</v>
      </c>
      <c r="C2218" t="s">
        <v>40</v>
      </c>
      <c r="D2218">
        <v>5.1526709999999998</v>
      </c>
      <c r="E2218">
        <v>0.49600709999999998</v>
      </c>
      <c r="F2218" t="s">
        <v>49</v>
      </c>
      <c r="G2218">
        <v>-281.4162</v>
      </c>
      <c r="H2218" s="1">
        <v>7.889884E-6</v>
      </c>
      <c r="I2218">
        <v>284.0566</v>
      </c>
      <c r="J2218">
        <v>-267.5872</v>
      </c>
      <c r="K2218">
        <v>1.109588</v>
      </c>
      <c r="L2218">
        <v>284.34649999999999</v>
      </c>
      <c r="M2218">
        <v>-0.99992099999999995</v>
      </c>
      <c r="N2218">
        <v>0</v>
      </c>
      <c r="O2218">
        <v>-9.9663459999999992E-3</v>
      </c>
      <c r="P2218">
        <v>-0.98706539999999998</v>
      </c>
      <c r="Q2218">
        <v>0.16030839999999999</v>
      </c>
      <c r="R2218">
        <v>1.8373770000000001E-3</v>
      </c>
      <c r="S2218">
        <v>-3.0789490000000002</v>
      </c>
      <c r="T2218">
        <v>-0.24157390000000001</v>
      </c>
      <c r="U2218">
        <v>-6.3781740000000003E-2</v>
      </c>
      <c r="V2218">
        <v>1.1676509999999999E-2</v>
      </c>
      <c r="W2218">
        <v>0.16786999999999999</v>
      </c>
      <c r="X2218">
        <v>0.98573999999999995</v>
      </c>
      <c r="Y2218">
        <v>-1.074307E-2</v>
      </c>
      <c r="Z2218">
        <v>3.599098E-4</v>
      </c>
      <c r="AA2218">
        <v>0.9999422</v>
      </c>
      <c r="AB2218">
        <v>32</v>
      </c>
      <c r="AC2218">
        <v>-13.829000000000001</v>
      </c>
      <c r="AD2218">
        <v>-1.1095801101160001</v>
      </c>
      <c r="AE2218">
        <v>-0.289899999999988</v>
      </c>
      <c r="AF2218">
        <v>-0.15108473714758999</v>
      </c>
      <c r="AG2218">
        <v>-1.1095801101160001</v>
      </c>
      <c r="AH2218">
        <v>13.742768482991901</v>
      </c>
      <c r="AI2218">
        <v>94.615724667951497</v>
      </c>
      <c r="AJ2218">
        <v>90.629870835196996</v>
      </c>
      <c r="AK2218">
        <v>13.788316800671501</v>
      </c>
      <c r="AL2218">
        <v>80.336000739445595</v>
      </c>
      <c r="AM2218">
        <v>89.3213388374825</v>
      </c>
      <c r="AN2218">
        <v>1.0000000126928801</v>
      </c>
    </row>
    <row r="2219" spans="1:40" x14ac:dyDescent="0.25">
      <c r="A2219" t="str">
        <f>"20190312164032705"</f>
        <v>20190312164032705</v>
      </c>
      <c r="B2219" t="str">
        <f>"1552380032698516"</f>
        <v>1552380032698516</v>
      </c>
      <c r="C2219" t="s">
        <v>40</v>
      </c>
      <c r="D2219">
        <v>5.0656800000000004</v>
      </c>
      <c r="E2219">
        <v>0.49600709999999998</v>
      </c>
      <c r="F2219" t="s">
        <v>42</v>
      </c>
      <c r="G2219">
        <v>-268.41090000000003</v>
      </c>
      <c r="H2219">
        <v>1.0413539999999999</v>
      </c>
      <c r="I2219">
        <v>284.32900000000001</v>
      </c>
      <c r="J2219">
        <v>-267.77539999999999</v>
      </c>
      <c r="K2219">
        <v>1.1095630000000001</v>
      </c>
      <c r="L2219">
        <v>284.34460000000001</v>
      </c>
      <c r="M2219">
        <v>-0.99992150000000002</v>
      </c>
      <c r="N2219">
        <v>0</v>
      </c>
      <c r="O2219">
        <v>-9.9435659999999992E-3</v>
      </c>
      <c r="P2219">
        <v>-0.98708620000000002</v>
      </c>
      <c r="Q2219">
        <v>0.160182399999999</v>
      </c>
      <c r="R2219">
        <v>1.689751E-3</v>
      </c>
      <c r="S2219">
        <v>-3.0808409999999999</v>
      </c>
      <c r="T2219">
        <v>-0.2553356</v>
      </c>
      <c r="U2219">
        <v>-6.607056E-2</v>
      </c>
      <c r="V2219">
        <v>1.151164E-2</v>
      </c>
      <c r="W2219">
        <v>0.16770869999999999</v>
      </c>
      <c r="X2219">
        <v>0.98576940000000002</v>
      </c>
      <c r="Y2219">
        <v>-1.1492759999999999E-2</v>
      </c>
      <c r="Z2219">
        <v>3.4721369999999999E-4</v>
      </c>
      <c r="AA2219">
        <v>0.99993390000000004</v>
      </c>
      <c r="AB2219">
        <v>32</v>
      </c>
      <c r="AC2219">
        <v>-0.63550000000003504</v>
      </c>
      <c r="AD2219">
        <v>-6.82089999999997E-2</v>
      </c>
      <c r="AE2219">
        <v>-1.5600000000006199E-2</v>
      </c>
      <c r="AF2219">
        <v>-9.1742848227600697E-3</v>
      </c>
      <c r="AG2219">
        <v>-6.82089999999997E-2</v>
      </c>
      <c r="AH2219">
        <v>0.62838902582247802</v>
      </c>
      <c r="AI2219">
        <v>96.194308074610802</v>
      </c>
      <c r="AJ2219">
        <v>90.836441179159195</v>
      </c>
      <c r="AK2219">
        <v>0.63214666253736695</v>
      </c>
      <c r="AL2219">
        <v>80.345375506300698</v>
      </c>
      <c r="AM2219">
        <v>89.330940473899005</v>
      </c>
      <c r="AN2219">
        <v>1.00000001794376</v>
      </c>
    </row>
    <row r="2220" spans="1:40" x14ac:dyDescent="0.25">
      <c r="A2220" t="str">
        <f>"20190312164032717"</f>
        <v>20190312164032717</v>
      </c>
      <c r="B2220" t="str">
        <f>"1552380032708275"</f>
        <v>1552380032708275</v>
      </c>
      <c r="C2220" t="s">
        <v>40</v>
      </c>
      <c r="D2220">
        <v>5.0627389999999997</v>
      </c>
      <c r="E2220">
        <v>0.46781709999999899</v>
      </c>
      <c r="F2220" t="s">
        <v>42</v>
      </c>
      <c r="G2220">
        <v>-268.68279999999999</v>
      </c>
      <c r="H2220">
        <v>1.034289</v>
      </c>
      <c r="I2220">
        <v>284.32499999999999</v>
      </c>
      <c r="J2220">
        <v>-267.94889999999998</v>
      </c>
      <c r="K2220">
        <v>1.1095429999999999</v>
      </c>
      <c r="L2220">
        <v>284.34289999999999</v>
      </c>
      <c r="M2220">
        <v>-0.99992210000000004</v>
      </c>
      <c r="N2220">
        <v>0</v>
      </c>
      <c r="O2220">
        <v>-9.9155560000000007E-3</v>
      </c>
      <c r="P2220">
        <v>-0.98711320000000002</v>
      </c>
      <c r="Q2220">
        <v>0.16001599999999999</v>
      </c>
      <c r="R2220">
        <v>1.66635E-3</v>
      </c>
      <c r="S2220">
        <v>-3.0808719999999998</v>
      </c>
      <c r="T2220">
        <v>-0.25571389999999999</v>
      </c>
      <c r="U2220">
        <v>-6.6986080000000003E-2</v>
      </c>
      <c r="V2220">
        <v>1.146571E-2</v>
      </c>
      <c r="W2220">
        <v>0.1675094</v>
      </c>
      <c r="X2220">
        <v>0.98580380000000001</v>
      </c>
      <c r="Y2220">
        <v>-1.181634E-2</v>
      </c>
      <c r="Z2220">
        <v>3.3199660000000003E-4</v>
      </c>
      <c r="AA2220">
        <v>0.99993010000000004</v>
      </c>
      <c r="AB2220">
        <v>32</v>
      </c>
      <c r="AC2220">
        <v>-0.73390000000000499</v>
      </c>
      <c r="AD2220">
        <v>-7.5253999999999904E-2</v>
      </c>
      <c r="AE2220">
        <v>-1.78999999999973E-2</v>
      </c>
      <c r="AF2220">
        <v>-1.0511428410522E-2</v>
      </c>
      <c r="AG2220">
        <v>-7.5253999999999904E-2</v>
      </c>
      <c r="AH2220">
        <v>0.72640819133861301</v>
      </c>
      <c r="AI2220">
        <v>95.913979952102807</v>
      </c>
      <c r="AJ2220">
        <v>90.829035879104893</v>
      </c>
      <c r="AK2220">
        <v>0.73037149115163702</v>
      </c>
      <c r="AL2220">
        <v>80.3569582066511</v>
      </c>
      <c r="AM2220">
        <v>89.333632948139197</v>
      </c>
      <c r="AN2220">
        <v>0.99999999684430196</v>
      </c>
    </row>
    <row r="2221" spans="1:40" x14ac:dyDescent="0.25">
      <c r="A2221" t="str">
        <f>"20190312164032729"</f>
        <v>20190312164032729</v>
      </c>
      <c r="B2221" t="str">
        <f>"1552380032718034"</f>
        <v>1552380032718034</v>
      </c>
      <c r="C2221" t="s">
        <v>40</v>
      </c>
      <c r="D2221">
        <v>5.0882779999999999</v>
      </c>
      <c r="E2221">
        <v>0.46416590000000002</v>
      </c>
      <c r="F2221" t="s">
        <v>48</v>
      </c>
      <c r="G2221">
        <v>-277.77089999999998</v>
      </c>
      <c r="H2221" s="1">
        <v>2.6517559999999998E-6</v>
      </c>
      <c r="I2221">
        <v>283.39769999999999</v>
      </c>
      <c r="J2221">
        <v>-268.11610000000002</v>
      </c>
      <c r="K2221">
        <v>1.109523</v>
      </c>
      <c r="L2221">
        <v>284.34129999999999</v>
      </c>
      <c r="M2221">
        <v>-0.99992270000000005</v>
      </c>
      <c r="N2221">
        <v>0</v>
      </c>
      <c r="O2221">
        <v>-9.8750290000000004E-3</v>
      </c>
      <c r="P2221">
        <v>-0.98714109999999999</v>
      </c>
      <c r="Q2221">
        <v>0.1598434</v>
      </c>
      <c r="R2221">
        <v>1.6314109999999999E-3</v>
      </c>
      <c r="S2221">
        <v>-3.0963440000000002</v>
      </c>
      <c r="T2221">
        <v>-0.34977999999999998</v>
      </c>
      <c r="U2221">
        <v>-0.29797360000000001</v>
      </c>
      <c r="V2221">
        <v>1.13963E-2</v>
      </c>
      <c r="W2221">
        <v>0.16730680000000001</v>
      </c>
      <c r="X2221">
        <v>0.98583900000000002</v>
      </c>
      <c r="Y2221">
        <v>-8.5480550000000002E-2</v>
      </c>
      <c r="Z2221">
        <v>-3.6925320000000001E-3</v>
      </c>
      <c r="AA2221">
        <v>0.99633300000000002</v>
      </c>
      <c r="AB2221">
        <v>32</v>
      </c>
      <c r="AC2221">
        <v>-9.6547999999999607</v>
      </c>
      <c r="AD2221">
        <v>-1.1095203482439999</v>
      </c>
      <c r="AE2221">
        <v>-0.94360000000000299</v>
      </c>
      <c r="AF2221">
        <v>-0.83725731133531001</v>
      </c>
      <c r="AG2221">
        <v>-1.1095203482439999</v>
      </c>
      <c r="AH2221">
        <v>9.5388655215578506</v>
      </c>
      <c r="AI2221">
        <v>96.609403556191197</v>
      </c>
      <c r="AJ2221">
        <v>95.016181840132703</v>
      </c>
      <c r="AK2221">
        <v>9.6396053159305808</v>
      </c>
      <c r="AL2221">
        <v>80.368732402753395</v>
      </c>
      <c r="AM2221">
        <v>89.337690222645605</v>
      </c>
      <c r="AN2221">
        <v>0.99999998745046503</v>
      </c>
    </row>
    <row r="2222" spans="1:40" x14ac:dyDescent="0.25">
      <c r="A2222" t="str">
        <f>"20190312164032747"</f>
        <v>20190312164032747</v>
      </c>
      <c r="B2222" t="str">
        <f>"1552380032738534"</f>
        <v>1552380032738534</v>
      </c>
      <c r="C2222" t="s">
        <v>40</v>
      </c>
      <c r="D2222">
        <v>5.2069299999999998</v>
      </c>
      <c r="E2222">
        <v>0.46234449999999999</v>
      </c>
      <c r="F2222" t="s">
        <v>48</v>
      </c>
      <c r="G2222">
        <v>-278.94779999999997</v>
      </c>
      <c r="H2222" s="1">
        <v>3.286701E-6</v>
      </c>
      <c r="I2222">
        <v>283.20030000000003</v>
      </c>
      <c r="J2222">
        <v>-268.37860000000001</v>
      </c>
      <c r="K2222">
        <v>1.10949599999999</v>
      </c>
      <c r="L2222">
        <v>284.33870000000002</v>
      </c>
      <c r="M2222">
        <v>-0.99992380000000003</v>
      </c>
      <c r="N2222">
        <v>0</v>
      </c>
      <c r="O2222">
        <v>-9.8005220000000007E-3</v>
      </c>
      <c r="P2222">
        <v>-0.98719999999999997</v>
      </c>
      <c r="Q2222">
        <v>0.15948019999999999</v>
      </c>
      <c r="R2222">
        <v>1.575405E-3</v>
      </c>
      <c r="S2222">
        <v>-3.090881</v>
      </c>
      <c r="T2222">
        <v>-0.31660500000000003</v>
      </c>
      <c r="U2222">
        <v>-0.32559199999999999</v>
      </c>
      <c r="V2222">
        <v>1.1275719999999999E-2</v>
      </c>
      <c r="W2222">
        <v>0.16689679999999901</v>
      </c>
      <c r="X2222">
        <v>0.98590990000000001</v>
      </c>
      <c r="Y2222">
        <v>-9.4569449999999999E-2</v>
      </c>
      <c r="Z2222">
        <v>-3.8191900000000001E-3</v>
      </c>
      <c r="AA2222">
        <v>0.99551089999999998</v>
      </c>
      <c r="AB2222">
        <v>32</v>
      </c>
      <c r="AC2222">
        <v>-10.569199999999899</v>
      </c>
      <c r="AD2222">
        <v>-1.10949271329899</v>
      </c>
      <c r="AE2222">
        <v>-1.1383999999999901</v>
      </c>
      <c r="AF2222">
        <v>-1.0236083620879499</v>
      </c>
      <c r="AG2222">
        <v>-1.10949271329899</v>
      </c>
      <c r="AH2222">
        <v>10.465843122251901</v>
      </c>
      <c r="AI2222">
        <v>96.022846393295694</v>
      </c>
      <c r="AJ2222">
        <v>95.586028651017699</v>
      </c>
      <c r="AK2222">
        <v>10.5741486853263</v>
      </c>
      <c r="AL2222">
        <v>80.392558871335396</v>
      </c>
      <c r="AM2222">
        <v>89.344744381877106</v>
      </c>
      <c r="AN2222">
        <v>1.00000000731488</v>
      </c>
    </row>
    <row r="2223" spans="1:40" x14ac:dyDescent="0.25">
      <c r="A2223" t="str">
        <f>"20190312164032760"</f>
        <v>20190312164032760</v>
      </c>
      <c r="B2223" t="str">
        <f>"1552380032748291"</f>
        <v>1552380032748291</v>
      </c>
      <c r="C2223" t="s">
        <v>40</v>
      </c>
      <c r="D2223">
        <v>5.141127</v>
      </c>
      <c r="E2223">
        <v>0.46093119999999999</v>
      </c>
      <c r="F2223" t="s">
        <v>49</v>
      </c>
      <c r="G2223">
        <v>-280.98410000000001</v>
      </c>
      <c r="H2223" s="1">
        <v>8.3085149999999995E-6</v>
      </c>
      <c r="I2223">
        <v>282.95800000000003</v>
      </c>
      <c r="J2223">
        <v>-268.55950000000001</v>
      </c>
      <c r="K2223">
        <v>1.109475</v>
      </c>
      <c r="L2223">
        <v>284.33699999999999</v>
      </c>
      <c r="M2223">
        <v>-0.99992449999999999</v>
      </c>
      <c r="N2223">
        <v>0</v>
      </c>
      <c r="O2223">
        <v>-9.7402029999999994E-3</v>
      </c>
      <c r="P2223">
        <v>-0.98723110000000003</v>
      </c>
      <c r="Q2223">
        <v>0.15928970000000001</v>
      </c>
      <c r="R2223">
        <v>1.334085E-3</v>
      </c>
      <c r="S2223">
        <v>-3.083313</v>
      </c>
      <c r="T2223">
        <v>-0.27138050000000002</v>
      </c>
      <c r="U2223">
        <v>-0.33773799999999998</v>
      </c>
      <c r="V2223">
        <v>1.098114E-2</v>
      </c>
      <c r="W2223">
        <v>0.1666763</v>
      </c>
      <c r="X2223">
        <v>0.98595049999999995</v>
      </c>
      <c r="Y2223">
        <v>-9.8858009999999996E-2</v>
      </c>
      <c r="Z2223">
        <v>-3.4762700000000001E-3</v>
      </c>
      <c r="AA2223">
        <v>0.99509550000000002</v>
      </c>
      <c r="AB2223">
        <v>32</v>
      </c>
      <c r="AC2223">
        <v>-12.4245999999999</v>
      </c>
      <c r="AD2223">
        <v>-1.109466691485</v>
      </c>
      <c r="AE2223">
        <v>-1.37900000000001</v>
      </c>
      <c r="AF2223">
        <v>-1.24808224040313</v>
      </c>
      <c r="AG2223">
        <v>-1.109466691485</v>
      </c>
      <c r="AH2223">
        <v>12.3402418340639</v>
      </c>
      <c r="AI2223">
        <v>95.111507145631094</v>
      </c>
      <c r="AJ2223">
        <v>95.775211168619805</v>
      </c>
      <c r="AK2223">
        <v>12.4527183434584</v>
      </c>
      <c r="AL2223">
        <v>80.4053718140553</v>
      </c>
      <c r="AM2223">
        <v>89.361887881183904</v>
      </c>
      <c r="AN2223">
        <v>0.99999998143381896</v>
      </c>
    </row>
    <row r="2224" spans="1:40" x14ac:dyDescent="0.25">
      <c r="A2224" t="str">
        <f>"20190312164032772"</f>
        <v>20190312164032772</v>
      </c>
      <c r="B2224" t="str">
        <f>"1552380032768786"</f>
        <v>1552380032768786</v>
      </c>
      <c r="C2224" t="s">
        <v>40</v>
      </c>
      <c r="D2224">
        <v>5.2752730000000003</v>
      </c>
      <c r="E2224">
        <v>0.46012340000000002</v>
      </c>
      <c r="F2224" t="s">
        <v>49</v>
      </c>
      <c r="G2224">
        <v>-281.21859999999998</v>
      </c>
      <c r="H2224" s="1">
        <v>8.2164910000000004E-6</v>
      </c>
      <c r="I2224">
        <v>282.90010000000001</v>
      </c>
      <c r="J2224">
        <v>-268.74430000000001</v>
      </c>
      <c r="K2224">
        <v>1.1094580000000001</v>
      </c>
      <c r="L2224">
        <v>284.33530000000002</v>
      </c>
      <c r="M2224">
        <v>-0.99992539999999996</v>
      </c>
      <c r="N2224">
        <v>0</v>
      </c>
      <c r="O2224">
        <v>-9.6682160000000003E-3</v>
      </c>
      <c r="P2224">
        <v>-0.98733349999999998</v>
      </c>
      <c r="Q2224">
        <v>0.15865179999999901</v>
      </c>
      <c r="R2224">
        <v>1.485964E-3</v>
      </c>
      <c r="S2224">
        <v>-3.0828859999999998</v>
      </c>
      <c r="T2224">
        <v>-0.27018930000000002</v>
      </c>
      <c r="U2224">
        <v>-0.34994509999999901</v>
      </c>
      <c r="V2224">
        <v>1.106816E-2</v>
      </c>
      <c r="W2224">
        <v>0.16601099999999999</v>
      </c>
      <c r="X2224">
        <v>0.98606179999999999</v>
      </c>
      <c r="Y2224">
        <v>-0.1028234</v>
      </c>
      <c r="Z2224">
        <v>-3.6399499999999999E-3</v>
      </c>
      <c r="AA2224">
        <v>0.99469300000000005</v>
      </c>
      <c r="AB2224">
        <v>32</v>
      </c>
      <c r="AC2224">
        <v>-12.4742999999999</v>
      </c>
      <c r="AD2224">
        <v>-1.109449783509</v>
      </c>
      <c r="AE2224">
        <v>-1.4352</v>
      </c>
      <c r="AF2224">
        <v>-1.30434261666287</v>
      </c>
      <c r="AG2224">
        <v>-1.109449783509</v>
      </c>
      <c r="AH2224">
        <v>12.3908604484203</v>
      </c>
      <c r="AI2224">
        <v>95.088524819348507</v>
      </c>
      <c r="AJ2224">
        <v>96.009195828884401</v>
      </c>
      <c r="AK2224">
        <v>12.5086214722485</v>
      </c>
      <c r="AL2224">
        <v>80.444029601921599</v>
      </c>
      <c r="AM2224">
        <v>89.356904177779398</v>
      </c>
      <c r="AN2224">
        <v>1.0000000148530099</v>
      </c>
    </row>
    <row r="2225" spans="1:40" x14ac:dyDescent="0.25">
      <c r="A2225" t="str">
        <f>"20190312164032792"</f>
        <v>20190312164032792</v>
      </c>
      <c r="B2225" t="str">
        <f>"1552380032788307"</f>
        <v>1552380032788307</v>
      </c>
      <c r="C2225" t="s">
        <v>40</v>
      </c>
      <c r="D2225">
        <v>5.1293119999999996</v>
      </c>
      <c r="E2225">
        <v>0.46004709999999899</v>
      </c>
      <c r="F2225" t="s">
        <v>49</v>
      </c>
      <c r="G2225">
        <v>-281.48820000000001</v>
      </c>
      <c r="H2225" s="1">
        <v>8.1044460000000007E-6</v>
      </c>
      <c r="I2225">
        <v>282.86369999999999</v>
      </c>
      <c r="J2225">
        <v>-269.017</v>
      </c>
      <c r="K2225">
        <v>1.1094310000000001</v>
      </c>
      <c r="L2225">
        <v>284.33280000000002</v>
      </c>
      <c r="M2225">
        <v>-0.99992689999999995</v>
      </c>
      <c r="N2225">
        <v>0</v>
      </c>
      <c r="O2225">
        <v>-9.5508569999999994E-3</v>
      </c>
      <c r="P2225">
        <v>-0.98735030000000001</v>
      </c>
      <c r="Q2225">
        <v>0.15854679999999999</v>
      </c>
      <c r="R2225">
        <v>1.599655E-3</v>
      </c>
      <c r="S2225">
        <v>-3.0821230000000002</v>
      </c>
      <c r="T2225">
        <v>-0.26832080000000003</v>
      </c>
      <c r="U2225">
        <v>-0.35589599999999999</v>
      </c>
      <c r="V2225">
        <v>1.1073670000000001E-2</v>
      </c>
      <c r="W2225">
        <v>0.1658676</v>
      </c>
      <c r="X2225">
        <v>0.98608580000000001</v>
      </c>
      <c r="Y2225">
        <v>-0.10485990000000001</v>
      </c>
      <c r="Z2225">
        <v>-3.7137149999999998E-3</v>
      </c>
      <c r="AA2225">
        <v>0.99448009999999998</v>
      </c>
      <c r="AB2225">
        <v>32</v>
      </c>
      <c r="AC2225">
        <v>-12.4712</v>
      </c>
      <c r="AD2225">
        <v>-1.109422895554</v>
      </c>
      <c r="AE2225">
        <v>-1.4691000000000201</v>
      </c>
      <c r="AF2225">
        <v>-1.3394640763157299</v>
      </c>
      <c r="AG2225">
        <v>-1.109422895554</v>
      </c>
      <c r="AH2225">
        <v>12.3879702054181</v>
      </c>
      <c r="AI2225">
        <v>95.088055937383501</v>
      </c>
      <c r="AJ2225">
        <v>96.171199397516901</v>
      </c>
      <c r="AK2225">
        <v>12.509467973628899</v>
      </c>
      <c r="AL2225">
        <v>80.452360663678107</v>
      </c>
      <c r="AM2225">
        <v>89.356599714462803</v>
      </c>
      <c r="AN2225">
        <v>0.99999994592933295</v>
      </c>
    </row>
    <row r="2226" spans="1:40" x14ac:dyDescent="0.25">
      <c r="A2226" t="str">
        <f>"20190312164032804"</f>
        <v>20190312164032804</v>
      </c>
      <c r="B2226" t="str">
        <f>"1552380032798067"</f>
        <v>1552380032798067</v>
      </c>
      <c r="C2226" t="s">
        <v>40</v>
      </c>
      <c r="D2226">
        <v>5.1272500000000001</v>
      </c>
      <c r="E2226">
        <v>0.46008640000000001</v>
      </c>
      <c r="F2226" t="s">
        <v>49</v>
      </c>
      <c r="G2226">
        <v>-282.28429999999997</v>
      </c>
      <c r="H2226" s="1">
        <v>7.7643490000000002E-6</v>
      </c>
      <c r="I2226">
        <v>282.80110000000002</v>
      </c>
      <c r="J2226">
        <v>-269.19470000000001</v>
      </c>
      <c r="K2226">
        <v>1.1094139999999999</v>
      </c>
      <c r="L2226">
        <v>284.33109999999999</v>
      </c>
      <c r="M2226">
        <v>-0.99992780000000003</v>
      </c>
      <c r="N2226">
        <v>0</v>
      </c>
      <c r="O2226">
        <v>-9.4670029999999999E-3</v>
      </c>
      <c r="P2226">
        <v>-0.98739949999999999</v>
      </c>
      <c r="Q2226">
        <v>0.15823760000000001</v>
      </c>
      <c r="R2226">
        <v>1.8580370000000001E-3</v>
      </c>
      <c r="S2226">
        <v>-3.0803530000000001</v>
      </c>
      <c r="T2226">
        <v>-0.25758110000000001</v>
      </c>
      <c r="U2226">
        <v>-0.35562129999999997</v>
      </c>
      <c r="V2226">
        <v>1.125372E-2</v>
      </c>
      <c r="W2226">
        <v>0.16553609999999999</v>
      </c>
      <c r="X2226">
        <v>0.98613949999999995</v>
      </c>
      <c r="Y2226">
        <v>-0.10494779999999999</v>
      </c>
      <c r="Z2226">
        <v>-3.578272E-3</v>
      </c>
      <c r="AA2226">
        <v>0.99447129999999995</v>
      </c>
      <c r="AB2226">
        <v>32</v>
      </c>
      <c r="AC2226">
        <v>-13.0895999999999</v>
      </c>
      <c r="AD2226">
        <v>-1.1094062356509999</v>
      </c>
      <c r="AE2226">
        <v>-1.5299999999999701</v>
      </c>
      <c r="AF2226">
        <v>-1.3961151115158601</v>
      </c>
      <c r="AG2226">
        <v>-1.1094062356509999</v>
      </c>
      <c r="AH2226">
        <v>13.0112930683971</v>
      </c>
      <c r="AI2226">
        <v>94.845847231168804</v>
      </c>
      <c r="AJ2226">
        <v>96.124419506133805</v>
      </c>
      <c r="AK2226">
        <v>13.132923014775599</v>
      </c>
      <c r="AL2226">
        <v>80.471620793284998</v>
      </c>
      <c r="AM2226">
        <v>89.346174987049096</v>
      </c>
      <c r="AN2226">
        <v>0.99999998003864798</v>
      </c>
    </row>
    <row r="2227" spans="1:40" x14ac:dyDescent="0.25">
      <c r="A2227" t="str">
        <f>"20190312164032815"</f>
        <v>20190312164032815</v>
      </c>
      <c r="B2227" t="str">
        <f>"1552380032808803"</f>
        <v>1552380032808803</v>
      </c>
      <c r="C2227" t="s">
        <v>40</v>
      </c>
      <c r="D2227">
        <v>5.1508500000000002</v>
      </c>
      <c r="E2227">
        <v>0.4599646</v>
      </c>
      <c r="F2227" t="s">
        <v>49</v>
      </c>
      <c r="G2227">
        <v>-282.71890000000002</v>
      </c>
      <c r="H2227" s="1">
        <v>7.5768970000000004E-6</v>
      </c>
      <c r="I2227">
        <v>282.77569999999997</v>
      </c>
      <c r="J2227">
        <v>-269.36840000000001</v>
      </c>
      <c r="K2227">
        <v>1.1094029999999999</v>
      </c>
      <c r="L2227">
        <v>284.32960000000003</v>
      </c>
      <c r="M2227">
        <v>-0.99992899999999996</v>
      </c>
      <c r="N2227">
        <v>0</v>
      </c>
      <c r="O2227">
        <v>-9.3804260000000007E-3</v>
      </c>
      <c r="P2227">
        <v>-0.98742609999999997</v>
      </c>
      <c r="Q2227">
        <v>0.15806889999999901</v>
      </c>
      <c r="R2227">
        <v>2.0628589999999998E-3</v>
      </c>
      <c r="S2227">
        <v>-3.0794679999999999</v>
      </c>
      <c r="T2227">
        <v>-0.25261280000000003</v>
      </c>
      <c r="U2227">
        <v>-0.35418699999999997</v>
      </c>
      <c r="V2227">
        <v>1.1376880000000001E-2</v>
      </c>
      <c r="W2227">
        <v>0.16534660000000001</v>
      </c>
      <c r="X2227">
        <v>0.98616990000000004</v>
      </c>
      <c r="Y2227">
        <v>-0.1046224</v>
      </c>
      <c r="Z2227">
        <v>-3.5043629999999999E-3</v>
      </c>
      <c r="AA2227">
        <v>0.9945058</v>
      </c>
      <c r="AB2227">
        <v>32</v>
      </c>
      <c r="AC2227">
        <v>-13.3505</v>
      </c>
      <c r="AD2227">
        <v>-1.1093954231029901</v>
      </c>
      <c r="AE2227">
        <v>-1.55390000000005</v>
      </c>
      <c r="AF2227">
        <v>-1.41892781981106</v>
      </c>
      <c r="AG2227">
        <v>-1.1093954231029901</v>
      </c>
      <c r="AH2227">
        <v>13.2740540721214</v>
      </c>
      <c r="AI2227">
        <v>94.750523569084805</v>
      </c>
      <c r="AJ2227">
        <v>96.101453856102097</v>
      </c>
      <c r="AK2227">
        <v>13.3956943034782</v>
      </c>
      <c r="AL2227">
        <v>80.482630262540596</v>
      </c>
      <c r="AM2227">
        <v>89.339040572632499</v>
      </c>
      <c r="AN2227">
        <v>1.0000000015980499</v>
      </c>
    </row>
    <row r="2228" spans="1:40" x14ac:dyDescent="0.25">
      <c r="A2228" t="str">
        <f>"20190312164032827"</f>
        <v>20190312164032827</v>
      </c>
      <c r="B2228" t="str">
        <f>"1552380032818563"</f>
        <v>1552380032818563</v>
      </c>
      <c r="C2228" t="s">
        <v>40</v>
      </c>
      <c r="D2228">
        <v>5.2591409999999996</v>
      </c>
      <c r="E2228">
        <v>0.4599761</v>
      </c>
      <c r="F2228" t="s">
        <v>49</v>
      </c>
      <c r="G2228">
        <v>-283.00259999999997</v>
      </c>
      <c r="H2228" s="1">
        <v>7.4544219999999902E-6</v>
      </c>
      <c r="I2228">
        <v>282.7593</v>
      </c>
      <c r="J2228">
        <v>-269.53440000000001</v>
      </c>
      <c r="K2228">
        <v>1.1093949999999999</v>
      </c>
      <c r="L2228">
        <v>284.32810000000001</v>
      </c>
      <c r="M2228">
        <v>-0.99992979999999998</v>
      </c>
      <c r="N2228">
        <v>0</v>
      </c>
      <c r="O2228">
        <v>-9.2923180000000008E-3</v>
      </c>
      <c r="P2228">
        <v>-0.98739580000000005</v>
      </c>
      <c r="Q2228">
        <v>0.1582576</v>
      </c>
      <c r="R2228">
        <v>2.0601759999999999E-3</v>
      </c>
      <c r="S2228">
        <v>-3.0790709999999999</v>
      </c>
      <c r="T2228">
        <v>-0.25053930000000002</v>
      </c>
      <c r="U2228">
        <v>-0.35461429999999999</v>
      </c>
      <c r="V2228">
        <v>1.128997E-2</v>
      </c>
      <c r="W2228">
        <v>0.16551589999999999</v>
      </c>
      <c r="X2228">
        <v>0.98614250000000003</v>
      </c>
      <c r="Y2228">
        <v>-0.10486479999999999</v>
      </c>
      <c r="Z2228">
        <v>-3.493052E-3</v>
      </c>
      <c r="AA2228">
        <v>0.99448040000000004</v>
      </c>
      <c r="AB2228">
        <v>32</v>
      </c>
      <c r="AC2228">
        <v>-13.4681999999999</v>
      </c>
      <c r="AD2228">
        <v>-1.109387545578</v>
      </c>
      <c r="AE2228">
        <v>-1.56880000000001</v>
      </c>
      <c r="AF2228">
        <v>-1.4339788345862901</v>
      </c>
      <c r="AG2228">
        <v>-1.109387545578</v>
      </c>
      <c r="AH2228">
        <v>13.3925451425318</v>
      </c>
      <c r="AI2228">
        <v>94.708561375296696</v>
      </c>
      <c r="AJ2228">
        <v>96.111541573053202</v>
      </c>
      <c r="AK2228">
        <v>13.514706856572101</v>
      </c>
      <c r="AL2228">
        <v>80.472794581899294</v>
      </c>
      <c r="AM2228">
        <v>89.344071092956</v>
      </c>
      <c r="AN2228">
        <v>1.0000000034408301</v>
      </c>
    </row>
    <row r="2229" spans="1:40" x14ac:dyDescent="0.25">
      <c r="A2229" t="str">
        <f>"20190312164032841"</f>
        <v>20190312164032841</v>
      </c>
      <c r="B2229" t="str">
        <f>"1552380032828324"</f>
        <v>1552380032828324</v>
      </c>
      <c r="C2229" t="s">
        <v>40</v>
      </c>
      <c r="D2229">
        <v>5.176698</v>
      </c>
      <c r="E2229">
        <v>0.45945340000000001</v>
      </c>
      <c r="F2229" t="s">
        <v>49</v>
      </c>
      <c r="G2229">
        <v>-283.37009999999998</v>
      </c>
      <c r="H2229" s="1">
        <v>7.2964890000000003E-6</v>
      </c>
      <c r="I2229">
        <v>282.73500000000001</v>
      </c>
      <c r="J2229">
        <v>-269.7296</v>
      </c>
      <c r="K2229">
        <v>1.109383</v>
      </c>
      <c r="L2229">
        <v>284.32639999999998</v>
      </c>
      <c r="M2229">
        <v>-0.99993100000000001</v>
      </c>
      <c r="N2229">
        <v>0</v>
      </c>
      <c r="O2229">
        <v>-9.186072E-3</v>
      </c>
      <c r="P2229">
        <v>-0.98740550000000005</v>
      </c>
      <c r="Q2229">
        <v>0.1581911</v>
      </c>
      <c r="R2229">
        <v>2.4233979999999998E-3</v>
      </c>
      <c r="S2229">
        <v>-3.0786129999999998</v>
      </c>
      <c r="T2229">
        <v>-0.24685099999999999</v>
      </c>
      <c r="U2229">
        <v>-0.35449219999999998</v>
      </c>
      <c r="V2229">
        <v>1.155166E-2</v>
      </c>
      <c r="W2229">
        <v>0.1654265</v>
      </c>
      <c r="X2229">
        <v>0.98615450000000004</v>
      </c>
      <c r="Y2229">
        <v>-0.1049567</v>
      </c>
      <c r="Z2229">
        <v>-3.45445E-3</v>
      </c>
      <c r="AA2229">
        <v>0.99447079999999999</v>
      </c>
      <c r="AB2229">
        <v>32</v>
      </c>
      <c r="AC2229">
        <v>-13.6404999999999</v>
      </c>
      <c r="AD2229">
        <v>-1.1093757035109999</v>
      </c>
      <c r="AE2229">
        <v>-1.59139999999996</v>
      </c>
      <c r="AF2229">
        <v>-1.4565220899889999</v>
      </c>
      <c r="AG2229">
        <v>-1.1093757035109999</v>
      </c>
      <c r="AH2229">
        <v>13.5660161612632</v>
      </c>
      <c r="AI2229">
        <v>94.648424811428399</v>
      </c>
      <c r="AJ2229">
        <v>96.128114911447</v>
      </c>
      <c r="AK2229">
        <v>13.689008931906701</v>
      </c>
      <c r="AL2229">
        <v>80.477988705902604</v>
      </c>
      <c r="AM2229">
        <v>89.328876870089005</v>
      </c>
      <c r="AN2229">
        <v>1.00000003281062</v>
      </c>
    </row>
    <row r="2230" spans="1:40" x14ac:dyDescent="0.25">
      <c r="A2230" t="str">
        <f>"20190312164032860"</f>
        <v>20190312164032860</v>
      </c>
      <c r="B2230" t="str">
        <f>"1552380032848818"</f>
        <v>1552380032848818</v>
      </c>
      <c r="C2230" t="s">
        <v>40</v>
      </c>
      <c r="D2230">
        <v>5.1369009999999999</v>
      </c>
      <c r="E2230">
        <v>0.45886939999999998</v>
      </c>
      <c r="F2230" t="s">
        <v>49</v>
      </c>
      <c r="G2230">
        <v>-283.43720000000002</v>
      </c>
      <c r="H2230" s="1">
        <v>7.2667359999999902E-6</v>
      </c>
      <c r="I2230">
        <v>282.73509999999999</v>
      </c>
      <c r="J2230">
        <v>-270.00479999999999</v>
      </c>
      <c r="K2230">
        <v>1.1093649999999999</v>
      </c>
      <c r="L2230">
        <v>284.32400000000001</v>
      </c>
      <c r="M2230">
        <v>-0.99993259999999995</v>
      </c>
      <c r="N2230">
        <v>0</v>
      </c>
      <c r="O2230">
        <v>-9.0275719999999993E-3</v>
      </c>
      <c r="P2230">
        <v>-0.98749770000000003</v>
      </c>
      <c r="Q2230">
        <v>0.157605</v>
      </c>
      <c r="R2230">
        <v>3.0641760000000001E-3</v>
      </c>
      <c r="S2230">
        <v>-3.0791019999999998</v>
      </c>
      <c r="T2230">
        <v>-0.249197</v>
      </c>
      <c r="U2230">
        <v>-0.3574524</v>
      </c>
      <c r="V2230">
        <v>1.204069E-2</v>
      </c>
      <c r="W2230">
        <v>0.1648104</v>
      </c>
      <c r="X2230">
        <v>0.98625180000000001</v>
      </c>
      <c r="Y2230">
        <v>-0.10603020000000001</v>
      </c>
      <c r="Z2230">
        <v>-3.5424240000000002E-3</v>
      </c>
      <c r="AA2230">
        <v>0.99435660000000003</v>
      </c>
      <c r="AB2230">
        <v>32</v>
      </c>
      <c r="AC2230">
        <v>-13.432399999999999</v>
      </c>
      <c r="AD2230">
        <v>-1.1093577332639999</v>
      </c>
      <c r="AE2230">
        <v>-1.58890000000002</v>
      </c>
      <c r="AF2230">
        <v>-1.4577641333173199</v>
      </c>
      <c r="AG2230">
        <v>-1.1093577332639999</v>
      </c>
      <c r="AH2230">
        <v>13.3563528611816</v>
      </c>
      <c r="AI2230">
        <v>94.720096506017995</v>
      </c>
      <c r="AJ2230">
        <v>96.228828190373704</v>
      </c>
      <c r="AK2230">
        <v>13.4813913451517</v>
      </c>
      <c r="AL2230">
        <v>80.513779883498302</v>
      </c>
      <c r="AM2230">
        <v>89.300537198209298</v>
      </c>
      <c r="AN2230">
        <v>1.0000000295835301</v>
      </c>
    </row>
    <row r="2231" spans="1:40" x14ac:dyDescent="0.25">
      <c r="A2231" t="str">
        <f>"20190312164032882"</f>
        <v>20190312164032882</v>
      </c>
      <c r="B2231" t="str">
        <f>"1552380032878099"</f>
        <v>1552380032878099</v>
      </c>
      <c r="C2231" t="s">
        <v>40</v>
      </c>
      <c r="D2231">
        <v>5.271102</v>
      </c>
      <c r="E2231">
        <v>0.4580785</v>
      </c>
      <c r="F2231" t="s">
        <v>49</v>
      </c>
      <c r="G2231">
        <v>-283.61160000000001</v>
      </c>
      <c r="H2231" s="1">
        <v>7.1899399999999896E-6</v>
      </c>
      <c r="I2231">
        <v>282.73250000000002</v>
      </c>
      <c r="J2231">
        <v>-270.32279999999997</v>
      </c>
      <c r="K2231">
        <v>1.109345</v>
      </c>
      <c r="L2231">
        <v>284.32130000000001</v>
      </c>
      <c r="M2231">
        <v>-0.99993449999999995</v>
      </c>
      <c r="N2231">
        <v>0</v>
      </c>
      <c r="O2231">
        <v>-8.8348479999999993E-3</v>
      </c>
      <c r="P2231">
        <v>-0.98758100000000004</v>
      </c>
      <c r="Q2231">
        <v>0.15707209999999999</v>
      </c>
      <c r="R2231">
        <v>3.495639E-3</v>
      </c>
      <c r="S2231">
        <v>-3.0791930000000001</v>
      </c>
      <c r="T2231">
        <v>-0.25104670000000001</v>
      </c>
      <c r="U2231">
        <v>-0.3601685</v>
      </c>
      <c r="V2231">
        <v>1.228684E-2</v>
      </c>
      <c r="W2231">
        <v>0.16424649999999999</v>
      </c>
      <c r="X2231">
        <v>0.98634279999999996</v>
      </c>
      <c r="Y2231">
        <v>-0.10707510000000001</v>
      </c>
      <c r="Z2231">
        <v>-3.6263559999999999E-3</v>
      </c>
      <c r="AA2231">
        <v>0.99424429999999997</v>
      </c>
      <c r="AB2231">
        <v>33</v>
      </c>
      <c r="AC2231">
        <v>-13.2888</v>
      </c>
      <c r="AD2231">
        <v>-1.10933781006</v>
      </c>
      <c r="AE2231">
        <v>-1.58879999999999</v>
      </c>
      <c r="AF2231">
        <v>-1.4612904709316601</v>
      </c>
      <c r="AG2231">
        <v>-1.10933781006</v>
      </c>
      <c r="AH2231">
        <v>13.2115477993539</v>
      </c>
      <c r="AI2231">
        <v>94.770753801945801</v>
      </c>
      <c r="AJ2231">
        <v>96.311662410010896</v>
      </c>
      <c r="AK2231">
        <v>13.338328061338</v>
      </c>
      <c r="AL2231">
        <v>80.546535063246793</v>
      </c>
      <c r="AM2231">
        <v>89.286305263115906</v>
      </c>
      <c r="AN2231">
        <v>0.99999999915563698</v>
      </c>
    </row>
    <row r="2232" spans="1:40" x14ac:dyDescent="0.25">
      <c r="A2232" t="str">
        <f>"20190312164032896"</f>
        <v>20190312164032896</v>
      </c>
      <c r="B2232" t="str">
        <f>"1552380032888835"</f>
        <v>1552380032888835</v>
      </c>
      <c r="C2232" t="s">
        <v>40</v>
      </c>
      <c r="D2232">
        <v>5.2949279999999996</v>
      </c>
      <c r="E2232">
        <v>0.45783400000000002</v>
      </c>
      <c r="F2232" t="s">
        <v>49</v>
      </c>
      <c r="G2232">
        <v>-283.96179999999998</v>
      </c>
      <c r="H2232" s="1">
        <v>7.0404270000000001E-6</v>
      </c>
      <c r="I2232">
        <v>282.70440000000002</v>
      </c>
      <c r="J2232">
        <v>-270.5419</v>
      </c>
      <c r="K2232">
        <v>1.109332</v>
      </c>
      <c r="L2232">
        <v>284.31939999999997</v>
      </c>
      <c r="M2232">
        <v>-0.99993589999999999</v>
      </c>
      <c r="N2232">
        <v>0</v>
      </c>
      <c r="O2232">
        <v>-8.6970339999999993E-3</v>
      </c>
      <c r="P2232">
        <v>-0.9875929</v>
      </c>
      <c r="Q2232">
        <v>0.1569932</v>
      </c>
      <c r="R2232">
        <v>3.6671289999999999E-3</v>
      </c>
      <c r="S2232">
        <v>-3.0788570000000002</v>
      </c>
      <c r="T2232">
        <v>-0.2504207</v>
      </c>
      <c r="U2232">
        <v>-0.36499019999999999</v>
      </c>
      <c r="V2232">
        <v>1.2325239999999999E-2</v>
      </c>
      <c r="W2232">
        <v>0.16414819999999999</v>
      </c>
      <c r="X2232">
        <v>0.98635870000000003</v>
      </c>
      <c r="Y2232">
        <v>-0.10875600000000001</v>
      </c>
      <c r="Z2232">
        <v>-3.6965639999999998E-3</v>
      </c>
      <c r="AA2232">
        <v>0.99406159999999999</v>
      </c>
      <c r="AB2232">
        <v>33</v>
      </c>
      <c r="AC2232">
        <v>-13.419899999999901</v>
      </c>
      <c r="AD2232">
        <v>-1.1093249595729999</v>
      </c>
      <c r="AE2232">
        <v>-1.61499999999995</v>
      </c>
      <c r="AF2232">
        <v>-1.4881986563777301</v>
      </c>
      <c r="AG2232">
        <v>-1.1093249595729999</v>
      </c>
      <c r="AH2232">
        <v>13.3435620057466</v>
      </c>
      <c r="AI2232">
        <v>94.723238850619296</v>
      </c>
      <c r="AJ2232">
        <v>96.363861148337193</v>
      </c>
      <c r="AK2232">
        <v>13.472044540751099</v>
      </c>
      <c r="AL2232">
        <v>80.552244875161307</v>
      </c>
      <c r="AM2232">
        <v>89.284086527735795</v>
      </c>
      <c r="AN2232">
        <v>1.0000000140849901</v>
      </c>
    </row>
    <row r="2233" spans="1:40" x14ac:dyDescent="0.25">
      <c r="A2233" t="str">
        <f>"20190312164032915"</f>
        <v>20190312164032915</v>
      </c>
      <c r="B2233" t="str">
        <f>"1552380032908354"</f>
        <v>1552380032908354</v>
      </c>
      <c r="C2233" t="s">
        <v>40</v>
      </c>
      <c r="D2233">
        <v>5.2093040000000004</v>
      </c>
      <c r="E2233">
        <v>0.45745770000000002</v>
      </c>
      <c r="F2233" t="s">
        <v>49</v>
      </c>
      <c r="G2233">
        <v>-284.1198</v>
      </c>
      <c r="H2233" s="1">
        <v>6.9710260000000001E-6</v>
      </c>
      <c r="I2233">
        <v>282.7011</v>
      </c>
      <c r="J2233">
        <v>-270.81299999999999</v>
      </c>
      <c r="K2233">
        <v>1.1093189999999999</v>
      </c>
      <c r="L2233">
        <v>284.31729999999999</v>
      </c>
      <c r="M2233">
        <v>-0.99993770000000004</v>
      </c>
      <c r="N2233">
        <v>0</v>
      </c>
      <c r="O2233">
        <v>-8.5203339999999992E-3</v>
      </c>
      <c r="P2233">
        <v>-0.98770329999999995</v>
      </c>
      <c r="Q2233">
        <v>0.1562885</v>
      </c>
      <c r="R2233">
        <v>4.0492519999999997E-3</v>
      </c>
      <c r="S2233">
        <v>-3.0790410000000001</v>
      </c>
      <c r="T2233">
        <v>-0.25155929999999999</v>
      </c>
      <c r="U2233">
        <v>-0.36697390000000002</v>
      </c>
      <c r="V2233">
        <v>1.253746E-2</v>
      </c>
      <c r="W2233">
        <v>0.16342329999999999</v>
      </c>
      <c r="X2233">
        <v>0.98647640000000003</v>
      </c>
      <c r="Y2233">
        <v>-0.1095501</v>
      </c>
      <c r="Z2233">
        <v>-3.7595889999999998E-3</v>
      </c>
      <c r="AA2233">
        <v>0.99397409999999997</v>
      </c>
      <c r="AB2233">
        <v>33</v>
      </c>
      <c r="AC2233">
        <v>-13.306800000000001</v>
      </c>
      <c r="AD2233">
        <v>-1.1093120289739999</v>
      </c>
      <c r="AE2233">
        <v>-1.6161999999999901</v>
      </c>
      <c r="AF2233">
        <v>-1.49253823850764</v>
      </c>
      <c r="AG2233">
        <v>-1.1093120289739999</v>
      </c>
      <c r="AH2233">
        <v>13.229484723496199</v>
      </c>
      <c r="AI2233">
        <v>94.763047772600004</v>
      </c>
      <c r="AJ2233">
        <v>96.436839294869998</v>
      </c>
      <c r="AK2233">
        <v>13.359547508065299</v>
      </c>
      <c r="AL2233">
        <v>80.594347244515802</v>
      </c>
      <c r="AM2233">
        <v>89.271847891934598</v>
      </c>
      <c r="AN2233">
        <v>1.00000002532155</v>
      </c>
    </row>
    <row r="2234" spans="1:40" x14ac:dyDescent="0.25">
      <c r="A2234" t="str">
        <f>"20190312164032937"</f>
        <v>20190312164032937</v>
      </c>
      <c r="B2234" t="str">
        <f>"1552380032928851"</f>
        <v>1552380032928851</v>
      </c>
      <c r="C2234" t="s">
        <v>40</v>
      </c>
      <c r="D2234">
        <v>5.3142250000000004</v>
      </c>
      <c r="E2234">
        <v>0.45726699999999998</v>
      </c>
      <c r="F2234" t="s">
        <v>49</v>
      </c>
      <c r="G2234">
        <v>-284.16829999999999</v>
      </c>
      <c r="H2234" s="1">
        <v>6.9461250000000003E-6</v>
      </c>
      <c r="I2234">
        <v>282.7176</v>
      </c>
      <c r="J2234">
        <v>-271.13650000000001</v>
      </c>
      <c r="K2234">
        <v>1.1092959999999901</v>
      </c>
      <c r="L2234">
        <v>284.31479999999999</v>
      </c>
      <c r="M2234">
        <v>-0.99993960000000004</v>
      </c>
      <c r="N2234">
        <v>0</v>
      </c>
      <c r="O2234">
        <v>-8.2954440000000008E-3</v>
      </c>
      <c r="P2234">
        <v>-0.9876914</v>
      </c>
      <c r="Q2234">
        <v>0.15636659999999999</v>
      </c>
      <c r="R2234">
        <v>3.9533779999999996E-3</v>
      </c>
      <c r="S2234">
        <v>-3.0793149999999998</v>
      </c>
      <c r="T2234">
        <v>-0.25577240000000001</v>
      </c>
      <c r="U2234">
        <v>-0.36883539999999998</v>
      </c>
      <c r="V2234">
        <v>1.222488E-2</v>
      </c>
      <c r="W2234">
        <v>0.16347929999999999</v>
      </c>
      <c r="X2234">
        <v>0.98647099999999999</v>
      </c>
      <c r="Y2234">
        <v>-0.1103411</v>
      </c>
      <c r="Z2234">
        <v>-3.873123E-3</v>
      </c>
      <c r="AA2234">
        <v>0.99388620000000005</v>
      </c>
      <c r="AB2234">
        <v>33</v>
      </c>
      <c r="AC2234">
        <v>-13.031799999999899</v>
      </c>
      <c r="AD2234">
        <v>-1.10928905387499</v>
      </c>
      <c r="AE2234">
        <v>-1.59719999999998</v>
      </c>
      <c r="AF2234">
        <v>-1.4784835459730299</v>
      </c>
      <c r="AG2234">
        <v>-1.10928905387499</v>
      </c>
      <c r="AH2234">
        <v>12.9521428586515</v>
      </c>
      <c r="AI2234">
        <v>94.863731749447098</v>
      </c>
      <c r="AJ2234">
        <v>96.512110479668095</v>
      </c>
      <c r="AK2234">
        <v>13.083365027074599</v>
      </c>
      <c r="AL2234">
        <v>80.591094526271405</v>
      </c>
      <c r="AM2234">
        <v>89.289996182382595</v>
      </c>
      <c r="AN2234">
        <v>0.99999998153025205</v>
      </c>
    </row>
    <row r="2235" spans="1:40" x14ac:dyDescent="0.25">
      <c r="A2235" t="str">
        <f>"20190312164032950"</f>
        <v>20190312164032950</v>
      </c>
      <c r="B2235" t="str">
        <f>"1552380032938610"</f>
        <v>1552380032938610</v>
      </c>
      <c r="C2235" t="s">
        <v>40</v>
      </c>
      <c r="D2235">
        <v>5.2308820000000003</v>
      </c>
      <c r="E2235">
        <v>0.4570224</v>
      </c>
      <c r="F2235" t="s">
        <v>49</v>
      </c>
      <c r="G2235">
        <v>-284.49759999999998</v>
      </c>
      <c r="H2235" s="1">
        <v>6.8020560000000001E-6</v>
      </c>
      <c r="I2235">
        <v>282.70819999999998</v>
      </c>
      <c r="J2235">
        <v>-271.32299999999998</v>
      </c>
      <c r="K2235">
        <v>1.1092839999999999</v>
      </c>
      <c r="L2235">
        <v>284.31330000000003</v>
      </c>
      <c r="M2235">
        <v>-0.99994090000000002</v>
      </c>
      <c r="N2235">
        <v>0</v>
      </c>
      <c r="O2235">
        <v>-8.1565749999999992E-3</v>
      </c>
      <c r="P2235">
        <v>-0.98767720000000003</v>
      </c>
      <c r="Q2235">
        <v>0.1564605</v>
      </c>
      <c r="R2235">
        <v>3.7567239999999999E-3</v>
      </c>
      <c r="S2235">
        <v>-3.0793149999999998</v>
      </c>
      <c r="T2235">
        <v>-0.25565719999999997</v>
      </c>
      <c r="U2235">
        <v>-0.37026979999999998</v>
      </c>
      <c r="V2235">
        <v>1.189466E-2</v>
      </c>
      <c r="W2235">
        <v>0.16356299999999999</v>
      </c>
      <c r="X2235">
        <v>0.98646120000000004</v>
      </c>
      <c r="Y2235">
        <v>-0.1109333</v>
      </c>
      <c r="Z2235">
        <v>-3.9072000000000004E-3</v>
      </c>
      <c r="AA2235">
        <v>0.99382020000000004</v>
      </c>
      <c r="AB2235">
        <v>33</v>
      </c>
      <c r="AC2235">
        <v>-13.1745999999999</v>
      </c>
      <c r="AD2235">
        <v>-1.1092771979439999</v>
      </c>
      <c r="AE2235">
        <v>-1.6051000000000499</v>
      </c>
      <c r="AF2235">
        <v>-1.48719520057449</v>
      </c>
      <c r="AG2235">
        <v>-1.1092771979439999</v>
      </c>
      <c r="AH2235">
        <v>13.095771802537501</v>
      </c>
      <c r="AI2235">
        <v>94.810904687676697</v>
      </c>
      <c r="AJ2235">
        <v>96.478924110781193</v>
      </c>
      <c r="AK2235">
        <v>13.226544695067799</v>
      </c>
      <c r="AL2235">
        <v>80.586233789599703</v>
      </c>
      <c r="AM2235">
        <v>89.309166148177496</v>
      </c>
      <c r="AN2235">
        <v>1.00000001850547</v>
      </c>
    </row>
    <row r="2236" spans="1:40" x14ac:dyDescent="0.25">
      <c r="A2236" t="str">
        <f>"20190312164032963"</f>
        <v>20190312164032963</v>
      </c>
      <c r="B2236" t="str">
        <f>"1552380032958131"</f>
        <v>1552380032958131</v>
      </c>
      <c r="C2236" t="s">
        <v>40</v>
      </c>
      <c r="D2236">
        <v>5.2115549999999997</v>
      </c>
      <c r="E2236">
        <v>0.45683190000000001</v>
      </c>
      <c r="F2236" t="s">
        <v>49</v>
      </c>
      <c r="G2236">
        <v>-284.64260000000002</v>
      </c>
      <c r="H2236" s="1">
        <v>6.7395189999999999E-6</v>
      </c>
      <c r="I2236">
        <v>282.6995</v>
      </c>
      <c r="J2236">
        <v>-271.50569999999999</v>
      </c>
      <c r="K2236">
        <v>1.109272</v>
      </c>
      <c r="L2236">
        <v>284.31189999999998</v>
      </c>
      <c r="M2236">
        <v>-0.999942</v>
      </c>
      <c r="N2236">
        <v>0</v>
      </c>
      <c r="O2236">
        <v>-8.0165169999999904E-3</v>
      </c>
      <c r="P2236">
        <v>-0.98767190000000005</v>
      </c>
      <c r="Q2236">
        <v>0.15649089999999999</v>
      </c>
      <c r="R2236">
        <v>3.894214E-3</v>
      </c>
      <c r="S2236">
        <v>-3.0794980000000001</v>
      </c>
      <c r="T2236">
        <v>-0.25646560000000002</v>
      </c>
      <c r="U2236">
        <v>-0.37310789999999999</v>
      </c>
      <c r="V2236">
        <v>1.189753E-2</v>
      </c>
      <c r="W2236">
        <v>0.1635837</v>
      </c>
      <c r="X2236">
        <v>0.98645769999999999</v>
      </c>
      <c r="Y2236">
        <v>-0.11196209999999999</v>
      </c>
      <c r="Z2236">
        <v>-3.9732769999999999E-3</v>
      </c>
      <c r="AA2236">
        <v>0.99370460000000005</v>
      </c>
      <c r="AB2236">
        <v>33</v>
      </c>
      <c r="AC2236">
        <v>-13.136900000000001</v>
      </c>
      <c r="AD2236">
        <v>-1.109265260481</v>
      </c>
      <c r="AE2236">
        <v>-1.6123999999999701</v>
      </c>
      <c r="AF2236">
        <v>-1.4965215477266001</v>
      </c>
      <c r="AG2236">
        <v>-1.109265260481</v>
      </c>
      <c r="AH2236">
        <v>13.057685397027299</v>
      </c>
      <c r="AI2236">
        <v>94.824253846635003</v>
      </c>
      <c r="AJ2236">
        <v>96.538056083112295</v>
      </c>
      <c r="AK2236">
        <v>13.189889843689301</v>
      </c>
      <c r="AL2236">
        <v>80.585031265811295</v>
      </c>
      <c r="AM2236">
        <v>89.308997025202899</v>
      </c>
      <c r="AN2236">
        <v>0.99999998600754003</v>
      </c>
    </row>
    <row r="2237" spans="1:40" x14ac:dyDescent="0.25">
      <c r="A2237" t="str">
        <f>"20190312164032974"</f>
        <v>20190312164032974</v>
      </c>
      <c r="B2237" t="str">
        <f>"1552380032968867"</f>
        <v>1552380032968867</v>
      </c>
      <c r="C2237" t="s">
        <v>40</v>
      </c>
      <c r="D2237">
        <v>5.1966890000000001</v>
      </c>
      <c r="E2237">
        <v>0.45666899999999999</v>
      </c>
      <c r="F2237" t="s">
        <v>49</v>
      </c>
      <c r="G2237">
        <v>-284.73419999999999</v>
      </c>
      <c r="H2237" s="1">
        <v>6.6979699999999997E-6</v>
      </c>
      <c r="I2237">
        <v>282.70409999999998</v>
      </c>
      <c r="J2237">
        <v>-271.6934</v>
      </c>
      <c r="K2237">
        <v>1.1092649999999999</v>
      </c>
      <c r="L2237">
        <v>284.31049999999999</v>
      </c>
      <c r="M2237">
        <v>-0.99994329999999998</v>
      </c>
      <c r="N2237">
        <v>0</v>
      </c>
      <c r="O2237">
        <v>-7.8664419999999995E-3</v>
      </c>
      <c r="P2237">
        <v>-0.98770559999999996</v>
      </c>
      <c r="Q2237">
        <v>0.15627759999999999</v>
      </c>
      <c r="R2237">
        <v>3.877227E-3</v>
      </c>
      <c r="S2237">
        <v>-3.079834</v>
      </c>
      <c r="T2237">
        <v>-0.2582583</v>
      </c>
      <c r="U2237">
        <v>-0.37432860000000001</v>
      </c>
      <c r="V2237">
        <v>1.173655E-2</v>
      </c>
      <c r="W2237">
        <v>0.16336210000000001</v>
      </c>
      <c r="X2237">
        <v>0.98649640000000005</v>
      </c>
      <c r="Y2237">
        <v>-0.1124793</v>
      </c>
      <c r="Z2237">
        <v>-4.0345110000000002E-3</v>
      </c>
      <c r="AA2237">
        <v>0.99364589999999997</v>
      </c>
      <c r="AB2237">
        <v>33</v>
      </c>
      <c r="AC2237">
        <v>-13.0407999999999</v>
      </c>
      <c r="AD2237">
        <v>-1.10925830203</v>
      </c>
      <c r="AE2237">
        <v>-1.6064000000000001</v>
      </c>
      <c r="AF2237">
        <v>-1.49312124235919</v>
      </c>
      <c r="AG2237">
        <v>-1.10925830203</v>
      </c>
      <c r="AH2237">
        <v>12.9606607746364</v>
      </c>
      <c r="AI2237">
        <v>94.859839217777505</v>
      </c>
      <c r="AJ2237">
        <v>96.571737489473605</v>
      </c>
      <c r="AK2237">
        <v>13.093456103726201</v>
      </c>
      <c r="AL2237">
        <v>80.597901601150397</v>
      </c>
      <c r="AM2237">
        <v>89.318372518602402</v>
      </c>
      <c r="AN2237">
        <v>1.0000000347676301</v>
      </c>
    </row>
    <row r="2238" spans="1:40" x14ac:dyDescent="0.25">
      <c r="A2238" t="str">
        <f>"20190312164032995"</f>
        <v>20190312164032995</v>
      </c>
      <c r="B2238" t="str">
        <f>"1552380032988387"</f>
        <v>1552380032988387</v>
      </c>
      <c r="C2238" t="s">
        <v>40</v>
      </c>
      <c r="D2238">
        <v>5.1860970000000002</v>
      </c>
      <c r="E2238">
        <v>0.45648549999999899</v>
      </c>
      <c r="F2238" t="s">
        <v>49</v>
      </c>
      <c r="G2238">
        <v>-284.90179999999998</v>
      </c>
      <c r="H2238" s="1">
        <v>6.6252149999999897E-6</v>
      </c>
      <c r="I2238">
        <v>282.69650000000001</v>
      </c>
      <c r="J2238">
        <v>-271.98860000000002</v>
      </c>
      <c r="K2238">
        <v>1.109246</v>
      </c>
      <c r="L2238">
        <v>284.30849999999998</v>
      </c>
      <c r="M2238">
        <v>-0.99994530000000004</v>
      </c>
      <c r="N2238">
        <v>0</v>
      </c>
      <c r="O2238">
        <v>-7.6176079999999997E-3</v>
      </c>
      <c r="P2238">
        <v>-0.98781699999999995</v>
      </c>
      <c r="Q2238">
        <v>0.15556829999999999</v>
      </c>
      <c r="R2238">
        <v>4.044349E-3</v>
      </c>
      <c r="S2238">
        <v>-3.0798030000000001</v>
      </c>
      <c r="T2238">
        <v>-0.25864549999999997</v>
      </c>
      <c r="U2238">
        <v>-0.37634279999999998</v>
      </c>
      <c r="V2238">
        <v>1.166494E-2</v>
      </c>
      <c r="W2238">
        <v>0.162642799999999</v>
      </c>
      <c r="X2238">
        <v>0.9866161</v>
      </c>
      <c r="Y2238">
        <v>-0.11336300000000001</v>
      </c>
      <c r="Z2238">
        <v>-4.0981029999999996E-3</v>
      </c>
      <c r="AA2238">
        <v>0.99354520000000002</v>
      </c>
      <c r="AB2238">
        <v>33</v>
      </c>
      <c r="AC2238">
        <v>-12.9131999999999</v>
      </c>
      <c r="AD2238">
        <v>-1.109239374785</v>
      </c>
      <c r="AE2238">
        <v>-1.6119999999999599</v>
      </c>
      <c r="AF2238">
        <v>-1.5026653463889801</v>
      </c>
      <c r="AG2238">
        <v>-1.109239374785</v>
      </c>
      <c r="AH2238">
        <v>12.831874860324699</v>
      </c>
      <c r="AI2238">
        <v>94.907230607200205</v>
      </c>
      <c r="AJ2238">
        <v>96.679151162831204</v>
      </c>
      <c r="AK2238">
        <v>12.9670901733907</v>
      </c>
      <c r="AL2238">
        <v>80.639673170604397</v>
      </c>
      <c r="AM2238">
        <v>89.322613232792094</v>
      </c>
      <c r="AN2238">
        <v>1.0000000399981199</v>
      </c>
    </row>
    <row r="2239" spans="1:40" x14ac:dyDescent="0.25">
      <c r="A2239" t="str">
        <f>"20190312164033015"</f>
        <v>20190312164033015</v>
      </c>
      <c r="B2239" t="str">
        <f>"1552380033007907"</f>
        <v>1552380033007907</v>
      </c>
      <c r="C2239" t="s">
        <v>40</v>
      </c>
      <c r="D2239">
        <v>5.4353730000000002</v>
      </c>
      <c r="E2239">
        <v>0.4345386</v>
      </c>
      <c r="F2239" t="s">
        <v>49</v>
      </c>
      <c r="G2239">
        <v>-285.11900000000003</v>
      </c>
      <c r="H2239" s="1">
        <v>6.5287090000000003E-6</v>
      </c>
      <c r="I2239">
        <v>282.69749999999999</v>
      </c>
      <c r="J2239">
        <v>-272.30130000000003</v>
      </c>
      <c r="K2239">
        <v>1.1092150000000001</v>
      </c>
      <c r="L2239">
        <v>284.3064</v>
      </c>
      <c r="M2239">
        <v>-0.99994760000000005</v>
      </c>
      <c r="N2239">
        <v>0</v>
      </c>
      <c r="O2239">
        <v>-7.3389669999999897E-3</v>
      </c>
      <c r="P2239">
        <v>-0.98790990000000001</v>
      </c>
      <c r="Q2239">
        <v>0.1549712</v>
      </c>
      <c r="R2239">
        <v>4.302363E-3</v>
      </c>
      <c r="S2239">
        <v>-3.079529</v>
      </c>
      <c r="T2239">
        <v>-0.26015480000000002</v>
      </c>
      <c r="U2239">
        <v>-0.37783810000000001</v>
      </c>
      <c r="V2239">
        <v>1.165451E-2</v>
      </c>
      <c r="W2239">
        <v>0.1620335</v>
      </c>
      <c r="X2239">
        <v>0.98671640000000005</v>
      </c>
      <c r="Y2239">
        <v>-0.114117899999999</v>
      </c>
      <c r="Z2239">
        <v>-4.1772930000000003E-3</v>
      </c>
      <c r="AA2239">
        <v>0.99345839999999996</v>
      </c>
      <c r="AB2239">
        <v>33</v>
      </c>
      <c r="AC2239">
        <v>-12.8177</v>
      </c>
      <c r="AD2239">
        <v>-1.109208471291</v>
      </c>
      <c r="AE2239">
        <v>-1.6089</v>
      </c>
      <c r="AF2239">
        <v>-1.5036995177491601</v>
      </c>
      <c r="AG2239">
        <v>-1.109208471291</v>
      </c>
      <c r="AH2239">
        <v>12.735271516260999</v>
      </c>
      <c r="AI2239">
        <v>94.943580319381994</v>
      </c>
      <c r="AJ2239">
        <v>96.733941706689293</v>
      </c>
      <c r="AK2239">
        <v>12.871619799596001</v>
      </c>
      <c r="AL2239">
        <v>80.675052118548805</v>
      </c>
      <c r="AM2239">
        <v>89.323287638437094</v>
      </c>
      <c r="AN2239">
        <v>0.99999996837727401</v>
      </c>
    </row>
    <row r="2240" spans="1:40" x14ac:dyDescent="0.25">
      <c r="A2240" t="str">
        <f>"20190312164033028"</f>
        <v>20190312164033028</v>
      </c>
      <c r="B2240" t="str">
        <f>"1552380033018643"</f>
        <v>1552380033018643</v>
      </c>
      <c r="C2240" t="s">
        <v>40</v>
      </c>
      <c r="D2240">
        <v>5.156479</v>
      </c>
      <c r="E2240">
        <v>0.4322685</v>
      </c>
      <c r="F2240" t="s">
        <v>49</v>
      </c>
      <c r="G2240">
        <v>-288.9221</v>
      </c>
      <c r="H2240" s="1">
        <v>5.1237310000000004E-6</v>
      </c>
      <c r="I2240">
        <v>281.3349</v>
      </c>
      <c r="J2240">
        <v>-272.48349999999999</v>
      </c>
      <c r="K2240">
        <v>1.1091979999999999</v>
      </c>
      <c r="L2240">
        <v>284.30520000000001</v>
      </c>
      <c r="M2240">
        <v>-0.99994879999999997</v>
      </c>
      <c r="N2240">
        <v>0</v>
      </c>
      <c r="O2240">
        <v>-7.1687649999999997E-3</v>
      </c>
      <c r="P2240">
        <v>-0.98796430000000002</v>
      </c>
      <c r="Q2240">
        <v>0.154617899999999</v>
      </c>
      <c r="R2240">
        <v>4.4882749999999999E-3</v>
      </c>
      <c r="S2240">
        <v>-3.0712280000000001</v>
      </c>
      <c r="T2240">
        <v>-0.20496300000000001</v>
      </c>
      <c r="U2240">
        <v>-0.54907229999999996</v>
      </c>
      <c r="V2240">
        <v>1.167587E-2</v>
      </c>
      <c r="W2240">
        <v>0.16167309999999999</v>
      </c>
      <c r="X2240">
        <v>0.98677530000000002</v>
      </c>
      <c r="Y2240">
        <v>-0.1685797</v>
      </c>
      <c r="Z2240">
        <v>-5.1008340000000003E-3</v>
      </c>
      <c r="AA2240">
        <v>0.98567490000000002</v>
      </c>
      <c r="AB2240">
        <v>33</v>
      </c>
      <c r="AC2240">
        <v>-16.438600000000001</v>
      </c>
      <c r="AD2240">
        <v>-1.109192876269</v>
      </c>
      <c r="AE2240">
        <v>-2.9702999999999999</v>
      </c>
      <c r="AF2240">
        <v>-2.8398555240910501</v>
      </c>
      <c r="AG2240">
        <v>-1.109192876269</v>
      </c>
      <c r="AH2240">
        <v>16.387221632198202</v>
      </c>
      <c r="AI2240">
        <v>93.815543373056101</v>
      </c>
      <c r="AJ2240">
        <v>99.831540131832796</v>
      </c>
      <c r="AK2240">
        <v>16.668416873154499</v>
      </c>
      <c r="AL2240">
        <v>80.695977765224498</v>
      </c>
      <c r="AM2240">
        <v>89.322087960868203</v>
      </c>
      <c r="AN2240">
        <v>1.0000000049469699</v>
      </c>
    </row>
    <row r="2241" spans="1:40" x14ac:dyDescent="0.25">
      <c r="A2241" t="str">
        <f>"20190312164033041"</f>
        <v>20190312164033041</v>
      </c>
      <c r="B2241" t="str">
        <f>"1552380033028403"</f>
        <v>1552380033028403</v>
      </c>
      <c r="C2241" t="s">
        <v>40</v>
      </c>
      <c r="D2241">
        <v>5.1453980000000001</v>
      </c>
      <c r="E2241">
        <v>0.43025429999999998</v>
      </c>
      <c r="F2241" t="s">
        <v>49</v>
      </c>
      <c r="G2241">
        <v>-289.1309</v>
      </c>
      <c r="H2241" s="1">
        <v>5.0522009999999999E-6</v>
      </c>
      <c r="I2241">
        <v>281.23289999999997</v>
      </c>
      <c r="J2241">
        <v>-272.66849999999999</v>
      </c>
      <c r="K2241">
        <v>1.1091850000000001</v>
      </c>
      <c r="L2241">
        <v>284.30399999999997</v>
      </c>
      <c r="M2241">
        <v>-0.99995000000000001</v>
      </c>
      <c r="N2241">
        <v>0</v>
      </c>
      <c r="O2241">
        <v>-6.9934400000000001E-3</v>
      </c>
      <c r="P2241">
        <v>-0.98799409999999999</v>
      </c>
      <c r="Q2241">
        <v>0.15440960000000001</v>
      </c>
      <c r="R2241">
        <v>5.0335459999999999E-3</v>
      </c>
      <c r="S2241">
        <v>-3.0711360000000001</v>
      </c>
      <c r="T2241">
        <v>-0.2046258</v>
      </c>
      <c r="U2241">
        <v>-0.56677250000000001</v>
      </c>
      <c r="V2241">
        <v>1.20512E-2</v>
      </c>
      <c r="W2241">
        <v>0.16145709999999999</v>
      </c>
      <c r="X2241">
        <v>0.98680619999999997</v>
      </c>
      <c r="Y2241">
        <v>-0.17424310000000001</v>
      </c>
      <c r="Z2241">
        <v>-5.2884799999999999E-3</v>
      </c>
      <c r="AA2241">
        <v>0.98468849999999997</v>
      </c>
      <c r="AB2241">
        <v>33</v>
      </c>
      <c r="AC2241">
        <v>-16.462399999999999</v>
      </c>
      <c r="AD2241">
        <v>-1.1091799477990001</v>
      </c>
      <c r="AE2241">
        <v>-3.0711000000000501</v>
      </c>
      <c r="AF2241">
        <v>-2.9429824930562898</v>
      </c>
      <c r="AG2241">
        <v>-1.1091799477990001</v>
      </c>
      <c r="AH2241">
        <v>16.4114795178325</v>
      </c>
      <c r="AI2241">
        <v>93.8059626848178</v>
      </c>
      <c r="AJ2241">
        <v>100.166487864085</v>
      </c>
      <c r="AK2241">
        <v>16.710119271724899</v>
      </c>
      <c r="AL2241">
        <v>80.708518847875794</v>
      </c>
      <c r="AM2241">
        <v>89.300319987127395</v>
      </c>
      <c r="AN2241">
        <v>1.0000000514601399</v>
      </c>
    </row>
    <row r="2242" spans="1:40" x14ac:dyDescent="0.25">
      <c r="A2242" t="str">
        <f>"20190312164033054"</f>
        <v>20190312164033054</v>
      </c>
      <c r="B2242" t="str">
        <f>"1552380033047922"</f>
        <v>1552380033047922</v>
      </c>
      <c r="C2242" t="s">
        <v>40</v>
      </c>
      <c r="D2242">
        <v>5.1373389999999999</v>
      </c>
      <c r="E2242">
        <v>0.42773689999999998</v>
      </c>
      <c r="F2242" t="s">
        <v>49</v>
      </c>
      <c r="G2242">
        <v>-288.92720000000003</v>
      </c>
      <c r="H2242" s="1">
        <v>5.144452E-6</v>
      </c>
      <c r="I2242">
        <v>281.22359999999998</v>
      </c>
      <c r="J2242">
        <v>-272.87209999999999</v>
      </c>
      <c r="K2242">
        <v>1.1091719999999901</v>
      </c>
      <c r="L2242">
        <v>284.30270000000002</v>
      </c>
      <c r="M2242">
        <v>-0.99995149999999999</v>
      </c>
      <c r="N2242">
        <v>0</v>
      </c>
      <c r="O2242">
        <v>-6.7954690000000002E-3</v>
      </c>
      <c r="P2242">
        <v>-0.98799789999999998</v>
      </c>
      <c r="Q2242">
        <v>0.15437010000000001</v>
      </c>
      <c r="R2242">
        <v>5.4888189999999998E-3</v>
      </c>
      <c r="S2242">
        <v>-3.072174</v>
      </c>
      <c r="T2242">
        <v>-0.20958499999999999</v>
      </c>
      <c r="U2242">
        <v>-0.58206179999999996</v>
      </c>
      <c r="V2242">
        <v>1.2313849999999999E-2</v>
      </c>
      <c r="W2242">
        <v>0.1614091</v>
      </c>
      <c r="X2242">
        <v>0.98681070000000004</v>
      </c>
      <c r="Y2242">
        <v>-0.179083299999999</v>
      </c>
      <c r="Z2242">
        <v>-5.5889490000000002E-3</v>
      </c>
      <c r="AA2242">
        <v>0.98381810000000003</v>
      </c>
      <c r="AB2242">
        <v>33</v>
      </c>
      <c r="AC2242">
        <v>-16.055099999999999</v>
      </c>
      <c r="AD2242">
        <v>-1.1091668555480001</v>
      </c>
      <c r="AE2242">
        <v>-3.0791000000000301</v>
      </c>
      <c r="AF2242">
        <v>-2.9563150296447498</v>
      </c>
      <c r="AG2242">
        <v>-1.1091668555480001</v>
      </c>
      <c r="AH2242">
        <v>16.001989827725101</v>
      </c>
      <c r="AI2242">
        <v>93.899298305918705</v>
      </c>
      <c r="AJ2242">
        <v>100.467185504757</v>
      </c>
      <c r="AK2242">
        <v>16.310540399219398</v>
      </c>
      <c r="AL2242">
        <v>80.711304581194995</v>
      </c>
      <c r="AM2242">
        <v>89.285075629765402</v>
      </c>
      <c r="AN2242">
        <v>0.99999994304955897</v>
      </c>
    </row>
    <row r="2243" spans="1:40" x14ac:dyDescent="0.25">
      <c r="A2243" t="str">
        <f>"20190312164033072"</f>
        <v>20190312164033072</v>
      </c>
      <c r="B2243" t="str">
        <f>"1552380033068419"</f>
        <v>1552380033068419</v>
      </c>
      <c r="C2243" t="s">
        <v>40</v>
      </c>
      <c r="D2243">
        <v>5.1148930000000004</v>
      </c>
      <c r="E2243">
        <v>0.42614229999999997</v>
      </c>
      <c r="F2243" t="s">
        <v>49</v>
      </c>
      <c r="G2243">
        <v>-287.83909999999997</v>
      </c>
      <c r="H2243" s="1">
        <v>5.5963059999999998E-6</v>
      </c>
      <c r="I2243">
        <v>281.37200000000001</v>
      </c>
      <c r="J2243">
        <v>-273.13200000000001</v>
      </c>
      <c r="K2243">
        <v>1.109165</v>
      </c>
      <c r="L2243">
        <v>284.30119999999999</v>
      </c>
      <c r="M2243">
        <v>-0.99995330000000004</v>
      </c>
      <c r="N2243">
        <v>0</v>
      </c>
      <c r="O2243">
        <v>-6.5386029999999996E-3</v>
      </c>
      <c r="P2243">
        <v>-0.98799970000000004</v>
      </c>
      <c r="Q2243">
        <v>0.1543339</v>
      </c>
      <c r="R2243">
        <v>6.1706139999999996E-3</v>
      </c>
      <c r="S2243">
        <v>-3.0754090000000001</v>
      </c>
      <c r="T2243">
        <v>-0.2279109</v>
      </c>
      <c r="U2243">
        <v>-0.60220340000000006</v>
      </c>
      <c r="V2243">
        <v>1.274512E-2</v>
      </c>
      <c r="W2243">
        <v>0.16136389999999901</v>
      </c>
      <c r="X2243">
        <v>0.98681269999999999</v>
      </c>
      <c r="Y2243">
        <v>-0.1852702</v>
      </c>
      <c r="Z2243">
        <v>-6.3120370000000004E-3</v>
      </c>
      <c r="AA2243">
        <v>0.98266730000000002</v>
      </c>
      <c r="AB2243">
        <v>33</v>
      </c>
      <c r="AC2243">
        <v>-14.707099999999899</v>
      </c>
      <c r="AD2243">
        <v>-1.109159403694</v>
      </c>
      <c r="AE2243">
        <v>-2.9291999999999798</v>
      </c>
      <c r="AF2243">
        <v>-2.81755718374942</v>
      </c>
      <c r="AG2243">
        <v>-1.109159403694</v>
      </c>
      <c r="AH2243">
        <v>14.6458167979828</v>
      </c>
      <c r="AI2243">
        <v>94.253170652886794</v>
      </c>
      <c r="AJ2243">
        <v>100.889503118166</v>
      </c>
      <c r="AK2243">
        <v>14.9555612648464</v>
      </c>
      <c r="AL2243">
        <v>80.713929523374802</v>
      </c>
      <c r="AM2243">
        <v>89.260040952118501</v>
      </c>
      <c r="AN2243">
        <v>1.0000000255941499</v>
      </c>
    </row>
    <row r="2244" spans="1:40" x14ac:dyDescent="0.25">
      <c r="A2244" t="str">
        <f>"20190312164033093"</f>
        <v>20190312164033093</v>
      </c>
      <c r="B2244" t="str">
        <f>"1552380033087940"</f>
        <v>1552380033087940</v>
      </c>
      <c r="C2244" t="s">
        <v>40</v>
      </c>
      <c r="D2244">
        <v>5.1203419999999999</v>
      </c>
      <c r="E2244">
        <v>0.4250295</v>
      </c>
      <c r="F2244" t="s">
        <v>49</v>
      </c>
      <c r="G2244">
        <v>-287.70100000000002</v>
      </c>
      <c r="H2244" s="1">
        <v>5.6528980000000001E-6</v>
      </c>
      <c r="I2244">
        <v>281.39449999999999</v>
      </c>
      <c r="J2244">
        <v>-273.46800000000002</v>
      </c>
      <c r="K2244">
        <v>1.109156</v>
      </c>
      <c r="L2244">
        <v>284.29930000000002</v>
      </c>
      <c r="M2244">
        <v>-0.99995560000000006</v>
      </c>
      <c r="N2244">
        <v>0</v>
      </c>
      <c r="O2244">
        <v>-6.2013900000000002E-3</v>
      </c>
      <c r="P2244">
        <v>-0.98804309999999995</v>
      </c>
      <c r="Q2244">
        <v>0.15400030000000001</v>
      </c>
      <c r="R2244">
        <v>7.4371469999999999E-3</v>
      </c>
      <c r="S2244">
        <v>-3.0769039999999999</v>
      </c>
      <c r="T2244">
        <v>-0.2342486</v>
      </c>
      <c r="U2244">
        <v>-0.61389159999999998</v>
      </c>
      <c r="V2244">
        <v>1.3681759999999999E-2</v>
      </c>
      <c r="W2244">
        <v>0.16102040000000001</v>
      </c>
      <c r="X2244">
        <v>0.98685619999999996</v>
      </c>
      <c r="Y2244">
        <v>-0.1890655</v>
      </c>
      <c r="Z2244">
        <v>-6.6498740000000001E-3</v>
      </c>
      <c r="AA2244">
        <v>0.98194190000000003</v>
      </c>
      <c r="AB2244">
        <v>33</v>
      </c>
      <c r="AC2244">
        <v>-14.232999999999899</v>
      </c>
      <c r="AD2244">
        <v>-1.1091503471019999</v>
      </c>
      <c r="AE2244">
        <v>-2.9048000000000198</v>
      </c>
      <c r="AF2244">
        <v>-2.80015277345748</v>
      </c>
      <c r="AG2244">
        <v>-1.1091503471019999</v>
      </c>
      <c r="AH2244">
        <v>14.168140941600999</v>
      </c>
      <c r="AI2244">
        <v>94.391653833099795</v>
      </c>
      <c r="AJ2244">
        <v>101.179706078518</v>
      </c>
      <c r="AK2244">
        <v>14.484726017023901</v>
      </c>
      <c r="AL2244">
        <v>80.733870785683493</v>
      </c>
      <c r="AM2244">
        <v>89.205703034393395</v>
      </c>
      <c r="AN2244">
        <v>0.99999995962564703</v>
      </c>
    </row>
    <row r="2245" spans="1:40" x14ac:dyDescent="0.25">
      <c r="A2245" t="str">
        <f>"20190312164033106"</f>
        <v>20190312164033106</v>
      </c>
      <c r="B2245" t="str">
        <f>"1552380033098676"</f>
        <v>1552380033098676</v>
      </c>
      <c r="C2245" t="s">
        <v>40</v>
      </c>
      <c r="D2245">
        <v>5.1138070000000004</v>
      </c>
      <c r="E2245">
        <v>0.42460209999999998</v>
      </c>
      <c r="F2245" t="s">
        <v>49</v>
      </c>
      <c r="G2245">
        <v>-287.78039999999999</v>
      </c>
      <c r="H2245" s="1">
        <v>5.6120879999999997E-6</v>
      </c>
      <c r="I2245">
        <v>281.42180000000002</v>
      </c>
      <c r="J2245">
        <v>-273.65559999999999</v>
      </c>
      <c r="K2245">
        <v>1.1091489999999999</v>
      </c>
      <c r="L2245">
        <v>284.29829999999998</v>
      </c>
      <c r="M2245">
        <v>-0.99995670000000003</v>
      </c>
      <c r="N2245">
        <v>0</v>
      </c>
      <c r="O2245">
        <v>-6.0110939999999998E-3</v>
      </c>
      <c r="P2245">
        <v>-0.98806210000000005</v>
      </c>
      <c r="Q2245">
        <v>0.15385599999999999</v>
      </c>
      <c r="R2245">
        <v>7.8480609999999999E-3</v>
      </c>
      <c r="S2245">
        <v>-3.078125</v>
      </c>
      <c r="T2245">
        <v>-0.23854230000000001</v>
      </c>
      <c r="U2245">
        <v>-0.61886600000000003</v>
      </c>
      <c r="V2245">
        <v>1.390578E-2</v>
      </c>
      <c r="W2245">
        <v>0.16087209999999999</v>
      </c>
      <c r="X2245">
        <v>0.98687729999999996</v>
      </c>
      <c r="Y2245">
        <v>-0.19067970000000001</v>
      </c>
      <c r="Z2245">
        <v>-6.8441409999999998E-3</v>
      </c>
      <c r="AA2245">
        <v>0.98162850000000001</v>
      </c>
      <c r="AB2245">
        <v>33</v>
      </c>
      <c r="AC2245">
        <v>-14.124799999999899</v>
      </c>
      <c r="AD2245">
        <v>-1.1091433879119901</v>
      </c>
      <c r="AE2245">
        <v>-2.8764999999999601</v>
      </c>
      <c r="AF2245">
        <v>-2.7751101780209</v>
      </c>
      <c r="AG2245">
        <v>-1.1091433879119901</v>
      </c>
      <c r="AH2245">
        <v>14.0586013479945</v>
      </c>
      <c r="AI2245">
        <v>94.425911223832102</v>
      </c>
      <c r="AJ2245">
        <v>101.16639522170701</v>
      </c>
      <c r="AK2245">
        <v>14.372741819741201</v>
      </c>
      <c r="AL2245">
        <v>80.742480403701904</v>
      </c>
      <c r="AM2245">
        <v>89.192716479838495</v>
      </c>
      <c r="AN2245">
        <v>1.0000000042655499</v>
      </c>
    </row>
    <row r="2246" spans="1:40" x14ac:dyDescent="0.25">
      <c r="A2246" t="str">
        <f>"20190312164033118"</f>
        <v>20190312164033118</v>
      </c>
      <c r="B2246" t="str">
        <f>"1552380033108435"</f>
        <v>1552380033108435</v>
      </c>
      <c r="C2246" t="s">
        <v>40</v>
      </c>
      <c r="D2246">
        <v>5.2941739999999999</v>
      </c>
      <c r="E2246">
        <v>0.42391230000000002</v>
      </c>
      <c r="F2246" t="s">
        <v>49</v>
      </c>
      <c r="G2246">
        <v>-287.8177</v>
      </c>
      <c r="H2246" s="1">
        <v>5.5913019999999998E-6</v>
      </c>
      <c r="I2246">
        <v>281.44229999999999</v>
      </c>
      <c r="J2246">
        <v>-273.83550000000002</v>
      </c>
      <c r="K2246">
        <v>1.109145</v>
      </c>
      <c r="L2246">
        <v>284.29739999999998</v>
      </c>
      <c r="M2246">
        <v>-0.99995769999999995</v>
      </c>
      <c r="N2246">
        <v>0</v>
      </c>
      <c r="O2246">
        <v>-5.8283140000000002E-3</v>
      </c>
      <c r="P2246">
        <v>-0.98808689999999999</v>
      </c>
      <c r="Q2246">
        <v>0.1536718</v>
      </c>
      <c r="R2246">
        <v>8.3347049999999995E-3</v>
      </c>
      <c r="S2246">
        <v>-3.078735</v>
      </c>
      <c r="T2246">
        <v>-0.2411209</v>
      </c>
      <c r="U2246">
        <v>-0.62088009999999905</v>
      </c>
      <c r="V2246">
        <v>1.4213140000000001E-2</v>
      </c>
      <c r="W2246">
        <v>0.16068379999999999</v>
      </c>
      <c r="X2246">
        <v>0.98690359999999999</v>
      </c>
      <c r="Y2246">
        <v>-0.1914246</v>
      </c>
      <c r="Z2246">
        <v>-6.9591100000000001E-3</v>
      </c>
      <c r="AA2246">
        <v>0.98148259999999998</v>
      </c>
      <c r="AB2246">
        <v>34</v>
      </c>
      <c r="AC2246">
        <v>-13.982199999999899</v>
      </c>
      <c r="AD2246">
        <v>-1.109139408698</v>
      </c>
      <c r="AE2246">
        <v>-2.85509999999999</v>
      </c>
      <c r="AF2246">
        <v>-2.75690342738526</v>
      </c>
      <c r="AG2246">
        <v>-1.109139408698</v>
      </c>
      <c r="AH2246">
        <v>13.9145510511543</v>
      </c>
      <c r="AI2246">
        <v>94.4709066055741</v>
      </c>
      <c r="AJ2246">
        <v>101.206926506789</v>
      </c>
      <c r="AK2246">
        <v>14.228332217482</v>
      </c>
      <c r="AL2246">
        <v>80.753411423772803</v>
      </c>
      <c r="AM2246">
        <v>89.174897486574494</v>
      </c>
      <c r="AN2246">
        <v>1.00000000631202</v>
      </c>
    </row>
    <row r="2247" spans="1:40" x14ac:dyDescent="0.25">
      <c r="A2247" t="str">
        <f>"20190312164033129"</f>
        <v>20190312164033129</v>
      </c>
      <c r="B2247" t="str">
        <f>"1552380033118195"</f>
        <v>1552380033118195</v>
      </c>
      <c r="C2247" t="s">
        <v>40</v>
      </c>
      <c r="D2247">
        <v>5.4163040000000002</v>
      </c>
      <c r="E2247">
        <v>0.42391230000000002</v>
      </c>
      <c r="F2247" t="s">
        <v>49</v>
      </c>
      <c r="G2247">
        <v>-287.61709999999999</v>
      </c>
      <c r="H2247" s="1">
        <v>5.6680300000000002E-6</v>
      </c>
      <c r="I2247">
        <v>281.50150000000002</v>
      </c>
      <c r="J2247">
        <v>-274.01280000000003</v>
      </c>
      <c r="K2247">
        <v>1.1091390000000001</v>
      </c>
      <c r="L2247">
        <v>284.29649999999998</v>
      </c>
      <c r="M2247">
        <v>-0.99995889999999998</v>
      </c>
      <c r="N2247">
        <v>0</v>
      </c>
      <c r="O2247">
        <v>-5.6479260000000002E-3</v>
      </c>
      <c r="P2247">
        <v>-0.9881124</v>
      </c>
      <c r="Q2247">
        <v>0.15349170000000001</v>
      </c>
      <c r="R2247">
        <v>8.6480930000000008E-3</v>
      </c>
      <c r="S2247">
        <v>-3.0800169999999998</v>
      </c>
      <c r="T2247">
        <v>-0.24787970000000001</v>
      </c>
      <c r="U2247">
        <v>-0.62484740000000005</v>
      </c>
      <c r="V2247">
        <v>1.4349249999999999E-2</v>
      </c>
      <c r="W2247">
        <v>0.16050120000000001</v>
      </c>
      <c r="X2247">
        <v>0.98693129999999996</v>
      </c>
      <c r="Y2247">
        <v>-0.19270200000000001</v>
      </c>
      <c r="Z2247">
        <v>-7.2149199999999997E-3</v>
      </c>
      <c r="AA2247">
        <v>0.98123079999999996</v>
      </c>
      <c r="AB2247">
        <v>34</v>
      </c>
      <c r="AC2247">
        <v>-13.604299999999901</v>
      </c>
      <c r="AD2247">
        <v>-1.1091333319700001</v>
      </c>
      <c r="AE2247">
        <v>-2.7949999999999502</v>
      </c>
      <c r="AF2247">
        <v>-2.7008920871561402</v>
      </c>
      <c r="AG2247">
        <v>-1.1091333319700001</v>
      </c>
      <c r="AH2247">
        <v>13.533557190930299</v>
      </c>
      <c r="AI2247">
        <v>94.594954008797501</v>
      </c>
      <c r="AJ2247">
        <v>101.286241234977</v>
      </c>
      <c r="AK2247">
        <v>13.844932829549199</v>
      </c>
      <c r="AL2247">
        <v>80.764010811439306</v>
      </c>
      <c r="AM2247">
        <v>89.167020500843407</v>
      </c>
      <c r="AN2247">
        <v>0.99999996354834497</v>
      </c>
    </row>
    <row r="2248" spans="1:40" x14ac:dyDescent="0.25">
      <c r="A2248" t="str">
        <f>"20190312164033149"</f>
        <v>20190312164033149</v>
      </c>
      <c r="B2248" t="str">
        <f>"1552380033138691"</f>
        <v>1552380033138691</v>
      </c>
      <c r="C2248" t="s">
        <v>40</v>
      </c>
      <c r="D2248">
        <v>5.1174939999999998</v>
      </c>
      <c r="E2248">
        <v>0.42314420000000003</v>
      </c>
      <c r="F2248" t="s">
        <v>49</v>
      </c>
      <c r="G2248">
        <v>-287.7688</v>
      </c>
      <c r="H2248" s="1">
        <v>5.5991289999999996E-6</v>
      </c>
      <c r="I2248">
        <v>281.50920000000002</v>
      </c>
      <c r="J2248">
        <v>-274.3014</v>
      </c>
      <c r="K2248">
        <v>1.1091329999999999</v>
      </c>
      <c r="L2248">
        <v>284.29520000000002</v>
      </c>
      <c r="M2248">
        <v>-0.99996059999999998</v>
      </c>
      <c r="N2248">
        <v>0</v>
      </c>
      <c r="O2248">
        <v>-5.3540410000000004E-3</v>
      </c>
      <c r="P2248">
        <v>-0.98807869999999998</v>
      </c>
      <c r="Q2248">
        <v>0.15366340000000001</v>
      </c>
      <c r="R2248">
        <v>9.409433E-3</v>
      </c>
      <c r="S2248">
        <v>-3.080139</v>
      </c>
      <c r="T2248">
        <v>-0.24834919999999999</v>
      </c>
      <c r="U2248">
        <v>-0.62411499999999998</v>
      </c>
      <c r="V2248">
        <v>1.482142E-2</v>
      </c>
      <c r="W2248">
        <v>0.16066920000000001</v>
      </c>
      <c r="X2248">
        <v>0.98689700000000002</v>
      </c>
      <c r="Y2248">
        <v>-0.19275539999999999</v>
      </c>
      <c r="Z2248">
        <v>-7.2539709999999997E-3</v>
      </c>
      <c r="AA2248">
        <v>0.98121999999999998</v>
      </c>
      <c r="AB2248">
        <v>34</v>
      </c>
      <c r="AC2248">
        <v>-13.4673999999999</v>
      </c>
      <c r="AD2248">
        <v>-1.1091274008709999</v>
      </c>
      <c r="AE2248">
        <v>-2.786</v>
      </c>
      <c r="AF2248">
        <v>-2.6963157709244201</v>
      </c>
      <c r="AG2248">
        <v>-1.1091274008709999</v>
      </c>
      <c r="AH2248">
        <v>13.394999446700099</v>
      </c>
      <c r="AI2248">
        <v>94.640718762056295</v>
      </c>
      <c r="AJ2248">
        <v>101.38113297102799</v>
      </c>
      <c r="AK2248">
        <v>13.7086211015184</v>
      </c>
      <c r="AL2248">
        <v>80.754258684944901</v>
      </c>
      <c r="AM2248">
        <v>89.139585006348597</v>
      </c>
      <c r="AN2248">
        <v>0.99999997746422797</v>
      </c>
    </row>
    <row r="2249" spans="1:40" x14ac:dyDescent="0.25">
      <c r="A2249" t="str">
        <f>"20190312164033163"</f>
        <v>20190312164033163</v>
      </c>
      <c r="B2249" t="str">
        <f>"1552380033158211"</f>
        <v>1552380033158211</v>
      </c>
      <c r="C2249" t="s">
        <v>40</v>
      </c>
      <c r="D2249">
        <v>5.0989769999999996</v>
      </c>
      <c r="E2249">
        <v>0.42246410000000001</v>
      </c>
      <c r="F2249" t="s">
        <v>49</v>
      </c>
      <c r="G2249">
        <v>-288.0446</v>
      </c>
      <c r="H2249" s="1">
        <v>5.4803589999999996E-6</v>
      </c>
      <c r="I2249">
        <v>281.49220000000003</v>
      </c>
      <c r="J2249">
        <v>-274.5016</v>
      </c>
      <c r="K2249">
        <v>1.109132</v>
      </c>
      <c r="L2249">
        <v>284.29430000000002</v>
      </c>
      <c r="M2249">
        <v>-0.99996160000000001</v>
      </c>
      <c r="N2249">
        <v>0</v>
      </c>
      <c r="O2249">
        <v>-5.1501730000000001E-3</v>
      </c>
      <c r="P2249">
        <v>-0.98806439999999995</v>
      </c>
      <c r="Q2249">
        <v>0.15373139999999999</v>
      </c>
      <c r="R2249">
        <v>9.7814010000000003E-3</v>
      </c>
      <c r="S2249">
        <v>-3.0808409999999999</v>
      </c>
      <c r="T2249">
        <v>-0.24863579999999999</v>
      </c>
      <c r="U2249">
        <v>-0.6283569</v>
      </c>
      <c r="V2249">
        <v>1.499289E-2</v>
      </c>
      <c r="W2249">
        <v>0.16073509999999999</v>
      </c>
      <c r="X2249">
        <v>0.98688370000000003</v>
      </c>
      <c r="Y2249">
        <v>-0.19420299999999999</v>
      </c>
      <c r="Z2249">
        <v>-7.3337009999999998E-3</v>
      </c>
      <c r="AA2249">
        <v>0.98093399999999997</v>
      </c>
      <c r="AB2249">
        <v>34</v>
      </c>
      <c r="AC2249">
        <v>-13.542999999999999</v>
      </c>
      <c r="AD2249">
        <v>-1.1091265196410001</v>
      </c>
      <c r="AE2249">
        <v>-2.80209999999999</v>
      </c>
      <c r="AF2249">
        <v>-2.7148511105726101</v>
      </c>
      <c r="AG2249">
        <v>-1.1091265196410001</v>
      </c>
      <c r="AH2249">
        <v>13.4706127493909</v>
      </c>
      <c r="AI2249">
        <v>94.614559773316202</v>
      </c>
      <c r="AJ2249">
        <v>101.39468297497299</v>
      </c>
      <c r="AK2249">
        <v>13.7861519661289</v>
      </c>
      <c r="AL2249">
        <v>80.750433366309096</v>
      </c>
      <c r="AM2249">
        <v>89.129620602289705</v>
      </c>
      <c r="AN2249">
        <v>0.999999998224126</v>
      </c>
    </row>
    <row r="2250" spans="1:40" x14ac:dyDescent="0.25">
      <c r="A2250" t="str">
        <f>"20190312164033183"</f>
        <v>20190312164033183</v>
      </c>
      <c r="B2250" t="str">
        <f>"1552380033178708"</f>
        <v>1552380033178708</v>
      </c>
      <c r="C2250" t="s">
        <v>40</v>
      </c>
      <c r="D2250">
        <v>5.2276829999999999</v>
      </c>
      <c r="E2250">
        <v>0.42175319999999999</v>
      </c>
      <c r="F2250" t="s">
        <v>49</v>
      </c>
      <c r="G2250">
        <v>-288.1798</v>
      </c>
      <c r="H2250" s="1">
        <v>5.4220650000000002E-6</v>
      </c>
      <c r="I2250">
        <v>281.48419999999999</v>
      </c>
      <c r="J2250">
        <v>-274.8141</v>
      </c>
      <c r="K2250">
        <v>1.1091249999999999</v>
      </c>
      <c r="L2250">
        <v>284.29289999999997</v>
      </c>
      <c r="M2250">
        <v>-0.99996309999999999</v>
      </c>
      <c r="N2250">
        <v>0</v>
      </c>
      <c r="O2250">
        <v>-4.83293E-3</v>
      </c>
      <c r="P2250">
        <v>-0.98798319999999995</v>
      </c>
      <c r="Q2250">
        <v>0.15421609999999999</v>
      </c>
      <c r="R2250">
        <v>1.0323489999999999E-2</v>
      </c>
      <c r="S2250">
        <v>-3.0814210000000002</v>
      </c>
      <c r="T2250">
        <v>-0.249864</v>
      </c>
      <c r="U2250">
        <v>-0.63305659999999997</v>
      </c>
      <c r="V2250">
        <v>1.5222640000000001E-2</v>
      </c>
      <c r="W2250">
        <v>0.16121659999999999</v>
      </c>
      <c r="X2250">
        <v>0.98680159999999995</v>
      </c>
      <c r="Y2250">
        <v>-0.19590199999999999</v>
      </c>
      <c r="Z2250">
        <v>-7.4608230000000001E-3</v>
      </c>
      <c r="AA2250">
        <v>0.98059510000000005</v>
      </c>
      <c r="AB2250">
        <v>34</v>
      </c>
      <c r="AC2250">
        <v>-13.3657</v>
      </c>
      <c r="AD2250">
        <v>-1.1091195779349901</v>
      </c>
      <c r="AE2250">
        <v>-2.80869999999998</v>
      </c>
      <c r="AF2250">
        <v>-2.72609184888652</v>
      </c>
      <c r="AG2250">
        <v>-1.1091195779349901</v>
      </c>
      <c r="AH2250">
        <v>13.291462998759901</v>
      </c>
      <c r="AI2250">
        <v>94.673217239311995</v>
      </c>
      <c r="AJ2250">
        <v>101.590677519538</v>
      </c>
      <c r="AK2250">
        <v>13.613401913340001</v>
      </c>
      <c r="AL2250">
        <v>80.722480537651606</v>
      </c>
      <c r="AM2250">
        <v>89.116211556633303</v>
      </c>
      <c r="AN2250">
        <v>0.99999995932334396</v>
      </c>
    </row>
    <row r="2251" spans="1:40" x14ac:dyDescent="0.25">
      <c r="A2251" t="str">
        <f>"20190312164033206"</f>
        <v>20190312164033206</v>
      </c>
      <c r="B2251" t="str">
        <f>"1552380033198230"</f>
        <v>1552380033198230</v>
      </c>
      <c r="C2251" t="s">
        <v>40</v>
      </c>
      <c r="D2251">
        <v>5.3517449999999904</v>
      </c>
      <c r="E2251">
        <v>0.42183910000000002</v>
      </c>
      <c r="F2251" t="s">
        <v>49</v>
      </c>
      <c r="G2251">
        <v>-288.4006</v>
      </c>
      <c r="H2251" s="1">
        <v>5.3246109999999999E-6</v>
      </c>
      <c r="I2251">
        <v>281.4819</v>
      </c>
      <c r="J2251">
        <v>-275.15309999999999</v>
      </c>
      <c r="K2251">
        <v>1.1091120000000001</v>
      </c>
      <c r="L2251">
        <v>284.29160000000002</v>
      </c>
      <c r="M2251">
        <v>-0.99996479999999999</v>
      </c>
      <c r="N2251">
        <v>0</v>
      </c>
      <c r="O2251">
        <v>-4.4893340000000002E-3</v>
      </c>
      <c r="P2251">
        <v>-0.98799329999999996</v>
      </c>
      <c r="Q2251">
        <v>0.1541092</v>
      </c>
      <c r="R2251">
        <v>1.095698E-2</v>
      </c>
      <c r="S2251">
        <v>-3.0824280000000002</v>
      </c>
      <c r="T2251">
        <v>-0.25162990000000002</v>
      </c>
      <c r="U2251">
        <v>-0.63775630000000005</v>
      </c>
      <c r="V2251">
        <v>1.551809E-2</v>
      </c>
      <c r="W2251">
        <v>0.16110550000000001</v>
      </c>
      <c r="X2251">
        <v>0.9868152</v>
      </c>
      <c r="Y2251">
        <v>-0.1975952</v>
      </c>
      <c r="Z2251">
        <v>-7.6058300000000001E-3</v>
      </c>
      <c r="AA2251">
        <v>0.98025419999999996</v>
      </c>
      <c r="AB2251">
        <v>34</v>
      </c>
      <c r="AC2251">
        <v>-13.2475</v>
      </c>
      <c r="AD2251">
        <v>-1.109106675389</v>
      </c>
      <c r="AE2251">
        <v>-2.8097000000000198</v>
      </c>
      <c r="AF2251">
        <v>-2.7318733303643099</v>
      </c>
      <c r="AG2251">
        <v>-1.109106675389</v>
      </c>
      <c r="AH2251">
        <v>13.171630013348899</v>
      </c>
      <c r="AI2251">
        <v>94.713347736388002</v>
      </c>
      <c r="AJ2251">
        <v>101.717350032911</v>
      </c>
      <c r="AK2251">
        <v>13.4975955902932</v>
      </c>
      <c r="AL2251">
        <v>80.728930942005107</v>
      </c>
      <c r="AM2251">
        <v>89.0990736826801</v>
      </c>
      <c r="AN2251">
        <v>1.0000000160992599</v>
      </c>
    </row>
    <row r="2252" spans="1:40" x14ac:dyDescent="0.25">
      <c r="A2252" t="str">
        <f>"20190312164033227"</f>
        <v>20190312164033227</v>
      </c>
      <c r="B2252" t="str">
        <f>"1552380033218723"</f>
        <v>1552380033218723</v>
      </c>
      <c r="C2252" t="s">
        <v>40</v>
      </c>
      <c r="D2252">
        <v>5.1255689999999996</v>
      </c>
      <c r="E2252">
        <v>0.47562330000000003</v>
      </c>
      <c r="F2252" t="s">
        <v>49</v>
      </c>
      <c r="G2252">
        <v>-288.59660000000002</v>
      </c>
      <c r="H2252" s="1">
        <v>5.2298979999999899E-6</v>
      </c>
      <c r="I2252">
        <v>281.51960000000003</v>
      </c>
      <c r="J2252">
        <v>-275.48700000000002</v>
      </c>
      <c r="K2252">
        <v>1.109108</v>
      </c>
      <c r="L2252">
        <v>284.29050000000001</v>
      </c>
      <c r="M2252">
        <v>-0.99996629999999997</v>
      </c>
      <c r="N2252">
        <v>0</v>
      </c>
      <c r="O2252">
        <v>-4.1519349999999998E-3</v>
      </c>
      <c r="P2252">
        <v>-0.98793580000000003</v>
      </c>
      <c r="Q2252">
        <v>0.15445880000000001</v>
      </c>
      <c r="R2252">
        <v>1.118852E-2</v>
      </c>
      <c r="S2252">
        <v>-3.083221</v>
      </c>
      <c r="T2252">
        <v>-0.25437009999999999</v>
      </c>
      <c r="U2252">
        <v>-0.63574219999999904</v>
      </c>
      <c r="V2252">
        <v>1.5417220000000001E-2</v>
      </c>
      <c r="W2252">
        <v>0.16144910000000001</v>
      </c>
      <c r="X2252">
        <v>0.98676059999999999</v>
      </c>
      <c r="Y2252">
        <v>-0.19724839999999999</v>
      </c>
      <c r="Z2252">
        <v>-7.7003180000000003E-3</v>
      </c>
      <c r="AA2252">
        <v>0.98032330000000001</v>
      </c>
      <c r="AB2252">
        <v>34</v>
      </c>
      <c r="AC2252">
        <v>-13.1096</v>
      </c>
      <c r="AD2252">
        <v>-1.109102770102</v>
      </c>
      <c r="AE2252">
        <v>-2.7708999999999802</v>
      </c>
      <c r="AF2252">
        <v>-2.6979595623423802</v>
      </c>
      <c r="AG2252">
        <v>-1.109102770102</v>
      </c>
      <c r="AH2252">
        <v>13.0317055828249</v>
      </c>
      <c r="AI2252">
        <v>94.764061391788999</v>
      </c>
      <c r="AJ2252">
        <v>101.696724564229</v>
      </c>
      <c r="AK2252">
        <v>13.3541920441527</v>
      </c>
      <c r="AL2252">
        <v>80.708982751573402</v>
      </c>
      <c r="AM2252">
        <v>89.104879369575201</v>
      </c>
      <c r="AN2252">
        <v>0.99999999213784896</v>
      </c>
    </row>
    <row r="2253" spans="1:40" x14ac:dyDescent="0.25">
      <c r="A2253" t="str">
        <f>"20190312164033239"</f>
        <v>20190312164033239</v>
      </c>
      <c r="B2253" t="str">
        <f>"1552380033228483"</f>
        <v>1552380033228483</v>
      </c>
      <c r="C2253" t="s">
        <v>40</v>
      </c>
      <c r="D2253">
        <v>5.2697529999999997</v>
      </c>
      <c r="E2253">
        <v>0.48235159999999999</v>
      </c>
      <c r="F2253" t="s">
        <v>49</v>
      </c>
      <c r="G2253">
        <v>-293.608</v>
      </c>
      <c r="H2253" s="1">
        <v>2.9781599999999999E-6</v>
      </c>
      <c r="I2253">
        <v>283.10180000000003</v>
      </c>
      <c r="J2253">
        <v>-275.6696</v>
      </c>
      <c r="K2253">
        <v>1.1091040000000001</v>
      </c>
      <c r="L2253">
        <v>284.28980000000001</v>
      </c>
      <c r="M2253">
        <v>-0.99996700000000005</v>
      </c>
      <c r="N2253">
        <v>0</v>
      </c>
      <c r="O2253">
        <v>-3.9674999999999997E-3</v>
      </c>
      <c r="P2253">
        <v>-0.9879289</v>
      </c>
      <c r="Q2253">
        <v>0.1544876</v>
      </c>
      <c r="R2253">
        <v>1.141031E-2</v>
      </c>
      <c r="S2253">
        <v>-3.0682680000000002</v>
      </c>
      <c r="T2253">
        <v>-0.18779419999999999</v>
      </c>
      <c r="U2253">
        <v>-0.20126340000000001</v>
      </c>
      <c r="V2253">
        <v>1.545731E-2</v>
      </c>
      <c r="W2253">
        <v>0.16147449999999999</v>
      </c>
      <c r="X2253">
        <v>0.98675579999999996</v>
      </c>
      <c r="Y2253">
        <v>-6.1387869999999997E-2</v>
      </c>
      <c r="Z2253">
        <v>-1.6325230000000001E-3</v>
      </c>
      <c r="AA2253">
        <v>0.99811269999999996</v>
      </c>
      <c r="AB2253">
        <v>34</v>
      </c>
      <c r="AC2253">
        <v>-17.938400000000001</v>
      </c>
      <c r="AD2253">
        <v>-1.1091010218399999</v>
      </c>
      <c r="AE2253">
        <v>-1.18799999999998</v>
      </c>
      <c r="AF2253">
        <v>-1.11258371270756</v>
      </c>
      <c r="AG2253">
        <v>-1.1091010218399999</v>
      </c>
      <c r="AH2253">
        <v>17.874939453411699</v>
      </c>
      <c r="AI2253">
        <v>93.543686220121401</v>
      </c>
      <c r="AJ2253">
        <v>93.561646804275895</v>
      </c>
      <c r="AK2253">
        <v>17.943840393225901</v>
      </c>
      <c r="AL2253">
        <v>80.707507935642596</v>
      </c>
      <c r="AM2253">
        <v>89.102547767742394</v>
      </c>
      <c r="AN2253">
        <v>0.99999997570816201</v>
      </c>
    </row>
    <row r="2254" spans="1:40" x14ac:dyDescent="0.25">
      <c r="A2254" t="str">
        <f>"20190312164033250"</f>
        <v>20190312164033250</v>
      </c>
      <c r="B2254" t="str">
        <f>"1552380033238673"</f>
        <v>1552380033238673</v>
      </c>
      <c r="C2254" t="s">
        <v>40</v>
      </c>
      <c r="D2254">
        <v>5.2330230000000002</v>
      </c>
      <c r="E2254">
        <v>0.48602610000000002</v>
      </c>
      <c r="F2254" t="s">
        <v>49</v>
      </c>
      <c r="G2254">
        <v>-291.87079999999997</v>
      </c>
      <c r="H2254" s="1">
        <v>2.6344339999999998E-6</v>
      </c>
      <c r="I2254">
        <v>283.50869999999998</v>
      </c>
      <c r="J2254">
        <v>-275.84859999999998</v>
      </c>
      <c r="K2254">
        <v>1.109102</v>
      </c>
      <c r="L2254">
        <v>284.28919999999999</v>
      </c>
      <c r="M2254">
        <v>-0.99996790000000002</v>
      </c>
      <c r="N2254">
        <v>0</v>
      </c>
      <c r="O2254">
        <v>-3.7866449999999999E-3</v>
      </c>
      <c r="P2254">
        <v>-0.98794550000000003</v>
      </c>
      <c r="Q2254">
        <v>0.1543477</v>
      </c>
      <c r="R2254">
        <v>1.1863E-2</v>
      </c>
      <c r="S2254">
        <v>-3.0712280000000001</v>
      </c>
      <c r="T2254">
        <v>-0.2102494</v>
      </c>
      <c r="U2254">
        <v>-0.14807129999999999</v>
      </c>
      <c r="V2254">
        <v>1.573186E-2</v>
      </c>
      <c r="W2254">
        <v>0.1613319</v>
      </c>
      <c r="X2254">
        <v>0.98677479999999995</v>
      </c>
      <c r="Y2254">
        <v>-4.4279230000000003E-2</v>
      </c>
      <c r="Z2254">
        <v>-1.2542089999999901E-3</v>
      </c>
      <c r="AA2254">
        <v>0.99901839999999997</v>
      </c>
      <c r="AB2254">
        <v>34</v>
      </c>
      <c r="AC2254">
        <v>-16.022199999999899</v>
      </c>
      <c r="AD2254">
        <v>-1.109099365566</v>
      </c>
      <c r="AE2254">
        <v>-0.78050000000001696</v>
      </c>
      <c r="AF2254">
        <v>-0.71639781607889597</v>
      </c>
      <c r="AG2254">
        <v>-1.109099365566</v>
      </c>
      <c r="AH2254">
        <v>15.9487985105627</v>
      </c>
      <c r="AI2254">
        <v>93.974021490617602</v>
      </c>
      <c r="AJ2254">
        <v>92.571917775463007</v>
      </c>
      <c r="AK2254">
        <v>16.003359058775999</v>
      </c>
      <c r="AL2254">
        <v>80.715786993309706</v>
      </c>
      <c r="AM2254">
        <v>89.086627641305995</v>
      </c>
      <c r="AN2254">
        <v>0.99999998964585401</v>
      </c>
    </row>
    <row r="2255" spans="1:40" x14ac:dyDescent="0.25">
      <c r="A2255" t="str">
        <f>"20190312164033273"</f>
        <v>20190312164033273</v>
      </c>
      <c r="B2255" t="str">
        <f>"1552380033268500"</f>
        <v>1552380033268500</v>
      </c>
      <c r="C2255" t="s">
        <v>40</v>
      </c>
      <c r="D2255">
        <v>5.374371</v>
      </c>
      <c r="E2255">
        <v>0.4924056</v>
      </c>
      <c r="F2255" t="s">
        <v>49</v>
      </c>
      <c r="G2255">
        <v>-291.43639999999999</v>
      </c>
      <c r="H2255" s="1">
        <v>2.541517E-6</v>
      </c>
      <c r="I2255">
        <v>283.6902</v>
      </c>
      <c r="J2255">
        <v>-276.17739999999998</v>
      </c>
      <c r="K2255">
        <v>1.109097</v>
      </c>
      <c r="L2255">
        <v>284.28829999999999</v>
      </c>
      <c r="M2255">
        <v>-0.999969</v>
      </c>
      <c r="N2255">
        <v>0</v>
      </c>
      <c r="O2255">
        <v>-3.454862E-3</v>
      </c>
      <c r="P2255">
        <v>-0.98783790000000005</v>
      </c>
      <c r="Q2255">
        <v>0.15500359999999999</v>
      </c>
      <c r="R2255">
        <v>1.2259819999999999E-2</v>
      </c>
      <c r="S2255">
        <v>-3.0721440000000002</v>
      </c>
      <c r="T2255">
        <v>-0.21858839999999999</v>
      </c>
      <c r="U2255">
        <v>-0.1180725</v>
      </c>
      <c r="V2255">
        <v>1.5801889999999999E-2</v>
      </c>
      <c r="W2255">
        <v>0.16198360000000001</v>
      </c>
      <c r="X2255">
        <v>0.98666690000000001</v>
      </c>
      <c r="Y2255">
        <v>-3.4872979999999998E-2</v>
      </c>
      <c r="Z2255">
        <v>-9.9319449999999993E-4</v>
      </c>
      <c r="AA2255">
        <v>0.99939129999999998</v>
      </c>
      <c r="AB2255">
        <v>34</v>
      </c>
      <c r="AC2255">
        <v>-15.259</v>
      </c>
      <c r="AD2255">
        <v>-1.109094458483</v>
      </c>
      <c r="AE2255">
        <v>-0.59809999999998797</v>
      </c>
      <c r="AF2255">
        <v>-0.54251562956701804</v>
      </c>
      <c r="AG2255">
        <v>-1.109094458483</v>
      </c>
      <c r="AH2255">
        <v>15.180896888686499</v>
      </c>
      <c r="AI2255">
        <v>94.175867065624004</v>
      </c>
      <c r="AJ2255">
        <v>92.046692873969405</v>
      </c>
      <c r="AK2255">
        <v>15.2310224236948</v>
      </c>
      <c r="AL2255">
        <v>80.677949553391699</v>
      </c>
      <c r="AM2255">
        <v>89.082462167353</v>
      </c>
      <c r="AN2255">
        <v>0.99999997897606996</v>
      </c>
    </row>
    <row r="2256" spans="1:40" x14ac:dyDescent="0.25">
      <c r="A2256" t="str">
        <f>"20190312164033295"</f>
        <v>20190312164033295</v>
      </c>
      <c r="B2256" t="str">
        <f>"1552380033288019"</f>
        <v>1552380033288019</v>
      </c>
      <c r="C2256" t="s">
        <v>40</v>
      </c>
      <c r="D2256">
        <v>5.1530849999999999</v>
      </c>
      <c r="E2256">
        <v>0.4939325</v>
      </c>
      <c r="F2256" t="s">
        <v>49</v>
      </c>
      <c r="G2256">
        <v>-294.22809999999998</v>
      </c>
      <c r="H2256" s="1">
        <v>3.017212E-6</v>
      </c>
      <c r="I2256">
        <v>283.91320000000002</v>
      </c>
      <c r="J2256">
        <v>-276.52760000000001</v>
      </c>
      <c r="K2256">
        <v>1.1090880000000001</v>
      </c>
      <c r="L2256">
        <v>284.28739999999999</v>
      </c>
      <c r="M2256">
        <v>-0.99997020000000003</v>
      </c>
      <c r="N2256">
        <v>0</v>
      </c>
      <c r="O2256">
        <v>-3.1015069999999999E-3</v>
      </c>
      <c r="P2256">
        <v>-0.98782179999999997</v>
      </c>
      <c r="Q2256">
        <v>0.1550753</v>
      </c>
      <c r="R2256">
        <v>1.264817E-2</v>
      </c>
      <c r="S2256">
        <v>-3.0673219999999999</v>
      </c>
      <c r="T2256">
        <v>-0.188467</v>
      </c>
      <c r="U2256">
        <v>-6.3751219999999997E-2</v>
      </c>
      <c r="V2256">
        <v>1.5842080000000001E-2</v>
      </c>
      <c r="W2256">
        <v>0.16205329999999901</v>
      </c>
      <c r="X2256">
        <v>0.98665480000000005</v>
      </c>
      <c r="Y2256">
        <v>-1.7651070000000001E-2</v>
      </c>
      <c r="Z2256">
        <v>-3.5133240000000002E-4</v>
      </c>
      <c r="AA2256">
        <v>0.99984410000000001</v>
      </c>
      <c r="AB2256">
        <v>34</v>
      </c>
      <c r="AC2256">
        <v>-17.700499999999899</v>
      </c>
      <c r="AD2256">
        <v>-1.1090849827879901</v>
      </c>
      <c r="AE2256">
        <v>-0.374199999999973</v>
      </c>
      <c r="AF2256">
        <v>-0.318050471371084</v>
      </c>
      <c r="AG2256">
        <v>-1.1090849827879901</v>
      </c>
      <c r="AH2256">
        <v>17.632380354012302</v>
      </c>
      <c r="AI2256">
        <v>93.598605827705995</v>
      </c>
      <c r="AJ2256">
        <v>91.033381388928007</v>
      </c>
      <c r="AK2256">
        <v>17.670089489019102</v>
      </c>
      <c r="AL2256">
        <v>80.673902473272705</v>
      </c>
      <c r="AM2256">
        <v>89.080117653659102</v>
      </c>
      <c r="AN2256">
        <v>0.99999996895132703</v>
      </c>
    </row>
    <row r="2257" spans="1:40" x14ac:dyDescent="0.25">
      <c r="A2257" t="str">
        <f>"20190312164033307"</f>
        <v>20190312164033307</v>
      </c>
      <c r="B2257" t="str">
        <f>"1552380033298757"</f>
        <v>1552380033298757</v>
      </c>
      <c r="C2257" t="s">
        <v>40</v>
      </c>
      <c r="D2257">
        <v>5.2207939999999997</v>
      </c>
      <c r="E2257">
        <v>0.49448120000000001</v>
      </c>
      <c r="F2257" t="s">
        <v>49</v>
      </c>
      <c r="G2257">
        <v>-293.72890000000001</v>
      </c>
      <c r="H2257" s="1">
        <v>2.921042E-6</v>
      </c>
      <c r="I2257">
        <v>284.00040000000001</v>
      </c>
      <c r="J2257">
        <v>-276.71199999999999</v>
      </c>
      <c r="K2257">
        <v>1.109084</v>
      </c>
      <c r="L2257">
        <v>284.28699999999998</v>
      </c>
      <c r="M2257">
        <v>-0.9999709</v>
      </c>
      <c r="N2257">
        <v>0</v>
      </c>
      <c r="O2257">
        <v>-2.9154150000000002E-3</v>
      </c>
      <c r="P2257">
        <v>-0.98783240000000005</v>
      </c>
      <c r="Q2257">
        <v>0.15500029999999901</v>
      </c>
      <c r="R2257">
        <v>1.274492E-2</v>
      </c>
      <c r="S2257">
        <v>-3.068695</v>
      </c>
      <c r="T2257">
        <v>-0.1978598</v>
      </c>
      <c r="U2257">
        <v>-5.1208499999999997E-2</v>
      </c>
      <c r="V2257">
        <v>1.5755430000000001E-2</v>
      </c>
      <c r="W2257">
        <v>0.16197800000000001</v>
      </c>
      <c r="X2257">
        <v>0.98666860000000001</v>
      </c>
      <c r="Y2257">
        <v>-1.374742E-2</v>
      </c>
      <c r="Z2257">
        <v>-2.5493260000000002E-4</v>
      </c>
      <c r="AA2257">
        <v>0.9999055</v>
      </c>
      <c r="AB2257">
        <v>34</v>
      </c>
      <c r="AC2257">
        <v>-17.0169</v>
      </c>
      <c r="AD2257">
        <v>-1.1090810789579999</v>
      </c>
      <c r="AE2257">
        <v>-0.286600000000021</v>
      </c>
      <c r="AF2257">
        <v>-0.235984090807043</v>
      </c>
      <c r="AG2257">
        <v>-1.1090810789579999</v>
      </c>
      <c r="AH2257">
        <v>16.9457014463609</v>
      </c>
      <c r="AI2257">
        <v>93.744255064298002</v>
      </c>
      <c r="AJ2257">
        <v>90.797843544079896</v>
      </c>
      <c r="AK2257">
        <v>16.983596404766999</v>
      </c>
      <c r="AL2257">
        <v>80.678275053270696</v>
      </c>
      <c r="AM2257">
        <v>89.085160987269703</v>
      </c>
      <c r="AN2257">
        <v>1.00000001614222</v>
      </c>
    </row>
    <row r="2258" spans="1:40" x14ac:dyDescent="0.25">
      <c r="A2258" t="str">
        <f>"20190312164033319"</f>
        <v>20190312164033319</v>
      </c>
      <c r="B2258" t="str">
        <f>"1552380033308515"</f>
        <v>1552380033308515</v>
      </c>
      <c r="C2258" t="s">
        <v>40</v>
      </c>
      <c r="D2258">
        <v>5.2970199999999998</v>
      </c>
      <c r="E2258">
        <v>0.49519239999999998</v>
      </c>
      <c r="F2258" t="s">
        <v>49</v>
      </c>
      <c r="G2258">
        <v>-293.87630000000001</v>
      </c>
      <c r="H2258" s="1">
        <v>2.944854E-6</v>
      </c>
      <c r="I2258">
        <v>284.02699999999999</v>
      </c>
      <c r="J2258">
        <v>-276.89420000000001</v>
      </c>
      <c r="K2258">
        <v>1.1090799999999901</v>
      </c>
      <c r="L2258">
        <v>284.28660000000002</v>
      </c>
      <c r="M2258">
        <v>-0.99997130000000001</v>
      </c>
      <c r="N2258">
        <v>0</v>
      </c>
      <c r="O2258">
        <v>-2.731827E-3</v>
      </c>
      <c r="P2258">
        <v>-0.98787060000000004</v>
      </c>
      <c r="Q2258">
        <v>0.154739299999999</v>
      </c>
      <c r="R2258">
        <v>1.2950990000000001E-2</v>
      </c>
      <c r="S2258">
        <v>-3.0686650000000002</v>
      </c>
      <c r="T2258">
        <v>-0.1982844</v>
      </c>
      <c r="U2258">
        <v>-4.6478270000000002E-2</v>
      </c>
      <c r="V2258">
        <v>1.578036E-2</v>
      </c>
      <c r="W2258">
        <v>0.16171679999999999</v>
      </c>
      <c r="X2258">
        <v>0.986711</v>
      </c>
      <c r="Y2258">
        <v>-1.239257E-2</v>
      </c>
      <c r="Z2258">
        <v>-2.2360969999999999E-4</v>
      </c>
      <c r="AA2258">
        <v>0.99992320000000001</v>
      </c>
      <c r="AB2258">
        <v>34</v>
      </c>
      <c r="AC2258">
        <v>-16.982099999999999</v>
      </c>
      <c r="AD2258">
        <v>-1.1090770551460001</v>
      </c>
      <c r="AE2258">
        <v>-0.25960000000003403</v>
      </c>
      <c r="AF2258">
        <v>-0.212300418795138</v>
      </c>
      <c r="AG2258">
        <v>-1.1090770551460001</v>
      </c>
      <c r="AH2258">
        <v>16.910635230584599</v>
      </c>
      <c r="AI2258">
        <v>93.752051427384302</v>
      </c>
      <c r="AJ2258">
        <v>90.719268012792</v>
      </c>
      <c r="AK2258">
        <v>16.948295114375401</v>
      </c>
      <c r="AL2258">
        <v>80.693440227036504</v>
      </c>
      <c r="AM2258">
        <v>89.083753040535896</v>
      </c>
      <c r="AN2258">
        <v>0.999999970342484</v>
      </c>
    </row>
    <row r="2259" spans="1:40" x14ac:dyDescent="0.25">
      <c r="A2259" t="str">
        <f>"20190312164033330"</f>
        <v>20190312164033330</v>
      </c>
      <c r="B2259" t="str">
        <f>"1552380033328035"</f>
        <v>1552380033328035</v>
      </c>
      <c r="C2259" t="s">
        <v>40</v>
      </c>
      <c r="D2259">
        <v>5.2863749999999996</v>
      </c>
      <c r="E2259">
        <v>0.49596240000000003</v>
      </c>
      <c r="F2259" t="s">
        <v>49</v>
      </c>
      <c r="G2259">
        <v>-294.11779999999999</v>
      </c>
      <c r="H2259" s="1">
        <v>2.984792E-6</v>
      </c>
      <c r="I2259">
        <v>284.06029999999998</v>
      </c>
      <c r="J2259">
        <v>-277.08170000000001</v>
      </c>
      <c r="K2259">
        <v>1.109076</v>
      </c>
      <c r="L2259">
        <v>284.28620000000001</v>
      </c>
      <c r="M2259">
        <v>-0.99997190000000002</v>
      </c>
      <c r="N2259">
        <v>0</v>
      </c>
      <c r="O2259">
        <v>-2.5428769999999998E-3</v>
      </c>
      <c r="P2259">
        <v>-0.98790560000000005</v>
      </c>
      <c r="Q2259">
        <v>0.15450269999999999</v>
      </c>
      <c r="R2259">
        <v>1.3101410000000001E-2</v>
      </c>
      <c r="S2259">
        <v>-3.068298</v>
      </c>
      <c r="T2259">
        <v>-0.19757649999999999</v>
      </c>
      <c r="U2259">
        <v>-4.0313719999999997E-2</v>
      </c>
      <c r="V2259">
        <v>1.574441E-2</v>
      </c>
      <c r="W2259">
        <v>0.16148109999999999</v>
      </c>
      <c r="X2259">
        <v>0.98675020000000002</v>
      </c>
      <c r="Y2259">
        <v>-1.0578250000000001E-2</v>
      </c>
      <c r="Z2259">
        <v>-1.766452E-4</v>
      </c>
      <c r="AA2259">
        <v>0.99994400000000006</v>
      </c>
      <c r="AB2259">
        <v>34</v>
      </c>
      <c r="AC2259">
        <v>-17.036099999999902</v>
      </c>
      <c r="AD2259">
        <v>-1.1090730152079999</v>
      </c>
      <c r="AE2259">
        <v>-0.225900000000024</v>
      </c>
      <c r="AF2259">
        <v>-0.18180708884000901</v>
      </c>
      <c r="AG2259">
        <v>-1.1090730152079999</v>
      </c>
      <c r="AH2259">
        <v>16.964732332559699</v>
      </c>
      <c r="AI2259">
        <v>93.740187049120493</v>
      </c>
      <c r="AJ2259">
        <v>90.614002031595902</v>
      </c>
      <c r="AK2259">
        <v>17.0019187118987</v>
      </c>
      <c r="AL2259">
        <v>80.707124932355001</v>
      </c>
      <c r="AM2259">
        <v>89.085876342432201</v>
      </c>
      <c r="AN2259">
        <v>0.99999999465174905</v>
      </c>
    </row>
    <row r="2260" spans="1:40" x14ac:dyDescent="0.25">
      <c r="A2260" t="str">
        <f>"20190312164033343"</f>
        <v>20190312164033343</v>
      </c>
      <c r="B2260" t="str">
        <f>"1552380033338771"</f>
        <v>1552380033338771</v>
      </c>
      <c r="C2260" t="s">
        <v>40</v>
      </c>
      <c r="D2260">
        <v>5.3192240000000002</v>
      </c>
      <c r="E2260">
        <v>0.49634220000000001</v>
      </c>
      <c r="F2260" t="s">
        <v>49</v>
      </c>
      <c r="G2260">
        <v>-294.47160000000002</v>
      </c>
      <c r="H2260" s="1">
        <v>3.0444660000000002E-6</v>
      </c>
      <c r="I2260">
        <v>284.09559999999999</v>
      </c>
      <c r="J2260">
        <v>-277.2706</v>
      </c>
      <c r="K2260">
        <v>1.1090719999999901</v>
      </c>
      <c r="L2260">
        <v>284.28590000000003</v>
      </c>
      <c r="M2260">
        <v>-0.99997219999999998</v>
      </c>
      <c r="N2260">
        <v>0</v>
      </c>
      <c r="O2260">
        <v>-2.3524969999999998E-3</v>
      </c>
      <c r="P2260">
        <v>-0.98794170000000003</v>
      </c>
      <c r="Q2260">
        <v>0.15424389999999999</v>
      </c>
      <c r="R2260">
        <v>1.341385E-2</v>
      </c>
      <c r="S2260">
        <v>-3.06778</v>
      </c>
      <c r="T2260">
        <v>-0.19565340000000001</v>
      </c>
      <c r="U2260">
        <v>-3.363037E-2</v>
      </c>
      <c r="V2260">
        <v>1.5868819999999999E-2</v>
      </c>
      <c r="W2260">
        <v>0.16122320000000001</v>
      </c>
      <c r="X2260">
        <v>0.98679039999999996</v>
      </c>
      <c r="Y2260">
        <v>-8.5966600000000008E-3</v>
      </c>
      <c r="Z2260">
        <v>-1.23966299999999E-4</v>
      </c>
      <c r="AA2260">
        <v>0.99996300000000005</v>
      </c>
      <c r="AB2260">
        <v>34</v>
      </c>
      <c r="AC2260">
        <v>-17.201000000000001</v>
      </c>
      <c r="AD2260">
        <v>-1.1090689555340001</v>
      </c>
      <c r="AE2260">
        <v>-0.190300000000036</v>
      </c>
      <c r="AF2260">
        <v>-0.149212914941943</v>
      </c>
      <c r="AG2260">
        <v>-1.1090689555340001</v>
      </c>
      <c r="AH2260">
        <v>17.1301937248152</v>
      </c>
      <c r="AI2260">
        <v>93.704219922139103</v>
      </c>
      <c r="AJ2260">
        <v>90.499063478328907</v>
      </c>
      <c r="AK2260">
        <v>17.166707182561598</v>
      </c>
      <c r="AL2260">
        <v>80.722097909222498</v>
      </c>
      <c r="AM2260">
        <v>89.078691840144401</v>
      </c>
      <c r="AN2260">
        <v>1.0000000165992899</v>
      </c>
    </row>
    <row r="2261" spans="1:40" x14ac:dyDescent="0.25">
      <c r="A2261" t="str">
        <f>"20190312164033361"</f>
        <v>20190312164033361</v>
      </c>
      <c r="B2261" t="str">
        <f>"1552380033348535"</f>
        <v>1552380033348535</v>
      </c>
      <c r="C2261" t="s">
        <v>40</v>
      </c>
      <c r="D2261">
        <v>5.4169799999999997</v>
      </c>
      <c r="E2261">
        <v>0.49658269999999999</v>
      </c>
      <c r="F2261" t="s">
        <v>49</v>
      </c>
      <c r="G2261">
        <v>-294.88850000000002</v>
      </c>
      <c r="H2261" s="1">
        <v>3.1163850000000001E-6</v>
      </c>
      <c r="I2261">
        <v>284.1189</v>
      </c>
      <c r="J2261">
        <v>-277.54610000000002</v>
      </c>
      <c r="K2261">
        <v>1.1090719999999901</v>
      </c>
      <c r="L2261">
        <v>284.28550000000001</v>
      </c>
      <c r="M2261">
        <v>-0.9999728</v>
      </c>
      <c r="N2261">
        <v>0</v>
      </c>
      <c r="O2261">
        <v>-2.074977E-3</v>
      </c>
      <c r="P2261">
        <v>-0.98793569999999997</v>
      </c>
      <c r="Q2261">
        <v>0.15427689999999999</v>
      </c>
      <c r="R2261">
        <v>1.3497790000000001E-2</v>
      </c>
      <c r="S2261">
        <v>-3.0671689999999998</v>
      </c>
      <c r="T2261">
        <v>-0.19308139999999999</v>
      </c>
      <c r="U2261">
        <v>-2.9083250000000001E-2</v>
      </c>
      <c r="V2261">
        <v>1.5679519999999999E-2</v>
      </c>
      <c r="W2261">
        <v>0.1612585</v>
      </c>
      <c r="X2261">
        <v>0.98678759999999999</v>
      </c>
      <c r="Y2261">
        <v>-7.3962019999999897E-3</v>
      </c>
      <c r="Z2261">
        <v>-1.020711E-4</v>
      </c>
      <c r="AA2261">
        <v>0.99997259999999999</v>
      </c>
      <c r="AB2261">
        <v>35</v>
      </c>
      <c r="AC2261">
        <v>-17.342399999999898</v>
      </c>
      <c r="AD2261">
        <v>-1.10906888361499</v>
      </c>
      <c r="AE2261">
        <v>-0.16660000000001601</v>
      </c>
      <c r="AF2261">
        <v>-0.130081703995404</v>
      </c>
      <c r="AG2261">
        <v>-1.10906888361499</v>
      </c>
      <c r="AH2261">
        <v>17.2720761026725</v>
      </c>
      <c r="AI2261">
        <v>93.673909938288901</v>
      </c>
      <c r="AJ2261">
        <v>90.431505261735296</v>
      </c>
      <c r="AK2261">
        <v>17.308135888501401</v>
      </c>
      <c r="AL2261">
        <v>80.720048016542904</v>
      </c>
      <c r="AM2261">
        <v>89.089677731123103</v>
      </c>
      <c r="AN2261">
        <v>0.99999995934171904</v>
      </c>
    </row>
    <row r="2262" spans="1:40" x14ac:dyDescent="0.25">
      <c r="A2262" t="str">
        <f>"20190312164033372"</f>
        <v>20190312164033372</v>
      </c>
      <c r="B2262" t="str">
        <f>"1552380033368052"</f>
        <v>1552380033368052</v>
      </c>
      <c r="C2262" t="s">
        <v>40</v>
      </c>
      <c r="D2262">
        <v>5.5015640000000001</v>
      </c>
      <c r="E2262">
        <v>0.49702740000000001</v>
      </c>
      <c r="F2262" t="s">
        <v>49</v>
      </c>
      <c r="G2262">
        <v>-295.46980000000002</v>
      </c>
      <c r="H2262" s="1">
        <v>3.2185210000000001E-6</v>
      </c>
      <c r="I2262">
        <v>284.13</v>
      </c>
      <c r="J2262">
        <v>-277.73070000000001</v>
      </c>
      <c r="K2262">
        <v>1.1090679999999999</v>
      </c>
      <c r="L2262">
        <v>284.28530000000001</v>
      </c>
      <c r="M2262">
        <v>-0.99997320000000001</v>
      </c>
      <c r="N2262">
        <v>0</v>
      </c>
      <c r="O2262">
        <v>-1.8888939999999999E-3</v>
      </c>
      <c r="P2262">
        <v>-0.98790509999999998</v>
      </c>
      <c r="Q2262">
        <v>0.1544596</v>
      </c>
      <c r="R2262">
        <v>1.3632780000000001E-2</v>
      </c>
      <c r="S2262">
        <v>-3.0666199999999999</v>
      </c>
      <c r="T2262">
        <v>-0.18975439999999999</v>
      </c>
      <c r="U2262">
        <v>-2.6611329999999999E-2</v>
      </c>
      <c r="V2262">
        <v>1.5630990000000001E-2</v>
      </c>
      <c r="W2262">
        <v>0.161442899999999</v>
      </c>
      <c r="X2262">
        <v>0.98675820000000003</v>
      </c>
      <c r="Y2262">
        <v>-6.7791750000000001E-3</v>
      </c>
      <c r="Z2262" s="1">
        <v>-9.2765860000000003E-5</v>
      </c>
      <c r="AA2262">
        <v>0.999977</v>
      </c>
      <c r="AB2262">
        <v>35</v>
      </c>
      <c r="AC2262">
        <v>-17.739100000000001</v>
      </c>
      <c r="AD2262">
        <v>-1.109064781479</v>
      </c>
      <c r="AE2262">
        <v>-0.15530000000001101</v>
      </c>
      <c r="AF2262">
        <v>-0.121317428044392</v>
      </c>
      <c r="AG2262">
        <v>-1.109064781479</v>
      </c>
      <c r="AH2262">
        <v>17.6702961972933</v>
      </c>
      <c r="AI2262">
        <v>93.591337320067495</v>
      </c>
      <c r="AJ2262">
        <v>90.393364509488194</v>
      </c>
      <c r="AK2262">
        <v>17.705482492943901</v>
      </c>
      <c r="AL2262">
        <v>80.709342233203699</v>
      </c>
      <c r="AM2262">
        <v>89.092467781909093</v>
      </c>
      <c r="AN2262">
        <v>0.99999994153801297</v>
      </c>
    </row>
    <row r="2263" spans="1:40" x14ac:dyDescent="0.25">
      <c r="A2263" t="str">
        <f>"20190312164033385"</f>
        <v>20190312164033385</v>
      </c>
      <c r="B2263" t="str">
        <f>"1552380033378787"</f>
        <v>1552380033378787</v>
      </c>
      <c r="C2263" t="s">
        <v>40</v>
      </c>
      <c r="D2263">
        <v>5.2920429999999996</v>
      </c>
      <c r="E2263">
        <v>0.49723279999999997</v>
      </c>
      <c r="F2263" t="s">
        <v>49</v>
      </c>
      <c r="G2263">
        <v>-296.0865</v>
      </c>
      <c r="H2263" s="1">
        <v>3.3259280000000001E-6</v>
      </c>
      <c r="I2263">
        <v>284.15260000000001</v>
      </c>
      <c r="J2263">
        <v>-277.9187</v>
      </c>
      <c r="K2263">
        <v>1.1090679999999999</v>
      </c>
      <c r="L2263">
        <v>284.2851</v>
      </c>
      <c r="M2263">
        <v>-0.99997340000000001</v>
      </c>
      <c r="N2263">
        <v>0</v>
      </c>
      <c r="O2263">
        <v>-1.699355E-3</v>
      </c>
      <c r="P2263">
        <v>-0.98793039999999999</v>
      </c>
      <c r="Q2263">
        <v>0.15427379999999999</v>
      </c>
      <c r="R2263">
        <v>1.390052E-2</v>
      </c>
      <c r="S2263">
        <v>-3.0660099999999999</v>
      </c>
      <c r="T2263">
        <v>-0.18524979999999999</v>
      </c>
      <c r="U2263">
        <v>-2.215576E-2</v>
      </c>
      <c r="V2263">
        <v>1.5711639999999999E-2</v>
      </c>
      <c r="W2263">
        <v>0.1612594</v>
      </c>
      <c r="X2263">
        <v>0.98678699999999997</v>
      </c>
      <c r="Y2263">
        <v>-5.5197340000000001E-3</v>
      </c>
      <c r="Z2263" s="1">
        <v>-6.4015050000000006E-5</v>
      </c>
      <c r="AA2263">
        <v>0.99998469999999995</v>
      </c>
      <c r="AB2263">
        <v>35</v>
      </c>
      <c r="AC2263">
        <v>-18.1678</v>
      </c>
      <c r="AD2263">
        <v>-1.109064674072</v>
      </c>
      <c r="AE2263">
        <v>-0.13249999999999301</v>
      </c>
      <c r="AF2263">
        <v>-0.10124820197416699</v>
      </c>
      <c r="AG2263">
        <v>-1.109064674072</v>
      </c>
      <c r="AH2263">
        <v>18.1005495928861</v>
      </c>
      <c r="AI2263">
        <v>93.506213485903302</v>
      </c>
      <c r="AJ2263">
        <v>90.320489393118706</v>
      </c>
      <c r="AK2263">
        <v>18.134777947750202</v>
      </c>
      <c r="AL2263">
        <v>80.719996302029898</v>
      </c>
      <c r="AM2263">
        <v>89.087812666966002</v>
      </c>
      <c r="AN2263">
        <v>1.0000000165444201</v>
      </c>
    </row>
    <row r="2264" spans="1:40" x14ac:dyDescent="0.25">
      <c r="A2264" t="str">
        <f>"20190312164033396"</f>
        <v>20190312164033396</v>
      </c>
      <c r="B2264" t="str">
        <f>"1552380033388548"</f>
        <v>1552380033388548</v>
      </c>
      <c r="C2264" t="s">
        <v>40</v>
      </c>
      <c r="D2264">
        <v>5.3264579999999997</v>
      </c>
      <c r="E2264">
        <v>0.49733729999999998</v>
      </c>
      <c r="F2264" t="s">
        <v>49</v>
      </c>
      <c r="G2264">
        <v>-296.339</v>
      </c>
      <c r="H2264" s="1">
        <v>3.3693289999999998E-6</v>
      </c>
      <c r="I2264">
        <v>284.16849999999999</v>
      </c>
      <c r="J2264">
        <v>-278.10199999999998</v>
      </c>
      <c r="K2264">
        <v>1.109073</v>
      </c>
      <c r="L2264">
        <v>284.28500000000003</v>
      </c>
      <c r="M2264">
        <v>-0.99997380000000002</v>
      </c>
      <c r="N2264">
        <v>0</v>
      </c>
      <c r="O2264">
        <v>-1.5144659999999999E-3</v>
      </c>
      <c r="P2264">
        <v>-0.98796430000000002</v>
      </c>
      <c r="Q2264">
        <v>0.15404799999999999</v>
      </c>
      <c r="R2264">
        <v>1.399657E-2</v>
      </c>
      <c r="S2264">
        <v>-3.0657040000000002</v>
      </c>
      <c r="T2264">
        <v>-0.18458269999999999</v>
      </c>
      <c r="U2264">
        <v>-1.9409180000000002E-2</v>
      </c>
      <c r="V2264">
        <v>1.562506E-2</v>
      </c>
      <c r="W2264">
        <v>0.16103589999999901</v>
      </c>
      <c r="X2264">
        <v>0.9868249</v>
      </c>
      <c r="Y2264">
        <v>-4.8104920000000004E-3</v>
      </c>
      <c r="Z2264" s="1">
        <v>-5.3581649999999999E-5</v>
      </c>
      <c r="AA2264">
        <v>0.9999884</v>
      </c>
      <c r="AB2264">
        <v>35</v>
      </c>
      <c r="AC2264">
        <v>-18.236999999999899</v>
      </c>
      <c r="AD2264">
        <v>-1.109069630671</v>
      </c>
      <c r="AE2264">
        <v>-0.11650000000003</v>
      </c>
      <c r="AF2264">
        <v>-8.8552371553094394E-2</v>
      </c>
      <c r="AG2264">
        <v>-1.109069630671</v>
      </c>
      <c r="AH2264">
        <v>18.169958962262601</v>
      </c>
      <c r="AI2264">
        <v>93.492881650670199</v>
      </c>
      <c r="AJ2264">
        <v>90.279232165449201</v>
      </c>
      <c r="AK2264">
        <v>18.203990926675701</v>
      </c>
      <c r="AL2264">
        <v>80.732971741556099</v>
      </c>
      <c r="AM2264">
        <v>89.092873326050594</v>
      </c>
      <c r="AN2264">
        <v>1.0000000434244101</v>
      </c>
    </row>
    <row r="2265" spans="1:40" x14ac:dyDescent="0.25">
      <c r="A2265" t="str">
        <f>"20190312164033408"</f>
        <v>20190312164033408</v>
      </c>
      <c r="B2265" t="str">
        <f>"1552380033398309"</f>
        <v>1552380033398309</v>
      </c>
      <c r="C2265" t="s">
        <v>40</v>
      </c>
      <c r="D2265">
        <v>5.323817</v>
      </c>
      <c r="E2265">
        <v>0.49750689999999997</v>
      </c>
      <c r="F2265" t="s">
        <v>49</v>
      </c>
      <c r="G2265">
        <v>-296.40640000000002</v>
      </c>
      <c r="H2265" s="1">
        <v>3.3806120000000002E-6</v>
      </c>
      <c r="I2265">
        <v>284.17619999999999</v>
      </c>
      <c r="J2265">
        <v>-278.26859999999999</v>
      </c>
      <c r="K2265">
        <v>1.1090690000000001</v>
      </c>
      <c r="L2265">
        <v>284.28480000000002</v>
      </c>
      <c r="M2265">
        <v>-0.99997409999999998</v>
      </c>
      <c r="N2265">
        <v>0</v>
      </c>
      <c r="O2265">
        <v>-1.3469759999999999E-3</v>
      </c>
      <c r="P2265">
        <v>-0.9879696</v>
      </c>
      <c r="Q2265">
        <v>0.15401570000000001</v>
      </c>
      <c r="R2265">
        <v>1.398655E-2</v>
      </c>
      <c r="S2265">
        <v>-3.0657960000000002</v>
      </c>
      <c r="T2265">
        <v>-0.1857578</v>
      </c>
      <c r="U2265">
        <v>-1.8218990000000001E-2</v>
      </c>
      <c r="V2265">
        <v>1.5449890000000001E-2</v>
      </c>
      <c r="W2265">
        <v>0.161004799999999</v>
      </c>
      <c r="X2265">
        <v>0.98683270000000001</v>
      </c>
      <c r="Y2265">
        <v>-4.5896210000000003E-3</v>
      </c>
      <c r="Z2265" s="1">
        <v>-5.7374580000000003E-5</v>
      </c>
      <c r="AA2265">
        <v>0.99998940000000003</v>
      </c>
      <c r="AB2265">
        <v>35</v>
      </c>
      <c r="AC2265">
        <v>-18.137799999999999</v>
      </c>
      <c r="AD2265">
        <v>-1.109065619388</v>
      </c>
      <c r="AE2265">
        <v>-0.108600000000024</v>
      </c>
      <c r="AF2265">
        <v>-8.3854595831944601E-2</v>
      </c>
      <c r="AG2265">
        <v>-1.109065619388</v>
      </c>
      <c r="AH2265">
        <v>18.0703687301679</v>
      </c>
      <c r="AI2265">
        <v>93.5120749395725</v>
      </c>
      <c r="AJ2265">
        <v>90.265876143410495</v>
      </c>
      <c r="AK2265">
        <v>18.104565285738801</v>
      </c>
      <c r="AL2265">
        <v>80.7347768988176</v>
      </c>
      <c r="AM2265">
        <v>89.103048392868004</v>
      </c>
      <c r="AN2265">
        <v>1.00000001125667</v>
      </c>
    </row>
    <row r="2266" spans="1:40" x14ac:dyDescent="0.25">
      <c r="A2266" t="str">
        <f>"20190312164033419"</f>
        <v>20190312164033419</v>
      </c>
      <c r="B2266" t="str">
        <f>"1552380033408067"</f>
        <v>1552380033408067</v>
      </c>
      <c r="C2266" t="s">
        <v>40</v>
      </c>
      <c r="D2266">
        <v>5.3812360000000004</v>
      </c>
      <c r="E2266">
        <v>0.49758750000000002</v>
      </c>
      <c r="F2266" t="s">
        <v>49</v>
      </c>
      <c r="G2266">
        <v>-296.71089999999998</v>
      </c>
      <c r="H2266" s="1">
        <v>3.4339799999999999E-6</v>
      </c>
      <c r="I2266">
        <v>284.18369999999999</v>
      </c>
      <c r="J2266">
        <v>-278.44909999999999</v>
      </c>
      <c r="K2266">
        <v>1.109067</v>
      </c>
      <c r="L2266">
        <v>284.28469999999999</v>
      </c>
      <c r="M2266">
        <v>-0.99997420000000004</v>
      </c>
      <c r="N2266">
        <v>0</v>
      </c>
      <c r="O2266">
        <v>-1.165061E-3</v>
      </c>
      <c r="P2266">
        <v>-0.98796459999999997</v>
      </c>
      <c r="Q2266">
        <v>0.1540318</v>
      </c>
      <c r="R2266">
        <v>1.415188E-2</v>
      </c>
      <c r="S2266">
        <v>-3.0655209999999999</v>
      </c>
      <c r="T2266">
        <v>-0.1843513</v>
      </c>
      <c r="U2266">
        <v>-1.6815190000000001E-2</v>
      </c>
      <c r="V2266">
        <v>1.543593E-2</v>
      </c>
      <c r="W2266">
        <v>0.16102179999999999</v>
      </c>
      <c r="X2266">
        <v>0.98683010000000004</v>
      </c>
      <c r="Y2266">
        <v>-4.3144129999999996E-3</v>
      </c>
      <c r="Z2266" s="1">
        <v>-5.9608699999999997E-5</v>
      </c>
      <c r="AA2266">
        <v>0.99999070000000001</v>
      </c>
      <c r="AB2266">
        <v>35</v>
      </c>
      <c r="AC2266">
        <v>-18.261799999999901</v>
      </c>
      <c r="AD2266">
        <v>-1.1090635660199999</v>
      </c>
      <c r="AE2266">
        <v>-0.10099999999999899</v>
      </c>
      <c r="AF2266">
        <v>-7.9430332403467793E-2</v>
      </c>
      <c r="AG2266">
        <v>-1.1090635660199999</v>
      </c>
      <c r="AH2266">
        <v>18.194799534308402</v>
      </c>
      <c r="AI2266">
        <v>93.488113891211</v>
      </c>
      <c r="AJ2266">
        <v>90.250126080949599</v>
      </c>
      <c r="AK2266">
        <v>18.228742723096602</v>
      </c>
      <c r="AL2266">
        <v>80.733789581258407</v>
      </c>
      <c r="AM2266">
        <v>89.103856355211903</v>
      </c>
      <c r="AN2266">
        <v>0.99999996713810702</v>
      </c>
    </row>
    <row r="2267" spans="1:40" x14ac:dyDescent="0.25">
      <c r="A2267" t="str">
        <f>"20190312164033439"</f>
        <v>20190312164033439</v>
      </c>
      <c r="B2267" t="str">
        <f>"1552380033428567"</f>
        <v>1552380033428567</v>
      </c>
      <c r="C2267" t="s">
        <v>40</v>
      </c>
      <c r="D2267">
        <v>5.4440150000000003</v>
      </c>
      <c r="E2267">
        <v>0.49780649999999999</v>
      </c>
      <c r="F2267" t="s">
        <v>49</v>
      </c>
      <c r="G2267">
        <v>-297.0403</v>
      </c>
      <c r="H2267" s="1">
        <v>3.4917169999999998E-6</v>
      </c>
      <c r="I2267">
        <v>284.19159999999999</v>
      </c>
      <c r="J2267">
        <v>-278.7654</v>
      </c>
      <c r="K2267">
        <v>1.1090629999999999</v>
      </c>
      <c r="L2267">
        <v>284.28469999999999</v>
      </c>
      <c r="M2267">
        <v>-0.99997449999999999</v>
      </c>
      <c r="N2267">
        <v>0</v>
      </c>
      <c r="O2267">
        <v>-8.4699959999999996E-4</v>
      </c>
      <c r="P2267">
        <v>-0.98801819999999896</v>
      </c>
      <c r="Q2267">
        <v>0.15367500000000001</v>
      </c>
      <c r="R2267">
        <v>1.428755E-2</v>
      </c>
      <c r="S2267">
        <v>-3.0652469999999998</v>
      </c>
      <c r="T2267">
        <v>-0.18285760000000001</v>
      </c>
      <c r="U2267">
        <v>-1.5350340000000001E-2</v>
      </c>
      <c r="V2267">
        <v>1.5257659999999999E-2</v>
      </c>
      <c r="W2267">
        <v>0.160665</v>
      </c>
      <c r="X2267">
        <v>0.98689099999999996</v>
      </c>
      <c r="Y2267">
        <v>-4.1549100000000004E-3</v>
      </c>
      <c r="Z2267" s="1">
        <v>-7.3336059999999995E-5</v>
      </c>
      <c r="AA2267">
        <v>0.99999139999999997</v>
      </c>
      <c r="AB2267">
        <v>35</v>
      </c>
      <c r="AC2267">
        <v>-18.274899999999999</v>
      </c>
      <c r="AD2267">
        <v>-1.1090595082829999</v>
      </c>
      <c r="AE2267">
        <v>-9.3099999999992605E-2</v>
      </c>
      <c r="AF2267">
        <v>-7.7335924962395594E-2</v>
      </c>
      <c r="AG2267">
        <v>-1.1090595082829999</v>
      </c>
      <c r="AH2267">
        <v>18.2079146076074</v>
      </c>
      <c r="AI2267">
        <v>93.485596664245193</v>
      </c>
      <c r="AJ2267">
        <v>90.243355461364303</v>
      </c>
      <c r="AK2267">
        <v>18.241824146617699</v>
      </c>
      <c r="AL2267">
        <v>80.754502165254394</v>
      </c>
      <c r="AM2267">
        <v>89.114258938097507</v>
      </c>
      <c r="AN2267">
        <v>0.99999994214733601</v>
      </c>
    </row>
    <row r="2268" spans="1:40" x14ac:dyDescent="0.25">
      <c r="A2268" t="str">
        <f>"20190312164033450"</f>
        <v>20190312164033450</v>
      </c>
      <c r="B2268" t="str">
        <f>"1552380033438324"</f>
        <v>1552380033438324</v>
      </c>
      <c r="C2268" t="s">
        <v>40</v>
      </c>
      <c r="D2268">
        <v>5.3523899999999998</v>
      </c>
      <c r="E2268">
        <v>0.49787189999999998</v>
      </c>
      <c r="F2268" t="s">
        <v>49</v>
      </c>
      <c r="G2268">
        <v>-297.464</v>
      </c>
      <c r="H2268" s="1">
        <v>3.565431E-6</v>
      </c>
      <c r="I2268">
        <v>284.2081</v>
      </c>
      <c r="J2268">
        <v>-278.9425</v>
      </c>
      <c r="K2268">
        <v>1.109059</v>
      </c>
      <c r="L2268">
        <v>284.28460000000001</v>
      </c>
      <c r="M2268">
        <v>-0.99997469999999999</v>
      </c>
      <c r="N2268">
        <v>0</v>
      </c>
      <c r="O2268">
        <v>-6.6925149999999903E-4</v>
      </c>
      <c r="P2268">
        <v>-0.98804190000000003</v>
      </c>
      <c r="Q2268">
        <v>0.15351579999999901</v>
      </c>
      <c r="R2268">
        <v>1.4359729999999999E-2</v>
      </c>
      <c r="S2268">
        <v>-3.0647890000000002</v>
      </c>
      <c r="T2268">
        <v>-0.18177989999999999</v>
      </c>
      <c r="U2268">
        <v>-1.254272E-2</v>
      </c>
      <c r="V2268">
        <v>1.515447E-2</v>
      </c>
      <c r="W2268">
        <v>0.16050500000000001</v>
      </c>
      <c r="X2268">
        <v>0.98691870000000004</v>
      </c>
      <c r="Y2268">
        <v>-3.4183960000000002E-3</v>
      </c>
      <c r="Z2268" s="1">
        <v>-6.1626280000000002E-5</v>
      </c>
      <c r="AA2268">
        <v>0.99999420000000006</v>
      </c>
      <c r="AB2268">
        <v>35</v>
      </c>
      <c r="AC2268">
        <v>-18.5215</v>
      </c>
      <c r="AD2268">
        <v>-1.109055434569</v>
      </c>
      <c r="AE2268">
        <v>-7.6500000000009893E-2</v>
      </c>
      <c r="AF2268">
        <v>-6.3875107722007801E-2</v>
      </c>
      <c r="AG2268">
        <v>-1.109055434569</v>
      </c>
      <c r="AH2268">
        <v>18.455375749007999</v>
      </c>
      <c r="AI2268">
        <v>93.4389703421608</v>
      </c>
      <c r="AJ2268">
        <v>90.198303167863699</v>
      </c>
      <c r="AK2268">
        <v>18.488779787303599</v>
      </c>
      <c r="AL2268">
        <v>80.763790722871406</v>
      </c>
      <c r="AM2268">
        <v>89.120273090401895</v>
      </c>
      <c r="AN2268">
        <v>1.00000001669783</v>
      </c>
    </row>
    <row r="2269" spans="1:40" x14ac:dyDescent="0.25">
      <c r="A2269" t="str">
        <f>"20190312164033464"</f>
        <v>20190312164033464</v>
      </c>
      <c r="B2269" t="str">
        <f>"1552380033458819"</f>
        <v>1552380033458819</v>
      </c>
      <c r="C2269" t="s">
        <v>40</v>
      </c>
      <c r="D2269">
        <v>5.3181609999999999</v>
      </c>
      <c r="E2269">
        <v>0.49801089999999998</v>
      </c>
      <c r="F2269" t="s">
        <v>49</v>
      </c>
      <c r="G2269">
        <v>-297.21480000000003</v>
      </c>
      <c r="H2269" s="1">
        <v>3.5207559999999999E-6</v>
      </c>
      <c r="I2269">
        <v>284.21350000000001</v>
      </c>
      <c r="J2269">
        <v>-279.15440000000001</v>
      </c>
      <c r="K2269">
        <v>1.109049</v>
      </c>
      <c r="L2269">
        <v>284.28469999999999</v>
      </c>
      <c r="M2269">
        <v>-0.99997480000000005</v>
      </c>
      <c r="N2269">
        <v>0</v>
      </c>
      <c r="O2269">
        <v>-4.5657489999999999E-4</v>
      </c>
      <c r="P2269">
        <v>-0.98805050000000005</v>
      </c>
      <c r="Q2269">
        <v>0.1534594</v>
      </c>
      <c r="R2269">
        <v>1.4376109999999999E-2</v>
      </c>
      <c r="S2269">
        <v>-3.0654300000000001</v>
      </c>
      <c r="T2269">
        <v>-0.18605920000000001</v>
      </c>
      <c r="U2269">
        <v>-1.1932369999999999E-2</v>
      </c>
      <c r="V2269">
        <v>1.4961179999999999E-2</v>
      </c>
      <c r="W2269">
        <v>0.16044849999999999</v>
      </c>
      <c r="X2269">
        <v>0.9869308</v>
      </c>
      <c r="Y2269">
        <v>-3.430476E-3</v>
      </c>
      <c r="Z2269" s="1">
        <v>-7.6324569999999996E-5</v>
      </c>
      <c r="AA2269">
        <v>0.9999941</v>
      </c>
      <c r="AB2269">
        <v>35</v>
      </c>
      <c r="AC2269">
        <v>-18.060400000000001</v>
      </c>
      <c r="AD2269">
        <v>-1.1090454792440001</v>
      </c>
      <c r="AE2269">
        <v>-7.1199999999976102E-2</v>
      </c>
      <c r="AF2269">
        <v>-6.2717363643243901E-2</v>
      </c>
      <c r="AG2269">
        <v>-1.1090454792440001</v>
      </c>
      <c r="AH2269">
        <v>17.992583608803098</v>
      </c>
      <c r="AI2269">
        <v>93.527172625788097</v>
      </c>
      <c r="AJ2269">
        <v>90.1997170480535</v>
      </c>
      <c r="AK2269">
        <v>18.026840551314098</v>
      </c>
      <c r="AL2269">
        <v>80.767070108491197</v>
      </c>
      <c r="AM2269">
        <v>89.1315026181543</v>
      </c>
      <c r="AN2269">
        <v>0.99999998102394005</v>
      </c>
    </row>
    <row r="2270" spans="1:40" x14ac:dyDescent="0.25">
      <c r="A2270" t="str">
        <f>"20190312164033486"</f>
        <v>20190312164033486</v>
      </c>
      <c r="B2270" t="str">
        <f>"1552380033478340"</f>
        <v>1552380033478340</v>
      </c>
      <c r="C2270" t="s">
        <v>40</v>
      </c>
      <c r="D2270">
        <v>5.3431389999999999</v>
      </c>
      <c r="E2270">
        <v>0.49814340000000001</v>
      </c>
      <c r="F2270" t="s">
        <v>49</v>
      </c>
      <c r="G2270">
        <v>-297.60559999999998</v>
      </c>
      <c r="H2270" s="1">
        <v>3.5891990000000001E-6</v>
      </c>
      <c r="I2270">
        <v>284.2235</v>
      </c>
      <c r="J2270">
        <v>-279.48759999999999</v>
      </c>
      <c r="K2270">
        <v>1.1090439999999999</v>
      </c>
      <c r="L2270">
        <v>284.28480000000002</v>
      </c>
      <c r="M2270">
        <v>-0.9999749</v>
      </c>
      <c r="N2270">
        <v>0</v>
      </c>
      <c r="O2270">
        <v>-1.220665E-4</v>
      </c>
      <c r="P2270">
        <v>-0.98802889999999999</v>
      </c>
      <c r="Q2270">
        <v>0.15360090000000001</v>
      </c>
      <c r="R2270">
        <v>1.434333E-2</v>
      </c>
      <c r="S2270">
        <v>-3.0650330000000001</v>
      </c>
      <c r="T2270">
        <v>-0.18423020000000001</v>
      </c>
      <c r="U2270">
        <v>-1.0162350000000001E-2</v>
      </c>
      <c r="V2270">
        <v>1.4598430000000001E-2</v>
      </c>
      <c r="W2270">
        <v>0.16059019999999999</v>
      </c>
      <c r="X2270">
        <v>0.98691320000000005</v>
      </c>
      <c r="Y2270">
        <v>-3.1879569999999999E-3</v>
      </c>
      <c r="Z2270" s="1">
        <v>-8.839215E-5</v>
      </c>
      <c r="AA2270">
        <v>0.99999490000000002</v>
      </c>
      <c r="AB2270">
        <v>35</v>
      </c>
      <c r="AC2270">
        <v>-18.117999999999899</v>
      </c>
      <c r="AD2270">
        <v>-1.1090404108009999</v>
      </c>
      <c r="AE2270">
        <v>-6.1300000000017001E-2</v>
      </c>
      <c r="AF2270">
        <v>-5.8867772985199102E-2</v>
      </c>
      <c r="AG2270">
        <v>-1.1090404108009999</v>
      </c>
      <c r="AH2270">
        <v>18.050374841026802</v>
      </c>
      <c r="AI2270">
        <v>93.515894805461002</v>
      </c>
      <c r="AJ2270">
        <v>90.186858334692701</v>
      </c>
      <c r="AK2270">
        <v>18.0845090602167</v>
      </c>
      <c r="AL2270">
        <v>80.7588447682718</v>
      </c>
      <c r="AM2270">
        <v>89.152542057378099</v>
      </c>
      <c r="AN2270">
        <v>0.99999999541437201</v>
      </c>
    </row>
    <row r="2271" spans="1:40" x14ac:dyDescent="0.25">
      <c r="A2271" t="str">
        <f>"20190312164033507"</f>
        <v>20190312164033507</v>
      </c>
      <c r="B2271" t="str">
        <f>"1552380033498836"</f>
        <v>1552380033498836</v>
      </c>
      <c r="C2271" t="s">
        <v>40</v>
      </c>
      <c r="D2271">
        <v>5.3184380000000004</v>
      </c>
      <c r="E2271">
        <v>0.49816709999999897</v>
      </c>
      <c r="F2271" t="s">
        <v>49</v>
      </c>
      <c r="G2271">
        <v>-298.11919999999998</v>
      </c>
      <c r="H2271" s="1">
        <v>3.6798010000000001E-6</v>
      </c>
      <c r="I2271">
        <v>284.22930000000002</v>
      </c>
      <c r="J2271">
        <v>-279.83370000000002</v>
      </c>
      <c r="K2271">
        <v>1.10904</v>
      </c>
      <c r="L2271">
        <v>284.2851</v>
      </c>
      <c r="M2271">
        <v>-0.99997499999999995</v>
      </c>
      <c r="N2271">
        <v>0</v>
      </c>
      <c r="O2271">
        <v>2.256107E-4</v>
      </c>
      <c r="P2271">
        <v>-0.98802020000000002</v>
      </c>
      <c r="Q2271">
        <v>0.15367610000000001</v>
      </c>
      <c r="R2271">
        <v>1.414173E-2</v>
      </c>
      <c r="S2271">
        <v>-3.0648499999999999</v>
      </c>
      <c r="T2271">
        <v>-0.18243409999999999</v>
      </c>
      <c r="U2271">
        <v>-9.1247559999999995E-3</v>
      </c>
      <c r="V2271">
        <v>1.405401E-2</v>
      </c>
      <c r="W2271">
        <v>0.160666899999999</v>
      </c>
      <c r="X2271">
        <v>0.98690860000000002</v>
      </c>
      <c r="Y2271">
        <v>-3.1967720000000001E-3</v>
      </c>
      <c r="Z2271">
        <v>-1.084769E-4</v>
      </c>
      <c r="AA2271">
        <v>0.99999490000000002</v>
      </c>
      <c r="AB2271">
        <v>35</v>
      </c>
      <c r="AC2271">
        <v>-18.2854999999999</v>
      </c>
      <c r="AD2271">
        <v>-1.1090363201989999</v>
      </c>
      <c r="AE2271">
        <v>-5.57999999999765E-2</v>
      </c>
      <c r="AF2271">
        <v>-5.9705876456625701E-2</v>
      </c>
      <c r="AG2271">
        <v>-1.1090363201989999</v>
      </c>
      <c r="AH2271">
        <v>18.218469832757702</v>
      </c>
      <c r="AI2271">
        <v>93.483522219020898</v>
      </c>
      <c r="AJ2271">
        <v>90.187770022268694</v>
      </c>
      <c r="AK2271">
        <v>18.252292168336201</v>
      </c>
      <c r="AL2271">
        <v>80.754392189438093</v>
      </c>
      <c r="AM2271">
        <v>89.1841381931321</v>
      </c>
      <c r="AN2271">
        <v>0.99999997635332405</v>
      </c>
    </row>
    <row r="2272" spans="1:40" x14ac:dyDescent="0.25">
      <c r="A2272" t="str">
        <f>"20190312164033518"</f>
        <v>20190312164033518</v>
      </c>
      <c r="B2272" t="str">
        <f>"1552380033508595"</f>
        <v>1552380033508595</v>
      </c>
      <c r="C2272" t="s">
        <v>40</v>
      </c>
      <c r="D2272">
        <v>5.288259</v>
      </c>
      <c r="E2272">
        <v>0.49825900000000001</v>
      </c>
      <c r="F2272" t="s">
        <v>49</v>
      </c>
      <c r="G2272">
        <v>-298.32010000000002</v>
      </c>
      <c r="H2272" s="1">
        <v>3.7155549999999999E-6</v>
      </c>
      <c r="I2272">
        <v>284.2278</v>
      </c>
      <c r="J2272">
        <v>-280.0127</v>
      </c>
      <c r="K2272">
        <v>1.109038</v>
      </c>
      <c r="L2272">
        <v>284.28530000000001</v>
      </c>
      <c r="M2272">
        <v>-0.99997480000000005</v>
      </c>
      <c r="N2272">
        <v>0</v>
      </c>
      <c r="O2272">
        <v>4.0543909999999999E-4</v>
      </c>
      <c r="P2272">
        <v>-0.98804119999999995</v>
      </c>
      <c r="Q2272">
        <v>0.153526</v>
      </c>
      <c r="R2272">
        <v>1.4308339999999999E-2</v>
      </c>
      <c r="S2272">
        <v>-3.0650940000000002</v>
      </c>
      <c r="T2272">
        <v>-0.1838813</v>
      </c>
      <c r="U2272">
        <v>-9.4909669999999995E-3</v>
      </c>
      <c r="V2272">
        <v>1.4043170000000001E-2</v>
      </c>
      <c r="W2272">
        <v>0.16051770000000001</v>
      </c>
      <c r="X2272">
        <v>0.98693310000000001</v>
      </c>
      <c r="Y2272">
        <v>-3.4948890000000002E-3</v>
      </c>
      <c r="Z2272">
        <v>-1.2904020000000001E-4</v>
      </c>
      <c r="AA2272">
        <v>0.99999389999999999</v>
      </c>
      <c r="AB2272">
        <v>35</v>
      </c>
      <c r="AC2272">
        <v>-18.307400000000001</v>
      </c>
      <c r="AD2272">
        <v>-1.1090342844450001</v>
      </c>
      <c r="AE2272">
        <v>-5.7500000000004499E-2</v>
      </c>
      <c r="AF2272">
        <v>-6.4685340740473496E-2</v>
      </c>
      <c r="AG2272">
        <v>-1.1090342844450001</v>
      </c>
      <c r="AH2272">
        <v>18.2404379758717</v>
      </c>
      <c r="AI2272">
        <v>93.479327543070994</v>
      </c>
      <c r="AJ2272">
        <v>90.203184895531706</v>
      </c>
      <c r="AK2272">
        <v>18.274236476225301</v>
      </c>
      <c r="AL2272">
        <v>80.763053755215296</v>
      </c>
      <c r="AM2272">
        <v>89.184787625541702</v>
      </c>
      <c r="AN2272">
        <v>1.0000000432562699</v>
      </c>
    </row>
    <row r="2273" spans="1:40" x14ac:dyDescent="0.25">
      <c r="A2273" t="str">
        <f>"20190312164033540"</f>
        <v>20190312164033540</v>
      </c>
      <c r="B2273" t="str">
        <f>"1552380033528115"</f>
        <v>1552380033528115</v>
      </c>
      <c r="C2273" t="s">
        <v>40</v>
      </c>
      <c r="D2273">
        <v>5.3183129999999998</v>
      </c>
      <c r="E2273">
        <v>0.49823230000000002</v>
      </c>
      <c r="F2273" t="s">
        <v>49</v>
      </c>
      <c r="G2273">
        <v>-298.41149999999999</v>
      </c>
      <c r="H2273" s="1">
        <v>3.7308700000000002E-6</v>
      </c>
      <c r="I2273">
        <v>284.23820000000001</v>
      </c>
      <c r="J2273">
        <v>-280.35109999999997</v>
      </c>
      <c r="K2273">
        <v>1.1090340000000001</v>
      </c>
      <c r="L2273">
        <v>284.28570000000002</v>
      </c>
      <c r="M2273">
        <v>-0.99997460000000005</v>
      </c>
      <c r="N2273">
        <v>0</v>
      </c>
      <c r="O2273">
        <v>7.4488679999999902E-4</v>
      </c>
      <c r="P2273">
        <v>-0.98802520000000005</v>
      </c>
      <c r="Q2273">
        <v>0.1536642</v>
      </c>
      <c r="R2273">
        <v>1.392061E-2</v>
      </c>
      <c r="S2273">
        <v>-3.0651250000000001</v>
      </c>
      <c r="T2273">
        <v>-0.18475839999999999</v>
      </c>
      <c r="U2273">
        <v>-7.8430180000000002E-3</v>
      </c>
      <c r="V2273">
        <v>1.332064E-2</v>
      </c>
      <c r="W2273">
        <v>0.16065889999999999</v>
      </c>
      <c r="X2273">
        <v>0.98692009999999997</v>
      </c>
      <c r="Y2273">
        <v>-3.2963519999999998E-3</v>
      </c>
      <c r="Z2273">
        <v>-1.4411830000000001E-4</v>
      </c>
      <c r="AA2273">
        <v>0.99999459999999996</v>
      </c>
      <c r="AB2273">
        <v>35</v>
      </c>
      <c r="AC2273">
        <v>-18.060400000000001</v>
      </c>
      <c r="AD2273">
        <v>-1.10903026912999</v>
      </c>
      <c r="AE2273">
        <v>-4.7500000000013601E-2</v>
      </c>
      <c r="AF2273">
        <v>-6.0724301506455698E-2</v>
      </c>
      <c r="AG2273">
        <v>-1.10903026912999</v>
      </c>
      <c r="AH2273">
        <v>17.992514126499199</v>
      </c>
      <c r="AI2273">
        <v>93.527139297283696</v>
      </c>
      <c r="AJ2273">
        <v>90.193371140672994</v>
      </c>
      <c r="AK2273">
        <v>18.026763441364501</v>
      </c>
      <c r="AL2273">
        <v>80.754856834174106</v>
      </c>
      <c r="AM2273">
        <v>89.226715403369496</v>
      </c>
      <c r="AN2273">
        <v>1.00000000269161</v>
      </c>
    </row>
    <row r="2274" spans="1:40" x14ac:dyDescent="0.25">
      <c r="A2274" t="str">
        <f>"20190312164033562"</f>
        <v>20190312164033562</v>
      </c>
      <c r="B2274" t="str">
        <f>"1552380033558371"</f>
        <v>1552380033558371</v>
      </c>
      <c r="C2274" t="s">
        <v>40</v>
      </c>
      <c r="D2274">
        <v>5.459009</v>
      </c>
      <c r="E2274">
        <v>0.49873859999999998</v>
      </c>
      <c r="F2274" t="s">
        <v>49</v>
      </c>
      <c r="G2274">
        <v>-298.68900000000002</v>
      </c>
      <c r="H2274" s="1">
        <v>3.7806179999999999E-6</v>
      </c>
      <c r="I2274">
        <v>284.23219999999998</v>
      </c>
      <c r="J2274">
        <v>-280.70280000000002</v>
      </c>
      <c r="K2274">
        <v>1.1090359999999999</v>
      </c>
      <c r="L2274">
        <v>284.28629999999998</v>
      </c>
      <c r="M2274">
        <v>-0.99997429999999998</v>
      </c>
      <c r="N2274">
        <v>0</v>
      </c>
      <c r="O2274">
        <v>1.0969090000000001E-3</v>
      </c>
      <c r="P2274">
        <v>-0.98800929999999998</v>
      </c>
      <c r="Q2274">
        <v>0.15378639999999999</v>
      </c>
      <c r="R2274">
        <v>1.3689720000000001E-2</v>
      </c>
      <c r="S2274">
        <v>-3.0653079999999999</v>
      </c>
      <c r="T2274">
        <v>-0.18538260000000001</v>
      </c>
      <c r="U2274">
        <v>-8.9416500000000006E-3</v>
      </c>
      <c r="V2274">
        <v>1.274287E-2</v>
      </c>
      <c r="W2274">
        <v>0.16078499999999901</v>
      </c>
      <c r="X2274">
        <v>0.98690719999999998</v>
      </c>
      <c r="Y2274">
        <v>-4.0046459999999997E-3</v>
      </c>
      <c r="Z2274">
        <v>-1.8726450000000001E-4</v>
      </c>
      <c r="AA2274">
        <v>0.99999199999999999</v>
      </c>
      <c r="AB2274">
        <v>35</v>
      </c>
      <c r="AC2274">
        <v>-17.986199999999901</v>
      </c>
      <c r="AD2274">
        <v>-1.1090322193819999</v>
      </c>
      <c r="AE2274">
        <v>-5.4100000000005297E-2</v>
      </c>
      <c r="AF2274">
        <v>-7.3550054203702697E-2</v>
      </c>
      <c r="AG2274">
        <v>-1.1090322193819999</v>
      </c>
      <c r="AH2274">
        <v>17.918006601186502</v>
      </c>
      <c r="AI2274">
        <v>93.541765332024895</v>
      </c>
      <c r="AJ2274">
        <v>90.235187100571594</v>
      </c>
      <c r="AK2274">
        <v>17.952446146257198</v>
      </c>
      <c r="AL2274">
        <v>80.747536732885607</v>
      </c>
      <c r="AM2274">
        <v>89.260242402029206</v>
      </c>
      <c r="AN2274">
        <v>1.0000000091863299</v>
      </c>
    </row>
    <row r="2275" spans="1:40" x14ac:dyDescent="0.25">
      <c r="A2275" t="str">
        <f>"20190312164033574"</f>
        <v>20190312164033574</v>
      </c>
      <c r="B2275" t="str">
        <f>"1552380033568132"</f>
        <v>1552380033568132</v>
      </c>
      <c r="C2275" t="s">
        <v>40</v>
      </c>
      <c r="D2275">
        <v>5.4096109999999999</v>
      </c>
      <c r="E2275">
        <v>0.49898150000000002</v>
      </c>
      <c r="F2275" t="s">
        <v>49</v>
      </c>
      <c r="G2275">
        <v>-298.83580000000001</v>
      </c>
      <c r="H2275" s="1">
        <v>3.804876E-6</v>
      </c>
      <c r="I2275">
        <v>284.2525</v>
      </c>
      <c r="J2275">
        <v>-280.9171</v>
      </c>
      <c r="K2275">
        <v>1.109035</v>
      </c>
      <c r="L2275">
        <v>284.2867</v>
      </c>
      <c r="M2275">
        <v>-0.99997400000000003</v>
      </c>
      <c r="N2275">
        <v>0</v>
      </c>
      <c r="O2275">
        <v>1.3115410000000001E-3</v>
      </c>
      <c r="P2275">
        <v>-0.98800569999999999</v>
      </c>
      <c r="Q2275">
        <v>0.1538226</v>
      </c>
      <c r="R2275">
        <v>1.3539270000000001E-2</v>
      </c>
      <c r="S2275">
        <v>-3.065674</v>
      </c>
      <c r="T2275">
        <v>-0.18750040000000001</v>
      </c>
      <c r="U2275">
        <v>-5.7067869999999996E-3</v>
      </c>
      <c r="V2275">
        <v>1.238064E-2</v>
      </c>
      <c r="W2275">
        <v>0.16082460000000001</v>
      </c>
      <c r="X2275">
        <v>0.98690529999999999</v>
      </c>
      <c r="Y2275">
        <v>-3.1647149999999998E-3</v>
      </c>
      <c r="Z2275">
        <v>-1.7683099999999999E-4</v>
      </c>
      <c r="AA2275">
        <v>0.99999499999999997</v>
      </c>
      <c r="AB2275">
        <v>35</v>
      </c>
      <c r="AC2275">
        <v>-17.918700000000001</v>
      </c>
      <c r="AD2275">
        <v>-1.1090311951239999</v>
      </c>
      <c r="AE2275">
        <v>-3.4199999999998398E-2</v>
      </c>
      <c r="AF2275">
        <v>-5.7481479462518602E-2</v>
      </c>
      <c r="AG2275">
        <v>-1.1090311951239999</v>
      </c>
      <c r="AH2275">
        <v>17.850261553234098</v>
      </c>
      <c r="AI2275">
        <v>93.555180790954793</v>
      </c>
      <c r="AJ2275">
        <v>90.184503447167401</v>
      </c>
      <c r="AK2275">
        <v>17.884772624529099</v>
      </c>
      <c r="AL2275">
        <v>80.745237366808993</v>
      </c>
      <c r="AM2275">
        <v>89.281267198111195</v>
      </c>
      <c r="AN2275">
        <v>0.99999995169002798</v>
      </c>
    </row>
    <row r="2276" spans="1:40" x14ac:dyDescent="0.25">
      <c r="A2276" t="str">
        <f>"20190312164033596"</f>
        <v>20190312164033596</v>
      </c>
      <c r="B2276" t="str">
        <f>"1552380033588641"</f>
        <v>1552380033588641</v>
      </c>
      <c r="C2276" t="s">
        <v>40</v>
      </c>
      <c r="D2276">
        <v>5.2111229999999997</v>
      </c>
      <c r="E2276">
        <v>0.49905859999999902</v>
      </c>
      <c r="F2276" t="s">
        <v>49</v>
      </c>
      <c r="G2276">
        <v>-298.9984</v>
      </c>
      <c r="H2276" s="1">
        <v>3.8329799999999998E-6</v>
      </c>
      <c r="I2276">
        <v>284.26100000000002</v>
      </c>
      <c r="J2276">
        <v>-281.2491</v>
      </c>
      <c r="K2276">
        <v>1.1090329999999999</v>
      </c>
      <c r="L2276">
        <v>284.28739999999999</v>
      </c>
      <c r="M2276">
        <v>-0.99997349999999996</v>
      </c>
      <c r="N2276">
        <v>0</v>
      </c>
      <c r="O2276">
        <v>1.6437680000000001E-3</v>
      </c>
      <c r="P2276">
        <v>-0.98803850000000004</v>
      </c>
      <c r="Q2276">
        <v>0.15362339999999999</v>
      </c>
      <c r="R2276">
        <v>1.342954E-2</v>
      </c>
      <c r="S2276">
        <v>-3.0657649999999999</v>
      </c>
      <c r="T2276">
        <v>-0.18804170000000001</v>
      </c>
      <c r="U2276">
        <v>-4.3640140000000003E-3</v>
      </c>
      <c r="V2276">
        <v>1.19433E-2</v>
      </c>
      <c r="W2276">
        <v>0.1606311</v>
      </c>
      <c r="X2276">
        <v>0.98694219999999999</v>
      </c>
      <c r="Y2276">
        <v>-3.0584340000000001E-3</v>
      </c>
      <c r="Z2276">
        <v>-1.944378E-4</v>
      </c>
      <c r="AA2276">
        <v>0.99999530000000003</v>
      </c>
      <c r="AB2276">
        <v>35</v>
      </c>
      <c r="AC2276">
        <v>-17.749300000000002</v>
      </c>
      <c r="AD2276">
        <v>-1.1090291670200001</v>
      </c>
      <c r="AE2276">
        <v>-2.64000000000237E-2</v>
      </c>
      <c r="AF2276">
        <v>-5.5360296531733001E-2</v>
      </c>
      <c r="AG2276">
        <v>-1.1090291670200001</v>
      </c>
      <c r="AH2276">
        <v>17.680207075223301</v>
      </c>
      <c r="AI2276">
        <v>93.589281272524005</v>
      </c>
      <c r="AJ2276">
        <v>90.179404062643101</v>
      </c>
      <c r="AK2276">
        <v>17.715042553674799</v>
      </c>
      <c r="AL2276">
        <v>80.7564701195151</v>
      </c>
      <c r="AM2276">
        <v>89.306679476294505</v>
      </c>
      <c r="AN2276">
        <v>0.99999994942146797</v>
      </c>
    </row>
    <row r="2277" spans="1:40" x14ac:dyDescent="0.25">
      <c r="A2277" t="str">
        <f>"20190312164033608"</f>
        <v>20190312164033608</v>
      </c>
      <c r="B2277" t="str">
        <f>"1552380033598388"</f>
        <v>1552380033598388</v>
      </c>
      <c r="C2277" t="s">
        <v>40</v>
      </c>
      <c r="D2277">
        <v>5.3844810000000001</v>
      </c>
      <c r="E2277">
        <v>0.49907210000000002</v>
      </c>
      <c r="F2277" t="s">
        <v>49</v>
      </c>
      <c r="G2277">
        <v>-299.07029999999997</v>
      </c>
      <c r="H2277" s="1">
        <v>3.8454529999999996E-6</v>
      </c>
      <c r="I2277">
        <v>284.26429999999999</v>
      </c>
      <c r="J2277">
        <v>-281.43400000000003</v>
      </c>
      <c r="K2277">
        <v>1.1090310000000001</v>
      </c>
      <c r="L2277">
        <v>284.2878</v>
      </c>
      <c r="M2277">
        <v>-0.99997309999999995</v>
      </c>
      <c r="N2277">
        <v>0</v>
      </c>
      <c r="O2277">
        <v>1.8288340000000001E-3</v>
      </c>
      <c r="P2277">
        <v>-0.98804429999999999</v>
      </c>
      <c r="Q2277">
        <v>0.1535666</v>
      </c>
      <c r="R2277">
        <v>1.3634179999999999E-2</v>
      </c>
      <c r="S2277">
        <v>-3.0660400000000001</v>
      </c>
      <c r="T2277">
        <v>-0.19080150000000001</v>
      </c>
      <c r="U2277">
        <v>-3.9672850000000001E-3</v>
      </c>
      <c r="V2277">
        <v>1.196522E-2</v>
      </c>
      <c r="W2277">
        <v>0.160578</v>
      </c>
      <c r="X2277">
        <v>0.98695060000000001</v>
      </c>
      <c r="Y2277">
        <v>-3.1132590000000002E-3</v>
      </c>
      <c r="Z2277">
        <v>-2.1047859999999999E-4</v>
      </c>
      <c r="AA2277">
        <v>0.99999510000000003</v>
      </c>
      <c r="AB2277">
        <v>36</v>
      </c>
      <c r="AC2277">
        <v>-17.636299999999899</v>
      </c>
      <c r="AD2277">
        <v>-1.1090271545469901</v>
      </c>
      <c r="AE2277">
        <v>-2.3500000000012702E-2</v>
      </c>
      <c r="AF2277">
        <v>-5.5535037778478499E-2</v>
      </c>
      <c r="AG2277">
        <v>-1.1090271545469901</v>
      </c>
      <c r="AH2277">
        <v>17.5667634306471</v>
      </c>
      <c r="AI2277">
        <v>93.612392276715894</v>
      </c>
      <c r="AJ2277">
        <v>90.181132551372301</v>
      </c>
      <c r="AK2277">
        <v>17.601823848631799</v>
      </c>
      <c r="AL2277">
        <v>80.759552765339706</v>
      </c>
      <c r="AM2277">
        <v>89.305413034047405</v>
      </c>
      <c r="AN2277">
        <v>0.999999973707003</v>
      </c>
    </row>
    <row r="2278" spans="1:40" x14ac:dyDescent="0.25">
      <c r="A2278" t="str">
        <f>"20190312164033619"</f>
        <v>20190312164033619</v>
      </c>
      <c r="B2278" t="str">
        <f>"1552380033608147"</f>
        <v>1552380033608147</v>
      </c>
      <c r="C2278" t="s">
        <v>40</v>
      </c>
      <c r="D2278">
        <v>5.3413500000000003</v>
      </c>
      <c r="E2278">
        <v>0.499137</v>
      </c>
      <c r="F2278" t="s">
        <v>49</v>
      </c>
      <c r="G2278">
        <v>-299.29160000000002</v>
      </c>
      <c r="H2278" s="1">
        <v>3.8842010000000003E-6</v>
      </c>
      <c r="I2278">
        <v>284.27010000000001</v>
      </c>
      <c r="J2278">
        <v>-281.62240000000003</v>
      </c>
      <c r="K2278">
        <v>1.1090310000000001</v>
      </c>
      <c r="L2278">
        <v>284.28829999999999</v>
      </c>
      <c r="M2278">
        <v>-0.9999728</v>
      </c>
      <c r="N2278">
        <v>0</v>
      </c>
      <c r="O2278">
        <v>2.017296E-3</v>
      </c>
      <c r="P2278">
        <v>-0.98803940000000001</v>
      </c>
      <c r="Q2278">
        <v>0.1536129</v>
      </c>
      <c r="R2278">
        <v>1.346376E-2</v>
      </c>
      <c r="S2278">
        <v>-3.0659480000000001</v>
      </c>
      <c r="T2278">
        <v>-0.1904073</v>
      </c>
      <c r="U2278">
        <v>-3.0517579999999999E-3</v>
      </c>
      <c r="V2278">
        <v>1.1608780000000001E-2</v>
      </c>
      <c r="W2278">
        <v>0.16062779999999999</v>
      </c>
      <c r="X2278">
        <v>0.98694680000000001</v>
      </c>
      <c r="Y2278">
        <v>-3.0030429999999999E-3</v>
      </c>
      <c r="Z2278">
        <v>-2.1832500000000001E-4</v>
      </c>
      <c r="AA2278">
        <v>0.99999550000000004</v>
      </c>
      <c r="AB2278">
        <v>36</v>
      </c>
      <c r="AC2278">
        <v>-17.669199999999901</v>
      </c>
      <c r="AD2278">
        <v>-1.1090271157989999</v>
      </c>
      <c r="AE2278">
        <v>-1.81999999999789E-2</v>
      </c>
      <c r="AF2278">
        <v>-5.3633572626740601E-2</v>
      </c>
      <c r="AG2278">
        <v>-1.1090271157989999</v>
      </c>
      <c r="AH2278">
        <v>17.5997915161253</v>
      </c>
      <c r="AI2278">
        <v>93.605632243311405</v>
      </c>
      <c r="AJ2278">
        <v>90.174602513695504</v>
      </c>
      <c r="AK2278">
        <v>17.6347803818127</v>
      </c>
      <c r="AL2278">
        <v>80.756662340895005</v>
      </c>
      <c r="AM2278">
        <v>89.326100021182</v>
      </c>
      <c r="AN2278">
        <v>1.0000000199680801</v>
      </c>
    </row>
    <row r="2279" spans="1:40" x14ac:dyDescent="0.25">
      <c r="A2279" t="str">
        <f>"20190312164033631"</f>
        <v>20190312164033631</v>
      </c>
      <c r="B2279" t="str">
        <f>"1552380033628643"</f>
        <v>1552380033628643</v>
      </c>
      <c r="C2279" t="s">
        <v>40</v>
      </c>
      <c r="D2279">
        <v>5.2246420000000002</v>
      </c>
      <c r="E2279">
        <v>0.49921559999999998</v>
      </c>
      <c r="F2279" t="s">
        <v>49</v>
      </c>
      <c r="G2279">
        <v>-299.52350000000001</v>
      </c>
      <c r="H2279" s="1">
        <v>3.9252369999999997E-6</v>
      </c>
      <c r="I2279">
        <v>284.27120000000002</v>
      </c>
      <c r="J2279">
        <v>-281.80619999999999</v>
      </c>
      <c r="K2279">
        <v>1.1090260000000001</v>
      </c>
      <c r="L2279">
        <v>284.28879999999998</v>
      </c>
      <c r="M2279">
        <v>-0.99997230000000004</v>
      </c>
      <c r="N2279">
        <v>0</v>
      </c>
      <c r="O2279">
        <v>2.201228E-3</v>
      </c>
      <c r="P2279">
        <v>-0.98803030000000003</v>
      </c>
      <c r="Q2279">
        <v>0.153647799999999</v>
      </c>
      <c r="R2279">
        <v>1.372175E-2</v>
      </c>
      <c r="S2279">
        <v>-3.0659480000000001</v>
      </c>
      <c r="T2279">
        <v>-0.18994449999999999</v>
      </c>
      <c r="U2279">
        <v>-2.9296880000000002E-3</v>
      </c>
      <c r="V2279">
        <v>1.168548E-2</v>
      </c>
      <c r="W2279">
        <v>0.160666899999999</v>
      </c>
      <c r="X2279">
        <v>0.98693949999999997</v>
      </c>
      <c r="Y2279">
        <v>-3.1465830000000001E-3</v>
      </c>
      <c r="Z2279">
        <v>-2.336219E-4</v>
      </c>
      <c r="AA2279">
        <v>0.99999499999999997</v>
      </c>
      <c r="AB2279">
        <v>36</v>
      </c>
      <c r="AC2279">
        <v>-17.717300000000002</v>
      </c>
      <c r="AD2279">
        <v>-1.109022074763</v>
      </c>
      <c r="AE2279">
        <v>-1.7599999999958899E-2</v>
      </c>
      <c r="AF2279">
        <v>-5.63798533710968E-2</v>
      </c>
      <c r="AG2279">
        <v>-1.109022074763</v>
      </c>
      <c r="AH2279">
        <v>17.6480699385124</v>
      </c>
      <c r="AI2279">
        <v>93.595776566008993</v>
      </c>
      <c r="AJ2279">
        <v>90.183040789702801</v>
      </c>
      <c r="AK2279">
        <v>17.682971503817001</v>
      </c>
      <c r="AL2279">
        <v>80.754392316057604</v>
      </c>
      <c r="AM2279">
        <v>89.3216429158023</v>
      </c>
      <c r="AN2279">
        <v>0.99999998992934502</v>
      </c>
    </row>
    <row r="2280" spans="1:40" x14ac:dyDescent="0.25">
      <c r="A2280" t="str">
        <f>"20190312164033643"</f>
        <v>20190312164033643</v>
      </c>
      <c r="B2280" t="str">
        <f>"1552380033638404"</f>
        <v>1552380033638404</v>
      </c>
      <c r="C2280" t="s">
        <v>40</v>
      </c>
      <c r="D2280">
        <v>5.1957149999999999</v>
      </c>
      <c r="E2280">
        <v>0.49922719999999998</v>
      </c>
      <c r="F2280" t="s">
        <v>49</v>
      </c>
      <c r="G2280">
        <v>-299.6429</v>
      </c>
      <c r="H2280" s="1">
        <v>3.9455949999999996E-6</v>
      </c>
      <c r="I2280">
        <v>284.28050000000002</v>
      </c>
      <c r="J2280">
        <v>-281.98930000000001</v>
      </c>
      <c r="K2280">
        <v>1.1090249999999999</v>
      </c>
      <c r="L2280">
        <v>284.2894</v>
      </c>
      <c r="M2280">
        <v>-0.99997190000000002</v>
      </c>
      <c r="N2280">
        <v>0</v>
      </c>
      <c r="O2280">
        <v>2.3840860000000001E-3</v>
      </c>
      <c r="P2280">
        <v>-0.98804709999999996</v>
      </c>
      <c r="Q2280">
        <v>0.15355160000000001</v>
      </c>
      <c r="R2280">
        <v>1.361857E-2</v>
      </c>
      <c r="S2280">
        <v>-3.065979</v>
      </c>
      <c r="T2280">
        <v>-0.190632</v>
      </c>
      <c r="U2280">
        <v>-1.4343260000000001E-3</v>
      </c>
      <c r="V2280">
        <v>1.140208E-2</v>
      </c>
      <c r="W2280">
        <v>0.1605752</v>
      </c>
      <c r="X2280">
        <v>0.98695770000000005</v>
      </c>
      <c r="Y2280">
        <v>-2.841873E-3</v>
      </c>
      <c r="Z2280">
        <v>-2.363586E-4</v>
      </c>
      <c r="AA2280">
        <v>0.99999590000000005</v>
      </c>
      <c r="AB2280">
        <v>36</v>
      </c>
      <c r="AC2280">
        <v>-17.653599999999901</v>
      </c>
      <c r="AD2280">
        <v>-1.1090210544050001</v>
      </c>
      <c r="AE2280">
        <v>-8.8999999999828001E-3</v>
      </c>
      <c r="AF2280">
        <v>-5.0788301989295299E-2</v>
      </c>
      <c r="AG2280">
        <v>-1.1090210544050001</v>
      </c>
      <c r="AH2280">
        <v>17.584132700480598</v>
      </c>
      <c r="AI2280">
        <v>93.608816634493294</v>
      </c>
      <c r="AJ2280">
        <v>90.165487107628707</v>
      </c>
      <c r="AK2280">
        <v>17.619143849201201</v>
      </c>
      <c r="AL2280">
        <v>80.759715099782497</v>
      </c>
      <c r="AM2280">
        <v>89.338105371770396</v>
      </c>
      <c r="AN2280">
        <v>0.99999995193632696</v>
      </c>
    </row>
    <row r="2281" spans="1:40" x14ac:dyDescent="0.25">
      <c r="A2281" t="str">
        <f>"20190312164033663"</f>
        <v>20190312164033663</v>
      </c>
      <c r="B2281" t="str">
        <f>"1552380033657924"</f>
        <v>1552380033657924</v>
      </c>
      <c r="C2281" t="s">
        <v>40</v>
      </c>
      <c r="D2281">
        <v>5.1848039999999997</v>
      </c>
      <c r="E2281">
        <v>0.49925890000000001</v>
      </c>
      <c r="F2281" t="s">
        <v>49</v>
      </c>
      <c r="G2281">
        <v>-299.7072</v>
      </c>
      <c r="H2281" s="1">
        <v>3.9570800000000001E-6</v>
      </c>
      <c r="I2281">
        <v>284.27969999999999</v>
      </c>
      <c r="J2281">
        <v>-282.31580000000002</v>
      </c>
      <c r="K2281">
        <v>1.10902099999999</v>
      </c>
      <c r="L2281">
        <v>284.29050000000001</v>
      </c>
      <c r="M2281">
        <v>-0.99997100000000005</v>
      </c>
      <c r="N2281">
        <v>0</v>
      </c>
      <c r="O2281">
        <v>2.7103449999999999E-3</v>
      </c>
      <c r="P2281">
        <v>-0.98800250000000001</v>
      </c>
      <c r="Q2281">
        <v>0.15378739999999999</v>
      </c>
      <c r="R2281">
        <v>1.4166730000000001E-2</v>
      </c>
      <c r="S2281">
        <v>-3.0661320000000001</v>
      </c>
      <c r="T2281">
        <v>-0.19191859999999999</v>
      </c>
      <c r="U2281">
        <v>-1.6784669999999999E-3</v>
      </c>
      <c r="V2281">
        <v>1.1628609999999999E-2</v>
      </c>
      <c r="W2281">
        <v>0.16081799999999999</v>
      </c>
      <c r="X2281">
        <v>0.9869156</v>
      </c>
      <c r="Y2281">
        <v>-3.2461769999999998E-3</v>
      </c>
      <c r="Z2281">
        <v>-2.7098200000000002E-4</v>
      </c>
      <c r="AA2281">
        <v>0.99999470000000001</v>
      </c>
      <c r="AB2281">
        <v>36</v>
      </c>
      <c r="AC2281">
        <v>-17.391399999999901</v>
      </c>
      <c r="AD2281">
        <v>-1.1090170429199999</v>
      </c>
      <c r="AE2281">
        <v>-1.08000000000174E-2</v>
      </c>
      <c r="AF2281">
        <v>-5.7703205478275399E-2</v>
      </c>
      <c r="AG2281">
        <v>-1.1090170429199999</v>
      </c>
      <c r="AH2281">
        <v>17.3208737171283</v>
      </c>
      <c r="AI2281">
        <v>93.663500321558104</v>
      </c>
      <c r="AJ2281">
        <v>90.190875931628298</v>
      </c>
      <c r="AK2281">
        <v>17.356437272266401</v>
      </c>
      <c r="AL2281">
        <v>80.745621214846096</v>
      </c>
      <c r="AM2281">
        <v>89.324927639674499</v>
      </c>
      <c r="AN2281">
        <v>1.00000002760894</v>
      </c>
    </row>
    <row r="2282" spans="1:40" x14ac:dyDescent="0.25">
      <c r="A2282" t="str">
        <f>"20190312164033687"</f>
        <v>20190312164033687</v>
      </c>
      <c r="B2282" t="str">
        <f>"1552380033678420"</f>
        <v>1552380033678420</v>
      </c>
      <c r="C2282" t="s">
        <v>40</v>
      </c>
      <c r="D2282">
        <v>5.1900599999999999</v>
      </c>
      <c r="E2282">
        <v>0.49933040000000001</v>
      </c>
      <c r="F2282" t="s">
        <v>49</v>
      </c>
      <c r="G2282">
        <v>-299.90969999999999</v>
      </c>
      <c r="H2282" s="1">
        <v>3.991915E-6</v>
      </c>
      <c r="I2282">
        <v>284.2921</v>
      </c>
      <c r="J2282">
        <v>-282.702</v>
      </c>
      <c r="K2282">
        <v>1.1090180000000001</v>
      </c>
      <c r="L2282">
        <v>284.2919</v>
      </c>
      <c r="M2282">
        <v>-0.99996980000000002</v>
      </c>
      <c r="N2282">
        <v>0</v>
      </c>
      <c r="O2282">
        <v>3.096498E-3</v>
      </c>
      <c r="P2282">
        <v>-0.98795840000000001</v>
      </c>
      <c r="Q2282">
        <v>0.15403839999999999</v>
      </c>
      <c r="R2282">
        <v>1.450808E-2</v>
      </c>
      <c r="S2282">
        <v>-3.0664980000000002</v>
      </c>
      <c r="T2282">
        <v>-0.19329460000000001</v>
      </c>
      <c r="U2282">
        <v>2.7465820000000001E-4</v>
      </c>
      <c r="V2282">
        <v>1.15893E-2</v>
      </c>
      <c r="W2282">
        <v>0.16107869999999999</v>
      </c>
      <c r="X2282">
        <v>0.98687349999999996</v>
      </c>
      <c r="Y2282">
        <v>-2.9949210000000002E-3</v>
      </c>
      <c r="Z2282">
        <v>-2.892948E-4</v>
      </c>
      <c r="AA2282">
        <v>0.99999550000000004</v>
      </c>
      <c r="AB2282">
        <v>36</v>
      </c>
      <c r="AC2282">
        <v>-17.2076999999999</v>
      </c>
      <c r="AD2282">
        <v>-1.1090140080849999</v>
      </c>
      <c r="AE2282">
        <v>2.0000000000663901E-4</v>
      </c>
      <c r="AF2282">
        <v>-5.2865379803153603E-2</v>
      </c>
      <c r="AG2282">
        <v>-1.1090140080849999</v>
      </c>
      <c r="AH2282">
        <v>17.136439590038201</v>
      </c>
      <c r="AI2282">
        <v>93.702813129427298</v>
      </c>
      <c r="AJ2282">
        <v>90.176755125841794</v>
      </c>
      <c r="AK2282">
        <v>17.1723693368602</v>
      </c>
      <c r="AL2282">
        <v>80.730486472532306</v>
      </c>
      <c r="AM2282">
        <v>89.327180783115594</v>
      </c>
      <c r="AN2282">
        <v>0.99999998223521402</v>
      </c>
    </row>
    <row r="2283" spans="1:40" x14ac:dyDescent="0.25">
      <c r="A2283" t="str">
        <f>"20190312164033709"</f>
        <v>20190312164033709</v>
      </c>
      <c r="B2283" t="str">
        <f>"1552380033697939"</f>
        <v>1552380033697939</v>
      </c>
      <c r="C2283" t="s">
        <v>40</v>
      </c>
      <c r="D2283">
        <v>5.1863419999999998</v>
      </c>
      <c r="E2283">
        <v>0.49935619999999997</v>
      </c>
      <c r="F2283" t="s">
        <v>49</v>
      </c>
      <c r="G2283">
        <v>-300.20679999999999</v>
      </c>
      <c r="H2283" s="1">
        <v>3.9554649999999997E-6</v>
      </c>
      <c r="I2283">
        <v>284.30130000000003</v>
      </c>
      <c r="J2283">
        <v>-283.0557</v>
      </c>
      <c r="K2283">
        <v>1.109013</v>
      </c>
      <c r="L2283">
        <v>284.29329999999999</v>
      </c>
      <c r="M2283">
        <v>-0.99996859999999999</v>
      </c>
      <c r="N2283">
        <v>0</v>
      </c>
      <c r="O2283">
        <v>3.4501079999999999E-3</v>
      </c>
      <c r="P2283">
        <v>-0.98797509999999999</v>
      </c>
      <c r="Q2283">
        <v>0.1538871</v>
      </c>
      <c r="R2283">
        <v>1.4978450000000001E-2</v>
      </c>
      <c r="S2283">
        <v>-3.0668329999999999</v>
      </c>
      <c r="T2283">
        <v>-0.19429930000000001</v>
      </c>
      <c r="U2283">
        <v>1.6479489999999999E-3</v>
      </c>
      <c r="V2283">
        <v>1.171078E-2</v>
      </c>
      <c r="W2283">
        <v>0.160937</v>
      </c>
      <c r="X2283">
        <v>0.98689519999999997</v>
      </c>
      <c r="Y2283">
        <v>-2.9001220000000002E-3</v>
      </c>
      <c r="Z2283">
        <v>-3.1014459999999998E-4</v>
      </c>
      <c r="AA2283">
        <v>0.99999579999999999</v>
      </c>
      <c r="AB2283">
        <v>36</v>
      </c>
      <c r="AC2283">
        <v>-17.1510999999999</v>
      </c>
      <c r="AD2283">
        <v>-1.109009044535</v>
      </c>
      <c r="AE2283">
        <v>8.0000000000381901E-3</v>
      </c>
      <c r="AF2283">
        <v>-5.0961627337264698E-2</v>
      </c>
      <c r="AG2283">
        <v>-1.109009044535</v>
      </c>
      <c r="AH2283">
        <v>17.079614670941002</v>
      </c>
      <c r="AI2283">
        <v>93.715082727106605</v>
      </c>
      <c r="AJ2283">
        <v>90.170956871961906</v>
      </c>
      <c r="AK2283">
        <v>17.1156576109755</v>
      </c>
      <c r="AL2283">
        <v>80.738712757876101</v>
      </c>
      <c r="AM2283">
        <v>89.320143842762505</v>
      </c>
      <c r="AN2283">
        <v>0.99999999806012396</v>
      </c>
    </row>
    <row r="2284" spans="1:40" x14ac:dyDescent="0.25">
      <c r="A2284" t="str">
        <f>"20190312164033731"</f>
        <v>20190312164033731</v>
      </c>
      <c r="B2284" t="str">
        <f>"1552380033718439"</f>
        <v>1552380033718439</v>
      </c>
      <c r="C2284" t="s">
        <v>40</v>
      </c>
      <c r="D2284">
        <v>5.1975749999999996</v>
      </c>
      <c r="E2284">
        <v>0.49936920000000001</v>
      </c>
      <c r="F2284" t="s">
        <v>49</v>
      </c>
      <c r="G2284">
        <v>-300.35840000000002</v>
      </c>
      <c r="H2284" s="1">
        <v>3.9275360000000002E-6</v>
      </c>
      <c r="I2284">
        <v>284.31310000000002</v>
      </c>
      <c r="J2284">
        <v>-283.3999</v>
      </c>
      <c r="K2284">
        <v>1.109016</v>
      </c>
      <c r="L2284">
        <v>284.29480000000001</v>
      </c>
      <c r="M2284">
        <v>-0.9999673</v>
      </c>
      <c r="N2284">
        <v>0</v>
      </c>
      <c r="O2284">
        <v>3.7937040000000002E-3</v>
      </c>
      <c r="P2284">
        <v>-0.98798600000000003</v>
      </c>
      <c r="Q2284">
        <v>0.15378</v>
      </c>
      <c r="R2284">
        <v>1.534346E-2</v>
      </c>
      <c r="S2284">
        <v>-3.0671080000000002</v>
      </c>
      <c r="T2284">
        <v>-0.19658510000000001</v>
      </c>
      <c r="U2284">
        <v>3.5095209999999998E-3</v>
      </c>
      <c r="V2284">
        <v>1.1736770000000001E-2</v>
      </c>
      <c r="W2284">
        <v>0.1608406</v>
      </c>
      <c r="X2284">
        <v>0.98691059999999997</v>
      </c>
      <c r="Y2284">
        <v>-2.636369E-3</v>
      </c>
      <c r="Z2284">
        <v>-3.2731429999999998E-4</v>
      </c>
      <c r="AA2284">
        <v>0.99999649999999995</v>
      </c>
      <c r="AB2284">
        <v>36</v>
      </c>
      <c r="AC2284">
        <v>-16.958500000000001</v>
      </c>
      <c r="AD2284">
        <v>-1.109012072464</v>
      </c>
      <c r="AE2284">
        <v>1.8300000000010599E-2</v>
      </c>
      <c r="AF2284">
        <v>-4.5841257752018097E-2</v>
      </c>
      <c r="AG2284">
        <v>-1.109012072464</v>
      </c>
      <c r="AH2284">
        <v>16.886231968249799</v>
      </c>
      <c r="AI2284">
        <v>93.757520106793095</v>
      </c>
      <c r="AJ2284">
        <v>90.155541162147003</v>
      </c>
      <c r="AK2284">
        <v>16.9226723446187</v>
      </c>
      <c r="AL2284">
        <v>80.744308913215704</v>
      </c>
      <c r="AM2284">
        <v>89.318645795829795</v>
      </c>
      <c r="AN2284">
        <v>0.99999999138537599</v>
      </c>
    </row>
    <row r="2285" spans="1:40" x14ac:dyDescent="0.25">
      <c r="A2285" t="str">
        <f>"20190312164033753"</f>
        <v>20190312164033753</v>
      </c>
      <c r="B2285" t="str">
        <f>"1552380033748693"</f>
        <v>1552380033748693</v>
      </c>
      <c r="C2285" t="s">
        <v>40</v>
      </c>
      <c r="D2285">
        <v>5.9816839999999996</v>
      </c>
      <c r="E2285">
        <v>0.49945620000000002</v>
      </c>
      <c r="F2285" t="s">
        <v>49</v>
      </c>
      <c r="G2285">
        <v>-300.53719999999998</v>
      </c>
      <c r="H2285" s="1">
        <v>3.8951820000000003E-6</v>
      </c>
      <c r="I2285">
        <v>284.32040000000001</v>
      </c>
      <c r="J2285">
        <v>-283.75790000000001</v>
      </c>
      <c r="K2285">
        <v>1.109011</v>
      </c>
      <c r="L2285">
        <v>284.29649999999998</v>
      </c>
      <c r="M2285">
        <v>-0.99996580000000002</v>
      </c>
      <c r="N2285">
        <v>0</v>
      </c>
      <c r="O2285">
        <v>4.1508869999999998E-3</v>
      </c>
      <c r="P2285">
        <v>-0.98797120000000005</v>
      </c>
      <c r="Q2285">
        <v>0.1538273</v>
      </c>
      <c r="R2285">
        <v>1.5817109999999999E-2</v>
      </c>
      <c r="S2285">
        <v>-3.067291</v>
      </c>
      <c r="T2285">
        <v>-0.1984947</v>
      </c>
      <c r="U2285">
        <v>4.5776369999999999E-3</v>
      </c>
      <c r="V2285">
        <v>1.1858179999999999E-2</v>
      </c>
      <c r="W2285">
        <v>0.1608985</v>
      </c>
      <c r="X2285">
        <v>0.98689970000000005</v>
      </c>
      <c r="Y2285">
        <v>-2.644385E-3</v>
      </c>
      <c r="Z2285">
        <v>-3.5381710000000001E-4</v>
      </c>
      <c r="AA2285">
        <v>0.99999640000000001</v>
      </c>
      <c r="AB2285">
        <v>36</v>
      </c>
      <c r="AC2285">
        <v>-16.7792999999999</v>
      </c>
      <c r="AD2285">
        <v>-1.1090071048179999</v>
      </c>
      <c r="AE2285">
        <v>2.3900000000026001E-2</v>
      </c>
      <c r="AF2285">
        <v>-4.5551977942529298E-2</v>
      </c>
      <c r="AG2285">
        <v>-1.1090071048179999</v>
      </c>
      <c r="AH2285">
        <v>16.706275341581001</v>
      </c>
      <c r="AI2285">
        <v>93.797860443336205</v>
      </c>
      <c r="AJ2285">
        <v>90.156224506261097</v>
      </c>
      <c r="AK2285">
        <v>16.743106268848301</v>
      </c>
      <c r="AL2285">
        <v>80.740947611264403</v>
      </c>
      <c r="AM2285">
        <v>89.311590658684196</v>
      </c>
      <c r="AN2285">
        <v>0.99999998079762598</v>
      </c>
    </row>
    <row r="2286" spans="1:40" x14ac:dyDescent="0.25">
      <c r="A2286" t="str">
        <f>"20190312164033765"</f>
        <v>20190312164033765</v>
      </c>
      <c r="B2286" t="str">
        <f>"1552380033758451"</f>
        <v>1552380033758451</v>
      </c>
      <c r="C2286" t="s">
        <v>40</v>
      </c>
      <c r="D2286">
        <v>5.2147620000000003</v>
      </c>
      <c r="E2286">
        <v>0.4994711</v>
      </c>
      <c r="F2286" t="s">
        <v>49</v>
      </c>
      <c r="G2286">
        <v>-300.7389</v>
      </c>
      <c r="H2286" s="1">
        <v>3.8582879999999996E-6</v>
      </c>
      <c r="I2286">
        <v>284.3331</v>
      </c>
      <c r="J2286">
        <v>-283.96559999999999</v>
      </c>
      <c r="K2286">
        <v>1.109005</v>
      </c>
      <c r="L2286">
        <v>284.29750000000001</v>
      </c>
      <c r="M2286">
        <v>-0.99996470000000004</v>
      </c>
      <c r="N2286">
        <v>0</v>
      </c>
      <c r="O2286">
        <v>4.3581160000000004E-3</v>
      </c>
      <c r="P2286">
        <v>-0.9879521</v>
      </c>
      <c r="Q2286">
        <v>0.1539305</v>
      </c>
      <c r="R2286">
        <v>1.6009120000000002E-2</v>
      </c>
      <c r="S2286">
        <v>-3.0676570000000001</v>
      </c>
      <c r="T2286">
        <v>-0.2003443</v>
      </c>
      <c r="U2286">
        <v>6.6223139999999998E-3</v>
      </c>
      <c r="V2286">
        <v>1.184612E-2</v>
      </c>
      <c r="W2286">
        <v>0.16100809999999999</v>
      </c>
      <c r="X2286">
        <v>0.98688200000000004</v>
      </c>
      <c r="Y2286">
        <v>-2.185551E-3</v>
      </c>
      <c r="Z2286">
        <v>-3.5561700000000002E-4</v>
      </c>
      <c r="AA2286">
        <v>0.99999760000000004</v>
      </c>
      <c r="AB2286">
        <v>36</v>
      </c>
      <c r="AC2286">
        <v>-16.773299999999999</v>
      </c>
      <c r="AD2286">
        <v>-1.109001141712</v>
      </c>
      <c r="AE2286">
        <v>3.5599999999988002E-2</v>
      </c>
      <c r="AF2286">
        <v>-3.7338986139372601E-2</v>
      </c>
      <c r="AG2286">
        <v>-1.109001141712</v>
      </c>
      <c r="AH2286">
        <v>16.700291452262299</v>
      </c>
      <c r="AI2286">
        <v>93.799201516514799</v>
      </c>
      <c r="AJ2286">
        <v>90.128103318338006</v>
      </c>
      <c r="AK2286">
        <v>16.737114814767502</v>
      </c>
      <c r="AL2286">
        <v>80.734585315082498</v>
      </c>
      <c r="AM2286">
        <v>89.3122783840452</v>
      </c>
      <c r="AN2286">
        <v>1.0000000103743301</v>
      </c>
    </row>
    <row r="2287" spans="1:40" x14ac:dyDescent="0.25">
      <c r="A2287" t="str">
        <f>"20190312164033777"</f>
        <v>20190312164033777</v>
      </c>
      <c r="B2287" t="str">
        <f>"1552380033768212"</f>
        <v>1552380033768212</v>
      </c>
      <c r="C2287" t="s">
        <v>40</v>
      </c>
      <c r="D2287">
        <v>5.2198929999999999</v>
      </c>
      <c r="E2287">
        <v>0.4994962</v>
      </c>
      <c r="F2287" t="s">
        <v>49</v>
      </c>
      <c r="G2287">
        <v>-301.00200000000001</v>
      </c>
      <c r="H2287" s="1">
        <v>3.8109860000000001E-6</v>
      </c>
      <c r="I2287">
        <v>284.34039999999999</v>
      </c>
      <c r="J2287">
        <v>-284.18259999999998</v>
      </c>
      <c r="K2287">
        <v>1.109002</v>
      </c>
      <c r="L2287">
        <v>284.29860000000002</v>
      </c>
      <c r="M2287">
        <v>-0.99996379999999996</v>
      </c>
      <c r="N2287">
        <v>0</v>
      </c>
      <c r="O2287">
        <v>4.5744030000000003E-3</v>
      </c>
      <c r="P2287">
        <v>-0.9879327</v>
      </c>
      <c r="Q2287">
        <v>0.1540472</v>
      </c>
      <c r="R2287">
        <v>1.607604E-2</v>
      </c>
      <c r="S2287">
        <v>-3.0675659999999998</v>
      </c>
      <c r="T2287">
        <v>-0.19968569999999999</v>
      </c>
      <c r="U2287">
        <v>7.7209469999999997E-3</v>
      </c>
      <c r="V2287">
        <v>1.169978E-2</v>
      </c>
      <c r="W2287">
        <v>0.16113139999999901</v>
      </c>
      <c r="X2287">
        <v>0.98686359999999995</v>
      </c>
      <c r="Y2287">
        <v>-2.043572E-3</v>
      </c>
      <c r="Z2287">
        <v>-3.6390929999999998E-4</v>
      </c>
      <c r="AA2287">
        <v>0.9999979</v>
      </c>
      <c r="AB2287">
        <v>36</v>
      </c>
      <c r="AC2287">
        <v>-16.819400000000002</v>
      </c>
      <c r="AD2287">
        <v>-1.1089981890139999</v>
      </c>
      <c r="AE2287">
        <v>4.1799999999966503E-2</v>
      </c>
      <c r="AF2287">
        <v>-3.4989017215989002E-2</v>
      </c>
      <c r="AG2287">
        <v>-1.1089981890139999</v>
      </c>
      <c r="AH2287">
        <v>16.746609613133501</v>
      </c>
      <c r="AI2287">
        <v>93.788715382620097</v>
      </c>
      <c r="AJ2287">
        <v>90.119709012454607</v>
      </c>
      <c r="AK2287">
        <v>16.783326093157299</v>
      </c>
      <c r="AL2287">
        <v>80.727427082996599</v>
      </c>
      <c r="AM2287">
        <v>89.320760628589397</v>
      </c>
      <c r="AN2287">
        <v>0.99999998896148401</v>
      </c>
    </row>
    <row r="2288" spans="1:40" x14ac:dyDescent="0.25">
      <c r="A2288" t="str">
        <f>"20190312164033789"</f>
        <v>20190312164033789</v>
      </c>
      <c r="B2288" t="str">
        <f>"1552380033777971"</f>
        <v>1552380033777971</v>
      </c>
      <c r="C2288" t="s">
        <v>40</v>
      </c>
      <c r="D2288">
        <v>5.2427989999999998</v>
      </c>
      <c r="E2288">
        <v>0.49951780000000001</v>
      </c>
      <c r="F2288" t="s">
        <v>42</v>
      </c>
      <c r="G2288">
        <v>-285.23360000000002</v>
      </c>
      <c r="H2288">
        <v>1.040781</v>
      </c>
      <c r="I2288">
        <v>284.30130000000003</v>
      </c>
      <c r="J2288">
        <v>-284.37700000000001</v>
      </c>
      <c r="K2288">
        <v>1.109002</v>
      </c>
      <c r="L2288">
        <v>284.29969999999997</v>
      </c>
      <c r="M2288">
        <v>-0.99996280000000004</v>
      </c>
      <c r="N2288">
        <v>0</v>
      </c>
      <c r="O2288">
        <v>4.7679829999999999E-3</v>
      </c>
      <c r="P2288">
        <v>-0.98792849999999999</v>
      </c>
      <c r="Q2288">
        <v>0.15409349999999999</v>
      </c>
      <c r="R2288">
        <v>1.5889589999999999E-2</v>
      </c>
      <c r="S2288">
        <v>-3.0675659999999998</v>
      </c>
      <c r="T2288">
        <v>-0.1990162</v>
      </c>
      <c r="U2288">
        <v>8.0871580000000005E-3</v>
      </c>
      <c r="V2288">
        <v>1.1322469999999999E-2</v>
      </c>
      <c r="W2288">
        <v>0.16118460000000001</v>
      </c>
      <c r="X2288">
        <v>0.98685929999999999</v>
      </c>
      <c r="Y2288">
        <v>-2.1173099999999999E-3</v>
      </c>
      <c r="Z2288">
        <v>-3.7762709999999999E-4</v>
      </c>
      <c r="AA2288">
        <v>0.99999769999999999</v>
      </c>
      <c r="AB2288">
        <v>36</v>
      </c>
      <c r="AC2288">
        <v>-0.85660000000001402</v>
      </c>
      <c r="AD2288">
        <v>-6.8221000000000004E-2</v>
      </c>
      <c r="AE2288">
        <v>1.6000000000531099E-3</v>
      </c>
      <c r="AF2288">
        <v>-2.4687194331121098E-3</v>
      </c>
      <c r="AG2288">
        <v>-6.8221000000000004E-2</v>
      </c>
      <c r="AH2288">
        <v>0.85119893816989201</v>
      </c>
      <c r="AI2288">
        <v>94.582268128380804</v>
      </c>
      <c r="AJ2288">
        <v>90.166173618618203</v>
      </c>
      <c r="AK2288">
        <v>0.85393198309829799</v>
      </c>
      <c r="AL2288">
        <v>80.724338453288993</v>
      </c>
      <c r="AM2288">
        <v>89.342660821356603</v>
      </c>
      <c r="AN2288">
        <v>0.999999975800275</v>
      </c>
    </row>
    <row r="2289" spans="1:40" x14ac:dyDescent="0.25">
      <c r="A2289" t="str">
        <f>"20190312164033808"</f>
        <v>20190312164033808</v>
      </c>
      <c r="B2289" t="str">
        <f>"1552380033798470"</f>
        <v>1552380033798470</v>
      </c>
      <c r="C2289" t="s">
        <v>40</v>
      </c>
      <c r="D2289">
        <v>5.3795739999999999</v>
      </c>
      <c r="E2289">
        <v>0.49950369999999999</v>
      </c>
      <c r="F2289" t="s">
        <v>49</v>
      </c>
      <c r="G2289">
        <v>-301.49160000000001</v>
      </c>
      <c r="H2289" s="1">
        <v>3.7238210000000002E-6</v>
      </c>
      <c r="I2289">
        <v>284.34410000000003</v>
      </c>
      <c r="J2289">
        <v>-284.67340000000002</v>
      </c>
      <c r="K2289">
        <v>1.1090059999999999</v>
      </c>
      <c r="L2289">
        <v>284.30130000000003</v>
      </c>
      <c r="M2289">
        <v>-0.9999614</v>
      </c>
      <c r="N2289">
        <v>0</v>
      </c>
      <c r="O2289">
        <v>5.0631199999999999E-3</v>
      </c>
      <c r="P2289">
        <v>-0.9879194</v>
      </c>
      <c r="Q2289">
        <v>0.15415329999999999</v>
      </c>
      <c r="R2289">
        <v>1.588434E-2</v>
      </c>
      <c r="S2289">
        <v>-3.0675050000000001</v>
      </c>
      <c r="T2289">
        <v>-0.1987698</v>
      </c>
      <c r="U2289">
        <v>7.9650880000000004E-3</v>
      </c>
      <c r="V2289">
        <v>1.1026269999999999E-2</v>
      </c>
      <c r="W2289">
        <v>0.1612547</v>
      </c>
      <c r="X2289">
        <v>0.98685120000000004</v>
      </c>
      <c r="Y2289">
        <v>-2.4509150000000001E-3</v>
      </c>
      <c r="Z2289">
        <v>-4.0706979999999998E-4</v>
      </c>
      <c r="AA2289">
        <v>0.99999689999999997</v>
      </c>
      <c r="AB2289">
        <v>36</v>
      </c>
      <c r="AC2289">
        <v>-16.818199999999901</v>
      </c>
      <c r="AD2289">
        <v>-1.1090022761789999</v>
      </c>
      <c r="AE2289">
        <v>4.2799999999999699E-2</v>
      </c>
      <c r="AF2289">
        <v>-4.2171939574543703E-2</v>
      </c>
      <c r="AG2289">
        <v>-1.1090022761789999</v>
      </c>
      <c r="AH2289">
        <v>16.745389906937302</v>
      </c>
      <c r="AI2289">
        <v>93.789000731108004</v>
      </c>
      <c r="AJ2289">
        <v>90.144294582364907</v>
      </c>
      <c r="AK2289">
        <v>16.782125838415599</v>
      </c>
      <c r="AL2289">
        <v>80.720268764255593</v>
      </c>
      <c r="AM2289">
        <v>89.359850353178302</v>
      </c>
      <c r="AN2289">
        <v>0.99999997392182105</v>
      </c>
    </row>
    <row r="2290" spans="1:40" x14ac:dyDescent="0.25">
      <c r="A2290" t="str">
        <f>"20190312164033819"</f>
        <v>20190312164033819</v>
      </c>
      <c r="B2290" t="str">
        <f>"1552380033808229"</f>
        <v>1552380033808229</v>
      </c>
      <c r="C2290" t="s">
        <v>40</v>
      </c>
      <c r="D2290">
        <v>5.2040980000000001</v>
      </c>
      <c r="E2290">
        <v>0.49950610000000001</v>
      </c>
      <c r="F2290" t="s">
        <v>49</v>
      </c>
      <c r="G2290">
        <v>-301.77390000000003</v>
      </c>
      <c r="H2290" s="1">
        <v>3.6739769999999999E-6</v>
      </c>
      <c r="I2290">
        <v>284.3415</v>
      </c>
      <c r="J2290">
        <v>-284.8605</v>
      </c>
      <c r="K2290">
        <v>1.109003</v>
      </c>
      <c r="L2290">
        <v>284.30239999999998</v>
      </c>
      <c r="M2290">
        <v>-0.99996030000000002</v>
      </c>
      <c r="N2290">
        <v>0</v>
      </c>
      <c r="O2290">
        <v>5.2495459999999999E-3</v>
      </c>
      <c r="P2290">
        <v>-0.9879</v>
      </c>
      <c r="Q2290">
        <v>0.1542596</v>
      </c>
      <c r="R2290">
        <v>1.606614E-2</v>
      </c>
      <c r="S2290">
        <v>-3.067596</v>
      </c>
      <c r="T2290">
        <v>-0.1989408</v>
      </c>
      <c r="U2290">
        <v>7.2021480000000002E-3</v>
      </c>
      <c r="V2290">
        <v>1.1024559999999999E-2</v>
      </c>
      <c r="W2290">
        <v>0.16136719999999999</v>
      </c>
      <c r="X2290">
        <v>0.98683290000000001</v>
      </c>
      <c r="Y2290">
        <v>-2.8848039999999999E-3</v>
      </c>
      <c r="Z2290">
        <v>-4.3353970000000001E-4</v>
      </c>
      <c r="AA2290">
        <v>0.99999579999999999</v>
      </c>
      <c r="AB2290">
        <v>36</v>
      </c>
      <c r="AC2290">
        <v>-16.913399999999999</v>
      </c>
      <c r="AD2290">
        <v>-1.108999326023</v>
      </c>
      <c r="AE2290">
        <v>3.9100000000019002E-2</v>
      </c>
      <c r="AF2290">
        <v>-4.9477791409992401E-2</v>
      </c>
      <c r="AG2290">
        <v>-1.108999326023</v>
      </c>
      <c r="AH2290">
        <v>16.840967720064501</v>
      </c>
      <c r="AI2290">
        <v>93.767544770578297</v>
      </c>
      <c r="AJ2290">
        <v>90.168331209832502</v>
      </c>
      <c r="AK2290">
        <v>16.877515258627799</v>
      </c>
      <c r="AL2290">
        <v>80.713738102762505</v>
      </c>
      <c r="AM2290">
        <v>89.359937753781793</v>
      </c>
      <c r="AN2290">
        <v>1.0000000433407199</v>
      </c>
    </row>
    <row r="2291" spans="1:40" x14ac:dyDescent="0.25">
      <c r="A2291" t="str">
        <f>"20190312164033841"</f>
        <v>20190312164033841</v>
      </c>
      <c r="B2291" t="str">
        <f>"1552380033838483"</f>
        <v>1552380033838483</v>
      </c>
      <c r="C2291" t="s">
        <v>40</v>
      </c>
      <c r="D2291">
        <v>5.3582359999999998</v>
      </c>
      <c r="E2291">
        <v>0.49964520000000001</v>
      </c>
      <c r="F2291" t="s">
        <v>42</v>
      </c>
      <c r="G2291">
        <v>-285.89</v>
      </c>
      <c r="H2291">
        <v>1.042441</v>
      </c>
      <c r="I2291">
        <v>284.30520000000001</v>
      </c>
      <c r="J2291">
        <v>-285.21170000000001</v>
      </c>
      <c r="K2291">
        <v>1.109</v>
      </c>
      <c r="L2291">
        <v>284.30459999999999</v>
      </c>
      <c r="M2291">
        <v>-0.99995829999999997</v>
      </c>
      <c r="N2291">
        <v>0</v>
      </c>
      <c r="O2291">
        <v>5.5995709999999898E-3</v>
      </c>
      <c r="P2291">
        <v>-0.9879599</v>
      </c>
      <c r="Q2291">
        <v>0.1538967</v>
      </c>
      <c r="R2291">
        <v>1.5857679999999999E-2</v>
      </c>
      <c r="S2291">
        <v>-3.067596</v>
      </c>
      <c r="T2291">
        <v>-0.19844229999999999</v>
      </c>
      <c r="U2291">
        <v>7.59887699999999E-3</v>
      </c>
      <c r="V2291">
        <v>1.047E-2</v>
      </c>
      <c r="W2291">
        <v>0.1610171</v>
      </c>
      <c r="X2291">
        <v>0.98689610000000005</v>
      </c>
      <c r="Y2291">
        <v>-3.1044100000000002E-3</v>
      </c>
      <c r="Z2291">
        <v>-4.6217099999999999E-4</v>
      </c>
      <c r="AA2291">
        <v>0.99999510000000003</v>
      </c>
      <c r="AB2291">
        <v>37</v>
      </c>
      <c r="AC2291">
        <v>-0.67829999999997803</v>
      </c>
      <c r="AD2291">
        <v>-6.6558999999999993E-2</v>
      </c>
      <c r="AE2291">
        <v>6.0000000001991696E-4</v>
      </c>
      <c r="AF2291">
        <v>-3.1677953669564801E-3</v>
      </c>
      <c r="AG2291">
        <v>-6.6558999999999993E-2</v>
      </c>
      <c r="AH2291">
        <v>0.67182390523966495</v>
      </c>
      <c r="AI2291">
        <v>95.657887024979104</v>
      </c>
      <c r="AJ2291">
        <v>90.270160020159494</v>
      </c>
      <c r="AK2291">
        <v>0.67512035598103604</v>
      </c>
      <c r="AL2291">
        <v>80.734062923997101</v>
      </c>
      <c r="AM2291">
        <v>89.392170759405005</v>
      </c>
      <c r="AN2291">
        <v>1.0000000197938099</v>
      </c>
    </row>
    <row r="2292" spans="1:40" x14ac:dyDescent="0.25">
      <c r="A2292" t="str">
        <f>"20190312164033853"</f>
        <v>20190312164033853</v>
      </c>
      <c r="B2292" t="str">
        <f>"1552380033848244"</f>
        <v>1552380033848244</v>
      </c>
      <c r="C2292" t="s">
        <v>40</v>
      </c>
      <c r="D2292">
        <v>5.2619930000000004</v>
      </c>
      <c r="E2292">
        <v>0.49955509999999997</v>
      </c>
      <c r="F2292" t="s">
        <v>42</v>
      </c>
      <c r="G2292">
        <v>-286.21890000000002</v>
      </c>
      <c r="H2292">
        <v>1.0427649999999999</v>
      </c>
      <c r="I2292">
        <v>284.30759999999998</v>
      </c>
      <c r="J2292">
        <v>-285.41250000000002</v>
      </c>
      <c r="K2292">
        <v>1.1089960000000001</v>
      </c>
      <c r="L2292">
        <v>284.30579999999998</v>
      </c>
      <c r="M2292">
        <v>-0.99995710000000004</v>
      </c>
      <c r="N2292">
        <v>0</v>
      </c>
      <c r="O2292">
        <v>5.799111E-3</v>
      </c>
      <c r="P2292">
        <v>-0.98796010000000001</v>
      </c>
      <c r="Q2292">
        <v>0.15388660000000001</v>
      </c>
      <c r="R2292">
        <v>1.5940869999999999E-2</v>
      </c>
      <c r="S2292">
        <v>-3.067841</v>
      </c>
      <c r="T2292">
        <v>-0.2019166</v>
      </c>
      <c r="U2292">
        <v>8.4838869999999903E-3</v>
      </c>
      <c r="V2292">
        <v>1.0356539999999999E-2</v>
      </c>
      <c r="W2292">
        <v>0.1610142</v>
      </c>
      <c r="X2292">
        <v>0.98689780000000005</v>
      </c>
      <c r="Y2292">
        <v>-3.0148000000000002E-3</v>
      </c>
      <c r="Z2292">
        <v>-4.8038079999999998E-4</v>
      </c>
      <c r="AA2292">
        <v>0.99999539999999998</v>
      </c>
      <c r="AB2292">
        <v>37</v>
      </c>
      <c r="AC2292">
        <v>-0.80639999999999601</v>
      </c>
      <c r="AD2292">
        <v>-6.6230999999999901E-2</v>
      </c>
      <c r="AE2292">
        <v>1.8000000000029099E-3</v>
      </c>
      <c r="AF2292">
        <v>-2.8572813387029898E-3</v>
      </c>
      <c r="AG2292">
        <v>-6.6230999999999901E-2</v>
      </c>
      <c r="AH2292">
        <v>0.80099370965150396</v>
      </c>
      <c r="AI2292">
        <v>94.726778531174801</v>
      </c>
      <c r="AJ2292">
        <v>90.204382962355197</v>
      </c>
      <c r="AK2292">
        <v>0.80373231384517996</v>
      </c>
      <c r="AL2292">
        <v>80.734231552251799</v>
      </c>
      <c r="AM2292">
        <v>89.398758157500296</v>
      </c>
      <c r="AN2292">
        <v>1.0000000490836201</v>
      </c>
    </row>
    <row r="2293" spans="1:40" x14ac:dyDescent="0.25">
      <c r="A2293" t="str">
        <f>"20190312164033864"</f>
        <v>20190312164033864</v>
      </c>
      <c r="B2293" t="str">
        <f>"1552380033858980"</f>
        <v>1552380033858980</v>
      </c>
      <c r="C2293" t="s">
        <v>40</v>
      </c>
      <c r="D2293">
        <v>5.4036970000000002</v>
      </c>
      <c r="E2293">
        <v>0.49952039999999998</v>
      </c>
      <c r="F2293" t="s">
        <v>49</v>
      </c>
      <c r="G2293">
        <v>-302.18740000000003</v>
      </c>
      <c r="H2293" s="1">
        <v>3.6000109999999999E-6</v>
      </c>
      <c r="I2293">
        <v>284.34840000000003</v>
      </c>
      <c r="J2293">
        <v>-285.59660000000002</v>
      </c>
      <c r="K2293">
        <v>1.1089960000000001</v>
      </c>
      <c r="L2293">
        <v>284.30700000000002</v>
      </c>
      <c r="M2293">
        <v>-0.99995599999999996</v>
      </c>
      <c r="N2293">
        <v>0</v>
      </c>
      <c r="O2293">
        <v>5.9823189999999998E-3</v>
      </c>
      <c r="P2293">
        <v>-0.98800540000000003</v>
      </c>
      <c r="Q2293">
        <v>0.15359249999999999</v>
      </c>
      <c r="R2293">
        <v>1.5962489999999999E-2</v>
      </c>
      <c r="S2293">
        <v>-3.0680239999999999</v>
      </c>
      <c r="T2293">
        <v>-0.20282720000000001</v>
      </c>
      <c r="U2293">
        <v>7.7819819999999998E-3</v>
      </c>
      <c r="V2293">
        <v>1.0196810000000001E-2</v>
      </c>
      <c r="W2293">
        <v>0.16072719999999999</v>
      </c>
      <c r="X2293">
        <v>0.9869462</v>
      </c>
      <c r="Y2293">
        <v>-3.425492E-3</v>
      </c>
      <c r="Z2293">
        <v>-5.0817349999999996E-4</v>
      </c>
      <c r="AA2293">
        <v>0.99999400000000005</v>
      </c>
      <c r="AB2293">
        <v>37</v>
      </c>
      <c r="AC2293">
        <v>-16.590800000000002</v>
      </c>
      <c r="AD2293">
        <v>-1.1089923999889999</v>
      </c>
      <c r="AE2293">
        <v>4.1400000000009998E-2</v>
      </c>
      <c r="AF2293">
        <v>-5.7597440697059903E-2</v>
      </c>
      <c r="AG2293">
        <v>-1.1089923999889999</v>
      </c>
      <c r="AH2293">
        <v>16.5169519141335</v>
      </c>
      <c r="AI2293">
        <v>93.841203506182893</v>
      </c>
      <c r="AJ2293">
        <v>90.199799388118507</v>
      </c>
      <c r="AK2293">
        <v>16.554240609046602</v>
      </c>
      <c r="AL2293">
        <v>80.7508920262201</v>
      </c>
      <c r="AM2293">
        <v>89.408059536495301</v>
      </c>
      <c r="AN2293">
        <v>1.0000000047242199</v>
      </c>
    </row>
    <row r="2294" spans="1:40" x14ac:dyDescent="0.25">
      <c r="A2294" t="str">
        <f>"20190312164033878"</f>
        <v>20190312164033878</v>
      </c>
      <c r="B2294" t="str">
        <f>"1552380033868740"</f>
        <v>1552380033868740</v>
      </c>
      <c r="C2294" t="s">
        <v>40</v>
      </c>
      <c r="D2294">
        <v>5.254327</v>
      </c>
      <c r="E2294">
        <v>0.49949080000000001</v>
      </c>
      <c r="F2294" t="s">
        <v>49</v>
      </c>
      <c r="G2294">
        <v>-302.33159999999998</v>
      </c>
      <c r="H2294" s="1">
        <v>3.5744719999999999E-6</v>
      </c>
      <c r="I2294">
        <v>284.34800000000001</v>
      </c>
      <c r="J2294">
        <v>-285.81810000000002</v>
      </c>
      <c r="K2294">
        <v>1.1089910000000001</v>
      </c>
      <c r="L2294">
        <v>284.30849999999998</v>
      </c>
      <c r="M2294">
        <v>-0.99995460000000003</v>
      </c>
      <c r="N2294">
        <v>0</v>
      </c>
      <c r="O2294">
        <v>6.202656E-3</v>
      </c>
      <c r="P2294">
        <v>-0.98806059999999996</v>
      </c>
      <c r="Q2294">
        <v>0.15319530000000001</v>
      </c>
      <c r="R2294">
        <v>1.6354380000000002E-2</v>
      </c>
      <c r="S2294">
        <v>-3.0679319999999999</v>
      </c>
      <c r="T2294">
        <v>-0.20330580000000001</v>
      </c>
      <c r="U2294">
        <v>7.5073240000000001E-3</v>
      </c>
      <c r="V2294">
        <v>1.037069E-2</v>
      </c>
      <c r="W2294">
        <v>0.16033839999999999</v>
      </c>
      <c r="X2294">
        <v>0.98700759999999998</v>
      </c>
      <c r="Y2294">
        <v>-3.7340300000000002E-3</v>
      </c>
      <c r="Z2294">
        <v>-5.3418279999999996E-4</v>
      </c>
      <c r="AA2294">
        <v>0.99999289999999996</v>
      </c>
      <c r="AB2294">
        <v>37</v>
      </c>
      <c r="AC2294">
        <v>-16.513499999999901</v>
      </c>
      <c r="AD2294">
        <v>-1.1089874255279999</v>
      </c>
      <c r="AE2294">
        <v>3.9500000000032197E-2</v>
      </c>
      <c r="AF2294">
        <v>-6.2648457696817594E-2</v>
      </c>
      <c r="AG2294">
        <v>-1.1089874255279999</v>
      </c>
      <c r="AH2294">
        <v>16.439286837024401</v>
      </c>
      <c r="AI2294">
        <v>93.859274211503205</v>
      </c>
      <c r="AJ2294">
        <v>90.218347357649805</v>
      </c>
      <c r="AK2294">
        <v>16.476769393579399</v>
      </c>
      <c r="AL2294">
        <v>80.773461090018102</v>
      </c>
      <c r="AM2294">
        <v>89.398003721164699</v>
      </c>
      <c r="AN2294">
        <v>0.99999997809169705</v>
      </c>
    </row>
    <row r="2295" spans="1:40" x14ac:dyDescent="0.25">
      <c r="A2295" t="str">
        <f>"20190312164033898"</f>
        <v>20190312164033898</v>
      </c>
      <c r="B2295" t="str">
        <f>"1552380033888260"</f>
        <v>1552380033888260</v>
      </c>
      <c r="C2295" t="s">
        <v>40</v>
      </c>
      <c r="D2295">
        <v>6.2488149999999996</v>
      </c>
      <c r="E2295">
        <v>0.49942809999999999</v>
      </c>
      <c r="F2295" t="s">
        <v>42</v>
      </c>
      <c r="G2295">
        <v>-286.87479999999999</v>
      </c>
      <c r="H2295">
        <v>1.038368</v>
      </c>
      <c r="I2295">
        <v>284.31139999999999</v>
      </c>
      <c r="J2295">
        <v>-286.14640000000003</v>
      </c>
      <c r="K2295">
        <v>1.1089819999999999</v>
      </c>
      <c r="L2295">
        <v>284.3109</v>
      </c>
      <c r="M2295">
        <v>-0.99995250000000002</v>
      </c>
      <c r="N2295">
        <v>0</v>
      </c>
      <c r="O2295">
        <v>6.5301539999999998E-3</v>
      </c>
      <c r="P2295">
        <v>-0.98815120000000001</v>
      </c>
      <c r="Q2295">
        <v>0.15258189999999999</v>
      </c>
      <c r="R2295">
        <v>1.6621670000000002E-2</v>
      </c>
      <c r="S2295">
        <v>-3.0678709999999998</v>
      </c>
      <c r="T2295">
        <v>-0.20509910000000001</v>
      </c>
      <c r="U2295">
        <v>8.2092290000000002E-3</v>
      </c>
      <c r="V2295">
        <v>1.0313900000000001E-2</v>
      </c>
      <c r="W2295">
        <v>0.159737299999999</v>
      </c>
      <c r="X2295">
        <v>0.98710569999999997</v>
      </c>
      <c r="Y2295">
        <v>-3.831367E-3</v>
      </c>
      <c r="Z2295">
        <v>-5.6401469999999997E-4</v>
      </c>
      <c r="AA2295">
        <v>0.99999249999999995</v>
      </c>
      <c r="AB2295">
        <v>37</v>
      </c>
      <c r="AC2295">
        <v>-0.72839999999996496</v>
      </c>
      <c r="AD2295">
        <v>-7.0613999999999899E-2</v>
      </c>
      <c r="AE2295">
        <v>4.9999999998817603E-4</v>
      </c>
      <c r="AF2295">
        <v>-4.2170668033480099E-3</v>
      </c>
      <c r="AG2295">
        <v>-7.0613999999999899E-2</v>
      </c>
      <c r="AH2295">
        <v>0.721605985224403</v>
      </c>
      <c r="AI2295">
        <v>95.588888039253703</v>
      </c>
      <c r="AJ2295">
        <v>90.334832836932904</v>
      </c>
      <c r="AK2295">
        <v>0.72506504436505903</v>
      </c>
      <c r="AL2295">
        <v>80.808351697920997</v>
      </c>
      <c r="AM2295">
        <v>89.401359513411606</v>
      </c>
      <c r="AN2295">
        <v>1.0000000222584899</v>
      </c>
    </row>
    <row r="2296" spans="1:40" x14ac:dyDescent="0.25">
      <c r="A2296" t="str">
        <f>"20190312164033921"</f>
        <v>20190312164033921</v>
      </c>
      <c r="B2296" t="str">
        <f>"1552380033908756"</f>
        <v>1552380033908756</v>
      </c>
      <c r="C2296" t="s">
        <v>40</v>
      </c>
      <c r="D2296">
        <v>5.2633299999999998</v>
      </c>
      <c r="E2296">
        <v>0.49936009999999997</v>
      </c>
      <c r="F2296" t="s">
        <v>42</v>
      </c>
      <c r="G2296">
        <v>-287.20519999999999</v>
      </c>
      <c r="H2296">
        <v>1.0379020000000001</v>
      </c>
      <c r="I2296">
        <v>284.31380000000001</v>
      </c>
      <c r="J2296">
        <v>-286.52</v>
      </c>
      <c r="K2296">
        <v>1.108975</v>
      </c>
      <c r="L2296">
        <v>284.31360000000001</v>
      </c>
      <c r="M2296">
        <v>-0.9999498</v>
      </c>
      <c r="N2296">
        <v>0</v>
      </c>
      <c r="O2296">
        <v>6.9034300000000003E-3</v>
      </c>
      <c r="P2296">
        <v>-0.98829120000000004</v>
      </c>
      <c r="Q2296">
        <v>0.1516583</v>
      </c>
      <c r="R2296">
        <v>1.6741860000000001E-2</v>
      </c>
      <c r="S2296">
        <v>-3.0676269999999999</v>
      </c>
      <c r="T2296">
        <v>-0.20598379999999999</v>
      </c>
      <c r="U2296">
        <v>8.4533690000000005E-3</v>
      </c>
      <c r="V2296">
        <v>1.006451E-2</v>
      </c>
      <c r="W2296">
        <v>0.15882879999999999</v>
      </c>
      <c r="X2296">
        <v>0.98725490000000005</v>
      </c>
      <c r="Y2296">
        <v>-4.1231619999999997E-3</v>
      </c>
      <c r="Z2296">
        <v>-6.0130920000000003E-4</v>
      </c>
      <c r="AA2296">
        <v>0.99999130000000003</v>
      </c>
      <c r="AB2296">
        <v>37</v>
      </c>
      <c r="AC2296">
        <v>-0.68520000000000802</v>
      </c>
      <c r="AD2296">
        <v>-7.10729999999999E-2</v>
      </c>
      <c r="AE2296">
        <v>2.0000000000663901E-4</v>
      </c>
      <c r="AF2296">
        <v>-4.4821361473080298E-3</v>
      </c>
      <c r="AG2296">
        <v>-7.10729999999999E-2</v>
      </c>
      <c r="AH2296">
        <v>0.67789157246595699</v>
      </c>
      <c r="AI2296">
        <v>95.985133625867803</v>
      </c>
      <c r="AJ2296">
        <v>90.378827164541605</v>
      </c>
      <c r="AK2296">
        <v>0.68162192225148599</v>
      </c>
      <c r="AL2296">
        <v>80.861078420588299</v>
      </c>
      <c r="AM2296">
        <v>89.415921895598103</v>
      </c>
      <c r="AN2296">
        <v>1.0000000598224901</v>
      </c>
    </row>
    <row r="2297" spans="1:40" x14ac:dyDescent="0.25">
      <c r="A2297" t="str">
        <f>"20190312164033942"</f>
        <v>20190312164033942</v>
      </c>
      <c r="B2297" t="str">
        <f>"1552380033938035"</f>
        <v>1552380033938035</v>
      </c>
      <c r="C2297" t="s">
        <v>40</v>
      </c>
      <c r="D2297">
        <v>5.4788750000000004</v>
      </c>
      <c r="E2297">
        <v>0.4992896</v>
      </c>
      <c r="F2297" t="s">
        <v>42</v>
      </c>
      <c r="G2297">
        <v>-287.53800000000001</v>
      </c>
      <c r="H2297">
        <v>1.0393859999999999</v>
      </c>
      <c r="I2297">
        <v>284.31650000000002</v>
      </c>
      <c r="J2297">
        <v>-286.88200000000001</v>
      </c>
      <c r="K2297">
        <v>1.1089659999999999</v>
      </c>
      <c r="L2297">
        <v>284.31639999999999</v>
      </c>
      <c r="M2297">
        <v>-0.99994720000000004</v>
      </c>
      <c r="N2297">
        <v>0</v>
      </c>
      <c r="O2297">
        <v>7.2664549999999998E-3</v>
      </c>
      <c r="P2297">
        <v>-0.98834639999999996</v>
      </c>
      <c r="Q2297">
        <v>0.15126889999999901</v>
      </c>
      <c r="R2297">
        <v>1.700782E-2</v>
      </c>
      <c r="S2297">
        <v>-3.0675659999999998</v>
      </c>
      <c r="T2297">
        <v>-0.20969409999999999</v>
      </c>
      <c r="U2297">
        <v>8.4228519999999998E-3</v>
      </c>
      <c r="V2297">
        <v>9.9718879999999999E-3</v>
      </c>
      <c r="W2297">
        <v>0.15845310000000001</v>
      </c>
      <c r="X2297">
        <v>0.98731610000000003</v>
      </c>
      <c r="Y2297">
        <v>-4.4934809999999997E-3</v>
      </c>
      <c r="Z2297">
        <v>-6.4955699999999896E-4</v>
      </c>
      <c r="AA2297">
        <v>0.99998969999999998</v>
      </c>
      <c r="AB2297">
        <v>37</v>
      </c>
      <c r="AC2297">
        <v>-0.65600000000000502</v>
      </c>
      <c r="AD2297">
        <v>-6.9579999999999698E-2</v>
      </c>
      <c r="AE2297">
        <v>1.00000000031741E-4</v>
      </c>
      <c r="AF2297">
        <v>-4.6150031407242598E-3</v>
      </c>
      <c r="AG2297">
        <v>-6.9579999999999698E-2</v>
      </c>
      <c r="AH2297">
        <v>0.64868554910232201</v>
      </c>
      <c r="AI2297">
        <v>96.122158939527694</v>
      </c>
      <c r="AJ2297">
        <v>90.407617745967698</v>
      </c>
      <c r="AK2297">
        <v>0.65242288147195604</v>
      </c>
      <c r="AL2297">
        <v>80.882879550493001</v>
      </c>
      <c r="AM2297">
        <v>89.421332570512703</v>
      </c>
      <c r="AN2297">
        <v>0.99999995238455097</v>
      </c>
    </row>
    <row r="2298" spans="1:40" x14ac:dyDescent="0.25">
      <c r="A2298" t="str">
        <f>"20190312164033953"</f>
        <v>20190312164033953</v>
      </c>
      <c r="B2298" t="str">
        <f>"1552380033948772"</f>
        <v>1552380033948772</v>
      </c>
      <c r="C2298" t="s">
        <v>40</v>
      </c>
      <c r="D2298">
        <v>5.2922989999999999</v>
      </c>
      <c r="E2298">
        <v>0.49925809999999998</v>
      </c>
      <c r="F2298" t="s">
        <v>42</v>
      </c>
      <c r="G2298">
        <v>-287.87169999999998</v>
      </c>
      <c r="H2298">
        <v>1.041177</v>
      </c>
      <c r="I2298">
        <v>284.31920000000002</v>
      </c>
      <c r="J2298">
        <v>-287.077</v>
      </c>
      <c r="K2298">
        <v>1.1089629999999999</v>
      </c>
      <c r="L2298">
        <v>284.31799999999998</v>
      </c>
      <c r="M2298">
        <v>-0.99994559999999999</v>
      </c>
      <c r="N2298">
        <v>0</v>
      </c>
      <c r="O2298">
        <v>7.4621230000000002E-3</v>
      </c>
      <c r="P2298">
        <v>-0.9884174</v>
      </c>
      <c r="Q2298">
        <v>0.15082390000000001</v>
      </c>
      <c r="R2298">
        <v>1.683904E-2</v>
      </c>
      <c r="S2298">
        <v>-3.0673520000000001</v>
      </c>
      <c r="T2298">
        <v>-0.2100321</v>
      </c>
      <c r="U2298">
        <v>9.0942379999999993E-3</v>
      </c>
      <c r="V2298">
        <v>9.6095120000000006E-3</v>
      </c>
      <c r="W2298">
        <v>0.15801609999999999</v>
      </c>
      <c r="X2298">
        <v>0.98738970000000004</v>
      </c>
      <c r="Y2298">
        <v>-4.4695960000000002E-3</v>
      </c>
      <c r="Z2298">
        <v>-6.6321220000000001E-4</v>
      </c>
      <c r="AA2298">
        <v>0.99998980000000004</v>
      </c>
      <c r="AB2298">
        <v>37</v>
      </c>
      <c r="AC2298">
        <v>-0.79469999999997698</v>
      </c>
      <c r="AD2298">
        <v>-6.7785999999999902E-2</v>
      </c>
      <c r="AE2298">
        <v>1.20000000003983E-3</v>
      </c>
      <c r="AF2298">
        <v>-4.6961722840315398E-3</v>
      </c>
      <c r="AG2298">
        <v>-6.7785999999999902E-2</v>
      </c>
      <c r="AH2298">
        <v>0.788946716804796</v>
      </c>
      <c r="AI2298">
        <v>94.9106845098908</v>
      </c>
      <c r="AJ2298">
        <v>90.341046699597399</v>
      </c>
      <c r="AK2298">
        <v>0.79186736123367796</v>
      </c>
      <c r="AL2298">
        <v>80.908237025783507</v>
      </c>
      <c r="AM2298">
        <v>89.442401415945895</v>
      </c>
      <c r="AN2298">
        <v>0.999999925123086</v>
      </c>
    </row>
    <row r="2299" spans="1:40" x14ac:dyDescent="0.25">
      <c r="A2299" t="str">
        <f>"20190312164033965"</f>
        <v>20190312164033965</v>
      </c>
      <c r="B2299" t="str">
        <f>"1552380033958532"</f>
        <v>1552380033958532</v>
      </c>
      <c r="C2299" t="s">
        <v>40</v>
      </c>
      <c r="D2299">
        <v>5.360716</v>
      </c>
      <c r="E2299">
        <v>0.49922</v>
      </c>
      <c r="F2299" t="s">
        <v>49</v>
      </c>
      <c r="G2299">
        <v>-303.19220000000001</v>
      </c>
      <c r="H2299" s="1">
        <v>3.4206159999999999E-6</v>
      </c>
      <c r="I2299">
        <v>284.36180000000002</v>
      </c>
      <c r="J2299">
        <v>-287.25479999999999</v>
      </c>
      <c r="K2299">
        <v>1.1089599999999999</v>
      </c>
      <c r="L2299">
        <v>284.31950000000001</v>
      </c>
      <c r="M2299">
        <v>-0.99994430000000001</v>
      </c>
      <c r="N2299">
        <v>0</v>
      </c>
      <c r="O2299">
        <v>7.6408029999999998E-3</v>
      </c>
      <c r="P2299">
        <v>-0.98847739999999995</v>
      </c>
      <c r="Q2299">
        <v>0.1504209</v>
      </c>
      <c r="R2299">
        <v>1.6916839999999999E-2</v>
      </c>
      <c r="S2299">
        <v>-3.0672299999999999</v>
      </c>
      <c r="T2299">
        <v>-0.21107090000000001</v>
      </c>
      <c r="U2299">
        <v>8.3312990000000003E-3</v>
      </c>
      <c r="V2299">
        <v>9.5101579999999995E-3</v>
      </c>
      <c r="W2299">
        <v>0.1576206</v>
      </c>
      <c r="X2299">
        <v>0.9874539</v>
      </c>
      <c r="Y2299">
        <v>-4.8951910000000001E-3</v>
      </c>
      <c r="Z2299">
        <v>-6.9341889999999999E-4</v>
      </c>
      <c r="AA2299">
        <v>0.99998779999999998</v>
      </c>
      <c r="AB2299">
        <v>37</v>
      </c>
      <c r="AC2299">
        <v>-15.9374</v>
      </c>
      <c r="AD2299">
        <v>-1.1089565793839999</v>
      </c>
      <c r="AE2299">
        <v>4.2300000000011502E-2</v>
      </c>
      <c r="AF2299">
        <v>-7.9096043341528199E-2</v>
      </c>
      <c r="AG2299">
        <v>-1.1089565793839999</v>
      </c>
      <c r="AH2299">
        <v>15.860467531722</v>
      </c>
      <c r="AI2299">
        <v>93.999535750264201</v>
      </c>
      <c r="AJ2299">
        <v>90.285731292712498</v>
      </c>
      <c r="AK2299">
        <v>15.899385875053101</v>
      </c>
      <c r="AL2299">
        <v>80.931185323272402</v>
      </c>
      <c r="AM2299">
        <v>89.448202017819099</v>
      </c>
      <c r="AN2299">
        <v>0.99999995063737601</v>
      </c>
    </row>
    <row r="2300" spans="1:40" x14ac:dyDescent="0.25">
      <c r="A2300" t="str">
        <f>"20190312164033976"</f>
        <v>20190312164033976</v>
      </c>
      <c r="B2300" t="str">
        <f>"1552380033968292"</f>
        <v>1552380033968292</v>
      </c>
      <c r="C2300" t="s">
        <v>40</v>
      </c>
      <c r="D2300">
        <v>5.3682759999999998</v>
      </c>
      <c r="E2300">
        <v>0.4991855</v>
      </c>
      <c r="F2300" t="s">
        <v>42</v>
      </c>
      <c r="G2300">
        <v>-288.21159999999998</v>
      </c>
      <c r="H2300">
        <v>1.0428900000000001</v>
      </c>
      <c r="I2300">
        <v>284.32220000000001</v>
      </c>
      <c r="J2300">
        <v>-287.4479</v>
      </c>
      <c r="K2300">
        <v>1.1089549999999999</v>
      </c>
      <c r="L2300">
        <v>284.3211</v>
      </c>
      <c r="M2300">
        <v>-0.99994269999999996</v>
      </c>
      <c r="N2300">
        <v>0</v>
      </c>
      <c r="O2300">
        <v>7.8352159999999903E-3</v>
      </c>
      <c r="P2300">
        <v>-0.98851080000000002</v>
      </c>
      <c r="Q2300">
        <v>0.15020329999999901</v>
      </c>
      <c r="R2300">
        <v>1.68869E-2</v>
      </c>
      <c r="S2300">
        <v>-3.067078</v>
      </c>
      <c r="T2300">
        <v>-0.21191280000000001</v>
      </c>
      <c r="U2300">
        <v>7.9956049999999994E-3</v>
      </c>
      <c r="V2300">
        <v>9.2878289999999992E-3</v>
      </c>
      <c r="W2300">
        <v>0.1574111</v>
      </c>
      <c r="X2300">
        <v>0.98748950000000002</v>
      </c>
      <c r="Y2300">
        <v>-5.1975040000000004E-3</v>
      </c>
      <c r="Z2300">
        <v>-7.2006079999999996E-4</v>
      </c>
      <c r="AA2300">
        <v>0.99998620000000005</v>
      </c>
      <c r="AB2300">
        <v>37</v>
      </c>
      <c r="AC2300">
        <v>-0.76369999999997096</v>
      </c>
      <c r="AD2300">
        <v>-6.6064999999999999E-2</v>
      </c>
      <c r="AE2300">
        <v>1.1000000000080899E-3</v>
      </c>
      <c r="AF2300">
        <v>-4.8476705749553196E-3</v>
      </c>
      <c r="AG2300">
        <v>-6.6064999999999999E-2</v>
      </c>
      <c r="AH2300">
        <v>0.75801269661978599</v>
      </c>
      <c r="AI2300">
        <v>94.980956077318197</v>
      </c>
      <c r="AJ2300">
        <v>90.366415073469199</v>
      </c>
      <c r="AK2300">
        <v>0.76090165749050898</v>
      </c>
      <c r="AL2300">
        <v>80.943341121109697</v>
      </c>
      <c r="AM2300">
        <v>89.461120638401297</v>
      </c>
      <c r="AN2300">
        <v>1.00000001539049</v>
      </c>
    </row>
    <row r="2301" spans="1:40" x14ac:dyDescent="0.25">
      <c r="A2301" t="str">
        <f>"20190312164033989"</f>
        <v>20190312164033989</v>
      </c>
      <c r="B2301" t="str">
        <f>"1552380033978053"</f>
        <v>1552380033978053</v>
      </c>
      <c r="C2301" t="s">
        <v>40</v>
      </c>
      <c r="D2301">
        <v>5.508731</v>
      </c>
      <c r="E2301">
        <v>0.49915150000000003</v>
      </c>
      <c r="F2301" t="s">
        <v>49</v>
      </c>
      <c r="G2301">
        <v>-303.4896</v>
      </c>
      <c r="H2301" s="1">
        <v>3.3679739999999999E-6</v>
      </c>
      <c r="I2301">
        <v>284.3605</v>
      </c>
      <c r="J2301">
        <v>-287.66160000000002</v>
      </c>
      <c r="K2301">
        <v>1.1089519999999999</v>
      </c>
      <c r="L2301">
        <v>284.32299999999998</v>
      </c>
      <c r="M2301">
        <v>-0.99994090000000002</v>
      </c>
      <c r="N2301">
        <v>0</v>
      </c>
      <c r="O2301">
        <v>8.0506650000000003E-3</v>
      </c>
      <c r="P2301">
        <v>-0.98851560000000005</v>
      </c>
      <c r="Q2301">
        <v>0.15014069999999999</v>
      </c>
      <c r="R2301">
        <v>1.7172429999999999E-2</v>
      </c>
      <c r="S2301">
        <v>-3.0669559999999998</v>
      </c>
      <c r="T2301">
        <v>-0.21201719999999999</v>
      </c>
      <c r="U2301">
        <v>7.5378419999999899E-3</v>
      </c>
      <c r="V2301">
        <v>9.3607159999999998E-3</v>
      </c>
      <c r="W2301">
        <v>0.15735589999999999</v>
      </c>
      <c r="X2301">
        <v>0.98749759999999998</v>
      </c>
      <c r="Y2301">
        <v>-5.5606989999999997E-3</v>
      </c>
      <c r="Z2301">
        <v>-7.4785839999999895E-4</v>
      </c>
      <c r="AA2301">
        <v>0.99998430000000005</v>
      </c>
      <c r="AB2301">
        <v>37</v>
      </c>
      <c r="AC2301">
        <v>-15.8279999999999</v>
      </c>
      <c r="AD2301">
        <v>-1.108948632026</v>
      </c>
      <c r="AE2301">
        <v>3.7500000000022703E-2</v>
      </c>
      <c r="AF2301">
        <v>-8.9491254705878306E-2</v>
      </c>
      <c r="AG2301">
        <v>-1.108948632026</v>
      </c>
      <c r="AH2301">
        <v>15.7504742586899</v>
      </c>
      <c r="AI2301">
        <v>94.027331229184696</v>
      </c>
      <c r="AJ2301">
        <v>90.325540421076099</v>
      </c>
      <c r="AK2301">
        <v>15.7897186525535</v>
      </c>
      <c r="AL2301">
        <v>80.946543676314107</v>
      </c>
      <c r="AM2301">
        <v>89.456896445334806</v>
      </c>
      <c r="AN2301">
        <v>1.0000000061373</v>
      </c>
    </row>
    <row r="2302" spans="1:40" x14ac:dyDescent="0.25">
      <c r="A2302" t="str">
        <f>"20190312164034009"</f>
        <v>20190312164034009</v>
      </c>
      <c r="B2302" t="str">
        <f>"1552380033998548"</f>
        <v>1552380033998548</v>
      </c>
      <c r="C2302" t="s">
        <v>40</v>
      </c>
      <c r="D2302">
        <v>5.3378649999999999</v>
      </c>
      <c r="E2302">
        <v>0.49908629999999998</v>
      </c>
      <c r="F2302" t="s">
        <v>49</v>
      </c>
      <c r="G2302">
        <v>-303.72300000000001</v>
      </c>
      <c r="H2302" s="1">
        <v>3.3261659999999999E-6</v>
      </c>
      <c r="I2302">
        <v>284.36520000000002</v>
      </c>
      <c r="J2302">
        <v>-287.98790000000002</v>
      </c>
      <c r="K2302">
        <v>1.1089549999999999</v>
      </c>
      <c r="L2302">
        <v>284.32580000000002</v>
      </c>
      <c r="M2302">
        <v>-0.9999382</v>
      </c>
      <c r="N2302">
        <v>0</v>
      </c>
      <c r="O2302">
        <v>8.3793549999999998E-3</v>
      </c>
      <c r="P2302">
        <v>-0.98852660000000003</v>
      </c>
      <c r="Q2302">
        <v>0.1500408</v>
      </c>
      <c r="R2302">
        <v>1.7416580000000001E-2</v>
      </c>
      <c r="S2302">
        <v>-3.0668639999999998</v>
      </c>
      <c r="T2302">
        <v>-0.21174999999999999</v>
      </c>
      <c r="U2302">
        <v>8.0566409999999998E-3</v>
      </c>
      <c r="V2302">
        <v>9.2805360000000007E-3</v>
      </c>
      <c r="W2302">
        <v>0.15726889999999999</v>
      </c>
      <c r="X2302">
        <v>0.98751219999999995</v>
      </c>
      <c r="Y2302">
        <v>-5.7190909999999999E-3</v>
      </c>
      <c r="Z2302">
        <v>-7.7506889999999897E-4</v>
      </c>
      <c r="AA2302">
        <v>0.99998339999999997</v>
      </c>
      <c r="AB2302">
        <v>37</v>
      </c>
      <c r="AC2302">
        <v>-15.7350999999999</v>
      </c>
      <c r="AD2302">
        <v>-1.108951673834</v>
      </c>
      <c r="AE2302">
        <v>3.9400000000000497E-2</v>
      </c>
      <c r="AF2302">
        <v>-9.1997948953600805E-2</v>
      </c>
      <c r="AG2302">
        <v>-1.108951673834</v>
      </c>
      <c r="AH2302">
        <v>15.6571107463374</v>
      </c>
      <c r="AI2302">
        <v>94.051273067981896</v>
      </c>
      <c r="AJ2302">
        <v>90.3366542923618</v>
      </c>
      <c r="AK2302">
        <v>15.6966032746128</v>
      </c>
      <c r="AL2302">
        <v>80.9515911116913</v>
      </c>
      <c r="AM2302">
        <v>89.461556129759302</v>
      </c>
      <c r="AN2302">
        <v>0.99999999020224795</v>
      </c>
    </row>
    <row r="2303" spans="1:40" x14ac:dyDescent="0.25">
      <c r="A2303" t="str">
        <f>"20190312164034022"</f>
        <v>20190312164034022</v>
      </c>
      <c r="B2303" t="str">
        <f>"1552380034018068"</f>
        <v>1552380034018068</v>
      </c>
      <c r="C2303" t="s">
        <v>40</v>
      </c>
      <c r="D2303">
        <v>5.3356849999999998</v>
      </c>
      <c r="E2303">
        <v>0.49905739999999998</v>
      </c>
      <c r="F2303" t="s">
        <v>49</v>
      </c>
      <c r="G2303">
        <v>-304.08350000000002</v>
      </c>
      <c r="H2303" s="1">
        <v>3.2618569999999999E-6</v>
      </c>
      <c r="I2303">
        <v>284.36919999999998</v>
      </c>
      <c r="J2303">
        <v>-288.21300000000002</v>
      </c>
      <c r="K2303">
        <v>1.1089530000000001</v>
      </c>
      <c r="L2303">
        <v>284.3279</v>
      </c>
      <c r="M2303">
        <v>-0.99993620000000005</v>
      </c>
      <c r="N2303">
        <v>0</v>
      </c>
      <c r="O2303">
        <v>8.6061269999999999E-3</v>
      </c>
      <c r="P2303">
        <v>-0.98852169999999895</v>
      </c>
      <c r="Q2303">
        <v>0.15006989999999901</v>
      </c>
      <c r="R2303">
        <v>1.7444910000000001E-2</v>
      </c>
      <c r="S2303">
        <v>-3.0667420000000001</v>
      </c>
      <c r="T2303">
        <v>-0.21129249999999999</v>
      </c>
      <c r="U2303">
        <v>8.2702639999999994E-3</v>
      </c>
      <c r="V2303">
        <v>9.0853089999999997E-3</v>
      </c>
      <c r="W2303">
        <v>0.157307</v>
      </c>
      <c r="X2303">
        <v>0.98750789999999999</v>
      </c>
      <c r="Y2303">
        <v>-5.8753479999999999E-3</v>
      </c>
      <c r="Z2303">
        <v>-7.9441089999999896E-4</v>
      </c>
      <c r="AA2303">
        <v>0.99998240000000005</v>
      </c>
      <c r="AB2303">
        <v>37</v>
      </c>
      <c r="AC2303">
        <v>-15.8705</v>
      </c>
      <c r="AD2303">
        <v>-1.108949738143</v>
      </c>
      <c r="AE2303">
        <v>4.1299999999978299E-2</v>
      </c>
      <c r="AF2303">
        <v>-9.4825740142195095E-2</v>
      </c>
      <c r="AG2303">
        <v>-1.108949738143</v>
      </c>
      <c r="AH2303">
        <v>15.793158055347901</v>
      </c>
      <c r="AI2303">
        <v>94.016478779168906</v>
      </c>
      <c r="AJ2303">
        <v>90.344012856225802</v>
      </c>
      <c r="AK2303">
        <v>15.8323277759122</v>
      </c>
      <c r="AL2303">
        <v>80.949380204838107</v>
      </c>
      <c r="AM2303">
        <v>89.472879989307103</v>
      </c>
      <c r="AN2303">
        <v>0.99999994382551605</v>
      </c>
    </row>
    <row r="2304" spans="1:40" x14ac:dyDescent="0.25">
      <c r="A2304" t="str">
        <f>"20190312164034034"</f>
        <v>20190312164034034</v>
      </c>
      <c r="B2304" t="str">
        <f>"1552380034028805"</f>
        <v>1552380034028805</v>
      </c>
      <c r="C2304" t="s">
        <v>40</v>
      </c>
      <c r="D2304">
        <v>5.3812290000000003</v>
      </c>
      <c r="E2304">
        <v>0.49900539999999999</v>
      </c>
      <c r="F2304" t="s">
        <v>42</v>
      </c>
      <c r="G2304">
        <v>-289.20749999999998</v>
      </c>
      <c r="H2304">
        <v>1.04064</v>
      </c>
      <c r="I2304">
        <v>284.33049999999997</v>
      </c>
      <c r="J2304">
        <v>-288.43009999999998</v>
      </c>
      <c r="K2304">
        <v>1.108951</v>
      </c>
      <c r="L2304">
        <v>284.33</v>
      </c>
      <c r="M2304">
        <v>-0.9999342</v>
      </c>
      <c r="N2304">
        <v>0</v>
      </c>
      <c r="O2304">
        <v>8.8251459999999903E-3</v>
      </c>
      <c r="P2304">
        <v>-0.98853159999999896</v>
      </c>
      <c r="Q2304">
        <v>0.14999749999999901</v>
      </c>
      <c r="R2304">
        <v>1.7491820000000002E-2</v>
      </c>
      <c r="S2304">
        <v>-3.0666500000000001</v>
      </c>
      <c r="T2304">
        <v>-0.21053359999999999</v>
      </c>
      <c r="U2304">
        <v>8.3923339999999996E-3</v>
      </c>
      <c r="V2304">
        <v>8.9156689999999993E-3</v>
      </c>
      <c r="W2304">
        <v>0.15724579999999999</v>
      </c>
      <c r="X2304">
        <v>0.98751929999999999</v>
      </c>
      <c r="Y2304">
        <v>-6.0537990000000003E-3</v>
      </c>
      <c r="Z2304">
        <v>-8.1272460000000001E-4</v>
      </c>
      <c r="AA2304">
        <v>0.99998129999999996</v>
      </c>
      <c r="AB2304">
        <v>37</v>
      </c>
      <c r="AC2304">
        <v>-0.77739999999999998</v>
      </c>
      <c r="AD2304">
        <v>-6.8310999999999997E-2</v>
      </c>
      <c r="AE2304">
        <v>4.9999999998817603E-4</v>
      </c>
      <c r="AF2304">
        <v>-6.3121341698645301E-3</v>
      </c>
      <c r="AG2304">
        <v>-6.8310999999999997E-2</v>
      </c>
      <c r="AH2304">
        <v>0.77141776722824795</v>
      </c>
      <c r="AI2304">
        <v>95.060318276990301</v>
      </c>
      <c r="AJ2304">
        <v>90.468812868858194</v>
      </c>
      <c r="AK2304">
        <v>0.77446214068487096</v>
      </c>
      <c r="AL2304">
        <v>80.952931858886799</v>
      </c>
      <c r="AM2304">
        <v>89.482727753804397</v>
      </c>
      <c r="AN2304">
        <v>1.0000000493219201</v>
      </c>
    </row>
    <row r="2305" spans="1:40" x14ac:dyDescent="0.25">
      <c r="A2305" t="str">
        <f>"20190312164034047"</f>
        <v>20190312164034047</v>
      </c>
      <c r="B2305" t="str">
        <f>"1552380034038564"</f>
        <v>1552380034038564</v>
      </c>
      <c r="C2305" t="s">
        <v>40</v>
      </c>
      <c r="D2305">
        <v>5.2566649999999999</v>
      </c>
      <c r="E2305">
        <v>0.49897550000000002</v>
      </c>
      <c r="F2305" t="s">
        <v>49</v>
      </c>
      <c r="G2305">
        <v>-304.60989999999998</v>
      </c>
      <c r="H2305" s="1">
        <v>3.1680680000000002E-6</v>
      </c>
      <c r="I2305">
        <v>284.37389999999999</v>
      </c>
      <c r="J2305">
        <v>-288.63299999999998</v>
      </c>
      <c r="K2305">
        <v>1.1089500000000001</v>
      </c>
      <c r="L2305">
        <v>284.33190000000002</v>
      </c>
      <c r="M2305">
        <v>-0.9999323</v>
      </c>
      <c r="N2305">
        <v>0</v>
      </c>
      <c r="O2305">
        <v>9.0293809999999995E-3</v>
      </c>
      <c r="P2305">
        <v>-0.98849229999999999</v>
      </c>
      <c r="Q2305">
        <v>0.1502587</v>
      </c>
      <c r="R2305">
        <v>1.7484960000000001E-2</v>
      </c>
      <c r="S2305">
        <v>-3.0665589999999998</v>
      </c>
      <c r="T2305">
        <v>-0.21017910000000001</v>
      </c>
      <c r="U2305">
        <v>8.3312990000000003E-3</v>
      </c>
      <c r="V2305">
        <v>8.7080969999999997E-3</v>
      </c>
      <c r="W2305">
        <v>0.1575175</v>
      </c>
      <c r="X2305">
        <v>0.98747779999999996</v>
      </c>
      <c r="Y2305">
        <v>-6.2769790000000002E-3</v>
      </c>
      <c r="Z2305">
        <v>-8.3300429999999905E-4</v>
      </c>
      <c r="AA2305">
        <v>0.99997999999999998</v>
      </c>
      <c r="AB2305">
        <v>37</v>
      </c>
      <c r="AC2305">
        <v>-15.976900000000001</v>
      </c>
      <c r="AD2305">
        <v>-1.1089468319319999</v>
      </c>
      <c r="AE2305">
        <v>4.1999999999973101E-2</v>
      </c>
      <c r="AF2305">
        <v>-0.10177679218557099</v>
      </c>
      <c r="AG2305">
        <v>-1.1089468319319999</v>
      </c>
      <c r="AH2305">
        <v>15.900027455521</v>
      </c>
      <c r="AI2305">
        <v>93.989549942570605</v>
      </c>
      <c r="AJ2305">
        <v>90.366747857454698</v>
      </c>
      <c r="AK2305">
        <v>15.938977215549301</v>
      </c>
      <c r="AL2305">
        <v>80.937167692491798</v>
      </c>
      <c r="AM2305">
        <v>89.494748871537098</v>
      </c>
      <c r="AN2305">
        <v>0.99999999962622499</v>
      </c>
    </row>
    <row r="2306" spans="1:40" x14ac:dyDescent="0.25">
      <c r="A2306" t="str">
        <f>"20190312164034065"</f>
        <v>20190312164034065</v>
      </c>
      <c r="B2306" t="str">
        <f>"1552380034058083"</f>
        <v>1552380034058083</v>
      </c>
      <c r="C2306" t="s">
        <v>40</v>
      </c>
      <c r="D2306">
        <v>5.496149</v>
      </c>
      <c r="E2306">
        <v>0.49893759999999998</v>
      </c>
      <c r="F2306" t="s">
        <v>49</v>
      </c>
      <c r="G2306">
        <v>-304.89859999999999</v>
      </c>
      <c r="H2306" s="1">
        <v>3.116816E-6</v>
      </c>
      <c r="I2306">
        <v>284.37450000000001</v>
      </c>
      <c r="J2306">
        <v>-288.94040000000001</v>
      </c>
      <c r="K2306">
        <v>1.108951</v>
      </c>
      <c r="L2306">
        <v>284.3349</v>
      </c>
      <c r="M2306">
        <v>-0.99992919999999996</v>
      </c>
      <c r="N2306">
        <v>0</v>
      </c>
      <c r="O2306">
        <v>9.3387390000000004E-3</v>
      </c>
      <c r="P2306">
        <v>-0.98847229999999997</v>
      </c>
      <c r="Q2306">
        <v>0.1504181</v>
      </c>
      <c r="R2306">
        <v>1.7234289999999999E-2</v>
      </c>
      <c r="S2306">
        <v>-3.0665589999999998</v>
      </c>
      <c r="T2306">
        <v>-0.20907029999999999</v>
      </c>
      <c r="U2306">
        <v>8.0261229999999996E-3</v>
      </c>
      <c r="V2306">
        <v>8.1526979999999999E-3</v>
      </c>
      <c r="W2306">
        <v>0.15769549999999999</v>
      </c>
      <c r="X2306">
        <v>0.9874541</v>
      </c>
      <c r="Y2306">
        <v>-6.6845809999999898E-3</v>
      </c>
      <c r="Z2306">
        <v>-8.6356550000000001E-4</v>
      </c>
      <c r="AA2306">
        <v>0.99997729999999996</v>
      </c>
      <c r="AB2306">
        <v>37</v>
      </c>
      <c r="AC2306">
        <v>-15.9581999999999</v>
      </c>
      <c r="AD2306">
        <v>-1.1089478831840001</v>
      </c>
      <c r="AE2306">
        <v>3.9600000000007102E-2</v>
      </c>
      <c r="AF2306">
        <v>-0.10890932754958201</v>
      </c>
      <c r="AG2306">
        <v>-1.1089478831840001</v>
      </c>
      <c r="AH2306">
        <v>15.8811846130871</v>
      </c>
      <c r="AI2306">
        <v>93.994259905336193</v>
      </c>
      <c r="AJ2306">
        <v>90.392914455204107</v>
      </c>
      <c r="AK2306">
        <v>15.920227742221501</v>
      </c>
      <c r="AL2306">
        <v>80.926839682110696</v>
      </c>
      <c r="AM2306">
        <v>89.526960722871493</v>
      </c>
      <c r="AN2306">
        <v>0.99999996840586902</v>
      </c>
    </row>
    <row r="2307" spans="1:40" x14ac:dyDescent="0.25">
      <c r="A2307" t="str">
        <f>"20190312164034076"</f>
        <v>20190312164034076</v>
      </c>
      <c r="B2307" t="str">
        <f>"1552380034068820"</f>
        <v>1552380034068820</v>
      </c>
      <c r="C2307" t="s">
        <v>40</v>
      </c>
      <c r="D2307">
        <v>6.7826820000000003</v>
      </c>
      <c r="E2307">
        <v>0.4989075</v>
      </c>
      <c r="F2307" t="s">
        <v>49</v>
      </c>
      <c r="G2307">
        <v>-305.31580000000002</v>
      </c>
      <c r="H2307" s="1">
        <v>3.0429629999999898E-6</v>
      </c>
      <c r="I2307">
        <v>284.37270000000001</v>
      </c>
      <c r="J2307">
        <v>-289.13959999999997</v>
      </c>
      <c r="K2307">
        <v>1.1089519999999999</v>
      </c>
      <c r="L2307">
        <v>284.33690000000001</v>
      </c>
      <c r="M2307">
        <v>-0.99992720000000002</v>
      </c>
      <c r="N2307">
        <v>0</v>
      </c>
      <c r="O2307">
        <v>9.5390379999999997E-3</v>
      </c>
      <c r="P2307">
        <v>-0.98844500000000002</v>
      </c>
      <c r="Q2307">
        <v>0.15056720000000001</v>
      </c>
      <c r="R2307">
        <v>1.7491710000000001E-2</v>
      </c>
      <c r="S2307">
        <v>-3.0664669999999998</v>
      </c>
      <c r="T2307">
        <v>-0.20766200000000001</v>
      </c>
      <c r="U2307">
        <v>7.0800780000000001E-3</v>
      </c>
      <c r="V2307">
        <v>8.2128719999999995E-3</v>
      </c>
      <c r="W2307">
        <v>0.15785650000000001</v>
      </c>
      <c r="X2307">
        <v>0.98742790000000003</v>
      </c>
      <c r="Y2307">
        <v>-7.1921919999999896E-3</v>
      </c>
      <c r="Z2307">
        <v>-8.8850460000000002E-4</v>
      </c>
      <c r="AA2307">
        <v>0.99997369999999997</v>
      </c>
      <c r="AB2307">
        <v>38</v>
      </c>
      <c r="AC2307">
        <v>-16.176200000000001</v>
      </c>
      <c r="AD2307">
        <v>-1.1089489570369999</v>
      </c>
      <c r="AE2307">
        <v>3.5799999999994697E-2</v>
      </c>
      <c r="AF2307">
        <v>-0.117956869088769</v>
      </c>
      <c r="AG2307">
        <v>-1.1089489570369999</v>
      </c>
      <c r="AH2307">
        <v>16.100140036606899</v>
      </c>
      <c r="AI2307">
        <v>93.940102593227493</v>
      </c>
      <c r="AJ2307">
        <v>90.419767146626796</v>
      </c>
      <c r="AK2307">
        <v>16.138717136458801</v>
      </c>
      <c r="AL2307">
        <v>80.917498270850004</v>
      </c>
      <c r="AM2307">
        <v>89.523456798636204</v>
      </c>
      <c r="AN2307">
        <v>0.99999999177857402</v>
      </c>
    </row>
    <row r="2308" spans="1:40" x14ac:dyDescent="0.25">
      <c r="A2308" t="str">
        <f>"20190312164034090"</f>
        <v>20190312164034090</v>
      </c>
      <c r="B2308" t="str">
        <f>"1552380034078580"</f>
        <v>1552380034078580</v>
      </c>
      <c r="C2308" t="s">
        <v>40</v>
      </c>
      <c r="D2308">
        <v>5.55715</v>
      </c>
      <c r="E2308">
        <v>0.49886629999999899</v>
      </c>
      <c r="F2308" t="s">
        <v>49</v>
      </c>
      <c r="G2308">
        <v>-305.58139999999997</v>
      </c>
      <c r="H2308" s="1">
        <v>2.9954289999999999E-6</v>
      </c>
      <c r="I2308">
        <v>284.3775</v>
      </c>
      <c r="J2308">
        <v>-289.35489999999999</v>
      </c>
      <c r="K2308">
        <v>1.108951</v>
      </c>
      <c r="L2308">
        <v>284.33909999999997</v>
      </c>
      <c r="M2308">
        <v>-0.99992510000000001</v>
      </c>
      <c r="N2308">
        <v>0</v>
      </c>
      <c r="O2308">
        <v>9.7556029999999998E-3</v>
      </c>
      <c r="P2308">
        <v>-0.98846069999999997</v>
      </c>
      <c r="Q2308">
        <v>0.15046379999999901</v>
      </c>
      <c r="R2308">
        <v>1.750082E-2</v>
      </c>
      <c r="S2308">
        <v>-3.0664669999999998</v>
      </c>
      <c r="T2308">
        <v>-0.20682349999999999</v>
      </c>
      <c r="U2308">
        <v>7.5683590000000002E-3</v>
      </c>
      <c r="V2308">
        <v>8.0081430000000006E-3</v>
      </c>
      <c r="W2308">
        <v>0.15776660000000001</v>
      </c>
      <c r="X2308">
        <v>0.98744399999999999</v>
      </c>
      <c r="Y2308">
        <v>-7.2492269999999996E-3</v>
      </c>
      <c r="Z2308">
        <v>-9.014359E-4</v>
      </c>
      <c r="AA2308">
        <v>0.99997329999999995</v>
      </c>
      <c r="AB2308">
        <v>38</v>
      </c>
      <c r="AC2308">
        <v>-16.226499999999898</v>
      </c>
      <c r="AD2308">
        <v>-1.1089480045710001</v>
      </c>
      <c r="AE2308">
        <v>3.8400000000024102E-2</v>
      </c>
      <c r="AF2308">
        <v>-0.119348019340404</v>
      </c>
      <c r="AG2308">
        <v>-1.1089480045710001</v>
      </c>
      <c r="AH2308">
        <v>16.150669520408801</v>
      </c>
      <c r="AI2308">
        <v>93.927808927634103</v>
      </c>
      <c r="AJ2308">
        <v>90.423388846296604</v>
      </c>
      <c r="AK2308">
        <v>16.189136344599198</v>
      </c>
      <c r="AL2308">
        <v>80.922714982804195</v>
      </c>
      <c r="AM2308">
        <v>89.535343030451699</v>
      </c>
      <c r="AN2308">
        <v>1.00000004178293</v>
      </c>
    </row>
    <row r="2309" spans="1:40" x14ac:dyDescent="0.25">
      <c r="A2309" t="str">
        <f>"20190312164034111"</f>
        <v>20190312164034111</v>
      </c>
      <c r="B2309" t="str">
        <f>"1552380034098437"</f>
        <v>1552380034098437</v>
      </c>
      <c r="C2309" t="s">
        <v>40</v>
      </c>
      <c r="D2309">
        <v>5.3660329999999998</v>
      </c>
      <c r="E2309">
        <v>0.4988438</v>
      </c>
      <c r="F2309" t="s">
        <v>49</v>
      </c>
      <c r="G2309">
        <v>-305.79379999999998</v>
      </c>
      <c r="H2309" s="1">
        <v>2.9580330000000002E-6</v>
      </c>
      <c r="I2309">
        <v>284.37430000000001</v>
      </c>
      <c r="J2309">
        <v>-289.69639999999998</v>
      </c>
      <c r="K2309">
        <v>1.108948</v>
      </c>
      <c r="L2309">
        <v>284.34280000000001</v>
      </c>
      <c r="M2309">
        <v>-0.99992139999999996</v>
      </c>
      <c r="N2309">
        <v>0</v>
      </c>
      <c r="O2309">
        <v>1.0098920000000001E-2</v>
      </c>
      <c r="P2309">
        <v>-0.98849180000000003</v>
      </c>
      <c r="Q2309">
        <v>0.150204</v>
      </c>
      <c r="R2309">
        <v>1.7965499999999999E-2</v>
      </c>
      <c r="S2309">
        <v>-3.0664060000000002</v>
      </c>
      <c r="T2309">
        <v>-0.20685629999999999</v>
      </c>
      <c r="U2309">
        <v>6.5612789999999997E-3</v>
      </c>
      <c r="V2309">
        <v>8.1333410000000005E-3</v>
      </c>
      <c r="W2309">
        <v>0.15752969999999999</v>
      </c>
      <c r="X2309">
        <v>0.98748080000000005</v>
      </c>
      <c r="Y2309">
        <v>-7.9186099999999995E-3</v>
      </c>
      <c r="Z2309">
        <v>-9.4728230000000002E-4</v>
      </c>
      <c r="AA2309">
        <v>0.99996819999999997</v>
      </c>
      <c r="AB2309">
        <v>38</v>
      </c>
      <c r="AC2309">
        <v>-16.097399999999901</v>
      </c>
      <c r="AD2309">
        <v>-1.1089450419669999</v>
      </c>
      <c r="AE2309">
        <v>3.1499999999993998E-2</v>
      </c>
      <c r="AF2309">
        <v>-0.13045334682538801</v>
      </c>
      <c r="AG2309">
        <v>-1.1089450419669999</v>
      </c>
      <c r="AH2309">
        <v>16.020865802384701</v>
      </c>
      <c r="AI2309">
        <v>93.959498242308698</v>
      </c>
      <c r="AJ2309">
        <v>90.466532901586206</v>
      </c>
      <c r="AK2309">
        <v>16.059729706312702</v>
      </c>
      <c r="AL2309">
        <v>80.936460252194905</v>
      </c>
      <c r="AM2309">
        <v>89.528096571351895</v>
      </c>
      <c r="AN2309">
        <v>1.0000000439932699</v>
      </c>
    </row>
    <row r="2310" spans="1:40" x14ac:dyDescent="0.25">
      <c r="A2310" t="str">
        <f>"20190312164034133"</f>
        <v>20190312164034133</v>
      </c>
      <c r="B2310" t="str">
        <f>"1552380034128693"</f>
        <v>1552380034128693</v>
      </c>
      <c r="C2310" t="s">
        <v>40</v>
      </c>
      <c r="D2310">
        <v>5.4462460000000004</v>
      </c>
      <c r="E2310">
        <v>0.48119139999999999</v>
      </c>
      <c r="F2310" t="s">
        <v>49</v>
      </c>
      <c r="G2310">
        <v>-306.10000000000002</v>
      </c>
      <c r="H2310" s="1">
        <v>2.9030489999999999E-6</v>
      </c>
      <c r="I2310">
        <v>284.38200000000001</v>
      </c>
      <c r="J2310">
        <v>-290.07409999999999</v>
      </c>
      <c r="K2310">
        <v>1.108946</v>
      </c>
      <c r="L2310">
        <v>284.34690000000001</v>
      </c>
      <c r="M2310">
        <v>-0.99991730000000001</v>
      </c>
      <c r="N2310">
        <v>0</v>
      </c>
      <c r="O2310">
        <v>1.047905E-2</v>
      </c>
      <c r="P2310">
        <v>-0.98853120000000005</v>
      </c>
      <c r="Q2310">
        <v>0.14990429999999999</v>
      </c>
      <c r="R2310">
        <v>1.829658E-2</v>
      </c>
      <c r="S2310">
        <v>-3.066284</v>
      </c>
      <c r="T2310">
        <v>-0.20729149999999999</v>
      </c>
      <c r="U2310">
        <v>7.3242189999999999E-3</v>
      </c>
      <c r="V2310">
        <v>8.0885060000000005E-3</v>
      </c>
      <c r="W2310">
        <v>0.15725899999999901</v>
      </c>
      <c r="X2310">
        <v>0.98752430000000002</v>
      </c>
      <c r="Y2310">
        <v>-8.0485290000000004E-3</v>
      </c>
      <c r="Z2310">
        <v>-9.7936310000000006E-4</v>
      </c>
      <c r="AA2310">
        <v>0.99996719999999895</v>
      </c>
      <c r="AB2310">
        <v>38</v>
      </c>
      <c r="AC2310">
        <v>-16.0259</v>
      </c>
      <c r="AD2310">
        <v>-1.1089430969509999</v>
      </c>
      <c r="AE2310">
        <v>3.5099999999999902E-2</v>
      </c>
      <c r="AF2310">
        <v>-0.132209756358563</v>
      </c>
      <c r="AG2310">
        <v>-1.1089430969509999</v>
      </c>
      <c r="AH2310">
        <v>15.9490208670275</v>
      </c>
      <c r="AI2310">
        <v>93.977265590451495</v>
      </c>
      <c r="AJ2310">
        <v>90.4749437354414</v>
      </c>
      <c r="AK2310">
        <v>15.988073706010701</v>
      </c>
      <c r="AL2310">
        <v>80.952165850660293</v>
      </c>
      <c r="AM2310">
        <v>89.530718491503194</v>
      </c>
      <c r="AN2310">
        <v>1.0000000300503999</v>
      </c>
    </row>
    <row r="2311" spans="1:40" x14ac:dyDescent="0.25">
      <c r="A2311" t="str">
        <f>"20190312164034155"</f>
        <v>20190312164034155</v>
      </c>
      <c r="B2311" t="str">
        <f>"1552380034148213"</f>
        <v>1552380034148213</v>
      </c>
      <c r="C2311" t="s">
        <v>40</v>
      </c>
      <c r="D2311">
        <v>5.53416</v>
      </c>
      <c r="E2311">
        <v>0.48177730000000002</v>
      </c>
      <c r="F2311" t="s">
        <v>49</v>
      </c>
      <c r="G2311">
        <v>-311.63049999999998</v>
      </c>
      <c r="H2311" s="1">
        <v>3.0432540000000002E-6</v>
      </c>
      <c r="I2311">
        <v>283.4357</v>
      </c>
      <c r="J2311">
        <v>-290.4468</v>
      </c>
      <c r="K2311">
        <v>1.1089439999999999</v>
      </c>
      <c r="L2311">
        <v>284.35109999999997</v>
      </c>
      <c r="M2311">
        <v>-0.99991319999999995</v>
      </c>
      <c r="N2311">
        <v>0</v>
      </c>
      <c r="O2311">
        <v>1.0853929999999999E-2</v>
      </c>
      <c r="P2311">
        <v>-0.98859699999999995</v>
      </c>
      <c r="Q2311">
        <v>0.1494231</v>
      </c>
      <c r="R2311">
        <v>1.868073E-2</v>
      </c>
      <c r="S2311">
        <v>-3.0610659999999998</v>
      </c>
      <c r="T2311">
        <v>-0.15747269999999999</v>
      </c>
      <c r="U2311">
        <v>-0.1293945</v>
      </c>
      <c r="V2311">
        <v>8.10138E-3</v>
      </c>
      <c r="W2311">
        <v>0.1568078</v>
      </c>
      <c r="X2311">
        <v>0.98759589999999997</v>
      </c>
      <c r="Y2311">
        <v>-5.2991129999999997E-2</v>
      </c>
      <c r="Z2311">
        <v>-1.919313E-3</v>
      </c>
      <c r="AA2311">
        <v>0.99859319999999896</v>
      </c>
      <c r="AB2311">
        <v>38</v>
      </c>
      <c r="AC2311">
        <v>-21.183699999999899</v>
      </c>
      <c r="AD2311">
        <v>-1.108940956746</v>
      </c>
      <c r="AE2311">
        <v>-0.91539999999997601</v>
      </c>
      <c r="AF2311">
        <v>-1.1421547633611899</v>
      </c>
      <c r="AG2311">
        <v>-1.108940956746</v>
      </c>
      <c r="AH2311">
        <v>21.1147611811781</v>
      </c>
      <c r="AI2311">
        <v>93.002014348336004</v>
      </c>
      <c r="AJ2311">
        <v>93.096266722169204</v>
      </c>
      <c r="AK2311">
        <v>21.174687891140302</v>
      </c>
      <c r="AL2311">
        <v>80.978342108053994</v>
      </c>
      <c r="AM2311">
        <v>89.530005672364993</v>
      </c>
      <c r="AN2311">
        <v>0.99999999009777696</v>
      </c>
    </row>
    <row r="2312" spans="1:40" x14ac:dyDescent="0.25">
      <c r="A2312" t="str">
        <f>"20190312164034177"</f>
        <v>20190312164034177</v>
      </c>
      <c r="B2312" t="str">
        <f>"1552380034168709"</f>
        <v>1552380034168709</v>
      </c>
      <c r="C2312" t="s">
        <v>40</v>
      </c>
      <c r="D2312">
        <v>5.4514310000000004</v>
      </c>
      <c r="E2312">
        <v>0.48221740000000002</v>
      </c>
      <c r="F2312" t="s">
        <v>49</v>
      </c>
      <c r="G2312">
        <v>-312.26400000000001</v>
      </c>
      <c r="H2312" s="1">
        <v>3.3210909999999998E-6</v>
      </c>
      <c r="I2312">
        <v>283.47109999999998</v>
      </c>
      <c r="J2312">
        <v>-290.83600000000001</v>
      </c>
      <c r="K2312">
        <v>1.1089439999999999</v>
      </c>
      <c r="L2312">
        <v>284.35570000000001</v>
      </c>
      <c r="M2312">
        <v>-0.99990860000000004</v>
      </c>
      <c r="N2312">
        <v>0</v>
      </c>
      <c r="O2312">
        <v>1.124561E-2</v>
      </c>
      <c r="P2312">
        <v>-0.98867260000000001</v>
      </c>
      <c r="Q2312">
        <v>0.14879979999999901</v>
      </c>
      <c r="R2312">
        <v>1.9630709999999999E-2</v>
      </c>
      <c r="S2312">
        <v>-3.0604550000000001</v>
      </c>
      <c r="T2312">
        <v>-0.15555939999999999</v>
      </c>
      <c r="U2312">
        <v>-0.1234436</v>
      </c>
      <c r="V2312">
        <v>8.6630709999999996E-3</v>
      </c>
      <c r="W2312">
        <v>0.15621579999999999</v>
      </c>
      <c r="X2312">
        <v>0.98768500000000004</v>
      </c>
      <c r="Y2312">
        <v>-5.14557E-2</v>
      </c>
      <c r="Z2312">
        <v>-1.877384E-3</v>
      </c>
      <c r="AA2312">
        <v>0.99867349999999999</v>
      </c>
      <c r="AB2312">
        <v>38</v>
      </c>
      <c r="AC2312">
        <v>-21.428000000000001</v>
      </c>
      <c r="AD2312">
        <v>-1.1089406789089999</v>
      </c>
      <c r="AE2312">
        <v>-0.88460000000003403</v>
      </c>
      <c r="AF2312">
        <v>-1.12252048713897</v>
      </c>
      <c r="AG2312">
        <v>-1.1089406789089999</v>
      </c>
      <c r="AH2312">
        <v>21.3595875189474</v>
      </c>
      <c r="AI2312">
        <v>92.9679084590326</v>
      </c>
      <c r="AJ2312">
        <v>93.008324656657393</v>
      </c>
      <c r="AK2312">
        <v>21.417791217886101</v>
      </c>
      <c r="AL2312">
        <v>81.012684913495704</v>
      </c>
      <c r="AM2312">
        <v>89.497466623542905</v>
      </c>
      <c r="AN2312">
        <v>1.00000004209689</v>
      </c>
    </row>
    <row r="2313" spans="1:40" x14ac:dyDescent="0.25">
      <c r="A2313" t="str">
        <f>"20190312164034199"</f>
        <v>20190312164034199</v>
      </c>
      <c r="B2313" t="str">
        <f>"1552380034188229"</f>
        <v>1552380034188229</v>
      </c>
      <c r="C2313" t="s">
        <v>40</v>
      </c>
      <c r="D2313">
        <v>5.4482410000000003</v>
      </c>
      <c r="E2313">
        <v>0.48244009999999998</v>
      </c>
      <c r="F2313" t="s">
        <v>49</v>
      </c>
      <c r="G2313">
        <v>-312.30560000000003</v>
      </c>
      <c r="H2313" s="1">
        <v>3.3340889999999999E-6</v>
      </c>
      <c r="I2313">
        <v>283.53339999999997</v>
      </c>
      <c r="J2313">
        <v>-291.20139999999998</v>
      </c>
      <c r="K2313">
        <v>1.1089420000000001</v>
      </c>
      <c r="L2313">
        <v>284.36009999999999</v>
      </c>
      <c r="M2313">
        <v>-0.99990420000000002</v>
      </c>
      <c r="N2313">
        <v>0</v>
      </c>
      <c r="O2313">
        <v>1.160855E-2</v>
      </c>
      <c r="P2313">
        <v>-0.98868440000000002</v>
      </c>
      <c r="Q2313">
        <v>0.14860760000000001</v>
      </c>
      <c r="R2313">
        <v>2.047272E-2</v>
      </c>
      <c r="S2313">
        <v>-3.0605159999999998</v>
      </c>
      <c r="T2313">
        <v>-0.15808069999999999</v>
      </c>
      <c r="U2313">
        <v>-0.117218</v>
      </c>
      <c r="V2313">
        <v>9.1458129999999992E-3</v>
      </c>
      <c r="W2313">
        <v>0.15605429999999901</v>
      </c>
      <c r="X2313">
        <v>0.98770610000000003</v>
      </c>
      <c r="Y2313">
        <v>-4.9788079999999998E-2</v>
      </c>
      <c r="Z2313">
        <v>-1.883514E-3</v>
      </c>
      <c r="AA2313">
        <v>0.99875800000000003</v>
      </c>
      <c r="AB2313">
        <v>38</v>
      </c>
      <c r="AC2313">
        <v>-21.104199999999999</v>
      </c>
      <c r="AD2313">
        <v>-1.1089386659110001</v>
      </c>
      <c r="AE2313">
        <v>-0.82670000000001598</v>
      </c>
      <c r="AF2313">
        <v>-1.06869419784911</v>
      </c>
      <c r="AG2313">
        <v>-1.1089386659110001</v>
      </c>
      <c r="AH2313">
        <v>21.035190198357199</v>
      </c>
      <c r="AI2313">
        <v>93.013860396012305</v>
      </c>
      <c r="AJ2313">
        <v>92.908415145747995</v>
      </c>
      <c r="AK2313">
        <v>21.091493046589498</v>
      </c>
      <c r="AL2313">
        <v>81.022052379301499</v>
      </c>
      <c r="AM2313">
        <v>89.469476285203498</v>
      </c>
      <c r="AN2313">
        <v>0.999999965210565</v>
      </c>
    </row>
    <row r="2314" spans="1:40" x14ac:dyDescent="0.25">
      <c r="A2314" t="str">
        <f>"20190312164034221"</f>
        <v>20190312164034221</v>
      </c>
      <c r="B2314" t="str">
        <f>"1552380034218484"</f>
        <v>1552380034218484</v>
      </c>
      <c r="C2314" t="s">
        <v>40</v>
      </c>
      <c r="D2314">
        <v>5.3286829999999998</v>
      </c>
      <c r="E2314">
        <v>0.48244870000000001</v>
      </c>
      <c r="F2314" t="s">
        <v>49</v>
      </c>
      <c r="G2314">
        <v>-312.64830000000001</v>
      </c>
      <c r="H2314" s="1">
        <v>3.483533E-6</v>
      </c>
      <c r="I2314">
        <v>283.56220000000002</v>
      </c>
      <c r="J2314">
        <v>-291.56950000000001</v>
      </c>
      <c r="K2314">
        <v>1.108949</v>
      </c>
      <c r="L2314">
        <v>284.36470000000003</v>
      </c>
      <c r="M2314">
        <v>-0.99989969999999995</v>
      </c>
      <c r="N2314">
        <v>0</v>
      </c>
      <c r="O2314">
        <v>1.196705E-2</v>
      </c>
      <c r="P2314">
        <v>-0.98869309999999999</v>
      </c>
      <c r="Q2314">
        <v>0.14845349999999999</v>
      </c>
      <c r="R2314">
        <v>2.115349E-2</v>
      </c>
      <c r="S2314">
        <v>-3.060486</v>
      </c>
      <c r="T2314">
        <v>-0.15824630000000001</v>
      </c>
      <c r="U2314">
        <v>-0.11386110000000001</v>
      </c>
      <c r="V2314">
        <v>9.4706289999999995E-3</v>
      </c>
      <c r="W2314">
        <v>0.15593370000000001</v>
      </c>
      <c r="X2314">
        <v>0.98772210000000005</v>
      </c>
      <c r="Y2314">
        <v>-4.9052930000000002E-2</v>
      </c>
      <c r="Z2314">
        <v>-1.885074E-3</v>
      </c>
      <c r="AA2314">
        <v>0.99879439999999997</v>
      </c>
      <c r="AB2314">
        <v>38</v>
      </c>
      <c r="AC2314">
        <v>-21.078800000000001</v>
      </c>
      <c r="AD2314">
        <v>-1.1089455164669999</v>
      </c>
      <c r="AE2314">
        <v>-0.80250000000000898</v>
      </c>
      <c r="AF2314">
        <v>-1.0517939211252501</v>
      </c>
      <c r="AG2314">
        <v>-1.1089455164669999</v>
      </c>
      <c r="AH2314">
        <v>21.009621218525599</v>
      </c>
      <c r="AI2314">
        <v>93.017652651651503</v>
      </c>
      <c r="AJ2314">
        <v>92.865976615112601</v>
      </c>
      <c r="AK2314">
        <v>21.065142163226199</v>
      </c>
      <c r="AL2314">
        <v>81.029048016284506</v>
      </c>
      <c r="AM2314">
        <v>89.450644626795096</v>
      </c>
      <c r="AN2314">
        <v>0.99999997921887696</v>
      </c>
    </row>
    <row r="2315" spans="1:40" x14ac:dyDescent="0.25">
      <c r="A2315" t="str">
        <f>"20190312164034243"</f>
        <v>20190312164034243</v>
      </c>
      <c r="B2315" t="str">
        <f>"1552380034238005"</f>
        <v>1552380034238005</v>
      </c>
      <c r="C2315" t="s">
        <v>40</v>
      </c>
      <c r="D2315">
        <v>5.6227830000000001</v>
      </c>
      <c r="E2315">
        <v>0.48247109999999899</v>
      </c>
      <c r="F2315" t="s">
        <v>49</v>
      </c>
      <c r="G2315">
        <v>-313.0625</v>
      </c>
      <c r="H2315" s="1">
        <v>3.6655969999999998E-6</v>
      </c>
      <c r="I2315">
        <v>283.58089999999999</v>
      </c>
      <c r="J2315">
        <v>-291.9556</v>
      </c>
      <c r="K2315">
        <v>1.1089580000000001</v>
      </c>
      <c r="L2315">
        <v>284.36959999999999</v>
      </c>
      <c r="M2315">
        <v>-0.99989499999999998</v>
      </c>
      <c r="N2315">
        <v>0</v>
      </c>
      <c r="O2315">
        <v>1.2335E-2</v>
      </c>
      <c r="P2315">
        <v>-0.98860680000000001</v>
      </c>
      <c r="Q2315">
        <v>0.148868</v>
      </c>
      <c r="R2315">
        <v>2.2247840000000001E-2</v>
      </c>
      <c r="S2315">
        <v>-3.0603940000000001</v>
      </c>
      <c r="T2315">
        <v>-0.15790270000000001</v>
      </c>
      <c r="U2315">
        <v>-0.1116028</v>
      </c>
      <c r="V2315">
        <v>1.0200610000000001E-2</v>
      </c>
      <c r="W2315">
        <v>0.15638250000000001</v>
      </c>
      <c r="X2315">
        <v>0.98764390000000002</v>
      </c>
      <c r="Y2315">
        <v>-4.8685899999999997E-2</v>
      </c>
      <c r="Z2315">
        <v>-1.8905770000000001E-3</v>
      </c>
      <c r="AA2315">
        <v>0.99881240000000004</v>
      </c>
      <c r="AB2315">
        <v>38</v>
      </c>
      <c r="AC2315">
        <v>-21.1069</v>
      </c>
      <c r="AD2315">
        <v>-1.108954334403</v>
      </c>
      <c r="AE2315">
        <v>-0.78870000000000495</v>
      </c>
      <c r="AF2315">
        <v>-1.0461174152675199</v>
      </c>
      <c r="AG2315">
        <v>-1.108954334403</v>
      </c>
      <c r="AH2315">
        <v>21.0375732196594</v>
      </c>
      <c r="AI2315">
        <v>93.013724857125098</v>
      </c>
      <c r="AJ2315">
        <v>92.846753403045</v>
      </c>
      <c r="AK2315">
        <v>21.092738758512301</v>
      </c>
      <c r="AL2315">
        <v>81.003014532552598</v>
      </c>
      <c r="AM2315">
        <v>89.408257246173093</v>
      </c>
      <c r="AN2315">
        <v>1.00000000597891</v>
      </c>
    </row>
    <row r="2316" spans="1:40" x14ac:dyDescent="0.25">
      <c r="A2316" t="str">
        <f>"20190312164034256"</f>
        <v>20190312164034256</v>
      </c>
      <c r="B2316" t="str">
        <f>"1552380034248741"</f>
        <v>1552380034248741</v>
      </c>
      <c r="C2316" t="s">
        <v>40</v>
      </c>
      <c r="D2316">
        <v>5.4192970000000003</v>
      </c>
      <c r="E2316">
        <v>0.48247109999999899</v>
      </c>
      <c r="F2316" t="s">
        <v>49</v>
      </c>
      <c r="G2316">
        <v>-313.79079999999999</v>
      </c>
      <c r="H2316" s="1">
        <v>3.9872800000000002E-6</v>
      </c>
      <c r="I2316">
        <v>283.5958</v>
      </c>
      <c r="J2316">
        <v>-292.1857</v>
      </c>
      <c r="K2316">
        <v>1.1089629999999999</v>
      </c>
      <c r="L2316">
        <v>284.37259999999998</v>
      </c>
      <c r="M2316">
        <v>-0.99989209999999995</v>
      </c>
      <c r="N2316">
        <v>0</v>
      </c>
      <c r="O2316">
        <v>1.254918E-2</v>
      </c>
      <c r="P2316">
        <v>-0.98855570000000004</v>
      </c>
      <c r="Q2316">
        <v>0.14916650000000001</v>
      </c>
      <c r="R2316">
        <v>2.2516709999999999E-2</v>
      </c>
      <c r="S2316">
        <v>-3.060425</v>
      </c>
      <c r="T2316">
        <v>-0.15543090000000001</v>
      </c>
      <c r="U2316">
        <v>-0.1084595</v>
      </c>
      <c r="V2316">
        <v>1.0256960000000001E-2</v>
      </c>
      <c r="W2316">
        <v>0.15670139999999999</v>
      </c>
      <c r="X2316">
        <v>0.98759280000000005</v>
      </c>
      <c r="Y2316">
        <v>-4.7878209999999997E-2</v>
      </c>
      <c r="Z2316">
        <v>-1.8514110000000001E-3</v>
      </c>
      <c r="AA2316">
        <v>0.9988515</v>
      </c>
      <c r="AB2316">
        <v>38</v>
      </c>
      <c r="AC2316">
        <v>-21.6051</v>
      </c>
      <c r="AD2316">
        <v>-1.10895901272</v>
      </c>
      <c r="AE2316">
        <v>-0.77679999999997995</v>
      </c>
      <c r="AF2316">
        <v>-1.0451230713822901</v>
      </c>
      <c r="AG2316">
        <v>-1.10895901272</v>
      </c>
      <c r="AH2316">
        <v>21.5369815767218</v>
      </c>
      <c r="AI2316">
        <v>92.944150883072894</v>
      </c>
      <c r="AJ2316">
        <v>92.778207486380694</v>
      </c>
      <c r="AK2316">
        <v>21.590823230305102</v>
      </c>
      <c r="AL2316">
        <v>80.984515107072397</v>
      </c>
      <c r="AM2316">
        <v>89.4049578025448</v>
      </c>
      <c r="AN2316">
        <v>1.0000000363011201</v>
      </c>
    </row>
    <row r="2317" spans="1:40" x14ac:dyDescent="0.25">
      <c r="A2317" t="str">
        <f>"20190312164034268"</f>
        <v>20190312164034268</v>
      </c>
      <c r="B2317" t="str">
        <f>"1552380034258501"</f>
        <v>1552380034258501</v>
      </c>
      <c r="C2317" t="s">
        <v>40</v>
      </c>
      <c r="D2317">
        <v>5.3727299999999998</v>
      </c>
      <c r="E2317">
        <v>0.48507600000000001</v>
      </c>
      <c r="F2317" t="s">
        <v>49</v>
      </c>
      <c r="G2317">
        <v>-314.16680000000002</v>
      </c>
      <c r="H2317" s="1">
        <v>4.1539119999999996E-6</v>
      </c>
      <c r="I2317">
        <v>283.59710000000001</v>
      </c>
      <c r="J2317">
        <v>-292.38350000000003</v>
      </c>
      <c r="K2317">
        <v>1.108967</v>
      </c>
      <c r="L2317">
        <v>284.37520000000001</v>
      </c>
      <c r="M2317">
        <v>-0.99988980000000005</v>
      </c>
      <c r="N2317">
        <v>0</v>
      </c>
      <c r="O2317">
        <v>1.2725139999999999E-2</v>
      </c>
      <c r="P2317">
        <v>-0.98852910000000005</v>
      </c>
      <c r="Q2317">
        <v>0.14924009999999999</v>
      </c>
      <c r="R2317">
        <v>2.3191099999999999E-2</v>
      </c>
      <c r="S2317">
        <v>-3.0604550000000001</v>
      </c>
      <c r="T2317">
        <v>-0.1544015</v>
      </c>
      <c r="U2317">
        <v>-0.1079712</v>
      </c>
      <c r="V2317">
        <v>1.075577E-2</v>
      </c>
      <c r="W2317">
        <v>0.15679319999999999</v>
      </c>
      <c r="X2317">
        <v>0.98757289999999998</v>
      </c>
      <c r="Y2317">
        <v>-4.7895260000000002E-2</v>
      </c>
      <c r="Z2317">
        <v>-1.848452E-3</v>
      </c>
      <c r="AA2317">
        <v>0.99885060000000003</v>
      </c>
      <c r="AB2317">
        <v>38</v>
      </c>
      <c r="AC2317">
        <v>-21.783300000000001</v>
      </c>
      <c r="AD2317">
        <v>-1.1089628460879899</v>
      </c>
      <c r="AE2317">
        <v>-0.77809999999999402</v>
      </c>
      <c r="AF2317">
        <v>-1.05251629748077</v>
      </c>
      <c r="AG2317">
        <v>-1.1089628460879899</v>
      </c>
      <c r="AH2317">
        <v>21.7154260277939</v>
      </c>
      <c r="AI2317">
        <v>92.920017944747599</v>
      </c>
      <c r="AJ2317">
        <v>92.774874660530799</v>
      </c>
      <c r="AK2317">
        <v>21.7691827296997</v>
      </c>
      <c r="AL2317">
        <v>80.979189316253496</v>
      </c>
      <c r="AM2317">
        <v>89.376009748788604</v>
      </c>
      <c r="AN2317">
        <v>1.00000001348447</v>
      </c>
    </row>
    <row r="2318" spans="1:40" x14ac:dyDescent="0.25">
      <c r="A2318" t="str">
        <f>"20190312164034288"</f>
        <v>20190312164034288</v>
      </c>
      <c r="B2318" t="str">
        <f>"1552380034278021"</f>
        <v>1552380034278021</v>
      </c>
      <c r="C2318" t="s">
        <v>40</v>
      </c>
      <c r="D2318">
        <v>5.3815670000000004</v>
      </c>
      <c r="E2318">
        <v>0.48292109999999999</v>
      </c>
      <c r="F2318" t="s">
        <v>49</v>
      </c>
      <c r="G2318">
        <v>-309.2586</v>
      </c>
      <c r="H2318" s="1">
        <v>2.3856909999999998E-6</v>
      </c>
      <c r="I2318">
        <v>283.89109999999999</v>
      </c>
      <c r="J2318">
        <v>-292.73480000000001</v>
      </c>
      <c r="K2318">
        <v>1.108981</v>
      </c>
      <c r="L2318">
        <v>284.38</v>
      </c>
      <c r="M2318">
        <v>-0.99988580000000005</v>
      </c>
      <c r="N2318">
        <v>0</v>
      </c>
      <c r="O2318">
        <v>1.302389E-2</v>
      </c>
      <c r="P2318">
        <v>-0.9885486</v>
      </c>
      <c r="Q2318">
        <v>0.14906150000000001</v>
      </c>
      <c r="R2318">
        <v>2.3504500000000001E-2</v>
      </c>
      <c r="S2318">
        <v>-3.0673219999999999</v>
      </c>
      <c r="T2318">
        <v>-0.20157269999999999</v>
      </c>
      <c r="U2318">
        <v>-8.8012699999999999E-2</v>
      </c>
      <c r="V2318">
        <v>1.0768420000000001E-2</v>
      </c>
      <c r="W2318">
        <v>0.15664910000000001</v>
      </c>
      <c r="X2318">
        <v>0.98759560000000002</v>
      </c>
      <c r="Y2318">
        <v>-4.1580640000000002E-2</v>
      </c>
      <c r="Z2318">
        <v>-2.219338E-3</v>
      </c>
      <c r="AA2318">
        <v>0.99913269999999998</v>
      </c>
      <c r="AB2318">
        <v>38</v>
      </c>
      <c r="AC2318">
        <v>-16.523799999999898</v>
      </c>
      <c r="AD2318">
        <v>-1.1089786143089999</v>
      </c>
      <c r="AE2318">
        <v>-0.488900000000001</v>
      </c>
      <c r="AF2318">
        <v>-0.70091464647288404</v>
      </c>
      <c r="AG2318">
        <v>-1.1089786143089999</v>
      </c>
      <c r="AH2318">
        <v>16.442035949070601</v>
      </c>
      <c r="AI2318">
        <v>93.855137511013595</v>
      </c>
      <c r="AJ2318">
        <v>92.441008572326496</v>
      </c>
      <c r="AK2318">
        <v>16.494291771978698</v>
      </c>
      <c r="AL2318">
        <v>80.987548673247403</v>
      </c>
      <c r="AM2318">
        <v>89.375290282143595</v>
      </c>
      <c r="AN2318">
        <v>0.99999998426973302</v>
      </c>
    </row>
    <row r="2319" spans="1:40" x14ac:dyDescent="0.25">
      <c r="A2319" t="str">
        <f>"20190312164034311"</f>
        <v>20190312164034311</v>
      </c>
      <c r="B2319" t="str">
        <f>"1552380034308277"</f>
        <v>1552380034308277</v>
      </c>
      <c r="C2319" t="s">
        <v>40</v>
      </c>
      <c r="D2319">
        <v>5.4407030000000001</v>
      </c>
      <c r="E2319">
        <v>0.48193029999999998</v>
      </c>
      <c r="F2319" t="s">
        <v>49</v>
      </c>
      <c r="G2319">
        <v>-311.93110000000001</v>
      </c>
      <c r="H2319" s="1">
        <v>3.1503219999999999E-6</v>
      </c>
      <c r="I2319">
        <v>283.73599999999999</v>
      </c>
      <c r="J2319">
        <v>-293.11799999999999</v>
      </c>
      <c r="K2319">
        <v>1.1090089999999999</v>
      </c>
      <c r="L2319">
        <v>284.3852</v>
      </c>
      <c r="M2319">
        <v>-0.99988149999999998</v>
      </c>
      <c r="N2319">
        <v>0</v>
      </c>
      <c r="O2319">
        <v>1.332304E-2</v>
      </c>
      <c r="P2319">
        <v>-0.98854319999999896</v>
      </c>
      <c r="Q2319">
        <v>0.1489917</v>
      </c>
      <c r="R2319">
        <v>2.4167520000000001E-2</v>
      </c>
      <c r="S2319">
        <v>-3.063904</v>
      </c>
      <c r="T2319">
        <v>-0.17700270000000001</v>
      </c>
      <c r="U2319">
        <v>-0.10278320000000001</v>
      </c>
      <c r="V2319">
        <v>1.1128280000000001E-2</v>
      </c>
      <c r="W2319">
        <v>0.15661989999999901</v>
      </c>
      <c r="X2319">
        <v>0.98759629999999998</v>
      </c>
      <c r="Y2319">
        <v>-4.674056E-2</v>
      </c>
      <c r="Z2319">
        <v>-2.1174729999999999E-3</v>
      </c>
      <c r="AA2319">
        <v>0.99890480000000004</v>
      </c>
      <c r="AB2319">
        <v>38</v>
      </c>
      <c r="AC2319">
        <v>-18.813099999999999</v>
      </c>
      <c r="AD2319">
        <v>-1.109005849678</v>
      </c>
      <c r="AE2319">
        <v>-0.64920000000000699</v>
      </c>
      <c r="AF2319">
        <v>-0.89668529617275705</v>
      </c>
      <c r="AG2319">
        <v>-1.109005849678</v>
      </c>
      <c r="AH2319">
        <v>18.737745513692801</v>
      </c>
      <c r="AI2319">
        <v>93.383274561913893</v>
      </c>
      <c r="AJ2319">
        <v>92.739770302486605</v>
      </c>
      <c r="AK2319">
        <v>18.791940970291201</v>
      </c>
      <c r="AL2319">
        <v>80.9892431411198</v>
      </c>
      <c r="AM2319">
        <v>89.354415874142404</v>
      </c>
      <c r="AN2319">
        <v>1.0000000417327199</v>
      </c>
    </row>
    <row r="2320" spans="1:40" x14ac:dyDescent="0.25">
      <c r="A2320" t="str">
        <f>"20190312164034334"</f>
        <v>20190312164034334</v>
      </c>
      <c r="B2320" t="str">
        <f>"1552380034328773"</f>
        <v>1552380034328773</v>
      </c>
      <c r="C2320" t="s">
        <v>40</v>
      </c>
      <c r="D2320">
        <v>5.5276310000000004</v>
      </c>
      <c r="E2320">
        <v>0.48146129999999998</v>
      </c>
      <c r="F2320" t="s">
        <v>49</v>
      </c>
      <c r="G2320">
        <v>-313.00650000000002</v>
      </c>
      <c r="H2320" s="1">
        <v>3.631881E-6</v>
      </c>
      <c r="I2320">
        <v>283.68259999999998</v>
      </c>
      <c r="J2320">
        <v>-293.51339999999999</v>
      </c>
      <c r="K2320">
        <v>1.1090370000000001</v>
      </c>
      <c r="L2320">
        <v>284.39069999999998</v>
      </c>
      <c r="M2320">
        <v>-0.99987740000000003</v>
      </c>
      <c r="N2320">
        <v>0</v>
      </c>
      <c r="O2320">
        <v>1.360097E-2</v>
      </c>
      <c r="P2320">
        <v>-0.9884887</v>
      </c>
      <c r="Q2320">
        <v>0.1492841</v>
      </c>
      <c r="R2320">
        <v>2.4586799999999999E-2</v>
      </c>
      <c r="S2320">
        <v>-3.0631710000000001</v>
      </c>
      <c r="T2320">
        <v>-0.1708056</v>
      </c>
      <c r="U2320">
        <v>-0.1082153</v>
      </c>
      <c r="V2320">
        <v>1.126478E-2</v>
      </c>
      <c r="W2320">
        <v>0.15695709999999999</v>
      </c>
      <c r="X2320">
        <v>0.98754120000000001</v>
      </c>
      <c r="Y2320">
        <v>-4.8798660000000001E-2</v>
      </c>
      <c r="Z2320">
        <v>-2.1166829999999998E-3</v>
      </c>
      <c r="AA2320">
        <v>0.99880639999999998</v>
      </c>
      <c r="AB2320">
        <v>38</v>
      </c>
      <c r="AC2320">
        <v>-19.493099999999998</v>
      </c>
      <c r="AD2320">
        <v>-1.1090333681190001</v>
      </c>
      <c r="AE2320">
        <v>-0.70810000000000095</v>
      </c>
      <c r="AF2320">
        <v>-0.97003180276131096</v>
      </c>
      <c r="AG2320">
        <v>-1.1090333681190001</v>
      </c>
      <c r="AH2320">
        <v>19.418891786788301</v>
      </c>
      <c r="AI2320">
        <v>93.264609902407003</v>
      </c>
      <c r="AJ2320">
        <v>92.859718743259606</v>
      </c>
      <c r="AK2320">
        <v>19.474708596971698</v>
      </c>
      <c r="AL2320">
        <v>80.9696809046563</v>
      </c>
      <c r="AM2320">
        <v>89.346461332744397</v>
      </c>
      <c r="AN2320">
        <v>1.0000000241031399</v>
      </c>
    </row>
    <row r="2321" spans="1:40" x14ac:dyDescent="0.25">
      <c r="A2321" t="str">
        <f>"20190312164034356"</f>
        <v>20190312164034356</v>
      </c>
      <c r="B2321" t="str">
        <f>"1552380034348296"</f>
        <v>1552380034348296</v>
      </c>
      <c r="C2321" t="s">
        <v>40</v>
      </c>
      <c r="D2321">
        <v>5.4686329999999996</v>
      </c>
      <c r="E2321">
        <v>0.4810295</v>
      </c>
      <c r="F2321" t="s">
        <v>49</v>
      </c>
      <c r="G2321">
        <v>-313.8485</v>
      </c>
      <c r="H2321" s="1">
        <v>4.007517E-6</v>
      </c>
      <c r="I2321">
        <v>283.65710000000001</v>
      </c>
      <c r="J2321">
        <v>-293.89260000000002</v>
      </c>
      <c r="K2321">
        <v>1.109067</v>
      </c>
      <c r="L2321">
        <v>284.39609999999999</v>
      </c>
      <c r="M2321">
        <v>-0.99987369999999998</v>
      </c>
      <c r="N2321">
        <v>0</v>
      </c>
      <c r="O2321">
        <v>1.383568E-2</v>
      </c>
      <c r="P2321">
        <v>-0.98849469999999995</v>
      </c>
      <c r="Q2321">
        <v>0.14921509999999999</v>
      </c>
      <c r="R2321">
        <v>2.476476E-2</v>
      </c>
      <c r="S2321">
        <v>-3.0629270000000002</v>
      </c>
      <c r="T2321">
        <v>-0.16704550000000001</v>
      </c>
      <c r="U2321">
        <v>-0.1105042</v>
      </c>
      <c r="V2321">
        <v>1.1200949999999999E-2</v>
      </c>
      <c r="W2321">
        <v>0.15693119999999999</v>
      </c>
      <c r="X2321">
        <v>0.98754600000000003</v>
      </c>
      <c r="Y2321">
        <v>-4.9783719999999997E-2</v>
      </c>
      <c r="Z2321">
        <v>-2.109915E-3</v>
      </c>
      <c r="AA2321">
        <v>0.99875780000000003</v>
      </c>
      <c r="AB2321">
        <v>38</v>
      </c>
      <c r="AC2321">
        <v>-19.9558999999999</v>
      </c>
      <c r="AD2321">
        <v>-1.109062992483</v>
      </c>
      <c r="AE2321">
        <v>-0.73899999999997501</v>
      </c>
      <c r="AF2321">
        <v>-1.01191995603118</v>
      </c>
      <c r="AG2321">
        <v>-1.109062992483</v>
      </c>
      <c r="AH2321">
        <v>19.882438921634499</v>
      </c>
      <c r="AI2321">
        <v>93.188590617719399</v>
      </c>
      <c r="AJ2321">
        <v>92.913564047984906</v>
      </c>
      <c r="AK2321">
        <v>19.939041606637801</v>
      </c>
      <c r="AL2321">
        <v>80.971183106995298</v>
      </c>
      <c r="AM2321">
        <v>89.350167340579404</v>
      </c>
      <c r="AN2321">
        <v>0.99999998246517097</v>
      </c>
    </row>
    <row r="2322" spans="1:40" x14ac:dyDescent="0.25">
      <c r="A2322" t="str">
        <f>"20190312164034367"</f>
        <v>20190312164034367</v>
      </c>
      <c r="B2322" t="str">
        <f>"1552380034358053"</f>
        <v>1552380034358053</v>
      </c>
      <c r="C2322" t="s">
        <v>40</v>
      </c>
      <c r="D2322">
        <v>5.4362279999999998</v>
      </c>
      <c r="E2322">
        <v>0.48083939999999997</v>
      </c>
      <c r="F2322" t="s">
        <v>49</v>
      </c>
      <c r="G2322">
        <v>-314.58089999999999</v>
      </c>
      <c r="H2322" s="1">
        <v>4.33471E-6</v>
      </c>
      <c r="I2322">
        <v>283.62920000000003</v>
      </c>
      <c r="J2322">
        <v>-294.10289999999998</v>
      </c>
      <c r="K2322">
        <v>1.109081</v>
      </c>
      <c r="L2322">
        <v>284.39909999999998</v>
      </c>
      <c r="M2322">
        <v>-0.99987210000000004</v>
      </c>
      <c r="N2322">
        <v>0</v>
      </c>
      <c r="O2322">
        <v>1.39493E-2</v>
      </c>
      <c r="P2322">
        <v>-0.98850850000000001</v>
      </c>
      <c r="Q2322">
        <v>0.1491162</v>
      </c>
      <c r="R2322">
        <v>2.4807329999999999E-2</v>
      </c>
      <c r="S2322">
        <v>-3.0625309999999999</v>
      </c>
      <c r="T2322">
        <v>-0.1641774</v>
      </c>
      <c r="U2322">
        <v>-0.113525399999999</v>
      </c>
      <c r="V2322">
        <v>1.112524E-2</v>
      </c>
      <c r="W2322">
        <v>0.15685729999999901</v>
      </c>
      <c r="X2322">
        <v>0.98755859999999995</v>
      </c>
      <c r="Y2322">
        <v>-5.088728E-2</v>
      </c>
      <c r="Z2322">
        <v>-2.1096079999999998E-3</v>
      </c>
      <c r="AA2322">
        <v>0.99870219999999998</v>
      </c>
      <c r="AB2322">
        <v>39</v>
      </c>
      <c r="AC2322">
        <v>-20.478000000000002</v>
      </c>
      <c r="AD2322">
        <v>-1.1090766652899999</v>
      </c>
      <c r="AE2322">
        <v>-0.76989999999994996</v>
      </c>
      <c r="AF2322">
        <v>-1.05240499150913</v>
      </c>
      <c r="AG2322">
        <v>-1.1090766652899999</v>
      </c>
      <c r="AH2322">
        <v>20.405497749953401</v>
      </c>
      <c r="AI2322">
        <v>93.106949547321406</v>
      </c>
      <c r="AJ2322">
        <v>92.952389937395196</v>
      </c>
      <c r="AK2322">
        <v>20.4626964435041</v>
      </c>
      <c r="AL2322">
        <v>80.975470393065706</v>
      </c>
      <c r="AM2322">
        <v>89.354567582203103</v>
      </c>
      <c r="AN2322">
        <v>0.99999998598115303</v>
      </c>
    </row>
    <row r="2323" spans="1:40" x14ac:dyDescent="0.25">
      <c r="A2323" t="str">
        <f>"20190312164034381"</f>
        <v>20190312164034381</v>
      </c>
      <c r="B2323" t="str">
        <f>"1552380034378550"</f>
        <v>1552380034378550</v>
      </c>
      <c r="C2323" t="s">
        <v>40</v>
      </c>
      <c r="D2323">
        <v>5.5187309999999998</v>
      </c>
      <c r="E2323">
        <v>0.48067890000000002</v>
      </c>
      <c r="F2323" t="s">
        <v>49</v>
      </c>
      <c r="G2323">
        <v>-314.75450000000001</v>
      </c>
      <c r="H2323" s="1">
        <v>4.4120049999999998E-6</v>
      </c>
      <c r="I2323">
        <v>283.62560000000002</v>
      </c>
      <c r="J2323">
        <v>-294.32080000000002</v>
      </c>
      <c r="K2323">
        <v>1.1090960000000001</v>
      </c>
      <c r="L2323">
        <v>284.40219999999999</v>
      </c>
      <c r="M2323">
        <v>-0.99987040000000005</v>
      </c>
      <c r="N2323">
        <v>0</v>
      </c>
      <c r="O2323">
        <v>1.4060720000000001E-2</v>
      </c>
      <c r="P2323">
        <v>-0.98849019999999999</v>
      </c>
      <c r="Q2323">
        <v>0.14921699999999999</v>
      </c>
      <c r="R2323">
        <v>2.4934330000000001E-2</v>
      </c>
      <c r="S2323">
        <v>-3.062592</v>
      </c>
      <c r="T2323">
        <v>-0.1644745</v>
      </c>
      <c r="U2323">
        <v>-0.1147156</v>
      </c>
      <c r="V2323">
        <v>1.1136800000000001E-2</v>
      </c>
      <c r="W2323">
        <v>0.1569844</v>
      </c>
      <c r="X2323">
        <v>0.98753829999999998</v>
      </c>
      <c r="Y2323">
        <v>-5.1384190000000003E-2</v>
      </c>
      <c r="Z2323">
        <v>-2.1326700000000001E-3</v>
      </c>
      <c r="AA2323">
        <v>0.99867669999999997</v>
      </c>
      <c r="AB2323">
        <v>39</v>
      </c>
      <c r="AC2323">
        <v>-20.433699999999899</v>
      </c>
      <c r="AD2323">
        <v>-1.1090915879950001</v>
      </c>
      <c r="AE2323">
        <v>-0.77659999999997298</v>
      </c>
      <c r="AF2323">
        <v>-1.0607241456669401</v>
      </c>
      <c r="AG2323">
        <v>-1.1090915879950001</v>
      </c>
      <c r="AH2323">
        <v>20.360862280721101</v>
      </c>
      <c r="AI2323">
        <v>93.113705281932198</v>
      </c>
      <c r="AJ2323">
        <v>92.982198092518203</v>
      </c>
      <c r="AK2323">
        <v>20.418617305739701</v>
      </c>
      <c r="AL2323">
        <v>80.968096986173407</v>
      </c>
      <c r="AM2323">
        <v>89.353883703670206</v>
      </c>
      <c r="AN2323">
        <v>1.0000000120622401</v>
      </c>
    </row>
    <row r="2324" spans="1:40" x14ac:dyDescent="0.25">
      <c r="A2324" t="str">
        <f>"20190312164034400"</f>
        <v>20190312164034400</v>
      </c>
      <c r="B2324" t="str">
        <f>"1552380034388309"</f>
        <v>1552380034388309</v>
      </c>
      <c r="C2324" t="s">
        <v>40</v>
      </c>
      <c r="D2324">
        <v>5.325386</v>
      </c>
      <c r="E2324">
        <v>0.48067890000000002</v>
      </c>
      <c r="F2324" t="s">
        <v>49</v>
      </c>
      <c r="G2324">
        <v>-315.22730000000001</v>
      </c>
      <c r="H2324" s="1">
        <v>4.6228169999999999E-6</v>
      </c>
      <c r="I2324">
        <v>283.61259999999999</v>
      </c>
      <c r="J2324">
        <v>-294.6429</v>
      </c>
      <c r="K2324">
        <v>1.1091219999999999</v>
      </c>
      <c r="L2324">
        <v>284.40679999999998</v>
      </c>
      <c r="M2324">
        <v>-0.99986799999999998</v>
      </c>
      <c r="N2324">
        <v>0</v>
      </c>
      <c r="O2324">
        <v>1.420635E-2</v>
      </c>
      <c r="P2324">
        <v>-0.98848990000000003</v>
      </c>
      <c r="Q2324">
        <v>0.14923420000000001</v>
      </c>
      <c r="R2324">
        <v>2.484488E-2</v>
      </c>
      <c r="S2324">
        <v>-3.0623779999999998</v>
      </c>
      <c r="T2324">
        <v>-0.16245960000000001</v>
      </c>
      <c r="U2324">
        <v>-0.1156616</v>
      </c>
      <c r="V2324">
        <v>1.089502E-2</v>
      </c>
      <c r="W2324">
        <v>0.1570405</v>
      </c>
      <c r="X2324">
        <v>0.98753210000000002</v>
      </c>
      <c r="Y2324">
        <v>-5.1841760000000001E-2</v>
      </c>
      <c r="Z2324">
        <v>-2.1265580000000002E-3</v>
      </c>
      <c r="AA2324">
        <v>0.99865309999999896</v>
      </c>
      <c r="AB2324">
        <v>39</v>
      </c>
      <c r="AC2324">
        <v>-20.584399999999999</v>
      </c>
      <c r="AD2324">
        <v>-1.1091173771830001</v>
      </c>
      <c r="AE2324">
        <v>-0.79419999999998903</v>
      </c>
      <c r="AF2324">
        <v>-1.0834174145000299</v>
      </c>
      <c r="AG2324">
        <v>-1.1091173771830001</v>
      </c>
      <c r="AH2324">
        <v>20.511578631256501</v>
      </c>
      <c r="AI2324">
        <v>93.090825675108107</v>
      </c>
      <c r="AJ2324">
        <v>93.023541693734799</v>
      </c>
      <c r="AK2324">
        <v>20.570094618076801</v>
      </c>
      <c r="AL2324">
        <v>80.964842526930795</v>
      </c>
      <c r="AM2324">
        <v>89.367905773795002</v>
      </c>
      <c r="AN2324">
        <v>1.00000003431572</v>
      </c>
    </row>
    <row r="2325" spans="1:40" x14ac:dyDescent="0.25">
      <c r="A2325" t="str">
        <f>"20190312164034410"</f>
        <v>20190312164034410</v>
      </c>
      <c r="B2325" t="str">
        <f>"1552380034398070"</f>
        <v>1552380034398070</v>
      </c>
      <c r="C2325" t="s">
        <v>40</v>
      </c>
      <c r="D2325">
        <v>5.4609540000000001</v>
      </c>
      <c r="E2325">
        <v>0.48107359999999999</v>
      </c>
      <c r="F2325" t="s">
        <v>49</v>
      </c>
      <c r="G2325">
        <v>-315.56009999999998</v>
      </c>
      <c r="H2325" s="1">
        <v>4.7702350000000004E-6</v>
      </c>
      <c r="I2325">
        <v>283.61470000000003</v>
      </c>
      <c r="J2325">
        <v>-294.84589999999997</v>
      </c>
      <c r="K2325">
        <v>1.109137</v>
      </c>
      <c r="L2325">
        <v>284.40980000000002</v>
      </c>
      <c r="M2325">
        <v>-0.99986660000000005</v>
      </c>
      <c r="N2325">
        <v>0</v>
      </c>
      <c r="O2325">
        <v>1.428595E-2</v>
      </c>
      <c r="P2325">
        <v>-0.98847790000000002</v>
      </c>
      <c r="Q2325">
        <v>0.14930969999999999</v>
      </c>
      <c r="R2325">
        <v>2.4865680000000001E-2</v>
      </c>
      <c r="S2325">
        <v>-3.0623170000000002</v>
      </c>
      <c r="T2325">
        <v>-0.1623763</v>
      </c>
      <c r="U2325">
        <v>-0.11596679999999999</v>
      </c>
      <c r="V2325">
        <v>1.083219E-2</v>
      </c>
      <c r="W2325">
        <v>0.15714029999999901</v>
      </c>
      <c r="X2325">
        <v>0.98751690000000003</v>
      </c>
      <c r="Y2325">
        <v>-5.2021129999999999E-2</v>
      </c>
      <c r="Z2325">
        <v>-2.1344749999999998E-3</v>
      </c>
      <c r="AA2325">
        <v>0.99864370000000002</v>
      </c>
      <c r="AB2325">
        <v>39</v>
      </c>
      <c r="AC2325">
        <v>-20.714200000000002</v>
      </c>
      <c r="AD2325">
        <v>-1.1091322297649999</v>
      </c>
      <c r="AE2325">
        <v>-0.79509999999999004</v>
      </c>
      <c r="AF2325">
        <v>-1.0878359016137999</v>
      </c>
      <c r="AG2325">
        <v>-1.1091322297649999</v>
      </c>
      <c r="AH2325">
        <v>20.641634022951798</v>
      </c>
      <c r="AI2325">
        <v>93.071449118945196</v>
      </c>
      <c r="AJ2325">
        <v>93.016757210259996</v>
      </c>
      <c r="AK2325">
        <v>20.7000148886281</v>
      </c>
      <c r="AL2325">
        <v>80.959052381351796</v>
      </c>
      <c r="AM2325">
        <v>89.371541003900703</v>
      </c>
      <c r="AN2325">
        <v>1.0000000190049401</v>
      </c>
    </row>
    <row r="2326" spans="1:40" x14ac:dyDescent="0.25">
      <c r="A2326" t="str">
        <f>"20190312164034423"</f>
        <v>20190312164034423</v>
      </c>
      <c r="B2326" t="str">
        <f>"1552380034418566"</f>
        <v>1552380034418566</v>
      </c>
      <c r="C2326" t="s">
        <v>40</v>
      </c>
      <c r="D2326">
        <v>5.4586600000000001</v>
      </c>
      <c r="E2326">
        <v>0.4812321</v>
      </c>
      <c r="F2326" t="s">
        <v>49</v>
      </c>
      <c r="G2326">
        <v>-314.72070000000002</v>
      </c>
      <c r="H2326" s="1">
        <v>4.3929169999999997E-6</v>
      </c>
      <c r="I2326">
        <v>283.67290000000003</v>
      </c>
      <c r="J2326">
        <v>-295.05489999999998</v>
      </c>
      <c r="K2326">
        <v>1.109151</v>
      </c>
      <c r="L2326">
        <v>284.41289999999998</v>
      </c>
      <c r="M2326">
        <v>-0.99986520000000001</v>
      </c>
      <c r="N2326">
        <v>0</v>
      </c>
      <c r="O2326">
        <v>1.436341E-2</v>
      </c>
      <c r="P2326">
        <v>-0.98842870000000005</v>
      </c>
      <c r="Q2326">
        <v>0.14962529999999999</v>
      </c>
      <c r="R2326">
        <v>2.4926859999999999E-2</v>
      </c>
      <c r="S2326">
        <v>-3.0636290000000002</v>
      </c>
      <c r="T2326">
        <v>-0.17096889999999901</v>
      </c>
      <c r="U2326">
        <v>-0.1135864</v>
      </c>
      <c r="V2326">
        <v>1.0812799999999999E-2</v>
      </c>
      <c r="W2326">
        <v>0.157479799999999</v>
      </c>
      <c r="X2326">
        <v>0.98746299999999998</v>
      </c>
      <c r="Y2326">
        <v>-5.1298469999999999E-2</v>
      </c>
      <c r="Z2326">
        <v>-2.2305039999999999E-3</v>
      </c>
      <c r="AA2326">
        <v>0.99868089999999998</v>
      </c>
      <c r="AB2326">
        <v>39</v>
      </c>
      <c r="AC2326">
        <v>-19.665800000000001</v>
      </c>
      <c r="AD2326">
        <v>-1.1091466070829901</v>
      </c>
      <c r="AE2326">
        <v>-0.73999999999995203</v>
      </c>
      <c r="AF2326">
        <v>-1.0191632353998099</v>
      </c>
      <c r="AG2326">
        <v>-1.1091466070829901</v>
      </c>
      <c r="AH2326">
        <v>19.590912615541001</v>
      </c>
      <c r="AI2326">
        <v>93.235995602101596</v>
      </c>
      <c r="AJ2326">
        <v>92.977970514511199</v>
      </c>
      <c r="AK2326">
        <v>19.6487342341984</v>
      </c>
      <c r="AL2326">
        <v>80.939354957231103</v>
      </c>
      <c r="AM2326">
        <v>89.372631637685998</v>
      </c>
      <c r="AN2326">
        <v>0.99999999021043995</v>
      </c>
    </row>
    <row r="2327" spans="1:40" x14ac:dyDescent="0.25">
      <c r="A2327" t="str">
        <f>"20190312164034443"</f>
        <v>20190312164034443</v>
      </c>
      <c r="B2327" t="str">
        <f>"1552380034438085"</f>
        <v>1552380034438085</v>
      </c>
      <c r="C2327" t="s">
        <v>40</v>
      </c>
      <c r="D2327">
        <v>5.4157510000000002</v>
      </c>
      <c r="E2327">
        <v>0.48148160000000001</v>
      </c>
      <c r="F2327" t="s">
        <v>49</v>
      </c>
      <c r="G2327">
        <v>-314.78140000000002</v>
      </c>
      <c r="H2327" s="1">
        <v>4.418457E-6</v>
      </c>
      <c r="I2327">
        <v>283.68849999999998</v>
      </c>
      <c r="J2327">
        <v>-295.4228</v>
      </c>
      <c r="K2327">
        <v>1.1091709999999999</v>
      </c>
      <c r="L2327">
        <v>284.41820000000001</v>
      </c>
      <c r="M2327">
        <v>-0.99986330000000001</v>
      </c>
      <c r="N2327">
        <v>0</v>
      </c>
      <c r="O2327">
        <v>1.448227E-2</v>
      </c>
      <c r="P2327">
        <v>-0.98840839999999996</v>
      </c>
      <c r="Q2327">
        <v>0.1497222</v>
      </c>
      <c r="R2327">
        <v>2.51522E-2</v>
      </c>
      <c r="S2327">
        <v>-3.0640260000000001</v>
      </c>
      <c r="T2327">
        <v>-0.17227890000000001</v>
      </c>
      <c r="U2327">
        <v>-0.1125183</v>
      </c>
      <c r="V2327">
        <v>1.0913010000000001E-2</v>
      </c>
      <c r="W2327">
        <v>0.1576187</v>
      </c>
      <c r="X2327">
        <v>0.98743979999999998</v>
      </c>
      <c r="Y2327">
        <v>-5.1063369999999997E-2</v>
      </c>
      <c r="Z2327">
        <v>-2.247364E-3</v>
      </c>
      <c r="AA2327">
        <v>0.99869289999999999</v>
      </c>
      <c r="AB2327">
        <v>39</v>
      </c>
      <c r="AC2327">
        <v>-19.358599999999999</v>
      </c>
      <c r="AD2327">
        <v>-1.1091665815430001</v>
      </c>
      <c r="AE2327">
        <v>-0.72970000000003599</v>
      </c>
      <c r="AF2327">
        <v>-1.0066887844964401</v>
      </c>
      <c r="AG2327">
        <v>-1.1091665815430001</v>
      </c>
      <c r="AH2327">
        <v>19.282789707574</v>
      </c>
      <c r="AI2327">
        <v>93.287619227276593</v>
      </c>
      <c r="AJ2327">
        <v>92.988504417634502</v>
      </c>
      <c r="AK2327">
        <v>19.340880324353499</v>
      </c>
      <c r="AL2327">
        <v>80.931296503974195</v>
      </c>
      <c r="AM2327">
        <v>89.366802959263794</v>
      </c>
      <c r="AN2327">
        <v>1.00000005350049</v>
      </c>
    </row>
    <row r="2328" spans="1:40" x14ac:dyDescent="0.25">
      <c r="A2328" t="str">
        <f>"20190312164034466"</f>
        <v>20190312164034466</v>
      </c>
      <c r="B2328" t="str">
        <f>"1552380034458581"</f>
        <v>1552380034458581</v>
      </c>
      <c r="C2328" t="s">
        <v>40</v>
      </c>
      <c r="D2328">
        <v>5.5024620000000004</v>
      </c>
      <c r="E2328">
        <v>0.48153119999999999</v>
      </c>
      <c r="F2328" t="s">
        <v>49</v>
      </c>
      <c r="G2328">
        <v>-314.92439999999999</v>
      </c>
      <c r="H2328" s="1">
        <v>4.4792140000000002E-6</v>
      </c>
      <c r="I2328">
        <v>283.71910000000003</v>
      </c>
      <c r="J2328">
        <v>-295.81319999999999</v>
      </c>
      <c r="K2328">
        <v>1.1091949999999999</v>
      </c>
      <c r="L2328">
        <v>284.42399999999998</v>
      </c>
      <c r="M2328">
        <v>-0.99986120000000001</v>
      </c>
      <c r="N2328">
        <v>0</v>
      </c>
      <c r="O2328">
        <v>1.459015E-2</v>
      </c>
      <c r="P2328">
        <v>-0.9883516</v>
      </c>
      <c r="Q2328">
        <v>0.15012890000000001</v>
      </c>
      <c r="R2328">
        <v>2.4948700000000001E-2</v>
      </c>
      <c r="S2328">
        <v>-3.0643919999999998</v>
      </c>
      <c r="T2328">
        <v>-0.1742891</v>
      </c>
      <c r="U2328">
        <v>-0.1098633</v>
      </c>
      <c r="V2328">
        <v>1.0596009999999999E-2</v>
      </c>
      <c r="W2328">
        <v>0.15807079999999901</v>
      </c>
      <c r="X2328">
        <v>0.98737090000000005</v>
      </c>
      <c r="Y2328">
        <v>-5.0301239999999997E-2</v>
      </c>
      <c r="Z2328">
        <v>-2.25779E-3</v>
      </c>
      <c r="AA2328">
        <v>0.99873160000000005</v>
      </c>
      <c r="AB2328">
        <v>39</v>
      </c>
      <c r="AC2328">
        <v>-19.1112</v>
      </c>
      <c r="AD2328">
        <v>-1.109190520786</v>
      </c>
      <c r="AE2328">
        <v>-0.70490000000000896</v>
      </c>
      <c r="AF2328">
        <v>-0.98037136774277001</v>
      </c>
      <c r="AG2328">
        <v>-1.109190520786</v>
      </c>
      <c r="AH2328">
        <v>19.034848953711599</v>
      </c>
      <c r="AI2328">
        <v>93.330539197089493</v>
      </c>
      <c r="AJ2328">
        <v>92.948358194444296</v>
      </c>
      <c r="AK2328">
        <v>19.0923258489034</v>
      </c>
      <c r="AL2328">
        <v>80.905063502046403</v>
      </c>
      <c r="AM2328">
        <v>89.385151670678994</v>
      </c>
      <c r="AN2328">
        <v>0.99999997370368399</v>
      </c>
    </row>
    <row r="2329" spans="1:40" x14ac:dyDescent="0.25">
      <c r="A2329" t="str">
        <f>"20190312164034479"</f>
        <v>20190312164034479</v>
      </c>
      <c r="B2329" t="str">
        <f>"1552380034468341"</f>
        <v>1552380034468341</v>
      </c>
      <c r="C2329" t="s">
        <v>40</v>
      </c>
      <c r="D2329">
        <v>5.513509</v>
      </c>
      <c r="E2329">
        <v>0.48188769999999997</v>
      </c>
      <c r="F2329" t="s">
        <v>49</v>
      </c>
      <c r="G2329">
        <v>-315.5958</v>
      </c>
      <c r="H2329" s="1">
        <v>4.7774259999999996E-6</v>
      </c>
      <c r="I2329">
        <v>283.7133</v>
      </c>
      <c r="J2329">
        <v>-296.02289999999999</v>
      </c>
      <c r="K2329">
        <v>1.109208</v>
      </c>
      <c r="L2329">
        <v>284.4271</v>
      </c>
      <c r="M2329">
        <v>-0.99986030000000004</v>
      </c>
      <c r="N2329">
        <v>0</v>
      </c>
      <c r="O2329">
        <v>1.464301E-2</v>
      </c>
      <c r="P2329">
        <v>-0.98836400000000002</v>
      </c>
      <c r="Q2329">
        <v>0.1500069</v>
      </c>
      <c r="R2329">
        <v>2.5194580000000001E-2</v>
      </c>
      <c r="S2329">
        <v>-3.0642399999999999</v>
      </c>
      <c r="T2329">
        <v>-0.1718092</v>
      </c>
      <c r="U2329">
        <v>-0.11007690000000001</v>
      </c>
      <c r="V2329">
        <v>1.0785629999999999E-2</v>
      </c>
      <c r="W2329">
        <v>0.157973799999999</v>
      </c>
      <c r="X2329">
        <v>0.98738440000000005</v>
      </c>
      <c r="Y2329">
        <v>-5.042804E-2</v>
      </c>
      <c r="Z2329">
        <v>-2.2323349999999998E-3</v>
      </c>
      <c r="AA2329">
        <v>0.99872519999999998</v>
      </c>
      <c r="AB2329">
        <v>39</v>
      </c>
      <c r="AC2329">
        <v>-19.572900000000001</v>
      </c>
      <c r="AD2329">
        <v>-1.1092032225740001</v>
      </c>
      <c r="AE2329">
        <v>-0.713799999999992</v>
      </c>
      <c r="AF2329">
        <v>-0.997140851776398</v>
      </c>
      <c r="AG2329">
        <v>-1.1092032225740001</v>
      </c>
      <c r="AH2329">
        <v>19.4978142100118</v>
      </c>
      <c r="AI2329">
        <v>93.251726483526198</v>
      </c>
      <c r="AJ2329">
        <v>92.927622132086498</v>
      </c>
      <c r="AK2329">
        <v>19.554778971785598</v>
      </c>
      <c r="AL2329">
        <v>80.910692173124801</v>
      </c>
      <c r="AM2329">
        <v>89.374158128200705</v>
      </c>
      <c r="AN2329">
        <v>1.00000000233214</v>
      </c>
    </row>
    <row r="2330" spans="1:40" x14ac:dyDescent="0.25">
      <c r="A2330" t="str">
        <f>"20190312164034490"</f>
        <v>20190312164034490</v>
      </c>
      <c r="B2330" t="str">
        <f>"1552380034478101"</f>
        <v>1552380034478101</v>
      </c>
      <c r="C2330" t="s">
        <v>40</v>
      </c>
      <c r="D2330">
        <v>5.5091530000000004</v>
      </c>
      <c r="E2330">
        <v>0.48224319999999998</v>
      </c>
      <c r="F2330" t="s">
        <v>49</v>
      </c>
      <c r="G2330">
        <v>-315.80529999999999</v>
      </c>
      <c r="H2330" s="1">
        <v>4.8678549999999998E-6</v>
      </c>
      <c r="I2330">
        <v>283.74160000000001</v>
      </c>
      <c r="J2330">
        <v>-296.23680000000002</v>
      </c>
      <c r="K2330">
        <v>1.109219</v>
      </c>
      <c r="L2330">
        <v>284.43020000000001</v>
      </c>
      <c r="M2330">
        <v>-0.99985919999999895</v>
      </c>
      <c r="N2330">
        <v>0</v>
      </c>
      <c r="O2330">
        <v>1.469205E-2</v>
      </c>
      <c r="P2330">
        <v>-0.98835269999999997</v>
      </c>
      <c r="Q2330">
        <v>0.1500811</v>
      </c>
      <c r="R2330">
        <v>2.5194290000000001E-2</v>
      </c>
      <c r="S2330">
        <v>-3.0640869999999998</v>
      </c>
      <c r="T2330">
        <v>-0.17180379999999901</v>
      </c>
      <c r="U2330">
        <v>-0.10617070000000001</v>
      </c>
      <c r="V2330">
        <v>1.0733950000000001E-2</v>
      </c>
      <c r="W2330">
        <v>0.15807449999999901</v>
      </c>
      <c r="X2330">
        <v>0.98736880000000005</v>
      </c>
      <c r="Y2330">
        <v>-4.9208960000000003E-2</v>
      </c>
      <c r="Z2330">
        <v>-2.2010319999999999E-3</v>
      </c>
      <c r="AA2330">
        <v>0.99878610000000001</v>
      </c>
      <c r="AB2330">
        <v>39</v>
      </c>
      <c r="AC2330">
        <v>-19.568499999999901</v>
      </c>
      <c r="AD2330">
        <v>-1.109214132145</v>
      </c>
      <c r="AE2330">
        <v>-0.68860000000000798</v>
      </c>
      <c r="AF2330">
        <v>-0.97291435685295702</v>
      </c>
      <c r="AG2330">
        <v>-1.109214132145</v>
      </c>
      <c r="AH2330">
        <v>19.493713916900798</v>
      </c>
      <c r="AI2330">
        <v>93.252642417738699</v>
      </c>
      <c r="AJ2330">
        <v>92.857211879455903</v>
      </c>
      <c r="AK2330">
        <v>19.549470596686099</v>
      </c>
      <c r="AL2330">
        <v>80.904848648080304</v>
      </c>
      <c r="AM2330">
        <v>89.377146810781298</v>
      </c>
      <c r="AN2330">
        <v>0.99999995622314497</v>
      </c>
    </row>
    <row r="2331" spans="1:40" x14ac:dyDescent="0.25">
      <c r="A2331" t="str">
        <f>"20190312164034502"</f>
        <v>20190312164034502</v>
      </c>
      <c r="B2331" t="str">
        <f>"1552380034498597"</f>
        <v>1552380034498597</v>
      </c>
      <c r="C2331" t="s">
        <v>40</v>
      </c>
      <c r="D2331">
        <v>5.50631</v>
      </c>
      <c r="E2331">
        <v>0.48282180000000002</v>
      </c>
      <c r="F2331" t="s">
        <v>49</v>
      </c>
      <c r="G2331">
        <v>-316.11180000000002</v>
      </c>
      <c r="H2331" s="1">
        <v>5.0022600000000001E-6</v>
      </c>
      <c r="I2331">
        <v>283.75920000000002</v>
      </c>
      <c r="J2331">
        <v>-296.4357</v>
      </c>
      <c r="K2331">
        <v>1.109226</v>
      </c>
      <c r="L2331">
        <v>284.4332</v>
      </c>
      <c r="M2331">
        <v>-0.99985849999999998</v>
      </c>
      <c r="N2331">
        <v>0</v>
      </c>
      <c r="O2331">
        <v>1.4736050000000001E-2</v>
      </c>
      <c r="P2331">
        <v>-0.98835709999999999</v>
      </c>
      <c r="Q2331">
        <v>0.1500369</v>
      </c>
      <c r="R2331">
        <v>2.52842E-2</v>
      </c>
      <c r="S2331">
        <v>-3.063965</v>
      </c>
      <c r="T2331">
        <v>-0.17099790000000001</v>
      </c>
      <c r="U2331">
        <v>-0.10345459999999999</v>
      </c>
      <c r="V2331">
        <v>1.0777149999999999E-2</v>
      </c>
      <c r="W2331">
        <v>0.15805569999999999</v>
      </c>
      <c r="X2331">
        <v>0.98737140000000001</v>
      </c>
      <c r="Y2331">
        <v>-4.8372079999999998E-2</v>
      </c>
      <c r="Z2331">
        <v>-2.1699660000000002E-3</v>
      </c>
      <c r="AA2331">
        <v>0.99882700000000002</v>
      </c>
      <c r="AB2331">
        <v>39</v>
      </c>
      <c r="AC2331">
        <v>-19.676100000000002</v>
      </c>
      <c r="AD2331">
        <v>-1.1092209977399901</v>
      </c>
      <c r="AE2331">
        <v>-0.67399999999997795</v>
      </c>
      <c r="AF2331">
        <v>-0.960834366067298</v>
      </c>
      <c r="AG2331">
        <v>-1.1092209977399901</v>
      </c>
      <c r="AH2331">
        <v>19.601808830273299</v>
      </c>
      <c r="AI2331">
        <v>93.234905767222898</v>
      </c>
      <c r="AJ2331">
        <v>92.806257648950094</v>
      </c>
      <c r="AK2331">
        <v>19.656665111850099</v>
      </c>
      <c r="AL2331">
        <v>80.905940074406601</v>
      </c>
      <c r="AM2331">
        <v>89.374641912711297</v>
      </c>
      <c r="AN2331">
        <v>1.0000000164012799</v>
      </c>
    </row>
    <row r="2332" spans="1:40" x14ac:dyDescent="0.25">
      <c r="A2332" t="str">
        <f>"20190312164034523"</f>
        <v>20190312164034523</v>
      </c>
      <c r="B2332" t="str">
        <f>"1552380034518118"</f>
        <v>1552380034518118</v>
      </c>
      <c r="C2332" t="s">
        <v>40</v>
      </c>
      <c r="D2332">
        <v>5.3325009999999997</v>
      </c>
      <c r="E2332">
        <v>0.48335280000000003</v>
      </c>
      <c r="F2332" t="s">
        <v>49</v>
      </c>
      <c r="G2332">
        <v>-316.31760000000003</v>
      </c>
      <c r="H2332" s="1">
        <v>5.0904959999999997E-6</v>
      </c>
      <c r="I2332">
        <v>283.7937</v>
      </c>
      <c r="J2332">
        <v>-296.8064</v>
      </c>
      <c r="K2332">
        <v>1.109243</v>
      </c>
      <c r="L2332">
        <v>284.43869999999998</v>
      </c>
      <c r="M2332">
        <v>-0.99985690000000005</v>
      </c>
      <c r="N2332">
        <v>0</v>
      </c>
      <c r="O2332">
        <v>1.481304E-2</v>
      </c>
      <c r="P2332">
        <v>-0.98834319999999998</v>
      </c>
      <c r="Q2332">
        <v>0.15011669999999999</v>
      </c>
      <c r="R2332">
        <v>2.535751E-2</v>
      </c>
      <c r="S2332">
        <v>-3.0638429999999999</v>
      </c>
      <c r="T2332">
        <v>-0.170933</v>
      </c>
      <c r="U2332">
        <v>-9.8541260000000006E-2</v>
      </c>
      <c r="V2332">
        <v>1.077026E-2</v>
      </c>
      <c r="W2332">
        <v>0.158188</v>
      </c>
      <c r="X2332">
        <v>0.98735030000000001</v>
      </c>
      <c r="Y2332">
        <v>-4.6852560000000001E-2</v>
      </c>
      <c r="Z2332">
        <v>-2.1312340000000001E-3</v>
      </c>
      <c r="AA2332">
        <v>0.99889950000000005</v>
      </c>
      <c r="AB2332">
        <v>39</v>
      </c>
      <c r="AC2332">
        <v>-19.511199999999999</v>
      </c>
      <c r="AD2332">
        <v>-1.1092379095039999</v>
      </c>
      <c r="AE2332">
        <v>-0.64499999999998103</v>
      </c>
      <c r="AF2332">
        <v>-0.93095343272832098</v>
      </c>
      <c r="AG2332">
        <v>-1.1092379095039999</v>
      </c>
      <c r="AH2332">
        <v>19.436751911487299</v>
      </c>
      <c r="AI2332">
        <v>93.262543570796097</v>
      </c>
      <c r="AJ2332">
        <v>92.742174741961094</v>
      </c>
      <c r="AK2332">
        <v>19.490623589369701</v>
      </c>
      <c r="AL2332">
        <v>80.898263375556596</v>
      </c>
      <c r="AM2332">
        <v>89.375028327659805</v>
      </c>
      <c r="AN2332">
        <v>1.0000000283772701</v>
      </c>
    </row>
    <row r="2333" spans="1:40" x14ac:dyDescent="0.25">
      <c r="A2333" t="str">
        <f>"20190312164034536"</f>
        <v>20190312164034536</v>
      </c>
      <c r="B2333" t="str">
        <f>"1552380034528854"</f>
        <v>1552380034528854</v>
      </c>
      <c r="C2333" t="s">
        <v>40</v>
      </c>
      <c r="D2333">
        <v>5.4452360000000004</v>
      </c>
      <c r="E2333">
        <v>0.48356189999999999</v>
      </c>
      <c r="F2333" t="s">
        <v>49</v>
      </c>
      <c r="G2333">
        <v>-316.52859999999998</v>
      </c>
      <c r="H2333" s="1">
        <v>5.1808450000000002E-6</v>
      </c>
      <c r="I2333">
        <v>283.8306</v>
      </c>
      <c r="J2333">
        <v>-297.04910000000001</v>
      </c>
      <c r="K2333">
        <v>1.1092569999999999</v>
      </c>
      <c r="L2333">
        <v>284.44240000000002</v>
      </c>
      <c r="M2333">
        <v>-0.99985579999999996</v>
      </c>
      <c r="N2333">
        <v>0</v>
      </c>
      <c r="O2333">
        <v>1.486169E-2</v>
      </c>
      <c r="P2333">
        <v>-0.98832310000000001</v>
      </c>
      <c r="Q2333">
        <v>0.1502646</v>
      </c>
      <c r="R2333">
        <v>2.52555E-2</v>
      </c>
      <c r="S2333">
        <v>-3.0640559999999999</v>
      </c>
      <c r="T2333">
        <v>-0.17233200000000001</v>
      </c>
      <c r="U2333">
        <v>-9.4482419999999998E-2</v>
      </c>
      <c r="V2333">
        <v>1.061786E-2</v>
      </c>
      <c r="W2333">
        <v>0.1583745</v>
      </c>
      <c r="X2333">
        <v>0.98732200000000003</v>
      </c>
      <c r="Y2333">
        <v>-4.5577380000000001E-2</v>
      </c>
      <c r="Z2333">
        <v>-2.1154540000000001E-3</v>
      </c>
      <c r="AA2333">
        <v>0.99895860000000003</v>
      </c>
      <c r="AB2333">
        <v>39</v>
      </c>
      <c r="AC2333">
        <v>-19.479499999999899</v>
      </c>
      <c r="AD2333">
        <v>-1.109251819155</v>
      </c>
      <c r="AE2333">
        <v>-0.611800000000016</v>
      </c>
      <c r="AF2333">
        <v>-0.89833035913597203</v>
      </c>
      <c r="AG2333">
        <v>-1.109251819155</v>
      </c>
      <c r="AH2333">
        <v>19.405392276469399</v>
      </c>
      <c r="AI2333">
        <v>93.268091141387401</v>
      </c>
      <c r="AJ2333">
        <v>92.650491013156895</v>
      </c>
      <c r="AK2333">
        <v>19.457818131437602</v>
      </c>
      <c r="AL2333">
        <v>80.887440813216301</v>
      </c>
      <c r="AM2333">
        <v>89.383853378850702</v>
      </c>
      <c r="AN2333">
        <v>0.99999997644261396</v>
      </c>
    </row>
    <row r="2334" spans="1:40" x14ac:dyDescent="0.25">
      <c r="A2334" t="str">
        <f>"20190312164034557"</f>
        <v>20190312164034557</v>
      </c>
      <c r="B2334" t="str">
        <f>"1552380034548373"</f>
        <v>1552380034548373</v>
      </c>
      <c r="C2334" t="s">
        <v>40</v>
      </c>
      <c r="D2334">
        <v>5.4502199999999998</v>
      </c>
      <c r="E2334">
        <v>0.4839155</v>
      </c>
      <c r="F2334" t="s">
        <v>49</v>
      </c>
      <c r="G2334">
        <v>-316.82580000000002</v>
      </c>
      <c r="H2334" s="1">
        <v>5.3117009999999997E-6</v>
      </c>
      <c r="I2334">
        <v>283.84160000000003</v>
      </c>
      <c r="J2334">
        <v>-297.39519999999999</v>
      </c>
      <c r="K2334">
        <v>1.1092740000000001</v>
      </c>
      <c r="L2334">
        <v>284.44749999999999</v>
      </c>
      <c r="M2334">
        <v>-0.99985429999999997</v>
      </c>
      <c r="N2334">
        <v>0</v>
      </c>
      <c r="O2334">
        <v>1.492897E-2</v>
      </c>
      <c r="P2334">
        <v>-0.9883229</v>
      </c>
      <c r="Q2334">
        <v>0.15026919999999999</v>
      </c>
      <c r="R2334">
        <v>2.5241240000000002E-2</v>
      </c>
      <c r="S2334">
        <v>-3.0638730000000001</v>
      </c>
      <c r="T2334">
        <v>-0.17184869999999999</v>
      </c>
      <c r="U2334">
        <v>-9.3078610000000006E-2</v>
      </c>
      <c r="V2334">
        <v>1.0534299999999899E-2</v>
      </c>
      <c r="W2334">
        <v>0.15843940000000001</v>
      </c>
      <c r="X2334">
        <v>0.98731250000000004</v>
      </c>
      <c r="Y2334">
        <v>-4.5190189999999998E-2</v>
      </c>
      <c r="Z2334">
        <v>-2.1025919999999999E-3</v>
      </c>
      <c r="AA2334">
        <v>0.99897619999999998</v>
      </c>
      <c r="AB2334">
        <v>39</v>
      </c>
      <c r="AC2334">
        <v>-19.430599999999998</v>
      </c>
      <c r="AD2334">
        <v>-1.1092686882989999</v>
      </c>
      <c r="AE2334">
        <v>-0.60589999999996202</v>
      </c>
      <c r="AF2334">
        <v>-0.89301363649552601</v>
      </c>
      <c r="AG2334">
        <v>-1.1092686882989999</v>
      </c>
      <c r="AH2334">
        <v>19.356365127589299</v>
      </c>
      <c r="AI2334">
        <v>93.276424230638995</v>
      </c>
      <c r="AJ2334">
        <v>92.641490619858899</v>
      </c>
      <c r="AK2334">
        <v>19.408679020746401</v>
      </c>
      <c r="AL2334">
        <v>80.883674926199802</v>
      </c>
      <c r="AM2334">
        <v>89.388696053373096</v>
      </c>
      <c r="AN2334">
        <v>0.99999999380255</v>
      </c>
    </row>
    <row r="2335" spans="1:40" x14ac:dyDescent="0.25">
      <c r="A2335" t="str">
        <f>"20190312164034568"</f>
        <v>20190312164034568</v>
      </c>
      <c r="B2335" t="str">
        <f>"1552380034558133"</f>
        <v>1552380034558133</v>
      </c>
      <c r="C2335" t="s">
        <v>40</v>
      </c>
      <c r="D2335">
        <v>5.6814210000000003</v>
      </c>
      <c r="E2335">
        <v>0.48423729999999998</v>
      </c>
      <c r="F2335" t="s">
        <v>49</v>
      </c>
      <c r="G2335">
        <v>-317.17290000000003</v>
      </c>
      <c r="H2335" s="1">
        <v>5.4635869999999999E-6</v>
      </c>
      <c r="I2335">
        <v>283.8646</v>
      </c>
      <c r="J2335">
        <v>-297.59829999999999</v>
      </c>
      <c r="K2335">
        <v>1.1092839999999999</v>
      </c>
      <c r="L2335">
        <v>284.45060000000001</v>
      </c>
      <c r="M2335">
        <v>-0.99985349999999995</v>
      </c>
      <c r="N2335">
        <v>0</v>
      </c>
      <c r="O2335">
        <v>1.49674E-2</v>
      </c>
      <c r="P2335">
        <v>-0.98832370000000003</v>
      </c>
      <c r="Q2335">
        <v>0.1502677</v>
      </c>
      <c r="R2335">
        <v>2.522435E-2</v>
      </c>
      <c r="S2335">
        <v>-3.0638730000000001</v>
      </c>
      <c r="T2335">
        <v>-0.17184289999999999</v>
      </c>
      <c r="U2335">
        <v>-9.0301510000000001E-2</v>
      </c>
      <c r="V2335">
        <v>1.0478039999999999E-2</v>
      </c>
      <c r="W2335">
        <v>0.15847710000000001</v>
      </c>
      <c r="X2335">
        <v>0.98730709999999999</v>
      </c>
      <c r="Y2335">
        <v>-4.4325200000000002E-2</v>
      </c>
      <c r="Z2335">
        <v>-2.0804690000000002E-3</v>
      </c>
      <c r="AA2335">
        <v>0.99901499999999999</v>
      </c>
      <c r="AB2335">
        <v>39</v>
      </c>
      <c r="AC2335">
        <v>-19.5746</v>
      </c>
      <c r="AD2335">
        <v>-1.109278536413</v>
      </c>
      <c r="AE2335">
        <v>-0.58600000000001196</v>
      </c>
      <c r="AF2335">
        <v>-0.87611428215808895</v>
      </c>
      <c r="AG2335">
        <v>-1.109278536413</v>
      </c>
      <c r="AH2335">
        <v>19.501066150321599</v>
      </c>
      <c r="AI2335">
        <v>93.252372091896206</v>
      </c>
      <c r="AJ2335">
        <v>92.5723680132472</v>
      </c>
      <c r="AK2335">
        <v>19.552228929356499</v>
      </c>
      <c r="AL2335">
        <v>80.881487707316495</v>
      </c>
      <c r="AM2335">
        <v>89.391957242109001</v>
      </c>
      <c r="AN2335">
        <v>1.00000004512852</v>
      </c>
    </row>
    <row r="2336" spans="1:40" x14ac:dyDescent="0.25">
      <c r="A2336" t="str">
        <f>"20190312164034590"</f>
        <v>20190312164034590</v>
      </c>
      <c r="B2336" t="str">
        <f>"1552380034578629"</f>
        <v>1552380034578629</v>
      </c>
      <c r="C2336" t="s">
        <v>40</v>
      </c>
      <c r="D2336">
        <v>5.4617820000000004</v>
      </c>
      <c r="E2336">
        <v>0.48469649999999997</v>
      </c>
      <c r="F2336" t="s">
        <v>49</v>
      </c>
      <c r="G2336">
        <v>-317.45010000000002</v>
      </c>
      <c r="H2336" s="1">
        <v>5.5849539999999999E-6</v>
      </c>
      <c r="I2336">
        <v>283.8827</v>
      </c>
      <c r="J2336">
        <v>-297.96820000000002</v>
      </c>
      <c r="K2336">
        <v>1.1093</v>
      </c>
      <c r="L2336">
        <v>284.45620000000002</v>
      </c>
      <c r="M2336">
        <v>-0.99985179999999996</v>
      </c>
      <c r="N2336">
        <v>0</v>
      </c>
      <c r="O2336">
        <v>1.503767E-2</v>
      </c>
      <c r="P2336">
        <v>-0.98830189999999996</v>
      </c>
      <c r="Q2336">
        <v>0.1504093</v>
      </c>
      <c r="R2336">
        <v>2.5235540000000001E-2</v>
      </c>
      <c r="S2336">
        <v>-3.0637509999999999</v>
      </c>
      <c r="T2336">
        <v>-0.1711955</v>
      </c>
      <c r="U2336">
        <v>-8.7646479999999999E-2</v>
      </c>
      <c r="V2336">
        <v>1.041778E-2</v>
      </c>
      <c r="W2336">
        <v>0.15869129999999901</v>
      </c>
      <c r="X2336">
        <v>0.98727330000000002</v>
      </c>
      <c r="Y2336">
        <v>-4.3533380000000003E-2</v>
      </c>
      <c r="Z2336">
        <v>-2.0545730000000001E-3</v>
      </c>
      <c r="AA2336">
        <v>0.99904979999999999</v>
      </c>
      <c r="AB2336">
        <v>39</v>
      </c>
      <c r="AC2336">
        <v>-19.4819</v>
      </c>
      <c r="AD2336">
        <v>-1.109294415046</v>
      </c>
      <c r="AE2336">
        <v>-0.57350000000002399</v>
      </c>
      <c r="AF2336">
        <v>-0.86361030551784002</v>
      </c>
      <c r="AG2336">
        <v>-1.109294415046</v>
      </c>
      <c r="AH2336">
        <v>19.408203053592</v>
      </c>
      <c r="AI2336">
        <v>93.268009325688894</v>
      </c>
      <c r="AJ2336">
        <v>92.547819943097906</v>
      </c>
      <c r="AK2336">
        <v>19.459051945778501</v>
      </c>
      <c r="AL2336">
        <v>80.869057367346201</v>
      </c>
      <c r="AM2336">
        <v>89.395433186153795</v>
      </c>
      <c r="AN2336">
        <v>1.0000000138643499</v>
      </c>
    </row>
    <row r="2337" spans="1:40" x14ac:dyDescent="0.25">
      <c r="A2337" t="str">
        <f>"20190312164034602"</f>
        <v>20190312164034602</v>
      </c>
      <c r="B2337" t="str">
        <f>"1552380034598150"</f>
        <v>1552380034598150</v>
      </c>
      <c r="C2337" t="s">
        <v>40</v>
      </c>
      <c r="D2337">
        <v>5.4998740000000002</v>
      </c>
      <c r="E2337">
        <v>0.48495120000000003</v>
      </c>
      <c r="F2337" t="s">
        <v>49</v>
      </c>
      <c r="G2337">
        <v>-317.642</v>
      </c>
      <c r="H2337" s="1">
        <v>5.6671740000000003E-6</v>
      </c>
      <c r="I2337">
        <v>283.91520000000003</v>
      </c>
      <c r="J2337">
        <v>-298.1902</v>
      </c>
      <c r="K2337">
        <v>1.10931</v>
      </c>
      <c r="L2337">
        <v>284.45960000000002</v>
      </c>
      <c r="M2337">
        <v>-0.99985089999999999</v>
      </c>
      <c r="N2337">
        <v>0</v>
      </c>
      <c r="O2337">
        <v>1.507995E-2</v>
      </c>
      <c r="P2337">
        <v>-0.98829869999999997</v>
      </c>
      <c r="Q2337">
        <v>0.15042929999999999</v>
      </c>
      <c r="R2337">
        <v>2.5243539999999998E-2</v>
      </c>
      <c r="S2337">
        <v>-3.0639949999999998</v>
      </c>
      <c r="T2337">
        <v>-0.17276169999999999</v>
      </c>
      <c r="U2337">
        <v>-8.4259029999999999E-2</v>
      </c>
      <c r="V2337">
        <v>1.0382829999999999E-2</v>
      </c>
      <c r="W2337">
        <v>0.1587558</v>
      </c>
      <c r="X2337">
        <v>0.98726329999999995</v>
      </c>
      <c r="Y2337">
        <v>-4.2469649999999998E-2</v>
      </c>
      <c r="Z2337">
        <v>-2.0456269999999999E-3</v>
      </c>
      <c r="AA2337">
        <v>0.99909570000000003</v>
      </c>
      <c r="AB2337">
        <v>39</v>
      </c>
      <c r="AC2337">
        <v>-19.451799999999899</v>
      </c>
      <c r="AD2337">
        <v>-1.1093043328259999</v>
      </c>
      <c r="AE2337">
        <v>-0.544399999999996</v>
      </c>
      <c r="AF2337">
        <v>-0.83496726059217197</v>
      </c>
      <c r="AG2337">
        <v>-1.1093043328259999</v>
      </c>
      <c r="AH2337">
        <v>19.378404399508501</v>
      </c>
      <c r="AI2337">
        <v>93.273254141925094</v>
      </c>
      <c r="AJ2337">
        <v>92.467206609202506</v>
      </c>
      <c r="AK2337">
        <v>19.428079768726001</v>
      </c>
      <c r="AL2337">
        <v>80.865314353274798</v>
      </c>
      <c r="AM2337">
        <v>89.3974551594941</v>
      </c>
      <c r="AN2337">
        <v>1.00000001535966</v>
      </c>
    </row>
    <row r="2338" spans="1:40" x14ac:dyDescent="0.25">
      <c r="A2338" t="str">
        <f>"20190312164034613"</f>
        <v>20190312164034613</v>
      </c>
      <c r="B2338" t="str">
        <f>"1552380034607909"</f>
        <v>1552380034607909</v>
      </c>
      <c r="C2338" t="s">
        <v>40</v>
      </c>
      <c r="D2338">
        <v>5.5424129999999998</v>
      </c>
      <c r="E2338">
        <v>0.48520679999999999</v>
      </c>
      <c r="F2338" t="s">
        <v>49</v>
      </c>
      <c r="G2338">
        <v>-317.90469999999999</v>
      </c>
      <c r="H2338" s="1">
        <v>5.7821500000000002E-6</v>
      </c>
      <c r="I2338">
        <v>283.93290000000002</v>
      </c>
      <c r="J2338">
        <v>-298.4033</v>
      </c>
      <c r="K2338">
        <v>1.1093200000000001</v>
      </c>
      <c r="L2338">
        <v>284.46289999999999</v>
      </c>
      <c r="M2338">
        <v>-0.99984989999999996</v>
      </c>
      <c r="N2338">
        <v>0</v>
      </c>
      <c r="O2338">
        <v>1.512021E-2</v>
      </c>
      <c r="P2338">
        <v>-0.9883324</v>
      </c>
      <c r="Q2338">
        <v>0.150227799999999</v>
      </c>
      <c r="R2338">
        <v>2.511499E-2</v>
      </c>
      <c r="S2338">
        <v>-3.0638429999999999</v>
      </c>
      <c r="T2338">
        <v>-0.17239789999999999</v>
      </c>
      <c r="U2338">
        <v>-8.184814E-2</v>
      </c>
      <c r="V2338">
        <v>1.021266E-2</v>
      </c>
      <c r="W2338">
        <v>0.1585966</v>
      </c>
      <c r="X2338">
        <v>0.98729060000000002</v>
      </c>
      <c r="Y2338">
        <v>-4.1727130000000001E-2</v>
      </c>
      <c r="Z2338">
        <v>-2.022842E-3</v>
      </c>
      <c r="AA2338">
        <v>0.99912699999999999</v>
      </c>
      <c r="AB2338">
        <v>39</v>
      </c>
      <c r="AC2338">
        <v>-19.501399999999901</v>
      </c>
      <c r="AD2338">
        <v>-1.10931421785</v>
      </c>
      <c r="AE2338">
        <v>-0.52999999999997205</v>
      </c>
      <c r="AF2338">
        <v>-0.82215687471738597</v>
      </c>
      <c r="AG2338">
        <v>-1.10931421785</v>
      </c>
      <c r="AH2338">
        <v>19.4283372807616</v>
      </c>
      <c r="AI2338">
        <v>93.264995726648294</v>
      </c>
      <c r="AJ2338">
        <v>92.423163129217002</v>
      </c>
      <c r="AK2338">
        <v>19.477340923637399</v>
      </c>
      <c r="AL2338">
        <v>80.874552326204196</v>
      </c>
      <c r="AM2338">
        <v>89.407346280137403</v>
      </c>
      <c r="AN2338">
        <v>0.99999995440209599</v>
      </c>
    </row>
    <row r="2339" spans="1:40" x14ac:dyDescent="0.25">
      <c r="A2339" t="str">
        <f>"20190312164034625"</f>
        <v>20190312164034625</v>
      </c>
      <c r="B2339" t="str">
        <f>"1552380034618645"</f>
        <v>1552380034618645</v>
      </c>
      <c r="C2339" t="s">
        <v>40</v>
      </c>
      <c r="D2339">
        <v>5.628698</v>
      </c>
      <c r="E2339">
        <v>0.48531020000000002</v>
      </c>
      <c r="F2339" t="s">
        <v>49</v>
      </c>
      <c r="G2339">
        <v>-317.77429999999998</v>
      </c>
      <c r="H2339" s="1">
        <v>5.7222150000000002E-6</v>
      </c>
      <c r="I2339">
        <v>283.95679999999999</v>
      </c>
      <c r="J2339">
        <v>-298.60579999999999</v>
      </c>
      <c r="K2339">
        <v>1.109327</v>
      </c>
      <c r="L2339">
        <v>284.46589999999998</v>
      </c>
      <c r="M2339">
        <v>-0.99984899999999999</v>
      </c>
      <c r="N2339">
        <v>0</v>
      </c>
      <c r="O2339">
        <v>1.5158710000000001E-2</v>
      </c>
      <c r="P2339">
        <v>-0.9883364</v>
      </c>
      <c r="Q2339">
        <v>0.15025289999999999</v>
      </c>
      <c r="R2339">
        <v>2.480694E-2</v>
      </c>
      <c r="S2339">
        <v>-3.0640869999999998</v>
      </c>
      <c r="T2339">
        <v>-0.17547009999999999</v>
      </c>
      <c r="U2339">
        <v>-8.0047610000000005E-2</v>
      </c>
      <c r="V2339">
        <v>9.865604E-3</v>
      </c>
      <c r="W2339">
        <v>0.1586612</v>
      </c>
      <c r="X2339">
        <v>0.98728380000000004</v>
      </c>
      <c r="Y2339">
        <v>-4.1174389999999998E-2</v>
      </c>
      <c r="Z2339">
        <v>-2.0450749999999999E-3</v>
      </c>
      <c r="AA2339">
        <v>0.99914990000000004</v>
      </c>
      <c r="AB2339">
        <v>39</v>
      </c>
      <c r="AC2339">
        <v>-19.168499999999899</v>
      </c>
      <c r="AD2339">
        <v>-1.1093212777849999</v>
      </c>
      <c r="AE2339">
        <v>-0.50909999999998901</v>
      </c>
      <c r="AF2339">
        <v>-0.79695445958681399</v>
      </c>
      <c r="AG2339">
        <v>-1.1093212777849999</v>
      </c>
      <c r="AH2339">
        <v>19.094673395215601</v>
      </c>
      <c r="AI2339">
        <v>93.322023996579404</v>
      </c>
      <c r="AJ2339">
        <v>92.389967065633599</v>
      </c>
      <c r="AK2339">
        <v>19.143465782818801</v>
      </c>
      <c r="AL2339">
        <v>80.870804010644306</v>
      </c>
      <c r="AM2339">
        <v>89.427481076504705</v>
      </c>
      <c r="AN2339">
        <v>1.0000000041350801</v>
      </c>
    </row>
    <row r="2340" spans="1:40" x14ac:dyDescent="0.25">
      <c r="A2340" t="str">
        <f>"20190312164034637"</f>
        <v>20190312164034637</v>
      </c>
      <c r="B2340" t="str">
        <f>"1552380034628405"</f>
        <v>1552380034628405</v>
      </c>
      <c r="C2340" t="s">
        <v>40</v>
      </c>
      <c r="D2340">
        <v>5.5856250000000003</v>
      </c>
      <c r="E2340">
        <v>0.4854078</v>
      </c>
      <c r="F2340" t="s">
        <v>49</v>
      </c>
      <c r="G2340">
        <v>-318.02</v>
      </c>
      <c r="H2340" s="1">
        <v>5.831047E-6</v>
      </c>
      <c r="I2340">
        <v>283.95830000000001</v>
      </c>
      <c r="J2340">
        <v>-298.81009999999998</v>
      </c>
      <c r="K2340">
        <v>1.109335</v>
      </c>
      <c r="L2340">
        <v>284.46910000000003</v>
      </c>
      <c r="M2340">
        <v>-0.99984799999999996</v>
      </c>
      <c r="N2340">
        <v>0</v>
      </c>
      <c r="O2340">
        <v>1.51977999999999E-2</v>
      </c>
      <c r="P2340">
        <v>-0.988348</v>
      </c>
      <c r="Q2340">
        <v>0.15015529999999999</v>
      </c>
      <c r="R2340">
        <v>2.493768E-2</v>
      </c>
      <c r="S2340">
        <v>-3.0639949999999998</v>
      </c>
      <c r="T2340">
        <v>-0.175075799999999</v>
      </c>
      <c r="U2340">
        <v>-8.0108639999999995E-2</v>
      </c>
      <c r="V2340">
        <v>9.9567100000000006E-3</v>
      </c>
      <c r="W2340">
        <v>0.1586023</v>
      </c>
      <c r="X2340">
        <v>0.98729230000000001</v>
      </c>
      <c r="Y2340">
        <v>-4.1234380000000001E-2</v>
      </c>
      <c r="Z2340">
        <v>-2.0444909999999998E-3</v>
      </c>
      <c r="AA2340">
        <v>0.99914740000000002</v>
      </c>
      <c r="AB2340">
        <v>39</v>
      </c>
      <c r="AC2340">
        <v>-19.209900000000001</v>
      </c>
      <c r="AD2340">
        <v>-1.109329168953</v>
      </c>
      <c r="AE2340">
        <v>-0.51080000000001702</v>
      </c>
      <c r="AF2340">
        <v>-0.80003380422796899</v>
      </c>
      <c r="AG2340">
        <v>-1.109329168953</v>
      </c>
      <c r="AH2340">
        <v>19.136147641736301</v>
      </c>
      <c r="AI2340">
        <v>93.314853974379403</v>
      </c>
      <c r="AJ2340">
        <v>92.393997096829096</v>
      </c>
      <c r="AK2340">
        <v>19.184963170653401</v>
      </c>
      <c r="AL2340">
        <v>80.874221565046994</v>
      </c>
      <c r="AM2340">
        <v>89.422199360845696</v>
      </c>
      <c r="AN2340">
        <v>0.999999955639301</v>
      </c>
    </row>
    <row r="2341" spans="1:40" x14ac:dyDescent="0.25">
      <c r="A2341" t="str">
        <f>"20190312164034648"</f>
        <v>20190312164034648</v>
      </c>
      <c r="B2341" t="str">
        <f>"1552380034638165"</f>
        <v>1552380034638165</v>
      </c>
      <c r="C2341" t="s">
        <v>40</v>
      </c>
      <c r="D2341">
        <v>5.4996309999999999</v>
      </c>
      <c r="E2341">
        <v>0.48551240000000001</v>
      </c>
      <c r="F2341" t="s">
        <v>49</v>
      </c>
      <c r="G2341">
        <v>-318.22879999999998</v>
      </c>
      <c r="H2341" s="1">
        <v>5.9225819999999998E-6</v>
      </c>
      <c r="I2341">
        <v>283.97030000000001</v>
      </c>
      <c r="J2341">
        <v>-299.0138</v>
      </c>
      <c r="K2341">
        <v>1.1093409999999999</v>
      </c>
      <c r="L2341">
        <v>284.47219999999999</v>
      </c>
      <c r="M2341">
        <v>-0.99984709999999999</v>
      </c>
      <c r="N2341">
        <v>0</v>
      </c>
      <c r="O2341">
        <v>1.5236420000000001E-2</v>
      </c>
      <c r="P2341">
        <v>-0.98833979999999999</v>
      </c>
      <c r="Q2341">
        <v>0.150228799999999</v>
      </c>
      <c r="R2341">
        <v>2.4820780000000001E-2</v>
      </c>
      <c r="S2341">
        <v>-3.063965</v>
      </c>
      <c r="T2341">
        <v>-0.1750352</v>
      </c>
      <c r="U2341">
        <v>-7.8704830000000003E-2</v>
      </c>
      <c r="V2341">
        <v>9.8011939999999992E-3</v>
      </c>
      <c r="W2341">
        <v>0.15871289999999999</v>
      </c>
      <c r="X2341">
        <v>0.98727609999999999</v>
      </c>
      <c r="Y2341">
        <v>-4.0816419999999999E-2</v>
      </c>
      <c r="Z2341">
        <v>-2.0343280000000002E-3</v>
      </c>
      <c r="AA2341">
        <v>0.99916459999999996</v>
      </c>
      <c r="AB2341">
        <v>39</v>
      </c>
      <c r="AC2341">
        <v>-19.2149999999999</v>
      </c>
      <c r="AD2341">
        <v>-1.109335077418</v>
      </c>
      <c r="AE2341">
        <v>-0.50189999999997703</v>
      </c>
      <c r="AF2341">
        <v>-0.79198238886679995</v>
      </c>
      <c r="AG2341">
        <v>-1.109335077418</v>
      </c>
      <c r="AH2341">
        <v>19.1413658442134</v>
      </c>
      <c r="AI2341">
        <v>93.314029237375706</v>
      </c>
      <c r="AJ2341">
        <v>92.369286553963406</v>
      </c>
      <c r="AK2341">
        <v>19.189834465161098</v>
      </c>
      <c r="AL2341">
        <v>80.867803514697897</v>
      </c>
      <c r="AM2341">
        <v>89.431214223682005</v>
      </c>
      <c r="AN2341">
        <v>0.99999997283072195</v>
      </c>
    </row>
    <row r="2342" spans="1:40" x14ac:dyDescent="0.25">
      <c r="A2342" t="str">
        <f>"20190312164034660"</f>
        <v>20190312164034660</v>
      </c>
      <c r="B2342" t="str">
        <f>"1552380034647925"</f>
        <v>1552380034647925</v>
      </c>
      <c r="C2342" t="s">
        <v>40</v>
      </c>
      <c r="D2342">
        <v>5.4420520000000003</v>
      </c>
      <c r="E2342">
        <v>0.48560340000000002</v>
      </c>
      <c r="F2342" t="s">
        <v>49</v>
      </c>
      <c r="G2342">
        <v>-318.51080000000002</v>
      </c>
      <c r="H2342" s="1">
        <v>6.0473940000000002E-6</v>
      </c>
      <c r="I2342">
        <v>283.97329999999999</v>
      </c>
      <c r="J2342">
        <v>-299.22070000000002</v>
      </c>
      <c r="K2342">
        <v>1.109348</v>
      </c>
      <c r="L2342">
        <v>284.47539999999998</v>
      </c>
      <c r="M2342">
        <v>-0.99984620000000002</v>
      </c>
      <c r="N2342">
        <v>0</v>
      </c>
      <c r="O2342">
        <v>1.5275759999999999E-2</v>
      </c>
      <c r="P2342">
        <v>-0.98838190000000004</v>
      </c>
      <c r="Q2342">
        <v>0.14994649999999901</v>
      </c>
      <c r="R2342">
        <v>2.48519E-2</v>
      </c>
      <c r="S2342">
        <v>-3.0638730000000001</v>
      </c>
      <c r="T2342">
        <v>-0.1743276</v>
      </c>
      <c r="U2342">
        <v>-7.8399659999999996E-2</v>
      </c>
      <c r="V2342">
        <v>9.7921559999999998E-3</v>
      </c>
      <c r="W2342">
        <v>0.15846950000000001</v>
      </c>
      <c r="X2342">
        <v>0.98731530000000001</v>
      </c>
      <c r="Y2342">
        <v>-4.0757809999999998E-2</v>
      </c>
      <c r="Z2342">
        <v>-2.0267509999999998E-3</v>
      </c>
      <c r="AA2342">
        <v>0.99916700000000003</v>
      </c>
      <c r="AB2342">
        <v>39</v>
      </c>
      <c r="AC2342">
        <v>-19.290099999999899</v>
      </c>
      <c r="AD2342">
        <v>-1.109341952606</v>
      </c>
      <c r="AE2342">
        <v>-0.502099999999984</v>
      </c>
      <c r="AF2342">
        <v>-0.79409881062642595</v>
      </c>
      <c r="AG2342">
        <v>-1.109341952606</v>
      </c>
      <c r="AH2342">
        <v>19.2166682467094</v>
      </c>
      <c r="AI2342">
        <v>93.301099147092103</v>
      </c>
      <c r="AJ2342">
        <v>92.366312314318407</v>
      </c>
      <c r="AK2342">
        <v>19.265034933602902</v>
      </c>
      <c r="AL2342">
        <v>80.881928177025898</v>
      </c>
      <c r="AM2342">
        <v>89.431761245705403</v>
      </c>
      <c r="AN2342">
        <v>0.99999998518173405</v>
      </c>
    </row>
    <row r="2343" spans="1:40" x14ac:dyDescent="0.25">
      <c r="A2343" t="str">
        <f>"20190312164034672"</f>
        <v>20190312164034672</v>
      </c>
      <c r="B2343" t="str">
        <f>"1552380034668421"</f>
        <v>1552380034668421</v>
      </c>
      <c r="C2343" t="s">
        <v>40</v>
      </c>
      <c r="D2343">
        <v>5.3979629999999998</v>
      </c>
      <c r="E2343">
        <v>0.48607329999999999</v>
      </c>
      <c r="F2343" t="s">
        <v>49</v>
      </c>
      <c r="G2343">
        <v>-318.68439999999998</v>
      </c>
      <c r="H2343" s="1">
        <v>6.1237100000000002E-6</v>
      </c>
      <c r="I2343">
        <v>283.98099999999999</v>
      </c>
      <c r="J2343">
        <v>-299.42950000000002</v>
      </c>
      <c r="K2343">
        <v>1.1093519999999999</v>
      </c>
      <c r="L2343">
        <v>284.47859999999997</v>
      </c>
      <c r="M2343">
        <v>-0.99984510000000004</v>
      </c>
      <c r="N2343">
        <v>0</v>
      </c>
      <c r="O2343">
        <v>1.531569E-2</v>
      </c>
      <c r="P2343">
        <v>-0.98842470000000004</v>
      </c>
      <c r="Q2343">
        <v>0.14968819999999999</v>
      </c>
      <c r="R2343">
        <v>2.4699470000000001E-2</v>
      </c>
      <c r="S2343">
        <v>-3.0637210000000001</v>
      </c>
      <c r="T2343">
        <v>-0.1746181</v>
      </c>
      <c r="U2343">
        <v>-7.7819819999999998E-2</v>
      </c>
      <c r="V2343">
        <v>9.5987669999999994E-3</v>
      </c>
      <c r="W2343">
        <v>0.15824920000000001</v>
      </c>
      <c r="X2343">
        <v>0.98735260000000002</v>
      </c>
      <c r="Y2343">
        <v>-4.0609880000000001E-2</v>
      </c>
      <c r="Z2343">
        <v>-2.0282910000000002E-3</v>
      </c>
      <c r="AA2343">
        <v>0.99917299999999998</v>
      </c>
      <c r="AB2343">
        <v>40</v>
      </c>
      <c r="AC2343">
        <v>-19.2548999999999</v>
      </c>
      <c r="AD2343">
        <v>-1.1093458762899999</v>
      </c>
      <c r="AE2343">
        <v>-0.49759999999997701</v>
      </c>
      <c r="AF2343">
        <v>-0.78983482165012497</v>
      </c>
      <c r="AG2343">
        <v>-1.1093458762899999</v>
      </c>
      <c r="AH2343">
        <v>19.1813929856235</v>
      </c>
      <c r="AI2343">
        <v>93.307188074649105</v>
      </c>
      <c r="AJ2343">
        <v>92.357944013612297</v>
      </c>
      <c r="AK2343">
        <v>19.229673013019699</v>
      </c>
      <c r="AL2343">
        <v>80.894712352383607</v>
      </c>
      <c r="AM2343">
        <v>89.443003935556803</v>
      </c>
      <c r="AN2343">
        <v>1.0000000511776499</v>
      </c>
    </row>
    <row r="2344" spans="1:40" x14ac:dyDescent="0.25">
      <c r="A2344" t="str">
        <f>"20190312164034689"</f>
        <v>20190312164034689</v>
      </c>
      <c r="B2344" t="str">
        <f>"1552380034678182"</f>
        <v>1552380034678182</v>
      </c>
      <c r="C2344" t="s">
        <v>40</v>
      </c>
      <c r="D2344">
        <v>5.366708</v>
      </c>
      <c r="E2344">
        <v>0.48636780000000002</v>
      </c>
      <c r="F2344" t="s">
        <v>49</v>
      </c>
      <c r="G2344">
        <v>-318.6866</v>
      </c>
      <c r="H2344" s="1">
        <v>6.12216699999999E-6</v>
      </c>
      <c r="I2344">
        <v>284.00959999999998</v>
      </c>
      <c r="J2344">
        <v>-299.738</v>
      </c>
      <c r="K2344">
        <v>1.109359</v>
      </c>
      <c r="L2344">
        <v>284.48340000000002</v>
      </c>
      <c r="M2344">
        <v>-0.99984390000000001</v>
      </c>
      <c r="N2344">
        <v>0</v>
      </c>
      <c r="O2344">
        <v>1.537385E-2</v>
      </c>
      <c r="P2344">
        <v>-0.98853150000000001</v>
      </c>
      <c r="Q2344">
        <v>0.1490216</v>
      </c>
      <c r="R2344">
        <v>2.4464779999999998E-2</v>
      </c>
      <c r="S2344">
        <v>-3.0637819999999998</v>
      </c>
      <c r="T2344">
        <v>-0.17649599999999999</v>
      </c>
      <c r="U2344">
        <v>-7.4615479999999998E-2</v>
      </c>
      <c r="V2344">
        <v>9.3042149999999994E-3</v>
      </c>
      <c r="W2344">
        <v>0.157638</v>
      </c>
      <c r="X2344">
        <v>0.98745309999999997</v>
      </c>
      <c r="Y2344">
        <v>-3.9622709999999998E-2</v>
      </c>
      <c r="Z2344">
        <v>-2.024994E-3</v>
      </c>
      <c r="AA2344">
        <v>0.99921269999999995</v>
      </c>
      <c r="AB2344">
        <v>40</v>
      </c>
      <c r="AC2344">
        <v>-18.948599999999999</v>
      </c>
      <c r="AD2344">
        <v>-1.109352877833</v>
      </c>
      <c r="AE2344">
        <v>-0.47380000000003902</v>
      </c>
      <c r="AF2344">
        <v>-0.76245624609378404</v>
      </c>
      <c r="AG2344">
        <v>-1.109352877833</v>
      </c>
      <c r="AH2344">
        <v>18.874423179590899</v>
      </c>
      <c r="AI2344">
        <v>93.360980984407107</v>
      </c>
      <c r="AJ2344">
        <v>92.313277864159204</v>
      </c>
      <c r="AK2344">
        <v>18.922363850667299</v>
      </c>
      <c r="AL2344">
        <v>80.930175896646006</v>
      </c>
      <c r="AM2344">
        <v>89.460150081424004</v>
      </c>
      <c r="AN2344">
        <v>0.99999996608018704</v>
      </c>
    </row>
    <row r="2345" spans="1:40" x14ac:dyDescent="0.25">
      <c r="A2345" t="str">
        <f>"20190312164034702"</f>
        <v>20190312164034702</v>
      </c>
      <c r="B2345" t="str">
        <f>"1552380034698678"</f>
        <v>1552380034698678</v>
      </c>
      <c r="C2345" t="s">
        <v>40</v>
      </c>
      <c r="D2345">
        <v>5.5339150000000004</v>
      </c>
      <c r="E2345">
        <v>0.48687029999999998</v>
      </c>
      <c r="F2345" t="s">
        <v>49</v>
      </c>
      <c r="G2345">
        <v>-318.76170000000002</v>
      </c>
      <c r="H2345" s="1">
        <v>6.1533970000000004E-6</v>
      </c>
      <c r="I2345">
        <v>284.0335</v>
      </c>
      <c r="J2345">
        <v>-299.95639999999997</v>
      </c>
      <c r="K2345">
        <v>1.109359</v>
      </c>
      <c r="L2345">
        <v>284.48680000000002</v>
      </c>
      <c r="M2345">
        <v>-0.99984280000000003</v>
      </c>
      <c r="N2345">
        <v>0</v>
      </c>
      <c r="O2345">
        <v>1.541499E-2</v>
      </c>
      <c r="P2345">
        <v>-0.98858239999999997</v>
      </c>
      <c r="Q2345">
        <v>0.1486999</v>
      </c>
      <c r="R2345">
        <v>2.4363180000000002E-2</v>
      </c>
      <c r="S2345">
        <v>-3.0635379999999999</v>
      </c>
      <c r="T2345">
        <v>-0.1786478</v>
      </c>
      <c r="U2345">
        <v>-7.2448730000000003E-2</v>
      </c>
      <c r="V2345">
        <v>9.1608060000000005E-3</v>
      </c>
      <c r="W2345">
        <v>0.15735360000000001</v>
      </c>
      <c r="X2345">
        <v>0.98749980000000004</v>
      </c>
      <c r="Y2345">
        <v>-3.8958239999999998E-2</v>
      </c>
      <c r="Z2345">
        <v>-2.032861E-3</v>
      </c>
      <c r="AA2345">
        <v>0.99923879999999998</v>
      </c>
      <c r="AB2345">
        <v>40</v>
      </c>
      <c r="AC2345">
        <v>-18.805299999999999</v>
      </c>
      <c r="AD2345">
        <v>-1.109352846603</v>
      </c>
      <c r="AE2345">
        <v>-0.45330000000001203</v>
      </c>
      <c r="AF2345">
        <v>-0.74056510473943304</v>
      </c>
      <c r="AG2345">
        <v>-1.109352846603</v>
      </c>
      <c r="AH2345">
        <v>18.730931802724399</v>
      </c>
      <c r="AI2345">
        <v>93.386784382950395</v>
      </c>
      <c r="AJ2345">
        <v>92.264124761695399</v>
      </c>
      <c r="AK2345">
        <v>18.778362724448002</v>
      </c>
      <c r="AL2345">
        <v>80.946676747106096</v>
      </c>
      <c r="AM2345">
        <v>89.468495624136906</v>
      </c>
      <c r="AN2345">
        <v>0.99999996539978397</v>
      </c>
    </row>
    <row r="2346" spans="1:40" x14ac:dyDescent="0.25">
      <c r="A2346" t="str">
        <f>"20190312164034715"</f>
        <v>20190312164034715</v>
      </c>
      <c r="B2346" t="str">
        <f>"1552380034708437"</f>
        <v>1552380034708437</v>
      </c>
      <c r="C2346" t="s">
        <v>40</v>
      </c>
      <c r="D2346">
        <v>5.6045429999999996</v>
      </c>
      <c r="E2346">
        <v>0.48717280000000002</v>
      </c>
      <c r="F2346" t="s">
        <v>49</v>
      </c>
      <c r="G2346">
        <v>-318.9563</v>
      </c>
      <c r="H2346" s="1">
        <v>6.237164E-6</v>
      </c>
      <c r="I2346">
        <v>284.06220000000002</v>
      </c>
      <c r="J2346">
        <v>-300.18459999999999</v>
      </c>
      <c r="K2346">
        <v>1.109361</v>
      </c>
      <c r="L2346">
        <v>284.49029999999999</v>
      </c>
      <c r="M2346">
        <v>-0.9998418</v>
      </c>
      <c r="N2346">
        <v>0</v>
      </c>
      <c r="O2346">
        <v>1.5458329999999999E-2</v>
      </c>
      <c r="P2346">
        <v>-0.98861929999999998</v>
      </c>
      <c r="Q2346">
        <v>0.14847080000000001</v>
      </c>
      <c r="R2346">
        <v>2.4255349999999998E-2</v>
      </c>
      <c r="S2346">
        <v>-3.0632320000000002</v>
      </c>
      <c r="T2346">
        <v>-0.17885429999999999</v>
      </c>
      <c r="U2346">
        <v>-6.8450929999999993E-2</v>
      </c>
      <c r="V2346">
        <v>9.0090429999999996E-3</v>
      </c>
      <c r="W2346">
        <v>0.157161</v>
      </c>
      <c r="X2346">
        <v>0.98753190000000002</v>
      </c>
      <c r="Y2346">
        <v>-3.7702310000000003E-2</v>
      </c>
      <c r="Z2346">
        <v>-2.0013370000000002E-3</v>
      </c>
      <c r="AA2346">
        <v>0.99928700000000004</v>
      </c>
      <c r="AB2346">
        <v>40</v>
      </c>
      <c r="AC2346">
        <v>-18.771699999999999</v>
      </c>
      <c r="AD2346">
        <v>-1.1093547628360001</v>
      </c>
      <c r="AE2346">
        <v>-0.428099999999972</v>
      </c>
      <c r="AF2346">
        <v>-0.71574079994989803</v>
      </c>
      <c r="AG2346">
        <v>-1.1093547628360001</v>
      </c>
      <c r="AH2346">
        <v>18.697571966627201</v>
      </c>
      <c r="AI2346">
        <v>93.392984079315596</v>
      </c>
      <c r="AJ2346">
        <v>92.1922051659663</v>
      </c>
      <c r="AK2346">
        <v>18.744123087777201</v>
      </c>
      <c r="AL2346">
        <v>80.957851246389495</v>
      </c>
      <c r="AM2346">
        <v>89.477317317720704</v>
      </c>
      <c r="AN2346">
        <v>0.99999999814719298</v>
      </c>
    </row>
    <row r="2347" spans="1:40" x14ac:dyDescent="0.25">
      <c r="A2347" t="str">
        <f>"20190312164034735"</f>
        <v>20190312164034735</v>
      </c>
      <c r="B2347" t="str">
        <f>"1552380034728933"</f>
        <v>1552380034728933</v>
      </c>
      <c r="C2347" t="s">
        <v>40</v>
      </c>
      <c r="D2347">
        <v>5.5708120000000001</v>
      </c>
      <c r="E2347">
        <v>0.48743819999999999</v>
      </c>
      <c r="F2347" t="s">
        <v>49</v>
      </c>
      <c r="G2347">
        <v>-319.22019999999998</v>
      </c>
      <c r="H2347" s="1">
        <v>6.3529089999999901E-6</v>
      </c>
      <c r="I2347">
        <v>284.07709999999997</v>
      </c>
      <c r="J2347">
        <v>-300.55459999999999</v>
      </c>
      <c r="K2347">
        <v>1.1093550000000001</v>
      </c>
      <c r="L2347">
        <v>284.49610000000001</v>
      </c>
      <c r="M2347">
        <v>-0.99984030000000002</v>
      </c>
      <c r="N2347">
        <v>0</v>
      </c>
      <c r="O2347">
        <v>1.5527630000000001E-2</v>
      </c>
      <c r="P2347">
        <v>-0.98863630000000002</v>
      </c>
      <c r="Q2347">
        <v>0.1484036</v>
      </c>
      <c r="R2347">
        <v>2.397525E-2</v>
      </c>
      <c r="S2347">
        <v>-3.0629879999999998</v>
      </c>
      <c r="T2347">
        <v>-0.17850450000000001</v>
      </c>
      <c r="U2347">
        <v>-6.6497799999999996E-2</v>
      </c>
      <c r="V2347">
        <v>8.6596199999999998E-3</v>
      </c>
      <c r="W2347">
        <v>0.15714879999999901</v>
      </c>
      <c r="X2347">
        <v>0.987537</v>
      </c>
      <c r="Y2347">
        <v>-3.713764E-2</v>
      </c>
      <c r="Z2347">
        <v>-1.9851980000000001E-3</v>
      </c>
      <c r="AA2347">
        <v>0.99930819999999998</v>
      </c>
      <c r="AB2347">
        <v>40</v>
      </c>
      <c r="AC2347">
        <v>-18.665599999999898</v>
      </c>
      <c r="AD2347">
        <v>-1.1093486470909999</v>
      </c>
      <c r="AE2347">
        <v>-0.41900000000003901</v>
      </c>
      <c r="AF2347">
        <v>-0.70629977908505204</v>
      </c>
      <c r="AG2347">
        <v>-1.1093486470909999</v>
      </c>
      <c r="AH2347">
        <v>18.591207315439899</v>
      </c>
      <c r="AI2347">
        <v>93.412369068371206</v>
      </c>
      <c r="AJ2347">
        <v>92.175681392389507</v>
      </c>
      <c r="AK2347">
        <v>18.637663567207198</v>
      </c>
      <c r="AL2347">
        <v>80.958559343827204</v>
      </c>
      <c r="AM2347">
        <v>89.497591521548401</v>
      </c>
      <c r="AN2347">
        <v>1.00000003036449</v>
      </c>
    </row>
    <row r="2348" spans="1:40" x14ac:dyDescent="0.25">
      <c r="A2348" t="str">
        <f>"20190312164034760"</f>
        <v>20190312164034760</v>
      </c>
      <c r="B2348" t="str">
        <f>"1552380034748453"</f>
        <v>1552380034748453</v>
      </c>
      <c r="C2348" t="s">
        <v>40</v>
      </c>
      <c r="D2348">
        <v>5.4630910000000004</v>
      </c>
      <c r="E2348">
        <v>0.50273829999999997</v>
      </c>
      <c r="F2348" t="s">
        <v>49</v>
      </c>
      <c r="G2348">
        <v>-319.6823</v>
      </c>
      <c r="H2348" s="1">
        <v>6.5568289999999998E-6</v>
      </c>
      <c r="I2348">
        <v>284.08879999999999</v>
      </c>
      <c r="J2348">
        <v>-300.97289999999998</v>
      </c>
      <c r="K2348">
        <v>1.1093580000000001</v>
      </c>
      <c r="L2348">
        <v>284.50259999999997</v>
      </c>
      <c r="M2348">
        <v>-0.99983849999999996</v>
      </c>
      <c r="N2348">
        <v>0</v>
      </c>
      <c r="O2348">
        <v>1.560652E-2</v>
      </c>
      <c r="P2348">
        <v>-0.98868780000000001</v>
      </c>
      <c r="Q2348">
        <v>0.14806859999999999</v>
      </c>
      <c r="R2348">
        <v>2.3919889999999999E-2</v>
      </c>
      <c r="S2348">
        <v>-3.0627140000000002</v>
      </c>
      <c r="T2348">
        <v>-0.1776276</v>
      </c>
      <c r="U2348">
        <v>-6.5216060000000006E-2</v>
      </c>
      <c r="V2348">
        <v>8.5249909999999905E-3</v>
      </c>
      <c r="W2348">
        <v>0.15687089999999901</v>
      </c>
      <c r="X2348">
        <v>0.98758230000000002</v>
      </c>
      <c r="Y2348">
        <v>-3.6801710000000001E-2</v>
      </c>
      <c r="Z2348">
        <v>-1.970486E-3</v>
      </c>
      <c r="AA2348">
        <v>0.9993206</v>
      </c>
      <c r="AB2348">
        <v>40</v>
      </c>
      <c r="AC2348">
        <v>-18.709399999999999</v>
      </c>
      <c r="AD2348">
        <v>-1.1093514431710001</v>
      </c>
      <c r="AE2348">
        <v>-0.41379999999998002</v>
      </c>
      <c r="AF2348">
        <v>-0.70327847330581095</v>
      </c>
      <c r="AG2348">
        <v>-1.1093514431710001</v>
      </c>
      <c r="AH2348">
        <v>18.635178297396099</v>
      </c>
      <c r="AI2348">
        <v>93.404377201392407</v>
      </c>
      <c r="AJ2348">
        <v>92.161276590698606</v>
      </c>
      <c r="AK2348">
        <v>18.6814113870239</v>
      </c>
      <c r="AL2348">
        <v>80.974681321228701</v>
      </c>
      <c r="AM2348">
        <v>89.505424638419498</v>
      </c>
      <c r="AN2348">
        <v>0.99999997700582399</v>
      </c>
    </row>
    <row r="2349" spans="1:40" x14ac:dyDescent="0.25">
      <c r="A2349" t="str">
        <f>"20190312164034779"</f>
        <v>20190312164034779</v>
      </c>
      <c r="B2349" t="str">
        <f>"1552380034768949"</f>
        <v>1552380034768949</v>
      </c>
      <c r="C2349" t="s">
        <v>40</v>
      </c>
      <c r="D2349">
        <v>5.4162739999999996</v>
      </c>
      <c r="E2349">
        <v>0.50092239999999999</v>
      </c>
      <c r="F2349" t="s">
        <v>42</v>
      </c>
      <c r="G2349">
        <v>-302.02159999999998</v>
      </c>
      <c r="H2349">
        <v>1.0135019999999999</v>
      </c>
      <c r="I2349">
        <v>284.52030000000002</v>
      </c>
      <c r="J2349">
        <v>-301.32920000000001</v>
      </c>
      <c r="K2349">
        <v>1.109364</v>
      </c>
      <c r="L2349">
        <v>284.50830000000002</v>
      </c>
      <c r="M2349">
        <v>-0.99983710000000003</v>
      </c>
      <c r="N2349">
        <v>0</v>
      </c>
      <c r="O2349">
        <v>1.5673380000000001E-2</v>
      </c>
      <c r="P2349">
        <v>-0.98873840000000002</v>
      </c>
      <c r="Q2349">
        <v>0.14776159999999999</v>
      </c>
      <c r="R2349">
        <v>2.3727060000000001E-2</v>
      </c>
      <c r="S2349">
        <v>-3.0751949999999999</v>
      </c>
      <c r="T2349">
        <v>-0.28117249999999999</v>
      </c>
      <c r="U2349">
        <v>5.0872800000000003E-2</v>
      </c>
      <c r="V2349">
        <v>8.2650420000000002E-3</v>
      </c>
      <c r="W2349">
        <v>0.1566081</v>
      </c>
      <c r="X2349">
        <v>0.98762629999999996</v>
      </c>
      <c r="Y2349">
        <v>9.2827450000000004E-4</v>
      </c>
      <c r="Z2349">
        <v>-1.3875960000000001E-3</v>
      </c>
      <c r="AA2349">
        <v>0.99999859999999896</v>
      </c>
      <c r="AB2349">
        <v>40</v>
      </c>
      <c r="AC2349">
        <v>-0.69239999999996305</v>
      </c>
      <c r="AD2349">
        <v>-9.5861999999999795E-2</v>
      </c>
      <c r="AE2349">
        <v>1.2000000000000399E-2</v>
      </c>
      <c r="AF2349">
        <v>1.12429860422681E-3</v>
      </c>
      <c r="AG2349">
        <v>-9.5861999999999795E-2</v>
      </c>
      <c r="AH2349">
        <v>0.67948255802366997</v>
      </c>
      <c r="AI2349">
        <v>98.030330108344998</v>
      </c>
      <c r="AJ2349">
        <v>89.9051962329482</v>
      </c>
      <c r="AK2349">
        <v>0.68621230952945</v>
      </c>
      <c r="AL2349">
        <v>80.989927827966696</v>
      </c>
      <c r="AM2349">
        <v>89.520526164853095</v>
      </c>
      <c r="AN2349">
        <v>1.00000005817827</v>
      </c>
    </row>
    <row r="2350" spans="1:40" x14ac:dyDescent="0.25">
      <c r="A2350" t="str">
        <f>"20190312164034792"</f>
        <v>20190312164034792</v>
      </c>
      <c r="B2350" t="str">
        <f>"1552380034788470"</f>
        <v>1552380034788470</v>
      </c>
      <c r="C2350" t="s">
        <v>40</v>
      </c>
      <c r="D2350">
        <v>5.5525409999999997</v>
      </c>
      <c r="E2350">
        <v>0.50022639999999996</v>
      </c>
      <c r="F2350" t="s">
        <v>42</v>
      </c>
      <c r="G2350">
        <v>-302.39269999999999</v>
      </c>
      <c r="H2350">
        <v>1.038621</v>
      </c>
      <c r="I2350">
        <v>284.52260000000001</v>
      </c>
      <c r="J2350">
        <v>-301.56950000000001</v>
      </c>
      <c r="K2350">
        <v>1.1093649999999999</v>
      </c>
      <c r="L2350">
        <v>284.51209999999998</v>
      </c>
      <c r="M2350">
        <v>-0.99983610000000001</v>
      </c>
      <c r="N2350">
        <v>0</v>
      </c>
      <c r="O2350">
        <v>1.571873E-2</v>
      </c>
      <c r="P2350">
        <v>-0.98872899999999997</v>
      </c>
      <c r="Q2350">
        <v>0.14784149999999999</v>
      </c>
      <c r="R2350">
        <v>2.362237E-2</v>
      </c>
      <c r="S2350">
        <v>-3.06366</v>
      </c>
      <c r="T2350">
        <v>-0.20384340000000001</v>
      </c>
      <c r="U2350">
        <v>4.0557860000000001E-2</v>
      </c>
      <c r="V2350">
        <v>8.1155840000000003E-3</v>
      </c>
      <c r="W2350">
        <v>0.15671550000000001</v>
      </c>
      <c r="X2350">
        <v>0.98761049999999995</v>
      </c>
      <c r="Y2350">
        <v>-2.4422659999999998E-3</v>
      </c>
      <c r="Z2350">
        <v>-1.1257979999999999E-3</v>
      </c>
      <c r="AA2350">
        <v>0.99999640000000001</v>
      </c>
      <c r="AB2350">
        <v>40</v>
      </c>
      <c r="AC2350">
        <v>-0.82319999999998505</v>
      </c>
      <c r="AD2350">
        <v>-7.0743999999999904E-2</v>
      </c>
      <c r="AE2350">
        <v>1.0500000000035901E-2</v>
      </c>
      <c r="AF2350">
        <v>-2.4235820115962601E-3</v>
      </c>
      <c r="AG2350">
        <v>-7.0743999999999904E-2</v>
      </c>
      <c r="AH2350">
        <v>0.81722883797853896</v>
      </c>
      <c r="AI2350">
        <v>94.947494888530102</v>
      </c>
      <c r="AJ2350">
        <v>90.169916438371104</v>
      </c>
      <c r="AK2350">
        <v>0.82028870582833202</v>
      </c>
      <c r="AL2350">
        <v>80.983697302043893</v>
      </c>
      <c r="AM2350">
        <v>89.529188636915904</v>
      </c>
      <c r="AN2350">
        <v>1.00000005517707</v>
      </c>
    </row>
    <row r="2351" spans="1:40" x14ac:dyDescent="0.25">
      <c r="A2351" t="str">
        <f>"20190312164034813"</f>
        <v>20190312164034813</v>
      </c>
      <c r="B2351" t="str">
        <f>"1552380034808966"</f>
        <v>1552380034808966</v>
      </c>
      <c r="C2351" t="s">
        <v>40</v>
      </c>
      <c r="D2351">
        <v>5.5546530000000001</v>
      </c>
      <c r="E2351">
        <v>0.4995271</v>
      </c>
      <c r="F2351" t="s">
        <v>48</v>
      </c>
      <c r="G2351">
        <v>-320.78210000000001</v>
      </c>
      <c r="H2351" s="1">
        <v>-1.125951E-6</v>
      </c>
      <c r="I2351">
        <v>284.73880000000003</v>
      </c>
      <c r="J2351">
        <v>-301.93220000000002</v>
      </c>
      <c r="K2351">
        <v>1.109369</v>
      </c>
      <c r="L2351">
        <v>284.51780000000002</v>
      </c>
      <c r="M2351">
        <v>-0.99983489999999997</v>
      </c>
      <c r="N2351">
        <v>0</v>
      </c>
      <c r="O2351">
        <v>1.5786439999999999E-2</v>
      </c>
      <c r="P2351">
        <v>-0.98870349999999996</v>
      </c>
      <c r="Q2351">
        <v>0.14797560000000001</v>
      </c>
      <c r="R2351">
        <v>2.38575E-2</v>
      </c>
      <c r="S2351">
        <v>-3.0597530000000002</v>
      </c>
      <c r="T2351">
        <v>-0.176675</v>
      </c>
      <c r="U2351">
        <v>3.6102290000000002E-2</v>
      </c>
      <c r="V2351">
        <v>8.2840359999999998E-3</v>
      </c>
      <c r="W2351">
        <v>0.15688740000000001</v>
      </c>
      <c r="X2351">
        <v>0.98758170000000001</v>
      </c>
      <c r="Y2351">
        <v>-3.9563109999999997E-3</v>
      </c>
      <c r="Z2351">
        <v>-1.024854E-3</v>
      </c>
      <c r="AA2351">
        <v>0.99999170000000004</v>
      </c>
      <c r="AB2351">
        <v>40</v>
      </c>
      <c r="AC2351">
        <v>-18.849899999999899</v>
      </c>
      <c r="AD2351">
        <v>-1.109370125951</v>
      </c>
      <c r="AE2351">
        <v>0.221000000000003</v>
      </c>
      <c r="AF2351">
        <v>-7.6347996927756095E-2</v>
      </c>
      <c r="AG2351">
        <v>-1.109370125951</v>
      </c>
      <c r="AH2351">
        <v>18.785980556882102</v>
      </c>
      <c r="AI2351">
        <v>93.379539913333502</v>
      </c>
      <c r="AJ2351">
        <v>90.232854170233196</v>
      </c>
      <c r="AK2351">
        <v>18.818862786484701</v>
      </c>
      <c r="AL2351">
        <v>80.973723822860407</v>
      </c>
      <c r="AM2351">
        <v>89.519402629272903</v>
      </c>
      <c r="AN2351">
        <v>0.99999994785304802</v>
      </c>
    </row>
    <row r="2352" spans="1:40" x14ac:dyDescent="0.25">
      <c r="A2352" t="str">
        <f>"20190312164034825"</f>
        <v>20190312164034825</v>
      </c>
      <c r="B2352" t="str">
        <f>"1552380034818726"</f>
        <v>1552380034818726</v>
      </c>
      <c r="C2352" t="s">
        <v>40</v>
      </c>
      <c r="D2352">
        <v>5.552918</v>
      </c>
      <c r="E2352">
        <v>0.49951770000000001</v>
      </c>
      <c r="F2352" t="s">
        <v>48</v>
      </c>
      <c r="G2352">
        <v>-323.18709999999999</v>
      </c>
      <c r="H2352" s="1">
        <v>1.5368070000000001E-7</v>
      </c>
      <c r="I2352">
        <v>284.74360000000001</v>
      </c>
      <c r="J2352">
        <v>-302.14789999999999</v>
      </c>
      <c r="K2352">
        <v>1.1093729999999999</v>
      </c>
      <c r="L2352">
        <v>284.5213</v>
      </c>
      <c r="M2352">
        <v>-0.99983390000000005</v>
      </c>
      <c r="N2352">
        <v>0</v>
      </c>
      <c r="O2352">
        <v>1.5826989999999999E-2</v>
      </c>
      <c r="P2352">
        <v>-0.98865499999999995</v>
      </c>
      <c r="Q2352">
        <v>0.1482897</v>
      </c>
      <c r="R2352">
        <v>2.3905309999999999E-2</v>
      </c>
      <c r="S2352">
        <v>-3.057404</v>
      </c>
      <c r="T2352">
        <v>-0.15957639999999901</v>
      </c>
      <c r="U2352">
        <v>3.2470699999999998E-2</v>
      </c>
      <c r="V2352">
        <v>8.2924580000000008E-3</v>
      </c>
      <c r="W2352">
        <v>0.15722179999999999</v>
      </c>
      <c r="X2352">
        <v>0.98752850000000003</v>
      </c>
      <c r="Y2352">
        <v>-5.1797340000000001E-3</v>
      </c>
      <c r="Z2352">
        <v>-9.6054899999999999E-4</v>
      </c>
      <c r="AA2352">
        <v>0.99998609999999999</v>
      </c>
      <c r="AB2352">
        <v>40</v>
      </c>
      <c r="AC2352">
        <v>-21.039199999999902</v>
      </c>
      <c r="AD2352">
        <v>-1.1093728463193</v>
      </c>
      <c r="AE2352">
        <v>0.22230000000001801</v>
      </c>
      <c r="AF2352">
        <v>-0.110421679591117</v>
      </c>
      <c r="AG2352">
        <v>-1.1093728463193</v>
      </c>
      <c r="AH2352">
        <v>20.981753287763201</v>
      </c>
      <c r="AI2352">
        <v>93.026552230492499</v>
      </c>
      <c r="AJ2352">
        <v>90.3015304637496</v>
      </c>
      <c r="AK2352">
        <v>21.011351029575302</v>
      </c>
      <c r="AL2352">
        <v>80.954323816261393</v>
      </c>
      <c r="AM2352">
        <v>89.518888135111794</v>
      </c>
      <c r="AN2352">
        <v>0.99999999878358503</v>
      </c>
    </row>
    <row r="2353" spans="1:40" x14ac:dyDescent="0.25">
      <c r="A2353" t="str">
        <f>"20190312164034849"</f>
        <v>20190312164034849</v>
      </c>
      <c r="B2353" t="str">
        <f>"1552380034838245"</f>
        <v>1552380034838245</v>
      </c>
      <c r="C2353" t="s">
        <v>40</v>
      </c>
      <c r="D2353">
        <v>5.7911999999999999</v>
      </c>
      <c r="E2353">
        <v>0.49942340000000002</v>
      </c>
      <c r="F2353" t="s">
        <v>48</v>
      </c>
      <c r="G2353">
        <v>-324.00020000000001</v>
      </c>
      <c r="H2353" s="1">
        <v>5.8589470000000002E-7</v>
      </c>
      <c r="I2353">
        <v>284.75450000000001</v>
      </c>
      <c r="J2353">
        <v>-302.5829</v>
      </c>
      <c r="K2353">
        <v>1.1093770000000001</v>
      </c>
      <c r="L2353">
        <v>284.5283</v>
      </c>
      <c r="M2353">
        <v>-0.99983230000000001</v>
      </c>
      <c r="N2353">
        <v>0</v>
      </c>
      <c r="O2353">
        <v>1.5908410000000001E-2</v>
      </c>
      <c r="P2353">
        <v>-0.98864079999999999</v>
      </c>
      <c r="Q2353">
        <v>0.14839840000000001</v>
      </c>
      <c r="R2353">
        <v>2.3815200000000002E-2</v>
      </c>
      <c r="S2353">
        <v>-3.0569459999999999</v>
      </c>
      <c r="T2353">
        <v>-0.15519089999999999</v>
      </c>
      <c r="U2353">
        <v>3.2623289999999999E-2</v>
      </c>
      <c r="V2353">
        <v>8.1217979999999995E-3</v>
      </c>
      <c r="W2353">
        <v>0.1573696</v>
      </c>
      <c r="X2353">
        <v>0.98750640000000001</v>
      </c>
      <c r="Y2353">
        <v>-5.2110709999999899E-3</v>
      </c>
      <c r="Z2353">
        <v>-9.3925059999999997E-4</v>
      </c>
      <c r="AA2353">
        <v>0.99998600000000004</v>
      </c>
      <c r="AB2353">
        <v>40</v>
      </c>
      <c r="AC2353">
        <v>-21.417300000000001</v>
      </c>
      <c r="AD2353">
        <v>-1.1093764141053</v>
      </c>
      <c r="AE2353">
        <v>0.22620000000000501</v>
      </c>
      <c r="AF2353">
        <v>-0.114251329469357</v>
      </c>
      <c r="AG2353">
        <v>-1.1093764141053</v>
      </c>
      <c r="AH2353">
        <v>21.360882240683001</v>
      </c>
      <c r="AI2353">
        <v>92.972940136451797</v>
      </c>
      <c r="AJ2353">
        <v>90.3064506646475</v>
      </c>
      <c r="AK2353">
        <v>21.389975677751099</v>
      </c>
      <c r="AL2353">
        <v>80.945748968721304</v>
      </c>
      <c r="AM2353">
        <v>89.528778491557006</v>
      </c>
      <c r="AN2353">
        <v>1.00000002232393</v>
      </c>
    </row>
    <row r="2354" spans="1:40" x14ac:dyDescent="0.25">
      <c r="A2354" t="str">
        <f>"20190312164034867"</f>
        <v>20190312164034867</v>
      </c>
      <c r="B2354" t="str">
        <f>"1552380034858741"</f>
        <v>1552380034858741</v>
      </c>
      <c r="C2354" t="s">
        <v>40</v>
      </c>
      <c r="D2354">
        <v>5.5040250000000004</v>
      </c>
      <c r="E2354">
        <v>0.49951230000000002</v>
      </c>
      <c r="F2354" t="s">
        <v>48</v>
      </c>
      <c r="G2354">
        <v>-325.077</v>
      </c>
      <c r="H2354" s="1">
        <v>1.1586E-6</v>
      </c>
      <c r="I2354">
        <v>284.76139999999998</v>
      </c>
      <c r="J2354">
        <v>-302.9074</v>
      </c>
      <c r="K2354">
        <v>1.109381</v>
      </c>
      <c r="L2354">
        <v>284.53339999999997</v>
      </c>
      <c r="M2354">
        <v>-0.99983100000000003</v>
      </c>
      <c r="N2354">
        <v>0</v>
      </c>
      <c r="O2354">
        <v>1.5969210000000001E-2</v>
      </c>
      <c r="P2354">
        <v>-0.98862260000000002</v>
      </c>
      <c r="Q2354">
        <v>0.14850739999999901</v>
      </c>
      <c r="R2354">
        <v>2.3898030000000001E-2</v>
      </c>
      <c r="S2354">
        <v>-3.0563349999999998</v>
      </c>
      <c r="T2354">
        <v>-0.15073410000000001</v>
      </c>
      <c r="U2354">
        <v>3.1677249999999997E-2</v>
      </c>
      <c r="V2354">
        <v>8.1450080000000005E-3</v>
      </c>
      <c r="W2354">
        <v>0.157504799999999</v>
      </c>
      <c r="X2354">
        <v>0.98748460000000005</v>
      </c>
      <c r="Y2354">
        <v>-5.5802480000000003E-3</v>
      </c>
      <c r="Z2354">
        <v>-9.2458779999999999E-4</v>
      </c>
      <c r="AA2354">
        <v>0.99998399999999998</v>
      </c>
      <c r="AB2354">
        <v>40</v>
      </c>
      <c r="AC2354">
        <v>-22.169599999999999</v>
      </c>
      <c r="AD2354">
        <v>-1.1093798414</v>
      </c>
      <c r="AE2354">
        <v>0.228000000000008</v>
      </c>
      <c r="AF2354">
        <v>-0.12575988238312399</v>
      </c>
      <c r="AG2354">
        <v>-1.1093798414</v>
      </c>
      <c r="AH2354">
        <v>22.115042369920602</v>
      </c>
      <c r="AI2354">
        <v>92.871734082070603</v>
      </c>
      <c r="AJ2354">
        <v>90.325815917681496</v>
      </c>
      <c r="AK2354">
        <v>22.143207495841899</v>
      </c>
      <c r="AL2354">
        <v>80.937904268914707</v>
      </c>
      <c r="AM2354">
        <v>89.527421491155593</v>
      </c>
      <c r="AN2354">
        <v>0.99999996920775902</v>
      </c>
    </row>
    <row r="2355" spans="1:40" x14ac:dyDescent="0.25">
      <c r="A2355" t="str">
        <f>"20190312164034890"</f>
        <v>20190312164034890</v>
      </c>
      <c r="B2355" t="str">
        <f>"1552380034878261"</f>
        <v>1552380034878261</v>
      </c>
      <c r="C2355" t="s">
        <v>40</v>
      </c>
      <c r="D2355">
        <v>5.3960710000000001</v>
      </c>
      <c r="E2355">
        <v>0.49939709999999898</v>
      </c>
      <c r="F2355" t="s">
        <v>48</v>
      </c>
      <c r="G2355">
        <v>-325.73009999999999</v>
      </c>
      <c r="H2355" s="1">
        <v>1.5052889999999999E-6</v>
      </c>
      <c r="I2355">
        <v>284.78089999999997</v>
      </c>
      <c r="J2355">
        <v>-303.32060000000001</v>
      </c>
      <c r="K2355">
        <v>1.10938</v>
      </c>
      <c r="L2355">
        <v>284.54020000000003</v>
      </c>
      <c r="M2355">
        <v>-0.99982959999999999</v>
      </c>
      <c r="N2355">
        <v>0</v>
      </c>
      <c r="O2355">
        <v>1.6046669999999999E-2</v>
      </c>
      <c r="P2355">
        <v>-0.98853519999999995</v>
      </c>
      <c r="Q2355">
        <v>0.14910379999999901</v>
      </c>
      <c r="R2355">
        <v>2.3803339999999999E-2</v>
      </c>
      <c r="S2355">
        <v>-3.0560299999999998</v>
      </c>
      <c r="T2355">
        <v>-0.1485496</v>
      </c>
      <c r="U2355">
        <v>3.3142089999999999E-2</v>
      </c>
      <c r="V2355">
        <v>7.9751309999999999E-3</v>
      </c>
      <c r="W2355">
        <v>0.15813150000000001</v>
      </c>
      <c r="X2355">
        <v>0.98738590000000004</v>
      </c>
      <c r="Y2355">
        <v>-5.178551E-3</v>
      </c>
      <c r="Z2355">
        <v>-9.0529759999999999E-4</v>
      </c>
      <c r="AA2355">
        <v>0.99998620000000005</v>
      </c>
      <c r="AB2355">
        <v>40</v>
      </c>
      <c r="AC2355">
        <v>-22.409499999999898</v>
      </c>
      <c r="AD2355">
        <v>-1.1093784947109999</v>
      </c>
      <c r="AE2355">
        <v>0.24069999999994701</v>
      </c>
      <c r="AF2355">
        <v>-0.118653066417099</v>
      </c>
      <c r="AG2355">
        <v>-1.1093784947109999</v>
      </c>
      <c r="AH2355">
        <v>22.355695580150599</v>
      </c>
      <c r="AI2355">
        <v>92.840873999723499</v>
      </c>
      <c r="AJ2355">
        <v>90.304095038029203</v>
      </c>
      <c r="AK2355">
        <v>22.383519027781698</v>
      </c>
      <c r="AL2355">
        <v>80.901542001768405</v>
      </c>
      <c r="AM2355">
        <v>89.537231176706499</v>
      </c>
      <c r="AN2355">
        <v>1.0000000447627599</v>
      </c>
    </row>
    <row r="2356" spans="1:40" x14ac:dyDescent="0.25">
      <c r="A2356" t="str">
        <f>"20190312164034903"</f>
        <v>20190312164034903</v>
      </c>
      <c r="B2356" t="str">
        <f>"1552380034898758"</f>
        <v>1552380034898758</v>
      </c>
      <c r="C2356" t="s">
        <v>40</v>
      </c>
      <c r="D2356">
        <v>5.4758180000000003</v>
      </c>
      <c r="E2356">
        <v>0.49938690000000002</v>
      </c>
      <c r="F2356" t="s">
        <v>48</v>
      </c>
      <c r="G2356">
        <v>-327.05110000000002</v>
      </c>
      <c r="H2356" s="1">
        <v>2.2078159999999999E-6</v>
      </c>
      <c r="I2356">
        <v>284.7919</v>
      </c>
      <c r="J2356">
        <v>-303.55619999999999</v>
      </c>
      <c r="K2356">
        <v>1.10938</v>
      </c>
      <c r="L2356">
        <v>284.54390000000001</v>
      </c>
      <c r="M2356">
        <v>-0.99982859999999996</v>
      </c>
      <c r="N2356">
        <v>0</v>
      </c>
      <c r="O2356">
        <v>1.6091049999999999E-2</v>
      </c>
      <c r="P2356">
        <v>-0.98851880000000003</v>
      </c>
      <c r="Q2356">
        <v>0.14922340000000001</v>
      </c>
      <c r="R2356">
        <v>2.372631E-2</v>
      </c>
      <c r="S2356">
        <v>-3.0555729999999999</v>
      </c>
      <c r="T2356">
        <v>-0.14284469999999999</v>
      </c>
      <c r="U2356">
        <v>3.2409670000000002E-2</v>
      </c>
      <c r="V2356">
        <v>7.8543620000000001E-3</v>
      </c>
      <c r="W2356">
        <v>0.15826709999999999</v>
      </c>
      <c r="X2356">
        <v>0.9873651</v>
      </c>
      <c r="Y2356">
        <v>-5.4625169999999897E-3</v>
      </c>
      <c r="Z2356">
        <v>-8.7940879999999998E-4</v>
      </c>
      <c r="AA2356">
        <v>0.99998469999999995</v>
      </c>
      <c r="AB2356">
        <v>40</v>
      </c>
      <c r="AC2356">
        <v>-23.494900000000001</v>
      </c>
      <c r="AD2356">
        <v>-1.109377792184</v>
      </c>
      <c r="AE2356">
        <v>0.24799999999999001</v>
      </c>
      <c r="AF2356">
        <v>-0.12981617679370999</v>
      </c>
      <c r="AG2356">
        <v>-1.109377792184</v>
      </c>
      <c r="AH2356">
        <v>23.4435864583442</v>
      </c>
      <c r="AI2356">
        <v>92.709240401464001</v>
      </c>
      <c r="AJ2356">
        <v>90.317265578598295</v>
      </c>
      <c r="AK2356">
        <v>23.4701793209044</v>
      </c>
      <c r="AL2356">
        <v>80.893673228747303</v>
      </c>
      <c r="AM2356">
        <v>89.544229078713897</v>
      </c>
      <c r="AN2356">
        <v>1.00000000332142</v>
      </c>
    </row>
    <row r="2357" spans="1:40" x14ac:dyDescent="0.25">
      <c r="A2357" t="str">
        <f>"20190312164034916"</f>
        <v>20190312164034916</v>
      </c>
      <c r="B2357" t="str">
        <f>"1552380034908518"</f>
        <v>1552380034908518</v>
      </c>
      <c r="C2357" t="s">
        <v>40</v>
      </c>
      <c r="D2357">
        <v>5.562246</v>
      </c>
      <c r="E2357">
        <v>0.49967549999999999</v>
      </c>
      <c r="F2357" t="s">
        <v>48</v>
      </c>
      <c r="G2357">
        <v>-327.86360000000002</v>
      </c>
      <c r="H2357" s="1">
        <v>2.639766E-6</v>
      </c>
      <c r="I2357">
        <v>284.80059999999997</v>
      </c>
      <c r="J2357">
        <v>-303.78160000000003</v>
      </c>
      <c r="K2357">
        <v>1.1093820000000001</v>
      </c>
      <c r="L2357">
        <v>284.54759999999999</v>
      </c>
      <c r="M2357">
        <v>-0.99982789999999999</v>
      </c>
      <c r="N2357">
        <v>0</v>
      </c>
      <c r="O2357">
        <v>1.61333E-2</v>
      </c>
      <c r="P2357">
        <v>-0.98849330000000002</v>
      </c>
      <c r="Q2357">
        <v>0.14941869999999999</v>
      </c>
      <c r="R2357">
        <v>2.35619E-2</v>
      </c>
      <c r="S2357">
        <v>-3.0551149999999998</v>
      </c>
      <c r="T2357">
        <v>-0.13943410000000001</v>
      </c>
      <c r="U2357">
        <v>3.225708E-2</v>
      </c>
      <c r="V2357">
        <v>7.6487100000000004E-3</v>
      </c>
      <c r="W2357">
        <v>0.15847710000000001</v>
      </c>
      <c r="X2357">
        <v>0.98733309999999996</v>
      </c>
      <c r="Y2357">
        <v>-5.5540900000000002E-3</v>
      </c>
      <c r="Z2357">
        <v>-8.6257849999999997E-4</v>
      </c>
      <c r="AA2357">
        <v>0.99998419999999999</v>
      </c>
      <c r="AB2357">
        <v>40</v>
      </c>
      <c r="AC2357">
        <v>-24.081999999999901</v>
      </c>
      <c r="AD2357">
        <v>-1.1093793602340001</v>
      </c>
      <c r="AE2357">
        <v>0.25299999999998501</v>
      </c>
      <c r="AF2357">
        <v>-0.13528429714293699</v>
      </c>
      <c r="AG2357">
        <v>-1.1093793602340001</v>
      </c>
      <c r="AH2357">
        <v>24.031953694467202</v>
      </c>
      <c r="AI2357">
        <v>92.643008475399895</v>
      </c>
      <c r="AJ2357">
        <v>90.322534633810093</v>
      </c>
      <c r="AK2357">
        <v>24.0579264023104</v>
      </c>
      <c r="AL2357">
        <v>80.8814879560191</v>
      </c>
      <c r="AM2357">
        <v>89.5561477324256</v>
      </c>
      <c r="AN2357">
        <v>1.0000000721723299</v>
      </c>
    </row>
    <row r="2358" spans="1:40" x14ac:dyDescent="0.25">
      <c r="A2358" t="str">
        <f>"20190312164034929"</f>
        <v>20190312164034929</v>
      </c>
      <c r="B2358" t="str">
        <f>"1552380034918278"</f>
        <v>1552380034918278</v>
      </c>
      <c r="C2358" t="s">
        <v>40</v>
      </c>
      <c r="D2358">
        <v>5.5361399999999996</v>
      </c>
      <c r="E2358">
        <v>0.49998599999999999</v>
      </c>
      <c r="F2358" t="s">
        <v>48</v>
      </c>
      <c r="G2358">
        <v>-327.82</v>
      </c>
      <c r="H2358" s="1">
        <v>2.6160079999999998E-6</v>
      </c>
      <c r="I2358">
        <v>284.8141</v>
      </c>
      <c r="J2358">
        <v>-304.01069999999999</v>
      </c>
      <c r="K2358">
        <v>1.1093820000000001</v>
      </c>
      <c r="L2358">
        <v>284.55130000000003</v>
      </c>
      <c r="M2358">
        <v>-0.99982700000000002</v>
      </c>
      <c r="N2358">
        <v>0</v>
      </c>
      <c r="O2358">
        <v>1.617621E-2</v>
      </c>
      <c r="P2358">
        <v>-0.98843800000000004</v>
      </c>
      <c r="Q2358">
        <v>0.14979239999999999</v>
      </c>
      <c r="R2358">
        <v>2.3512689999999999E-2</v>
      </c>
      <c r="S2358">
        <v>-3.05545</v>
      </c>
      <c r="T2358">
        <v>-0.14100989999999999</v>
      </c>
      <c r="U2358">
        <v>3.3874509999999997E-2</v>
      </c>
      <c r="V2358">
        <v>7.5581419999999899E-3</v>
      </c>
      <c r="W2358">
        <v>0.15886459999999999</v>
      </c>
      <c r="X2358">
        <v>0.98727140000000002</v>
      </c>
      <c r="Y2358">
        <v>-5.0688399999999998E-3</v>
      </c>
      <c r="Z2358">
        <v>-8.6300579999999997E-4</v>
      </c>
      <c r="AA2358">
        <v>0.99998679999999995</v>
      </c>
      <c r="AB2358">
        <v>40</v>
      </c>
      <c r="AC2358">
        <v>-23.8093</v>
      </c>
      <c r="AD2358">
        <v>-1.1093793839920001</v>
      </c>
      <c r="AE2358">
        <v>0.26279999999997</v>
      </c>
      <c r="AF2358">
        <v>-0.12212974451033</v>
      </c>
      <c r="AG2358">
        <v>-1.1093793839920001</v>
      </c>
      <c r="AH2358">
        <v>23.758860686830701</v>
      </c>
      <c r="AI2358">
        <v>92.673351441530698</v>
      </c>
      <c r="AJ2358">
        <v>90.294519900322399</v>
      </c>
      <c r="AK2358">
        <v>23.785060425156601</v>
      </c>
      <c r="AL2358">
        <v>80.858999858969497</v>
      </c>
      <c r="AM2358">
        <v>89.561375749567105</v>
      </c>
      <c r="AN2358">
        <v>0.99999995195080404</v>
      </c>
    </row>
    <row r="2359" spans="1:40" x14ac:dyDescent="0.25">
      <c r="A2359" t="str">
        <f>"20190312164034947"</f>
        <v>20190312164034947</v>
      </c>
      <c r="B2359" t="str">
        <f>"1552380034938773"</f>
        <v>1552380034938773</v>
      </c>
      <c r="C2359" t="s">
        <v>40</v>
      </c>
      <c r="D2359">
        <v>5.433713</v>
      </c>
      <c r="E2359">
        <v>0.4999654</v>
      </c>
      <c r="F2359" t="s">
        <v>48</v>
      </c>
      <c r="G2359">
        <v>-327.82229999999998</v>
      </c>
      <c r="H2359" s="1">
        <v>2.6164059999999998E-6</v>
      </c>
      <c r="I2359">
        <v>284.83190000000002</v>
      </c>
      <c r="J2359">
        <v>-304.34660000000002</v>
      </c>
      <c r="K2359">
        <v>1.109383</v>
      </c>
      <c r="L2359">
        <v>284.55689999999998</v>
      </c>
      <c r="M2359">
        <v>-0.99982590000000005</v>
      </c>
      <c r="N2359">
        <v>0</v>
      </c>
      <c r="O2359">
        <v>1.6239010000000002E-2</v>
      </c>
      <c r="P2359">
        <v>-0.9884771</v>
      </c>
      <c r="Q2359">
        <v>0.14959059999999999</v>
      </c>
      <c r="R2359">
        <v>2.3156099999999999E-2</v>
      </c>
      <c r="S2359">
        <v>-3.055847</v>
      </c>
      <c r="T2359">
        <v>-0.14237179999999999</v>
      </c>
      <c r="U2359">
        <v>3.6010739999999999E-2</v>
      </c>
      <c r="V2359">
        <v>7.1389409999999898E-3</v>
      </c>
      <c r="W2359">
        <v>0.1586823</v>
      </c>
      <c r="X2359">
        <v>0.98730390000000001</v>
      </c>
      <c r="Y2359">
        <v>-4.4343070000000002E-3</v>
      </c>
      <c r="Z2359">
        <v>-8.5936460000000004E-4</v>
      </c>
      <c r="AA2359">
        <v>0.99998980000000004</v>
      </c>
      <c r="AB2359">
        <v>40</v>
      </c>
      <c r="AC2359">
        <v>-23.4756999999999</v>
      </c>
      <c r="AD2359">
        <v>-1.1093803835939999</v>
      </c>
      <c r="AE2359">
        <v>0.275000000000034</v>
      </c>
      <c r="AF2359">
        <v>-0.106037723942465</v>
      </c>
      <c r="AG2359">
        <v>-1.1093803835939999</v>
      </c>
      <c r="AH2359">
        <v>23.424765559246801</v>
      </c>
      <c r="AI2359">
        <v>92.711434017521498</v>
      </c>
      <c r="AJ2359">
        <v>90.259361082515497</v>
      </c>
      <c r="AK2359">
        <v>23.4512603145348</v>
      </c>
      <c r="AL2359">
        <v>80.869579647353405</v>
      </c>
      <c r="AM2359">
        <v>89.585716149638401</v>
      </c>
      <c r="AN2359">
        <v>1.0000000138835501</v>
      </c>
    </row>
    <row r="2360" spans="1:40" x14ac:dyDescent="0.25">
      <c r="A2360" t="str">
        <f>"20190312164034969"</f>
        <v>20190312164034969</v>
      </c>
      <c r="B2360" t="str">
        <f>"1552380034958293"</f>
        <v>1552380034958293</v>
      </c>
      <c r="C2360" t="s">
        <v>40</v>
      </c>
      <c r="D2360">
        <v>5.4911269999999996</v>
      </c>
      <c r="E2360">
        <v>0.49997360000000002</v>
      </c>
      <c r="F2360" t="s">
        <v>48</v>
      </c>
      <c r="G2360">
        <v>-328.41550000000001</v>
      </c>
      <c r="H2360" s="1">
        <v>2.9319959999999999E-6</v>
      </c>
      <c r="I2360">
        <v>284.8338</v>
      </c>
      <c r="J2360">
        <v>-304.72969999999998</v>
      </c>
      <c r="K2360">
        <v>1.1093820000000001</v>
      </c>
      <c r="L2360">
        <v>284.56310000000002</v>
      </c>
      <c r="M2360">
        <v>-0.99982459999999995</v>
      </c>
      <c r="N2360">
        <v>0</v>
      </c>
      <c r="O2360">
        <v>1.6310140000000001E-2</v>
      </c>
      <c r="P2360">
        <v>-0.98853489999999999</v>
      </c>
      <c r="Q2360">
        <v>0.14926909999999999</v>
      </c>
      <c r="R2360">
        <v>2.2761449999999999E-2</v>
      </c>
      <c r="S2360">
        <v>-3.05545</v>
      </c>
      <c r="T2360">
        <v>-0.14083180000000001</v>
      </c>
      <c r="U2360">
        <v>3.515625E-2</v>
      </c>
      <c r="V2360">
        <v>6.6730599999999998E-3</v>
      </c>
      <c r="W2360">
        <v>0.15838250000000001</v>
      </c>
      <c r="X2360">
        <v>0.98735530000000005</v>
      </c>
      <c r="Y2360">
        <v>-4.783575E-3</v>
      </c>
      <c r="Z2360">
        <v>-8.6151279999999999E-4</v>
      </c>
      <c r="AA2360">
        <v>0.99998819999999999</v>
      </c>
      <c r="AB2360">
        <v>40</v>
      </c>
      <c r="AC2360">
        <v>-23.6858</v>
      </c>
      <c r="AD2360">
        <v>-1.1093790680040001</v>
      </c>
      <c r="AE2360">
        <v>0.27069999999997602</v>
      </c>
      <c r="AF2360">
        <v>-0.115417933284719</v>
      </c>
      <c r="AG2360">
        <v>-1.1093790680040001</v>
      </c>
      <c r="AH2360">
        <v>23.635221808697501</v>
      </c>
      <c r="AI2360">
        <v>92.687318331883503</v>
      </c>
      <c r="AJ2360">
        <v>90.279790388513405</v>
      </c>
      <c r="AK2360">
        <v>23.661524742969998</v>
      </c>
      <c r="AL2360">
        <v>80.8869769626627</v>
      </c>
      <c r="AM2360">
        <v>89.6127712555258</v>
      </c>
      <c r="AN2360">
        <v>1.00000001723705</v>
      </c>
    </row>
    <row r="2361" spans="1:40" x14ac:dyDescent="0.25">
      <c r="A2361" t="str">
        <f>"20190312164034983"</f>
        <v>20190312164034983</v>
      </c>
      <c r="B2361" t="str">
        <f>"1552380034978790"</f>
        <v>1552380034978790</v>
      </c>
      <c r="C2361" t="s">
        <v>40</v>
      </c>
      <c r="D2361">
        <v>5.4905280000000003</v>
      </c>
      <c r="E2361">
        <v>0.50001289999999998</v>
      </c>
      <c r="F2361" t="s">
        <v>48</v>
      </c>
      <c r="G2361">
        <v>-329.06639999999999</v>
      </c>
      <c r="H2361" s="1">
        <v>3.2782689999999998E-6</v>
      </c>
      <c r="I2361">
        <v>284.83620000000002</v>
      </c>
      <c r="J2361">
        <v>-304.97280000000001</v>
      </c>
      <c r="K2361">
        <v>1.1093820000000001</v>
      </c>
      <c r="L2361">
        <v>284.56720000000001</v>
      </c>
      <c r="M2361">
        <v>-0.99982369999999998</v>
      </c>
      <c r="N2361">
        <v>0</v>
      </c>
      <c r="O2361">
        <v>1.6355020000000001E-2</v>
      </c>
      <c r="P2361">
        <v>-0.98860630000000005</v>
      </c>
      <c r="Q2361">
        <v>0.14877570000000001</v>
      </c>
      <c r="R2361">
        <v>2.2885369999999999E-2</v>
      </c>
      <c r="S2361">
        <v>-3.0550229999999998</v>
      </c>
      <c r="T2361">
        <v>-0.13926240000000001</v>
      </c>
      <c r="U2361">
        <v>3.4271240000000001E-2</v>
      </c>
      <c r="V2361">
        <v>6.7512479999999996E-3</v>
      </c>
      <c r="W2361">
        <v>0.15790219999999999</v>
      </c>
      <c r="X2361">
        <v>0.98743170000000002</v>
      </c>
      <c r="Y2361">
        <v>-5.1166090000000003E-3</v>
      </c>
      <c r="Z2361">
        <v>-8.6167449999999897E-4</v>
      </c>
      <c r="AA2361">
        <v>0.9999865</v>
      </c>
      <c r="AB2361">
        <v>40</v>
      </c>
      <c r="AC2361">
        <v>-24.093599999999899</v>
      </c>
      <c r="AD2361">
        <v>-1.1093787217309901</v>
      </c>
      <c r="AE2361">
        <v>0.26900000000000501</v>
      </c>
      <c r="AF2361">
        <v>-0.12483941773563501</v>
      </c>
      <c r="AG2361">
        <v>-1.1093787217309901</v>
      </c>
      <c r="AH2361">
        <v>24.0438079242569</v>
      </c>
      <c r="AI2361">
        <v>92.641711970751004</v>
      </c>
      <c r="AJ2361">
        <v>90.297486467223095</v>
      </c>
      <c r="AK2361">
        <v>24.069711371909101</v>
      </c>
      <c r="AL2361">
        <v>80.914846884835399</v>
      </c>
      <c r="AM2361">
        <v>89.608264562010206</v>
      </c>
      <c r="AN2361">
        <v>1.00000002313964</v>
      </c>
    </row>
    <row r="2362" spans="1:40" x14ac:dyDescent="0.25">
      <c r="A2362" t="str">
        <f>"20190312164034997"</f>
        <v>20190312164034997</v>
      </c>
      <c r="B2362" t="str">
        <f>"1552380034988550"</f>
        <v>1552380034988550</v>
      </c>
      <c r="C2362" t="s">
        <v>40</v>
      </c>
      <c r="D2362">
        <v>5.4024960000000002</v>
      </c>
      <c r="E2362">
        <v>0.50001770000000001</v>
      </c>
      <c r="F2362" t="s">
        <v>48</v>
      </c>
      <c r="G2362">
        <v>-329.36020000000002</v>
      </c>
      <c r="H2362" s="1">
        <v>3.434134E-6</v>
      </c>
      <c r="I2362">
        <v>284.84809999999999</v>
      </c>
      <c r="J2362">
        <v>-305.24169999999998</v>
      </c>
      <c r="K2362">
        <v>1.109381</v>
      </c>
      <c r="L2362">
        <v>284.57159999999999</v>
      </c>
      <c r="M2362">
        <v>-0.99982260000000001</v>
      </c>
      <c r="N2362">
        <v>0</v>
      </c>
      <c r="O2362">
        <v>1.640515E-2</v>
      </c>
      <c r="P2362">
        <v>-0.98861189999999999</v>
      </c>
      <c r="Q2362">
        <v>0.1487897</v>
      </c>
      <c r="R2362">
        <v>2.2543339999999999E-2</v>
      </c>
      <c r="S2362">
        <v>-3.0547179999999998</v>
      </c>
      <c r="T2362">
        <v>-0.13895850000000001</v>
      </c>
      <c r="U2362">
        <v>3.5186769999999999E-2</v>
      </c>
      <c r="V2362">
        <v>6.3598379999999996E-3</v>
      </c>
      <c r="W2362">
        <v>0.1579295</v>
      </c>
      <c r="X2362">
        <v>0.98742989999999997</v>
      </c>
      <c r="Y2362">
        <v>-4.8662619999999997E-3</v>
      </c>
      <c r="Z2362">
        <v>-8.5646750000000003E-4</v>
      </c>
      <c r="AA2362">
        <v>0.99998779999999998</v>
      </c>
      <c r="AB2362">
        <v>40</v>
      </c>
      <c r="AC2362">
        <v>-24.118500000000001</v>
      </c>
      <c r="AD2362">
        <v>-1.1093775658659999</v>
      </c>
      <c r="AE2362">
        <v>0.27649999999999803</v>
      </c>
      <c r="AF2362">
        <v>-0.118970092221659</v>
      </c>
      <c r="AG2362">
        <v>-1.1093775658659999</v>
      </c>
      <c r="AH2362">
        <v>24.068873925019702</v>
      </c>
      <c r="AI2362">
        <v>92.638965291942299</v>
      </c>
      <c r="AJ2362">
        <v>90.283205133756596</v>
      </c>
      <c r="AK2362">
        <v>24.094720676633301</v>
      </c>
      <c r="AL2362">
        <v>80.913262539466302</v>
      </c>
      <c r="AM2362">
        <v>89.630974475136</v>
      </c>
      <c r="AN2362">
        <v>0.99999999096182302</v>
      </c>
    </row>
    <row r="2363" spans="1:40" x14ac:dyDescent="0.25">
      <c r="A2363" t="str">
        <f>"20190312164035014"</f>
        <v>20190312164035014</v>
      </c>
      <c r="B2363" t="str">
        <f>"1552380035009046"</f>
        <v>1552380035009046</v>
      </c>
      <c r="C2363" t="s">
        <v>40</v>
      </c>
      <c r="D2363">
        <v>5.3771820000000004</v>
      </c>
      <c r="E2363">
        <v>0.50008039999999998</v>
      </c>
      <c r="F2363" t="s">
        <v>48</v>
      </c>
      <c r="G2363">
        <v>-329.68290000000002</v>
      </c>
      <c r="H2363" s="1">
        <v>3.606022E-6</v>
      </c>
      <c r="I2363">
        <v>284.84339999999997</v>
      </c>
      <c r="J2363">
        <v>-305.54640000000001</v>
      </c>
      <c r="K2363">
        <v>1.1093839999999999</v>
      </c>
      <c r="L2363">
        <v>284.57670000000002</v>
      </c>
      <c r="M2363">
        <v>-0.99982159999999998</v>
      </c>
      <c r="N2363">
        <v>0</v>
      </c>
      <c r="O2363">
        <v>1.6461420000000001E-2</v>
      </c>
      <c r="P2363">
        <v>-0.98863330000000005</v>
      </c>
      <c r="Q2363">
        <v>0.14865120000000001</v>
      </c>
      <c r="R2363">
        <v>2.2524570000000001E-2</v>
      </c>
      <c r="S2363">
        <v>-3.0546570000000002</v>
      </c>
      <c r="T2363">
        <v>-0.13864979999999999</v>
      </c>
      <c r="U2363">
        <v>3.3966059999999999E-2</v>
      </c>
      <c r="V2363">
        <v>6.2851110000000003E-3</v>
      </c>
      <c r="W2363">
        <v>0.15780469999999999</v>
      </c>
      <c r="X2363">
        <v>0.98745039999999995</v>
      </c>
      <c r="Y2363">
        <v>-5.3214409999999997E-3</v>
      </c>
      <c r="Z2363">
        <v>-8.6746359999999995E-4</v>
      </c>
      <c r="AA2363">
        <v>0.99998549999999997</v>
      </c>
      <c r="AB2363">
        <v>40</v>
      </c>
      <c r="AC2363">
        <v>-24.136500000000002</v>
      </c>
      <c r="AD2363">
        <v>-1.109380393978</v>
      </c>
      <c r="AE2363">
        <v>0.26669999999995703</v>
      </c>
      <c r="AF2363">
        <v>-0.130398804708312</v>
      </c>
      <c r="AG2363">
        <v>-1.109380393978</v>
      </c>
      <c r="AH2363">
        <v>24.0867408487536</v>
      </c>
      <c r="AI2363">
        <v>92.637010832808798</v>
      </c>
      <c r="AJ2363">
        <v>90.310180120302206</v>
      </c>
      <c r="AK2363">
        <v>24.112627675594101</v>
      </c>
      <c r="AL2363">
        <v>80.920504481177701</v>
      </c>
      <c r="AM2363">
        <v>89.635317914571502</v>
      </c>
      <c r="AN2363">
        <v>1.0000000592112599</v>
      </c>
    </row>
    <row r="2364" spans="1:40" x14ac:dyDescent="0.25">
      <c r="A2364" t="str">
        <f>"20190312164035026"</f>
        <v>20190312164035026</v>
      </c>
      <c r="B2364" t="str">
        <f>"1552380035018806"</f>
        <v>1552380035018806</v>
      </c>
      <c r="C2364" t="s">
        <v>40</v>
      </c>
      <c r="D2364">
        <v>5.3918660000000003</v>
      </c>
      <c r="E2364">
        <v>0.5000793</v>
      </c>
      <c r="F2364" t="s">
        <v>48</v>
      </c>
      <c r="G2364">
        <v>-330.08199999999999</v>
      </c>
      <c r="H2364" s="1">
        <v>-1.5034699999999999E-6</v>
      </c>
      <c r="I2364">
        <v>284.85270000000003</v>
      </c>
      <c r="J2364">
        <v>-305.77010000000001</v>
      </c>
      <c r="K2364">
        <v>1.109381</v>
      </c>
      <c r="L2364">
        <v>284.58030000000002</v>
      </c>
      <c r="M2364">
        <v>-0.99982090000000001</v>
      </c>
      <c r="N2364">
        <v>0</v>
      </c>
      <c r="O2364">
        <v>1.65025E-2</v>
      </c>
      <c r="P2364">
        <v>-0.98860729999999997</v>
      </c>
      <c r="Q2364">
        <v>0.1488371</v>
      </c>
      <c r="R2364">
        <v>2.2434900000000001E-2</v>
      </c>
      <c r="S2364">
        <v>-3.0544739999999999</v>
      </c>
      <c r="T2364">
        <v>-0.13810899999999901</v>
      </c>
      <c r="U2364">
        <v>3.4362789999999997E-2</v>
      </c>
      <c r="V2364">
        <v>6.1552169999999897E-3</v>
      </c>
      <c r="W2364">
        <v>0.15800059999999999</v>
      </c>
      <c r="X2364">
        <v>0.98741979999999996</v>
      </c>
      <c r="Y2364">
        <v>-5.2322200000000001E-3</v>
      </c>
      <c r="Z2364">
        <v>-8.6397459999999998E-4</v>
      </c>
      <c r="AA2364">
        <v>0.99998589999999998</v>
      </c>
      <c r="AB2364">
        <v>40</v>
      </c>
      <c r="AC2364">
        <v>-24.311899999999898</v>
      </c>
      <c r="AD2364">
        <v>-1.10938250347</v>
      </c>
      <c r="AE2364">
        <v>0.27240000000000397</v>
      </c>
      <c r="AF2364">
        <v>-0.12859372144195499</v>
      </c>
      <c r="AG2364">
        <v>-1.10938250347</v>
      </c>
      <c r="AH2364">
        <v>24.262571042986998</v>
      </c>
      <c r="AI2364">
        <v>92.617933732811906</v>
      </c>
      <c r="AJ2364">
        <v>90.303669735102403</v>
      </c>
      <c r="AK2364">
        <v>24.288260940219502</v>
      </c>
      <c r="AL2364">
        <v>80.909136809700499</v>
      </c>
      <c r="AM2364">
        <v>89.642843511771204</v>
      </c>
      <c r="AN2364">
        <v>0.99999996886435805</v>
      </c>
    </row>
    <row r="2365" spans="1:40" x14ac:dyDescent="0.25">
      <c r="A2365" t="str">
        <f>"20190312164035038"</f>
        <v>20190312164035038</v>
      </c>
      <c r="B2365" t="str">
        <f>"1552380035028565"</f>
        <v>1552380035028565</v>
      </c>
      <c r="C2365" t="s">
        <v>40</v>
      </c>
      <c r="D2365">
        <v>5.3133749999999997</v>
      </c>
      <c r="E2365">
        <v>0.50008430000000004</v>
      </c>
      <c r="F2365" t="s">
        <v>48</v>
      </c>
      <c r="G2365">
        <v>-330.50299999999999</v>
      </c>
      <c r="H2365" s="1">
        <v>-1.279615E-6</v>
      </c>
      <c r="I2365">
        <v>284.85680000000002</v>
      </c>
      <c r="J2365">
        <v>-305.98180000000002</v>
      </c>
      <c r="K2365">
        <v>1.109381</v>
      </c>
      <c r="L2365">
        <v>284.58390000000003</v>
      </c>
      <c r="M2365">
        <v>-0.99982009999999999</v>
      </c>
      <c r="N2365">
        <v>0</v>
      </c>
      <c r="O2365">
        <v>1.654156E-2</v>
      </c>
      <c r="P2365">
        <v>-0.98859589999999997</v>
      </c>
      <c r="Q2365">
        <v>0.1489105</v>
      </c>
      <c r="R2365">
        <v>2.2447169999999999E-2</v>
      </c>
      <c r="S2365">
        <v>-3.054443</v>
      </c>
      <c r="T2365">
        <v>-0.1370053</v>
      </c>
      <c r="U2365">
        <v>3.414917E-2</v>
      </c>
      <c r="V2365">
        <v>6.1292819999999998E-3</v>
      </c>
      <c r="W2365">
        <v>0.15808259999999999</v>
      </c>
      <c r="X2365">
        <v>0.98740680000000003</v>
      </c>
      <c r="Y2365">
        <v>-5.3413089999999998E-3</v>
      </c>
      <c r="Z2365">
        <v>-8.6128270000000002E-4</v>
      </c>
      <c r="AA2365">
        <v>0.99998529999999997</v>
      </c>
      <c r="AB2365">
        <v>40</v>
      </c>
      <c r="AC2365">
        <v>-24.5212</v>
      </c>
      <c r="AD2365">
        <v>-1.1093822796149999</v>
      </c>
      <c r="AE2365">
        <v>0.27289999999999198</v>
      </c>
      <c r="AF2365">
        <v>-0.13250253990239</v>
      </c>
      <c r="AG2365">
        <v>-1.1093822796149999</v>
      </c>
      <c r="AH2365">
        <v>24.472275018293999</v>
      </c>
      <c r="AI2365">
        <v>92.595529246430203</v>
      </c>
      <c r="AJ2365">
        <v>90.310218895473696</v>
      </c>
      <c r="AK2365">
        <v>24.497765827446798</v>
      </c>
      <c r="AL2365">
        <v>80.904378425991794</v>
      </c>
      <c r="AM2365">
        <v>89.644343669182803</v>
      </c>
      <c r="AN2365">
        <v>0.99999993260341502</v>
      </c>
    </row>
    <row r="2366" spans="1:40" x14ac:dyDescent="0.25">
      <c r="A2366" t="str">
        <f>"20190312164035058"</f>
        <v>20190312164035058</v>
      </c>
      <c r="B2366" t="str">
        <f>"1552380035049066"</f>
        <v>1552380035049066</v>
      </c>
      <c r="C2366" t="s">
        <v>40</v>
      </c>
      <c r="D2366">
        <v>5.3491169999999997</v>
      </c>
      <c r="E2366">
        <v>0.50012670000000004</v>
      </c>
      <c r="F2366" t="s">
        <v>48</v>
      </c>
      <c r="G2366">
        <v>-330.55040000000002</v>
      </c>
      <c r="H2366" s="1">
        <v>-1.254498E-6</v>
      </c>
      <c r="I2366">
        <v>284.85879999999997</v>
      </c>
      <c r="J2366">
        <v>-306.34829999999999</v>
      </c>
      <c r="K2366">
        <v>1.1093839999999999</v>
      </c>
      <c r="L2366">
        <v>284.58999999999997</v>
      </c>
      <c r="M2366">
        <v>-0.99981889999999995</v>
      </c>
      <c r="N2366">
        <v>0</v>
      </c>
      <c r="O2366">
        <v>1.6608910000000001E-2</v>
      </c>
      <c r="P2366">
        <v>-0.98858029999999997</v>
      </c>
      <c r="Q2366">
        <v>0.14900620000000001</v>
      </c>
      <c r="R2366">
        <v>2.2503260000000001E-2</v>
      </c>
      <c r="S2366">
        <v>-3.0546259999999998</v>
      </c>
      <c r="T2366">
        <v>-0.13793</v>
      </c>
      <c r="U2366">
        <v>3.4179689999999999E-2</v>
      </c>
      <c r="V2366">
        <v>6.1191459999999998E-3</v>
      </c>
      <c r="W2366">
        <v>0.15819269999999999</v>
      </c>
      <c r="X2366">
        <v>0.98738930000000003</v>
      </c>
      <c r="Y2366">
        <v>-5.3989240000000003E-3</v>
      </c>
      <c r="Z2366">
        <v>-8.7137710000000004E-4</v>
      </c>
      <c r="AA2366">
        <v>0.99998500000000001</v>
      </c>
      <c r="AB2366">
        <v>40</v>
      </c>
      <c r="AC2366">
        <v>-24.202100000000002</v>
      </c>
      <c r="AD2366">
        <v>-1.1093852544980001</v>
      </c>
      <c r="AE2366">
        <v>0.26879999999999798</v>
      </c>
      <c r="AF2366">
        <v>-0.132945624637374</v>
      </c>
      <c r="AG2366">
        <v>-1.1093852544980001</v>
      </c>
      <c r="AH2366">
        <v>24.152484081474999</v>
      </c>
      <c r="AI2366">
        <v>92.6298531670991</v>
      </c>
      <c r="AJ2366">
        <v>90.315377343440701</v>
      </c>
      <c r="AK2366">
        <v>24.1783146122287</v>
      </c>
      <c r="AL2366">
        <v>80.897990409468505</v>
      </c>
      <c r="AM2366">
        <v>89.644925510463196</v>
      </c>
      <c r="AN2366">
        <v>1.00000000201777</v>
      </c>
    </row>
    <row r="2367" spans="1:40" x14ac:dyDescent="0.25">
      <c r="A2367" t="str">
        <f>"20190312164035071"</f>
        <v>20190312164035071</v>
      </c>
      <c r="B2367" t="str">
        <f>"1552380035058823"</f>
        <v>1552380035058823</v>
      </c>
      <c r="C2367" t="s">
        <v>40</v>
      </c>
      <c r="D2367">
        <v>5.4680390000000001</v>
      </c>
      <c r="E2367">
        <v>0.50012020000000001</v>
      </c>
      <c r="F2367" t="s">
        <v>48</v>
      </c>
      <c r="G2367">
        <v>-331.17739999999998</v>
      </c>
      <c r="H2367" s="1">
        <v>-9.2135620000000002E-7</v>
      </c>
      <c r="I2367">
        <v>284.87079999999997</v>
      </c>
      <c r="J2367">
        <v>-306.5838</v>
      </c>
      <c r="K2367">
        <v>1.109383</v>
      </c>
      <c r="L2367">
        <v>284.59399999999999</v>
      </c>
      <c r="M2367">
        <v>-0.99981819999999999</v>
      </c>
      <c r="N2367">
        <v>0</v>
      </c>
      <c r="O2367">
        <v>1.6652320000000002E-2</v>
      </c>
      <c r="P2367">
        <v>-0.98855760000000004</v>
      </c>
      <c r="Q2367">
        <v>0.1491247</v>
      </c>
      <c r="R2367">
        <v>2.2717930000000001E-2</v>
      </c>
      <c r="S2367">
        <v>-3.0544739999999999</v>
      </c>
      <c r="T2367">
        <v>-0.13647619999999999</v>
      </c>
      <c r="U2367">
        <v>3.4545899999999997E-2</v>
      </c>
      <c r="V2367">
        <v>6.2911729999999997E-3</v>
      </c>
      <c r="W2367">
        <v>0.1583203</v>
      </c>
      <c r="X2367">
        <v>0.98736769999999996</v>
      </c>
      <c r="Y2367">
        <v>-5.3224099999999996E-3</v>
      </c>
      <c r="Z2367">
        <v>-8.6247369999999904E-4</v>
      </c>
      <c r="AA2367">
        <v>0.99998549999999997</v>
      </c>
      <c r="AB2367">
        <v>41</v>
      </c>
      <c r="AC2367">
        <v>-24.593599999999899</v>
      </c>
      <c r="AD2367">
        <v>-1.1093839213562</v>
      </c>
      <c r="AE2367">
        <v>0.27679999999998001</v>
      </c>
      <c r="AF2367">
        <v>-0.13252691726093299</v>
      </c>
      <c r="AG2367">
        <v>-1.1093839213562</v>
      </c>
      <c r="AH2367">
        <v>24.5448618251413</v>
      </c>
      <c r="AI2367">
        <v>92.587867942230304</v>
      </c>
      <c r="AJ2367">
        <v>90.309358402470096</v>
      </c>
      <c r="AK2367">
        <v>24.570277533720301</v>
      </c>
      <c r="AL2367">
        <v>80.890585549988103</v>
      </c>
      <c r="AM2367">
        <v>89.634935613912305</v>
      </c>
      <c r="AN2367">
        <v>0.99999993562654499</v>
      </c>
    </row>
    <row r="2368" spans="1:40" x14ac:dyDescent="0.25">
      <c r="A2368" t="str">
        <f>"20190312164035084"</f>
        <v>20190312164035084</v>
      </c>
      <c r="B2368" t="str">
        <f>"1552380035078342"</f>
        <v>1552380035078342</v>
      </c>
      <c r="C2368" t="s">
        <v>40</v>
      </c>
      <c r="D2368">
        <v>5.3978950000000001</v>
      </c>
      <c r="E2368">
        <v>0.50014590000000003</v>
      </c>
      <c r="F2368" t="s">
        <v>48</v>
      </c>
      <c r="G2368">
        <v>-331.54759999999999</v>
      </c>
      <c r="H2368" s="1">
        <v>-7.2481200000000005E-7</v>
      </c>
      <c r="I2368">
        <v>284.88080000000002</v>
      </c>
      <c r="J2368">
        <v>-306.80220000000003</v>
      </c>
      <c r="K2368">
        <v>1.1093820000000001</v>
      </c>
      <c r="L2368">
        <v>284.5976</v>
      </c>
      <c r="M2368">
        <v>-0.99981730000000002</v>
      </c>
      <c r="N2368">
        <v>0</v>
      </c>
      <c r="O2368">
        <v>1.6692749999999999E-2</v>
      </c>
      <c r="P2368">
        <v>-0.98854229999999998</v>
      </c>
      <c r="Q2368">
        <v>0.14919549999999901</v>
      </c>
      <c r="R2368">
        <v>2.2919180000000001E-2</v>
      </c>
      <c r="S2368">
        <v>-3.0543819999999999</v>
      </c>
      <c r="T2368">
        <v>-0.13573589999999999</v>
      </c>
      <c r="U2368">
        <v>3.5095210000000002E-2</v>
      </c>
      <c r="V2368">
        <v>6.4529770000000004E-3</v>
      </c>
      <c r="W2368">
        <v>0.15839890000000001</v>
      </c>
      <c r="X2368">
        <v>0.98735410000000001</v>
      </c>
      <c r="Y2368">
        <v>-5.183025E-3</v>
      </c>
      <c r="Z2368">
        <v>-8.5652470000000002E-4</v>
      </c>
      <c r="AA2368">
        <v>0.99998620000000005</v>
      </c>
      <c r="AB2368">
        <v>41</v>
      </c>
      <c r="AC2368">
        <v>-24.745399999999901</v>
      </c>
      <c r="AD2368">
        <v>-1.1093827248119901</v>
      </c>
      <c r="AE2368">
        <v>0.28320000000002199</v>
      </c>
      <c r="AF2368">
        <v>-0.12966556979389901</v>
      </c>
      <c r="AG2368">
        <v>-1.1093827248119901</v>
      </c>
      <c r="AH2368">
        <v>24.6970474004153</v>
      </c>
      <c r="AI2368">
        <v>92.571942000412704</v>
      </c>
      <c r="AJ2368">
        <v>90.300814162722901</v>
      </c>
      <c r="AK2368">
        <v>24.7222914287584</v>
      </c>
      <c r="AL2368">
        <v>80.886025007876498</v>
      </c>
      <c r="AM2368">
        <v>89.625541552632697</v>
      </c>
      <c r="AN2368">
        <v>0.99999998561009096</v>
      </c>
    </row>
    <row r="2369" spans="1:40" x14ac:dyDescent="0.25">
      <c r="A2369" t="str">
        <f>"20190312164035103"</f>
        <v>20190312164035103</v>
      </c>
      <c r="B2369" t="str">
        <f>"1552380035098838"</f>
        <v>1552380035098838</v>
      </c>
      <c r="C2369" t="s">
        <v>40</v>
      </c>
      <c r="D2369">
        <v>5.2889049999999997</v>
      </c>
      <c r="E2369">
        <v>0.50018720000000005</v>
      </c>
      <c r="F2369" t="s">
        <v>48</v>
      </c>
      <c r="G2369">
        <v>-331.92630000000003</v>
      </c>
      <c r="H2369" s="1">
        <v>-5.2378659999999996E-7</v>
      </c>
      <c r="I2369">
        <v>284.8931</v>
      </c>
      <c r="J2369">
        <v>-307.16269999999997</v>
      </c>
      <c r="K2369">
        <v>1.109378</v>
      </c>
      <c r="L2369">
        <v>284.6037</v>
      </c>
      <c r="M2369">
        <v>-0.99981620000000004</v>
      </c>
      <c r="N2369">
        <v>0</v>
      </c>
      <c r="O2369">
        <v>1.6759389999999999E-2</v>
      </c>
      <c r="P2369">
        <v>-0.98856390000000005</v>
      </c>
      <c r="Q2369">
        <v>0.14900669999999999</v>
      </c>
      <c r="R2369">
        <v>2.3216009999999999E-2</v>
      </c>
      <c r="S2369">
        <v>-3.0543209999999998</v>
      </c>
      <c r="T2369">
        <v>-0.1348665</v>
      </c>
      <c r="U2369">
        <v>3.5919189999999997E-2</v>
      </c>
      <c r="V2369">
        <v>6.6833209999999999E-3</v>
      </c>
      <c r="W2369">
        <v>0.15822329999999901</v>
      </c>
      <c r="X2369">
        <v>0.9873807</v>
      </c>
      <c r="Y2369">
        <v>-4.9801200000000002E-3</v>
      </c>
      <c r="Z2369">
        <v>-8.4952249999999997E-4</v>
      </c>
      <c r="AA2369">
        <v>0.99998719999999996</v>
      </c>
      <c r="AB2369">
        <v>41</v>
      </c>
      <c r="AC2369">
        <v>-24.7636</v>
      </c>
      <c r="AD2369">
        <v>-1.1093785237866001</v>
      </c>
      <c r="AE2369">
        <v>0.28939999999999999</v>
      </c>
      <c r="AF2369">
        <v>-0.12542977540310701</v>
      </c>
      <c r="AG2369">
        <v>-1.1093785237866001</v>
      </c>
      <c r="AH2369">
        <v>24.715376841038001</v>
      </c>
      <c r="AI2369">
        <v>92.570029756023104</v>
      </c>
      <c r="AJ2369">
        <v>90.290771818102002</v>
      </c>
      <c r="AK2369">
        <v>24.7405801413814</v>
      </c>
      <c r="AL2369">
        <v>80.896214438777804</v>
      </c>
      <c r="AM2369">
        <v>89.612185817923205</v>
      </c>
      <c r="AN2369">
        <v>0.99999996308748296</v>
      </c>
    </row>
    <row r="2370" spans="1:40" x14ac:dyDescent="0.25">
      <c r="A2370" t="str">
        <f>"20190312164035116"</f>
        <v>20190312164035116</v>
      </c>
      <c r="B2370" t="str">
        <f>"1552380035108598"</f>
        <v>1552380035108598</v>
      </c>
      <c r="C2370" t="s">
        <v>40</v>
      </c>
      <c r="D2370">
        <v>5.3767060000000004</v>
      </c>
      <c r="E2370">
        <v>0.50030059999999998</v>
      </c>
      <c r="F2370" t="s">
        <v>48</v>
      </c>
      <c r="G2370">
        <v>-332.21030000000002</v>
      </c>
      <c r="H2370" s="1">
        <v>-3.7327039999999998E-7</v>
      </c>
      <c r="I2370">
        <v>284.90649999999999</v>
      </c>
      <c r="J2370">
        <v>-307.4033</v>
      </c>
      <c r="K2370">
        <v>1.1093789999999999</v>
      </c>
      <c r="L2370">
        <v>284.6078</v>
      </c>
      <c r="M2370">
        <v>-0.99981520000000002</v>
      </c>
      <c r="N2370">
        <v>0</v>
      </c>
      <c r="O2370">
        <v>1.6804110000000001E-2</v>
      </c>
      <c r="P2370">
        <v>-0.98856319999999998</v>
      </c>
      <c r="Q2370">
        <v>0.148979</v>
      </c>
      <c r="R2370">
        <v>2.3409309999999999E-2</v>
      </c>
      <c r="S2370">
        <v>-3.05423</v>
      </c>
      <c r="T2370">
        <v>-0.13527420000000001</v>
      </c>
      <c r="U2370">
        <v>3.6926269999999997E-2</v>
      </c>
      <c r="V2370">
        <v>6.832294E-3</v>
      </c>
      <c r="W2370">
        <v>0.15820399999999901</v>
      </c>
      <c r="X2370">
        <v>0.9873828</v>
      </c>
      <c r="Y2370">
        <v>-4.6949280000000001E-3</v>
      </c>
      <c r="Z2370">
        <v>-8.4777889999999997E-4</v>
      </c>
      <c r="AA2370">
        <v>0.99998860000000001</v>
      </c>
      <c r="AB2370">
        <v>41</v>
      </c>
      <c r="AC2370">
        <v>-24.806999999999999</v>
      </c>
      <c r="AD2370">
        <v>-1.10937937327039</v>
      </c>
      <c r="AE2370">
        <v>0.29869999999999602</v>
      </c>
      <c r="AF2370">
        <v>-0.117983986489089</v>
      </c>
      <c r="AG2370">
        <v>-1.10937937327039</v>
      </c>
      <c r="AH2370">
        <v>24.7590078274531</v>
      </c>
      <c r="AI2370">
        <v>92.565512702679001</v>
      </c>
      <c r="AJ2370">
        <v>90.273029248792696</v>
      </c>
      <c r="AK2370">
        <v>24.784130233171101</v>
      </c>
      <c r="AL2370">
        <v>80.897334597981001</v>
      </c>
      <c r="AM2370">
        <v>89.603542452904705</v>
      </c>
      <c r="AN2370">
        <v>0.99999998979657101</v>
      </c>
    </row>
    <row r="2371" spans="1:40" x14ac:dyDescent="0.25">
      <c r="A2371" t="str">
        <f>"20190312164035139"</f>
        <v>20190312164035139</v>
      </c>
      <c r="B2371" t="str">
        <f>"1552380035128117"</f>
        <v>1552380035128117</v>
      </c>
      <c r="C2371" t="s">
        <v>40</v>
      </c>
      <c r="D2371">
        <v>5.2759499999999999</v>
      </c>
      <c r="E2371">
        <v>0.50944820000000002</v>
      </c>
      <c r="F2371" t="s">
        <v>48</v>
      </c>
      <c r="G2371">
        <v>-332.50709999999998</v>
      </c>
      <c r="H2371" s="1">
        <v>-2.1615210000000001E-7</v>
      </c>
      <c r="I2371">
        <v>284.92559999999997</v>
      </c>
      <c r="J2371">
        <v>-307.80930000000001</v>
      </c>
      <c r="K2371">
        <v>1.1093789999999999</v>
      </c>
      <c r="L2371">
        <v>284.61470000000003</v>
      </c>
      <c r="M2371">
        <v>-0.99981399999999998</v>
      </c>
      <c r="N2371">
        <v>0</v>
      </c>
      <c r="O2371">
        <v>1.6879149999999999E-2</v>
      </c>
      <c r="P2371">
        <v>-0.98854880000000001</v>
      </c>
      <c r="Q2371">
        <v>0.1490427</v>
      </c>
      <c r="R2371">
        <v>2.362357E-2</v>
      </c>
      <c r="S2371">
        <v>-3.054138</v>
      </c>
      <c r="T2371">
        <v>-0.13496759999999999</v>
      </c>
      <c r="U2371">
        <v>3.8665770000000002E-2</v>
      </c>
      <c r="V2371">
        <v>6.9727119999999998E-3</v>
      </c>
      <c r="W2371">
        <v>0.1582807</v>
      </c>
      <c r="X2371">
        <v>0.98736950000000001</v>
      </c>
      <c r="Y2371">
        <v>-4.2006589999999998E-3</v>
      </c>
      <c r="Z2371">
        <v>-8.3827899999999896E-4</v>
      </c>
      <c r="AA2371">
        <v>0.99999079999999996</v>
      </c>
      <c r="AB2371">
        <v>41</v>
      </c>
      <c r="AC2371">
        <v>-24.697799999999901</v>
      </c>
      <c r="AD2371">
        <v>-1.1093792161520999</v>
      </c>
      <c r="AE2371">
        <v>0.310899999999946</v>
      </c>
      <c r="AF2371">
        <v>-0.105826827760592</v>
      </c>
      <c r="AG2371">
        <v>-1.1093792161520999</v>
      </c>
      <c r="AH2371">
        <v>24.6498025983683</v>
      </c>
      <c r="AI2371">
        <v>92.576868462209106</v>
      </c>
      <c r="AJ2371">
        <v>90.245981415595693</v>
      </c>
      <c r="AK2371">
        <v>24.674981047636699</v>
      </c>
      <c r="AL2371">
        <v>80.892883698786093</v>
      </c>
      <c r="AM2371">
        <v>89.595389235387501</v>
      </c>
      <c r="AN2371">
        <v>0.99999996411768599</v>
      </c>
    </row>
    <row r="2372" spans="1:40" x14ac:dyDescent="0.25">
      <c r="A2372" t="str">
        <f>"20190312164035161"</f>
        <v>20190312164035161</v>
      </c>
      <c r="B2372" t="str">
        <f>"1552380035148614"</f>
        <v>1552380035148614</v>
      </c>
      <c r="C2372" t="s">
        <v>40</v>
      </c>
      <c r="D2372">
        <v>5.2985530000000001</v>
      </c>
      <c r="E2372">
        <v>0.51049719999999998</v>
      </c>
      <c r="F2372" t="s">
        <v>48</v>
      </c>
      <c r="G2372">
        <v>-336.52929999999998</v>
      </c>
      <c r="H2372" s="1">
        <v>1.8912289999999999E-6</v>
      </c>
      <c r="I2372">
        <v>285.68110000000001</v>
      </c>
      <c r="J2372">
        <v>-308.19670000000002</v>
      </c>
      <c r="K2372">
        <v>1.1093869999999999</v>
      </c>
      <c r="L2372">
        <v>284.62119999999999</v>
      </c>
      <c r="M2372">
        <v>-0.9998127</v>
      </c>
      <c r="N2372">
        <v>0</v>
      </c>
      <c r="O2372">
        <v>1.6950799999999999E-2</v>
      </c>
      <c r="P2372">
        <v>-0.98850119999999997</v>
      </c>
      <c r="Q2372">
        <v>0.1493679</v>
      </c>
      <c r="R2372">
        <v>2.3559630000000002E-2</v>
      </c>
      <c r="S2372">
        <v>-3.0498050000000001</v>
      </c>
      <c r="T2372">
        <v>-0.1178057</v>
      </c>
      <c r="U2372">
        <v>0.1132507</v>
      </c>
      <c r="V2372">
        <v>6.8389009999999997E-3</v>
      </c>
      <c r="W2372">
        <v>0.15861739999999999</v>
      </c>
      <c r="X2372">
        <v>0.98731639999999998</v>
      </c>
      <c r="Y2372">
        <v>2.0160600000000001E-2</v>
      </c>
      <c r="Z2372">
        <v>-2.6515220000000001E-4</v>
      </c>
      <c r="AA2372">
        <v>0.99979669999999998</v>
      </c>
      <c r="AB2372">
        <v>41</v>
      </c>
      <c r="AC2372">
        <v>-28.3325999999999</v>
      </c>
      <c r="AD2372">
        <v>-1.1093851087710001</v>
      </c>
      <c r="AE2372">
        <v>1.05990000000002</v>
      </c>
      <c r="AF2372">
        <v>0.57858069422824299</v>
      </c>
      <c r="AG2372">
        <v>-1.1093851087710001</v>
      </c>
      <c r="AH2372">
        <v>28.303162824699001</v>
      </c>
      <c r="AI2372">
        <v>92.244176962012503</v>
      </c>
      <c r="AJ2372">
        <v>88.828907723990199</v>
      </c>
      <c r="AK2372">
        <v>28.330805085996399</v>
      </c>
      <c r="AL2372">
        <v>80.873345364372099</v>
      </c>
      <c r="AM2372">
        <v>89.603132392855599</v>
      </c>
      <c r="AN2372">
        <v>0.99999996192930296</v>
      </c>
    </row>
    <row r="2373" spans="1:40" x14ac:dyDescent="0.25">
      <c r="A2373" t="str">
        <f>"20190312164035181"</f>
        <v>20190312164035181</v>
      </c>
      <c r="B2373" t="str">
        <f>"1552380035178870"</f>
        <v>1552380035178870</v>
      </c>
      <c r="C2373" t="s">
        <v>40</v>
      </c>
      <c r="D2373">
        <v>5.2468279999999998</v>
      </c>
      <c r="E2373">
        <v>0.51009749999999998</v>
      </c>
      <c r="F2373" t="s">
        <v>48</v>
      </c>
      <c r="G2373">
        <v>-330.82199999999898</v>
      </c>
      <c r="H2373" s="1">
        <v>-1.138385E-6</v>
      </c>
      <c r="I2373">
        <v>285.50839999999999</v>
      </c>
      <c r="J2373">
        <v>-308.59019999999998</v>
      </c>
      <c r="K2373">
        <v>1.1093850000000001</v>
      </c>
      <c r="L2373">
        <v>284.62799999999999</v>
      </c>
      <c r="M2373">
        <v>-0.99981120000000001</v>
      </c>
      <c r="N2373">
        <v>0</v>
      </c>
      <c r="O2373">
        <v>1.7023759999999999E-2</v>
      </c>
      <c r="P2373">
        <v>-0.98845090000000002</v>
      </c>
      <c r="Q2373">
        <v>0.1496759</v>
      </c>
      <c r="R2373">
        <v>2.3711469999999998E-2</v>
      </c>
      <c r="S2373">
        <v>-3.0546880000000001</v>
      </c>
      <c r="T2373">
        <v>-0.14978079999999999</v>
      </c>
      <c r="U2373">
        <v>0.1197815</v>
      </c>
      <c r="V2373">
        <v>6.9196219999999899E-3</v>
      </c>
      <c r="W2373">
        <v>0.15893699999999999</v>
      </c>
      <c r="X2373">
        <v>0.98726449999999999</v>
      </c>
      <c r="Y2373">
        <v>2.2158980000000002E-2</v>
      </c>
      <c r="Z2373">
        <v>-2.911163E-4</v>
      </c>
      <c r="AA2373">
        <v>0.99975440000000004</v>
      </c>
      <c r="AB2373">
        <v>41</v>
      </c>
      <c r="AC2373">
        <v>-22.2317999999999</v>
      </c>
      <c r="AD2373">
        <v>-1.1093861383849899</v>
      </c>
      <c r="AE2373">
        <v>0.88040000000000795</v>
      </c>
      <c r="AF2373">
        <v>0.50054252308015001</v>
      </c>
      <c r="AG2373">
        <v>-1.1093861383849899</v>
      </c>
      <c r="AH2373">
        <v>22.188401623606399</v>
      </c>
      <c r="AI2373">
        <v>92.861590971806905</v>
      </c>
      <c r="AJ2373">
        <v>88.707698232210902</v>
      </c>
      <c r="AK2373">
        <v>22.221756164441899</v>
      </c>
      <c r="AL2373">
        <v>80.854798907713402</v>
      </c>
      <c r="AM2373">
        <v>89.598427124065196</v>
      </c>
      <c r="AN2373">
        <v>1.00000002204893</v>
      </c>
    </row>
    <row r="2374" spans="1:40" x14ac:dyDescent="0.25">
      <c r="A2374" t="str">
        <f>"20190312164035198"</f>
        <v>20190312164035198</v>
      </c>
      <c r="B2374" t="str">
        <f>"1552380035188630"</f>
        <v>1552380035188630</v>
      </c>
      <c r="C2374" t="s">
        <v>40</v>
      </c>
      <c r="D2374">
        <v>5.2613729999999999</v>
      </c>
      <c r="E2374">
        <v>0.51033019999999996</v>
      </c>
      <c r="F2374" t="s">
        <v>48</v>
      </c>
      <c r="G2374">
        <v>-328.39780000000002</v>
      </c>
      <c r="H2374" s="1">
        <v>2.8988589999999998E-6</v>
      </c>
      <c r="I2374">
        <v>285.37709999999998</v>
      </c>
      <c r="J2374">
        <v>-308.8956</v>
      </c>
      <c r="K2374">
        <v>1.109391</v>
      </c>
      <c r="L2374">
        <v>284.63319999999999</v>
      </c>
      <c r="M2374">
        <v>-0.99981019999999998</v>
      </c>
      <c r="N2374">
        <v>0</v>
      </c>
      <c r="O2374">
        <v>1.7080399999999999E-2</v>
      </c>
      <c r="P2374">
        <v>-0.98845919999999998</v>
      </c>
      <c r="Q2374">
        <v>0.14963370000000001</v>
      </c>
      <c r="R2374">
        <v>2.3632230000000001E-2</v>
      </c>
      <c r="S2374">
        <v>-3.0581969999999998</v>
      </c>
      <c r="T2374">
        <v>-0.17128289999999999</v>
      </c>
      <c r="U2374">
        <v>0.1156616</v>
      </c>
      <c r="V2374">
        <v>6.7843060000000004E-3</v>
      </c>
      <c r="W2374">
        <v>0.15890409999999999</v>
      </c>
      <c r="X2374">
        <v>0.98727069999999995</v>
      </c>
      <c r="Y2374">
        <v>2.0713039999999999E-2</v>
      </c>
      <c r="Z2374">
        <v>-3.7609090000000002E-4</v>
      </c>
      <c r="AA2374">
        <v>0.99978540000000005</v>
      </c>
      <c r="AB2374">
        <v>41</v>
      </c>
      <c r="AC2374">
        <v>-19.502199999999998</v>
      </c>
      <c r="AD2374">
        <v>-1.1093881011409901</v>
      </c>
      <c r="AE2374">
        <v>0.74389999999999601</v>
      </c>
      <c r="AF2374">
        <v>0.40934876320142299</v>
      </c>
      <c r="AG2374">
        <v>-1.1093881011409901</v>
      </c>
      <c r="AH2374">
        <v>19.449216461678901</v>
      </c>
      <c r="AI2374">
        <v>93.263906589722495</v>
      </c>
      <c r="AJ2374">
        <v>88.794270491746104</v>
      </c>
      <c r="AK2374">
        <v>19.485130980882001</v>
      </c>
      <c r="AL2374">
        <v>80.856707884200702</v>
      </c>
      <c r="AM2374">
        <v>89.606282266458607</v>
      </c>
      <c r="AN2374">
        <v>0.99999998744160001</v>
      </c>
    </row>
    <row r="2375" spans="1:40" x14ac:dyDescent="0.25">
      <c r="A2375" t="str">
        <f>"20190312164035215"</f>
        <v>20190312164035215</v>
      </c>
      <c r="B2375" t="str">
        <f>"1552380035208150"</f>
        <v>1552380035208150</v>
      </c>
      <c r="C2375" t="s">
        <v>40</v>
      </c>
      <c r="D2375">
        <v>5.2767379999999999</v>
      </c>
      <c r="E2375">
        <v>0.51063510000000001</v>
      </c>
      <c r="F2375" t="s">
        <v>42</v>
      </c>
      <c r="G2375">
        <v>-309.98669999999998</v>
      </c>
      <c r="H2375">
        <v>1.046297</v>
      </c>
      <c r="I2375">
        <v>284.67520000000002</v>
      </c>
      <c r="J2375">
        <v>-309.22309999999999</v>
      </c>
      <c r="K2375">
        <v>1.1093919999999999</v>
      </c>
      <c r="L2375">
        <v>284.63889999999998</v>
      </c>
      <c r="M2375">
        <v>-0.99980899999999995</v>
      </c>
      <c r="N2375">
        <v>0</v>
      </c>
      <c r="O2375">
        <v>1.7141030000000002E-2</v>
      </c>
      <c r="P2375">
        <v>-0.98847189999999996</v>
      </c>
      <c r="Q2375">
        <v>0.14957590000000001</v>
      </c>
      <c r="R2375">
        <v>2.346546E-2</v>
      </c>
      <c r="S2375">
        <v>-3.0589900000000001</v>
      </c>
      <c r="T2375">
        <v>-0.17704619999999999</v>
      </c>
      <c r="U2375">
        <v>0.1168213</v>
      </c>
      <c r="V2375">
        <v>6.5574120000000003E-3</v>
      </c>
      <c r="W2375">
        <v>0.15885560000000001</v>
      </c>
      <c r="X2375">
        <v>0.98728009999999999</v>
      </c>
      <c r="Y2375">
        <v>2.1020279999999999E-2</v>
      </c>
      <c r="Z2375">
        <v>-3.8324440000000001E-4</v>
      </c>
      <c r="AA2375">
        <v>0.99977899999999997</v>
      </c>
      <c r="AB2375">
        <v>41</v>
      </c>
      <c r="AC2375">
        <v>-0.76359999999999595</v>
      </c>
      <c r="AD2375">
        <v>-6.3094999999999901E-2</v>
      </c>
      <c r="AE2375">
        <v>3.6300000000039703E-2</v>
      </c>
      <c r="AF2375">
        <v>2.3048193561927201E-2</v>
      </c>
      <c r="AG2375">
        <v>-6.3094999999999901E-2</v>
      </c>
      <c r="AH2375">
        <v>0.75894011350979096</v>
      </c>
      <c r="AI2375">
        <v>94.750214764864296</v>
      </c>
      <c r="AJ2375">
        <v>88.260523531955002</v>
      </c>
      <c r="AK2375">
        <v>0.76190701148218998</v>
      </c>
      <c r="AL2375">
        <v>80.859523044380396</v>
      </c>
      <c r="AM2375">
        <v>89.619452972407601</v>
      </c>
      <c r="AN2375">
        <v>1.00000004857975</v>
      </c>
    </row>
    <row r="2376" spans="1:40" x14ac:dyDescent="0.25">
      <c r="A2376" t="str">
        <f>"20190312164035228"</f>
        <v>20190312164035228</v>
      </c>
      <c r="B2376" t="str">
        <f>"1552380035218886"</f>
        <v>1552380035218886</v>
      </c>
      <c r="C2376" t="s">
        <v>40</v>
      </c>
      <c r="D2376">
        <v>5.1778209999999998</v>
      </c>
      <c r="E2376">
        <v>0.51036499999999996</v>
      </c>
      <c r="F2376" t="s">
        <v>48</v>
      </c>
      <c r="G2376">
        <v>-327.53039999999999</v>
      </c>
      <c r="H2376" s="1">
        <v>2.438636E-6</v>
      </c>
      <c r="I2376">
        <v>285.34519999999998</v>
      </c>
      <c r="J2376">
        <v>-309.44510000000002</v>
      </c>
      <c r="K2376">
        <v>1.10938799999999</v>
      </c>
      <c r="L2376">
        <v>284.64269999999999</v>
      </c>
      <c r="M2376">
        <v>-0.99980829999999998</v>
      </c>
      <c r="N2376">
        <v>0</v>
      </c>
      <c r="O2376">
        <v>1.7181780000000001E-2</v>
      </c>
      <c r="P2376">
        <v>-0.98844460000000001</v>
      </c>
      <c r="Q2376">
        <v>0.14973610000000001</v>
      </c>
      <c r="R2376">
        <v>2.3591379999999999E-2</v>
      </c>
      <c r="S2376">
        <v>-3.0602420000000001</v>
      </c>
      <c r="T2376">
        <v>-0.185446</v>
      </c>
      <c r="U2376">
        <v>0.1180725</v>
      </c>
      <c r="V2376">
        <v>6.6434500000000004E-3</v>
      </c>
      <c r="W2376">
        <v>0.1590213</v>
      </c>
      <c r="X2376">
        <v>0.98725280000000004</v>
      </c>
      <c r="Y2376">
        <v>2.137093E-2</v>
      </c>
      <c r="Z2376">
        <v>-3.9308129999999998E-4</v>
      </c>
      <c r="AA2376">
        <v>0.99977150000000004</v>
      </c>
      <c r="AB2376">
        <v>41</v>
      </c>
      <c r="AC2376">
        <v>-18.085299999999901</v>
      </c>
      <c r="AD2376">
        <v>-1.10938556136399</v>
      </c>
      <c r="AE2376">
        <v>0.70249999999998602</v>
      </c>
      <c r="AF2376">
        <v>0.39017898511512999</v>
      </c>
      <c r="AG2376">
        <v>-1.10938556136399</v>
      </c>
      <c r="AH2376">
        <v>18.026970712660798</v>
      </c>
      <c r="AI2376">
        <v>93.520736995650694</v>
      </c>
      <c r="AJ2376">
        <v>88.760073477795302</v>
      </c>
      <c r="AK2376">
        <v>18.065288512484901</v>
      </c>
      <c r="AL2376">
        <v>80.849906451943497</v>
      </c>
      <c r="AM2376">
        <v>89.614449408407594</v>
      </c>
      <c r="AN2376">
        <v>1.00000000019471</v>
      </c>
    </row>
    <row r="2377" spans="1:40" x14ac:dyDescent="0.25">
      <c r="A2377" t="str">
        <f>"20190312164035248"</f>
        <v>20190312164035248</v>
      </c>
      <c r="B2377" t="str">
        <f>"1552380035238405"</f>
        <v>1552380035238405</v>
      </c>
      <c r="C2377" t="s">
        <v>40</v>
      </c>
      <c r="D2377">
        <v>5.2794109999999996</v>
      </c>
      <c r="E2377">
        <v>0.51072529999999905</v>
      </c>
      <c r="F2377" t="s">
        <v>48</v>
      </c>
      <c r="G2377">
        <v>-327.68630000000002</v>
      </c>
      <c r="H2377" s="1">
        <v>2.5221080000000002E-6</v>
      </c>
      <c r="I2377">
        <v>285.33440000000002</v>
      </c>
      <c r="J2377">
        <v>-309.81029999999998</v>
      </c>
      <c r="K2377">
        <v>1.1093919999999999</v>
      </c>
      <c r="L2377">
        <v>284.649</v>
      </c>
      <c r="M2377">
        <v>-0.99980709999999995</v>
      </c>
      <c r="N2377">
        <v>0</v>
      </c>
      <c r="O2377">
        <v>1.7249090000000002E-2</v>
      </c>
      <c r="P2377">
        <v>-0.98841999999999997</v>
      </c>
      <c r="Q2377">
        <v>0.14986940000000001</v>
      </c>
      <c r="R2377">
        <v>2.3780369999999999E-2</v>
      </c>
      <c r="S2377">
        <v>-3.060486</v>
      </c>
      <c r="T2377">
        <v>-0.18613089999999999</v>
      </c>
      <c r="U2377">
        <v>0.1160583</v>
      </c>
      <c r="V2377">
        <v>6.7665919999999897E-3</v>
      </c>
      <c r="W2377">
        <v>0.1591649</v>
      </c>
      <c r="X2377">
        <v>0.98722880000000002</v>
      </c>
      <c r="Y2377">
        <v>2.0644949999999999E-2</v>
      </c>
      <c r="Z2377">
        <v>-4.2064089999999999E-4</v>
      </c>
      <c r="AA2377">
        <v>0.99978679999999998</v>
      </c>
      <c r="AB2377">
        <v>41</v>
      </c>
      <c r="AC2377">
        <v>-17.876000000000001</v>
      </c>
      <c r="AD2377">
        <v>-1.1093894778919999</v>
      </c>
      <c r="AE2377">
        <v>0.685400000000015</v>
      </c>
      <c r="AF2377">
        <v>0.37549559291783002</v>
      </c>
      <c r="AG2377">
        <v>-1.1093894778919999</v>
      </c>
      <c r="AH2377">
        <v>17.816643606871001</v>
      </c>
      <c r="AI2377">
        <v>93.5622488976841</v>
      </c>
      <c r="AJ2377">
        <v>88.792638578725899</v>
      </c>
      <c r="AK2377">
        <v>17.855098189822801</v>
      </c>
      <c r="AL2377">
        <v>80.841572428682696</v>
      </c>
      <c r="AM2377">
        <v>89.607293575469399</v>
      </c>
      <c r="AN2377">
        <v>0.999999977854372</v>
      </c>
    </row>
    <row r="2378" spans="1:40" x14ac:dyDescent="0.25">
      <c r="A2378" t="str">
        <f>"20190312164035269"</f>
        <v>20190312164035269</v>
      </c>
      <c r="B2378" t="str">
        <f>"1552380035258902"</f>
        <v>1552380035258902</v>
      </c>
      <c r="C2378" t="s">
        <v>40</v>
      </c>
      <c r="D2378">
        <v>5.4816539999999998</v>
      </c>
      <c r="E2378">
        <v>0.51070569999999904</v>
      </c>
      <c r="F2378" t="s">
        <v>48</v>
      </c>
      <c r="G2378">
        <v>-327.67649999999998</v>
      </c>
      <c r="H2378" s="1">
        <v>2.5164429999999999E-6</v>
      </c>
      <c r="I2378">
        <v>285.34379999999999</v>
      </c>
      <c r="J2378">
        <v>-310.19690000000003</v>
      </c>
      <c r="K2378">
        <v>1.1093850000000001</v>
      </c>
      <c r="L2378">
        <v>284.65570000000002</v>
      </c>
      <c r="M2378">
        <v>-0.99980570000000002</v>
      </c>
      <c r="N2378">
        <v>0</v>
      </c>
      <c r="O2378">
        <v>1.7320209999999999E-2</v>
      </c>
      <c r="P2378">
        <v>-0.98841630000000003</v>
      </c>
      <c r="Q2378">
        <v>0.14991119999999999</v>
      </c>
      <c r="R2378">
        <v>2.3661720000000001E-2</v>
      </c>
      <c r="S2378">
        <v>-3.0611269999999999</v>
      </c>
      <c r="T2378">
        <v>-0.19007930000000001</v>
      </c>
      <c r="U2378">
        <v>0.1190491</v>
      </c>
      <c r="V2378">
        <v>6.5776000000000003E-3</v>
      </c>
      <c r="W2378">
        <v>0.15921669999999999</v>
      </c>
      <c r="X2378">
        <v>0.98722180000000004</v>
      </c>
      <c r="Y2378">
        <v>2.15394E-2</v>
      </c>
      <c r="Z2378">
        <v>-4.061235E-4</v>
      </c>
      <c r="AA2378">
        <v>0.99976790000000004</v>
      </c>
      <c r="AB2378">
        <v>41</v>
      </c>
      <c r="AC2378">
        <v>-17.479599999999898</v>
      </c>
      <c r="AD2378">
        <v>-1.1093824835570001</v>
      </c>
      <c r="AE2378">
        <v>0.68809999999996296</v>
      </c>
      <c r="AF2378">
        <v>0.38368987275877098</v>
      </c>
      <c r="AG2378">
        <v>-1.1093824835570001</v>
      </c>
      <c r="AH2378">
        <v>17.4188401193021</v>
      </c>
      <c r="AI2378">
        <v>93.643287812245404</v>
      </c>
      <c r="AJ2378">
        <v>88.738133210439599</v>
      </c>
      <c r="AK2378">
        <v>17.4583486766386</v>
      </c>
      <c r="AL2378">
        <v>80.838566859657504</v>
      </c>
      <c r="AM2378">
        <v>89.618258892973898</v>
      </c>
      <c r="AN2378">
        <v>1.00000005238794</v>
      </c>
    </row>
    <row r="2379" spans="1:40" x14ac:dyDescent="0.25">
      <c r="A2379" t="str">
        <f>"20190312164035293"</f>
        <v>20190312164035293</v>
      </c>
      <c r="B2379" t="str">
        <f>"1552380035288182"</f>
        <v>1552380035288182</v>
      </c>
      <c r="C2379" t="s">
        <v>40</v>
      </c>
      <c r="D2379">
        <v>5.1603750000000002</v>
      </c>
      <c r="E2379">
        <v>0.51049869999999997</v>
      </c>
      <c r="F2379" t="s">
        <v>48</v>
      </c>
      <c r="G2379">
        <v>-328.21940000000001</v>
      </c>
      <c r="H2379" s="1">
        <v>2.8049270000000001E-6</v>
      </c>
      <c r="I2379">
        <v>285.35419999999999</v>
      </c>
      <c r="J2379">
        <v>-310.6232</v>
      </c>
      <c r="K2379">
        <v>1.1093839999999999</v>
      </c>
      <c r="L2379">
        <v>284.66309999999999</v>
      </c>
      <c r="M2379">
        <v>-0.99980420000000003</v>
      </c>
      <c r="N2379">
        <v>0</v>
      </c>
      <c r="O2379">
        <v>1.739889E-2</v>
      </c>
      <c r="P2379">
        <v>-0.98840830000000002</v>
      </c>
      <c r="Q2379">
        <v>0.14989659999999999</v>
      </c>
      <c r="R2379">
        <v>2.409085E-2</v>
      </c>
      <c r="S2379">
        <v>-3.060883</v>
      </c>
      <c r="T2379">
        <v>-0.18841330000000001</v>
      </c>
      <c r="U2379">
        <v>0.1186218</v>
      </c>
      <c r="V2379">
        <v>6.9292529999999998E-3</v>
      </c>
      <c r="W2379">
        <v>0.15921289999999999</v>
      </c>
      <c r="X2379">
        <v>0.98721990000000004</v>
      </c>
      <c r="Y2379">
        <v>2.1325159999999999E-2</v>
      </c>
      <c r="Z2379">
        <v>-4.1402499999999999E-4</v>
      </c>
      <c r="AA2379">
        <v>0.99977249999999995</v>
      </c>
      <c r="AB2379">
        <v>41</v>
      </c>
      <c r="AC2379">
        <v>-17.5962</v>
      </c>
      <c r="AD2379">
        <v>-1.1093811950729999</v>
      </c>
      <c r="AE2379">
        <v>0.69110000000000504</v>
      </c>
      <c r="AF2379">
        <v>0.38330618013631401</v>
      </c>
      <c r="AG2379">
        <v>-1.1093811950729999</v>
      </c>
      <c r="AH2379">
        <v>17.5359651275262</v>
      </c>
      <c r="AI2379">
        <v>93.619027890140202</v>
      </c>
      <c r="AJ2379">
        <v>88.747811737169997</v>
      </c>
      <c r="AK2379">
        <v>17.5752019395945</v>
      </c>
      <c r="AL2379">
        <v>80.8387864185094</v>
      </c>
      <c r="AM2379">
        <v>89.597850050943293</v>
      </c>
      <c r="AN2379">
        <v>0.99999994651477697</v>
      </c>
    </row>
    <row r="2380" spans="1:40" x14ac:dyDescent="0.25">
      <c r="A2380" t="str">
        <f>"20190312164035306"</f>
        <v>20190312164035306</v>
      </c>
      <c r="B2380" t="str">
        <f>"1552380035298918"</f>
        <v>1552380035298918</v>
      </c>
      <c r="C2380" t="s">
        <v>40</v>
      </c>
      <c r="D2380">
        <v>5.1817310000000001</v>
      </c>
      <c r="E2380">
        <v>0.51050200000000001</v>
      </c>
      <c r="F2380" t="s">
        <v>48</v>
      </c>
      <c r="G2380">
        <v>-328.4468</v>
      </c>
      <c r="H2380" s="1">
        <v>2.926046E-6</v>
      </c>
      <c r="I2380">
        <v>285.35210000000001</v>
      </c>
      <c r="J2380">
        <v>-310.8698</v>
      </c>
      <c r="K2380">
        <v>1.1093839999999999</v>
      </c>
      <c r="L2380">
        <v>284.66750000000002</v>
      </c>
      <c r="M2380">
        <v>-0.99980329999999995</v>
      </c>
      <c r="N2380">
        <v>0</v>
      </c>
      <c r="O2380">
        <v>1.744428E-2</v>
      </c>
      <c r="P2380">
        <v>-0.98840059999999996</v>
      </c>
      <c r="Q2380">
        <v>0.14996409999999999</v>
      </c>
      <c r="R2380">
        <v>2.3981579999999999E-2</v>
      </c>
      <c r="S2380">
        <v>-3.061188</v>
      </c>
      <c r="T2380">
        <v>-0.19053439999999999</v>
      </c>
      <c r="U2380">
        <v>0.1183167</v>
      </c>
      <c r="V2380">
        <v>6.7751670000000003E-3</v>
      </c>
      <c r="W2380">
        <v>0.15928680000000001</v>
      </c>
      <c r="X2380">
        <v>0.98720909999999995</v>
      </c>
      <c r="Y2380">
        <v>2.11766E-2</v>
      </c>
      <c r="Z2380">
        <v>-4.2607449999999998E-4</v>
      </c>
      <c r="AA2380">
        <v>0.99977559999999999</v>
      </c>
      <c r="AB2380">
        <v>41</v>
      </c>
      <c r="AC2380">
        <v>-17.576999999999899</v>
      </c>
      <c r="AD2380">
        <v>-1.109381073954</v>
      </c>
      <c r="AE2380">
        <v>0.684599999999989</v>
      </c>
      <c r="AF2380">
        <v>0.37636704403967403</v>
      </c>
      <c r="AG2380">
        <v>-1.109381073954</v>
      </c>
      <c r="AH2380">
        <v>17.516595260930899</v>
      </c>
      <c r="AI2380">
        <v>93.623047882363693</v>
      </c>
      <c r="AJ2380">
        <v>88.769114356542701</v>
      </c>
      <c r="AK2380">
        <v>17.555725221543899</v>
      </c>
      <c r="AL2380">
        <v>80.834497996455497</v>
      </c>
      <c r="AM2380">
        <v>89.606788085524897</v>
      </c>
      <c r="AN2380">
        <v>0.99999999733246303</v>
      </c>
    </row>
    <row r="2381" spans="1:40" x14ac:dyDescent="0.25">
      <c r="A2381" t="str">
        <f>"20190312164035317"</f>
        <v>20190312164035317</v>
      </c>
      <c r="B2381" t="str">
        <f>"1552380035308679"</f>
        <v>1552380035308679</v>
      </c>
      <c r="C2381" t="s">
        <v>40</v>
      </c>
      <c r="D2381">
        <v>5.1685040000000004</v>
      </c>
      <c r="E2381">
        <v>0.51045289999999999</v>
      </c>
      <c r="F2381" t="s">
        <v>42</v>
      </c>
      <c r="G2381">
        <v>-311.8295</v>
      </c>
      <c r="H2381">
        <v>1.0493749999999999</v>
      </c>
      <c r="I2381">
        <v>284.7045</v>
      </c>
      <c r="J2381">
        <v>-311.08769999999998</v>
      </c>
      <c r="K2381">
        <v>1.109386</v>
      </c>
      <c r="L2381">
        <v>284.67129999999997</v>
      </c>
      <c r="M2381">
        <v>-0.99980259999999999</v>
      </c>
      <c r="N2381">
        <v>0</v>
      </c>
      <c r="O2381">
        <v>1.7484550000000001E-2</v>
      </c>
      <c r="P2381">
        <v>-0.98840490000000003</v>
      </c>
      <c r="Q2381">
        <v>0.14989910000000001</v>
      </c>
      <c r="R2381">
        <v>2.4209580000000001E-2</v>
      </c>
      <c r="S2381">
        <v>-3.0613100000000002</v>
      </c>
      <c r="T2381">
        <v>-0.19137589999999999</v>
      </c>
      <c r="U2381">
        <v>0.11791989999999899</v>
      </c>
      <c r="V2381">
        <v>6.963271E-3</v>
      </c>
      <c r="W2381">
        <v>0.15922749999999999</v>
      </c>
      <c r="X2381">
        <v>0.98721740000000002</v>
      </c>
      <c r="Y2381">
        <v>2.100577E-2</v>
      </c>
      <c r="Z2381">
        <v>-4.3578250000000002E-4</v>
      </c>
      <c r="AA2381">
        <v>0.99977930000000004</v>
      </c>
      <c r="AB2381">
        <v>41</v>
      </c>
      <c r="AC2381">
        <v>-0.74180000000001201</v>
      </c>
      <c r="AD2381">
        <v>-6.0011000000000002E-2</v>
      </c>
      <c r="AE2381">
        <v>3.3200000000022101E-2</v>
      </c>
      <c r="AF2381">
        <v>2.0093067944397101E-2</v>
      </c>
      <c r="AG2381">
        <v>-6.0011000000000002E-2</v>
      </c>
      <c r="AH2381">
        <v>0.73745038196307999</v>
      </c>
      <c r="AI2381">
        <v>94.650550277666198</v>
      </c>
      <c r="AJ2381">
        <v>88.439266888428193</v>
      </c>
      <c r="AK2381">
        <v>0.74016087262021002</v>
      </c>
      <c r="AL2381">
        <v>80.837939948976498</v>
      </c>
      <c r="AM2381">
        <v>89.595874805492599</v>
      </c>
      <c r="AN2381">
        <v>1.00000003938101</v>
      </c>
    </row>
    <row r="2382" spans="1:40" x14ac:dyDescent="0.25">
      <c r="A2382" t="str">
        <f>"20190312164035331"</f>
        <v>20190312164035331</v>
      </c>
      <c r="B2382" t="str">
        <f>"1552380035318438"</f>
        <v>1552380035318438</v>
      </c>
      <c r="C2382" t="s">
        <v>40</v>
      </c>
      <c r="D2382">
        <v>5.1465509999999997</v>
      </c>
      <c r="E2382">
        <v>0.51039709999999905</v>
      </c>
      <c r="F2382" t="s">
        <v>48</v>
      </c>
      <c r="G2382">
        <v>-328.7559</v>
      </c>
      <c r="H2382" s="1">
        <v>3.0904099999999999E-6</v>
      </c>
      <c r="I2382">
        <v>285.35419999999999</v>
      </c>
      <c r="J2382">
        <v>-311.32190000000003</v>
      </c>
      <c r="K2382">
        <v>1.109389</v>
      </c>
      <c r="L2382">
        <v>284.6755</v>
      </c>
      <c r="M2382">
        <v>-0.99980179999999996</v>
      </c>
      <c r="N2382">
        <v>0</v>
      </c>
      <c r="O2382">
        <v>1.7527790000000001E-2</v>
      </c>
      <c r="P2382">
        <v>-0.98842479999999999</v>
      </c>
      <c r="Q2382">
        <v>0.14975759999999999</v>
      </c>
      <c r="R2382">
        <v>2.4270489999999999E-2</v>
      </c>
      <c r="S2382">
        <v>-3.061493</v>
      </c>
      <c r="T2382">
        <v>-0.19223029999999999</v>
      </c>
      <c r="U2382">
        <v>0.1183167</v>
      </c>
      <c r="V2382">
        <v>6.9810360000000004E-3</v>
      </c>
      <c r="W2382">
        <v>0.1590915</v>
      </c>
      <c r="X2382">
        <v>0.98723919999999998</v>
      </c>
      <c r="Y2382">
        <v>2.1089460000000001E-2</v>
      </c>
      <c r="Z2382">
        <v>-4.3778449999999999E-4</v>
      </c>
      <c r="AA2382">
        <v>0.99977749999999999</v>
      </c>
      <c r="AB2382">
        <v>41</v>
      </c>
      <c r="AC2382">
        <v>-17.433999999999902</v>
      </c>
      <c r="AD2382">
        <v>-1.1093859095899901</v>
      </c>
      <c r="AE2382">
        <v>0.67869999999999198</v>
      </c>
      <c r="AF2382">
        <v>0.371500604614317</v>
      </c>
      <c r="AG2382">
        <v>-1.1093859095899901</v>
      </c>
      <c r="AH2382">
        <v>17.3729775995889</v>
      </c>
      <c r="AI2382">
        <v>93.652941744494399</v>
      </c>
      <c r="AJ2382">
        <v>88.774984131481801</v>
      </c>
      <c r="AK2382">
        <v>17.412326107428701</v>
      </c>
      <c r="AL2382">
        <v>80.845832783247602</v>
      </c>
      <c r="AM2382">
        <v>89.594852764307404</v>
      </c>
      <c r="AN2382">
        <v>1.00000003912626</v>
      </c>
    </row>
    <row r="2383" spans="1:40" x14ac:dyDescent="0.25">
      <c r="A2383" t="str">
        <f>"20190312164035349"</f>
        <v>20190312164035349</v>
      </c>
      <c r="B2383" t="str">
        <f>"1552380035338934"</f>
        <v>1552380035338934</v>
      </c>
      <c r="C2383" t="s">
        <v>40</v>
      </c>
      <c r="D2383">
        <v>5.1265340000000004</v>
      </c>
      <c r="E2383">
        <v>0.51026419999999995</v>
      </c>
      <c r="F2383" t="s">
        <v>48</v>
      </c>
      <c r="G2383">
        <v>-328.81299999999999</v>
      </c>
      <c r="H2383" s="1">
        <v>3.12096E-6</v>
      </c>
      <c r="I2383">
        <v>285.34989999999999</v>
      </c>
      <c r="J2383">
        <v>-311.6617</v>
      </c>
      <c r="K2383">
        <v>1.1093900000000001</v>
      </c>
      <c r="L2383">
        <v>284.68150000000003</v>
      </c>
      <c r="M2383">
        <v>-0.99980069999999999</v>
      </c>
      <c r="N2383">
        <v>0</v>
      </c>
      <c r="O2383">
        <v>1.7590749999999999E-2</v>
      </c>
      <c r="P2383">
        <v>-0.98841780000000001</v>
      </c>
      <c r="Q2383">
        <v>0.1497878</v>
      </c>
      <c r="R2383">
        <v>2.437278E-2</v>
      </c>
      <c r="S2383">
        <v>-3.0616460000000001</v>
      </c>
      <c r="T2383">
        <v>-0.19418740000000001</v>
      </c>
      <c r="U2383">
        <v>0.11804199999999999</v>
      </c>
      <c r="V2383">
        <v>7.0211120000000004E-3</v>
      </c>
      <c r="W2383">
        <v>0.1591301</v>
      </c>
      <c r="X2383">
        <v>0.98723269999999996</v>
      </c>
      <c r="Y2383">
        <v>2.0935309999999999E-2</v>
      </c>
      <c r="Z2383">
        <v>-4.5108000000000002E-4</v>
      </c>
      <c r="AA2383">
        <v>0.99978069999999997</v>
      </c>
      <c r="AB2383">
        <v>41</v>
      </c>
      <c r="AC2383">
        <v>-17.151299999999999</v>
      </c>
      <c r="AD2383">
        <v>-1.1093868790400001</v>
      </c>
      <c r="AE2383">
        <v>0.66839999999996202</v>
      </c>
      <c r="AF2383">
        <v>0.365053893476182</v>
      </c>
      <c r="AG2383">
        <v>-1.1093868790400001</v>
      </c>
      <c r="AH2383">
        <v>17.089015362441199</v>
      </c>
      <c r="AI2383">
        <v>93.713477919129502</v>
      </c>
      <c r="AJ2383">
        <v>88.7762392231528</v>
      </c>
      <c r="AK2383">
        <v>17.128877652966001</v>
      </c>
      <c r="AL2383">
        <v>80.843592676504699</v>
      </c>
      <c r="AM2383">
        <v>89.592524332969006</v>
      </c>
      <c r="AN2383">
        <v>1.0000000443445001</v>
      </c>
    </row>
    <row r="2384" spans="1:40" x14ac:dyDescent="0.25">
      <c r="A2384" t="str">
        <f>"20190312164035364"</f>
        <v>20190312164035364</v>
      </c>
      <c r="B2384" t="str">
        <f>"1552380035358454"</f>
        <v>1552380035358454</v>
      </c>
      <c r="C2384" t="s">
        <v>40</v>
      </c>
      <c r="D2384">
        <v>5.1438860000000002</v>
      </c>
      <c r="E2384">
        <v>0.51029179999999996</v>
      </c>
      <c r="F2384" t="s">
        <v>48</v>
      </c>
      <c r="G2384">
        <v>-329.19729999999998</v>
      </c>
      <c r="H2384" s="1">
        <v>3.3254840000000002E-6</v>
      </c>
      <c r="I2384">
        <v>285.35039999999998</v>
      </c>
      <c r="J2384">
        <v>-311.93880000000001</v>
      </c>
      <c r="K2384">
        <v>1.109389</v>
      </c>
      <c r="L2384">
        <v>284.68639999999999</v>
      </c>
      <c r="M2384">
        <v>-0.99979960000000001</v>
      </c>
      <c r="N2384">
        <v>0</v>
      </c>
      <c r="O2384">
        <v>1.764251E-2</v>
      </c>
      <c r="P2384">
        <v>-0.9884134</v>
      </c>
      <c r="Q2384">
        <v>0.1498157</v>
      </c>
      <c r="R2384">
        <v>2.43809E-2</v>
      </c>
      <c r="S2384">
        <v>-3.0616150000000002</v>
      </c>
      <c r="T2384">
        <v>-0.19369239999999999</v>
      </c>
      <c r="U2384">
        <v>0.1167908</v>
      </c>
      <c r="V2384">
        <v>6.9781740000000002E-3</v>
      </c>
      <c r="W2384">
        <v>0.1591649</v>
      </c>
      <c r="X2384">
        <v>0.98722739999999998</v>
      </c>
      <c r="Y2384">
        <v>2.047699E-2</v>
      </c>
      <c r="Z2384">
        <v>-4.6768919999999999E-4</v>
      </c>
      <c r="AA2384">
        <v>0.99979019999999996</v>
      </c>
      <c r="AB2384">
        <v>41</v>
      </c>
      <c r="AC2384">
        <v>-17.258499999999898</v>
      </c>
      <c r="AD2384">
        <v>-1.109385674516</v>
      </c>
      <c r="AE2384">
        <v>0.66399999999998705</v>
      </c>
      <c r="AF2384">
        <v>0.35792301183695802</v>
      </c>
      <c r="AG2384">
        <v>-1.109385674516</v>
      </c>
      <c r="AH2384">
        <v>17.1965777543349</v>
      </c>
      <c r="AI2384">
        <v>93.690353511148601</v>
      </c>
      <c r="AJ2384">
        <v>88.807639653336693</v>
      </c>
      <c r="AK2384">
        <v>17.2360416545711</v>
      </c>
      <c r="AL2384">
        <v>80.841573093331107</v>
      </c>
      <c r="AM2384">
        <v>89.595014015653405</v>
      </c>
      <c r="AN2384">
        <v>1.0000000498075701</v>
      </c>
    </row>
    <row r="2385" spans="1:40" x14ac:dyDescent="0.25">
      <c r="A2385" t="str">
        <f>"20190312164035382"</f>
        <v>20190312164035382</v>
      </c>
      <c r="B2385" t="str">
        <f>"1552380035378950"</f>
        <v>1552380035378950</v>
      </c>
      <c r="C2385" t="s">
        <v>40</v>
      </c>
      <c r="D2385">
        <v>5.1331429999999996</v>
      </c>
      <c r="E2385">
        <v>0.51033519999999999</v>
      </c>
      <c r="F2385" t="s">
        <v>42</v>
      </c>
      <c r="G2385">
        <v>-312.92930000000001</v>
      </c>
      <c r="H2385">
        <v>1.0463389999999999</v>
      </c>
      <c r="I2385">
        <v>284.72469999999998</v>
      </c>
      <c r="J2385">
        <v>-312.2826</v>
      </c>
      <c r="K2385">
        <v>1.109389</v>
      </c>
      <c r="L2385">
        <v>284.6925</v>
      </c>
      <c r="M2385">
        <v>-0.99979850000000003</v>
      </c>
      <c r="N2385">
        <v>0</v>
      </c>
      <c r="O2385">
        <v>1.7706489999999998E-2</v>
      </c>
      <c r="P2385">
        <v>-0.98844209999999999</v>
      </c>
      <c r="Q2385">
        <v>0.1496701</v>
      </c>
      <c r="R2385">
        <v>2.4113389999999998E-2</v>
      </c>
      <c r="S2385">
        <v>-3.0618590000000001</v>
      </c>
      <c r="T2385">
        <v>-0.1951386</v>
      </c>
      <c r="U2385">
        <v>0.1168213</v>
      </c>
      <c r="V2385">
        <v>6.6467799999999997E-3</v>
      </c>
      <c r="W2385">
        <v>0.1590279</v>
      </c>
      <c r="X2385">
        <v>0.98725169999999995</v>
      </c>
      <c r="Y2385">
        <v>2.04201E-2</v>
      </c>
      <c r="Z2385">
        <v>-4.770175E-4</v>
      </c>
      <c r="AA2385">
        <v>0.9997914</v>
      </c>
      <c r="AB2385">
        <v>41</v>
      </c>
      <c r="AC2385">
        <v>-0.64670000000000905</v>
      </c>
      <c r="AD2385">
        <v>-6.3049999999999995E-2</v>
      </c>
      <c r="AE2385">
        <v>3.2199999999988897E-2</v>
      </c>
      <c r="AF2385">
        <v>2.05488133087449E-2</v>
      </c>
      <c r="AG2385">
        <v>-6.3049999999999995E-2</v>
      </c>
      <c r="AH2385">
        <v>0.64109011618905798</v>
      </c>
      <c r="AI2385">
        <v>95.614003833795493</v>
      </c>
      <c r="AJ2385">
        <v>88.164131231293695</v>
      </c>
      <c r="AK2385">
        <v>0.64451073947894499</v>
      </c>
      <c r="AL2385">
        <v>80.849523293789105</v>
      </c>
      <c r="AM2385">
        <v>89.614255728928498</v>
      </c>
      <c r="AN2385">
        <v>0.99999998590783401</v>
      </c>
    </row>
    <row r="2386" spans="1:40" x14ac:dyDescent="0.25">
      <c r="A2386" t="str">
        <f>"20190312164035396"</f>
        <v>20190312164035396</v>
      </c>
      <c r="B2386" t="str">
        <f>"1552380035388711"</f>
        <v>1552380035388711</v>
      </c>
      <c r="C2386" t="s">
        <v>40</v>
      </c>
      <c r="D2386">
        <v>5.131939</v>
      </c>
      <c r="E2386">
        <v>0.51040459999999999</v>
      </c>
      <c r="F2386" t="s">
        <v>42</v>
      </c>
      <c r="G2386">
        <v>-313.2971</v>
      </c>
      <c r="H2386">
        <v>1.0441549999999999</v>
      </c>
      <c r="I2386">
        <v>284.7312</v>
      </c>
      <c r="J2386">
        <v>-312.54360000000003</v>
      </c>
      <c r="K2386">
        <v>1.1093919999999999</v>
      </c>
      <c r="L2386">
        <v>284.69720000000001</v>
      </c>
      <c r="M2386">
        <v>-0.99979750000000001</v>
      </c>
      <c r="N2386">
        <v>0</v>
      </c>
      <c r="O2386">
        <v>1.775521E-2</v>
      </c>
      <c r="P2386">
        <v>-0.98841710000000005</v>
      </c>
      <c r="Q2386">
        <v>0.14981169999999999</v>
      </c>
      <c r="R2386">
        <v>2.425296E-2</v>
      </c>
      <c r="S2386">
        <v>-3.0620419999999999</v>
      </c>
      <c r="T2386">
        <v>-0.19691819999999999</v>
      </c>
      <c r="U2386">
        <v>0.1166382</v>
      </c>
      <c r="V2386">
        <v>6.7386019999999998E-3</v>
      </c>
      <c r="W2386">
        <v>0.1591757</v>
      </c>
      <c r="X2386">
        <v>0.98722730000000003</v>
      </c>
      <c r="Y2386">
        <v>2.030962E-2</v>
      </c>
      <c r="Z2386">
        <v>-4.8800699999999999E-4</v>
      </c>
      <c r="AA2386">
        <v>0.99979359999999995</v>
      </c>
      <c r="AB2386">
        <v>41</v>
      </c>
      <c r="AC2386">
        <v>-0.75349999999997397</v>
      </c>
      <c r="AD2386">
        <v>-6.5236999999999906E-2</v>
      </c>
      <c r="AE2386">
        <v>3.3999999999991801E-2</v>
      </c>
      <c r="AF2386">
        <v>2.04624172639334E-2</v>
      </c>
      <c r="AG2386">
        <v>-6.5236999999999906E-2</v>
      </c>
      <c r="AH2386">
        <v>0.74838651310926796</v>
      </c>
      <c r="AI2386">
        <v>94.980039538808498</v>
      </c>
      <c r="AJ2386">
        <v>88.433806464139906</v>
      </c>
      <c r="AK2386">
        <v>0.75150312686849996</v>
      </c>
      <c r="AL2386">
        <v>80.840946097882806</v>
      </c>
      <c r="AM2386">
        <v>89.608917360388105</v>
      </c>
      <c r="AN2386">
        <v>1.0000000270463401</v>
      </c>
    </row>
    <row r="2387" spans="1:40" x14ac:dyDescent="0.25">
      <c r="A2387" t="str">
        <f>"20190312164035409"</f>
        <v>20190312164035409</v>
      </c>
      <c r="B2387" t="str">
        <f>"1552380035398470"</f>
        <v>1552380035398470</v>
      </c>
      <c r="C2387" t="s">
        <v>40</v>
      </c>
      <c r="D2387">
        <v>5.1392850000000001</v>
      </c>
      <c r="E2387">
        <v>0.51042940000000003</v>
      </c>
      <c r="F2387" t="s">
        <v>48</v>
      </c>
      <c r="G2387">
        <v>-329.80970000000002</v>
      </c>
      <c r="H2387" s="1">
        <v>3.650944E-6</v>
      </c>
      <c r="I2387">
        <v>285.36</v>
      </c>
      <c r="J2387">
        <v>-312.7627</v>
      </c>
      <c r="K2387">
        <v>1.1093930000000001</v>
      </c>
      <c r="L2387">
        <v>284.7011</v>
      </c>
      <c r="M2387">
        <v>-0.99979669999999998</v>
      </c>
      <c r="N2387">
        <v>0</v>
      </c>
      <c r="O2387">
        <v>1.7795479999999999E-2</v>
      </c>
      <c r="P2387">
        <v>-0.98841880000000004</v>
      </c>
      <c r="Q2387">
        <v>0.1498128</v>
      </c>
      <c r="R2387">
        <v>2.4176409999999999E-2</v>
      </c>
      <c r="S2387">
        <v>-3.0620729999999998</v>
      </c>
      <c r="T2387">
        <v>-0.196745</v>
      </c>
      <c r="U2387">
        <v>0.1175537</v>
      </c>
      <c r="V2387">
        <v>6.6224750000000001E-3</v>
      </c>
      <c r="W2387">
        <v>0.1591823</v>
      </c>
      <c r="X2387">
        <v>0.98722699999999997</v>
      </c>
      <c r="Y2387">
        <v>2.0567019999999998E-2</v>
      </c>
      <c r="Z2387">
        <v>-4.8189579999999998E-4</v>
      </c>
      <c r="AA2387">
        <v>0.99978829999999996</v>
      </c>
      <c r="AB2387">
        <v>41</v>
      </c>
      <c r="AC2387">
        <v>-17.047000000000001</v>
      </c>
      <c r="AD2387">
        <v>-1.1093893490560001</v>
      </c>
      <c r="AE2387">
        <v>0.65890000000001603</v>
      </c>
      <c r="AF2387">
        <v>0.35392576709233797</v>
      </c>
      <c r="AG2387">
        <v>-1.1093893490560001</v>
      </c>
      <c r="AH2387">
        <v>16.9842024153644</v>
      </c>
      <c r="AI2387">
        <v>93.736379248801299</v>
      </c>
      <c r="AJ2387">
        <v>88.806213108097893</v>
      </c>
      <c r="AK2387">
        <v>17.024075301245698</v>
      </c>
      <c r="AL2387">
        <v>80.840562864447605</v>
      </c>
      <c r="AM2387">
        <v>89.615656605761401</v>
      </c>
      <c r="AN2387">
        <v>1.0000000056687</v>
      </c>
    </row>
    <row r="2388" spans="1:40" x14ac:dyDescent="0.25">
      <c r="A2388" t="str">
        <f>"20190312164035421"</f>
        <v>20190312164035421</v>
      </c>
      <c r="B2388" t="str">
        <f>"1552380035408230"</f>
        <v>1552380035408230</v>
      </c>
      <c r="C2388" t="s">
        <v>40</v>
      </c>
      <c r="D2388">
        <v>5.0991949999999999</v>
      </c>
      <c r="E2388">
        <v>0.51044160000000005</v>
      </c>
      <c r="F2388" t="s">
        <v>48</v>
      </c>
      <c r="G2388">
        <v>-330.04610000000002</v>
      </c>
      <c r="H2388" s="1">
        <v>-1.5450410000000001E-6</v>
      </c>
      <c r="I2388">
        <v>285.36579999999998</v>
      </c>
      <c r="J2388">
        <v>-312.98919999999998</v>
      </c>
      <c r="K2388">
        <v>1.1093959999999901</v>
      </c>
      <c r="L2388">
        <v>284.70519999999999</v>
      </c>
      <c r="M2388">
        <v>-0.99979589999999996</v>
      </c>
      <c r="N2388">
        <v>0</v>
      </c>
      <c r="O2388">
        <v>1.7837240000000001E-2</v>
      </c>
      <c r="P2388">
        <v>-0.98841290000000004</v>
      </c>
      <c r="Q2388">
        <v>0.14984810000000001</v>
      </c>
      <c r="R2388">
        <v>2.4197570000000002E-2</v>
      </c>
      <c r="S2388">
        <v>-3.0620729999999998</v>
      </c>
      <c r="T2388">
        <v>-0.19655049999999999</v>
      </c>
      <c r="U2388">
        <v>0.11776730000000001</v>
      </c>
      <c r="V2388">
        <v>6.6024069999999898E-3</v>
      </c>
      <c r="W2388">
        <v>0.15922329999999901</v>
      </c>
      <c r="X2388">
        <v>0.98722049999999995</v>
      </c>
      <c r="Y2388">
        <v>2.0594950000000001E-2</v>
      </c>
      <c r="Z2388">
        <v>-4.8320049999999999E-4</v>
      </c>
      <c r="AA2388">
        <v>0.9997878</v>
      </c>
      <c r="AB2388">
        <v>41</v>
      </c>
      <c r="AC2388">
        <v>-17.056899999999999</v>
      </c>
      <c r="AD2388">
        <v>-1.1093975450410001</v>
      </c>
      <c r="AE2388">
        <v>0.66059999999998797</v>
      </c>
      <c r="AF2388">
        <v>0.354734784376733</v>
      </c>
      <c r="AG2388">
        <v>-1.1093975450410001</v>
      </c>
      <c r="AH2388">
        <v>16.994186541432502</v>
      </c>
      <c r="AI2388">
        <v>93.734215093894505</v>
      </c>
      <c r="AJ2388">
        <v>88.804187847227098</v>
      </c>
      <c r="AK2388">
        <v>17.034053419113</v>
      </c>
      <c r="AL2388">
        <v>80.838183183021201</v>
      </c>
      <c r="AM2388">
        <v>89.616818718950498</v>
      </c>
      <c r="AN2388">
        <v>0.99999998333066598</v>
      </c>
    </row>
    <row r="2389" spans="1:40" x14ac:dyDescent="0.25">
      <c r="A2389" t="str">
        <f>"20190312164035440"</f>
        <v>20190312164035440</v>
      </c>
      <c r="B2389" t="str">
        <f>"1552380035428726"</f>
        <v>1552380035428726</v>
      </c>
      <c r="C2389" t="s">
        <v>40</v>
      </c>
      <c r="D2389">
        <v>5.0954730000000001</v>
      </c>
      <c r="E2389">
        <v>0.51045799999999997</v>
      </c>
      <c r="F2389" t="s">
        <v>42</v>
      </c>
      <c r="G2389">
        <v>-314.03579999999999</v>
      </c>
      <c r="H2389">
        <v>1.0421129999999901</v>
      </c>
      <c r="I2389">
        <v>284.74520000000001</v>
      </c>
      <c r="J2389">
        <v>-313.34010000000001</v>
      </c>
      <c r="K2389">
        <v>1.109397</v>
      </c>
      <c r="L2389">
        <v>284.7115</v>
      </c>
      <c r="M2389">
        <v>-0.99979470000000004</v>
      </c>
      <c r="N2389">
        <v>0</v>
      </c>
      <c r="O2389">
        <v>1.790199E-2</v>
      </c>
      <c r="P2389">
        <v>-0.98844589999999999</v>
      </c>
      <c r="Q2389">
        <v>0.14962879999999901</v>
      </c>
      <c r="R2389">
        <v>2.420748E-2</v>
      </c>
      <c r="S2389">
        <v>-3.0621640000000001</v>
      </c>
      <c r="T2389">
        <v>-0.19680739999999999</v>
      </c>
      <c r="U2389">
        <v>0.11740109999999999</v>
      </c>
      <c r="V2389">
        <v>6.5477230000000001E-3</v>
      </c>
      <c r="W2389">
        <v>0.1590124</v>
      </c>
      <c r="X2389">
        <v>0.98725490000000005</v>
      </c>
      <c r="Y2389">
        <v>2.0410149999999998E-2</v>
      </c>
      <c r="Z2389">
        <v>-4.939028E-4</v>
      </c>
      <c r="AA2389">
        <v>0.9997916</v>
      </c>
      <c r="AB2389">
        <v>41</v>
      </c>
      <c r="AC2389">
        <v>-0.695699999999987</v>
      </c>
      <c r="AD2389">
        <v>-6.7284000000000094E-2</v>
      </c>
      <c r="AE2389">
        <v>3.3700000000010201E-2</v>
      </c>
      <c r="AF2389">
        <v>2.10432537986837E-2</v>
      </c>
      <c r="AG2389">
        <v>-6.7284000000000094E-2</v>
      </c>
      <c r="AH2389">
        <v>0.689755222786681</v>
      </c>
      <c r="AI2389">
        <v>95.568866686914006</v>
      </c>
      <c r="AJ2389">
        <v>88.252545640458905</v>
      </c>
      <c r="AK2389">
        <v>0.693348557760049</v>
      </c>
      <c r="AL2389">
        <v>80.8504232019894</v>
      </c>
      <c r="AM2389">
        <v>89.620005539784898</v>
      </c>
      <c r="AN2389">
        <v>1.0000000268021201</v>
      </c>
    </row>
    <row r="2390" spans="1:40" x14ac:dyDescent="0.25">
      <c r="A2390" t="str">
        <f>"20190312164035459"</f>
        <v>20190312164035459</v>
      </c>
      <c r="B2390" t="str">
        <f>"1552380035448246"</f>
        <v>1552380035448246</v>
      </c>
      <c r="C2390" t="s">
        <v>40</v>
      </c>
      <c r="D2390">
        <v>5.1002460000000003</v>
      </c>
      <c r="E2390">
        <v>0.51065930000000004</v>
      </c>
      <c r="F2390" t="s">
        <v>42</v>
      </c>
      <c r="G2390">
        <v>-314.40499999999997</v>
      </c>
      <c r="H2390">
        <v>1.0401739999999999</v>
      </c>
      <c r="I2390">
        <v>284.7525</v>
      </c>
      <c r="J2390">
        <v>-313.71190000000001</v>
      </c>
      <c r="K2390">
        <v>1.1093949999999999</v>
      </c>
      <c r="L2390">
        <v>284.71820000000002</v>
      </c>
      <c r="M2390">
        <v>-0.9997935</v>
      </c>
      <c r="N2390">
        <v>0</v>
      </c>
      <c r="O2390">
        <v>1.7970139999999999E-2</v>
      </c>
      <c r="P2390">
        <v>-0.98857159999999999</v>
      </c>
      <c r="Q2390">
        <v>0.14882509999999999</v>
      </c>
      <c r="R2390">
        <v>2.4032609999999999E-2</v>
      </c>
      <c r="S2390">
        <v>-3.0623469999999999</v>
      </c>
      <c r="T2390">
        <v>-0.19916</v>
      </c>
      <c r="U2390">
        <v>0.1173401</v>
      </c>
      <c r="V2390">
        <v>6.3032909999999999E-3</v>
      </c>
      <c r="W2390">
        <v>0.15821859999999999</v>
      </c>
      <c r="X2390">
        <v>0.98738400000000004</v>
      </c>
      <c r="Y2390">
        <v>2.0320029999999999E-2</v>
      </c>
      <c r="Z2390">
        <v>-5.0711599999999995E-4</v>
      </c>
      <c r="AA2390">
        <v>0.99979340000000005</v>
      </c>
      <c r="AB2390">
        <v>41</v>
      </c>
      <c r="AC2390">
        <v>-0.69309999999995797</v>
      </c>
      <c r="AD2390">
        <v>-6.9221000000000199E-2</v>
      </c>
      <c r="AE2390">
        <v>3.4299999999973303E-2</v>
      </c>
      <c r="AF2390">
        <v>2.1623641609449799E-2</v>
      </c>
      <c r="AG2390">
        <v>-6.9221000000000199E-2</v>
      </c>
      <c r="AH2390">
        <v>0.68677112451821498</v>
      </c>
      <c r="AI2390">
        <v>95.752684003242905</v>
      </c>
      <c r="AJ2390">
        <v>88.196583714733507</v>
      </c>
      <c r="AK2390">
        <v>0.69058939044085199</v>
      </c>
      <c r="AL2390">
        <v>80.896487596440295</v>
      </c>
      <c r="AM2390">
        <v>89.634238487335594</v>
      </c>
      <c r="AN2390">
        <v>1.00000001015969</v>
      </c>
    </row>
    <row r="2391" spans="1:40" x14ac:dyDescent="0.25">
      <c r="A2391" t="str">
        <f>"20190312164035483"</f>
        <v>20190312164035483</v>
      </c>
      <c r="B2391" t="str">
        <f>"1552380035478502"</f>
        <v>1552380035478502</v>
      </c>
      <c r="C2391" t="s">
        <v>40</v>
      </c>
      <c r="D2391">
        <v>5.1372970000000002</v>
      </c>
      <c r="E2391">
        <v>0.51096459999999999</v>
      </c>
      <c r="F2391" t="s">
        <v>42</v>
      </c>
      <c r="G2391">
        <v>-314.7758</v>
      </c>
      <c r="H2391">
        <v>1.0392250000000001</v>
      </c>
      <c r="I2391">
        <v>284.75959999999998</v>
      </c>
      <c r="J2391">
        <v>-314.13600000000002</v>
      </c>
      <c r="K2391">
        <v>1.1093919999999999</v>
      </c>
      <c r="L2391">
        <v>284.72590000000002</v>
      </c>
      <c r="M2391">
        <v>-0.99979189999999996</v>
      </c>
      <c r="N2391">
        <v>0</v>
      </c>
      <c r="O2391">
        <v>1.8047759999999999E-2</v>
      </c>
      <c r="P2391">
        <v>-0.98869589999999996</v>
      </c>
      <c r="Q2391">
        <v>0.14799489999999901</v>
      </c>
      <c r="R2391">
        <v>2.4045360000000002E-2</v>
      </c>
      <c r="S2391">
        <v>-3.0622250000000002</v>
      </c>
      <c r="T2391">
        <v>-0.20209350000000001</v>
      </c>
      <c r="U2391">
        <v>0.1186218</v>
      </c>
      <c r="V2391">
        <v>6.2369590000000003E-3</v>
      </c>
      <c r="W2391">
        <v>0.15739979999999901</v>
      </c>
      <c r="X2391">
        <v>0.98751529999999998</v>
      </c>
      <c r="Y2391">
        <v>2.066107E-2</v>
      </c>
      <c r="Z2391">
        <v>-5.0846129999999998E-4</v>
      </c>
      <c r="AA2391">
        <v>0.99978639999999996</v>
      </c>
      <c r="AB2391">
        <v>41</v>
      </c>
      <c r="AC2391">
        <v>-0.63980000000003601</v>
      </c>
      <c r="AD2391">
        <v>-7.0166999999999799E-2</v>
      </c>
      <c r="AE2391">
        <v>3.3699999999953399E-2</v>
      </c>
      <c r="AF2391">
        <v>2.18845423592797E-2</v>
      </c>
      <c r="AG2391">
        <v>-7.0166999999999799E-2</v>
      </c>
      <c r="AH2391">
        <v>0.63271506058275095</v>
      </c>
      <c r="AI2391">
        <v>96.324393488735296</v>
      </c>
      <c r="AJ2391">
        <v>88.019025752855796</v>
      </c>
      <c r="AK2391">
        <v>0.63696992783922701</v>
      </c>
      <c r="AL2391">
        <v>80.943996889917699</v>
      </c>
      <c r="AM2391">
        <v>89.6381355546675</v>
      </c>
      <c r="AN2391">
        <v>1.00000003221584</v>
      </c>
    </row>
    <row r="2392" spans="1:40" x14ac:dyDescent="0.25">
      <c r="A2392" t="str">
        <f>"20190312164035495"</f>
        <v>20190312164035495</v>
      </c>
      <c r="B2392" t="str">
        <f>"1552380035488262"</f>
        <v>1552380035488262</v>
      </c>
      <c r="C2392" t="s">
        <v>40</v>
      </c>
      <c r="D2392">
        <v>5.1732550000000002</v>
      </c>
      <c r="E2392">
        <v>0.51113310000000001</v>
      </c>
      <c r="F2392" t="s">
        <v>42</v>
      </c>
      <c r="G2392">
        <v>-315.14940000000001</v>
      </c>
      <c r="H2392">
        <v>1.041714</v>
      </c>
      <c r="I2392">
        <v>284.7663</v>
      </c>
      <c r="J2392">
        <v>-314.37729999999999</v>
      </c>
      <c r="K2392">
        <v>1.109383</v>
      </c>
      <c r="L2392">
        <v>284.7303</v>
      </c>
      <c r="M2392">
        <v>-0.99979099999999999</v>
      </c>
      <c r="N2392">
        <v>0</v>
      </c>
      <c r="O2392">
        <v>1.8092199999999999E-2</v>
      </c>
      <c r="P2392">
        <v>-0.98872879999999996</v>
      </c>
      <c r="Q2392">
        <v>0.14777750000000001</v>
      </c>
      <c r="R2392">
        <v>2.4030159999999998E-2</v>
      </c>
      <c r="S2392">
        <v>-3.0620120000000002</v>
      </c>
      <c r="T2392">
        <v>-0.20470759999999999</v>
      </c>
      <c r="U2392">
        <v>0.1209412</v>
      </c>
      <c r="V2392">
        <v>6.1772340000000002E-3</v>
      </c>
      <c r="W2392">
        <v>0.157188299999999</v>
      </c>
      <c r="X2392">
        <v>0.98754929999999996</v>
      </c>
      <c r="Y2392">
        <v>2.1373820000000002E-2</v>
      </c>
      <c r="Z2392">
        <v>-4.9422660000000005E-4</v>
      </c>
      <c r="AA2392">
        <v>0.99977139999999998</v>
      </c>
      <c r="AB2392">
        <v>42</v>
      </c>
      <c r="AC2392">
        <v>-0.77210000000002299</v>
      </c>
      <c r="AD2392">
        <v>-6.7668999999999896E-2</v>
      </c>
      <c r="AE2392">
        <v>3.6000000000001302E-2</v>
      </c>
      <c r="AF2392">
        <v>2.1856961639954701E-2</v>
      </c>
      <c r="AG2392">
        <v>-6.7668999999999896E-2</v>
      </c>
      <c r="AH2392">
        <v>0.76674814705813799</v>
      </c>
      <c r="AI2392">
        <v>95.0415075094554</v>
      </c>
      <c r="AJ2392">
        <v>88.367165779700997</v>
      </c>
      <c r="AK2392">
        <v>0.77003866224379802</v>
      </c>
      <c r="AL2392">
        <v>80.956267127947996</v>
      </c>
      <c r="AM2392">
        <v>89.6416130097289</v>
      </c>
      <c r="AN2392">
        <v>0.99999996990363405</v>
      </c>
    </row>
    <row r="2393" spans="1:40" x14ac:dyDescent="0.25">
      <c r="A2393" t="str">
        <f>"20190312164035506"</f>
        <v>20190312164035506</v>
      </c>
      <c r="B2393" t="str">
        <f>"1552380035498022"</f>
        <v>1552380035498022</v>
      </c>
      <c r="C2393" t="s">
        <v>40</v>
      </c>
      <c r="D2393">
        <v>5.06501</v>
      </c>
      <c r="E2393">
        <v>0.51118359999999996</v>
      </c>
      <c r="F2393" t="s">
        <v>48</v>
      </c>
      <c r="G2393">
        <v>-330.93060000000003</v>
      </c>
      <c r="H2393" s="1">
        <v>-1.075358E-6</v>
      </c>
      <c r="I2393">
        <v>285.38889999999998</v>
      </c>
      <c r="J2393">
        <v>-314.59160000000003</v>
      </c>
      <c r="K2393">
        <v>1.1093820000000001</v>
      </c>
      <c r="L2393">
        <v>284.73419999999999</v>
      </c>
      <c r="M2393">
        <v>-0.99979030000000002</v>
      </c>
      <c r="N2393">
        <v>0</v>
      </c>
      <c r="O2393">
        <v>1.813122E-2</v>
      </c>
      <c r="P2393">
        <v>-0.98878630000000001</v>
      </c>
      <c r="Q2393">
        <v>0.14738299999999999</v>
      </c>
      <c r="R2393">
        <v>2.4086550000000002E-2</v>
      </c>
      <c r="S2393">
        <v>-3.0619200000000002</v>
      </c>
      <c r="T2393">
        <v>-0.20520759999999999</v>
      </c>
      <c r="U2393">
        <v>0.1218262</v>
      </c>
      <c r="V2393">
        <v>6.1938640000000003E-3</v>
      </c>
      <c r="W2393">
        <v>0.15679889999999999</v>
      </c>
      <c r="X2393">
        <v>0.98761109999999996</v>
      </c>
      <c r="Y2393">
        <v>2.1624000000000001E-2</v>
      </c>
      <c r="Z2393">
        <v>-4.8968190000000004E-4</v>
      </c>
      <c r="AA2393">
        <v>0.99976609999999999</v>
      </c>
      <c r="AB2393">
        <v>42</v>
      </c>
      <c r="AC2393">
        <v>-16.338999999999999</v>
      </c>
      <c r="AD2393">
        <v>-1.1093830753579901</v>
      </c>
      <c r="AE2393">
        <v>0.65469999999999096</v>
      </c>
      <c r="AF2393">
        <v>0.35669118853367798</v>
      </c>
      <c r="AG2393">
        <v>-1.1093830753579901</v>
      </c>
      <c r="AH2393">
        <v>16.273283422062701</v>
      </c>
      <c r="AI2393">
        <v>93.899002994775998</v>
      </c>
      <c r="AJ2393">
        <v>88.744345118299506</v>
      </c>
      <c r="AK2393">
        <v>16.314953654443801</v>
      </c>
      <c r="AL2393">
        <v>80.978858262075406</v>
      </c>
      <c r="AM2393">
        <v>89.640670691745797</v>
      </c>
      <c r="AN2393">
        <v>0.99999997191783396</v>
      </c>
    </row>
    <row r="2394" spans="1:40" x14ac:dyDescent="0.25">
      <c r="A2394" t="str">
        <f>"20190312164035519"</f>
        <v>20190312164035519</v>
      </c>
      <c r="B2394" t="str">
        <f>"1552380035508758"</f>
        <v>1552380035508758</v>
      </c>
      <c r="C2394" t="s">
        <v>40</v>
      </c>
      <c r="D2394">
        <v>5.2160089999999997</v>
      </c>
      <c r="E2394">
        <v>0.51136700000000002</v>
      </c>
      <c r="F2394" t="s">
        <v>42</v>
      </c>
      <c r="G2394">
        <v>-315.52600000000001</v>
      </c>
      <c r="H2394">
        <v>1.0464560000000001</v>
      </c>
      <c r="I2394">
        <v>284.77170000000001</v>
      </c>
      <c r="J2394">
        <v>-314.81270000000001</v>
      </c>
      <c r="K2394">
        <v>1.10938</v>
      </c>
      <c r="L2394">
        <v>284.73820000000001</v>
      </c>
      <c r="M2394">
        <v>-0.99978959999999995</v>
      </c>
      <c r="N2394">
        <v>0</v>
      </c>
      <c r="O2394">
        <v>1.8171659999999999E-2</v>
      </c>
      <c r="P2394">
        <v>-0.988792</v>
      </c>
      <c r="Q2394">
        <v>0.14735210000000001</v>
      </c>
      <c r="R2394">
        <v>2.4039290000000001E-2</v>
      </c>
      <c r="S2394">
        <v>-3.0617679999999998</v>
      </c>
      <c r="T2394">
        <v>-0.2062514</v>
      </c>
      <c r="U2394">
        <v>0.1226501</v>
      </c>
      <c r="V2394">
        <v>6.1063539999999996E-3</v>
      </c>
      <c r="W2394">
        <v>0.15677349999999901</v>
      </c>
      <c r="X2394">
        <v>0.98761569999999999</v>
      </c>
      <c r="Y2394">
        <v>2.1853640000000001E-2</v>
      </c>
      <c r="Z2394">
        <v>-4.8718470000000001E-4</v>
      </c>
      <c r="AA2394">
        <v>0.99976100000000001</v>
      </c>
      <c r="AB2394">
        <v>42</v>
      </c>
      <c r="AC2394">
        <v>-0.71330000000000304</v>
      </c>
      <c r="AD2394">
        <v>-6.2923999999999897E-2</v>
      </c>
      <c r="AE2394">
        <v>3.3500000000003603E-2</v>
      </c>
      <c r="AF2394">
        <v>2.0373836940942799E-2</v>
      </c>
      <c r="AG2394">
        <v>-6.2923999999999897E-2</v>
      </c>
      <c r="AH2394">
        <v>0.70829123548871997</v>
      </c>
      <c r="AI2394">
        <v>95.0746930265245</v>
      </c>
      <c r="AJ2394">
        <v>88.352354208594903</v>
      </c>
      <c r="AK2394">
        <v>0.71137261493385695</v>
      </c>
      <c r="AL2394">
        <v>80.980332003020195</v>
      </c>
      <c r="AM2394">
        <v>89.645748995085796</v>
      </c>
      <c r="AN2394">
        <v>0.99999999437395604</v>
      </c>
    </row>
    <row r="2395" spans="1:40" x14ac:dyDescent="0.25">
      <c r="A2395" t="str">
        <f>"20190312164035532"</f>
        <v>20190312164035532</v>
      </c>
      <c r="B2395" t="str">
        <f>"1552380035528278"</f>
        <v>1552380035528278</v>
      </c>
      <c r="C2395" t="s">
        <v>40</v>
      </c>
      <c r="D2395">
        <v>5.1606420000000002</v>
      </c>
      <c r="E2395">
        <v>0.5115672</v>
      </c>
      <c r="F2395" t="s">
        <v>42</v>
      </c>
      <c r="G2395">
        <v>-315.89100000000002</v>
      </c>
      <c r="H2395">
        <v>1.036691</v>
      </c>
      <c r="I2395">
        <v>284.78219999999999</v>
      </c>
      <c r="J2395">
        <v>-315.05959999999999</v>
      </c>
      <c r="K2395">
        <v>1.1093740000000001</v>
      </c>
      <c r="L2395">
        <v>284.74270000000001</v>
      </c>
      <c r="M2395">
        <v>-0.99978849999999997</v>
      </c>
      <c r="N2395">
        <v>0</v>
      </c>
      <c r="O2395">
        <v>1.821741E-2</v>
      </c>
      <c r="P2395">
        <v>-0.98881560000000002</v>
      </c>
      <c r="Q2395">
        <v>0.14718970000000001</v>
      </c>
      <c r="R2395">
        <v>2.4060249999999998E-2</v>
      </c>
      <c r="S2395">
        <v>-3.0617679999999998</v>
      </c>
      <c r="T2395">
        <v>-0.2066296</v>
      </c>
      <c r="U2395">
        <v>0.12377929999999999</v>
      </c>
      <c r="V2395">
        <v>6.0817249999999996E-3</v>
      </c>
      <c r="W2395">
        <v>0.15661710000000001</v>
      </c>
      <c r="X2395">
        <v>0.98764070000000004</v>
      </c>
      <c r="Y2395">
        <v>2.2175340000000002E-2</v>
      </c>
      <c r="Z2395">
        <v>-4.8031540000000001E-4</v>
      </c>
      <c r="AA2395">
        <v>0.99975400000000003</v>
      </c>
      <c r="AB2395">
        <v>42</v>
      </c>
      <c r="AC2395">
        <v>-0.83139999999997305</v>
      </c>
      <c r="AD2395">
        <v>-7.2682999999999998E-2</v>
      </c>
      <c r="AE2395">
        <v>3.9499999999975402E-2</v>
      </c>
      <c r="AF2395">
        <v>2.4162549144736301E-2</v>
      </c>
      <c r="AG2395">
        <v>-7.2682999999999998E-2</v>
      </c>
      <c r="AH2395">
        <v>0.82568539952408304</v>
      </c>
      <c r="AI2395">
        <v>95.028494027517894</v>
      </c>
      <c r="AJ2395">
        <v>88.323796076535999</v>
      </c>
      <c r="AK2395">
        <v>0.82923038189481302</v>
      </c>
      <c r="AL2395">
        <v>80.989405447661198</v>
      </c>
      <c r="AM2395">
        <v>89.647186704243893</v>
      </c>
      <c r="AN2395">
        <v>1.0000000278439301</v>
      </c>
    </row>
    <row r="2396" spans="1:40" x14ac:dyDescent="0.25">
      <c r="A2396" t="str">
        <f>"20190312164035550"</f>
        <v>20190312164035550</v>
      </c>
      <c r="B2396" t="str">
        <f>"1552380035538038"</f>
        <v>1552380035538038</v>
      </c>
      <c r="C2396" t="s">
        <v>40</v>
      </c>
      <c r="D2396">
        <v>5.1405989999999999</v>
      </c>
      <c r="E2396">
        <v>0.51161920000000005</v>
      </c>
      <c r="F2396" t="s">
        <v>48</v>
      </c>
      <c r="G2396">
        <v>-331.46429999999998</v>
      </c>
      <c r="H2396" s="1">
        <v>-7.9250559999999896E-7</v>
      </c>
      <c r="I2396">
        <v>285.41539999999998</v>
      </c>
      <c r="J2396">
        <v>-315.39640000000003</v>
      </c>
      <c r="K2396">
        <v>1.1093710000000001</v>
      </c>
      <c r="L2396">
        <v>284.74889999999999</v>
      </c>
      <c r="M2396">
        <v>-0.99978739999999999</v>
      </c>
      <c r="N2396">
        <v>0</v>
      </c>
      <c r="O2396">
        <v>1.8279190000000001E-2</v>
      </c>
      <c r="P2396">
        <v>-0.98884989999999995</v>
      </c>
      <c r="Q2396">
        <v>0.14696010000000001</v>
      </c>
      <c r="R2396">
        <v>2.4057209999999999E-2</v>
      </c>
      <c r="S2396">
        <v>-3.0617369999999999</v>
      </c>
      <c r="T2396">
        <v>-0.20705119999999999</v>
      </c>
      <c r="U2396">
        <v>0.1255493</v>
      </c>
      <c r="V2396">
        <v>6.0169480000000003E-3</v>
      </c>
      <c r="W2396">
        <v>0.1563957</v>
      </c>
      <c r="X2396">
        <v>0.98767609999999995</v>
      </c>
      <c r="Y2396">
        <v>2.2689910000000001E-2</v>
      </c>
      <c r="Z2396">
        <v>-4.680884E-4</v>
      </c>
      <c r="AA2396">
        <v>0.99974240000000003</v>
      </c>
      <c r="AB2396">
        <v>42</v>
      </c>
      <c r="AC2396">
        <v>-16.067899999999899</v>
      </c>
      <c r="AD2396">
        <v>-1.1093717925055999</v>
      </c>
      <c r="AE2396">
        <v>0.66649999999998499</v>
      </c>
      <c r="AF2396">
        <v>0.37090205077704902</v>
      </c>
      <c r="AG2396">
        <v>-1.1093717925055999</v>
      </c>
      <c r="AH2396">
        <v>16.001253440989</v>
      </c>
      <c r="AI2396">
        <v>93.964925986509797</v>
      </c>
      <c r="AJ2396">
        <v>88.672146691066402</v>
      </c>
      <c r="AK2396">
        <v>16.043951688659501</v>
      </c>
      <c r="AL2396">
        <v>81.002248285628099</v>
      </c>
      <c r="AM2396">
        <v>89.650956967348705</v>
      </c>
      <c r="AN2396">
        <v>0.99999994857646601</v>
      </c>
    </row>
    <row r="2397" spans="1:40" x14ac:dyDescent="0.25">
      <c r="A2397" t="str">
        <f>"20190312164035572"</f>
        <v>20190312164035572</v>
      </c>
      <c r="B2397" t="str">
        <f>"1552380035568294"</f>
        <v>1552380035568294</v>
      </c>
      <c r="C2397" t="s">
        <v>40</v>
      </c>
      <c r="D2397">
        <v>5.0976489999999997</v>
      </c>
      <c r="E2397">
        <v>0.51187769999999999</v>
      </c>
      <c r="F2397" t="s">
        <v>42</v>
      </c>
      <c r="G2397">
        <v>-316.27859999999998</v>
      </c>
      <c r="H2397">
        <v>1.0493650000000001</v>
      </c>
      <c r="I2397">
        <v>284.78539999999998</v>
      </c>
      <c r="J2397">
        <v>-315.80549999999999</v>
      </c>
      <c r="K2397">
        <v>1.109375</v>
      </c>
      <c r="L2397">
        <v>284.75639999999999</v>
      </c>
      <c r="M2397">
        <v>-0.99978579999999995</v>
      </c>
      <c r="N2397">
        <v>0</v>
      </c>
      <c r="O2397">
        <v>1.835413E-2</v>
      </c>
      <c r="P2397">
        <v>-0.98889099999999996</v>
      </c>
      <c r="Q2397">
        <v>0.14673599999999901</v>
      </c>
      <c r="R2397">
        <v>2.3732449999999999E-2</v>
      </c>
      <c r="S2397">
        <v>-3.0617679999999998</v>
      </c>
      <c r="T2397">
        <v>-0.2083515</v>
      </c>
      <c r="U2397">
        <v>0.12606809999999999</v>
      </c>
      <c r="V2397">
        <v>5.6174700000000003E-3</v>
      </c>
      <c r="W2397">
        <v>0.1561814</v>
      </c>
      <c r="X2397">
        <v>0.98771240000000005</v>
      </c>
      <c r="Y2397">
        <v>2.2783500000000002E-2</v>
      </c>
      <c r="Z2397">
        <v>-4.7292539999999999E-4</v>
      </c>
      <c r="AA2397">
        <v>0.99974030000000003</v>
      </c>
      <c r="AB2397">
        <v>42</v>
      </c>
      <c r="AC2397">
        <v>-0.47309999999998797</v>
      </c>
      <c r="AD2397">
        <v>-6.0010000000000098E-2</v>
      </c>
      <c r="AE2397">
        <v>2.89999999999963E-2</v>
      </c>
      <c r="AF2397">
        <v>1.9990939054942598E-2</v>
      </c>
      <c r="AG2397">
        <v>-6.0010000000000098E-2</v>
      </c>
      <c r="AH2397">
        <v>0.466081663621497</v>
      </c>
      <c r="AI2397">
        <v>97.3300456001963</v>
      </c>
      <c r="AJ2397">
        <v>87.544003739619995</v>
      </c>
      <c r="AK2397">
        <v>0.470354073978827</v>
      </c>
      <c r="AL2397">
        <v>81.014679867549901</v>
      </c>
      <c r="AM2397">
        <v>89.674142136573707</v>
      </c>
      <c r="AN2397">
        <v>0.99999998539446</v>
      </c>
    </row>
    <row r="2398" spans="1:40" x14ac:dyDescent="0.25">
      <c r="A2398" t="str">
        <f>"20190312164035585"</f>
        <v>20190312164035585</v>
      </c>
      <c r="B2398" t="str">
        <f>"1552380035578056"</f>
        <v>1552380035578056</v>
      </c>
      <c r="C2398" t="s">
        <v>40</v>
      </c>
      <c r="D2398">
        <v>5.1340539999999999</v>
      </c>
      <c r="E2398">
        <v>0.51192979999999999</v>
      </c>
      <c r="F2398" t="s">
        <v>48</v>
      </c>
      <c r="G2398">
        <v>-332.02730000000003</v>
      </c>
      <c r="H2398" s="1">
        <v>-4.9357070000000004E-7</v>
      </c>
      <c r="I2398">
        <v>285.43150000000003</v>
      </c>
      <c r="J2398">
        <v>-316.04910000000001</v>
      </c>
      <c r="K2398">
        <v>1.109375</v>
      </c>
      <c r="L2398">
        <v>284.76089999999999</v>
      </c>
      <c r="M2398">
        <v>-0.99978509999999998</v>
      </c>
      <c r="N2398">
        <v>0</v>
      </c>
      <c r="O2398">
        <v>1.8398689999999999E-2</v>
      </c>
      <c r="P2398">
        <v>-0.98891030000000002</v>
      </c>
      <c r="Q2398">
        <v>0.14659159999999999</v>
      </c>
      <c r="R2398">
        <v>2.3821450000000001E-2</v>
      </c>
      <c r="S2398">
        <v>-3.0617369999999999</v>
      </c>
      <c r="T2398">
        <v>-0.20938599999999999</v>
      </c>
      <c r="U2398">
        <v>0.12741089999999999</v>
      </c>
      <c r="V2398">
        <v>5.6619080000000002E-3</v>
      </c>
      <c r="W2398">
        <v>0.1560425</v>
      </c>
      <c r="X2398">
        <v>0.98773409999999995</v>
      </c>
      <c r="Y2398">
        <v>2.317615E-2</v>
      </c>
      <c r="Z2398">
        <v>-4.6490419999999999E-4</v>
      </c>
      <c r="AA2398">
        <v>0.99973129999999999</v>
      </c>
      <c r="AB2398">
        <v>42</v>
      </c>
      <c r="AC2398">
        <v>-15.978199999999999</v>
      </c>
      <c r="AD2398">
        <v>-1.1093754935707001</v>
      </c>
      <c r="AE2398">
        <v>0.67060000000003495</v>
      </c>
      <c r="AF2398">
        <v>0.37469205011609003</v>
      </c>
      <c r="AG2398">
        <v>-1.1093754935707001</v>
      </c>
      <c r="AH2398">
        <v>15.911266801821601</v>
      </c>
      <c r="AI2398">
        <v>93.987256603516897</v>
      </c>
      <c r="AJ2398">
        <v>88.650999554134302</v>
      </c>
      <c r="AK2398">
        <v>15.9542946994502</v>
      </c>
      <c r="AL2398">
        <v>81.022737039809599</v>
      </c>
      <c r="AM2398">
        <v>89.6715716513758</v>
      </c>
      <c r="AN2398">
        <v>0.99999998565562997</v>
      </c>
    </row>
    <row r="2399" spans="1:40" x14ac:dyDescent="0.25">
      <c r="A2399" t="str">
        <f>"20190312164035597"</f>
        <v>20190312164035597</v>
      </c>
      <c r="B2399" t="str">
        <f>"1552380035588791"</f>
        <v>1552380035588791</v>
      </c>
      <c r="C2399" t="s">
        <v>40</v>
      </c>
      <c r="D2399">
        <v>5.2442489999999999</v>
      </c>
      <c r="E2399">
        <v>0.512121099999999</v>
      </c>
      <c r="F2399" t="s">
        <v>42</v>
      </c>
      <c r="G2399">
        <v>-317.01549999999997</v>
      </c>
      <c r="H2399">
        <v>1.0430029999999999</v>
      </c>
      <c r="I2399">
        <v>284.8014</v>
      </c>
      <c r="J2399">
        <v>-316.286</v>
      </c>
      <c r="K2399">
        <v>1.109372</v>
      </c>
      <c r="L2399">
        <v>284.76530000000002</v>
      </c>
      <c r="M2399">
        <v>-0.99978420000000001</v>
      </c>
      <c r="N2399">
        <v>0</v>
      </c>
      <c r="O2399">
        <v>1.8441929999999999E-2</v>
      </c>
      <c r="P2399">
        <v>-0.98888410000000004</v>
      </c>
      <c r="Q2399">
        <v>0.14681429999999901</v>
      </c>
      <c r="R2399">
        <v>2.3538949999999999E-2</v>
      </c>
      <c r="S2399">
        <v>-3.0617369999999999</v>
      </c>
      <c r="T2399">
        <v>-0.2103015</v>
      </c>
      <c r="U2399">
        <v>0.1280212</v>
      </c>
      <c r="V2399">
        <v>5.3374249999999998E-3</v>
      </c>
      <c r="W2399">
        <v>0.15627049999999901</v>
      </c>
      <c r="X2399">
        <v>0.98769989999999996</v>
      </c>
      <c r="Y2399">
        <v>2.333149E-2</v>
      </c>
      <c r="Z2399">
        <v>-4.6456850000000001E-4</v>
      </c>
      <c r="AA2399">
        <v>0.9997277</v>
      </c>
      <c r="AB2399">
        <v>42</v>
      </c>
      <c r="AC2399">
        <v>-0.72949999999997295</v>
      </c>
      <c r="AD2399">
        <v>-6.63689999999999E-2</v>
      </c>
      <c r="AE2399">
        <v>3.60999999999762E-2</v>
      </c>
      <c r="AF2399">
        <v>2.2454452431602798E-2</v>
      </c>
      <c r="AG2399">
        <v>-6.63689999999999E-2</v>
      </c>
      <c r="AH2399">
        <v>0.72406318200911501</v>
      </c>
      <c r="AI2399">
        <v>95.234702102004704</v>
      </c>
      <c r="AJ2399">
        <v>88.223727997684904</v>
      </c>
      <c r="AK2399">
        <v>0.72744521315090704</v>
      </c>
      <c r="AL2399">
        <v>81.009511708906501</v>
      </c>
      <c r="AM2399">
        <v>89.690382727344598</v>
      </c>
      <c r="AN2399">
        <v>1.0000000248679399</v>
      </c>
    </row>
    <row r="2400" spans="1:40" x14ac:dyDescent="0.25">
      <c r="A2400" t="str">
        <f>"20190312164035609"</f>
        <v>20190312164035609</v>
      </c>
      <c r="B2400" t="str">
        <f>"1552380035598551"</f>
        <v>1552380035598551</v>
      </c>
      <c r="C2400" t="s">
        <v>40</v>
      </c>
      <c r="D2400">
        <v>5.1159470000000002</v>
      </c>
      <c r="E2400">
        <v>0.51219199999999998</v>
      </c>
      <c r="F2400" t="s">
        <v>42</v>
      </c>
      <c r="G2400">
        <v>-317.3843</v>
      </c>
      <c r="H2400">
        <v>1.0342549999999999</v>
      </c>
      <c r="I2400">
        <v>284.8116</v>
      </c>
      <c r="J2400">
        <v>-316.50490000000002</v>
      </c>
      <c r="K2400">
        <v>1.1093740000000001</v>
      </c>
      <c r="L2400">
        <v>284.76940000000002</v>
      </c>
      <c r="M2400">
        <v>-0.99978350000000005</v>
      </c>
      <c r="N2400">
        <v>0</v>
      </c>
      <c r="O2400">
        <v>1.8482499999999999E-2</v>
      </c>
      <c r="P2400">
        <v>-0.98886640000000003</v>
      </c>
      <c r="Q2400">
        <v>0.14692810000000001</v>
      </c>
      <c r="R2400">
        <v>2.3571669999999999E-2</v>
      </c>
      <c r="S2400">
        <v>-3.0617679999999998</v>
      </c>
      <c r="T2400">
        <v>-0.20947869999999999</v>
      </c>
      <c r="U2400">
        <v>0.12844849999999999</v>
      </c>
      <c r="V2400">
        <v>5.3303990000000004E-3</v>
      </c>
      <c r="W2400">
        <v>0.15638869999999999</v>
      </c>
      <c r="X2400">
        <v>0.98768120000000004</v>
      </c>
      <c r="Y2400">
        <v>2.3429720000000001E-2</v>
      </c>
      <c r="Z2400">
        <v>-4.6216399999999999E-4</v>
      </c>
      <c r="AA2400">
        <v>0.99972539999999999</v>
      </c>
      <c r="AB2400">
        <v>42</v>
      </c>
      <c r="AC2400">
        <v>-0.87939999999997498</v>
      </c>
      <c r="AD2400">
        <v>-7.5119000000000102E-2</v>
      </c>
      <c r="AE2400">
        <v>4.2199999999979802E-2</v>
      </c>
      <c r="AF2400">
        <v>2.5751071742867799E-2</v>
      </c>
      <c r="AG2400">
        <v>-7.5119000000000102E-2</v>
      </c>
      <c r="AH2400">
        <v>0.87366950711507096</v>
      </c>
      <c r="AI2400">
        <v>94.912140886678799</v>
      </c>
      <c r="AJ2400">
        <v>88.311717784969105</v>
      </c>
      <c r="AK2400">
        <v>0.87727098978570905</v>
      </c>
      <c r="AL2400">
        <v>81.002654780593005</v>
      </c>
      <c r="AM2400">
        <v>89.690784434571995</v>
      </c>
      <c r="AN2400">
        <v>0.99999999573731402</v>
      </c>
    </row>
    <row r="2401" spans="1:40" x14ac:dyDescent="0.25">
      <c r="A2401" t="str">
        <f>"20190312164035621"</f>
        <v>20190312164035621</v>
      </c>
      <c r="B2401" t="str">
        <f>"1552380035608968"</f>
        <v>1552380035608968</v>
      </c>
      <c r="C2401" t="s">
        <v>40</v>
      </c>
      <c r="D2401">
        <v>5.0538910000000001</v>
      </c>
      <c r="E2401">
        <v>0.51219979999999998</v>
      </c>
      <c r="F2401" t="s">
        <v>42</v>
      </c>
      <c r="G2401">
        <v>-317.39479999999998</v>
      </c>
      <c r="H2401">
        <v>1.0485690000000001</v>
      </c>
      <c r="I2401">
        <v>284.80709999999999</v>
      </c>
      <c r="J2401">
        <v>-316.72219999999999</v>
      </c>
      <c r="K2401">
        <v>1.1093729999999999</v>
      </c>
      <c r="L2401">
        <v>284.77339999999998</v>
      </c>
      <c r="M2401">
        <v>-0.99978250000000002</v>
      </c>
      <c r="N2401">
        <v>0</v>
      </c>
      <c r="O2401">
        <v>1.852289E-2</v>
      </c>
      <c r="P2401">
        <v>-0.98880420000000002</v>
      </c>
      <c r="Q2401">
        <v>0.1473719</v>
      </c>
      <c r="R2401">
        <v>2.3406739999999999E-2</v>
      </c>
      <c r="S2401">
        <v>-3.061798</v>
      </c>
      <c r="T2401">
        <v>-0.20928099999999999</v>
      </c>
      <c r="U2401">
        <v>0.12908939999999999</v>
      </c>
      <c r="V2401">
        <v>5.1265820000000002E-3</v>
      </c>
      <c r="W2401">
        <v>0.156836999999999</v>
      </c>
      <c r="X2401">
        <v>0.98761120000000002</v>
      </c>
      <c r="Y2401">
        <v>2.3597529999999999E-2</v>
      </c>
      <c r="Z2401">
        <v>-4.587514E-4</v>
      </c>
      <c r="AA2401">
        <v>0.99972139999999998</v>
      </c>
      <c r="AB2401">
        <v>42</v>
      </c>
      <c r="AC2401">
        <v>-0.67259999999998799</v>
      </c>
      <c r="AD2401">
        <v>-6.0803999999999803E-2</v>
      </c>
      <c r="AE2401">
        <v>3.3700000000010201E-2</v>
      </c>
      <c r="AF2401">
        <v>2.1063441547607802E-2</v>
      </c>
      <c r="AG2401">
        <v>-6.0803999999999803E-2</v>
      </c>
      <c r="AH2401">
        <v>0.66766606335805001</v>
      </c>
      <c r="AI2401">
        <v>95.200969632080202</v>
      </c>
      <c r="AJ2401">
        <v>88.193039560776896</v>
      </c>
      <c r="AK2401">
        <v>0.67075984312260695</v>
      </c>
      <c r="AL2401">
        <v>80.9766482411749</v>
      </c>
      <c r="AM2401">
        <v>89.702586530268405</v>
      </c>
      <c r="AN2401">
        <v>1.0000000043887201</v>
      </c>
    </row>
    <row r="2402" spans="1:40" x14ac:dyDescent="0.25">
      <c r="A2402" t="str">
        <f>"20190312164035633"</f>
        <v>20190312164035633</v>
      </c>
      <c r="B2402" t="str">
        <f>"1552380035628487"</f>
        <v>1552380035628487</v>
      </c>
      <c r="C2402" t="s">
        <v>40</v>
      </c>
      <c r="D2402">
        <v>5.1143369999999999</v>
      </c>
      <c r="E2402">
        <v>0.51220029999999905</v>
      </c>
      <c r="F2402" t="s">
        <v>42</v>
      </c>
      <c r="G2402">
        <v>-317.76119999999997</v>
      </c>
      <c r="H2402">
        <v>1.0387519999999999</v>
      </c>
      <c r="I2402">
        <v>284.81700000000001</v>
      </c>
      <c r="J2402">
        <v>-316.95690000000002</v>
      </c>
      <c r="K2402">
        <v>1.1093789999999999</v>
      </c>
      <c r="L2402">
        <v>284.77780000000001</v>
      </c>
      <c r="M2402">
        <v>-0.9997817</v>
      </c>
      <c r="N2402">
        <v>0</v>
      </c>
      <c r="O2402">
        <v>1.8566249999999999E-2</v>
      </c>
      <c r="P2402">
        <v>-0.98875930000000001</v>
      </c>
      <c r="Q2402">
        <v>0.147678</v>
      </c>
      <c r="R2402">
        <v>2.3367490000000001E-2</v>
      </c>
      <c r="S2402">
        <v>-3.0619510000000001</v>
      </c>
      <c r="T2402">
        <v>-0.20805119999999999</v>
      </c>
      <c r="U2402">
        <v>0.12847900000000001</v>
      </c>
      <c r="V2402">
        <v>5.0453549999999996E-3</v>
      </c>
      <c r="W2402">
        <v>0.157147799999999</v>
      </c>
      <c r="X2402">
        <v>0.98756219999999995</v>
      </c>
      <c r="Y2402">
        <v>2.335394E-2</v>
      </c>
      <c r="Z2402">
        <v>-4.6724519999999999E-4</v>
      </c>
      <c r="AA2402">
        <v>0.99972709999999998</v>
      </c>
      <c r="AB2402">
        <v>42</v>
      </c>
      <c r="AC2402">
        <v>-0.80429999999995505</v>
      </c>
      <c r="AD2402">
        <v>-7.0626999999999995E-2</v>
      </c>
      <c r="AE2402">
        <v>3.9199999999993899E-2</v>
      </c>
      <c r="AF2402">
        <v>2.40745254027857E-2</v>
      </c>
      <c r="AG2402">
        <v>-7.0626999999999995E-2</v>
      </c>
      <c r="AH2402">
        <v>0.798744732710989</v>
      </c>
      <c r="AI2402">
        <v>95.0508118991998</v>
      </c>
      <c r="AJ2402">
        <v>88.273602095769306</v>
      </c>
      <c r="AK2402">
        <v>0.80222247783013301</v>
      </c>
      <c r="AL2402">
        <v>80.958617017617001</v>
      </c>
      <c r="AM2402">
        <v>89.707284227131495</v>
      </c>
      <c r="AN2402">
        <v>0.99999999276037799</v>
      </c>
    </row>
    <row r="2403" spans="1:40" x14ac:dyDescent="0.25">
      <c r="A2403" t="str">
        <f>"20190312164035649"</f>
        <v>20190312164035649</v>
      </c>
      <c r="B2403" t="str">
        <f>"1552380035638248"</f>
        <v>1552380035638248</v>
      </c>
      <c r="C2403" t="s">
        <v>40</v>
      </c>
      <c r="D2403">
        <v>5.185943</v>
      </c>
      <c r="E2403">
        <v>0.51201009999999902</v>
      </c>
      <c r="F2403" t="s">
        <v>48</v>
      </c>
      <c r="G2403">
        <v>-333.35129999999998</v>
      </c>
      <c r="H2403" s="1">
        <v>2.0954680000000001E-7</v>
      </c>
      <c r="I2403">
        <v>285.46480000000003</v>
      </c>
      <c r="J2403">
        <v>-317.25439999999998</v>
      </c>
      <c r="K2403">
        <v>1.1093770000000001</v>
      </c>
      <c r="L2403">
        <v>284.78339999999997</v>
      </c>
      <c r="M2403">
        <v>-0.99978060000000002</v>
      </c>
      <c r="N2403">
        <v>0</v>
      </c>
      <c r="O2403">
        <v>1.8621169999999999E-2</v>
      </c>
      <c r="P2403">
        <v>-0.98875829999999998</v>
      </c>
      <c r="Q2403">
        <v>0.14773029999999901</v>
      </c>
      <c r="R2403">
        <v>2.3087320000000001E-2</v>
      </c>
      <c r="S2403">
        <v>-3.0619809999999998</v>
      </c>
      <c r="T2403">
        <v>-0.20719779999999999</v>
      </c>
      <c r="U2403">
        <v>0.12829589999999999</v>
      </c>
      <c r="V2403">
        <v>4.7110320000000004E-3</v>
      </c>
      <c r="W2403">
        <v>0.1572067</v>
      </c>
      <c r="X2403">
        <v>0.9875545</v>
      </c>
      <c r="Y2403">
        <v>2.32394E-2</v>
      </c>
      <c r="Z2403">
        <v>-4.7290789999999999E-4</v>
      </c>
      <c r="AA2403">
        <v>0.9997298</v>
      </c>
      <c r="AB2403">
        <v>42</v>
      </c>
      <c r="AC2403">
        <v>-16.096900000000002</v>
      </c>
      <c r="AD2403">
        <v>-1.1093767904531999</v>
      </c>
      <c r="AE2403">
        <v>0.68140000000005296</v>
      </c>
      <c r="AF2403">
        <v>0.37972455811486899</v>
      </c>
      <c r="AG2403">
        <v>-1.1093767904531999</v>
      </c>
      <c r="AH2403">
        <v>16.0307912041722</v>
      </c>
      <c r="AI2403">
        <v>93.957614462411399</v>
      </c>
      <c r="AJ2403">
        <v>88.643077153358902</v>
      </c>
      <c r="AK2403">
        <v>16.073617335092798</v>
      </c>
      <c r="AL2403">
        <v>80.955200028400398</v>
      </c>
      <c r="AM2403">
        <v>89.726678169900893</v>
      </c>
      <c r="AN2403">
        <v>1.00000001540882</v>
      </c>
    </row>
    <row r="2404" spans="1:40" x14ac:dyDescent="0.25">
      <c r="A2404" t="str">
        <f>"20190312164035664"</f>
        <v>20190312164035664</v>
      </c>
      <c r="B2404" t="str">
        <f>"1552380035658743"</f>
        <v>1552380035658743</v>
      </c>
      <c r="C2404" t="s">
        <v>40</v>
      </c>
      <c r="D2404">
        <v>5.1470260000000003</v>
      </c>
      <c r="E2404">
        <v>0.47612070000000001</v>
      </c>
      <c r="F2404" t="s">
        <v>42</v>
      </c>
      <c r="G2404">
        <v>-318.14609999999999</v>
      </c>
      <c r="H2404">
        <v>1.0491520000000001</v>
      </c>
      <c r="I2404">
        <v>284.82049999999998</v>
      </c>
      <c r="J2404">
        <v>-317.53410000000002</v>
      </c>
      <c r="K2404">
        <v>1.1093729999999999</v>
      </c>
      <c r="L2404">
        <v>284.78870000000001</v>
      </c>
      <c r="M2404">
        <v>-0.99977969999999905</v>
      </c>
      <c r="N2404">
        <v>0</v>
      </c>
      <c r="O2404">
        <v>1.8672580000000001E-2</v>
      </c>
      <c r="P2404">
        <v>-0.98873840000000002</v>
      </c>
      <c r="Q2404">
        <v>0.1478719</v>
      </c>
      <c r="R2404">
        <v>2.3030889999999998E-2</v>
      </c>
      <c r="S2404">
        <v>-3.0620729999999998</v>
      </c>
      <c r="T2404">
        <v>-0.20691590000000001</v>
      </c>
      <c r="U2404">
        <v>0.1262817</v>
      </c>
      <c r="V2404">
        <v>4.6040990000000004E-3</v>
      </c>
      <c r="W2404">
        <v>0.15735460000000001</v>
      </c>
      <c r="X2404">
        <v>0.98753139999999995</v>
      </c>
      <c r="Y2404">
        <v>2.2532030000000002E-2</v>
      </c>
      <c r="Z2404">
        <v>-4.9959009999999999E-4</v>
      </c>
      <c r="AA2404">
        <v>0.99974600000000002</v>
      </c>
      <c r="AB2404">
        <v>42</v>
      </c>
      <c r="AC2404">
        <v>-0.61199999999996602</v>
      </c>
      <c r="AD2404">
        <v>-6.0220999999999802E-2</v>
      </c>
      <c r="AE2404">
        <v>3.1799999999975598E-2</v>
      </c>
      <c r="AF2404">
        <v>2.0171523836975999E-2</v>
      </c>
      <c r="AG2404">
        <v>-6.0220999999999802E-2</v>
      </c>
      <c r="AH2404">
        <v>0.60662915841966902</v>
      </c>
      <c r="AI2404">
        <v>95.666153491642305</v>
      </c>
      <c r="AJ2404">
        <v>88.095512742082093</v>
      </c>
      <c r="AK2404">
        <v>0.60994458359744597</v>
      </c>
      <c r="AL2404">
        <v>80.946618742489505</v>
      </c>
      <c r="AM2404">
        <v>89.732875805402301</v>
      </c>
      <c r="AN2404">
        <v>0.99999996692736004</v>
      </c>
    </row>
    <row r="2405" spans="1:40" x14ac:dyDescent="0.25">
      <c r="A2405" t="str">
        <f>"20190312164035676"</f>
        <v>20190312164035676</v>
      </c>
      <c r="B2405" t="str">
        <f>"1552380035668503"</f>
        <v>1552380035668503</v>
      </c>
      <c r="C2405" t="s">
        <v>40</v>
      </c>
      <c r="D2405">
        <v>5.133521</v>
      </c>
      <c r="E2405">
        <v>0.47336400000000001</v>
      </c>
      <c r="F2405" t="s">
        <v>48</v>
      </c>
      <c r="G2405">
        <v>-338.77539999999999</v>
      </c>
      <c r="H2405" s="1">
        <v>3.1733650000000001E-6</v>
      </c>
      <c r="I2405">
        <v>283.69349999999997</v>
      </c>
      <c r="J2405">
        <v>-317.77210000000002</v>
      </c>
      <c r="K2405">
        <v>1.109372</v>
      </c>
      <c r="L2405">
        <v>284.79320000000001</v>
      </c>
      <c r="M2405">
        <v>-0.99977879999999997</v>
      </c>
      <c r="N2405">
        <v>0</v>
      </c>
      <c r="O2405">
        <v>1.8716489999999999E-2</v>
      </c>
      <c r="P2405">
        <v>-0.9887378</v>
      </c>
      <c r="Q2405">
        <v>0.1478805</v>
      </c>
      <c r="R2405">
        <v>2.300373E-2</v>
      </c>
      <c r="S2405">
        <v>-3.061798</v>
      </c>
      <c r="T2405">
        <v>-0.15990850000000001</v>
      </c>
      <c r="U2405">
        <v>-0.15786739999999999</v>
      </c>
      <c r="V2405">
        <v>4.5336020000000003E-3</v>
      </c>
      <c r="W2405">
        <v>0.15736820000000001</v>
      </c>
      <c r="X2405">
        <v>0.98752960000000001</v>
      </c>
      <c r="Y2405">
        <v>-7.0054779999999997E-2</v>
      </c>
      <c r="Z2405">
        <v>-2.8032320000000001E-3</v>
      </c>
      <c r="AA2405">
        <v>0.99753919999999996</v>
      </c>
      <c r="AB2405">
        <v>42</v>
      </c>
      <c r="AC2405">
        <v>-21.0032999999999</v>
      </c>
      <c r="AD2405">
        <v>-1.1093688266349999</v>
      </c>
      <c r="AE2405">
        <v>-1.0997000000000401</v>
      </c>
      <c r="AF2405">
        <v>-1.4884922176356301</v>
      </c>
      <c r="AG2405">
        <v>-1.1093688266349999</v>
      </c>
      <c r="AH2405">
        <v>20.920831190008499</v>
      </c>
      <c r="AI2405">
        <v>93.027740688638701</v>
      </c>
      <c r="AJ2405">
        <v>94.069668610274903</v>
      </c>
      <c r="AK2405">
        <v>21.003035160573901</v>
      </c>
      <c r="AL2405">
        <v>80.945830058612998</v>
      </c>
      <c r="AM2405">
        <v>89.736965417798302</v>
      </c>
      <c r="AN2405">
        <v>1.0000000073972399</v>
      </c>
    </row>
    <row r="2406" spans="1:40" x14ac:dyDescent="0.25">
      <c r="A2406" t="str">
        <f>"20190312164035688"</f>
        <v>20190312164035688</v>
      </c>
      <c r="B2406" t="str">
        <f>"1552380035678264"</f>
        <v>1552380035678264</v>
      </c>
      <c r="C2406" t="s">
        <v>40</v>
      </c>
      <c r="D2406">
        <v>5.2482329999999999</v>
      </c>
      <c r="E2406">
        <v>0.47220760000000001</v>
      </c>
      <c r="F2406" t="s">
        <v>48</v>
      </c>
      <c r="G2406">
        <v>-338.76069999999999</v>
      </c>
      <c r="H2406" s="1">
        <v>3.171489E-6</v>
      </c>
      <c r="I2406">
        <v>283.55829999999997</v>
      </c>
      <c r="J2406">
        <v>-317.98180000000002</v>
      </c>
      <c r="K2406">
        <v>1.109372</v>
      </c>
      <c r="L2406">
        <v>284.7971</v>
      </c>
      <c r="M2406">
        <v>-0.99977800000000006</v>
      </c>
      <c r="N2406">
        <v>0</v>
      </c>
      <c r="O2406">
        <v>1.8755029999999999E-2</v>
      </c>
      <c r="P2406">
        <v>-0.98874410000000001</v>
      </c>
      <c r="Q2406">
        <v>0.14780969999999999</v>
      </c>
      <c r="R2406">
        <v>2.3185259999999999E-2</v>
      </c>
      <c r="S2406">
        <v>-3.0625610000000001</v>
      </c>
      <c r="T2406">
        <v>-0.16187370000000001</v>
      </c>
      <c r="U2406">
        <v>-0.1801758</v>
      </c>
      <c r="V2406">
        <v>4.6769020000000001E-3</v>
      </c>
      <c r="W2406">
        <v>0.15730179999999999</v>
      </c>
      <c r="X2406">
        <v>0.98753950000000001</v>
      </c>
      <c r="Y2406">
        <v>-7.7309710000000004E-2</v>
      </c>
      <c r="Z2406">
        <v>-3.0298460000000001E-3</v>
      </c>
      <c r="AA2406">
        <v>0.99700250000000001</v>
      </c>
      <c r="AB2406">
        <v>42</v>
      </c>
      <c r="AC2406">
        <v>-20.778899999999901</v>
      </c>
      <c r="AD2406">
        <v>-1.1093688285109999</v>
      </c>
      <c r="AE2406">
        <v>-1.2388000000000201</v>
      </c>
      <c r="AF2406">
        <v>-1.62369714053756</v>
      </c>
      <c r="AG2406">
        <v>-1.1093688285109999</v>
      </c>
      <c r="AH2406">
        <v>20.693234811963599</v>
      </c>
      <c r="AI2406">
        <v>93.059316239995198</v>
      </c>
      <c r="AJ2406">
        <v>94.486527735806604</v>
      </c>
      <c r="AK2406">
        <v>20.786463349615801</v>
      </c>
      <c r="AL2406">
        <v>80.949682383125605</v>
      </c>
      <c r="AM2406">
        <v>89.728654152643699</v>
      </c>
      <c r="AN2406">
        <v>0.99999999687790297</v>
      </c>
    </row>
    <row r="2407" spans="1:40" x14ac:dyDescent="0.25">
      <c r="A2407" t="str">
        <f>"20190312164035700"</f>
        <v>20190312164035700</v>
      </c>
      <c r="B2407" t="str">
        <f>"1552380035688023"</f>
        <v>1552380035688023</v>
      </c>
      <c r="C2407" t="s">
        <v>40</v>
      </c>
      <c r="D2407">
        <v>5.1878989999999998</v>
      </c>
      <c r="E2407">
        <v>0.47115810000000002</v>
      </c>
      <c r="F2407" t="s">
        <v>48</v>
      </c>
      <c r="G2407">
        <v>-340.07049999999998</v>
      </c>
      <c r="H2407" s="1">
        <v>-1.499256E-6</v>
      </c>
      <c r="I2407">
        <v>283.4357</v>
      </c>
      <c r="J2407">
        <v>-318.20049999999998</v>
      </c>
      <c r="K2407">
        <v>1.1093740000000001</v>
      </c>
      <c r="L2407">
        <v>284.80119999999999</v>
      </c>
      <c r="M2407">
        <v>-0.99977729999999998</v>
      </c>
      <c r="N2407">
        <v>0</v>
      </c>
      <c r="O2407">
        <v>1.8795240000000001E-2</v>
      </c>
      <c r="P2407">
        <v>-0.98872700000000002</v>
      </c>
      <c r="Q2407">
        <v>0.1479095</v>
      </c>
      <c r="R2407">
        <v>2.3276789999999999E-2</v>
      </c>
      <c r="S2407">
        <v>-3.0615540000000001</v>
      </c>
      <c r="T2407">
        <v>-0.15376199999999901</v>
      </c>
      <c r="U2407">
        <v>-0.1886902</v>
      </c>
      <c r="V2407">
        <v>4.7289699999999999E-3</v>
      </c>
      <c r="W2407">
        <v>0.15740680000000001</v>
      </c>
      <c r="X2407">
        <v>0.98752249999999997</v>
      </c>
      <c r="Y2407">
        <v>-8.0140820000000001E-2</v>
      </c>
      <c r="Z2407">
        <v>-2.9519199999999998E-3</v>
      </c>
      <c r="AA2407">
        <v>0.99677919999999998</v>
      </c>
      <c r="AB2407">
        <v>42</v>
      </c>
      <c r="AC2407">
        <v>-21.87</v>
      </c>
      <c r="AD2407">
        <v>-1.1093754992560001</v>
      </c>
      <c r="AE2407">
        <v>-1.3654999999999899</v>
      </c>
      <c r="AF2407">
        <v>-1.7717882792356601</v>
      </c>
      <c r="AG2407">
        <v>-1.1093754992560001</v>
      </c>
      <c r="AH2407">
        <v>21.7846335688937</v>
      </c>
      <c r="AI2407">
        <v>92.905672929769196</v>
      </c>
      <c r="AJ2407">
        <v>94.649747043127903</v>
      </c>
      <c r="AK2407">
        <v>21.884702589611699</v>
      </c>
      <c r="AL2407">
        <v>80.943590242700594</v>
      </c>
      <c r="AM2407">
        <v>89.725628579253694</v>
      </c>
      <c r="AN2407">
        <v>0.999999975924875</v>
      </c>
    </row>
    <row r="2408" spans="1:40" x14ac:dyDescent="0.25">
      <c r="A2408" t="str">
        <f>"20190312164035716"</f>
        <v>20190312164035716</v>
      </c>
      <c r="B2408" t="str">
        <f>"1552380035708153"</f>
        <v>1552380035708153</v>
      </c>
      <c r="C2408" t="s">
        <v>40</v>
      </c>
      <c r="D2408">
        <v>5.0797879999999997</v>
      </c>
      <c r="E2408">
        <v>0.47027049999999998</v>
      </c>
      <c r="F2408" t="s">
        <v>48</v>
      </c>
      <c r="G2408">
        <v>-341.41419999999999</v>
      </c>
      <c r="H2408" s="1">
        <v>-7.8421509999999998E-7</v>
      </c>
      <c r="I2408">
        <v>283.30950000000001</v>
      </c>
      <c r="J2408">
        <v>-318.52359999999999</v>
      </c>
      <c r="K2408">
        <v>1.109372</v>
      </c>
      <c r="L2408">
        <v>284.8073</v>
      </c>
      <c r="M2408">
        <v>-0.99977590000000005</v>
      </c>
      <c r="N2408">
        <v>0</v>
      </c>
      <c r="O2408">
        <v>1.8854510000000001E-2</v>
      </c>
      <c r="P2408">
        <v>-0.98867059999999996</v>
      </c>
      <c r="Q2408">
        <v>0.14826159999999999</v>
      </c>
      <c r="R2408">
        <v>2.3426789999999999E-2</v>
      </c>
      <c r="S2408">
        <v>-3.0606689999999999</v>
      </c>
      <c r="T2408">
        <v>-0.14626819999999999</v>
      </c>
      <c r="U2408">
        <v>-0.19668579999999999</v>
      </c>
      <c r="V2408">
        <v>4.8216580000000004E-3</v>
      </c>
      <c r="W2408">
        <v>0.15776519999999999</v>
      </c>
      <c r="X2408">
        <v>0.98746489999999998</v>
      </c>
      <c r="Y2408">
        <v>-8.281964E-2</v>
      </c>
      <c r="Z2408">
        <v>-2.8755450000000002E-3</v>
      </c>
      <c r="AA2408">
        <v>0.99656040000000001</v>
      </c>
      <c r="AB2408">
        <v>42</v>
      </c>
      <c r="AC2408">
        <v>-22.890599999999999</v>
      </c>
      <c r="AD2408">
        <v>-1.1093727842151</v>
      </c>
      <c r="AE2408">
        <v>-1.49779999999998</v>
      </c>
      <c r="AF2408">
        <v>-1.9246434917225901</v>
      </c>
      <c r="AG2408">
        <v>-1.1093727842151</v>
      </c>
      <c r="AH2408">
        <v>22.804953690274601</v>
      </c>
      <c r="AI2408">
        <v>92.775172298660195</v>
      </c>
      <c r="AJ2408">
        <v>94.824094328702202</v>
      </c>
      <c r="AK2408">
        <v>22.912897533052401</v>
      </c>
      <c r="AL2408">
        <v>80.922795993960705</v>
      </c>
      <c r="AM2408">
        <v>89.720234655310705</v>
      </c>
      <c r="AN2408">
        <v>1.0000000177244499</v>
      </c>
    </row>
    <row r="2409" spans="1:40" x14ac:dyDescent="0.25">
      <c r="A2409" t="str">
        <f>"20190312164035728"</f>
        <v>20190312164035728</v>
      </c>
      <c r="B2409" t="str">
        <f>"1552380035718886"</f>
        <v>1552380035718886</v>
      </c>
      <c r="C2409" t="s">
        <v>40</v>
      </c>
      <c r="D2409">
        <v>5.0616110000000001</v>
      </c>
      <c r="E2409">
        <v>0.47004269999999998</v>
      </c>
      <c r="F2409" t="s">
        <v>48</v>
      </c>
      <c r="G2409">
        <v>-342.76479999999998</v>
      </c>
      <c r="H2409" s="1">
        <v>-6.5523469999999995E-8</v>
      </c>
      <c r="I2409">
        <v>283.19819999999999</v>
      </c>
      <c r="J2409">
        <v>-318.73110000000003</v>
      </c>
      <c r="K2409">
        <v>1.109369</v>
      </c>
      <c r="L2409">
        <v>284.81130000000002</v>
      </c>
      <c r="M2409">
        <v>-0.99977539999999998</v>
      </c>
      <c r="N2409">
        <v>0</v>
      </c>
      <c r="O2409">
        <v>1.88924E-2</v>
      </c>
      <c r="P2409">
        <v>-0.98867229999999995</v>
      </c>
      <c r="Q2409">
        <v>0.1482088</v>
      </c>
      <c r="R2409">
        <v>2.3696800000000001E-2</v>
      </c>
      <c r="S2409">
        <v>-3.0601500000000001</v>
      </c>
      <c r="T2409">
        <v>-0.14004459999999999</v>
      </c>
      <c r="U2409">
        <v>-0.203125</v>
      </c>
      <c r="V2409">
        <v>5.0541479999999996E-3</v>
      </c>
      <c r="W2409">
        <v>0.1577171</v>
      </c>
      <c r="X2409">
        <v>0.9874714</v>
      </c>
      <c r="Y2409">
        <v>-8.4963430000000006E-2</v>
      </c>
      <c r="Z2409">
        <v>-2.8043090000000001E-3</v>
      </c>
      <c r="AA2409">
        <v>0.99638020000000005</v>
      </c>
      <c r="AB2409">
        <v>42</v>
      </c>
      <c r="AC2409">
        <v>-24.0336999999999</v>
      </c>
      <c r="AD2409">
        <v>-1.10936906552347</v>
      </c>
      <c r="AE2409">
        <v>-1.61310000000003</v>
      </c>
      <c r="AF2409">
        <v>-2.06251251342331</v>
      </c>
      <c r="AG2409">
        <v>-1.10936906552347</v>
      </c>
      <c r="AH2409">
        <v>23.948137279646499</v>
      </c>
      <c r="AI2409">
        <v>92.642494850653904</v>
      </c>
      <c r="AJ2409">
        <v>94.922402781920297</v>
      </c>
      <c r="AK2409">
        <v>24.062375958254002</v>
      </c>
      <c r="AL2409">
        <v>80.925586670898895</v>
      </c>
      <c r="AM2409">
        <v>89.706747131328797</v>
      </c>
      <c r="AN2409">
        <v>0.99999999693118702</v>
      </c>
    </row>
    <row r="2410" spans="1:40" x14ac:dyDescent="0.25">
      <c r="A2410" t="str">
        <f>"20190312164035751"</f>
        <v>20190312164035751</v>
      </c>
      <c r="B2410" t="str">
        <f>"1552380035748167"</f>
        <v>1552380035748167</v>
      </c>
      <c r="C2410" t="s">
        <v>40</v>
      </c>
      <c r="D2410">
        <v>5.1342080000000001</v>
      </c>
      <c r="E2410">
        <v>0.4696941</v>
      </c>
      <c r="F2410" t="s">
        <v>48</v>
      </c>
      <c r="G2410">
        <v>-343.3168</v>
      </c>
      <c r="H2410" s="1">
        <v>2.2825949999999999E-7</v>
      </c>
      <c r="I2410">
        <v>283.17290000000003</v>
      </c>
      <c r="J2410">
        <v>-319.15789999999998</v>
      </c>
      <c r="K2410">
        <v>1.1093679999999999</v>
      </c>
      <c r="L2410">
        <v>284.81939999999997</v>
      </c>
      <c r="M2410">
        <v>-0.99977369999999999</v>
      </c>
      <c r="N2410">
        <v>0</v>
      </c>
      <c r="O2410">
        <v>1.8970500000000001E-2</v>
      </c>
      <c r="P2410">
        <v>-0.98871109999999895</v>
      </c>
      <c r="Q2410">
        <v>0.14791589999999999</v>
      </c>
      <c r="R2410">
        <v>2.390428E-2</v>
      </c>
      <c r="S2410">
        <v>-3.0599669999999999</v>
      </c>
      <c r="T2410">
        <v>-0.13807320000000001</v>
      </c>
      <c r="U2410">
        <v>-0.2039185</v>
      </c>
      <c r="V2410">
        <v>5.183773E-3</v>
      </c>
      <c r="W2410">
        <v>0.15743360000000001</v>
      </c>
      <c r="X2410">
        <v>0.98751599999999995</v>
      </c>
      <c r="Y2410">
        <v>-8.5305010000000001E-2</v>
      </c>
      <c r="Z2410">
        <v>-2.7762289999999998E-3</v>
      </c>
      <c r="AA2410">
        <v>0.99635099999999999</v>
      </c>
      <c r="AB2410">
        <v>42</v>
      </c>
      <c r="AC2410">
        <v>-24.158899999999999</v>
      </c>
      <c r="AD2410">
        <v>-1.1093677717404999</v>
      </c>
      <c r="AE2410">
        <v>-1.6464999999999399</v>
      </c>
      <c r="AF2410">
        <v>-2.1001234512964602</v>
      </c>
      <c r="AG2410">
        <v>-1.1093677717404999</v>
      </c>
      <c r="AH2410">
        <v>24.072790174983702</v>
      </c>
      <c r="AI2410">
        <v>92.628575620227494</v>
      </c>
      <c r="AJ2410">
        <v>94.985891815387504</v>
      </c>
      <c r="AK2410">
        <v>24.189676355264801</v>
      </c>
      <c r="AL2410">
        <v>80.942035823351603</v>
      </c>
      <c r="AM2410">
        <v>89.699239721830097</v>
      </c>
      <c r="AN2410">
        <v>1.00000003008373</v>
      </c>
    </row>
    <row r="2411" spans="1:40" x14ac:dyDescent="0.25">
      <c r="A2411" t="str">
        <f>"20190312164035774"</f>
        <v>20190312164035774</v>
      </c>
      <c r="B2411" t="str">
        <f>"1552380035768664"</f>
        <v>1552380035768664</v>
      </c>
      <c r="C2411" t="s">
        <v>40</v>
      </c>
      <c r="D2411">
        <v>5.1402590000000004</v>
      </c>
      <c r="E2411">
        <v>0.4696941</v>
      </c>
      <c r="F2411" t="s">
        <v>48</v>
      </c>
      <c r="G2411">
        <v>-343.9649</v>
      </c>
      <c r="H2411" s="1">
        <v>5.7312559999999997E-7</v>
      </c>
      <c r="I2411">
        <v>283.1515</v>
      </c>
      <c r="J2411">
        <v>-319.59070000000003</v>
      </c>
      <c r="K2411">
        <v>1.109372</v>
      </c>
      <c r="L2411">
        <v>284.82769999999999</v>
      </c>
      <c r="M2411">
        <v>-0.99977210000000005</v>
      </c>
      <c r="N2411">
        <v>0</v>
      </c>
      <c r="O2411">
        <v>1.9049259999999998E-2</v>
      </c>
      <c r="P2411">
        <v>-0.98874989999999996</v>
      </c>
      <c r="Q2411">
        <v>0.14765139999999999</v>
      </c>
      <c r="R2411">
        <v>2.3935999999999999E-2</v>
      </c>
      <c r="S2411">
        <v>-3.0596920000000001</v>
      </c>
      <c r="T2411">
        <v>-0.13682949999999999</v>
      </c>
      <c r="U2411">
        <v>-0.20571900000000001</v>
      </c>
      <c r="V2411">
        <v>5.1369270000000003E-3</v>
      </c>
      <c r="W2411">
        <v>0.1571785</v>
      </c>
      <c r="X2411">
        <v>0.98755689999999996</v>
      </c>
      <c r="Y2411">
        <v>-8.5974270000000005E-2</v>
      </c>
      <c r="Z2411">
        <v>-2.7698979999999998E-3</v>
      </c>
      <c r="AA2411">
        <v>0.99629350000000005</v>
      </c>
      <c r="AB2411">
        <v>42</v>
      </c>
      <c r="AC2411">
        <v>-24.374199999999899</v>
      </c>
      <c r="AD2411">
        <v>-1.1093714268743999</v>
      </c>
      <c r="AE2411">
        <v>-1.6761999999999899</v>
      </c>
      <c r="AF2411">
        <v>-2.1358242364739999</v>
      </c>
      <c r="AG2411">
        <v>-1.1093714268743999</v>
      </c>
      <c r="AH2411">
        <v>24.287768701003198</v>
      </c>
      <c r="AI2411">
        <v>92.605192276122295</v>
      </c>
      <c r="AJ2411">
        <v>95.025563580228606</v>
      </c>
      <c r="AK2411">
        <v>24.406723635205601</v>
      </c>
      <c r="AL2411">
        <v>80.956836422869301</v>
      </c>
      <c r="AM2411">
        <v>89.701970000632897</v>
      </c>
      <c r="AN2411">
        <v>1.0000000498094299</v>
      </c>
    </row>
    <row r="2412" spans="1:40" x14ac:dyDescent="0.25">
      <c r="A2412" t="str">
        <f>"20190312164035795"</f>
        <v>20190312164035795</v>
      </c>
      <c r="B2412" t="str">
        <f>"1552380035788185"</f>
        <v>1552380035788185</v>
      </c>
      <c r="C2412" t="s">
        <v>40</v>
      </c>
      <c r="D2412">
        <v>5.1157120000000003</v>
      </c>
      <c r="E2412">
        <v>0.4653658</v>
      </c>
      <c r="F2412" t="s">
        <v>48</v>
      </c>
      <c r="G2412">
        <v>-344.24239999999998</v>
      </c>
      <c r="H2412" s="1">
        <v>7.2082700000000005E-7</v>
      </c>
      <c r="I2412">
        <v>283.17309999999998</v>
      </c>
      <c r="J2412">
        <v>-320.00170000000003</v>
      </c>
      <c r="K2412">
        <v>1.109375</v>
      </c>
      <c r="L2412">
        <v>284.8356</v>
      </c>
      <c r="M2412">
        <v>-0.99977059999999995</v>
      </c>
      <c r="N2412">
        <v>0</v>
      </c>
      <c r="O2412">
        <v>1.9123899999999999E-2</v>
      </c>
      <c r="P2412">
        <v>-0.98870309999999995</v>
      </c>
      <c r="Q2412">
        <v>0.14797080000000001</v>
      </c>
      <c r="R2412">
        <v>2.3892509999999999E-2</v>
      </c>
      <c r="S2412">
        <v>-3.059631</v>
      </c>
      <c r="T2412">
        <v>-0.1376888</v>
      </c>
      <c r="U2412">
        <v>-0.2053528</v>
      </c>
      <c r="V2412">
        <v>5.0206160000000003E-3</v>
      </c>
      <c r="W2412">
        <v>0.1575067</v>
      </c>
      <c r="X2412">
        <v>0.98750510000000002</v>
      </c>
      <c r="Y2412">
        <v>-8.5929920000000007E-2</v>
      </c>
      <c r="Z2412">
        <v>-2.7896990000000001E-3</v>
      </c>
      <c r="AA2412">
        <v>0.99629730000000005</v>
      </c>
      <c r="AB2412">
        <v>42</v>
      </c>
      <c r="AC2412">
        <v>-24.240699999999901</v>
      </c>
      <c r="AD2412">
        <v>-1.1093742791729999</v>
      </c>
      <c r="AE2412">
        <v>-1.6625000000000201</v>
      </c>
      <c r="AF2412">
        <v>-2.1213719576834502</v>
      </c>
      <c r="AG2412">
        <v>-1.1093742791729999</v>
      </c>
      <c r="AH2412">
        <v>24.1541192460212</v>
      </c>
      <c r="AI2412">
        <v>92.619619509808004</v>
      </c>
      <c r="AJ2412">
        <v>95.019209484359905</v>
      </c>
      <c r="AK2412">
        <v>24.2724619028468</v>
      </c>
      <c r="AL2412">
        <v>80.937793808151795</v>
      </c>
      <c r="AM2412">
        <v>89.708702639746306</v>
      </c>
      <c r="AN2412">
        <v>0.99999994482795795</v>
      </c>
    </row>
    <row r="2413" spans="1:40" x14ac:dyDescent="0.25">
      <c r="A2413" t="str">
        <f>"20190312164035817"</f>
        <v>20190312164035817</v>
      </c>
      <c r="B2413" t="str">
        <f>"1552380035808681"</f>
        <v>1552380035808681</v>
      </c>
      <c r="C2413" t="s">
        <v>40</v>
      </c>
      <c r="D2413">
        <v>5.0954090000000001</v>
      </c>
      <c r="E2413">
        <v>0.46545819999999999</v>
      </c>
      <c r="F2413" t="s">
        <v>48</v>
      </c>
      <c r="G2413">
        <v>-335.35239999999999</v>
      </c>
      <c r="H2413" s="1">
        <v>1.3556049999999999E-6</v>
      </c>
      <c r="I2413">
        <v>283.60719999999998</v>
      </c>
      <c r="J2413">
        <v>-320.4128</v>
      </c>
      <c r="K2413">
        <v>1.109372</v>
      </c>
      <c r="L2413">
        <v>284.84350000000001</v>
      </c>
      <c r="M2413">
        <v>-0.99976909999999997</v>
      </c>
      <c r="N2413">
        <v>0</v>
      </c>
      <c r="O2413">
        <v>1.9199310000000001E-2</v>
      </c>
      <c r="P2413">
        <v>-0.98867570000000005</v>
      </c>
      <c r="Q2413">
        <v>0.14813370000000001</v>
      </c>
      <c r="R2413">
        <v>2.4024980000000001E-2</v>
      </c>
      <c r="S2413">
        <v>-3.0734560000000002</v>
      </c>
      <c r="T2413">
        <v>-0.22211429999999999</v>
      </c>
      <c r="U2413">
        <v>-0.2459412</v>
      </c>
      <c r="V2413">
        <v>5.079007E-3</v>
      </c>
      <c r="W2413">
        <v>0.15767809999999999</v>
      </c>
      <c r="X2413">
        <v>0.98747750000000001</v>
      </c>
      <c r="Y2413">
        <v>-9.8585060000000002E-2</v>
      </c>
      <c r="Z2413">
        <v>-4.9357709999999898E-3</v>
      </c>
      <c r="AA2413">
        <v>0.99511640000000001</v>
      </c>
      <c r="AB2413">
        <v>42</v>
      </c>
      <c r="AC2413">
        <v>-14.939599999999899</v>
      </c>
      <c r="AD2413">
        <v>-1.109370644395</v>
      </c>
      <c r="AE2413">
        <v>-1.2363000000000199</v>
      </c>
      <c r="AF2413">
        <v>-1.5146204899446001</v>
      </c>
      <c r="AG2413">
        <v>-1.109370644395</v>
      </c>
      <c r="AH2413">
        <v>14.831880452223499</v>
      </c>
      <c r="AI2413">
        <v>94.255501179630102</v>
      </c>
      <c r="AJ2413">
        <v>95.830789534285699</v>
      </c>
      <c r="AK2413">
        <v>14.950232647161499</v>
      </c>
      <c r="AL2413">
        <v>80.927849514261794</v>
      </c>
      <c r="AM2413">
        <v>89.705306602833801</v>
      </c>
      <c r="AN2413">
        <v>0.99999999626898295</v>
      </c>
    </row>
    <row r="2414" spans="1:40" x14ac:dyDescent="0.25">
      <c r="A2414" t="str">
        <f>"20190312164035829"</f>
        <v>20190312164035829</v>
      </c>
      <c r="B2414" t="str">
        <f>"1552380035818441"</f>
        <v>1552380035818441</v>
      </c>
      <c r="C2414" t="s">
        <v>40</v>
      </c>
      <c r="D2414">
        <v>5.1464100000000004</v>
      </c>
      <c r="E2414">
        <v>0.46504689999999999</v>
      </c>
      <c r="F2414" t="s">
        <v>48</v>
      </c>
      <c r="G2414">
        <v>-335.79520000000002</v>
      </c>
      <c r="H2414" s="1">
        <v>1.590806E-6</v>
      </c>
      <c r="I2414">
        <v>283.61669999999998</v>
      </c>
      <c r="J2414">
        <v>-320.62790000000001</v>
      </c>
      <c r="K2414">
        <v>1.1093710000000001</v>
      </c>
      <c r="L2414">
        <v>284.84769999999997</v>
      </c>
      <c r="M2414">
        <v>-0.99976830000000005</v>
      </c>
      <c r="N2414">
        <v>0</v>
      </c>
      <c r="O2414">
        <v>1.9238870000000002E-2</v>
      </c>
      <c r="P2414">
        <v>-0.98867300000000002</v>
      </c>
      <c r="Q2414">
        <v>0.148165299999999</v>
      </c>
      <c r="R2414">
        <v>2.3937880000000002E-2</v>
      </c>
      <c r="S2414">
        <v>-3.0735169999999998</v>
      </c>
      <c r="T2414">
        <v>-0.22166</v>
      </c>
      <c r="U2414">
        <v>-0.24511720000000001</v>
      </c>
      <c r="V2414">
        <v>4.9528310000000004E-3</v>
      </c>
      <c r="W2414">
        <v>0.157714299999999</v>
      </c>
      <c r="X2414">
        <v>0.98747240000000003</v>
      </c>
      <c r="Y2414">
        <v>-9.8359500000000002E-2</v>
      </c>
      <c r="Z2414">
        <v>-4.9203909999999997E-3</v>
      </c>
      <c r="AA2414">
        <v>0.99513879999999999</v>
      </c>
      <c r="AB2414">
        <v>42</v>
      </c>
      <c r="AC2414">
        <v>-15.167299999999999</v>
      </c>
      <c r="AD2414">
        <v>-1.1093694091939901</v>
      </c>
      <c r="AE2414">
        <v>-1.2309999999999901</v>
      </c>
      <c r="AF2414">
        <v>-1.5145380334185901</v>
      </c>
      <c r="AG2414">
        <v>-1.1093694091939901</v>
      </c>
      <c r="AH2414">
        <v>15.0607638715843</v>
      </c>
      <c r="AI2414">
        <v>94.191708943911806</v>
      </c>
      <c r="AJ2414">
        <v>95.742463347274295</v>
      </c>
      <c r="AK2414">
        <v>15.177323029320601</v>
      </c>
      <c r="AL2414">
        <v>80.925749488597106</v>
      </c>
      <c r="AM2414">
        <v>89.712625959638402</v>
      </c>
      <c r="AN2414">
        <v>1.0000000358605801</v>
      </c>
    </row>
    <row r="2415" spans="1:40" x14ac:dyDescent="0.25">
      <c r="A2415" t="str">
        <f>"20190312164035840"</f>
        <v>20190312164035840</v>
      </c>
      <c r="B2415" t="str">
        <f>"1552380035828202"</f>
        <v>1552380035828202</v>
      </c>
      <c r="C2415" t="s">
        <v>40</v>
      </c>
      <c r="D2415">
        <v>5.2367679999999996</v>
      </c>
      <c r="E2415">
        <v>0.4656207</v>
      </c>
      <c r="F2415" t="s">
        <v>48</v>
      </c>
      <c r="G2415">
        <v>-336.68180000000001</v>
      </c>
      <c r="H2415" s="1">
        <v>2.0655040000000001E-6</v>
      </c>
      <c r="I2415">
        <v>283.55079999999998</v>
      </c>
      <c r="J2415">
        <v>-320.84609999999998</v>
      </c>
      <c r="K2415">
        <v>1.109372</v>
      </c>
      <c r="L2415">
        <v>284.8519</v>
      </c>
      <c r="M2415">
        <v>-0.99976750000000003</v>
      </c>
      <c r="N2415">
        <v>0</v>
      </c>
      <c r="O2415">
        <v>1.9279190000000002E-2</v>
      </c>
      <c r="P2415">
        <v>-0.98870639999999999</v>
      </c>
      <c r="Q2415">
        <v>0.14798459999999999</v>
      </c>
      <c r="R2415">
        <v>2.367702E-2</v>
      </c>
      <c r="S2415">
        <v>-3.072235</v>
      </c>
      <c r="T2415">
        <v>-0.21229990000000001</v>
      </c>
      <c r="U2415">
        <v>-0.2481689</v>
      </c>
      <c r="V2415">
        <v>4.6513819999999999E-3</v>
      </c>
      <c r="W2415">
        <v>0.15753909999999999</v>
      </c>
      <c r="X2415">
        <v>0.98750179999999999</v>
      </c>
      <c r="Y2415">
        <v>-9.9436869999999997E-2</v>
      </c>
      <c r="Z2415">
        <v>-4.7547919999999999E-3</v>
      </c>
      <c r="AA2415">
        <v>0.99503249999999999</v>
      </c>
      <c r="AB2415">
        <v>42</v>
      </c>
      <c r="AC2415">
        <v>-15.835699999999999</v>
      </c>
      <c r="AD2415">
        <v>-1.109369934496</v>
      </c>
      <c r="AE2415">
        <v>-1.3011000000000099</v>
      </c>
      <c r="AF2415">
        <v>-1.59838008521429</v>
      </c>
      <c r="AG2415">
        <v>-1.109369934496</v>
      </c>
      <c r="AH2415">
        <v>15.730985839371</v>
      </c>
      <c r="AI2415">
        <v>94.013300391943503</v>
      </c>
      <c r="AJ2415">
        <v>95.801747763255705</v>
      </c>
      <c r="AK2415">
        <v>15.850849694160299</v>
      </c>
      <c r="AL2415">
        <v>80.935914498085197</v>
      </c>
      <c r="AM2415">
        <v>89.730124454864196</v>
      </c>
      <c r="AN2415">
        <v>1.0000000041932799</v>
      </c>
    </row>
    <row r="2416" spans="1:40" x14ac:dyDescent="0.25">
      <c r="A2416" t="str">
        <f>"20190312164035850"</f>
        <v>20190312164035850</v>
      </c>
      <c r="B2416" t="str">
        <f>"1552380035838938"</f>
        <v>1552380035838938</v>
      </c>
      <c r="C2416" t="s">
        <v>40</v>
      </c>
      <c r="D2416">
        <v>5.1109839999999904</v>
      </c>
      <c r="E2416">
        <v>0.46557569999999998</v>
      </c>
      <c r="F2416" t="s">
        <v>48</v>
      </c>
      <c r="G2416">
        <v>-337.16849999999999</v>
      </c>
      <c r="H2416" s="1">
        <v>2.3244020000000002E-6</v>
      </c>
      <c r="I2416">
        <v>283.5539</v>
      </c>
      <c r="J2416">
        <v>-321.04739999999998</v>
      </c>
      <c r="K2416">
        <v>1.1093729999999999</v>
      </c>
      <c r="L2416">
        <v>284.85579999999999</v>
      </c>
      <c r="M2416">
        <v>-0.99976659999999995</v>
      </c>
      <c r="N2416">
        <v>0</v>
      </c>
      <c r="O2416">
        <v>1.9316420000000001E-2</v>
      </c>
      <c r="P2416">
        <v>-0.98869450000000003</v>
      </c>
      <c r="Q2416">
        <v>0.14803829999999901</v>
      </c>
      <c r="R2416">
        <v>2.383335E-2</v>
      </c>
      <c r="S2416">
        <v>-3.0713200000000001</v>
      </c>
      <c r="T2416">
        <v>-0.20874480000000001</v>
      </c>
      <c r="U2416">
        <v>-0.24423220000000001</v>
      </c>
      <c r="V2416">
        <v>4.7711639999999996E-3</v>
      </c>
      <c r="W2416">
        <v>0.15759709999999999</v>
      </c>
      <c r="X2416">
        <v>0.98749200000000004</v>
      </c>
      <c r="Y2416">
        <v>-9.8242170000000004E-2</v>
      </c>
      <c r="Z2416">
        <v>-4.6390059999999898E-3</v>
      </c>
      <c r="AA2416">
        <v>0.99515169999999997</v>
      </c>
      <c r="AB2416">
        <v>42</v>
      </c>
      <c r="AC2416">
        <v>-16.121099999999998</v>
      </c>
      <c r="AD2416">
        <v>-1.109370675598</v>
      </c>
      <c r="AE2416">
        <v>-1.3018999999999801</v>
      </c>
      <c r="AF2416">
        <v>-1.6055199412894501</v>
      </c>
      <c r="AG2416">
        <v>-1.109370675598</v>
      </c>
      <c r="AH2416">
        <v>16.017583158588799</v>
      </c>
      <c r="AI2416">
        <v>93.942261493917201</v>
      </c>
      <c r="AJ2416">
        <v>95.723915146208398</v>
      </c>
      <c r="AK2416">
        <v>16.136027014728999</v>
      </c>
      <c r="AL2416">
        <v>80.932549541281304</v>
      </c>
      <c r="AM2416">
        <v>89.723172002001107</v>
      </c>
      <c r="AN2416">
        <v>1.00000002999916</v>
      </c>
    </row>
    <row r="2417" spans="1:40" x14ac:dyDescent="0.25">
      <c r="A2417" t="str">
        <f>"20190312164035863"</f>
        <v>20190312164035863</v>
      </c>
      <c r="B2417" t="str">
        <f>"1552380035858458"</f>
        <v>1552380035858458</v>
      </c>
      <c r="C2417" t="s">
        <v>40</v>
      </c>
      <c r="D2417">
        <v>5.1683209999999997</v>
      </c>
      <c r="E2417">
        <v>0.4655493</v>
      </c>
      <c r="F2417" t="s">
        <v>48</v>
      </c>
      <c r="G2417">
        <v>-337.2638</v>
      </c>
      <c r="H2417" s="1">
        <v>2.3745159999999999E-6</v>
      </c>
      <c r="I2417">
        <v>283.56650000000002</v>
      </c>
      <c r="J2417">
        <v>-321.26749999999998</v>
      </c>
      <c r="K2417">
        <v>1.1093710000000001</v>
      </c>
      <c r="L2417">
        <v>284.86009999999999</v>
      </c>
      <c r="M2417">
        <v>-0.99976580000000004</v>
      </c>
      <c r="N2417">
        <v>0</v>
      </c>
      <c r="O2417">
        <v>1.9356809999999999E-2</v>
      </c>
      <c r="P2417">
        <v>-0.98867039999999995</v>
      </c>
      <c r="Q2417">
        <v>0.14820700000000001</v>
      </c>
      <c r="R2417">
        <v>2.3779450000000001E-2</v>
      </c>
      <c r="S2417">
        <v>-3.0716860000000001</v>
      </c>
      <c r="T2417">
        <v>-0.21013609999999999</v>
      </c>
      <c r="U2417">
        <v>-0.24423220000000001</v>
      </c>
      <c r="V2417">
        <v>4.6777659999999999E-3</v>
      </c>
      <c r="W2417">
        <v>0.15776989999999999</v>
      </c>
      <c r="X2417">
        <v>0.98746480000000003</v>
      </c>
      <c r="Y2417">
        <v>-9.8269319999999993E-2</v>
      </c>
      <c r="Z2417">
        <v>-4.6729830000000003E-3</v>
      </c>
      <c r="AA2417">
        <v>0.9951489</v>
      </c>
      <c r="AB2417">
        <v>42</v>
      </c>
      <c r="AC2417">
        <v>-15.9963</v>
      </c>
      <c r="AD2417">
        <v>-1.1093686254839901</v>
      </c>
      <c r="AE2417">
        <v>-1.2935999999999599</v>
      </c>
      <c r="AF2417">
        <v>-1.59538606904873</v>
      </c>
      <c r="AG2417">
        <v>-1.1093686254839901</v>
      </c>
      <c r="AH2417">
        <v>15.892321762209001</v>
      </c>
      <c r="AI2417">
        <v>93.973167545450096</v>
      </c>
      <c r="AJ2417">
        <v>95.732558944653903</v>
      </c>
      <c r="AK2417">
        <v>16.010679137691401</v>
      </c>
      <c r="AL2417">
        <v>80.922522916080197</v>
      </c>
      <c r="AM2417">
        <v>89.7285834952648</v>
      </c>
      <c r="AN2417">
        <v>0.99999997703989996</v>
      </c>
    </row>
    <row r="2418" spans="1:40" x14ac:dyDescent="0.25">
      <c r="A2418" t="str">
        <f>"20190312164035874"</f>
        <v>20190312164035874</v>
      </c>
      <c r="B2418" t="str">
        <f>"1552380035868217"</f>
        <v>1552380035868217</v>
      </c>
      <c r="C2418" t="s">
        <v>40</v>
      </c>
      <c r="D2418">
        <v>6.6454060000000004</v>
      </c>
      <c r="E2418">
        <v>0.46576459999999997</v>
      </c>
      <c r="F2418" t="s">
        <v>48</v>
      </c>
      <c r="G2418">
        <v>-337.61059999999998</v>
      </c>
      <c r="H2418" s="1">
        <v>2.559398E-6</v>
      </c>
      <c r="I2418">
        <v>283.55939999999998</v>
      </c>
      <c r="J2418">
        <v>-321.49869999999999</v>
      </c>
      <c r="K2418">
        <v>1.109372</v>
      </c>
      <c r="L2418">
        <v>284.8646</v>
      </c>
      <c r="M2418">
        <v>-0.99976500000000001</v>
      </c>
      <c r="N2418">
        <v>0</v>
      </c>
      <c r="O2418">
        <v>1.9398869999999999E-2</v>
      </c>
      <c r="P2418">
        <v>-0.98870469999999999</v>
      </c>
      <c r="Q2418">
        <v>0.1479828</v>
      </c>
      <c r="R2418">
        <v>2.375559E-2</v>
      </c>
      <c r="S2418">
        <v>-3.0715029999999999</v>
      </c>
      <c r="T2418">
        <v>-0.2084926</v>
      </c>
      <c r="U2418">
        <v>-0.24444579999999999</v>
      </c>
      <c r="V2418">
        <v>4.6117729999999996E-3</v>
      </c>
      <c r="W2418">
        <v>0.15755139999999901</v>
      </c>
      <c r="X2418">
        <v>0.98750000000000004</v>
      </c>
      <c r="Y2418">
        <v>-9.8388489999999995E-2</v>
      </c>
      <c r="Z2418">
        <v>-4.6436639999999996E-3</v>
      </c>
      <c r="AA2418">
        <v>0.9951373</v>
      </c>
      <c r="AB2418">
        <v>42</v>
      </c>
      <c r="AC2418">
        <v>-16.111899999999899</v>
      </c>
      <c r="AD2418">
        <v>-1.109369440602</v>
      </c>
      <c r="AE2418">
        <v>-1.3052000000000099</v>
      </c>
      <c r="AF2418">
        <v>-1.6099388917191799</v>
      </c>
      <c r="AG2418">
        <v>-1.109369440602</v>
      </c>
      <c r="AH2418">
        <v>16.008149344203499</v>
      </c>
      <c r="AI2418">
        <v>93.944442033115394</v>
      </c>
      <c r="AJ2418">
        <v>95.742924114017697</v>
      </c>
      <c r="AK2418">
        <v>16.127102939373099</v>
      </c>
      <c r="AL2418">
        <v>80.9352006361772</v>
      </c>
      <c r="AM2418">
        <v>89.732422067866594</v>
      </c>
      <c r="AN2418">
        <v>0.99999998104608101</v>
      </c>
    </row>
    <row r="2419" spans="1:40" x14ac:dyDescent="0.25">
      <c r="A2419" t="str">
        <f>"20190312164035885"</f>
        <v>20190312164035885</v>
      </c>
      <c r="B2419" t="str">
        <f>"1552380035877978"</f>
        <v>1552380035877978</v>
      </c>
      <c r="C2419" t="s">
        <v>40</v>
      </c>
      <c r="D2419">
        <v>5.1637740000000001</v>
      </c>
      <c r="E2419">
        <v>0.46602490000000002</v>
      </c>
      <c r="F2419" t="s">
        <v>48</v>
      </c>
      <c r="G2419">
        <v>-338.43770000000001</v>
      </c>
      <c r="H2419" s="1">
        <v>3.0008059999999999E-6</v>
      </c>
      <c r="I2419">
        <v>283.52969999999999</v>
      </c>
      <c r="J2419">
        <v>-321.7131</v>
      </c>
      <c r="K2419">
        <v>1.10937</v>
      </c>
      <c r="L2419">
        <v>284.86880000000002</v>
      </c>
      <c r="M2419">
        <v>-0.99976410000000004</v>
      </c>
      <c r="N2419">
        <v>0</v>
      </c>
      <c r="O2419">
        <v>1.9437889999999999E-2</v>
      </c>
      <c r="P2419">
        <v>-0.98866929999999997</v>
      </c>
      <c r="Q2419">
        <v>0.14821509999999999</v>
      </c>
      <c r="R2419">
        <v>2.3773740000000002E-2</v>
      </c>
      <c r="S2419">
        <v>-3.0701900000000002</v>
      </c>
      <c r="T2419">
        <v>-0.20107359999999999</v>
      </c>
      <c r="U2419">
        <v>-0.2419434</v>
      </c>
      <c r="V2419">
        <v>4.5919639999999996E-3</v>
      </c>
      <c r="W2419">
        <v>0.15778729999999999</v>
      </c>
      <c r="X2419">
        <v>0.98746250000000002</v>
      </c>
      <c r="Y2419">
        <v>-9.7674910000000004E-2</v>
      </c>
      <c r="Z2419">
        <v>-4.4600710000000003E-3</v>
      </c>
      <c r="AA2419">
        <v>0.99520839999999999</v>
      </c>
      <c r="AB2419">
        <v>42</v>
      </c>
      <c r="AC2419">
        <v>-16.724599999999999</v>
      </c>
      <c r="AD2419">
        <v>-1.1093669991940001</v>
      </c>
      <c r="AE2419">
        <v>-1.3391000000000299</v>
      </c>
      <c r="AF2419">
        <v>-1.6567103133436401</v>
      </c>
      <c r="AG2419">
        <v>-1.1093669991940001</v>
      </c>
      <c r="AH2419">
        <v>16.622737507359599</v>
      </c>
      <c r="AI2419">
        <v>93.799371775104802</v>
      </c>
      <c r="AJ2419">
        <v>95.691606140026806</v>
      </c>
      <c r="AK2419">
        <v>16.741887182746702</v>
      </c>
      <c r="AL2419">
        <v>80.921514024239102</v>
      </c>
      <c r="AM2419">
        <v>89.733561263958094</v>
      </c>
      <c r="AN2419">
        <v>1.0000000535404501</v>
      </c>
    </row>
    <row r="2420" spans="1:40" x14ac:dyDescent="0.25">
      <c r="A2420" t="str">
        <f>"20190312164035900"</f>
        <v>20190312164035900</v>
      </c>
      <c r="B2420" t="str">
        <f>"1552380035888714"</f>
        <v>1552380035888714</v>
      </c>
      <c r="C2420" t="s">
        <v>40</v>
      </c>
      <c r="D2420">
        <v>5.1329459999999996</v>
      </c>
      <c r="E2420">
        <v>0.46626709999999899</v>
      </c>
      <c r="F2420" t="s">
        <v>48</v>
      </c>
      <c r="G2420">
        <v>-339.31560000000002</v>
      </c>
      <c r="H2420" s="1">
        <v>3.469371E-6</v>
      </c>
      <c r="I2420">
        <v>283.49799999999999</v>
      </c>
      <c r="J2420">
        <v>-321.9776</v>
      </c>
      <c r="K2420">
        <v>1.1093729999999999</v>
      </c>
      <c r="L2420">
        <v>284.87389999999999</v>
      </c>
      <c r="M2420">
        <v>-0.99976319999999996</v>
      </c>
      <c r="N2420">
        <v>0</v>
      </c>
      <c r="O2420">
        <v>1.948542E-2</v>
      </c>
      <c r="P2420">
        <v>-0.98869099999999999</v>
      </c>
      <c r="Q2420">
        <v>0.14805889999999999</v>
      </c>
      <c r="R2420">
        <v>2.3850960000000001E-2</v>
      </c>
      <c r="S2420">
        <v>-3.0691220000000001</v>
      </c>
      <c r="T2420">
        <v>-0.1934265</v>
      </c>
      <c r="U2420">
        <v>-0.2390137</v>
      </c>
      <c r="V2420">
        <v>4.6216579999999998E-3</v>
      </c>
      <c r="W2420">
        <v>0.15763759999999999</v>
      </c>
      <c r="X2420">
        <v>0.98748619999999998</v>
      </c>
      <c r="Y2420">
        <v>-9.6825129999999995E-2</v>
      </c>
      <c r="Z2420">
        <v>-4.2687089999999999E-3</v>
      </c>
      <c r="AA2420">
        <v>0.99529219999999896</v>
      </c>
      <c r="AB2420">
        <v>42</v>
      </c>
      <c r="AC2420">
        <v>-17.338000000000001</v>
      </c>
      <c r="AD2420">
        <v>-1.1093695306289999</v>
      </c>
      <c r="AE2420">
        <v>-1.3758999999999999</v>
      </c>
      <c r="AF2420">
        <v>-1.7065498195845299</v>
      </c>
      <c r="AG2420">
        <v>-1.1093695306289999</v>
      </c>
      <c r="AH2420">
        <v>17.237765836727601</v>
      </c>
      <c r="AI2420">
        <v>93.664436895661495</v>
      </c>
      <c r="AJ2420">
        <v>95.653895257489296</v>
      </c>
      <c r="AK2420">
        <v>17.357522406267201</v>
      </c>
      <c r="AL2420">
        <v>80.930199268334505</v>
      </c>
      <c r="AM2420">
        <v>89.731844795067204</v>
      </c>
      <c r="AN2420">
        <v>0.99999998392343403</v>
      </c>
    </row>
    <row r="2421" spans="1:40" x14ac:dyDescent="0.25">
      <c r="A2421" t="str">
        <f>"20190312164035917"</f>
        <v>20190312164035917</v>
      </c>
      <c r="B2421" t="str">
        <f>"1552380035908236"</f>
        <v>1552380035908236</v>
      </c>
      <c r="C2421" t="s">
        <v>40</v>
      </c>
      <c r="D2421">
        <v>5.0828490000000004</v>
      </c>
      <c r="E2421">
        <v>0.46616999999999997</v>
      </c>
      <c r="F2421" t="s">
        <v>48</v>
      </c>
      <c r="G2421">
        <v>-340.1309</v>
      </c>
      <c r="H2421" s="1">
        <v>-1.467151E-6</v>
      </c>
      <c r="I2421">
        <v>283.4753</v>
      </c>
      <c r="J2421">
        <v>-322.32209999999998</v>
      </c>
      <c r="K2421">
        <v>1.1093759999999999</v>
      </c>
      <c r="L2421">
        <v>284.88069999999999</v>
      </c>
      <c r="M2421">
        <v>-0.99976200000000004</v>
      </c>
      <c r="N2421">
        <v>0</v>
      </c>
      <c r="O2421">
        <v>1.954378E-2</v>
      </c>
      <c r="P2421">
        <v>-0.98862479999999997</v>
      </c>
      <c r="Q2421">
        <v>0.14848939999999999</v>
      </c>
      <c r="R2421">
        <v>2.3916489999999999E-2</v>
      </c>
      <c r="S2421">
        <v>-3.068085</v>
      </c>
      <c r="T2421">
        <v>-0.1874951</v>
      </c>
      <c r="U2421">
        <v>-0.23638919999999999</v>
      </c>
      <c r="V2421">
        <v>4.6300439999999998E-3</v>
      </c>
      <c r="W2421">
        <v>0.15807449999999901</v>
      </c>
      <c r="X2421">
        <v>0.98741630000000002</v>
      </c>
      <c r="Y2421">
        <v>-9.6077899999999994E-2</v>
      </c>
      <c r="Z2421">
        <v>-4.1203639999999996E-3</v>
      </c>
      <c r="AA2421">
        <v>0.99536530000000001</v>
      </c>
      <c r="AB2421">
        <v>42</v>
      </c>
      <c r="AC2421">
        <v>-17.808800000000002</v>
      </c>
      <c r="AD2421">
        <v>-1.1093774671509999</v>
      </c>
      <c r="AE2421">
        <v>-1.40539999999998</v>
      </c>
      <c r="AF2421">
        <v>-1.74646393812108</v>
      </c>
      <c r="AG2421">
        <v>-1.1093774671509999</v>
      </c>
      <c r="AH2421">
        <v>17.7096329579946</v>
      </c>
      <c r="AI2421">
        <v>93.567213912015703</v>
      </c>
      <c r="AJ2421">
        <v>95.632104712549193</v>
      </c>
      <c r="AK2421">
        <v>17.830085646419899</v>
      </c>
      <c r="AL2421">
        <v>80.904848748595697</v>
      </c>
      <c r="AM2421">
        <v>89.731339217392403</v>
      </c>
      <c r="AN2421">
        <v>0.99999996718169004</v>
      </c>
    </row>
    <row r="2422" spans="1:40" x14ac:dyDescent="0.25">
      <c r="A2422" t="str">
        <f>"20190312164035929"</f>
        <v>20190312164035929</v>
      </c>
      <c r="B2422" t="str">
        <f>"1552380035917995"</f>
        <v>1552380035917995</v>
      </c>
      <c r="C2422" t="s">
        <v>40</v>
      </c>
      <c r="D2422">
        <v>5.2368379999999997</v>
      </c>
      <c r="E2422">
        <v>0.46602460000000001</v>
      </c>
      <c r="F2422" t="s">
        <v>48</v>
      </c>
      <c r="G2422">
        <v>-340.44470000000001</v>
      </c>
      <c r="H2422" s="1">
        <v>-1.3001390000000001E-6</v>
      </c>
      <c r="I2422">
        <v>283.48050000000001</v>
      </c>
      <c r="J2422">
        <v>-322.53250000000003</v>
      </c>
      <c r="K2422">
        <v>1.1093789999999999</v>
      </c>
      <c r="L2422">
        <v>284.88490000000002</v>
      </c>
      <c r="M2422">
        <v>-0.99976140000000002</v>
      </c>
      <c r="N2422">
        <v>0</v>
      </c>
      <c r="O2422">
        <v>1.9576449999999999E-2</v>
      </c>
      <c r="P2422">
        <v>-0.9886199</v>
      </c>
      <c r="Q2422">
        <v>0.14851879999999901</v>
      </c>
      <c r="R2422">
        <v>2.3940429999999999E-2</v>
      </c>
      <c r="S2422">
        <v>-3.0684809999999998</v>
      </c>
      <c r="T2422">
        <v>-0.18783720000000001</v>
      </c>
      <c r="U2422">
        <v>-0.2370911</v>
      </c>
      <c r="V2422">
        <v>4.6210510000000002E-3</v>
      </c>
      <c r="W2422">
        <v>0.15810839999999901</v>
      </c>
      <c r="X2422">
        <v>0.98741100000000004</v>
      </c>
      <c r="Y2422">
        <v>-9.6325640000000004E-2</v>
      </c>
      <c r="Z2422">
        <v>-4.1368619999999998E-3</v>
      </c>
      <c r="AA2422">
        <v>0.99534129999999998</v>
      </c>
      <c r="AB2422">
        <v>42</v>
      </c>
      <c r="AC2422">
        <v>-17.912199999999899</v>
      </c>
      <c r="AD2422">
        <v>-1.1093803001389999</v>
      </c>
      <c r="AE2422">
        <v>-1.4044000000000001</v>
      </c>
      <c r="AF2422">
        <v>-1.74813993784854</v>
      </c>
      <c r="AG2422">
        <v>-1.1093803001389999</v>
      </c>
      <c r="AH2422">
        <v>17.8133604518029</v>
      </c>
      <c r="AI2422">
        <v>93.546669668987803</v>
      </c>
      <c r="AJ2422">
        <v>95.604857300161001</v>
      </c>
      <c r="AK2422">
        <v>17.9332799141288</v>
      </c>
      <c r="AL2422">
        <v>80.902882459152195</v>
      </c>
      <c r="AM2422">
        <v>89.731859594172604</v>
      </c>
      <c r="AN2422">
        <v>1.00000005159195</v>
      </c>
    </row>
    <row r="2423" spans="1:40" x14ac:dyDescent="0.25">
      <c r="A2423" t="str">
        <f>"20190312164035952"</f>
        <v>20190312164035952</v>
      </c>
      <c r="B2423" t="str">
        <f>"1552380035948249"</f>
        <v>1552380035948249</v>
      </c>
      <c r="C2423" t="s">
        <v>40</v>
      </c>
      <c r="D2423">
        <v>5.055059</v>
      </c>
      <c r="E2423">
        <v>0.46606029999999998</v>
      </c>
      <c r="F2423" t="s">
        <v>48</v>
      </c>
      <c r="G2423">
        <v>-340.4434</v>
      </c>
      <c r="H2423" s="1">
        <v>-1.3008539999999999E-6</v>
      </c>
      <c r="I2423">
        <v>283.4907</v>
      </c>
      <c r="J2423">
        <v>-322.96800000000002</v>
      </c>
      <c r="K2423">
        <v>1.1093869999999999</v>
      </c>
      <c r="L2423">
        <v>284.89350000000002</v>
      </c>
      <c r="M2423">
        <v>-0.99976010000000004</v>
      </c>
      <c r="N2423">
        <v>0</v>
      </c>
      <c r="O2423">
        <v>1.963647E-2</v>
      </c>
      <c r="P2423">
        <v>-0.98856869999999997</v>
      </c>
      <c r="Q2423">
        <v>0.14890629999999999</v>
      </c>
      <c r="R2423">
        <v>2.3647339999999999E-2</v>
      </c>
      <c r="S2423">
        <v>-3.0688780000000002</v>
      </c>
      <c r="T2423">
        <v>-0.1900831</v>
      </c>
      <c r="U2423">
        <v>-0.23889160000000001</v>
      </c>
      <c r="V2423">
        <v>4.267084E-3</v>
      </c>
      <c r="W2423">
        <v>0.1585049</v>
      </c>
      <c r="X2423">
        <v>0.98734900000000003</v>
      </c>
      <c r="Y2423">
        <v>-9.6949560000000004E-2</v>
      </c>
      <c r="Z2423">
        <v>-4.2085849999999999E-3</v>
      </c>
      <c r="AA2423">
        <v>0.99528039999999995</v>
      </c>
      <c r="AB2423">
        <v>43</v>
      </c>
      <c r="AC2423">
        <v>-17.475399999999901</v>
      </c>
      <c r="AD2423">
        <v>-1.109388300854</v>
      </c>
      <c r="AE2423">
        <v>-1.40280000000001</v>
      </c>
      <c r="AF2423">
        <v>-1.7387384390701299</v>
      </c>
      <c r="AG2423">
        <v>-1.109388300854</v>
      </c>
      <c r="AH2423">
        <v>17.374909006106801</v>
      </c>
      <c r="AI2423">
        <v>93.635269311445398</v>
      </c>
      <c r="AJ2423">
        <v>95.714666279722394</v>
      </c>
      <c r="AK2423">
        <v>17.496897345874299</v>
      </c>
      <c r="AL2423">
        <v>80.879874351240701</v>
      </c>
      <c r="AM2423">
        <v>89.752383015622101</v>
      </c>
      <c r="AN2423">
        <v>1.0000000295654301</v>
      </c>
    </row>
    <row r="2424" spans="1:40" x14ac:dyDescent="0.25">
      <c r="A2424" t="str">
        <f>"20190312164035965"</f>
        <v>20190312164035965</v>
      </c>
      <c r="B2424" t="str">
        <f>"1552380035958986"</f>
        <v>1552380035958986</v>
      </c>
      <c r="C2424" t="s">
        <v>40</v>
      </c>
      <c r="D2424">
        <v>5.022017</v>
      </c>
      <c r="E2424">
        <v>0.46614549999999999</v>
      </c>
      <c r="F2424" t="s">
        <v>48</v>
      </c>
      <c r="G2424">
        <v>-341.92360000000002</v>
      </c>
      <c r="H2424" s="1">
        <v>-5.1316229999999995E-7</v>
      </c>
      <c r="I2424">
        <v>283.41289999999998</v>
      </c>
      <c r="J2424">
        <v>-323.22980000000001</v>
      </c>
      <c r="K2424">
        <v>1.109391</v>
      </c>
      <c r="L2424">
        <v>284.89859999999999</v>
      </c>
      <c r="M2424">
        <v>-0.99975939999999996</v>
      </c>
      <c r="N2424">
        <v>0</v>
      </c>
      <c r="O2424">
        <v>1.9665209999999999E-2</v>
      </c>
      <c r="P2424">
        <v>-0.98856560000000004</v>
      </c>
      <c r="Q2424">
        <v>0.14893789999999901</v>
      </c>
      <c r="R2424">
        <v>2.3573070000000002E-2</v>
      </c>
      <c r="S2424">
        <v>-3.0674739999999998</v>
      </c>
      <c r="T2424">
        <v>-0.1795262</v>
      </c>
      <c r="U2424">
        <v>-0.23959349999999999</v>
      </c>
      <c r="V2424">
        <v>4.1619359999999998E-3</v>
      </c>
      <c r="W2424">
        <v>0.15854199999999999</v>
      </c>
      <c r="X2424">
        <v>0.98734339999999998</v>
      </c>
      <c r="Y2424">
        <v>-9.7263009999999997E-2</v>
      </c>
      <c r="Z2424">
        <v>-3.9878609999999997E-3</v>
      </c>
      <c r="AA2424">
        <v>0.99525070000000004</v>
      </c>
      <c r="AB2424">
        <v>43</v>
      </c>
      <c r="AC2424">
        <v>-18.6938</v>
      </c>
      <c r="AD2424">
        <v>-1.1093915131623</v>
      </c>
      <c r="AE2424">
        <v>-1.4857</v>
      </c>
      <c r="AF2424">
        <v>-1.8465849000035801</v>
      </c>
      <c r="AG2424">
        <v>-1.1093915131623</v>
      </c>
      <c r="AH2424">
        <v>18.595885299611101</v>
      </c>
      <c r="AI2424">
        <v>93.397429646554599</v>
      </c>
      <c r="AJ2424">
        <v>95.670921602734694</v>
      </c>
      <c r="AK2424">
        <v>18.720245067805401</v>
      </c>
      <c r="AL2424">
        <v>80.877720617148398</v>
      </c>
      <c r="AM2424">
        <v>89.758483264242102</v>
      </c>
      <c r="AN2424">
        <v>0.99999993849941204</v>
      </c>
    </row>
    <row r="2425" spans="1:40" x14ac:dyDescent="0.25">
      <c r="A2425" t="str">
        <f>"20190312164035987"</f>
        <v>20190312164035987</v>
      </c>
      <c r="B2425" t="str">
        <f>"1552380035978505"</f>
        <v>1552380035978505</v>
      </c>
      <c r="C2425" t="s">
        <v>40</v>
      </c>
      <c r="D2425">
        <v>5.1863999999999999</v>
      </c>
      <c r="E2425">
        <v>0.46627550000000001</v>
      </c>
      <c r="F2425" t="s">
        <v>48</v>
      </c>
      <c r="G2425">
        <v>-342.6223</v>
      </c>
      <c r="H2425" s="1">
        <v>-1.4130829999999999E-7</v>
      </c>
      <c r="I2425">
        <v>283.38760000000002</v>
      </c>
      <c r="J2425">
        <v>-323.62490000000003</v>
      </c>
      <c r="K2425">
        <v>1.1094010000000001</v>
      </c>
      <c r="L2425">
        <v>284.90640000000002</v>
      </c>
      <c r="M2425">
        <v>-0.99975860000000005</v>
      </c>
      <c r="N2425">
        <v>0</v>
      </c>
      <c r="O2425">
        <v>1.9699250000000001E-2</v>
      </c>
      <c r="P2425">
        <v>-0.9885372</v>
      </c>
      <c r="Q2425">
        <v>0.1491729</v>
      </c>
      <c r="R2425">
        <v>2.3276410000000001E-2</v>
      </c>
      <c r="S2425">
        <v>-3.0668329999999999</v>
      </c>
      <c r="T2425">
        <v>-0.1754444</v>
      </c>
      <c r="U2425">
        <v>-0.23895259999999999</v>
      </c>
      <c r="V2425">
        <v>3.8279579999999998E-3</v>
      </c>
      <c r="W2425">
        <v>0.1587855</v>
      </c>
      <c r="X2425">
        <v>0.98730569999999895</v>
      </c>
      <c r="Y2425">
        <v>-9.7115359999999998E-2</v>
      </c>
      <c r="Z2425">
        <v>-3.8959099999999998E-3</v>
      </c>
      <c r="AA2425">
        <v>0.99526550000000003</v>
      </c>
      <c r="AB2425">
        <v>43</v>
      </c>
      <c r="AC2425">
        <v>-18.997399999999899</v>
      </c>
      <c r="AD2425">
        <v>-1.1094011413083</v>
      </c>
      <c r="AE2425">
        <v>-1.5187999999999899</v>
      </c>
      <c r="AF2425">
        <v>-1.8863653396645601</v>
      </c>
      <c r="AG2425">
        <v>-1.1094011413083</v>
      </c>
      <c r="AH2425">
        <v>18.899748668813402</v>
      </c>
      <c r="AI2425">
        <v>93.342793707386505</v>
      </c>
      <c r="AJ2425">
        <v>95.699758765136593</v>
      </c>
      <c r="AK2425">
        <v>19.026025460703501</v>
      </c>
      <c r="AL2425">
        <v>80.863590819232101</v>
      </c>
      <c r="AM2425">
        <v>89.777855289847395</v>
      </c>
      <c r="AN2425">
        <v>1.00000001676259</v>
      </c>
    </row>
    <row r="2426" spans="1:40" x14ac:dyDescent="0.25">
      <c r="A2426" t="str">
        <f>"20190312164036007"</f>
        <v>20190312164036007</v>
      </c>
      <c r="B2426" t="str">
        <f>"1552380035998026"</f>
        <v>1552380035998026</v>
      </c>
      <c r="C2426" t="s">
        <v>40</v>
      </c>
      <c r="D2426">
        <v>5.0456960000000004</v>
      </c>
      <c r="E2426">
        <v>0.46639170000000002</v>
      </c>
      <c r="F2426" t="s">
        <v>48</v>
      </c>
      <c r="G2426">
        <v>-343.6782</v>
      </c>
      <c r="H2426" s="1">
        <v>4.2053940000000003E-7</v>
      </c>
      <c r="I2426">
        <v>283.34589999999997</v>
      </c>
      <c r="J2426">
        <v>-324.02809999999999</v>
      </c>
      <c r="K2426">
        <v>1.1094090000000001</v>
      </c>
      <c r="L2426">
        <v>284.9144</v>
      </c>
      <c r="M2426">
        <v>-0.99975820000000004</v>
      </c>
      <c r="N2426">
        <v>0</v>
      </c>
      <c r="O2426">
        <v>1.9724470000000001E-2</v>
      </c>
      <c r="P2426">
        <v>-0.98851069999999996</v>
      </c>
      <c r="Q2426">
        <v>0.1493727</v>
      </c>
      <c r="R2426">
        <v>2.3128940000000001E-2</v>
      </c>
      <c r="S2426">
        <v>-3.0660099999999999</v>
      </c>
      <c r="T2426">
        <v>-0.1696202</v>
      </c>
      <c r="U2426">
        <v>-0.2385864</v>
      </c>
      <c r="V2426">
        <v>3.6518649999999998E-3</v>
      </c>
      <c r="W2426">
        <v>0.15899349999999901</v>
      </c>
      <c r="X2426">
        <v>0.98727290000000001</v>
      </c>
      <c r="Y2426">
        <v>-9.7055340000000004E-2</v>
      </c>
      <c r="Z2426">
        <v>-3.767538E-3</v>
      </c>
      <c r="AA2426">
        <v>0.99527189999999999</v>
      </c>
      <c r="AB2426">
        <v>43</v>
      </c>
      <c r="AC2426">
        <v>-19.650099999999998</v>
      </c>
      <c r="AD2426">
        <v>-1.1094085794605999</v>
      </c>
      <c r="AE2426">
        <v>-1.56850000000002</v>
      </c>
      <c r="AF2426">
        <v>-1.94962581047219</v>
      </c>
      <c r="AG2426">
        <v>-1.1094085794605999</v>
      </c>
      <c r="AH2426">
        <v>19.5534051370188</v>
      </c>
      <c r="AI2426">
        <v>93.231341236920599</v>
      </c>
      <c r="AJ2426">
        <v>95.694013115709197</v>
      </c>
      <c r="AK2426">
        <v>19.681653402329601</v>
      </c>
      <c r="AL2426">
        <v>80.851520021352599</v>
      </c>
      <c r="AM2426">
        <v>89.7880672126321</v>
      </c>
      <c r="AN2426">
        <v>1.0000000241173099</v>
      </c>
    </row>
    <row r="2427" spans="1:40" x14ac:dyDescent="0.25">
      <c r="A2427" t="str">
        <f>"20190312164036019"</f>
        <v>20190312164036019</v>
      </c>
      <c r="B2427" t="str">
        <f>"1552380036008762"</f>
        <v>1552380036008762</v>
      </c>
      <c r="C2427" t="s">
        <v>40</v>
      </c>
      <c r="D2427">
        <v>5.0171950000000001</v>
      </c>
      <c r="E2427">
        <v>0.46644960000000002</v>
      </c>
      <c r="F2427" t="s">
        <v>48</v>
      </c>
      <c r="G2427">
        <v>-344.7294</v>
      </c>
      <c r="H2427" s="1">
        <v>9.7996390000000006E-7</v>
      </c>
      <c r="I2427">
        <v>283.30950000000001</v>
      </c>
      <c r="J2427">
        <v>-324.25760000000002</v>
      </c>
      <c r="K2427">
        <v>1.1094120000000001</v>
      </c>
      <c r="L2427">
        <v>284.91890000000001</v>
      </c>
      <c r="M2427">
        <v>-0.99975769999999997</v>
      </c>
      <c r="N2427">
        <v>0</v>
      </c>
      <c r="O2427">
        <v>1.973606E-2</v>
      </c>
      <c r="P2427">
        <v>-0.98849860000000001</v>
      </c>
      <c r="Q2427">
        <v>0.1494336</v>
      </c>
      <c r="R2427">
        <v>2.324089E-2</v>
      </c>
      <c r="S2427">
        <v>-3.065277</v>
      </c>
      <c r="T2427">
        <v>-0.16427220000000001</v>
      </c>
      <c r="U2427">
        <v>-0.2376404</v>
      </c>
      <c r="V2427">
        <v>3.7501650000000002E-3</v>
      </c>
      <c r="W2427">
        <v>0.15905899999999901</v>
      </c>
      <c r="X2427">
        <v>0.98726199999999997</v>
      </c>
      <c r="Y2427">
        <v>-9.6791249999999995E-2</v>
      </c>
      <c r="Z2427">
        <v>-3.6433939999999999E-3</v>
      </c>
      <c r="AA2427">
        <v>0.99529800000000002</v>
      </c>
      <c r="AB2427">
        <v>43</v>
      </c>
      <c r="AC2427">
        <v>-20.471799999999899</v>
      </c>
      <c r="AD2427">
        <v>-1.1094110200361</v>
      </c>
      <c r="AE2427">
        <v>-1.6093999999999899</v>
      </c>
      <c r="AF2427">
        <v>-2.0072796219147899</v>
      </c>
      <c r="AG2427">
        <v>-1.1094110200361</v>
      </c>
      <c r="AH2427">
        <v>20.376573358670299</v>
      </c>
      <c r="AI2427">
        <v>93.101433270895797</v>
      </c>
      <c r="AJ2427">
        <v>95.626008987752996</v>
      </c>
      <c r="AK2427">
        <v>20.505236066263802</v>
      </c>
      <c r="AL2427">
        <v>80.847718948239205</v>
      </c>
      <c r="AM2427">
        <v>89.782360109534295</v>
      </c>
      <c r="AN2427">
        <v>1.0000000429312601</v>
      </c>
    </row>
    <row r="2428" spans="1:40" x14ac:dyDescent="0.25">
      <c r="A2428" t="str">
        <f>"20190312164036032"</f>
        <v>20190312164036032</v>
      </c>
      <c r="B2428" t="str">
        <f>"1552380036028281"</f>
        <v>1552380036028281</v>
      </c>
      <c r="C2428" t="s">
        <v>40</v>
      </c>
      <c r="D2428">
        <v>5.0316669999999997</v>
      </c>
      <c r="E2428">
        <v>0.46639409999999998</v>
      </c>
      <c r="F2428" t="s">
        <v>48</v>
      </c>
      <c r="G2428">
        <v>-345.2681</v>
      </c>
      <c r="H2428" s="1">
        <v>1.266621E-6</v>
      </c>
      <c r="I2428">
        <v>283.2971</v>
      </c>
      <c r="J2428">
        <v>-324.49720000000002</v>
      </c>
      <c r="K2428">
        <v>1.1094219999999999</v>
      </c>
      <c r="L2428">
        <v>284.92360000000002</v>
      </c>
      <c r="M2428">
        <v>-0.99975760000000002</v>
      </c>
      <c r="N2428">
        <v>0</v>
      </c>
      <c r="O2428">
        <v>1.9743489999999999E-2</v>
      </c>
      <c r="P2428">
        <v>-0.98850570000000004</v>
      </c>
      <c r="Q2428">
        <v>0.149372799999999</v>
      </c>
      <c r="R2428">
        <v>2.3337150000000001E-2</v>
      </c>
      <c r="S2428">
        <v>-3.0649410000000001</v>
      </c>
      <c r="T2428">
        <v>-0.1618375</v>
      </c>
      <c r="U2428">
        <v>-0.23657230000000001</v>
      </c>
      <c r="V2428">
        <v>3.8371019999999998E-3</v>
      </c>
      <c r="W2428">
        <v>0.1590039</v>
      </c>
      <c r="X2428">
        <v>0.98727050000000005</v>
      </c>
      <c r="Y2428">
        <v>-9.6467529999999996E-2</v>
      </c>
      <c r="Z2428">
        <v>-3.5817710000000001E-3</v>
      </c>
      <c r="AA2428">
        <v>0.99532969999999998</v>
      </c>
      <c r="AB2428">
        <v>43</v>
      </c>
      <c r="AC2428">
        <v>-20.770899999999902</v>
      </c>
      <c r="AD2428">
        <v>-1.1094207333789901</v>
      </c>
      <c r="AE2428">
        <v>-1.62650000000002</v>
      </c>
      <c r="AF2428">
        <v>-2.03053490723123</v>
      </c>
      <c r="AG2428">
        <v>-1.1094207333789901</v>
      </c>
      <c r="AH2428">
        <v>20.676109855059899</v>
      </c>
      <c r="AI2428">
        <v>93.056704951682406</v>
      </c>
      <c r="AJ2428">
        <v>95.608850527509503</v>
      </c>
      <c r="AK2428">
        <v>20.805177363138299</v>
      </c>
      <c r="AL2428">
        <v>80.850916262020903</v>
      </c>
      <c r="AM2428">
        <v>89.777316709865204</v>
      </c>
      <c r="AN2428">
        <v>1.0000000018685999</v>
      </c>
    </row>
    <row r="2429" spans="1:40" x14ac:dyDescent="0.25">
      <c r="A2429" t="str">
        <f>"20190312164036043"</f>
        <v>20190312164036043</v>
      </c>
      <c r="B2429" t="str">
        <f>"1552380036039017"</f>
        <v>1552380036039017</v>
      </c>
      <c r="C2429" t="s">
        <v>40</v>
      </c>
      <c r="D2429">
        <v>4.9994730000000001</v>
      </c>
      <c r="E2429">
        <v>0.4662752</v>
      </c>
      <c r="F2429" t="s">
        <v>48</v>
      </c>
      <c r="G2429">
        <v>-345.28100000000001</v>
      </c>
      <c r="H2429" s="1">
        <v>1.2734899999999999E-6</v>
      </c>
      <c r="I2429">
        <v>283.3177</v>
      </c>
      <c r="J2429">
        <v>-324.70639999999997</v>
      </c>
      <c r="K2429">
        <v>1.1094250000000001</v>
      </c>
      <c r="L2429">
        <v>284.92770000000002</v>
      </c>
      <c r="M2429">
        <v>-0.99975749999999997</v>
      </c>
      <c r="N2429">
        <v>0</v>
      </c>
      <c r="O2429">
        <v>1.9747219999999999E-2</v>
      </c>
      <c r="P2429">
        <v>-0.98846500000000004</v>
      </c>
      <c r="Q2429">
        <v>0.14964129999999901</v>
      </c>
      <c r="R2429">
        <v>2.333901E-2</v>
      </c>
      <c r="S2429">
        <v>-3.0651860000000002</v>
      </c>
      <c r="T2429">
        <v>-0.1636167</v>
      </c>
      <c r="U2429">
        <v>-0.2368469</v>
      </c>
      <c r="V2429">
        <v>3.8341289999999999E-3</v>
      </c>
      <c r="W2429">
        <v>0.15927649999999999</v>
      </c>
      <c r="X2429">
        <v>0.98722650000000001</v>
      </c>
      <c r="Y2429">
        <v>-9.6550179999999999E-2</v>
      </c>
      <c r="Z2429">
        <v>-3.6231940000000002E-3</v>
      </c>
      <c r="AA2429">
        <v>0.99532149999999997</v>
      </c>
      <c r="AB2429">
        <v>43</v>
      </c>
      <c r="AC2429">
        <v>-20.5746</v>
      </c>
      <c r="AD2429">
        <v>-1.10942372651</v>
      </c>
      <c r="AE2429">
        <v>-1.6100000000000101</v>
      </c>
      <c r="AF2429">
        <v>-2.0101872639580098</v>
      </c>
      <c r="AG2429">
        <v>-1.10942372651</v>
      </c>
      <c r="AH2429">
        <v>20.479609374851201</v>
      </c>
      <c r="AI2429">
        <v>93.086001076553501</v>
      </c>
      <c r="AJ2429">
        <v>95.605941109891504</v>
      </c>
      <c r="AK2429">
        <v>20.607912897419201</v>
      </c>
      <c r="AL2429">
        <v>80.835095181415795</v>
      </c>
      <c r="AM2429">
        <v>89.777479326868601</v>
      </c>
      <c r="AN2429">
        <v>0.99999993314984204</v>
      </c>
    </row>
    <row r="2430" spans="1:40" x14ac:dyDescent="0.25">
      <c r="A2430" t="str">
        <f>"20190312164036055"</f>
        <v>20190312164036055</v>
      </c>
      <c r="B2430" t="str">
        <f>"1552380036048777"</f>
        <v>1552380036048777</v>
      </c>
      <c r="C2430" t="s">
        <v>40</v>
      </c>
      <c r="D2430">
        <v>4.9560940000000002</v>
      </c>
      <c r="E2430">
        <v>0.46622239999999998</v>
      </c>
      <c r="F2430" t="s">
        <v>48</v>
      </c>
      <c r="G2430">
        <v>-345.20100000000002</v>
      </c>
      <c r="H2430" s="1">
        <v>1.230924E-6</v>
      </c>
      <c r="I2430">
        <v>283.33620000000002</v>
      </c>
      <c r="J2430">
        <v>-324.95139999999998</v>
      </c>
      <c r="K2430">
        <v>1.1094310000000001</v>
      </c>
      <c r="L2430">
        <v>284.93259999999998</v>
      </c>
      <c r="M2430">
        <v>-0.99975749999999997</v>
      </c>
      <c r="N2430">
        <v>0</v>
      </c>
      <c r="O2430">
        <v>1.9746949999999999E-2</v>
      </c>
      <c r="P2430">
        <v>-0.98841089999999998</v>
      </c>
      <c r="Q2430">
        <v>0.14998619999999999</v>
      </c>
      <c r="R2430">
        <v>2.3416030000000001E-2</v>
      </c>
      <c r="S2430">
        <v>-3.0657350000000001</v>
      </c>
      <c r="T2430">
        <v>-0.16595579999999999</v>
      </c>
      <c r="U2430">
        <v>-0.23806759999999999</v>
      </c>
      <c r="V2430">
        <v>3.9100899999999997E-3</v>
      </c>
      <c r="W2430">
        <v>0.15962579999999901</v>
      </c>
      <c r="X2430">
        <v>0.98716990000000004</v>
      </c>
      <c r="Y2430">
        <v>-9.6924919999999998E-2</v>
      </c>
      <c r="Z2430">
        <v>-3.6843119999999999E-3</v>
      </c>
      <c r="AA2430">
        <v>0.99528490000000003</v>
      </c>
      <c r="AB2430">
        <v>43</v>
      </c>
      <c r="AC2430">
        <v>-20.249599999999901</v>
      </c>
      <c r="AD2430">
        <v>-1.109429769076</v>
      </c>
      <c r="AE2430">
        <v>-1.5963999999999601</v>
      </c>
      <c r="AF2430">
        <v>-1.9900389264682801</v>
      </c>
      <c r="AG2430">
        <v>-1.109429769076</v>
      </c>
      <c r="AH2430">
        <v>20.1540031017731</v>
      </c>
      <c r="AI2430">
        <v>93.135597740407903</v>
      </c>
      <c r="AJ2430">
        <v>95.639198306384003</v>
      </c>
      <c r="AK2430">
        <v>20.2823798003995</v>
      </c>
      <c r="AL2430">
        <v>80.814823455825007</v>
      </c>
      <c r="AM2430">
        <v>89.773057826285495</v>
      </c>
      <c r="AN2430">
        <v>1.00000004814772</v>
      </c>
    </row>
    <row r="2431" spans="1:40" x14ac:dyDescent="0.25">
      <c r="A2431" t="str">
        <f>"20190312164036067"</f>
        <v>20190312164036067</v>
      </c>
      <c r="B2431" t="str">
        <f>"1552380036058537"</f>
        <v>1552380036058537</v>
      </c>
      <c r="C2431" t="s">
        <v>40</v>
      </c>
      <c r="D2431">
        <v>5.0271379999999999</v>
      </c>
      <c r="E2431">
        <v>0.46624710000000003</v>
      </c>
      <c r="F2431" t="s">
        <v>48</v>
      </c>
      <c r="G2431">
        <v>-345.26100000000002</v>
      </c>
      <c r="H2431" s="1">
        <v>1.262824E-6</v>
      </c>
      <c r="I2431">
        <v>283.3535</v>
      </c>
      <c r="J2431">
        <v>-325.166</v>
      </c>
      <c r="K2431">
        <v>1.10944</v>
      </c>
      <c r="L2431">
        <v>284.93680000000001</v>
      </c>
      <c r="M2431">
        <v>-0.99975760000000002</v>
      </c>
      <c r="N2431">
        <v>0</v>
      </c>
      <c r="O2431">
        <v>1.9740170000000001E-2</v>
      </c>
      <c r="P2431">
        <v>-0.988402</v>
      </c>
      <c r="Q2431">
        <v>0.15002370000000001</v>
      </c>
      <c r="R2431">
        <v>2.3554990000000001E-2</v>
      </c>
      <c r="S2431">
        <v>-3.0661930000000002</v>
      </c>
      <c r="T2431">
        <v>-0.16749349999999999</v>
      </c>
      <c r="U2431">
        <v>-0.23840330000000001</v>
      </c>
      <c r="V2431">
        <v>4.0535520000000002E-3</v>
      </c>
      <c r="W2431">
        <v>0.1596677</v>
      </c>
      <c r="X2431">
        <v>0.98716250000000005</v>
      </c>
      <c r="Y2431">
        <v>-9.7011799999999995E-2</v>
      </c>
      <c r="Z2431">
        <v>-3.719829E-3</v>
      </c>
      <c r="AA2431">
        <v>0.9952763</v>
      </c>
      <c r="AB2431">
        <v>43</v>
      </c>
      <c r="AC2431">
        <v>-20.094999999999899</v>
      </c>
      <c r="AD2431">
        <v>-1.1094387371759999</v>
      </c>
      <c r="AE2431">
        <v>-1.5832999999999999</v>
      </c>
      <c r="AF2431">
        <v>-1.9737100599734601</v>
      </c>
      <c r="AG2431">
        <v>-1.1094387371759999</v>
      </c>
      <c r="AH2431">
        <v>19.999244104513402</v>
      </c>
      <c r="AI2431">
        <v>93.159854416687494</v>
      </c>
      <c r="AJ2431">
        <v>95.636225685657394</v>
      </c>
      <c r="AK2431">
        <v>20.127000533221601</v>
      </c>
      <c r="AL2431">
        <v>80.812391158709801</v>
      </c>
      <c r="AM2431">
        <v>89.764729599952403</v>
      </c>
      <c r="AN2431">
        <v>1.0000000035566701</v>
      </c>
    </row>
    <row r="2432" spans="1:40" x14ac:dyDescent="0.25">
      <c r="A2432" t="str">
        <f>"20190312164036085"</f>
        <v>20190312164036085</v>
      </c>
      <c r="B2432" t="str">
        <f>"1552380036079033"</f>
        <v>1552380036079033</v>
      </c>
      <c r="C2432" t="s">
        <v>40</v>
      </c>
      <c r="D2432">
        <v>4.9514180000000003</v>
      </c>
      <c r="E2432">
        <v>0.4663293</v>
      </c>
      <c r="F2432" t="s">
        <v>48</v>
      </c>
      <c r="G2432">
        <v>-345.51609999999999</v>
      </c>
      <c r="H2432" s="1">
        <v>1.398622E-6</v>
      </c>
      <c r="I2432">
        <v>283.35879999999997</v>
      </c>
      <c r="J2432">
        <v>-325.5265</v>
      </c>
      <c r="K2432">
        <v>1.109453</v>
      </c>
      <c r="L2432">
        <v>284.94389999999999</v>
      </c>
      <c r="M2432">
        <v>-0.99975789999999998</v>
      </c>
      <c r="N2432">
        <v>0</v>
      </c>
      <c r="O2432">
        <v>1.9720979999999999E-2</v>
      </c>
      <c r="P2432">
        <v>-0.98836310000000005</v>
      </c>
      <c r="Q2432">
        <v>0.150225</v>
      </c>
      <c r="R2432">
        <v>2.389981E-2</v>
      </c>
      <c r="S2432">
        <v>-3.066284</v>
      </c>
      <c r="T2432">
        <v>-0.16716619999999999</v>
      </c>
      <c r="U2432">
        <v>-0.23776249999999999</v>
      </c>
      <c r="V2432">
        <v>4.413447E-3</v>
      </c>
      <c r="W2432">
        <v>0.1598762</v>
      </c>
      <c r="X2432">
        <v>0.98712719999999998</v>
      </c>
      <c r="Y2432">
        <v>-9.6784670000000003E-2</v>
      </c>
      <c r="Z2432">
        <v>-3.7052700000000001E-3</v>
      </c>
      <c r="AA2432">
        <v>0.99529840000000003</v>
      </c>
      <c r="AB2432">
        <v>43</v>
      </c>
      <c r="AC2432">
        <v>-19.989599999999999</v>
      </c>
      <c r="AD2432">
        <v>-1.109451601378</v>
      </c>
      <c r="AE2432">
        <v>-1.5851000000000099</v>
      </c>
      <c r="AF2432">
        <v>-1.9729853498688099</v>
      </c>
      <c r="AG2432">
        <v>-1.109451601378</v>
      </c>
      <c r="AH2432">
        <v>19.893553506118199</v>
      </c>
      <c r="AI2432">
        <v>93.1764930491195</v>
      </c>
      <c r="AJ2432">
        <v>95.663908619405603</v>
      </c>
      <c r="AK2432">
        <v>20.021913623512201</v>
      </c>
      <c r="AL2432">
        <v>80.800289436445695</v>
      </c>
      <c r="AM2432">
        <v>89.743832201901</v>
      </c>
      <c r="AN2432">
        <v>0.99999999341035095</v>
      </c>
    </row>
    <row r="2433" spans="1:40" x14ac:dyDescent="0.25">
      <c r="A2433" t="str">
        <f>"20190312164036097"</f>
        <v>20190312164036097</v>
      </c>
      <c r="B2433" t="str">
        <f>"1552380036088795"</f>
        <v>1552380036088795</v>
      </c>
      <c r="C2433" t="s">
        <v>40</v>
      </c>
      <c r="D2433">
        <v>4.8904189999999996</v>
      </c>
      <c r="E2433">
        <v>0.4663503</v>
      </c>
      <c r="F2433" t="s">
        <v>48</v>
      </c>
      <c r="G2433">
        <v>-345.8614</v>
      </c>
      <c r="H2433" s="1">
        <v>1.5823549999999999E-6</v>
      </c>
      <c r="I2433">
        <v>283.38159999999999</v>
      </c>
      <c r="J2433">
        <v>-325.7568</v>
      </c>
      <c r="K2433">
        <v>1.109456</v>
      </c>
      <c r="L2433">
        <v>284.94839999999999</v>
      </c>
      <c r="M2433">
        <v>-0.99975809999999998</v>
      </c>
      <c r="N2433">
        <v>0</v>
      </c>
      <c r="O2433">
        <v>1.9703700000000001E-2</v>
      </c>
      <c r="P2433">
        <v>-0.98835329999999999</v>
      </c>
      <c r="Q2433">
        <v>0.15026310000000001</v>
      </c>
      <c r="R2433">
        <v>2.40567E-2</v>
      </c>
      <c r="S2433">
        <v>-3.0664669999999998</v>
      </c>
      <c r="T2433">
        <v>-0.16730339999999999</v>
      </c>
      <c r="U2433">
        <v>-0.23559569999999999</v>
      </c>
      <c r="V2433">
        <v>4.5843079999999996E-3</v>
      </c>
      <c r="W2433">
        <v>0.15991949999999999</v>
      </c>
      <c r="X2433">
        <v>0.98711939999999998</v>
      </c>
      <c r="Y2433">
        <v>-9.6064570000000002E-2</v>
      </c>
      <c r="Z2433">
        <v>-3.687643E-3</v>
      </c>
      <c r="AA2433">
        <v>0.99536829999999998</v>
      </c>
      <c r="AB2433">
        <v>43</v>
      </c>
      <c r="AC2433">
        <v>-20.104600000000001</v>
      </c>
      <c r="AD2433">
        <v>-1.1094544176450001</v>
      </c>
      <c r="AE2433">
        <v>-1.5668</v>
      </c>
      <c r="AF2433">
        <v>-1.9567269018660101</v>
      </c>
      <c r="AG2433">
        <v>-1.1094544176450001</v>
      </c>
      <c r="AH2433">
        <v>20.009257293155901</v>
      </c>
      <c r="AI2433">
        <v>93.158596349856396</v>
      </c>
      <c r="AJ2433">
        <v>95.585257279619</v>
      </c>
      <c r="AK2433">
        <v>20.135293558749801</v>
      </c>
      <c r="AL2433">
        <v>80.797776124911906</v>
      </c>
      <c r="AM2433">
        <v>89.733913028090896</v>
      </c>
      <c r="AN2433">
        <v>0.99999998610822405</v>
      </c>
    </row>
    <row r="2434" spans="1:40" x14ac:dyDescent="0.25">
      <c r="A2434" t="str">
        <f>"20190312164036109"</f>
        <v>20190312164036109</v>
      </c>
      <c r="B2434" t="str">
        <f>"1552380036098553"</f>
        <v>1552380036098553</v>
      </c>
      <c r="C2434" t="s">
        <v>40</v>
      </c>
      <c r="D2434">
        <v>4.9460670000000002</v>
      </c>
      <c r="E2434">
        <v>0.46621889999999999</v>
      </c>
      <c r="F2434" t="s">
        <v>48</v>
      </c>
      <c r="G2434">
        <v>-346.19299999999998</v>
      </c>
      <c r="H2434" s="1">
        <v>1.758801E-6</v>
      </c>
      <c r="I2434">
        <v>283.38580000000002</v>
      </c>
      <c r="J2434">
        <v>-325.97320000000002</v>
      </c>
      <c r="K2434">
        <v>1.1094619999999999</v>
      </c>
      <c r="L2434">
        <v>284.95260000000002</v>
      </c>
      <c r="M2434">
        <v>-0.99975860000000005</v>
      </c>
      <c r="N2434">
        <v>0</v>
      </c>
      <c r="O2434">
        <v>1.9681529999999999E-2</v>
      </c>
      <c r="P2434">
        <v>-0.98838309999999996</v>
      </c>
      <c r="Q2434">
        <v>0.150089</v>
      </c>
      <c r="R2434">
        <v>2.392441E-2</v>
      </c>
      <c r="S2434">
        <v>-3.066376</v>
      </c>
      <c r="T2434">
        <v>-0.1664697</v>
      </c>
      <c r="U2434">
        <v>-0.2344666</v>
      </c>
      <c r="V2434">
        <v>4.4703299999999998E-3</v>
      </c>
      <c r="W2434">
        <v>0.15975</v>
      </c>
      <c r="X2434">
        <v>0.98714740000000001</v>
      </c>
      <c r="Y2434">
        <v>-9.5682639999999999E-2</v>
      </c>
      <c r="Z2434">
        <v>-3.6579059999999998E-3</v>
      </c>
      <c r="AA2434">
        <v>0.99540519999999999</v>
      </c>
      <c r="AB2434">
        <v>43</v>
      </c>
      <c r="AC2434">
        <v>-20.219799999999999</v>
      </c>
      <c r="AD2434">
        <v>-1.109460241199</v>
      </c>
      <c r="AE2434">
        <v>-1.5668</v>
      </c>
      <c r="AF2434">
        <v>-1.95861043805894</v>
      </c>
      <c r="AG2434">
        <v>-1.109460241199</v>
      </c>
      <c r="AH2434">
        <v>20.124816092972502</v>
      </c>
      <c r="AI2434">
        <v>93.140653952532105</v>
      </c>
      <c r="AJ2434">
        <v>95.558699403953995</v>
      </c>
      <c r="AK2434">
        <v>20.2503155444758</v>
      </c>
      <c r="AL2434">
        <v>80.807614534825206</v>
      </c>
      <c r="AM2434">
        <v>89.740535920802301</v>
      </c>
      <c r="AN2434">
        <v>1.00000001783853</v>
      </c>
    </row>
    <row r="2435" spans="1:40" x14ac:dyDescent="0.25">
      <c r="A2435" t="str">
        <f>"20190312164036130"</f>
        <v>20190312164036130</v>
      </c>
      <c r="B2435" t="str">
        <f>"1552380036118074"</f>
        <v>1552380036118074</v>
      </c>
      <c r="C2435" t="s">
        <v>40</v>
      </c>
      <c r="D2435">
        <v>4.940817</v>
      </c>
      <c r="E2435">
        <v>0.46646579999999899</v>
      </c>
      <c r="F2435" t="s">
        <v>48</v>
      </c>
      <c r="G2435">
        <v>-346.12810000000002</v>
      </c>
      <c r="H2435" s="1">
        <v>1.724247E-6</v>
      </c>
      <c r="I2435">
        <v>283.40480000000002</v>
      </c>
      <c r="J2435">
        <v>-326.3775</v>
      </c>
      <c r="K2435">
        <v>1.109475</v>
      </c>
      <c r="L2435">
        <v>284.9606</v>
      </c>
      <c r="M2435">
        <v>-0.99975930000000002</v>
      </c>
      <c r="N2435">
        <v>0</v>
      </c>
      <c r="O2435">
        <v>1.9635240000000002E-2</v>
      </c>
      <c r="P2435">
        <v>-0.98843930000000002</v>
      </c>
      <c r="Q2435">
        <v>0.1497714</v>
      </c>
      <c r="R2435">
        <v>2.359021E-2</v>
      </c>
      <c r="S2435">
        <v>-3.0666199999999999</v>
      </c>
      <c r="T2435">
        <v>-0.1688076</v>
      </c>
      <c r="U2435">
        <v>-0.2355042</v>
      </c>
      <c r="V2435">
        <v>4.175359E-3</v>
      </c>
      <c r="W2435">
        <v>0.15944120000000001</v>
      </c>
      <c r="X2435">
        <v>0.98719860000000004</v>
      </c>
      <c r="Y2435">
        <v>-9.5960290000000004E-2</v>
      </c>
      <c r="Z2435">
        <v>-3.7139429999999999E-3</v>
      </c>
      <c r="AA2435">
        <v>0.99537830000000005</v>
      </c>
      <c r="AB2435">
        <v>43</v>
      </c>
      <c r="AC2435">
        <v>-19.750599999999999</v>
      </c>
      <c r="AD2435">
        <v>-1.1094732757529999</v>
      </c>
      <c r="AE2435">
        <v>-1.5557999999999701</v>
      </c>
      <c r="AF2435">
        <v>-1.93725101036175</v>
      </c>
      <c r="AG2435">
        <v>-1.1094732757529999</v>
      </c>
      <c r="AH2435">
        <v>19.654603615125001</v>
      </c>
      <c r="AI2435">
        <v>93.215285637521106</v>
      </c>
      <c r="AJ2435">
        <v>95.629161814056999</v>
      </c>
      <c r="AK2435">
        <v>19.780983688746101</v>
      </c>
      <c r="AL2435">
        <v>80.825537056795994</v>
      </c>
      <c r="AM2435">
        <v>89.757668799205405</v>
      </c>
      <c r="AN2435">
        <v>1.00000000286108</v>
      </c>
    </row>
    <row r="2436" spans="1:40" x14ac:dyDescent="0.25">
      <c r="A2436" t="str">
        <f>"20190312164036142"</f>
        <v>20190312164036142</v>
      </c>
      <c r="B2436" t="str">
        <f>"1552380036138571"</f>
        <v>1552380036138571</v>
      </c>
      <c r="C2436" t="s">
        <v>40</v>
      </c>
      <c r="D2436">
        <v>5.1160759999999996</v>
      </c>
      <c r="E2436">
        <v>0.49292010000000003</v>
      </c>
      <c r="F2436" t="s">
        <v>48</v>
      </c>
      <c r="G2436">
        <v>-346.2321</v>
      </c>
      <c r="H2436" s="1">
        <v>1.7796000000000001E-6</v>
      </c>
      <c r="I2436">
        <v>283.44099999999997</v>
      </c>
      <c r="J2436">
        <v>-326.61880000000002</v>
      </c>
      <c r="K2436">
        <v>1.109483</v>
      </c>
      <c r="L2436">
        <v>284.96530000000001</v>
      </c>
      <c r="M2436">
        <v>-0.99975999999999998</v>
      </c>
      <c r="N2436">
        <v>0</v>
      </c>
      <c r="O2436">
        <v>1.9603889999999999E-2</v>
      </c>
      <c r="P2436">
        <v>-0.98848080000000005</v>
      </c>
      <c r="Q2436">
        <v>0.1495572</v>
      </c>
      <c r="R2436">
        <v>2.3201940000000001E-2</v>
      </c>
      <c r="S2436">
        <v>-3.0666500000000001</v>
      </c>
      <c r="T2436">
        <v>-0.17136479999999901</v>
      </c>
      <c r="U2436">
        <v>-0.23471069999999999</v>
      </c>
      <c r="V2436">
        <v>3.8142279999999998E-3</v>
      </c>
      <c r="W2436">
        <v>0.1592327</v>
      </c>
      <c r="X2436">
        <v>0.98723369999999999</v>
      </c>
      <c r="Y2436">
        <v>-9.5667459999999996E-2</v>
      </c>
      <c r="Z2436">
        <v>-3.7602030000000002E-3</v>
      </c>
      <c r="AA2436">
        <v>0.99540629999999997</v>
      </c>
      <c r="AB2436">
        <v>43</v>
      </c>
      <c r="AC2436">
        <v>-19.613299999999899</v>
      </c>
      <c r="AD2436">
        <v>-1.1094812204</v>
      </c>
      <c r="AE2436">
        <v>-1.52430000000003</v>
      </c>
      <c r="AF2436">
        <v>-1.9024712033653299</v>
      </c>
      <c r="AG2436">
        <v>-1.1094812204</v>
      </c>
      <c r="AH2436">
        <v>19.517567209514599</v>
      </c>
      <c r="AI2436">
        <v>93.238177928735894</v>
      </c>
      <c r="AJ2436">
        <v>95.567307524254005</v>
      </c>
      <c r="AK2436">
        <v>19.641430065959401</v>
      </c>
      <c r="AL2436">
        <v>80.837637701914403</v>
      </c>
      <c r="AM2436">
        <v>89.778635920623202</v>
      </c>
      <c r="AN2436">
        <v>0.99999998975010795</v>
      </c>
    </row>
    <row r="2437" spans="1:40" x14ac:dyDescent="0.25">
      <c r="A2437" t="str">
        <f>"20190312164036165"</f>
        <v>20190312164036165</v>
      </c>
      <c r="B2437" t="str">
        <f>"1552380036159066"</f>
        <v>1552380036159066</v>
      </c>
      <c r="C2437" t="s">
        <v>40</v>
      </c>
      <c r="D2437">
        <v>5.1996769999999897</v>
      </c>
      <c r="E2437">
        <v>0.49679390000000001</v>
      </c>
      <c r="F2437" t="s">
        <v>48</v>
      </c>
      <c r="G2437">
        <v>-341.73419999999999</v>
      </c>
      <c r="H2437" s="1">
        <v>-6.1393090000000003E-7</v>
      </c>
      <c r="I2437">
        <v>284.82979999999998</v>
      </c>
      <c r="J2437">
        <v>-327.04700000000003</v>
      </c>
      <c r="K2437">
        <v>1.1094889999999999</v>
      </c>
      <c r="L2437">
        <v>284.97359999999998</v>
      </c>
      <c r="M2437">
        <v>-0.99976089999999995</v>
      </c>
      <c r="N2437">
        <v>0</v>
      </c>
      <c r="O2437">
        <v>1.9542500000000001E-2</v>
      </c>
      <c r="P2437">
        <v>-0.98850340000000003</v>
      </c>
      <c r="Q2437">
        <v>0.14951999999999999</v>
      </c>
      <c r="R2437">
        <v>2.2469369999999999E-2</v>
      </c>
      <c r="S2437">
        <v>-3.0697019999999999</v>
      </c>
      <c r="T2437">
        <v>-0.2253193</v>
      </c>
      <c r="U2437">
        <v>-2.752686E-2</v>
      </c>
      <c r="V2437">
        <v>3.1377419999999998E-3</v>
      </c>
      <c r="W2437">
        <v>0.1592044</v>
      </c>
      <c r="X2437">
        <v>0.98724069999999997</v>
      </c>
      <c r="Y2437">
        <v>-2.8378939999999998E-2</v>
      </c>
      <c r="Z2437">
        <v>-2.4726180000000002E-3</v>
      </c>
      <c r="AA2437">
        <v>0.99959419999999999</v>
      </c>
      <c r="AB2437">
        <v>43</v>
      </c>
      <c r="AC2437">
        <v>-14.687199999999899</v>
      </c>
      <c r="AD2437">
        <v>-1.1094896139308901</v>
      </c>
      <c r="AE2437">
        <v>-0.14379999999999801</v>
      </c>
      <c r="AF2437">
        <v>-0.42836672040079998</v>
      </c>
      <c r="AG2437">
        <v>-1.1094896139308901</v>
      </c>
      <c r="AH2437">
        <v>14.598287643044699</v>
      </c>
      <c r="AI2437">
        <v>94.344338659433106</v>
      </c>
      <c r="AJ2437">
        <v>91.680783732205498</v>
      </c>
      <c r="AK2437">
        <v>14.6466537939435</v>
      </c>
      <c r="AL2437">
        <v>80.839280616938296</v>
      </c>
      <c r="AM2437">
        <v>89.817897734104704</v>
      </c>
      <c r="AN2437">
        <v>1.00000004307035</v>
      </c>
    </row>
    <row r="2438" spans="1:40" x14ac:dyDescent="0.25">
      <c r="A2438" t="str">
        <f>"20190312164036179"</f>
        <v>20190312164036179</v>
      </c>
      <c r="B2438" t="str">
        <f>"1552380036168825"</f>
        <v>1552380036168825</v>
      </c>
      <c r="C2438" t="s">
        <v>40</v>
      </c>
      <c r="D2438">
        <v>4.9444629999999998</v>
      </c>
      <c r="E2438">
        <v>0.49675629999999998</v>
      </c>
      <c r="F2438" t="s">
        <v>48</v>
      </c>
      <c r="G2438">
        <v>-342.54950000000002</v>
      </c>
      <c r="H2438" s="1">
        <v>-1.8008729999999999E-7</v>
      </c>
      <c r="I2438">
        <v>284.98149999999998</v>
      </c>
      <c r="J2438">
        <v>-327.31420000000003</v>
      </c>
      <c r="K2438">
        <v>1.109497</v>
      </c>
      <c r="L2438">
        <v>284.97890000000001</v>
      </c>
      <c r="M2438">
        <v>-0.99976180000000003</v>
      </c>
      <c r="N2438">
        <v>0</v>
      </c>
      <c r="O2438">
        <v>1.9500969999999999E-2</v>
      </c>
      <c r="P2438">
        <v>-0.9885178</v>
      </c>
      <c r="Q2438">
        <v>0.14948520000000001</v>
      </c>
      <c r="R2438">
        <v>2.2066499999999999E-2</v>
      </c>
      <c r="S2438">
        <v>-3.068085</v>
      </c>
      <c r="T2438">
        <v>-0.21957869999999999</v>
      </c>
      <c r="U2438">
        <v>1.556396E-3</v>
      </c>
      <c r="V2438">
        <v>2.7733530000000001E-3</v>
      </c>
      <c r="W2438">
        <v>0.15917529999999999</v>
      </c>
      <c r="X2438">
        <v>0.98724650000000003</v>
      </c>
      <c r="Y2438">
        <v>-1.8896509999999998E-2</v>
      </c>
      <c r="Z2438">
        <v>-2.0692100000000001E-3</v>
      </c>
      <c r="AA2438">
        <v>0.99981929999999997</v>
      </c>
      <c r="AB2438">
        <v>43</v>
      </c>
      <c r="AC2438">
        <v>-15.235299999999899</v>
      </c>
      <c r="AD2438">
        <v>-1.1094971800872999</v>
      </c>
      <c r="AE2438">
        <v>2.5999999999726199E-3</v>
      </c>
      <c r="AF2438">
        <v>-0.29296420093255499</v>
      </c>
      <c r="AG2438">
        <v>-1.1094971800872999</v>
      </c>
      <c r="AH2438">
        <v>15.152096366056099</v>
      </c>
      <c r="AI2438">
        <v>94.187172388049405</v>
      </c>
      <c r="AJ2438">
        <v>91.107669897582994</v>
      </c>
      <c r="AK2438">
        <v>15.195487366382901</v>
      </c>
      <c r="AL2438">
        <v>80.840969613722606</v>
      </c>
      <c r="AM2438">
        <v>89.839046272625694</v>
      </c>
      <c r="AN2438">
        <v>1.0000000596895899</v>
      </c>
    </row>
    <row r="2439" spans="1:40" x14ac:dyDescent="0.25">
      <c r="A2439" t="str">
        <f>"20190312164036200"</f>
        <v>20190312164036200</v>
      </c>
      <c r="B2439" t="str">
        <f>"1552380036188346"</f>
        <v>1552380036188346</v>
      </c>
      <c r="C2439" t="s">
        <v>40</v>
      </c>
      <c r="D2439">
        <v>5.1270810000000004</v>
      </c>
      <c r="E2439">
        <v>0.49787110000000001</v>
      </c>
      <c r="F2439" t="s">
        <v>42</v>
      </c>
      <c r="G2439">
        <v>-328.4151</v>
      </c>
      <c r="H2439">
        <v>1.0315909999999999</v>
      </c>
      <c r="I2439">
        <v>284.97910000000002</v>
      </c>
      <c r="J2439">
        <v>-327.70769999999999</v>
      </c>
      <c r="K2439">
        <v>1.109507</v>
      </c>
      <c r="L2439">
        <v>284.98649999999998</v>
      </c>
      <c r="M2439">
        <v>-0.99976290000000001</v>
      </c>
      <c r="N2439">
        <v>0</v>
      </c>
      <c r="O2439">
        <v>1.9436229999999999E-2</v>
      </c>
      <c r="P2439">
        <v>-0.98851750000000005</v>
      </c>
      <c r="Q2439">
        <v>0.14956849999999999</v>
      </c>
      <c r="R2439">
        <v>2.151196E-2</v>
      </c>
      <c r="S2439">
        <v>-3.067688</v>
      </c>
      <c r="T2439">
        <v>-0.2171853</v>
      </c>
      <c r="U2439" s="1">
        <v>-9.1552730000000004E-5</v>
      </c>
      <c r="V2439">
        <v>2.2802479999999999E-3</v>
      </c>
      <c r="W2439">
        <v>0.15926609999999999</v>
      </c>
      <c r="X2439">
        <v>0.98723300000000003</v>
      </c>
      <c r="Y2439">
        <v>-1.9369879999999999E-2</v>
      </c>
      <c r="Z2439">
        <v>-2.0591369999999999E-3</v>
      </c>
      <c r="AA2439">
        <v>0.99981030000000004</v>
      </c>
      <c r="AB2439">
        <v>43</v>
      </c>
      <c r="AC2439">
        <v>-0.70740000000000602</v>
      </c>
      <c r="AD2439">
        <v>-7.7916000000000096E-2</v>
      </c>
      <c r="AE2439">
        <v>-7.3999999999614296E-3</v>
      </c>
      <c r="AF2439">
        <v>-2.0894988806965699E-2</v>
      </c>
      <c r="AG2439">
        <v>-7.7916000000000096E-2</v>
      </c>
      <c r="AH2439">
        <v>0.69864763736665103</v>
      </c>
      <c r="AI2439">
        <v>96.3607398738787</v>
      </c>
      <c r="AJ2439">
        <v>91.713078017782607</v>
      </c>
      <c r="AK2439">
        <v>0.70328943175000702</v>
      </c>
      <c r="AL2439">
        <v>80.835698855394696</v>
      </c>
      <c r="AM2439">
        <v>89.867662087559594</v>
      </c>
      <c r="AN2439">
        <v>0.99999994321457397</v>
      </c>
    </row>
    <row r="2440" spans="1:40" x14ac:dyDescent="0.25">
      <c r="A2440" t="str">
        <f>"20190312164036219"</f>
        <v>20190312164036219</v>
      </c>
      <c r="B2440" t="str">
        <f>"1552380036208841"</f>
        <v>1552380036208841</v>
      </c>
      <c r="C2440" t="s">
        <v>40</v>
      </c>
      <c r="D2440">
        <v>4.9898639999999999</v>
      </c>
      <c r="E2440">
        <v>0.4982626</v>
      </c>
      <c r="F2440" t="s">
        <v>48</v>
      </c>
      <c r="G2440">
        <v>-344.22489999999999</v>
      </c>
      <c r="H2440" s="1">
        <v>7.1151679999999899E-7</v>
      </c>
      <c r="I2440">
        <v>285.02640000000002</v>
      </c>
      <c r="J2440">
        <v>-328.09350000000001</v>
      </c>
      <c r="K2440">
        <v>1.1095139999999999</v>
      </c>
      <c r="L2440">
        <v>284.9939</v>
      </c>
      <c r="M2440">
        <v>-0.99976419999999999</v>
      </c>
      <c r="N2440">
        <v>0</v>
      </c>
      <c r="O2440">
        <v>1.9370020000000002E-2</v>
      </c>
      <c r="P2440">
        <v>-0.9885313</v>
      </c>
      <c r="Q2440">
        <v>0.14953320000000001</v>
      </c>
      <c r="R2440">
        <v>2.1119300000000001E-2</v>
      </c>
      <c r="S2440">
        <v>-3.0658569999999998</v>
      </c>
      <c r="T2440">
        <v>-0.2059416</v>
      </c>
      <c r="U2440">
        <v>7.4157709999999998E-3</v>
      </c>
      <c r="V2440">
        <v>1.950502E-3</v>
      </c>
      <c r="W2440">
        <v>0.15923880000000001</v>
      </c>
      <c r="X2440">
        <v>0.98723819999999995</v>
      </c>
      <c r="Y2440">
        <v>-1.687087E-2</v>
      </c>
      <c r="Z2440">
        <v>-1.865654E-3</v>
      </c>
      <c r="AA2440">
        <v>0.99985590000000002</v>
      </c>
      <c r="AB2440">
        <v>43</v>
      </c>
      <c r="AC2440">
        <v>-16.1313999999999</v>
      </c>
      <c r="AD2440">
        <v>-1.1095132884832</v>
      </c>
      <c r="AE2440">
        <v>3.2500000000027202E-2</v>
      </c>
      <c r="AF2440">
        <v>-0.278668414731223</v>
      </c>
      <c r="AG2440">
        <v>-1.1095132884832</v>
      </c>
      <c r="AH2440">
        <v>16.053061627158801</v>
      </c>
      <c r="AI2440">
        <v>93.953137718936901</v>
      </c>
      <c r="AJ2440">
        <v>90.994509391002197</v>
      </c>
      <c r="AK2440">
        <v>16.093770951149001</v>
      </c>
      <c r="AL2440">
        <v>80.837284068341404</v>
      </c>
      <c r="AM2440">
        <v>89.8867999768228</v>
      </c>
      <c r="AN2440">
        <v>1.00000003171136</v>
      </c>
    </row>
    <row r="2441" spans="1:40" x14ac:dyDescent="0.25">
      <c r="A2441" t="str">
        <f>"20190312164036242"</f>
        <v>20190312164036242</v>
      </c>
      <c r="B2441" t="str">
        <f>"1552380036238122"</f>
        <v>1552380036238122</v>
      </c>
      <c r="C2441" t="s">
        <v>40</v>
      </c>
      <c r="D2441">
        <v>5.1908200000000004</v>
      </c>
      <c r="E2441">
        <v>0.49815429999999999</v>
      </c>
      <c r="F2441" t="s">
        <v>42</v>
      </c>
      <c r="G2441">
        <v>-329.19420000000002</v>
      </c>
      <c r="H2441">
        <v>1.0350079999999999</v>
      </c>
      <c r="I2441">
        <v>284.9975</v>
      </c>
      <c r="J2441">
        <v>-328.52550000000002</v>
      </c>
      <c r="K2441">
        <v>1.1095200000000001</v>
      </c>
      <c r="L2441">
        <v>285.00229999999999</v>
      </c>
      <c r="M2441">
        <v>-0.99976560000000003</v>
      </c>
      <c r="N2441">
        <v>0</v>
      </c>
      <c r="O2441">
        <v>1.9294450000000001E-2</v>
      </c>
      <c r="P2441">
        <v>-0.98858049999999997</v>
      </c>
      <c r="Q2441">
        <v>0.14925079999999999</v>
      </c>
      <c r="R2441">
        <v>2.080883E-2</v>
      </c>
      <c r="S2441">
        <v>-3.0660400000000001</v>
      </c>
      <c r="T2441">
        <v>-0.20767379999999999</v>
      </c>
      <c r="U2441">
        <v>9.3688959999999998E-3</v>
      </c>
      <c r="V2441">
        <v>1.711663E-3</v>
      </c>
      <c r="W2441">
        <v>0.1589662</v>
      </c>
      <c r="X2441">
        <v>0.98728249999999995</v>
      </c>
      <c r="Y2441">
        <v>-1.6158949999999998E-2</v>
      </c>
      <c r="Z2441">
        <v>-1.851999E-3</v>
      </c>
      <c r="AA2441">
        <v>0.99986770000000003</v>
      </c>
      <c r="AB2441">
        <v>43</v>
      </c>
      <c r="AC2441">
        <v>-0.66870000000000096</v>
      </c>
      <c r="AD2441">
        <v>-7.4512000000000106E-2</v>
      </c>
      <c r="AE2441">
        <v>-4.7999999999888097E-3</v>
      </c>
      <c r="AF2441">
        <v>-1.74848427942315E-2</v>
      </c>
      <c r="AG2441">
        <v>-7.4512000000000106E-2</v>
      </c>
      <c r="AH2441">
        <v>0.66028505853799502</v>
      </c>
      <c r="AI2441">
        <v>96.436251392615603</v>
      </c>
      <c r="AJ2441">
        <v>91.516880652062298</v>
      </c>
      <c r="AK2441">
        <v>0.66470603758357905</v>
      </c>
      <c r="AL2441">
        <v>80.853103742023194</v>
      </c>
      <c r="AM2441">
        <v>89.900665749074093</v>
      </c>
      <c r="AN2441">
        <v>0.99999995866945601</v>
      </c>
    </row>
    <row r="2442" spans="1:40" x14ac:dyDescent="0.25">
      <c r="A2442" t="str">
        <f>"20190312164036252"</f>
        <v>20190312164036252</v>
      </c>
      <c r="B2442" t="str">
        <f>"1552380036248858"</f>
        <v>1552380036248858</v>
      </c>
      <c r="C2442" t="s">
        <v>40</v>
      </c>
      <c r="D2442">
        <v>5.0025890000000004</v>
      </c>
      <c r="E2442">
        <v>0.49806280000000003</v>
      </c>
      <c r="F2442" t="s">
        <v>48</v>
      </c>
      <c r="G2442">
        <v>-344.95150000000001</v>
      </c>
      <c r="H2442" s="1">
        <v>1.0981450000000001E-6</v>
      </c>
      <c r="I2442">
        <v>285.05079999999998</v>
      </c>
      <c r="J2442">
        <v>-328.75049999999999</v>
      </c>
      <c r="K2442">
        <v>1.1095200000000001</v>
      </c>
      <c r="L2442">
        <v>285.00659999999999</v>
      </c>
      <c r="M2442">
        <v>-0.99976620000000005</v>
      </c>
      <c r="N2442">
        <v>0</v>
      </c>
      <c r="O2442">
        <v>1.9254810000000001E-2</v>
      </c>
      <c r="P2442">
        <v>-0.98861889999999997</v>
      </c>
      <c r="Q2442">
        <v>0.1489828</v>
      </c>
      <c r="R2442">
        <v>2.0908759999999998E-2</v>
      </c>
      <c r="S2442">
        <v>-3.0657350000000001</v>
      </c>
      <c r="T2442">
        <v>-0.20707999999999999</v>
      </c>
      <c r="U2442">
        <v>9.0637210000000003E-3</v>
      </c>
      <c r="V2442">
        <v>1.8489789999999999E-3</v>
      </c>
      <c r="W2442">
        <v>0.15870310000000001</v>
      </c>
      <c r="X2442">
        <v>0.98732470000000006</v>
      </c>
      <c r="Y2442">
        <v>-1.6218940000000001E-2</v>
      </c>
      <c r="Z2442">
        <v>-1.84625E-3</v>
      </c>
      <c r="AA2442">
        <v>0.99986679999999994</v>
      </c>
      <c r="AB2442">
        <v>43</v>
      </c>
      <c r="AC2442">
        <v>-16.201000000000001</v>
      </c>
      <c r="AD2442">
        <v>-1.109518901855</v>
      </c>
      <c r="AE2442">
        <v>4.4199999999989303E-2</v>
      </c>
      <c r="AF2442">
        <v>-0.26652046199651203</v>
      </c>
      <c r="AG2442">
        <v>-1.109518901855</v>
      </c>
      <c r="AH2442">
        <v>16.123227667581698</v>
      </c>
      <c r="AI2442">
        <v>93.936063355243903</v>
      </c>
      <c r="AJ2442">
        <v>90.947025452406194</v>
      </c>
      <c r="AK2442">
        <v>16.163555789828798</v>
      </c>
      <c r="AL2442">
        <v>80.868373189523894</v>
      </c>
      <c r="AM2442">
        <v>89.892701388647595</v>
      </c>
      <c r="AN2442">
        <v>1.0000000779515099</v>
      </c>
    </row>
    <row r="2443" spans="1:40" x14ac:dyDescent="0.25">
      <c r="A2443" t="str">
        <f>"20190312164036265"</f>
        <v>20190312164036265</v>
      </c>
      <c r="B2443" t="str">
        <f>"1552380036258617"</f>
        <v>1552380036258617</v>
      </c>
      <c r="C2443" t="s">
        <v>40</v>
      </c>
      <c r="D2443">
        <v>5.0632669999999997</v>
      </c>
      <c r="E2443">
        <v>0.4979981</v>
      </c>
      <c r="F2443" t="s">
        <v>48</v>
      </c>
      <c r="G2443">
        <v>-345.38290000000001</v>
      </c>
      <c r="H2443" s="1">
        <v>1.327716E-6</v>
      </c>
      <c r="I2443">
        <v>285.05560000000003</v>
      </c>
      <c r="J2443">
        <v>-328.98430000000002</v>
      </c>
      <c r="K2443">
        <v>1.109518</v>
      </c>
      <c r="L2443">
        <v>285.01100000000002</v>
      </c>
      <c r="M2443">
        <v>-0.99976710000000002</v>
      </c>
      <c r="N2443">
        <v>0</v>
      </c>
      <c r="O2443">
        <v>1.9213689999999999E-2</v>
      </c>
      <c r="P2443">
        <v>-0.98871569999999998</v>
      </c>
      <c r="Q2443">
        <v>0.14835279999999901</v>
      </c>
      <c r="R2443">
        <v>2.081042E-2</v>
      </c>
      <c r="S2443">
        <v>-3.0651549999999999</v>
      </c>
      <c r="T2443">
        <v>-0.20447090000000001</v>
      </c>
      <c r="U2443">
        <v>9.0332030000000001E-3</v>
      </c>
      <c r="V2443">
        <v>1.788481E-3</v>
      </c>
      <c r="W2443">
        <v>0.15807879999999999</v>
      </c>
      <c r="X2443">
        <v>0.98742490000000005</v>
      </c>
      <c r="Y2443">
        <v>-1.6189350000000002E-2</v>
      </c>
      <c r="Z2443">
        <v>-1.819658E-3</v>
      </c>
      <c r="AA2443">
        <v>0.99986730000000001</v>
      </c>
      <c r="AB2443">
        <v>43</v>
      </c>
      <c r="AC2443">
        <v>-16.398599999999899</v>
      </c>
      <c r="AD2443">
        <v>-1.109516672284</v>
      </c>
      <c r="AE2443">
        <v>4.4600000000059398E-2</v>
      </c>
      <c r="AF2443">
        <v>-0.26926842673120099</v>
      </c>
      <c r="AG2443">
        <v>-1.109516672284</v>
      </c>
      <c r="AH2443">
        <v>16.3217129769215</v>
      </c>
      <c r="AI2443">
        <v>93.888339653136299</v>
      </c>
      <c r="AJ2443">
        <v>90.945154775506197</v>
      </c>
      <c r="AK2443">
        <v>16.3615967201468</v>
      </c>
      <c r="AL2443">
        <v>80.904599718659895</v>
      </c>
      <c r="AM2443">
        <v>89.896222688955106</v>
      </c>
      <c r="AN2443">
        <v>1.0000000194068599</v>
      </c>
    </row>
    <row r="2444" spans="1:40" x14ac:dyDescent="0.25">
      <c r="A2444" t="str">
        <f>"20190312164036277"</f>
        <v>20190312164036277</v>
      </c>
      <c r="B2444" t="str">
        <f>"1552380036268377"</f>
        <v>1552380036268377</v>
      </c>
      <c r="C2444" t="s">
        <v>40</v>
      </c>
      <c r="D2444">
        <v>5.137912</v>
      </c>
      <c r="E2444">
        <v>0.49814079999999999</v>
      </c>
      <c r="F2444" t="s">
        <v>48</v>
      </c>
      <c r="G2444">
        <v>-345.70049999999998</v>
      </c>
      <c r="H2444" s="1">
        <v>1.496732E-6</v>
      </c>
      <c r="I2444">
        <v>285.05619999999999</v>
      </c>
      <c r="J2444">
        <v>-329.2226</v>
      </c>
      <c r="K2444">
        <v>1.1095200000000001</v>
      </c>
      <c r="L2444">
        <v>285.01560000000001</v>
      </c>
      <c r="M2444">
        <v>-0.99976770000000004</v>
      </c>
      <c r="N2444">
        <v>0</v>
      </c>
      <c r="O2444">
        <v>1.917191E-2</v>
      </c>
      <c r="P2444">
        <v>-0.98880599999999996</v>
      </c>
      <c r="Q2444">
        <v>0.14776059999999999</v>
      </c>
      <c r="R2444">
        <v>2.0723800000000001E-2</v>
      </c>
      <c r="S2444">
        <v>-3.064575</v>
      </c>
      <c r="T2444">
        <v>-0.20340739999999999</v>
      </c>
      <c r="U2444">
        <v>8.2702639999999994E-3</v>
      </c>
      <c r="V2444">
        <v>1.740477E-3</v>
      </c>
      <c r="W2444">
        <v>0.1574921</v>
      </c>
      <c r="X2444">
        <v>0.98751869999999997</v>
      </c>
      <c r="Y2444">
        <v>-1.6396350000000001E-2</v>
      </c>
      <c r="Z2444">
        <v>-1.814651E-3</v>
      </c>
      <c r="AA2444">
        <v>0.99986390000000003</v>
      </c>
      <c r="AB2444">
        <v>43</v>
      </c>
      <c r="AC2444">
        <v>-16.477899999999899</v>
      </c>
      <c r="AD2444">
        <v>-1.1095185032679999</v>
      </c>
      <c r="AE2444">
        <v>4.0599999999983503E-2</v>
      </c>
      <c r="AF2444">
        <v>-0.27409291551112402</v>
      </c>
      <c r="AG2444">
        <v>-1.1095185032679999</v>
      </c>
      <c r="AH2444">
        <v>16.4012892890335</v>
      </c>
      <c r="AI2444">
        <v>93.869524186613901</v>
      </c>
      <c r="AJ2444">
        <v>90.957418971775994</v>
      </c>
      <c r="AK2444">
        <v>16.441059837431101</v>
      </c>
      <c r="AL2444">
        <v>80.938641282908307</v>
      </c>
      <c r="AM2444">
        <v>89.899017726769401</v>
      </c>
      <c r="AN2444">
        <v>0.999999986836143</v>
      </c>
    </row>
    <row r="2445" spans="1:40" x14ac:dyDescent="0.25">
      <c r="A2445" t="str">
        <f>"20190312164036297"</f>
        <v>20190312164036297</v>
      </c>
      <c r="B2445" t="str">
        <f>"1552380036288876"</f>
        <v>1552380036288876</v>
      </c>
      <c r="C2445" t="s">
        <v>40</v>
      </c>
      <c r="D2445">
        <v>5.0939180000000004</v>
      </c>
      <c r="E2445">
        <v>0.49843949999999998</v>
      </c>
      <c r="F2445" t="s">
        <v>48</v>
      </c>
      <c r="G2445">
        <v>-345.75970000000001</v>
      </c>
      <c r="H2445" s="1">
        <v>1.5282170000000001E-6</v>
      </c>
      <c r="I2445">
        <v>285.06479999999999</v>
      </c>
      <c r="J2445">
        <v>-329.6207</v>
      </c>
      <c r="K2445">
        <v>1.1095189999999999</v>
      </c>
      <c r="L2445">
        <v>285.02319999999997</v>
      </c>
      <c r="M2445">
        <v>-0.99976900000000002</v>
      </c>
      <c r="N2445">
        <v>0</v>
      </c>
      <c r="O2445">
        <v>1.91022E-2</v>
      </c>
      <c r="P2445">
        <v>-0.98889899999999997</v>
      </c>
      <c r="Q2445">
        <v>0.1471664</v>
      </c>
      <c r="R2445">
        <v>2.0518249999999998E-2</v>
      </c>
      <c r="S2445">
        <v>-3.0644840000000002</v>
      </c>
      <c r="T2445">
        <v>-0.20560439999999999</v>
      </c>
      <c r="U2445">
        <v>9.1247559999999995E-3</v>
      </c>
      <c r="V2445">
        <v>1.600567E-3</v>
      </c>
      <c r="W2445">
        <v>0.15690670000000001</v>
      </c>
      <c r="X2445">
        <v>0.98761209999999999</v>
      </c>
      <c r="Y2445">
        <v>-1.6046999999999999E-2</v>
      </c>
      <c r="Z2445">
        <v>-1.817883E-3</v>
      </c>
      <c r="AA2445">
        <v>0.99986960000000003</v>
      </c>
      <c r="AB2445">
        <v>43</v>
      </c>
      <c r="AC2445">
        <v>-16.138999999999999</v>
      </c>
      <c r="AD2445">
        <v>-1.1095174717829901</v>
      </c>
      <c r="AE2445">
        <v>4.16000000000167E-2</v>
      </c>
      <c r="AF2445">
        <v>-0.26545834886554398</v>
      </c>
      <c r="AG2445">
        <v>-1.1095174717829901</v>
      </c>
      <c r="AH2445">
        <v>16.0609423855405</v>
      </c>
      <c r="AI2445">
        <v>93.951274438483196</v>
      </c>
      <c r="AJ2445">
        <v>90.946909458516004</v>
      </c>
      <c r="AK2445">
        <v>16.1014088658982</v>
      </c>
      <c r="AL2445">
        <v>80.972604323079096</v>
      </c>
      <c r="AM2445">
        <v>89.907144056213795</v>
      </c>
      <c r="AN2445">
        <v>0.99999996719300999</v>
      </c>
    </row>
    <row r="2446" spans="1:40" x14ac:dyDescent="0.25">
      <c r="A2446" t="str">
        <f>"20190312164036310"</f>
        <v>20190312164036310</v>
      </c>
      <c r="B2446" t="str">
        <f>"1552380036298634"</f>
        <v>1552380036298634</v>
      </c>
      <c r="C2446" t="s">
        <v>40</v>
      </c>
      <c r="D2446">
        <v>5.3883010000000002</v>
      </c>
      <c r="E2446">
        <v>0.49830639999999998</v>
      </c>
      <c r="F2446" t="s">
        <v>48</v>
      </c>
      <c r="G2446">
        <v>-346.25240000000002</v>
      </c>
      <c r="H2446" s="1">
        <v>1.7904470000000001E-6</v>
      </c>
      <c r="I2446">
        <v>285.08629999999999</v>
      </c>
      <c r="J2446">
        <v>-329.85629999999998</v>
      </c>
      <c r="K2446">
        <v>1.1095189999999999</v>
      </c>
      <c r="L2446">
        <v>285.02769999999998</v>
      </c>
      <c r="M2446">
        <v>-0.99976969999999998</v>
      </c>
      <c r="N2446">
        <v>0</v>
      </c>
      <c r="O2446">
        <v>1.906126E-2</v>
      </c>
      <c r="P2446">
        <v>-0.9889386</v>
      </c>
      <c r="Q2446">
        <v>0.14693299999999901</v>
      </c>
      <c r="R2446">
        <v>2.0268830000000002E-2</v>
      </c>
      <c r="S2446">
        <v>-3.0638429999999999</v>
      </c>
      <c r="T2446">
        <v>-0.20439180000000001</v>
      </c>
      <c r="U2446">
        <v>1.1627200000000001E-2</v>
      </c>
      <c r="V2446">
        <v>1.3900200000000001E-3</v>
      </c>
      <c r="W2446">
        <v>0.15667879999999901</v>
      </c>
      <c r="X2446">
        <v>0.98764870000000005</v>
      </c>
      <c r="Y2446">
        <v>-1.5191670000000001E-2</v>
      </c>
      <c r="Z2446">
        <v>-1.776332E-3</v>
      </c>
      <c r="AA2446">
        <v>0.99988299999999997</v>
      </c>
      <c r="AB2446">
        <v>43</v>
      </c>
      <c r="AC2446">
        <v>-16.396100000000001</v>
      </c>
      <c r="AD2446">
        <v>-1.1095172095529999</v>
      </c>
      <c r="AE2446">
        <v>5.86000000000126E-2</v>
      </c>
      <c r="AF2446">
        <v>-0.25279857179406001</v>
      </c>
      <c r="AG2446">
        <v>-1.1095172095529999</v>
      </c>
      <c r="AH2446">
        <v>16.319508986804902</v>
      </c>
      <c r="AI2446">
        <v>93.888927474737201</v>
      </c>
      <c r="AJ2446">
        <v>90.887473567321805</v>
      </c>
      <c r="AK2446">
        <v>16.359135341655399</v>
      </c>
      <c r="AL2446">
        <v>80.985826461438506</v>
      </c>
      <c r="AM2446">
        <v>89.919361786377905</v>
      </c>
      <c r="AN2446">
        <v>1.0000000665683599</v>
      </c>
    </row>
    <row r="2447" spans="1:40" x14ac:dyDescent="0.25">
      <c r="A2447" t="str">
        <f>"20190312164036321"</f>
        <v>20190312164036321</v>
      </c>
      <c r="B2447" t="str">
        <f>"1552380036308394"</f>
        <v>1552380036308394</v>
      </c>
      <c r="C2447" t="s">
        <v>40</v>
      </c>
      <c r="D2447">
        <v>5.0750989999999998</v>
      </c>
      <c r="E2447">
        <v>0.49825710000000001</v>
      </c>
      <c r="F2447" t="s">
        <v>48</v>
      </c>
      <c r="G2447">
        <v>-346.69130000000001</v>
      </c>
      <c r="H2447" s="1">
        <v>2.0239939999999999E-6</v>
      </c>
      <c r="I2447">
        <v>285.08319999999998</v>
      </c>
      <c r="J2447">
        <v>-330.06900000000002</v>
      </c>
      <c r="K2447">
        <v>1.1095200000000001</v>
      </c>
      <c r="L2447">
        <v>285.0317</v>
      </c>
      <c r="M2447">
        <v>-0.99977039999999995</v>
      </c>
      <c r="N2447">
        <v>0</v>
      </c>
      <c r="O2447">
        <v>1.9023959999999999E-2</v>
      </c>
      <c r="P2447">
        <v>-0.98899519999999996</v>
      </c>
      <c r="Q2447">
        <v>0.146585299999999</v>
      </c>
      <c r="R2447">
        <v>2.004046E-2</v>
      </c>
      <c r="S2447">
        <v>-3.0633539999999999</v>
      </c>
      <c r="T2447">
        <v>-0.20189170000000001</v>
      </c>
      <c r="U2447">
        <v>1.010132E-2</v>
      </c>
      <c r="V2447">
        <v>1.1970640000000001E-3</v>
      </c>
      <c r="W2447">
        <v>0.15633540000000001</v>
      </c>
      <c r="X2447">
        <v>0.98770329999999995</v>
      </c>
      <c r="Y2447">
        <v>-1.565271E-2</v>
      </c>
      <c r="Z2447">
        <v>-1.767654E-3</v>
      </c>
      <c r="AA2447">
        <v>0.99987590000000004</v>
      </c>
      <c r="AB2447">
        <v>43</v>
      </c>
      <c r="AC2447">
        <v>-16.6222999999999</v>
      </c>
      <c r="AD2447">
        <v>-1.1095179760060001</v>
      </c>
      <c r="AE2447">
        <v>5.1499999999975898E-2</v>
      </c>
      <c r="AF2447">
        <v>-0.26357235816079599</v>
      </c>
      <c r="AG2447">
        <v>-1.1095179760060001</v>
      </c>
      <c r="AH2447">
        <v>16.546550567968701</v>
      </c>
      <c r="AI2447">
        <v>93.835702701513299</v>
      </c>
      <c r="AJ2447">
        <v>90.912595442269406</v>
      </c>
      <c r="AK2447">
        <v>16.585802248471801</v>
      </c>
      <c r="AL2447">
        <v>81.005746711085706</v>
      </c>
      <c r="AM2447">
        <v>89.930559428701301</v>
      </c>
      <c r="AN2447">
        <v>0.99999999954313501</v>
      </c>
    </row>
    <row r="2448" spans="1:40" x14ac:dyDescent="0.25">
      <c r="A2448" t="str">
        <f>"20190312164036343"</f>
        <v>20190312164036343</v>
      </c>
      <c r="B2448" t="str">
        <f>"1552380036338650"</f>
        <v>1552380036338650</v>
      </c>
      <c r="C2448" t="s">
        <v>40</v>
      </c>
      <c r="D2448">
        <v>5.0312390000000002</v>
      </c>
      <c r="E2448">
        <v>0.49806929999999999</v>
      </c>
      <c r="F2448" t="s">
        <v>48</v>
      </c>
      <c r="G2448">
        <v>-346.995</v>
      </c>
      <c r="H2448" s="1">
        <v>2.1855890000000002E-6</v>
      </c>
      <c r="I2448">
        <v>285.08550000000002</v>
      </c>
      <c r="J2448">
        <v>-330.48259999999999</v>
      </c>
      <c r="K2448">
        <v>1.1095219999999999</v>
      </c>
      <c r="L2448">
        <v>285.03949999999998</v>
      </c>
      <c r="M2448">
        <v>-0.99977169999999904</v>
      </c>
      <c r="N2448">
        <v>0</v>
      </c>
      <c r="O2448">
        <v>1.895206E-2</v>
      </c>
      <c r="P2448">
        <v>-0.98903759999999996</v>
      </c>
      <c r="Q2448">
        <v>0.14642929999999901</v>
      </c>
      <c r="R2448">
        <v>1.9055809999999999E-2</v>
      </c>
      <c r="S2448">
        <v>-3.0629580000000001</v>
      </c>
      <c r="T2448">
        <v>-0.2007805</v>
      </c>
      <c r="U2448">
        <v>9.7351069999999998E-3</v>
      </c>
      <c r="V2448">
        <v>2.8162780000000001E-4</v>
      </c>
      <c r="W2448">
        <v>0.15618850000000001</v>
      </c>
      <c r="X2448">
        <v>0.98772720000000003</v>
      </c>
      <c r="Y2448">
        <v>-1.5700769999999999E-2</v>
      </c>
      <c r="Z2448">
        <v>-1.75504E-3</v>
      </c>
      <c r="AA2448">
        <v>0.99987519999999996</v>
      </c>
      <c r="AB2448">
        <v>43</v>
      </c>
      <c r="AC2448">
        <v>-16.5124</v>
      </c>
      <c r="AD2448">
        <v>-1.1095198144109999</v>
      </c>
      <c r="AE2448">
        <v>4.6000000000049099E-2</v>
      </c>
      <c r="AF2448">
        <v>-0.26576758546444201</v>
      </c>
      <c r="AG2448">
        <v>-1.1095198144109999</v>
      </c>
      <c r="AH2448">
        <v>16.436098777483299</v>
      </c>
      <c r="AI2448">
        <v>93.861392701787594</v>
      </c>
      <c r="AJ2448">
        <v>90.926377619994</v>
      </c>
      <c r="AK2448">
        <v>16.475648990290001</v>
      </c>
      <c r="AL2448">
        <v>81.014267912038306</v>
      </c>
      <c r="AM2448">
        <v>89.983663420531201</v>
      </c>
      <c r="AN2448">
        <v>0.99999997423315301</v>
      </c>
    </row>
    <row r="2449" spans="1:40" x14ac:dyDescent="0.25">
      <c r="A2449" t="str">
        <f>"20190312164036355"</f>
        <v>20190312164036355</v>
      </c>
      <c r="B2449" t="str">
        <f>"1552380036348409"</f>
        <v>1552380036348409</v>
      </c>
      <c r="C2449" t="s">
        <v>40</v>
      </c>
      <c r="D2449">
        <v>5.2064750000000002</v>
      </c>
      <c r="E2449">
        <v>0.49805250000000001</v>
      </c>
      <c r="F2449" t="s">
        <v>48</v>
      </c>
      <c r="G2449">
        <v>-347.72789999999998</v>
      </c>
      <c r="H2449" s="1">
        <v>2.5756060000000001E-6</v>
      </c>
      <c r="I2449">
        <v>285.07279999999997</v>
      </c>
      <c r="J2449">
        <v>-330.73930000000001</v>
      </c>
      <c r="K2449">
        <v>1.109523</v>
      </c>
      <c r="L2449">
        <v>285.04430000000002</v>
      </c>
      <c r="M2449">
        <v>-0.99977249999999995</v>
      </c>
      <c r="N2449">
        <v>0</v>
      </c>
      <c r="O2449">
        <v>1.8907429999999999E-2</v>
      </c>
      <c r="P2449">
        <v>-0.98907319999999999</v>
      </c>
      <c r="Q2449">
        <v>0.1462464</v>
      </c>
      <c r="R2449">
        <v>1.860146E-2</v>
      </c>
      <c r="S2449">
        <v>-3.0623170000000002</v>
      </c>
      <c r="T2449">
        <v>-0.19702239999999999</v>
      </c>
      <c r="U2449">
        <v>5.9204100000000001E-3</v>
      </c>
      <c r="V2449">
        <v>-1.298231E-4</v>
      </c>
      <c r="W2449">
        <v>0.15601139999999999</v>
      </c>
      <c r="X2449">
        <v>0.98775520000000006</v>
      </c>
      <c r="Y2449">
        <v>-1.6901320000000001E-2</v>
      </c>
      <c r="Z2449">
        <v>-1.758337E-3</v>
      </c>
      <c r="AA2449">
        <v>0.99985559999999996</v>
      </c>
      <c r="AB2449">
        <v>43</v>
      </c>
      <c r="AC2449">
        <v>-16.988599999999899</v>
      </c>
      <c r="AD2449">
        <v>-1.109520424394</v>
      </c>
      <c r="AE2449">
        <v>2.84999999999513E-2</v>
      </c>
      <c r="AF2449">
        <v>-0.29148821591087498</v>
      </c>
      <c r="AG2449">
        <v>-1.109520424394</v>
      </c>
      <c r="AH2449">
        <v>16.913957814498399</v>
      </c>
      <c r="AI2449">
        <v>93.752551103588203</v>
      </c>
      <c r="AJ2449">
        <v>90.987314243216701</v>
      </c>
      <c r="AK2449">
        <v>16.952815987404399</v>
      </c>
      <c r="AL2449">
        <v>81.024540750091305</v>
      </c>
      <c r="AM2449">
        <v>90.007530525448402</v>
      </c>
      <c r="AN2449">
        <v>0.99999995445551704</v>
      </c>
    </row>
    <row r="2450" spans="1:40" x14ac:dyDescent="0.25">
      <c r="A2450" t="str">
        <f>"20190312164036369"</f>
        <v>20190312164036369</v>
      </c>
      <c r="B2450" t="str">
        <f>"1552380036358169"</f>
        <v>1552380036358169</v>
      </c>
      <c r="C2450" t="s">
        <v>40</v>
      </c>
      <c r="D2450">
        <v>5.0694119999999998</v>
      </c>
      <c r="E2450">
        <v>0.49803930000000002</v>
      </c>
      <c r="F2450" t="s">
        <v>48</v>
      </c>
      <c r="G2450">
        <v>-348.04430000000002</v>
      </c>
      <c r="H2450" s="1">
        <v>2.7440049999999998E-6</v>
      </c>
      <c r="I2450">
        <v>285.06979999999999</v>
      </c>
      <c r="J2450">
        <v>-331.00099999999998</v>
      </c>
      <c r="K2450">
        <v>1.109531</v>
      </c>
      <c r="L2450">
        <v>285.04930000000002</v>
      </c>
      <c r="M2450">
        <v>-0.99977329999999998</v>
      </c>
      <c r="N2450">
        <v>0</v>
      </c>
      <c r="O2450">
        <v>1.8861659999999999E-2</v>
      </c>
      <c r="P2450">
        <v>-0.98911249999999995</v>
      </c>
      <c r="Q2450">
        <v>0.146057299999999</v>
      </c>
      <c r="R2450">
        <v>1.799692E-2</v>
      </c>
      <c r="S2450">
        <v>-3.0620729999999998</v>
      </c>
      <c r="T2450">
        <v>-0.1963269</v>
      </c>
      <c r="U2450">
        <v>4.5166019999999998E-3</v>
      </c>
      <c r="V2450">
        <v>-6.903317E-4</v>
      </c>
      <c r="W2450">
        <v>0.15582770000000001</v>
      </c>
      <c r="X2450">
        <v>0.987784</v>
      </c>
      <c r="Y2450">
        <v>-1.7313539999999999E-2</v>
      </c>
      <c r="Z2450">
        <v>-1.7625529999999901E-3</v>
      </c>
      <c r="AA2450">
        <v>0.99984850000000003</v>
      </c>
      <c r="AB2450">
        <v>43</v>
      </c>
      <c r="AC2450">
        <v>-17.043299999999999</v>
      </c>
      <c r="AD2450">
        <v>-1.1095282559949999</v>
      </c>
      <c r="AE2450">
        <v>2.04999999999699E-2</v>
      </c>
      <c r="AF2450">
        <v>-0.29971405267332202</v>
      </c>
      <c r="AG2450">
        <v>-1.1095282559949999</v>
      </c>
      <c r="AH2450">
        <v>16.9687396300776</v>
      </c>
      <c r="AI2450">
        <v>93.740469237774704</v>
      </c>
      <c r="AJ2450">
        <v>91.011893942960498</v>
      </c>
      <c r="AK2450">
        <v>17.0076161203617</v>
      </c>
      <c r="AL2450">
        <v>81.035196623436406</v>
      </c>
      <c r="AM2450">
        <v>90.040042242468601</v>
      </c>
      <c r="AN2450">
        <v>0.99999998965057302</v>
      </c>
    </row>
    <row r="2451" spans="1:40" x14ac:dyDescent="0.25">
      <c r="A2451" t="str">
        <f>"20190312164036387"</f>
        <v>20190312164036387</v>
      </c>
      <c r="B2451" t="str">
        <f>"1552380036378665"</f>
        <v>1552380036378665</v>
      </c>
      <c r="C2451" t="s">
        <v>40</v>
      </c>
      <c r="D2451">
        <v>5.2807820000000003</v>
      </c>
      <c r="E2451">
        <v>0.49799139999999997</v>
      </c>
      <c r="F2451" t="s">
        <v>48</v>
      </c>
      <c r="G2451">
        <v>-348.36160000000001</v>
      </c>
      <c r="H2451" s="1">
        <v>2.9128420000000002E-6</v>
      </c>
      <c r="I2451">
        <v>285.06400000000002</v>
      </c>
      <c r="J2451">
        <v>-331.35629999999998</v>
      </c>
      <c r="K2451">
        <v>1.1095349999999999</v>
      </c>
      <c r="L2451">
        <v>285.05590000000001</v>
      </c>
      <c r="M2451">
        <v>-0.99977439999999995</v>
      </c>
      <c r="N2451">
        <v>0</v>
      </c>
      <c r="O2451">
        <v>1.8799320000000001E-2</v>
      </c>
      <c r="P2451">
        <v>-0.98917529999999998</v>
      </c>
      <c r="Q2451">
        <v>0.145732</v>
      </c>
      <c r="R2451">
        <v>1.715885E-2</v>
      </c>
      <c r="S2451">
        <v>-3.0618590000000001</v>
      </c>
      <c r="T2451">
        <v>-0.19568530000000001</v>
      </c>
      <c r="U2451">
        <v>2.5939940000000001E-3</v>
      </c>
      <c r="V2451">
        <v>-1.4680470000000001E-3</v>
      </c>
      <c r="W2451">
        <v>0.15551029999999999</v>
      </c>
      <c r="X2451">
        <v>0.98783319999999997</v>
      </c>
      <c r="Y2451">
        <v>-1.7878359999999999E-2</v>
      </c>
      <c r="Z2451">
        <v>-1.770981E-3</v>
      </c>
      <c r="AA2451">
        <v>0.99983860000000002</v>
      </c>
      <c r="AB2451">
        <v>43</v>
      </c>
      <c r="AC2451">
        <v>-17.005299999999998</v>
      </c>
      <c r="AD2451">
        <v>-1.1095320871579999</v>
      </c>
      <c r="AE2451">
        <v>8.1000000000130898E-3</v>
      </c>
      <c r="AF2451">
        <v>-0.310284229007387</v>
      </c>
      <c r="AG2451">
        <v>-1.1095320871579999</v>
      </c>
      <c r="AH2451">
        <v>16.930372939709098</v>
      </c>
      <c r="AI2451">
        <v>93.748889772406301</v>
      </c>
      <c r="AJ2451">
        <v>91.049946554840901</v>
      </c>
      <c r="AK2451">
        <v>16.9695275606847</v>
      </c>
      <c r="AL2451">
        <v>81.053607008670795</v>
      </c>
      <c r="AM2451">
        <v>90.085148824015604</v>
      </c>
      <c r="AN2451">
        <v>1.00000001979516</v>
      </c>
    </row>
    <row r="2452" spans="1:40" x14ac:dyDescent="0.25">
      <c r="A2452" t="str">
        <f>"20190312164036401"</f>
        <v>20190312164036401</v>
      </c>
      <c r="B2452" t="str">
        <f>"1552380036388426"</f>
        <v>1552380036388426</v>
      </c>
      <c r="C2452" t="s">
        <v>40</v>
      </c>
      <c r="D2452">
        <v>5.2629080000000004</v>
      </c>
      <c r="E2452">
        <v>0.49792940000000002</v>
      </c>
      <c r="F2452" t="s">
        <v>48</v>
      </c>
      <c r="G2452">
        <v>-348.64100000000002</v>
      </c>
      <c r="H2452" s="1">
        <v>3.061536E-6</v>
      </c>
      <c r="I2452">
        <v>285.05520000000001</v>
      </c>
      <c r="J2452">
        <v>-331.61790000000002</v>
      </c>
      <c r="K2452">
        <v>1.1095299999999999</v>
      </c>
      <c r="L2452">
        <v>285.06079999999997</v>
      </c>
      <c r="M2452">
        <v>-0.99977530000000003</v>
      </c>
      <c r="N2452">
        <v>0</v>
      </c>
      <c r="O2452">
        <v>1.875315E-2</v>
      </c>
      <c r="P2452">
        <v>-0.98919639999999998</v>
      </c>
      <c r="Q2452">
        <v>0.14564059999999901</v>
      </c>
      <c r="R2452">
        <v>1.6726379999999999E-2</v>
      </c>
      <c r="S2452">
        <v>-3.0618289999999999</v>
      </c>
      <c r="T2452">
        <v>-0.19654269999999999</v>
      </c>
      <c r="U2452">
        <v>-1.220703E-4</v>
      </c>
      <c r="V2452">
        <v>-1.8557339999999999E-3</v>
      </c>
      <c r="W2452">
        <v>0.15542449999999999</v>
      </c>
      <c r="X2452">
        <v>0.987846</v>
      </c>
      <c r="Y2452">
        <v>-1.871681E-2</v>
      </c>
      <c r="Z2452">
        <v>-1.8026679999999999E-3</v>
      </c>
      <c r="AA2452">
        <v>0.99982320000000002</v>
      </c>
      <c r="AB2452">
        <v>44</v>
      </c>
      <c r="AC2452">
        <v>-17.0230999999999</v>
      </c>
      <c r="AD2452">
        <v>-1.1095269384640001</v>
      </c>
      <c r="AE2452">
        <v>-5.5999999999585201E-3</v>
      </c>
      <c r="AF2452">
        <v>-0.32347717889844901</v>
      </c>
      <c r="AG2452">
        <v>-1.1095269384640001</v>
      </c>
      <c r="AH2452">
        <v>16.948003659318399</v>
      </c>
      <c r="AI2452">
        <v>93.744930612599205</v>
      </c>
      <c r="AJ2452">
        <v>91.093440112477197</v>
      </c>
      <c r="AK2452">
        <v>16.987363407801599</v>
      </c>
      <c r="AL2452">
        <v>81.058583040534202</v>
      </c>
      <c r="AM2452">
        <v>90.107633782010794</v>
      </c>
      <c r="AN2452">
        <v>0.99999996933246305</v>
      </c>
    </row>
    <row r="2453" spans="1:40" x14ac:dyDescent="0.25">
      <c r="A2453" t="str">
        <f>"20190312164036420"</f>
        <v>20190312164036420</v>
      </c>
      <c r="B2453" t="str">
        <f>"1552380036408922"</f>
        <v>1552380036408922</v>
      </c>
      <c r="C2453" t="s">
        <v>40</v>
      </c>
      <c r="D2453">
        <v>5.0944099999999999</v>
      </c>
      <c r="E2453">
        <v>0.49779509999999999</v>
      </c>
      <c r="F2453" t="s">
        <v>48</v>
      </c>
      <c r="G2453">
        <v>-349.01209999999998</v>
      </c>
      <c r="H2453" s="1">
        <v>3.2590320000000001E-6</v>
      </c>
      <c r="I2453">
        <v>285.0514</v>
      </c>
      <c r="J2453">
        <v>-331.99709999999999</v>
      </c>
      <c r="K2453">
        <v>1.109529</v>
      </c>
      <c r="L2453">
        <v>285.06779999999998</v>
      </c>
      <c r="M2453">
        <v>-0.99977649999999996</v>
      </c>
      <c r="N2453">
        <v>0</v>
      </c>
      <c r="O2453">
        <v>1.868616E-2</v>
      </c>
      <c r="P2453">
        <v>-0.9891683</v>
      </c>
      <c r="Q2453">
        <v>0.14595269999999999</v>
      </c>
      <c r="R2453">
        <v>1.5632770000000001E-2</v>
      </c>
      <c r="S2453">
        <v>-3.0615540000000001</v>
      </c>
      <c r="T2453">
        <v>-0.19528680000000001</v>
      </c>
      <c r="U2453">
        <v>-1.6479489999999999E-3</v>
      </c>
      <c r="V2453">
        <v>-2.8829289999999998E-3</v>
      </c>
      <c r="W2453">
        <v>0.1557434</v>
      </c>
      <c r="X2453">
        <v>0.98779329999999999</v>
      </c>
      <c r="Y2453">
        <v>-1.914836E-2</v>
      </c>
      <c r="Z2453">
        <v>-1.800814E-3</v>
      </c>
      <c r="AA2453">
        <v>0.99981500000000001</v>
      </c>
      <c r="AB2453">
        <v>44</v>
      </c>
      <c r="AC2453">
        <v>-17.014999999999901</v>
      </c>
      <c r="AD2453">
        <v>-1.1095257409679999</v>
      </c>
      <c r="AE2453">
        <v>-1.6399999999975899E-2</v>
      </c>
      <c r="AF2453">
        <v>-0.33294196841212398</v>
      </c>
      <c r="AG2453">
        <v>-1.1095257409679999</v>
      </c>
      <c r="AH2453">
        <v>16.939691973732199</v>
      </c>
      <c r="AI2453">
        <v>93.746717750070999</v>
      </c>
      <c r="AJ2453">
        <v>91.125977605088096</v>
      </c>
      <c r="AK2453">
        <v>16.979253867267801</v>
      </c>
      <c r="AL2453">
        <v>81.040086095633995</v>
      </c>
      <c r="AM2453">
        <v>90.167220404653605</v>
      </c>
      <c r="AN2453">
        <v>0.99999996072403297</v>
      </c>
    </row>
    <row r="2454" spans="1:40" x14ac:dyDescent="0.25">
      <c r="A2454" t="str">
        <f>"20190312164036432"</f>
        <v>20190312164036432</v>
      </c>
      <c r="B2454" t="str">
        <f>"1552380036428442"</f>
        <v>1552380036428442</v>
      </c>
      <c r="C2454" t="s">
        <v>40</v>
      </c>
      <c r="D2454">
        <v>5.0878420000000002</v>
      </c>
      <c r="E2454">
        <v>0.49763390000000002</v>
      </c>
      <c r="F2454" t="s">
        <v>48</v>
      </c>
      <c r="G2454">
        <v>-349.60410000000002</v>
      </c>
      <c r="H2454" s="1">
        <v>3.5740239999999998E-6</v>
      </c>
      <c r="I2454">
        <v>285.03469999999999</v>
      </c>
      <c r="J2454">
        <v>-332.22449999999998</v>
      </c>
      <c r="K2454">
        <v>1.109529</v>
      </c>
      <c r="L2454">
        <v>285.07209999999998</v>
      </c>
      <c r="M2454">
        <v>-0.99977709999999997</v>
      </c>
      <c r="N2454">
        <v>0</v>
      </c>
      <c r="O2454">
        <v>1.8645720000000001E-2</v>
      </c>
      <c r="P2454">
        <v>-0.98922060000000001</v>
      </c>
      <c r="Q2454">
        <v>0.14563670000000001</v>
      </c>
      <c r="R2454">
        <v>1.5263219999999999E-2</v>
      </c>
      <c r="S2454">
        <v>-3.0614319999999999</v>
      </c>
      <c r="T2454">
        <v>-0.19291990000000001</v>
      </c>
      <c r="U2454">
        <v>-5.7678219999999997E-3</v>
      </c>
      <c r="V2454">
        <v>-3.2132689999999999E-3</v>
      </c>
      <c r="W2454">
        <v>0.15543209999999999</v>
      </c>
      <c r="X2454">
        <v>0.98784139999999998</v>
      </c>
      <c r="Y2454">
        <v>-2.0452740000000001E-2</v>
      </c>
      <c r="Z2454">
        <v>-1.8176170000000001E-3</v>
      </c>
      <c r="AA2454">
        <v>0.99978920000000004</v>
      </c>
      <c r="AB2454">
        <v>44</v>
      </c>
      <c r="AC2454">
        <v>-17.3796</v>
      </c>
      <c r="AD2454">
        <v>-1.1095254259759999</v>
      </c>
      <c r="AE2454">
        <v>-3.7399999999991003E-2</v>
      </c>
      <c r="AF2454">
        <v>-0.35999733697723602</v>
      </c>
      <c r="AG2454">
        <v>-1.1095254259759999</v>
      </c>
      <c r="AH2454">
        <v>17.305351020028802</v>
      </c>
      <c r="AI2454">
        <v>93.667682728687893</v>
      </c>
      <c r="AJ2454">
        <v>91.191732744441296</v>
      </c>
      <c r="AK2454">
        <v>17.344619300518801</v>
      </c>
      <c r="AL2454">
        <v>81.058142937388993</v>
      </c>
      <c r="AM2454">
        <v>90.186372126953003</v>
      </c>
      <c r="AN2454">
        <v>1.00000004718101</v>
      </c>
    </row>
    <row r="2455" spans="1:40" x14ac:dyDescent="0.25">
      <c r="A2455" t="str">
        <f>"20190312164036445"</f>
        <v>20190312164036445</v>
      </c>
      <c r="B2455" t="str">
        <f>"1552380036438202"</f>
        <v>1552380036438202</v>
      </c>
      <c r="C2455" t="s">
        <v>40</v>
      </c>
      <c r="D2455">
        <v>5.1506850000000002</v>
      </c>
      <c r="E2455">
        <v>0.49769400000000003</v>
      </c>
      <c r="F2455" t="s">
        <v>48</v>
      </c>
      <c r="G2455">
        <v>-349.65120000000002</v>
      </c>
      <c r="H2455" s="1">
        <v>3.5991259999999999E-6</v>
      </c>
      <c r="I2455">
        <v>285.02659999999997</v>
      </c>
      <c r="J2455">
        <v>-332.47430000000003</v>
      </c>
      <c r="K2455">
        <v>1.1095269999999999</v>
      </c>
      <c r="L2455">
        <v>285.07670000000002</v>
      </c>
      <c r="M2455">
        <v>-0.9997779</v>
      </c>
      <c r="N2455">
        <v>0</v>
      </c>
      <c r="O2455">
        <v>1.8601220000000002E-2</v>
      </c>
      <c r="P2455">
        <v>-0.98920799999999998</v>
      </c>
      <c r="Q2455">
        <v>0.14575969999999999</v>
      </c>
      <c r="R2455">
        <v>1.489275E-2</v>
      </c>
      <c r="S2455">
        <v>-3.0615230000000002</v>
      </c>
      <c r="T2455">
        <v>-0.1949215</v>
      </c>
      <c r="U2455">
        <v>-7.9956049999999994E-3</v>
      </c>
      <c r="V2455">
        <v>-3.5396270000000001E-3</v>
      </c>
      <c r="W2455">
        <v>0.15556020000000001</v>
      </c>
      <c r="X2455">
        <v>0.98782009999999998</v>
      </c>
      <c r="Y2455">
        <v>-2.1132809999999998E-2</v>
      </c>
      <c r="Z2455">
        <v>-1.8551819999999999E-3</v>
      </c>
      <c r="AA2455">
        <v>0.99977490000000002</v>
      </c>
      <c r="AB2455">
        <v>44</v>
      </c>
      <c r="AC2455">
        <v>-17.1768999999999</v>
      </c>
      <c r="AD2455">
        <v>-1.109523400874</v>
      </c>
      <c r="AE2455">
        <v>-5.0100000000043103E-2</v>
      </c>
      <c r="AF2455">
        <v>-0.36808254178685901</v>
      </c>
      <c r="AG2455">
        <v>-1.109523400874</v>
      </c>
      <c r="AH2455">
        <v>17.101641974081701</v>
      </c>
      <c r="AI2455">
        <v>93.711186393938704</v>
      </c>
      <c r="AJ2455">
        <v>91.232999762021507</v>
      </c>
      <c r="AK2455">
        <v>17.141548504855901</v>
      </c>
      <c r="AL2455">
        <v>81.050712795292995</v>
      </c>
      <c r="AM2455">
        <v>90.205305419640993</v>
      </c>
      <c r="AN2455">
        <v>1.00000002737367</v>
      </c>
    </row>
    <row r="2456" spans="1:40" x14ac:dyDescent="0.25">
      <c r="A2456" t="str">
        <f>"20190312164036455"</f>
        <v>20190312164036455</v>
      </c>
      <c r="B2456" t="str">
        <f>"1552380036448938"</f>
        <v>1552380036448938</v>
      </c>
      <c r="C2456" t="s">
        <v>40</v>
      </c>
      <c r="D2456">
        <v>5.1902949999999999</v>
      </c>
      <c r="E2456">
        <v>0.4977954</v>
      </c>
      <c r="F2456" t="s">
        <v>48</v>
      </c>
      <c r="G2456">
        <v>-349.9008</v>
      </c>
      <c r="H2456" s="1">
        <v>3.7319039999999999E-6</v>
      </c>
      <c r="I2456">
        <v>285.0308</v>
      </c>
      <c r="J2456">
        <v>-332.70510000000002</v>
      </c>
      <c r="K2456">
        <v>1.109526</v>
      </c>
      <c r="L2456">
        <v>285.08100000000002</v>
      </c>
      <c r="M2456">
        <v>-0.99977870000000002</v>
      </c>
      <c r="N2456">
        <v>0</v>
      </c>
      <c r="O2456">
        <v>1.8560130000000001E-2</v>
      </c>
      <c r="P2456">
        <v>-0.98918720000000004</v>
      </c>
      <c r="Q2456">
        <v>0.14593390000000001</v>
      </c>
      <c r="R2456">
        <v>1.456882E-2</v>
      </c>
      <c r="S2456">
        <v>-3.0615839999999999</v>
      </c>
      <c r="T2456">
        <v>-0.19492789999999999</v>
      </c>
      <c r="U2456">
        <v>-8.0566409999999998E-3</v>
      </c>
      <c r="V2456">
        <v>-3.8226079999999999E-3</v>
      </c>
      <c r="W2456">
        <v>0.15573919999999999</v>
      </c>
      <c r="X2456">
        <v>0.98779079999999997</v>
      </c>
      <c r="Y2456">
        <v>-2.1111709999999999E-2</v>
      </c>
      <c r="Z2456">
        <v>-1.8519210000000001E-3</v>
      </c>
      <c r="AA2456">
        <v>0.99977539999999998</v>
      </c>
      <c r="AB2456">
        <v>44</v>
      </c>
      <c r="AC2456">
        <v>-17.195699999999899</v>
      </c>
      <c r="AD2456">
        <v>-1.109522268096</v>
      </c>
      <c r="AE2456">
        <v>-5.0199999999961102E-2</v>
      </c>
      <c r="AF2456">
        <v>-0.36783007581022498</v>
      </c>
      <c r="AG2456">
        <v>-1.109522268096</v>
      </c>
      <c r="AH2456">
        <v>17.120529506240398</v>
      </c>
      <c r="AI2456">
        <v>93.707102884708505</v>
      </c>
      <c r="AJ2456">
        <v>91.230795408377801</v>
      </c>
      <c r="AK2456">
        <v>17.160386627407899</v>
      </c>
      <c r="AL2456">
        <v>81.040329953829698</v>
      </c>
      <c r="AM2456">
        <v>90.221725300351196</v>
      </c>
      <c r="AN2456">
        <v>0.99999998765660003</v>
      </c>
    </row>
    <row r="2457" spans="1:40" x14ac:dyDescent="0.25">
      <c r="A2457" t="str">
        <f>"20190312164036467"</f>
        <v>20190312164036467</v>
      </c>
      <c r="B2457" t="str">
        <f>"1552380036458698"</f>
        <v>1552380036458698</v>
      </c>
      <c r="C2457" t="s">
        <v>40</v>
      </c>
      <c r="D2457">
        <v>5.0485280000000001</v>
      </c>
      <c r="E2457">
        <v>0.49775839999999999</v>
      </c>
      <c r="F2457" t="s">
        <v>48</v>
      </c>
      <c r="G2457">
        <v>-350.17410000000001</v>
      </c>
      <c r="H2457" s="1">
        <v>-1.4441249999999999E-6</v>
      </c>
      <c r="I2457">
        <v>285.03480000000002</v>
      </c>
      <c r="J2457">
        <v>-332.92259999999999</v>
      </c>
      <c r="K2457">
        <v>1.109531</v>
      </c>
      <c r="L2457">
        <v>285.08499999999998</v>
      </c>
      <c r="M2457">
        <v>-0.99977919999999998</v>
      </c>
      <c r="N2457">
        <v>0</v>
      </c>
      <c r="O2457">
        <v>1.8521530000000001E-2</v>
      </c>
      <c r="P2457">
        <v>-0.98922319999999997</v>
      </c>
      <c r="Q2457">
        <v>0.1457378</v>
      </c>
      <c r="R2457">
        <v>1.407309E-2</v>
      </c>
      <c r="S2457">
        <v>-3.0615839999999999</v>
      </c>
      <c r="T2457">
        <v>-0.1944535</v>
      </c>
      <c r="U2457">
        <v>-8.0871580000000005E-3</v>
      </c>
      <c r="V2457">
        <v>-4.2805639999999997E-3</v>
      </c>
      <c r="W2457">
        <v>0.15554749999999901</v>
      </c>
      <c r="X2457">
        <v>0.98781909999999895</v>
      </c>
      <c r="Y2457">
        <v>-2.1083609999999999E-2</v>
      </c>
      <c r="Z2457">
        <v>-1.8440830000000001E-3</v>
      </c>
      <c r="AA2457">
        <v>0.999776</v>
      </c>
      <c r="AB2457">
        <v>44</v>
      </c>
      <c r="AC2457">
        <v>-17.2515</v>
      </c>
      <c r="AD2457">
        <v>-1.1095324441249901</v>
      </c>
      <c r="AE2457">
        <v>-5.0199999999961102E-2</v>
      </c>
      <c r="AF2457">
        <v>-0.368208244258384</v>
      </c>
      <c r="AG2457">
        <v>-1.1095324441249901</v>
      </c>
      <c r="AH2457">
        <v>17.1765614478179</v>
      </c>
      <c r="AI2457">
        <v>93.695081035675202</v>
      </c>
      <c r="AJ2457">
        <v>91.228042515573904</v>
      </c>
      <c r="AK2457">
        <v>17.2162975905498</v>
      </c>
      <c r="AL2457">
        <v>81.051448820848805</v>
      </c>
      <c r="AM2457">
        <v>90.248281002065497</v>
      </c>
      <c r="AN2457">
        <v>0.99999996115460799</v>
      </c>
    </row>
    <row r="2458" spans="1:40" x14ac:dyDescent="0.25">
      <c r="A2458" t="str">
        <f>"20190312164036480"</f>
        <v>20190312164036480</v>
      </c>
      <c r="B2458" t="str">
        <f>"1552380036468459"</f>
        <v>1552380036468459</v>
      </c>
      <c r="C2458" t="s">
        <v>40</v>
      </c>
      <c r="D2458">
        <v>5.0726760000000004</v>
      </c>
      <c r="E2458">
        <v>0.49767810000000001</v>
      </c>
      <c r="F2458" t="s">
        <v>48</v>
      </c>
      <c r="G2458">
        <v>-350.28280000000001</v>
      </c>
      <c r="H2458" s="1">
        <v>-1.3863129999999999E-6</v>
      </c>
      <c r="I2458">
        <v>285.02910000000003</v>
      </c>
      <c r="J2458">
        <v>-333.16879999999998</v>
      </c>
      <c r="K2458">
        <v>1.1095299999999999</v>
      </c>
      <c r="L2458">
        <v>285.08949999999999</v>
      </c>
      <c r="M2458">
        <v>-0.99977990000000005</v>
      </c>
      <c r="N2458">
        <v>0</v>
      </c>
      <c r="O2458">
        <v>1.847793E-2</v>
      </c>
      <c r="P2458">
        <v>-0.98920140000000001</v>
      </c>
      <c r="Q2458">
        <v>0.14591960000000001</v>
      </c>
      <c r="R2458">
        <v>1.372378E-2</v>
      </c>
      <c r="S2458">
        <v>-3.0616460000000001</v>
      </c>
      <c r="T2458">
        <v>-0.1956772</v>
      </c>
      <c r="U2458">
        <v>-9.8571779999999994E-3</v>
      </c>
      <c r="V2458">
        <v>-4.587069E-3</v>
      </c>
      <c r="W2458">
        <v>0.1557335</v>
      </c>
      <c r="X2458">
        <v>0.98778840000000001</v>
      </c>
      <c r="Y2458">
        <v>-2.1615949999999998E-2</v>
      </c>
      <c r="Z2458">
        <v>-1.8698370000000001E-3</v>
      </c>
      <c r="AA2458">
        <v>0.9997646</v>
      </c>
      <c r="AB2458">
        <v>44</v>
      </c>
      <c r="AC2458">
        <v>-17.114000000000001</v>
      </c>
      <c r="AD2458">
        <v>-1.1095313863130001</v>
      </c>
      <c r="AE2458">
        <v>-6.0399999999958702E-2</v>
      </c>
      <c r="AF2458">
        <v>-0.37506017175518902</v>
      </c>
      <c r="AG2458">
        <v>-1.1095313863130001</v>
      </c>
      <c r="AH2458">
        <v>17.038347646846699</v>
      </c>
      <c r="AI2458">
        <v>93.724921201484705</v>
      </c>
      <c r="AJ2458">
        <v>91.261031609510297</v>
      </c>
      <c r="AK2458">
        <v>17.078554404997401</v>
      </c>
      <c r="AL2458">
        <v>81.040660176715093</v>
      </c>
      <c r="AM2458">
        <v>90.266066907501198</v>
      </c>
      <c r="AN2458">
        <v>0.99999994369940803</v>
      </c>
    </row>
    <row r="2459" spans="1:40" x14ac:dyDescent="0.25">
      <c r="A2459" t="str">
        <f>"20190312164036492"</f>
        <v>20190312164036492</v>
      </c>
      <c r="B2459" t="str">
        <f>"1552380036488955"</f>
        <v>1552380036488955</v>
      </c>
      <c r="C2459" t="s">
        <v>40</v>
      </c>
      <c r="D2459">
        <v>5.248634</v>
      </c>
      <c r="E2459">
        <v>0.4976332</v>
      </c>
      <c r="F2459" t="s">
        <v>48</v>
      </c>
      <c r="G2459">
        <v>-350.54700000000003</v>
      </c>
      <c r="H2459" s="1">
        <v>-1.245725E-6</v>
      </c>
      <c r="I2459">
        <v>285.02210000000002</v>
      </c>
      <c r="J2459">
        <v>-333.40940000000001</v>
      </c>
      <c r="K2459">
        <v>1.1095299999999999</v>
      </c>
      <c r="L2459">
        <v>285.09390000000002</v>
      </c>
      <c r="M2459">
        <v>-0.99978080000000003</v>
      </c>
      <c r="N2459">
        <v>0</v>
      </c>
      <c r="O2459">
        <v>1.8434809999999999E-2</v>
      </c>
      <c r="P2459">
        <v>-0.98919729999999995</v>
      </c>
      <c r="Q2459">
        <v>0.14597489999999999</v>
      </c>
      <c r="R2459">
        <v>1.3423890000000001E-2</v>
      </c>
      <c r="S2459">
        <v>-3.0617070000000002</v>
      </c>
      <c r="T2459">
        <v>-0.19547890000000001</v>
      </c>
      <c r="U2459">
        <v>-1.1871339999999999E-2</v>
      </c>
      <c r="V2459">
        <v>-4.8441959999999899E-3</v>
      </c>
      <c r="W2459">
        <v>0.15579379999999901</v>
      </c>
      <c r="X2459">
        <v>0.98777769999999998</v>
      </c>
      <c r="Y2459">
        <v>-2.2229459999999999E-2</v>
      </c>
      <c r="Z2459">
        <v>-1.8847250000000001E-3</v>
      </c>
      <c r="AA2459">
        <v>0.9997511</v>
      </c>
      <c r="AB2459">
        <v>44</v>
      </c>
      <c r="AC2459">
        <v>-17.1375999999999</v>
      </c>
      <c r="AD2459">
        <v>-1.1095312457249999</v>
      </c>
      <c r="AE2459">
        <v>-7.1799999999996006E-2</v>
      </c>
      <c r="AF2459">
        <v>-0.38611335793693102</v>
      </c>
      <c r="AG2459">
        <v>-1.1095312457249999</v>
      </c>
      <c r="AH2459">
        <v>17.0618486768414</v>
      </c>
      <c r="AI2459">
        <v>93.719753328316202</v>
      </c>
      <c r="AJ2459">
        <v>91.2963947146566</v>
      </c>
      <c r="AK2459">
        <v>17.102246150194802</v>
      </c>
      <c r="AL2459">
        <v>81.037162873604203</v>
      </c>
      <c r="AM2459">
        <v>90.280984032008206</v>
      </c>
      <c r="AN2459">
        <v>0.99999997948530805</v>
      </c>
    </row>
    <row r="2460" spans="1:40" x14ac:dyDescent="0.25">
      <c r="A2460" t="str">
        <f>"20190312164036504"</f>
        <v>20190312164036504</v>
      </c>
      <c r="B2460" t="str">
        <f>"1552380036498714"</f>
        <v>1552380036498714</v>
      </c>
      <c r="C2460" t="s">
        <v>40</v>
      </c>
      <c r="D2460">
        <v>5.087777</v>
      </c>
      <c r="E2460">
        <v>0.49764419999999998</v>
      </c>
      <c r="F2460" t="s">
        <v>48</v>
      </c>
      <c r="G2460">
        <v>-351.0061</v>
      </c>
      <c r="H2460" s="1">
        <v>-1.0014080000000001E-6</v>
      </c>
      <c r="I2460">
        <v>285.0197</v>
      </c>
      <c r="J2460">
        <v>-333.63909999999998</v>
      </c>
      <c r="K2460">
        <v>1.1095349999999999</v>
      </c>
      <c r="L2460">
        <v>285.09809999999999</v>
      </c>
      <c r="M2460">
        <v>-0.99978149999999999</v>
      </c>
      <c r="N2460">
        <v>0</v>
      </c>
      <c r="O2460">
        <v>1.8393659999999999E-2</v>
      </c>
      <c r="P2460">
        <v>-0.98920850000000005</v>
      </c>
      <c r="Q2460">
        <v>0.14593889999999901</v>
      </c>
      <c r="R2460">
        <v>1.300075E-2</v>
      </c>
      <c r="S2460">
        <v>-3.0614319999999999</v>
      </c>
      <c r="T2460">
        <v>-0.1930335</v>
      </c>
      <c r="U2460">
        <v>-1.2908940000000001E-2</v>
      </c>
      <c r="V2460">
        <v>-5.2266819999999999E-3</v>
      </c>
      <c r="W2460">
        <v>0.1557627</v>
      </c>
      <c r="X2460">
        <v>0.98778069999999896</v>
      </c>
      <c r="Y2460">
        <v>-2.252902E-2</v>
      </c>
      <c r="Z2460">
        <v>-1.868202E-3</v>
      </c>
      <c r="AA2460">
        <v>0.99974439999999998</v>
      </c>
      <c r="AB2460">
        <v>44</v>
      </c>
      <c r="AC2460">
        <v>-17.367000000000001</v>
      </c>
      <c r="AD2460">
        <v>-1.109536001408</v>
      </c>
      <c r="AE2460">
        <v>-7.8399999999987799E-2</v>
      </c>
      <c r="AF2460">
        <v>-0.39622796083225698</v>
      </c>
      <c r="AG2460">
        <v>-1.109536001408</v>
      </c>
      <c r="AH2460">
        <v>17.292041263683998</v>
      </c>
      <c r="AI2460">
        <v>93.670364095073694</v>
      </c>
      <c r="AJ2460">
        <v>91.312639586688803</v>
      </c>
      <c r="AK2460">
        <v>17.332130792268899</v>
      </c>
      <c r="AL2460">
        <v>81.038967197682993</v>
      </c>
      <c r="AM2460">
        <v>90.303168531895494</v>
      </c>
      <c r="AN2460">
        <v>1.0000000241042499</v>
      </c>
    </row>
    <row r="2461" spans="1:40" x14ac:dyDescent="0.25">
      <c r="A2461" t="str">
        <f>"20190312164036516"</f>
        <v>20190312164036516</v>
      </c>
      <c r="B2461" t="str">
        <f>"1552380036508474"</f>
        <v>1552380036508474</v>
      </c>
      <c r="C2461" t="s">
        <v>40</v>
      </c>
      <c r="D2461">
        <v>5.0868099999999998</v>
      </c>
      <c r="E2461">
        <v>0.497616</v>
      </c>
      <c r="F2461" t="s">
        <v>48</v>
      </c>
      <c r="G2461">
        <v>-351.32709999999997</v>
      </c>
      <c r="H2461" s="1">
        <v>-8.3056809999999899E-7</v>
      </c>
      <c r="I2461">
        <v>285.0172</v>
      </c>
      <c r="J2461">
        <v>-333.88389999999998</v>
      </c>
      <c r="K2461">
        <v>1.10954</v>
      </c>
      <c r="L2461">
        <v>285.1026</v>
      </c>
      <c r="M2461">
        <v>-0.99978230000000001</v>
      </c>
      <c r="N2461">
        <v>0</v>
      </c>
      <c r="O2461">
        <v>1.8350060000000001E-2</v>
      </c>
      <c r="P2461">
        <v>-0.98925430000000003</v>
      </c>
      <c r="Q2461">
        <v>0.14566979999999999</v>
      </c>
      <c r="R2461">
        <v>1.2515470000000001E-2</v>
      </c>
      <c r="S2461">
        <v>-3.0612490000000001</v>
      </c>
      <c r="T2461">
        <v>-0.19202640000000001</v>
      </c>
      <c r="U2461">
        <v>-1.400757E-2</v>
      </c>
      <c r="V2461">
        <v>-5.6696680000000001E-3</v>
      </c>
      <c r="W2461">
        <v>0.15549849999999901</v>
      </c>
      <c r="X2461">
        <v>0.98781989999999997</v>
      </c>
      <c r="Y2461">
        <v>-2.2844759999999999E-2</v>
      </c>
      <c r="Z2461">
        <v>-1.8657459999999999E-3</v>
      </c>
      <c r="AA2461">
        <v>0.99973730000000005</v>
      </c>
      <c r="AB2461">
        <v>44</v>
      </c>
      <c r="AC2461">
        <v>-17.443199999999901</v>
      </c>
      <c r="AD2461">
        <v>-1.1095408305681</v>
      </c>
      <c r="AE2461">
        <v>-8.5399999999992801E-2</v>
      </c>
      <c r="AF2461">
        <v>-0.40385119728075702</v>
      </c>
      <c r="AG2461">
        <v>-1.1095408305681</v>
      </c>
      <c r="AH2461">
        <v>17.368423200892401</v>
      </c>
      <c r="AI2461">
        <v>93.654254025676707</v>
      </c>
      <c r="AJ2461">
        <v>91.332003496055094</v>
      </c>
      <c r="AK2461">
        <v>17.4085123181029</v>
      </c>
      <c r="AL2461">
        <v>81.054291622532702</v>
      </c>
      <c r="AM2461">
        <v>90.3288499053143</v>
      </c>
      <c r="AN2461">
        <v>1.0000000417367401</v>
      </c>
    </row>
    <row r="2462" spans="1:40" x14ac:dyDescent="0.25">
      <c r="A2462" t="str">
        <f>"20190312164036527"</f>
        <v>20190312164036527</v>
      </c>
      <c r="B2462" t="str">
        <f>"1552380036518234"</f>
        <v>1552380036518234</v>
      </c>
      <c r="C2462" t="s">
        <v>40</v>
      </c>
      <c r="D2462">
        <v>5.224513</v>
      </c>
      <c r="E2462">
        <v>0.49763069999999998</v>
      </c>
      <c r="F2462" t="s">
        <v>48</v>
      </c>
      <c r="G2462">
        <v>-351.4622</v>
      </c>
      <c r="H2462" s="1">
        <v>-7.5867409999999905E-7</v>
      </c>
      <c r="I2462">
        <v>285.01220000000001</v>
      </c>
      <c r="J2462">
        <v>-334.1103</v>
      </c>
      <c r="K2462">
        <v>1.10954</v>
      </c>
      <c r="L2462">
        <v>285.10669999999999</v>
      </c>
      <c r="M2462">
        <v>-0.99978299999999998</v>
      </c>
      <c r="N2462">
        <v>0</v>
      </c>
      <c r="O2462">
        <v>1.8310090000000001E-2</v>
      </c>
      <c r="P2462">
        <v>-0.98925779999999996</v>
      </c>
      <c r="Q2462">
        <v>0.14568120000000001</v>
      </c>
      <c r="R2462">
        <v>1.2111480000000001E-2</v>
      </c>
      <c r="S2462">
        <v>-3.0612490000000001</v>
      </c>
      <c r="T2462">
        <v>-0.19322539999999999</v>
      </c>
      <c r="U2462">
        <v>-1.5747069999999998E-2</v>
      </c>
      <c r="V2462">
        <v>-6.0342290000000003E-3</v>
      </c>
      <c r="W2462">
        <v>0.1555145</v>
      </c>
      <c r="X2462">
        <v>0.9878152</v>
      </c>
      <c r="Y2462">
        <v>-2.337088E-2</v>
      </c>
      <c r="Z2462">
        <v>-1.8914400000000001E-3</v>
      </c>
      <c r="AA2462">
        <v>0.99972510000000003</v>
      </c>
      <c r="AB2462">
        <v>44</v>
      </c>
      <c r="AC2462">
        <v>-17.351900000000001</v>
      </c>
      <c r="AD2462">
        <v>-1.1095407586741</v>
      </c>
      <c r="AE2462">
        <v>-9.4499999999982195E-2</v>
      </c>
      <c r="AF2462">
        <v>-0.41053614892595602</v>
      </c>
      <c r="AG2462">
        <v>-1.1095407586741</v>
      </c>
      <c r="AH2462">
        <v>17.276622384025</v>
      </c>
      <c r="AI2462">
        <v>93.673574010253205</v>
      </c>
      <c r="AJ2462">
        <v>91.361236146639996</v>
      </c>
      <c r="AK2462">
        <v>17.317081209745702</v>
      </c>
      <c r="AL2462">
        <v>81.0533634089483</v>
      </c>
      <c r="AM2462">
        <v>90.349996187492906</v>
      </c>
      <c r="AN2462">
        <v>1.00000002049045</v>
      </c>
    </row>
    <row r="2463" spans="1:40" x14ac:dyDescent="0.25">
      <c r="A2463" t="str">
        <f>"20190312164036544"</f>
        <v>20190312164036544</v>
      </c>
      <c r="B2463" t="str">
        <f>"1552380036538730"</f>
        <v>1552380036538730</v>
      </c>
      <c r="C2463" t="s">
        <v>40</v>
      </c>
      <c r="D2463">
        <v>5.0824099999999897</v>
      </c>
      <c r="E2463">
        <v>0.49768560000000001</v>
      </c>
      <c r="F2463" t="s">
        <v>48</v>
      </c>
      <c r="G2463">
        <v>-351.77620000000002</v>
      </c>
      <c r="H2463" s="1">
        <v>-5.9156890000000003E-7</v>
      </c>
      <c r="I2463">
        <v>285.0095</v>
      </c>
      <c r="J2463">
        <v>-334.40539999999999</v>
      </c>
      <c r="K2463">
        <v>1.109537</v>
      </c>
      <c r="L2463">
        <v>285.1121</v>
      </c>
      <c r="M2463">
        <v>-0.99978389999999995</v>
      </c>
      <c r="N2463">
        <v>0</v>
      </c>
      <c r="O2463">
        <v>1.825796E-2</v>
      </c>
      <c r="P2463">
        <v>-0.98928369999999999</v>
      </c>
      <c r="Q2463">
        <v>0.14554520000000001</v>
      </c>
      <c r="R2463">
        <v>1.159696E-2</v>
      </c>
      <c r="S2463">
        <v>-3.061096</v>
      </c>
      <c r="T2463">
        <v>-0.19225729999999999</v>
      </c>
      <c r="U2463">
        <v>-1.6845699999999901E-2</v>
      </c>
      <c r="V2463">
        <v>-6.4973829999999998E-3</v>
      </c>
      <c r="W2463">
        <v>0.15538450000000001</v>
      </c>
      <c r="X2463">
        <v>0.98783270000000001</v>
      </c>
      <c r="Y2463">
        <v>-2.367812E-2</v>
      </c>
      <c r="Z2463">
        <v>-1.8884430000000001E-3</v>
      </c>
      <c r="AA2463">
        <v>0.99971779999999999</v>
      </c>
      <c r="AB2463">
        <v>44</v>
      </c>
      <c r="AC2463">
        <v>-17.370799999999999</v>
      </c>
      <c r="AD2463">
        <v>-1.1095375915688901</v>
      </c>
      <c r="AE2463">
        <v>-0.102599999999995</v>
      </c>
      <c r="AF2463">
        <v>-0.41804841995162501</v>
      </c>
      <c r="AG2463">
        <v>-1.1095375915688901</v>
      </c>
      <c r="AH2463">
        <v>17.295470311887499</v>
      </c>
      <c r="AI2463">
        <v>93.669535387720899</v>
      </c>
      <c r="AJ2463">
        <v>91.384625377438596</v>
      </c>
      <c r="AK2463">
        <v>17.336064474323699</v>
      </c>
      <c r="AL2463">
        <v>81.0609033433295</v>
      </c>
      <c r="AM2463">
        <v>90.376852533284307</v>
      </c>
      <c r="AN2463">
        <v>1.0000000010076899</v>
      </c>
    </row>
    <row r="2464" spans="1:40" x14ac:dyDescent="0.25">
      <c r="A2464" t="str">
        <f>"20190312164036556"</f>
        <v>20190312164036556</v>
      </c>
      <c r="B2464" t="str">
        <f>"1552380036548491"</f>
        <v>1552380036548491</v>
      </c>
      <c r="C2464" t="s">
        <v>40</v>
      </c>
      <c r="D2464">
        <v>5.2092839999999896</v>
      </c>
      <c r="E2464">
        <v>0.49779299999999999</v>
      </c>
      <c r="F2464" t="s">
        <v>48</v>
      </c>
      <c r="G2464">
        <v>-351.95420000000001</v>
      </c>
      <c r="H2464" s="1">
        <v>-4.9685209999999899E-7</v>
      </c>
      <c r="I2464">
        <v>285.01029999999997</v>
      </c>
      <c r="J2464">
        <v>-334.66770000000002</v>
      </c>
      <c r="K2464">
        <v>1.1095360000000001</v>
      </c>
      <c r="L2464">
        <v>285.11689999999999</v>
      </c>
      <c r="M2464">
        <v>-0.99978480000000003</v>
      </c>
      <c r="N2464">
        <v>0</v>
      </c>
      <c r="O2464">
        <v>1.8211149999999999E-2</v>
      </c>
      <c r="P2464">
        <v>-0.98928559999999999</v>
      </c>
      <c r="Q2464">
        <v>0.14554310000000001</v>
      </c>
      <c r="R2464">
        <v>1.1477630000000001E-2</v>
      </c>
      <c r="S2464">
        <v>-3.0612180000000002</v>
      </c>
      <c r="T2464">
        <v>-0.1935481</v>
      </c>
      <c r="U2464">
        <v>-1.7761229999999999E-2</v>
      </c>
      <c r="V2464">
        <v>-6.5708619999999898E-3</v>
      </c>
      <c r="W2464">
        <v>0.15538729999999901</v>
      </c>
      <c r="X2464">
        <v>0.98783180000000004</v>
      </c>
      <c r="Y2464">
        <v>-2.392855E-2</v>
      </c>
      <c r="Z2464">
        <v>-1.9059719999999999E-3</v>
      </c>
      <c r="AA2464">
        <v>0.99971189999999999</v>
      </c>
      <c r="AB2464">
        <v>44</v>
      </c>
      <c r="AC2464">
        <v>-17.286499999999901</v>
      </c>
      <c r="AD2464">
        <v>-1.1095364968521</v>
      </c>
      <c r="AE2464">
        <v>-0.106600000000014</v>
      </c>
      <c r="AF2464">
        <v>-0.41967601534520899</v>
      </c>
      <c r="AG2464">
        <v>-1.1095364968521</v>
      </c>
      <c r="AH2464">
        <v>17.210790415027301</v>
      </c>
      <c r="AI2464">
        <v>93.687517728826407</v>
      </c>
      <c r="AJ2464">
        <v>91.396850446257005</v>
      </c>
      <c r="AK2464">
        <v>17.251623283207302</v>
      </c>
      <c r="AL2464">
        <v>81.060741178300404</v>
      </c>
      <c r="AM2464">
        <v>90.381114586342804</v>
      </c>
      <c r="AN2464">
        <v>1.0000000271599701</v>
      </c>
    </row>
    <row r="2465" spans="1:40" x14ac:dyDescent="0.25">
      <c r="A2465" t="str">
        <f>"20190312164036577"</f>
        <v>20190312164036577</v>
      </c>
      <c r="B2465" t="str">
        <f>"1552380036568011"</f>
        <v>1552380036568011</v>
      </c>
      <c r="C2465" t="s">
        <v>40</v>
      </c>
      <c r="D2465">
        <v>5.0870040000000003</v>
      </c>
      <c r="E2465">
        <v>0.49784129999999899</v>
      </c>
      <c r="F2465" t="s">
        <v>48</v>
      </c>
      <c r="G2465">
        <v>-352.17790000000002</v>
      </c>
      <c r="H2465" s="1">
        <v>-3.7782160000000001E-7</v>
      </c>
      <c r="I2465">
        <v>285.0179</v>
      </c>
      <c r="J2465">
        <v>-335.0772</v>
      </c>
      <c r="K2465">
        <v>1.109537</v>
      </c>
      <c r="L2465">
        <v>285.12419999999997</v>
      </c>
      <c r="M2465">
        <v>-0.99978590000000001</v>
      </c>
      <c r="N2465">
        <v>0</v>
      </c>
      <c r="O2465">
        <v>1.8138620000000001E-2</v>
      </c>
      <c r="P2465">
        <v>-0.98931029999999998</v>
      </c>
      <c r="Q2465">
        <v>0.1453924</v>
      </c>
      <c r="R2465">
        <v>1.124667E-2</v>
      </c>
      <c r="S2465">
        <v>-3.0612180000000002</v>
      </c>
      <c r="T2465">
        <v>-0.19397410000000001</v>
      </c>
      <c r="U2465">
        <v>-1.7303470000000001E-2</v>
      </c>
      <c r="V2465">
        <v>-6.7306950000000001E-3</v>
      </c>
      <c r="W2465">
        <v>0.1552451</v>
      </c>
      <c r="X2465">
        <v>0.98785310000000004</v>
      </c>
      <c r="Y2465">
        <v>-2.3706769999999999E-2</v>
      </c>
      <c r="Z2465">
        <v>-1.898549E-3</v>
      </c>
      <c r="AA2465">
        <v>0.99971719999999997</v>
      </c>
      <c r="AB2465">
        <v>44</v>
      </c>
      <c r="AC2465">
        <v>-17.1007</v>
      </c>
      <c r="AD2465">
        <v>-1.1095373778216</v>
      </c>
      <c r="AE2465">
        <v>-0.106299999999976</v>
      </c>
      <c r="AF2465">
        <v>-0.41473512374888</v>
      </c>
      <c r="AG2465">
        <v>-1.1095373778216</v>
      </c>
      <c r="AH2465">
        <v>17.024292898382399</v>
      </c>
      <c r="AI2465">
        <v>93.727805456592506</v>
      </c>
      <c r="AJ2465">
        <v>91.395527742593899</v>
      </c>
      <c r="AK2465">
        <v>17.065451271664799</v>
      </c>
      <c r="AL2465">
        <v>81.068988886398998</v>
      </c>
      <c r="AM2465">
        <v>90.390376311317695</v>
      </c>
      <c r="AN2465">
        <v>1.0000000452544</v>
      </c>
    </row>
    <row r="2466" spans="1:40" x14ac:dyDescent="0.25">
      <c r="A2466" t="str">
        <f>"20190312164036591"</f>
        <v>20190312164036591</v>
      </c>
      <c r="B2466" t="str">
        <f>"1552380036578746"</f>
        <v>1552380036578746</v>
      </c>
      <c r="C2466" t="s">
        <v>40</v>
      </c>
      <c r="D2466">
        <v>5.0766600000000004</v>
      </c>
      <c r="E2466">
        <v>0.49784640000000002</v>
      </c>
      <c r="F2466" t="s">
        <v>48</v>
      </c>
      <c r="G2466">
        <v>-352.51440000000002</v>
      </c>
      <c r="H2466" s="1">
        <v>-1.987619E-7</v>
      </c>
      <c r="I2466">
        <v>285.0249</v>
      </c>
      <c r="J2466">
        <v>-335.33609999999999</v>
      </c>
      <c r="K2466">
        <v>1.1095360000000001</v>
      </c>
      <c r="L2466">
        <v>285.12889999999999</v>
      </c>
      <c r="M2466">
        <v>-0.99978659999999997</v>
      </c>
      <c r="N2466">
        <v>0</v>
      </c>
      <c r="O2466">
        <v>1.809264E-2</v>
      </c>
      <c r="P2466">
        <v>-0.98929849999999997</v>
      </c>
      <c r="Q2466">
        <v>0.14548839999999999</v>
      </c>
      <c r="R2466">
        <v>1.103704E-2</v>
      </c>
      <c r="S2466">
        <v>-3.0612180000000002</v>
      </c>
      <c r="T2466">
        <v>-0.19478680000000001</v>
      </c>
      <c r="U2466">
        <v>-1.742554E-2</v>
      </c>
      <c r="V2466">
        <v>-6.8949809999999997E-3</v>
      </c>
      <c r="W2466">
        <v>0.15534539999999999</v>
      </c>
      <c r="X2466">
        <v>0.98783620000000005</v>
      </c>
      <c r="Y2466">
        <v>-2.3700059999999998E-2</v>
      </c>
      <c r="Z2466">
        <v>-1.903351E-3</v>
      </c>
      <c r="AA2466">
        <v>0.99971730000000003</v>
      </c>
      <c r="AB2466">
        <v>44</v>
      </c>
      <c r="AC2466">
        <v>-17.1783</v>
      </c>
      <c r="AD2466">
        <v>-1.1095361987618999</v>
      </c>
      <c r="AE2466">
        <v>-0.10399999999998499</v>
      </c>
      <c r="AF2466">
        <v>-0.41307601856777298</v>
      </c>
      <c r="AG2466">
        <v>-1.1095361987618999</v>
      </c>
      <c r="AH2466">
        <v>17.102261705221999</v>
      </c>
      <c r="AI2466">
        <v>93.710872808416894</v>
      </c>
      <c r="AJ2466">
        <v>91.383613004031801</v>
      </c>
      <c r="AK2466">
        <v>17.1431927541921</v>
      </c>
      <c r="AL2466">
        <v>81.063171551719293</v>
      </c>
      <c r="AM2466">
        <v>90.399911337332199</v>
      </c>
      <c r="AN2466">
        <v>1.00000004604729</v>
      </c>
    </row>
    <row r="2467" spans="1:40" x14ac:dyDescent="0.25">
      <c r="A2467" t="str">
        <f>"20190312164036610"</f>
        <v>20190312164036610</v>
      </c>
      <c r="B2467" t="str">
        <f>"1552380036598266"</f>
        <v>1552380036598266</v>
      </c>
      <c r="C2467" t="s">
        <v>40</v>
      </c>
      <c r="D2467">
        <v>5.0928319999999996</v>
      </c>
      <c r="E2467">
        <v>0.4978108</v>
      </c>
      <c r="F2467" t="s">
        <v>48</v>
      </c>
      <c r="G2467">
        <v>-352.75380000000001</v>
      </c>
      <c r="H2467" s="1">
        <v>-7.1355059999999999E-8</v>
      </c>
      <c r="I2467">
        <v>285.02519999999998</v>
      </c>
      <c r="J2467">
        <v>-335.7285</v>
      </c>
      <c r="K2467">
        <v>1.1095330000000001</v>
      </c>
      <c r="L2467">
        <v>285.13600000000002</v>
      </c>
      <c r="M2467">
        <v>-0.99978789999999995</v>
      </c>
      <c r="N2467">
        <v>0</v>
      </c>
      <c r="O2467">
        <v>1.802262E-2</v>
      </c>
      <c r="P2467">
        <v>-0.98929389999999995</v>
      </c>
      <c r="Q2467">
        <v>0.1455226</v>
      </c>
      <c r="R2467">
        <v>1.09899E-2</v>
      </c>
      <c r="S2467">
        <v>-3.06134</v>
      </c>
      <c r="T2467">
        <v>-0.19501199999999999</v>
      </c>
      <c r="U2467">
        <v>-1.8218990000000001E-2</v>
      </c>
      <c r="V2467">
        <v>-6.8723229999999996E-3</v>
      </c>
      <c r="W2467">
        <v>0.15538729999999901</v>
      </c>
      <c r="X2467">
        <v>0.98782969999999903</v>
      </c>
      <c r="Y2467">
        <v>-2.38885E-2</v>
      </c>
      <c r="Z2467">
        <v>-1.9070109999999999E-3</v>
      </c>
      <c r="AA2467">
        <v>0.99971279999999996</v>
      </c>
      <c r="AB2467">
        <v>44</v>
      </c>
      <c r="AC2467">
        <v>-17.025300000000001</v>
      </c>
      <c r="AD2467">
        <v>-1.10953307135506</v>
      </c>
      <c r="AE2467">
        <v>-0.110799999999983</v>
      </c>
      <c r="AF2467">
        <v>-0.41587158902740701</v>
      </c>
      <c r="AG2467">
        <v>-1.10953307135506</v>
      </c>
      <c r="AH2467">
        <v>16.948558539426301</v>
      </c>
      <c r="AI2467">
        <v>93.744385270220704</v>
      </c>
      <c r="AJ2467">
        <v>91.405600747560797</v>
      </c>
      <c r="AK2467">
        <v>16.9899278803458</v>
      </c>
      <c r="AL2467">
        <v>81.060740744379103</v>
      </c>
      <c r="AM2467">
        <v>90.398599830505006</v>
      </c>
      <c r="AN2467">
        <v>0.99999997901339699</v>
      </c>
    </row>
    <row r="2468" spans="1:40" x14ac:dyDescent="0.25">
      <c r="A2468" t="str">
        <f>"20190312164036623"</f>
        <v>20190312164036623</v>
      </c>
      <c r="B2468" t="str">
        <f>"1552380036618763"</f>
        <v>1552380036618763</v>
      </c>
      <c r="C2468" t="s">
        <v>40</v>
      </c>
      <c r="D2468">
        <v>5.0813639999999998</v>
      </c>
      <c r="E2468">
        <v>0.49788510000000002</v>
      </c>
      <c r="F2468" t="s">
        <v>48</v>
      </c>
      <c r="G2468">
        <v>-353.06290000000001</v>
      </c>
      <c r="H2468" s="1">
        <v>9.3110120000000003E-8</v>
      </c>
      <c r="I2468">
        <v>285.02870000000001</v>
      </c>
      <c r="J2468">
        <v>-335.9785</v>
      </c>
      <c r="K2468">
        <v>1.1095330000000001</v>
      </c>
      <c r="L2468">
        <v>285.1404</v>
      </c>
      <c r="M2468">
        <v>-0.99978849999999997</v>
      </c>
      <c r="N2468">
        <v>0</v>
      </c>
      <c r="O2468">
        <v>1.7978129999999998E-2</v>
      </c>
      <c r="P2468">
        <v>-0.98925280000000004</v>
      </c>
      <c r="Q2468">
        <v>0.14582400000000001</v>
      </c>
      <c r="R2468">
        <v>1.069867E-2</v>
      </c>
      <c r="S2468">
        <v>-3.061493</v>
      </c>
      <c r="T2468">
        <v>-0.19595940000000001</v>
      </c>
      <c r="U2468">
        <v>-1.895142E-2</v>
      </c>
      <c r="V2468">
        <v>-7.118798E-3</v>
      </c>
      <c r="W2468">
        <v>0.155693</v>
      </c>
      <c r="X2468">
        <v>0.98777990000000004</v>
      </c>
      <c r="Y2468">
        <v>-2.4081749999999999E-2</v>
      </c>
      <c r="Z2468">
        <v>-1.919495E-3</v>
      </c>
      <c r="AA2468">
        <v>0.99970820000000005</v>
      </c>
      <c r="AB2468">
        <v>44</v>
      </c>
      <c r="AC2468">
        <v>-17.084399999999999</v>
      </c>
      <c r="AD2468">
        <v>-1.1095329068898701</v>
      </c>
      <c r="AE2468">
        <v>-0.11169999999998401</v>
      </c>
      <c r="AF2468">
        <v>-0.41708374817667199</v>
      </c>
      <c r="AG2468">
        <v>-1.1095329068898701</v>
      </c>
      <c r="AH2468">
        <v>17.007898283141799</v>
      </c>
      <c r="AI2468">
        <v>93.731359016476404</v>
      </c>
      <c r="AJ2468">
        <v>91.404779675004093</v>
      </c>
      <c r="AK2468">
        <v>17.0491532380397</v>
      </c>
      <c r="AL2468">
        <v>81.043010352890903</v>
      </c>
      <c r="AM2468">
        <v>90.412915892761404</v>
      </c>
      <c r="AN2468">
        <v>1.0000000591889799</v>
      </c>
    </row>
    <row r="2469" spans="1:40" x14ac:dyDescent="0.25">
      <c r="A2469" t="str">
        <f>"20190312164036635"</f>
        <v>20190312164036635</v>
      </c>
      <c r="B2469" t="str">
        <f>"1552380036628522"</f>
        <v>1552380036628522</v>
      </c>
      <c r="C2469" t="s">
        <v>40</v>
      </c>
      <c r="D2469">
        <v>5.0678070000000002</v>
      </c>
      <c r="E2469">
        <v>0.49786960000000002</v>
      </c>
      <c r="F2469" t="s">
        <v>48</v>
      </c>
      <c r="G2469">
        <v>-353.36619999999999</v>
      </c>
      <c r="H2469" s="1">
        <v>2.5453679999999999E-7</v>
      </c>
      <c r="I2469">
        <v>285.02999999999997</v>
      </c>
      <c r="J2469">
        <v>-336.21469999999999</v>
      </c>
      <c r="K2469">
        <v>1.109537</v>
      </c>
      <c r="L2469">
        <v>285.1447</v>
      </c>
      <c r="M2469">
        <v>-0.99978920000000004</v>
      </c>
      <c r="N2469">
        <v>0</v>
      </c>
      <c r="O2469">
        <v>1.7936210000000001E-2</v>
      </c>
      <c r="P2469">
        <v>-0.98924769999999895</v>
      </c>
      <c r="Q2469">
        <v>0.14589189999999999</v>
      </c>
      <c r="R2469">
        <v>1.023027E-2</v>
      </c>
      <c r="S2469">
        <v>-3.0615839999999999</v>
      </c>
      <c r="T2469">
        <v>-0.1953636</v>
      </c>
      <c r="U2469">
        <v>-1.9439700000000001E-2</v>
      </c>
      <c r="V2469">
        <v>-7.5459169999999897E-3</v>
      </c>
      <c r="W2469">
        <v>0.15576509999999999</v>
      </c>
      <c r="X2469">
        <v>0.98776529999999996</v>
      </c>
      <c r="Y2469">
        <v>-2.4199450000000001E-2</v>
      </c>
      <c r="Z2469">
        <v>-1.914692E-3</v>
      </c>
      <c r="AA2469">
        <v>0.99970530000000002</v>
      </c>
      <c r="AB2469">
        <v>44</v>
      </c>
      <c r="AC2469">
        <v>-17.151499999999999</v>
      </c>
      <c r="AD2469">
        <v>-1.1095367454631999</v>
      </c>
      <c r="AE2469">
        <v>-0.114700000000027</v>
      </c>
      <c r="AF2469">
        <v>-0.42056987180715899</v>
      </c>
      <c r="AG2469">
        <v>-1.1095367454631999</v>
      </c>
      <c r="AH2469">
        <v>17.075229275090098</v>
      </c>
      <c r="AI2469">
        <v>93.716689894468303</v>
      </c>
      <c r="AJ2469">
        <v>91.410933181793197</v>
      </c>
      <c r="AK2469">
        <v>17.116407497004101</v>
      </c>
      <c r="AL2469">
        <v>81.038827748872507</v>
      </c>
      <c r="AM2469">
        <v>90.437695863879398</v>
      </c>
      <c r="AN2469">
        <v>0.99999999756273505</v>
      </c>
    </row>
    <row r="2470" spans="1:40" x14ac:dyDescent="0.25">
      <c r="A2470" t="str">
        <f>"20190312164036646"</f>
        <v>20190312164036646</v>
      </c>
      <c r="B2470" t="str">
        <f>"1552380036638282"</f>
        <v>1552380036638282</v>
      </c>
      <c r="C2470" t="s">
        <v>40</v>
      </c>
      <c r="D2470">
        <v>5.0379180000000003</v>
      </c>
      <c r="E2470">
        <v>0.49784129999999899</v>
      </c>
      <c r="F2470" t="s">
        <v>48</v>
      </c>
      <c r="G2470">
        <v>-353.59370000000001</v>
      </c>
      <c r="H2470" s="1">
        <v>3.7561709999999999E-7</v>
      </c>
      <c r="I2470">
        <v>285.02480000000003</v>
      </c>
      <c r="J2470">
        <v>-336.42910000000001</v>
      </c>
      <c r="K2470">
        <v>1.1095389999999901</v>
      </c>
      <c r="L2470">
        <v>285.14850000000001</v>
      </c>
      <c r="M2470">
        <v>-0.99978999999999996</v>
      </c>
      <c r="N2470">
        <v>0</v>
      </c>
      <c r="O2470">
        <v>1.7897380000000001E-2</v>
      </c>
      <c r="P2470">
        <v>-0.98925909999999995</v>
      </c>
      <c r="Q2470">
        <v>0.14581769999999999</v>
      </c>
      <c r="R2470">
        <v>1.019346E-2</v>
      </c>
      <c r="S2470">
        <v>-3.0616460000000001</v>
      </c>
      <c r="T2470">
        <v>-0.19546620000000001</v>
      </c>
      <c r="U2470">
        <v>-2.111816E-2</v>
      </c>
      <c r="V2470">
        <v>-7.5441169999999899E-3</v>
      </c>
      <c r="W2470">
        <v>0.15569539999999901</v>
      </c>
      <c r="X2470">
        <v>0.98777630000000005</v>
      </c>
      <c r="Y2470">
        <v>-2.470748E-2</v>
      </c>
      <c r="Z2470">
        <v>-1.9293789999999999E-3</v>
      </c>
      <c r="AA2470">
        <v>0.9996929</v>
      </c>
      <c r="AB2470">
        <v>44</v>
      </c>
      <c r="AC2470">
        <v>-17.1646</v>
      </c>
      <c r="AD2470">
        <v>-1.10953862438289</v>
      </c>
      <c r="AE2470">
        <v>-0.123699999999985</v>
      </c>
      <c r="AF2470">
        <v>-0.42910395384226502</v>
      </c>
      <c r="AG2470">
        <v>-1.10953862438289</v>
      </c>
      <c r="AH2470">
        <v>17.0882374297375</v>
      </c>
      <c r="AI2470">
        <v>93.713830569490199</v>
      </c>
      <c r="AJ2470">
        <v>91.438456126177101</v>
      </c>
      <c r="AK2470">
        <v>17.129596160367701</v>
      </c>
      <c r="AL2470">
        <v>81.042870566317205</v>
      </c>
      <c r="AM2470">
        <v>90.437586587261293</v>
      </c>
      <c r="AN2470">
        <v>0.99999999506207904</v>
      </c>
    </row>
    <row r="2471" spans="1:40" x14ac:dyDescent="0.25">
      <c r="A2471" t="str">
        <f>"20190312164036657"</f>
        <v>20190312164036657</v>
      </c>
      <c r="B2471" t="str">
        <f>"1552380036649018"</f>
        <v>1552380036649018</v>
      </c>
      <c r="C2471" t="s">
        <v>40</v>
      </c>
      <c r="D2471">
        <v>5.1148239999999996</v>
      </c>
      <c r="E2471">
        <v>0.49781360000000002</v>
      </c>
      <c r="F2471" t="s">
        <v>48</v>
      </c>
      <c r="G2471">
        <v>-353.70659999999998</v>
      </c>
      <c r="H2471" s="1">
        <v>4.3570299999999999E-7</v>
      </c>
      <c r="I2471">
        <v>285.02789999999999</v>
      </c>
      <c r="J2471">
        <v>-336.6592</v>
      </c>
      <c r="K2471">
        <v>1.10954</v>
      </c>
      <c r="L2471">
        <v>285.15260000000001</v>
      </c>
      <c r="M2471">
        <v>-0.99979050000000003</v>
      </c>
      <c r="N2471">
        <v>0</v>
      </c>
      <c r="O2471">
        <v>1.785544E-2</v>
      </c>
      <c r="P2471">
        <v>-0.98926119999999995</v>
      </c>
      <c r="Q2471">
        <v>0.14581540000000001</v>
      </c>
      <c r="R2471">
        <v>1.001492E-2</v>
      </c>
      <c r="S2471">
        <v>-3.061798</v>
      </c>
      <c r="T2471">
        <v>-0.19662389999999999</v>
      </c>
      <c r="U2471">
        <v>-2.1362300000000001E-2</v>
      </c>
      <c r="V2471">
        <v>-7.6816469999999998E-3</v>
      </c>
      <c r="W2471">
        <v>0.15569820000000001</v>
      </c>
      <c r="X2471">
        <v>0.98777479999999995</v>
      </c>
      <c r="Y2471">
        <v>-2.4743910000000001E-2</v>
      </c>
      <c r="Z2471">
        <v>-1.9391650000000001E-3</v>
      </c>
      <c r="AA2471">
        <v>0.99969200000000003</v>
      </c>
      <c r="AB2471">
        <v>44</v>
      </c>
      <c r="AC2471">
        <v>-17.0473999999999</v>
      </c>
      <c r="AD2471">
        <v>-1.1095395642970001</v>
      </c>
      <c r="AE2471">
        <v>-0.124700000000018</v>
      </c>
      <c r="AF2471">
        <v>-0.42727429522272697</v>
      </c>
      <c r="AG2471">
        <v>-1.1095395642970001</v>
      </c>
      <c r="AH2471">
        <v>16.970569634789999</v>
      </c>
      <c r="AI2471">
        <v>93.739505060834105</v>
      </c>
      <c r="AJ2471">
        <v>91.442252291257404</v>
      </c>
      <c r="AK2471">
        <v>17.012168441952198</v>
      </c>
      <c r="AL2471">
        <v>81.042708169167597</v>
      </c>
      <c r="AM2471">
        <v>90.445564191938999</v>
      </c>
      <c r="AN2471">
        <v>0.99999999634945602</v>
      </c>
    </row>
    <row r="2472" spans="1:40" x14ac:dyDescent="0.25">
      <c r="A2472" t="str">
        <f>"20190312164036669"</f>
        <v>20190312164036669</v>
      </c>
      <c r="B2472" t="str">
        <f>"1552380036658779"</f>
        <v>1552380036658779</v>
      </c>
      <c r="C2472" t="s">
        <v>40</v>
      </c>
      <c r="D2472">
        <v>5.093426</v>
      </c>
      <c r="E2472">
        <v>0.49776100000000001</v>
      </c>
      <c r="F2472" t="s">
        <v>48</v>
      </c>
      <c r="G2472">
        <v>-353.90280000000001</v>
      </c>
      <c r="H2472" s="1">
        <v>5.4010549999999997E-7</v>
      </c>
      <c r="I2472">
        <v>285.02640000000002</v>
      </c>
      <c r="J2472">
        <v>-336.8818</v>
      </c>
      <c r="K2472">
        <v>1.109542</v>
      </c>
      <c r="L2472">
        <v>285.15649999999999</v>
      </c>
      <c r="M2472">
        <v>-0.9997914</v>
      </c>
      <c r="N2472">
        <v>0</v>
      </c>
      <c r="O2472">
        <v>1.781363E-2</v>
      </c>
      <c r="P2472">
        <v>-0.98922589999999999</v>
      </c>
      <c r="Q2472">
        <v>0.14606359999999999</v>
      </c>
      <c r="R2472">
        <v>9.8865570000000007E-3</v>
      </c>
      <c r="S2472">
        <v>-3.0618289999999999</v>
      </c>
      <c r="T2472">
        <v>-0.19701299999999999</v>
      </c>
      <c r="U2472">
        <v>-2.23999E-2</v>
      </c>
      <c r="V2472">
        <v>-7.7684719999999898E-3</v>
      </c>
      <c r="W2472">
        <v>0.15594920000000001</v>
      </c>
      <c r="X2472">
        <v>0.98773449999999996</v>
      </c>
      <c r="Y2472">
        <v>-2.503992E-2</v>
      </c>
      <c r="Z2472">
        <v>-1.9498E-3</v>
      </c>
      <c r="AA2472">
        <v>0.99968460000000003</v>
      </c>
      <c r="AB2472">
        <v>44</v>
      </c>
      <c r="AC2472">
        <v>-17.021000000000001</v>
      </c>
      <c r="AD2472">
        <v>-1.1095414598944999</v>
      </c>
      <c r="AE2472">
        <v>-0.13009999999996999</v>
      </c>
      <c r="AF2472">
        <v>-0.43146696283930203</v>
      </c>
      <c r="AG2472">
        <v>-1.1095414598944999</v>
      </c>
      <c r="AH2472">
        <v>16.9439854553546</v>
      </c>
      <c r="AI2472">
        <v>93.745334714731598</v>
      </c>
      <c r="AJ2472">
        <v>91.458682478934904</v>
      </c>
      <c r="AK2472">
        <v>16.985755476354701</v>
      </c>
      <c r="AL2472">
        <v>81.028148870102498</v>
      </c>
      <c r="AM2472">
        <v>90.450618543379093</v>
      </c>
      <c r="AN2472">
        <v>0.99999997231405102</v>
      </c>
    </row>
    <row r="2473" spans="1:40" x14ac:dyDescent="0.25">
      <c r="A2473" t="str">
        <f>"20190312164036682"</f>
        <v>20190312164036682</v>
      </c>
      <c r="B2473" t="str">
        <f>"1552380036678298"</f>
        <v>1552380036678298</v>
      </c>
      <c r="C2473" t="s">
        <v>40</v>
      </c>
      <c r="D2473">
        <v>5.0928849999999999</v>
      </c>
      <c r="E2473">
        <v>0.49772830000000001</v>
      </c>
      <c r="F2473" t="s">
        <v>48</v>
      </c>
      <c r="G2473">
        <v>-354.17720000000003</v>
      </c>
      <c r="H2473" s="1">
        <v>6.8609189999999898E-7</v>
      </c>
      <c r="I2473">
        <v>285.02670000000001</v>
      </c>
      <c r="J2473">
        <v>-337.13850000000002</v>
      </c>
      <c r="K2473">
        <v>1.109545</v>
      </c>
      <c r="L2473">
        <v>285.161</v>
      </c>
      <c r="M2473">
        <v>-0.99979220000000002</v>
      </c>
      <c r="N2473">
        <v>0</v>
      </c>
      <c r="O2473">
        <v>1.776411E-2</v>
      </c>
      <c r="P2473">
        <v>-0.98922220000000005</v>
      </c>
      <c r="Q2473">
        <v>0.1461006</v>
      </c>
      <c r="R2473">
        <v>9.6985330000000005E-3</v>
      </c>
      <c r="S2473">
        <v>-3.0619510000000001</v>
      </c>
      <c r="T2473">
        <v>-0.1964322</v>
      </c>
      <c r="U2473">
        <v>-2.2979739999999999E-2</v>
      </c>
      <c r="V2473">
        <v>-7.9078299999999994E-3</v>
      </c>
      <c r="W2473">
        <v>0.15599160000000001</v>
      </c>
      <c r="X2473">
        <v>0.98772669999999996</v>
      </c>
      <c r="Y2473">
        <v>-2.5179759999999999E-2</v>
      </c>
      <c r="Z2473">
        <v>-1.9452930000000001E-3</v>
      </c>
      <c r="AA2473">
        <v>0.99968109999999999</v>
      </c>
      <c r="AB2473">
        <v>44</v>
      </c>
      <c r="AC2473">
        <v>-17.038699999999999</v>
      </c>
      <c r="AD2473">
        <v>-1.1095443139081</v>
      </c>
      <c r="AE2473">
        <v>-0.13429999999999601</v>
      </c>
      <c r="AF2473">
        <v>-0.43512624579786402</v>
      </c>
      <c r="AG2473">
        <v>-1.1095443139081</v>
      </c>
      <c r="AH2473">
        <v>16.961703758364401</v>
      </c>
      <c r="AI2473">
        <v>93.741425005750401</v>
      </c>
      <c r="AJ2473">
        <v>91.469512199293007</v>
      </c>
      <c r="AK2473">
        <v>17.003523688365899</v>
      </c>
      <c r="AL2473">
        <v>81.025689440138905</v>
      </c>
      <c r="AM2473">
        <v>90.458705433330096</v>
      </c>
      <c r="AN2473">
        <v>0.99999997346937897</v>
      </c>
    </row>
    <row r="2474" spans="1:40" x14ac:dyDescent="0.25">
      <c r="A2474" t="str">
        <f>"20190312164036693"</f>
        <v>20190312164036693</v>
      </c>
      <c r="B2474" t="str">
        <f>"1552380036688058"</f>
        <v>1552380036688058</v>
      </c>
      <c r="C2474" t="s">
        <v>40</v>
      </c>
      <c r="D2474">
        <v>5.1205129999999999</v>
      </c>
      <c r="E2474">
        <v>0.49771389999999999</v>
      </c>
      <c r="F2474" t="s">
        <v>48</v>
      </c>
      <c r="G2474">
        <v>-354.42149999999998</v>
      </c>
      <c r="H2474" s="1">
        <v>8.1612199999999998E-7</v>
      </c>
      <c r="I2474">
        <v>285.02719999999999</v>
      </c>
      <c r="J2474">
        <v>-337.36900000000003</v>
      </c>
      <c r="K2474">
        <v>1.1095459999999999</v>
      </c>
      <c r="L2474">
        <v>285.1651</v>
      </c>
      <c r="M2474">
        <v>-0.99979300000000004</v>
      </c>
      <c r="N2474">
        <v>0</v>
      </c>
      <c r="O2474">
        <v>1.7717819999999999E-2</v>
      </c>
      <c r="P2474">
        <v>-0.98917409999999995</v>
      </c>
      <c r="Q2474">
        <v>0.14644270000000001</v>
      </c>
      <c r="R2474">
        <v>9.4501800000000007E-3</v>
      </c>
      <c r="S2474">
        <v>-3.0619510000000001</v>
      </c>
      <c r="T2474">
        <v>-0.19657330000000001</v>
      </c>
      <c r="U2474">
        <v>-2.3712159999999999E-2</v>
      </c>
      <c r="V2474">
        <v>-8.1103770000000002E-3</v>
      </c>
      <c r="W2474">
        <v>0.1563378</v>
      </c>
      <c r="X2474">
        <v>0.98767039999999995</v>
      </c>
      <c r="Y2474">
        <v>-2.5372160000000001E-2</v>
      </c>
      <c r="Z2474">
        <v>-1.9498860000000001E-3</v>
      </c>
      <c r="AA2474">
        <v>0.99967620000000001</v>
      </c>
      <c r="AB2474">
        <v>44</v>
      </c>
      <c r="AC2474">
        <v>-17.052499999999899</v>
      </c>
      <c r="AD2474">
        <v>-1.1095451838779999</v>
      </c>
      <c r="AE2474">
        <v>-0.13790000000000099</v>
      </c>
      <c r="AF2474">
        <v>-0.43817165057392599</v>
      </c>
      <c r="AG2474">
        <v>-1.1095451838779999</v>
      </c>
      <c r="AH2474">
        <v>16.975516027664799</v>
      </c>
      <c r="AI2474">
        <v>93.738377126502201</v>
      </c>
      <c r="AJ2474">
        <v>91.478589099170094</v>
      </c>
      <c r="AK2474">
        <v>17.017380213062701</v>
      </c>
      <c r="AL2474">
        <v>81.005607969406498</v>
      </c>
      <c r="AM2474">
        <v>90.470480767648098</v>
      </c>
      <c r="AN2474">
        <v>1.0000000524800301</v>
      </c>
    </row>
    <row r="2475" spans="1:40" x14ac:dyDescent="0.25">
      <c r="A2475" t="str">
        <f>"20190312164036705"</f>
        <v>20190312164036705</v>
      </c>
      <c r="B2475" t="str">
        <f>"1552380036698794"</f>
        <v>1552380036698794</v>
      </c>
      <c r="C2475" t="s">
        <v>40</v>
      </c>
      <c r="D2475">
        <v>5.1159379999999999</v>
      </c>
      <c r="E2475">
        <v>0.49768430000000002</v>
      </c>
      <c r="F2475" t="s">
        <v>48</v>
      </c>
      <c r="G2475">
        <v>-354.71109999999999</v>
      </c>
      <c r="H2475" s="1">
        <v>9.7023870000000003E-7</v>
      </c>
      <c r="I2475">
        <v>285.02530000000002</v>
      </c>
      <c r="J2475">
        <v>-337.5976</v>
      </c>
      <c r="K2475">
        <v>1.10955</v>
      </c>
      <c r="L2475">
        <v>285.16910000000001</v>
      </c>
      <c r="M2475">
        <v>-0.99979379999999995</v>
      </c>
      <c r="N2475">
        <v>0</v>
      </c>
      <c r="O2475">
        <v>1.7670439999999999E-2</v>
      </c>
      <c r="P2475">
        <v>-0.98916440000000005</v>
      </c>
      <c r="Q2475">
        <v>0.1465033</v>
      </c>
      <c r="R2475">
        <v>9.5054670000000001E-3</v>
      </c>
      <c r="S2475">
        <v>-3.062103</v>
      </c>
      <c r="T2475">
        <v>-0.19591320000000001</v>
      </c>
      <c r="U2475">
        <v>-2.4688720000000001E-2</v>
      </c>
      <c r="V2475">
        <v>-8.0090390000000008E-3</v>
      </c>
      <c r="W2475">
        <v>0.15640229999999999</v>
      </c>
      <c r="X2475">
        <v>0.98766089999999995</v>
      </c>
      <c r="Y2475">
        <v>-2.5643340000000001E-2</v>
      </c>
      <c r="Z2475">
        <v>-1.948892E-3</v>
      </c>
      <c r="AA2475">
        <v>0.99966929999999998</v>
      </c>
      <c r="AB2475">
        <v>44</v>
      </c>
      <c r="AC2475">
        <v>-17.113499999999899</v>
      </c>
      <c r="AD2475">
        <v>-1.1095490297613</v>
      </c>
      <c r="AE2475">
        <v>-0.14379999999999801</v>
      </c>
      <c r="AF2475">
        <v>-0.44432813913010499</v>
      </c>
      <c r="AG2475">
        <v>-1.1095490297613</v>
      </c>
      <c r="AH2475">
        <v>17.036677269381901</v>
      </c>
      <c r="AI2475">
        <v>93.724981295516599</v>
      </c>
      <c r="AJ2475">
        <v>91.493974254548803</v>
      </c>
      <c r="AK2475">
        <v>17.078550843843299</v>
      </c>
      <c r="AL2475">
        <v>81.001865332952704</v>
      </c>
      <c r="AM2475">
        <v>90.464606905770296</v>
      </c>
      <c r="AN2475">
        <v>0.99999993876989901</v>
      </c>
    </row>
    <row r="2476" spans="1:40" x14ac:dyDescent="0.25">
      <c r="A2476" t="str">
        <f>"20190312164036722"</f>
        <v>20190312164036722</v>
      </c>
      <c r="B2476" t="str">
        <f>"1552380036718314"</f>
        <v>1552380036718314</v>
      </c>
      <c r="C2476" t="s">
        <v>40</v>
      </c>
      <c r="D2476">
        <v>5.1236110000000004</v>
      </c>
      <c r="E2476">
        <v>0.49767099999999997</v>
      </c>
      <c r="F2476" t="s">
        <v>48</v>
      </c>
      <c r="G2476">
        <v>-354.93009999999998</v>
      </c>
      <c r="H2476" s="1">
        <v>1.0867549999999999E-6</v>
      </c>
      <c r="I2476">
        <v>285.03039999999999</v>
      </c>
      <c r="J2476">
        <v>-337.91609999999997</v>
      </c>
      <c r="K2476">
        <v>1.109551</v>
      </c>
      <c r="L2476">
        <v>285.17469999999997</v>
      </c>
      <c r="M2476">
        <v>-0.99979479999999998</v>
      </c>
      <c r="N2476">
        <v>0</v>
      </c>
      <c r="O2476">
        <v>1.7602719999999999E-2</v>
      </c>
      <c r="P2476">
        <v>-0.98910900000000002</v>
      </c>
      <c r="Q2476">
        <v>0.14689070000000001</v>
      </c>
      <c r="R2476">
        <v>9.3010990000000002E-3</v>
      </c>
      <c r="S2476">
        <v>-3.0620729999999998</v>
      </c>
      <c r="T2476">
        <v>-0.1960199</v>
      </c>
      <c r="U2476">
        <v>-2.4505619999999999E-2</v>
      </c>
      <c r="V2476">
        <v>-8.1460409999999997E-3</v>
      </c>
      <c r="W2476">
        <v>0.15679560000000001</v>
      </c>
      <c r="X2476">
        <v>0.98759750000000002</v>
      </c>
      <c r="Y2476">
        <v>-2.5516239999999999E-2</v>
      </c>
      <c r="Z2476">
        <v>-1.9415770000000001E-3</v>
      </c>
      <c r="AA2476">
        <v>0.99967249999999996</v>
      </c>
      <c r="AB2476">
        <v>44</v>
      </c>
      <c r="AC2476">
        <v>-17.013999999999999</v>
      </c>
      <c r="AD2476">
        <v>-1.109549913245</v>
      </c>
      <c r="AE2476">
        <v>-0.14429999999998699</v>
      </c>
      <c r="AF2476">
        <v>-0.44190614030508302</v>
      </c>
      <c r="AG2476">
        <v>-1.109549913245</v>
      </c>
      <c r="AH2476">
        <v>16.936798776982901</v>
      </c>
      <c r="AI2476">
        <v>93.746887523122396</v>
      </c>
      <c r="AJ2476">
        <v>91.494592570067894</v>
      </c>
      <c r="AK2476">
        <v>16.978855522644398</v>
      </c>
      <c r="AL2476">
        <v>80.979050144299094</v>
      </c>
      <c r="AM2476">
        <v>90.472584412889205</v>
      </c>
      <c r="AN2476">
        <v>1.0000000200847901</v>
      </c>
    </row>
    <row r="2477" spans="1:40" x14ac:dyDescent="0.25">
      <c r="A2477" t="str">
        <f>"20190312164036744"</f>
        <v>20190312164036744</v>
      </c>
      <c r="B2477" t="str">
        <f>"1552380036738810"</f>
        <v>1552380036738810</v>
      </c>
      <c r="C2477" t="s">
        <v>40</v>
      </c>
      <c r="D2477">
        <v>5.258648</v>
      </c>
      <c r="E2477">
        <v>0.49782219999999999</v>
      </c>
      <c r="F2477" t="s">
        <v>48</v>
      </c>
      <c r="G2477">
        <v>-355.3014</v>
      </c>
      <c r="H2477" s="1">
        <v>1.284327E-6</v>
      </c>
      <c r="I2477">
        <v>285.03070000000002</v>
      </c>
      <c r="J2477">
        <v>-338.37180000000001</v>
      </c>
      <c r="K2477">
        <v>1.1095569999999999</v>
      </c>
      <c r="L2477">
        <v>285.18270000000001</v>
      </c>
      <c r="M2477">
        <v>-0.99979649999999998</v>
      </c>
      <c r="N2477">
        <v>0</v>
      </c>
      <c r="O2477">
        <v>1.7501349999999999E-2</v>
      </c>
      <c r="P2477">
        <v>-0.98912219999999995</v>
      </c>
      <c r="Q2477">
        <v>0.1468072</v>
      </c>
      <c r="R2477">
        <v>9.2279849999999993E-3</v>
      </c>
      <c r="S2477">
        <v>-3.0622859999999998</v>
      </c>
      <c r="T2477">
        <v>-0.19543959999999999</v>
      </c>
      <c r="U2477">
        <v>-2.5360110000000002E-2</v>
      </c>
      <c r="V2477">
        <v>-8.1211789999999992E-3</v>
      </c>
      <c r="W2477">
        <v>0.15672069999999999</v>
      </c>
      <c r="X2477">
        <v>0.98760959999999998</v>
      </c>
      <c r="Y2477">
        <v>-2.569364E-2</v>
      </c>
      <c r="Z2477">
        <v>-1.9348970000000001E-3</v>
      </c>
      <c r="AA2477">
        <v>0.999668</v>
      </c>
      <c r="AB2477">
        <v>44</v>
      </c>
      <c r="AC2477">
        <v>-16.929599999999901</v>
      </c>
      <c r="AD2477">
        <v>-1.1095557156729901</v>
      </c>
      <c r="AE2477">
        <v>-0.15199999999998601</v>
      </c>
      <c r="AF2477">
        <v>-0.446365317445514</v>
      </c>
      <c r="AG2477">
        <v>-1.1095557156729901</v>
      </c>
      <c r="AH2477">
        <v>16.8519661516867</v>
      </c>
      <c r="AI2477">
        <v>93.765675759036995</v>
      </c>
      <c r="AJ2477">
        <v>91.517263334613801</v>
      </c>
      <c r="AK2477">
        <v>16.894351691035499</v>
      </c>
      <c r="AL2477">
        <v>80.983395377390394</v>
      </c>
      <c r="AM2477">
        <v>90.471136361886494</v>
      </c>
      <c r="AN2477">
        <v>1.00000002668449</v>
      </c>
    </row>
    <row r="2478" spans="1:40" x14ac:dyDescent="0.25">
      <c r="A2478" t="str">
        <f>"20190312164036755"</f>
        <v>20190312164036755</v>
      </c>
      <c r="B2478" t="str">
        <f>"1552380036748570"</f>
        <v>1552380036748570</v>
      </c>
      <c r="C2478" t="s">
        <v>40</v>
      </c>
      <c r="D2478">
        <v>5.2473210000000003</v>
      </c>
      <c r="E2478">
        <v>0.49789909999999998</v>
      </c>
      <c r="F2478" t="s">
        <v>48</v>
      </c>
      <c r="G2478">
        <v>-355.69470000000001</v>
      </c>
      <c r="H2478" s="1">
        <v>1.49367E-6</v>
      </c>
      <c r="I2478">
        <v>285.04340000000002</v>
      </c>
      <c r="J2478">
        <v>-338.59690000000001</v>
      </c>
      <c r="K2478">
        <v>1.109559</v>
      </c>
      <c r="L2478">
        <v>285.1866</v>
      </c>
      <c r="M2478">
        <v>-0.9997973</v>
      </c>
      <c r="N2478">
        <v>0</v>
      </c>
      <c r="O2478">
        <v>1.7450340000000002E-2</v>
      </c>
      <c r="P2478">
        <v>-0.98913010000000001</v>
      </c>
      <c r="Q2478">
        <v>0.14676149999999999</v>
      </c>
      <c r="R2478">
        <v>9.0993069999999992E-3</v>
      </c>
      <c r="S2478">
        <v>-3.0623469999999999</v>
      </c>
      <c r="T2478">
        <v>-0.1961474</v>
      </c>
      <c r="U2478">
        <v>-2.4627690000000001E-2</v>
      </c>
      <c r="V2478">
        <v>-8.1998820000000004E-3</v>
      </c>
      <c r="W2478">
        <v>0.15667970000000001</v>
      </c>
      <c r="X2478">
        <v>0.98761540000000003</v>
      </c>
      <c r="Y2478">
        <v>-2.5403459999999999E-2</v>
      </c>
      <c r="Z2478">
        <v>-1.929306E-3</v>
      </c>
      <c r="AA2478">
        <v>0.99967539999999999</v>
      </c>
      <c r="AB2478">
        <v>44</v>
      </c>
      <c r="AC2478">
        <v>-17.097799999999999</v>
      </c>
      <c r="AD2478">
        <v>-1.1095575063299901</v>
      </c>
      <c r="AE2478">
        <v>-0.14319999999997801</v>
      </c>
      <c r="AF2478">
        <v>-0.43970405288752601</v>
      </c>
      <c r="AG2478">
        <v>-1.1095575063299901</v>
      </c>
      <c r="AH2478">
        <v>17.021021170150899</v>
      </c>
      <c r="AI2478">
        <v>93.728450199194697</v>
      </c>
      <c r="AJ2478">
        <v>91.479792797564798</v>
      </c>
      <c r="AK2478">
        <v>17.0628139293818</v>
      </c>
      <c r="AL2478">
        <v>80.985773394363704</v>
      </c>
      <c r="AM2478">
        <v>90.475699179973901</v>
      </c>
      <c r="AN2478">
        <v>0.99999997238703098</v>
      </c>
    </row>
    <row r="2479" spans="1:40" x14ac:dyDescent="0.25">
      <c r="A2479" t="str">
        <f>"20190312164036769"</f>
        <v>20190312164036769</v>
      </c>
      <c r="B2479" t="str">
        <f>"1552380036758330"</f>
        <v>1552380036758330</v>
      </c>
      <c r="C2479" t="s">
        <v>40</v>
      </c>
      <c r="D2479">
        <v>5.2410649999999999</v>
      </c>
      <c r="E2479">
        <v>0.4979344</v>
      </c>
      <c r="F2479" t="s">
        <v>48</v>
      </c>
      <c r="G2479">
        <v>-355.84120000000001</v>
      </c>
      <c r="H2479" s="1">
        <v>1.5716389999999999E-6</v>
      </c>
      <c r="I2479">
        <v>285.04910000000001</v>
      </c>
      <c r="J2479">
        <v>-338.84160000000003</v>
      </c>
      <c r="K2479">
        <v>1.109556</v>
      </c>
      <c r="L2479">
        <v>285.19080000000002</v>
      </c>
      <c r="M2479">
        <v>-0.99979839999999998</v>
      </c>
      <c r="N2479">
        <v>0</v>
      </c>
      <c r="O2479">
        <v>1.739332E-2</v>
      </c>
      <c r="P2479">
        <v>-0.98918499999999998</v>
      </c>
      <c r="Q2479">
        <v>0.1463914</v>
      </c>
      <c r="R2479">
        <v>9.1066619999999997E-3</v>
      </c>
      <c r="S2479">
        <v>-3.0624389999999999</v>
      </c>
      <c r="T2479">
        <v>-0.197047</v>
      </c>
      <c r="U2479">
        <v>-2.4414060000000001E-2</v>
      </c>
      <c r="V2479">
        <v>-8.1381930000000002E-3</v>
      </c>
      <c r="W2479">
        <v>0.1563147</v>
      </c>
      <c r="X2479">
        <v>0.98767380000000005</v>
      </c>
      <c r="Y2479">
        <v>-2.5276050000000001E-2</v>
      </c>
      <c r="Z2479">
        <v>-1.9303180000000001E-3</v>
      </c>
      <c r="AA2479">
        <v>0.99967870000000003</v>
      </c>
      <c r="AB2479">
        <v>44</v>
      </c>
      <c r="AC2479">
        <v>-16.999599999999901</v>
      </c>
      <c r="AD2479">
        <v>-1.1095544283609999</v>
      </c>
      <c r="AE2479">
        <v>-0.14170000000001401</v>
      </c>
      <c r="AF2479">
        <v>-0.435517703147419</v>
      </c>
      <c r="AG2479">
        <v>-1.1095544283609999</v>
      </c>
      <c r="AH2479">
        <v>16.9224769260302</v>
      </c>
      <c r="AI2479">
        <v>93.750099184079403</v>
      </c>
      <c r="AJ2479">
        <v>91.474241587702295</v>
      </c>
      <c r="AK2479">
        <v>16.9644042633768</v>
      </c>
      <c r="AL2479">
        <v>81.006947731169404</v>
      </c>
      <c r="AM2479">
        <v>90.472092668269795</v>
      </c>
      <c r="AN2479">
        <v>1.0000000254139101</v>
      </c>
    </row>
    <row r="2480" spans="1:40" x14ac:dyDescent="0.25">
      <c r="A2480" t="str">
        <f>"20190312164036790"</f>
        <v>20190312164036790</v>
      </c>
      <c r="B2480" t="str">
        <f>"1552380036778829"</f>
        <v>1552380036778829</v>
      </c>
      <c r="C2480" t="s">
        <v>40</v>
      </c>
      <c r="D2480">
        <v>5.3028909999999998</v>
      </c>
      <c r="E2480">
        <v>0.49789739999999999</v>
      </c>
      <c r="F2480" t="s">
        <v>48</v>
      </c>
      <c r="G2480">
        <v>-355.91449999999998</v>
      </c>
      <c r="H2480" s="1">
        <v>1.610611E-6</v>
      </c>
      <c r="I2480">
        <v>285.05500000000001</v>
      </c>
      <c r="J2480">
        <v>-339.27620000000002</v>
      </c>
      <c r="K2480">
        <v>1.109559</v>
      </c>
      <c r="L2480">
        <v>285.19830000000002</v>
      </c>
      <c r="M2480">
        <v>-0.99980009999999997</v>
      </c>
      <c r="N2480">
        <v>0</v>
      </c>
      <c r="O2480">
        <v>1.7290469999999999E-2</v>
      </c>
      <c r="P2480">
        <v>-0.98918050000000002</v>
      </c>
      <c r="Q2480">
        <v>0.14643529999999999</v>
      </c>
      <c r="R2480">
        <v>8.8824719999999902E-3</v>
      </c>
      <c r="S2480">
        <v>-3.0624690000000001</v>
      </c>
      <c r="T2480">
        <v>-0.19902739999999999</v>
      </c>
      <c r="U2480">
        <v>-2.4353030000000001E-2</v>
      </c>
      <c r="V2480">
        <v>-8.2615150000000005E-3</v>
      </c>
      <c r="W2480">
        <v>0.15636749999999999</v>
      </c>
      <c r="X2480">
        <v>0.9876644</v>
      </c>
      <c r="Y2480">
        <v>-2.515191E-2</v>
      </c>
      <c r="Z2480">
        <v>-1.938953E-3</v>
      </c>
      <c r="AA2480">
        <v>0.99968179999999995</v>
      </c>
      <c r="AB2480">
        <v>44</v>
      </c>
      <c r="AC2480">
        <v>-16.638299999999902</v>
      </c>
      <c r="AD2480">
        <v>-1.1095573893889901</v>
      </c>
      <c r="AE2480">
        <v>-0.14330000000001</v>
      </c>
      <c r="AF2480">
        <v>-0.429069110505577</v>
      </c>
      <c r="AG2480">
        <v>-1.1095573893889901</v>
      </c>
      <c r="AH2480">
        <v>16.5596966490643</v>
      </c>
      <c r="AI2480">
        <v>93.832005033030597</v>
      </c>
      <c r="AJ2480">
        <v>91.484227061763804</v>
      </c>
      <c r="AK2480">
        <v>16.602372451278399</v>
      </c>
      <c r="AL2480">
        <v>81.0038846864296</v>
      </c>
      <c r="AM2480">
        <v>90.479250748063507</v>
      </c>
      <c r="AN2480">
        <v>1.00000000735685</v>
      </c>
    </row>
    <row r="2481" spans="1:40" x14ac:dyDescent="0.25">
      <c r="A2481" t="str">
        <f>"20190312164036811"</f>
        <v>20190312164036811</v>
      </c>
      <c r="B2481" t="str">
        <f>"1552380036798346"</f>
        <v>1552380036798346</v>
      </c>
      <c r="C2481" t="s">
        <v>40</v>
      </c>
      <c r="D2481">
        <v>5.3682939999999997</v>
      </c>
      <c r="E2481">
        <v>0.49785499999999999</v>
      </c>
      <c r="F2481" t="s">
        <v>48</v>
      </c>
      <c r="G2481">
        <v>-356.28320000000002</v>
      </c>
      <c r="H2481" s="1">
        <v>1.8068199999999999E-6</v>
      </c>
      <c r="I2481">
        <v>285.0575</v>
      </c>
      <c r="J2481">
        <v>-339.68939999999998</v>
      </c>
      <c r="K2481">
        <v>1.109564</v>
      </c>
      <c r="L2481">
        <v>285.2054</v>
      </c>
      <c r="M2481">
        <v>-0.99980159999999996</v>
      </c>
      <c r="N2481">
        <v>0</v>
      </c>
      <c r="O2481">
        <v>1.7190779999999999E-2</v>
      </c>
      <c r="P2481">
        <v>-0.98916199999999999</v>
      </c>
      <c r="Q2481">
        <v>0.14657110000000001</v>
      </c>
      <c r="R2481">
        <v>8.6907970000000001E-3</v>
      </c>
      <c r="S2481">
        <v>-3.062592</v>
      </c>
      <c r="T2481">
        <v>-0.19980690000000001</v>
      </c>
      <c r="U2481">
        <v>-2.5360110000000002E-2</v>
      </c>
      <c r="V2481">
        <v>-8.3550359999999997E-3</v>
      </c>
      <c r="W2481">
        <v>0.15651579999999901</v>
      </c>
      <c r="X2481">
        <v>0.98764010000000002</v>
      </c>
      <c r="Y2481">
        <v>-2.5379659999999998E-2</v>
      </c>
      <c r="Z2481">
        <v>-1.947376E-3</v>
      </c>
      <c r="AA2481">
        <v>0.99967600000000001</v>
      </c>
      <c r="AB2481">
        <v>44</v>
      </c>
      <c r="AC2481">
        <v>-16.593800000000002</v>
      </c>
      <c r="AD2481">
        <v>-1.1095621931799999</v>
      </c>
      <c r="AE2481">
        <v>-0.14789999999999201</v>
      </c>
      <c r="AF2481">
        <v>-0.43122506320635201</v>
      </c>
      <c r="AG2481">
        <v>-1.1095621931799999</v>
      </c>
      <c r="AH2481">
        <v>16.514971252418999</v>
      </c>
      <c r="AI2481">
        <v>93.842348319495699</v>
      </c>
      <c r="AJ2481">
        <v>91.4957194267825</v>
      </c>
      <c r="AK2481">
        <v>16.557818660194901</v>
      </c>
      <c r="AL2481">
        <v>80.995281591049505</v>
      </c>
      <c r="AM2481">
        <v>90.484687571334803</v>
      </c>
      <c r="AN2481">
        <v>0.99999998470210505</v>
      </c>
    </row>
    <row r="2482" spans="1:40" x14ac:dyDescent="0.25">
      <c r="A2482" t="str">
        <f>"20190312164036823"</f>
        <v>20190312164036823</v>
      </c>
      <c r="B2482" t="str">
        <f>"1552380036818842"</f>
        <v>1552380036818842</v>
      </c>
      <c r="C2482" t="s">
        <v>40</v>
      </c>
      <c r="D2482">
        <v>5.3079010000000002</v>
      </c>
      <c r="E2482">
        <v>0.49789369999999999</v>
      </c>
      <c r="F2482" t="s">
        <v>48</v>
      </c>
      <c r="G2482">
        <v>-356.6524</v>
      </c>
      <c r="H2482" s="1">
        <v>2.0033119999999999E-6</v>
      </c>
      <c r="I2482">
        <v>285.05849999999998</v>
      </c>
      <c r="J2482">
        <v>-339.93299999999999</v>
      </c>
      <c r="K2482">
        <v>1.1095660000000001</v>
      </c>
      <c r="L2482">
        <v>285.20949999999999</v>
      </c>
      <c r="M2482">
        <v>-0.99980259999999999</v>
      </c>
      <c r="N2482">
        <v>0</v>
      </c>
      <c r="O2482">
        <v>1.7130699999999999E-2</v>
      </c>
      <c r="P2482">
        <v>-0.98913260000000003</v>
      </c>
      <c r="Q2482">
        <v>0.14676939999999999</v>
      </c>
      <c r="R2482">
        <v>8.7128489999999999E-3</v>
      </c>
      <c r="S2482">
        <v>-3.0627439999999999</v>
      </c>
      <c r="T2482">
        <v>-0.2003356</v>
      </c>
      <c r="U2482">
        <v>-2.651978E-2</v>
      </c>
      <c r="V2482">
        <v>-8.2737590000000003E-3</v>
      </c>
      <c r="W2482">
        <v>0.1567221</v>
      </c>
      <c r="X2482">
        <v>0.98760809999999999</v>
      </c>
      <c r="Y2482">
        <v>-2.569664E-2</v>
      </c>
      <c r="Z2482">
        <v>-1.9588489999999999E-3</v>
      </c>
      <c r="AA2482">
        <v>0.99966790000000005</v>
      </c>
      <c r="AB2482">
        <v>44</v>
      </c>
      <c r="AC2482">
        <v>-16.719399999999901</v>
      </c>
      <c r="AD2482">
        <v>-1.109563996688</v>
      </c>
      <c r="AE2482">
        <v>-0.15100000000000999</v>
      </c>
      <c r="AF2482">
        <v>-0.43548956307711301</v>
      </c>
      <c r="AG2482">
        <v>-1.109563996688</v>
      </c>
      <c r="AH2482">
        <v>16.641075436616202</v>
      </c>
      <c r="AI2482">
        <v>93.813318052985906</v>
      </c>
      <c r="AJ2482">
        <v>91.499062990019695</v>
      </c>
      <c r="AK2482">
        <v>16.683709872490802</v>
      </c>
      <c r="AL2482">
        <v>80.983314057548498</v>
      </c>
      <c r="AM2482">
        <v>90.479988349267103</v>
      </c>
      <c r="AN2482">
        <v>1.000000015451</v>
      </c>
    </row>
    <row r="2483" spans="1:40" x14ac:dyDescent="0.25">
      <c r="A2483" t="str">
        <f>"20190312164036845"</f>
        <v>20190312164036845</v>
      </c>
      <c r="B2483" t="str">
        <f>"1552380036838362"</f>
        <v>1552380036838362</v>
      </c>
      <c r="C2483" t="s">
        <v>40</v>
      </c>
      <c r="D2483">
        <v>5.2094649999999998</v>
      </c>
      <c r="E2483">
        <v>0.49790489999999998</v>
      </c>
      <c r="F2483" t="s">
        <v>48</v>
      </c>
      <c r="G2483">
        <v>-356.8408</v>
      </c>
      <c r="H2483" s="1">
        <v>2.1035330000000001E-6</v>
      </c>
      <c r="I2483">
        <v>285.06540000000001</v>
      </c>
      <c r="J2483">
        <v>-340.3741</v>
      </c>
      <c r="K2483">
        <v>1.1095630000000001</v>
      </c>
      <c r="L2483">
        <v>285.21699999999998</v>
      </c>
      <c r="M2483">
        <v>-0.99980440000000004</v>
      </c>
      <c r="N2483">
        <v>0</v>
      </c>
      <c r="O2483">
        <v>1.7018930000000002E-2</v>
      </c>
      <c r="P2483">
        <v>-0.98910339999999997</v>
      </c>
      <c r="Q2483">
        <v>0.14697579999999999</v>
      </c>
      <c r="R2483">
        <v>8.5297269999999904E-3</v>
      </c>
      <c r="S2483">
        <v>-3.0630190000000002</v>
      </c>
      <c r="T2483">
        <v>-0.2010092</v>
      </c>
      <c r="U2483">
        <v>-2.6092529999999999E-2</v>
      </c>
      <c r="V2483">
        <v>-8.3473980000000007E-3</v>
      </c>
      <c r="W2483">
        <v>0.156944899999999</v>
      </c>
      <c r="X2483">
        <v>0.98757209999999995</v>
      </c>
      <c r="Y2483">
        <v>-2.5444870000000001E-2</v>
      </c>
      <c r="Z2483">
        <v>-1.949667E-3</v>
      </c>
      <c r="AA2483">
        <v>0.99967430000000002</v>
      </c>
      <c r="AB2483">
        <v>44</v>
      </c>
      <c r="AC2483">
        <v>-16.466699999999999</v>
      </c>
      <c r="AD2483">
        <v>-1.1095608964669901</v>
      </c>
      <c r="AE2483">
        <v>-0.15159999999997301</v>
      </c>
      <c r="AF2483">
        <v>-0.42988621425317602</v>
      </c>
      <c r="AG2483">
        <v>-1.1095608964669901</v>
      </c>
      <c r="AH2483">
        <v>16.387336738812699</v>
      </c>
      <c r="AI2483">
        <v>93.872167371274898</v>
      </c>
      <c r="AJ2483">
        <v>91.502685794178106</v>
      </c>
      <c r="AK2483">
        <v>16.430481822862401</v>
      </c>
      <c r="AL2483">
        <v>80.970388617641106</v>
      </c>
      <c r="AM2483">
        <v>90.4842778425772</v>
      </c>
      <c r="AN2483">
        <v>1.00000001669389</v>
      </c>
    </row>
    <row r="2484" spans="1:40" x14ac:dyDescent="0.25">
      <c r="A2484" t="str">
        <f>"20190312164036856"</f>
        <v>20190312164036856</v>
      </c>
      <c r="B2484" t="str">
        <f>"1552380036848123"</f>
        <v>1552380036848123</v>
      </c>
      <c r="C2484" t="s">
        <v>40</v>
      </c>
      <c r="D2484">
        <v>5.211354</v>
      </c>
      <c r="E2484">
        <v>0.49790489999999998</v>
      </c>
      <c r="F2484" t="s">
        <v>48</v>
      </c>
      <c r="G2484">
        <v>-357.25229999999999</v>
      </c>
      <c r="H2484" s="1">
        <v>2.3225269999999999E-6</v>
      </c>
      <c r="I2484">
        <v>285.06880000000001</v>
      </c>
      <c r="J2484">
        <v>-340.60469999999998</v>
      </c>
      <c r="K2484">
        <v>1.1095649999999999</v>
      </c>
      <c r="L2484">
        <v>285.22089999999997</v>
      </c>
      <c r="M2484">
        <v>-0.99980519999999995</v>
      </c>
      <c r="N2484">
        <v>0</v>
      </c>
      <c r="O2484">
        <v>1.6958480000000001E-2</v>
      </c>
      <c r="P2484">
        <v>-0.98906959999999999</v>
      </c>
      <c r="Q2484">
        <v>0.14719570000000001</v>
      </c>
      <c r="R2484">
        <v>8.6482469999999995E-3</v>
      </c>
      <c r="S2484">
        <v>-3.063202</v>
      </c>
      <c r="T2484">
        <v>-0.201372</v>
      </c>
      <c r="U2484">
        <v>-2.6885989999999999E-2</v>
      </c>
      <c r="V2484">
        <v>-8.1695599999999993E-3</v>
      </c>
      <c r="W2484">
        <v>0.157173799999999</v>
      </c>
      <c r="X2484">
        <v>0.98753709999999995</v>
      </c>
      <c r="Y2484">
        <v>-2.5642229999999998E-2</v>
      </c>
      <c r="Z2484">
        <v>-1.955572E-3</v>
      </c>
      <c r="AA2484">
        <v>0.99966929999999998</v>
      </c>
      <c r="AB2484">
        <v>44</v>
      </c>
      <c r="AC2484">
        <v>-16.647600000000001</v>
      </c>
      <c r="AD2484">
        <v>-1.1095626774730001</v>
      </c>
      <c r="AE2484">
        <v>-0.15209999999996099</v>
      </c>
      <c r="AF2484">
        <v>-0.43248945747344802</v>
      </c>
      <c r="AG2484">
        <v>-1.1095626774730001</v>
      </c>
      <c r="AH2484">
        <v>16.569029037038199</v>
      </c>
      <c r="AI2484">
        <v>93.829852269776694</v>
      </c>
      <c r="AJ2484">
        <v>91.4952110412558</v>
      </c>
      <c r="AK2484">
        <v>16.611769914620201</v>
      </c>
      <c r="AL2484">
        <v>80.957108050759203</v>
      </c>
      <c r="AM2484">
        <v>90.473977768432206</v>
      </c>
      <c r="AN2484">
        <v>0.99999993449671898</v>
      </c>
    </row>
    <row r="2485" spans="1:40" x14ac:dyDescent="0.25">
      <c r="A2485" t="str">
        <f>"20190312164036867"</f>
        <v>20190312164036867</v>
      </c>
      <c r="B2485" t="str">
        <f>"1552380036858859"</f>
        <v>1552380036858859</v>
      </c>
      <c r="C2485" t="s">
        <v>40</v>
      </c>
      <c r="D2485">
        <v>5.3447690000000003</v>
      </c>
      <c r="E2485">
        <v>0.50168610000000002</v>
      </c>
      <c r="F2485" t="s">
        <v>48</v>
      </c>
      <c r="G2485">
        <v>-357.54090000000002</v>
      </c>
      <c r="H2485" s="1">
        <v>2.4761100000000002E-6</v>
      </c>
      <c r="I2485">
        <v>285.07369999999997</v>
      </c>
      <c r="J2485">
        <v>-340.82389999999998</v>
      </c>
      <c r="K2485">
        <v>1.1095710000000001</v>
      </c>
      <c r="L2485">
        <v>285.22449999999998</v>
      </c>
      <c r="M2485">
        <v>-0.99980619999999998</v>
      </c>
      <c r="N2485">
        <v>0</v>
      </c>
      <c r="O2485">
        <v>1.6899089999999999E-2</v>
      </c>
      <c r="P2485">
        <v>-0.98906150000000004</v>
      </c>
      <c r="Q2485">
        <v>0.14724509999999999</v>
      </c>
      <c r="R2485">
        <v>8.7464410000000006E-3</v>
      </c>
      <c r="S2485">
        <v>-3.0632320000000002</v>
      </c>
      <c r="T2485">
        <v>-0.20068559999999999</v>
      </c>
      <c r="U2485">
        <v>-2.6611329999999999E-2</v>
      </c>
      <c r="V2485">
        <v>-8.0136210000000003E-3</v>
      </c>
      <c r="W2485">
        <v>0.1572307</v>
      </c>
      <c r="X2485">
        <v>0.9875294</v>
      </c>
      <c r="Y2485">
        <v>-2.549421E-2</v>
      </c>
      <c r="Z2485">
        <v>-1.940172E-3</v>
      </c>
      <c r="AA2485">
        <v>0.99967309999999998</v>
      </c>
      <c r="AB2485">
        <v>44</v>
      </c>
      <c r="AC2485">
        <v>-16.716999999999999</v>
      </c>
      <c r="AD2485">
        <v>-1.1095685238899999</v>
      </c>
      <c r="AE2485">
        <v>-0.15080000000000299</v>
      </c>
      <c r="AF2485">
        <v>-0.431394619003303</v>
      </c>
      <c r="AG2485">
        <v>-1.1095685238899999</v>
      </c>
      <c r="AH2485">
        <v>16.6387685421406</v>
      </c>
      <c r="AI2485">
        <v>93.813884710099302</v>
      </c>
      <c r="AJ2485">
        <v>91.485179312284501</v>
      </c>
      <c r="AK2485">
        <v>16.681302773627699</v>
      </c>
      <c r="AL2485">
        <v>80.953807596002804</v>
      </c>
      <c r="AM2485">
        <v>90.464934597395995</v>
      </c>
      <c r="AN2485">
        <v>1.00000001350419</v>
      </c>
    </row>
    <row r="2486" spans="1:40" x14ac:dyDescent="0.25">
      <c r="A2486" t="str">
        <f>"20190312164036879"</f>
        <v>20190312164036879</v>
      </c>
      <c r="B2486" t="str">
        <f>"1552380036868618"</f>
        <v>1552380036868618</v>
      </c>
      <c r="C2486" t="s">
        <v>40</v>
      </c>
      <c r="D2486">
        <v>5.3135940000000002</v>
      </c>
      <c r="E2486">
        <v>0.50166469999999996</v>
      </c>
      <c r="F2486" t="s">
        <v>42</v>
      </c>
      <c r="G2486">
        <v>-341.73829999999998</v>
      </c>
      <c r="H2486">
        <v>1.0157419999999999</v>
      </c>
      <c r="I2486">
        <v>285.22379999999998</v>
      </c>
      <c r="J2486">
        <v>-341.0521</v>
      </c>
      <c r="K2486">
        <v>1.109575</v>
      </c>
      <c r="L2486">
        <v>285.22840000000002</v>
      </c>
      <c r="M2486">
        <v>-0.99980709999999995</v>
      </c>
      <c r="N2486">
        <v>0</v>
      </c>
      <c r="O2486">
        <v>1.6836299999999998E-2</v>
      </c>
      <c r="P2486">
        <v>-0.98905370000000004</v>
      </c>
      <c r="Q2486">
        <v>0.1472984</v>
      </c>
      <c r="R2486">
        <v>8.7354909999999997E-3</v>
      </c>
      <c r="S2486">
        <v>-3.0802610000000001</v>
      </c>
      <c r="T2486">
        <v>-0.31614579999999998</v>
      </c>
      <c r="U2486">
        <v>-2.89917E-3</v>
      </c>
      <c r="V2486">
        <v>-7.9631570000000002E-3</v>
      </c>
      <c r="W2486">
        <v>0.1572924</v>
      </c>
      <c r="X2486">
        <v>0.98751999999999995</v>
      </c>
      <c r="Y2486">
        <v>-1.759734E-2</v>
      </c>
      <c r="Z2486">
        <v>-2.6242090000000002E-3</v>
      </c>
      <c r="AA2486">
        <v>0.99984170000000006</v>
      </c>
      <c r="AB2486">
        <v>44</v>
      </c>
      <c r="AC2486">
        <v>-0.68619999999998504</v>
      </c>
      <c r="AD2486">
        <v>-9.3833E-2</v>
      </c>
      <c r="AE2486">
        <v>-4.6000000000390104E-3</v>
      </c>
      <c r="AF2486">
        <v>-1.5856526000849799E-2</v>
      </c>
      <c r="AG2486">
        <v>-9.3833E-2</v>
      </c>
      <c r="AH2486">
        <v>0.67343355801399496</v>
      </c>
      <c r="AI2486">
        <v>97.930079057560405</v>
      </c>
      <c r="AJ2486">
        <v>91.348825237896406</v>
      </c>
      <c r="AK2486">
        <v>0.68012411982314303</v>
      </c>
      <c r="AL2486">
        <v>80.950228061084502</v>
      </c>
      <c r="AM2486">
        <v>90.462011299810598</v>
      </c>
      <c r="AN2486">
        <v>1.0000000306835799</v>
      </c>
    </row>
    <row r="2487" spans="1:40" x14ac:dyDescent="0.25">
      <c r="A2487" t="str">
        <f>"20190312164036891"</f>
        <v>20190312164036891</v>
      </c>
      <c r="B2487" t="str">
        <f>"1552380036878378"</f>
        <v>1552380036878378</v>
      </c>
      <c r="C2487" t="s">
        <v>40</v>
      </c>
      <c r="D2487">
        <v>5.200024</v>
      </c>
      <c r="E2487">
        <v>0.50106490000000004</v>
      </c>
      <c r="F2487" t="s">
        <v>42</v>
      </c>
      <c r="G2487">
        <v>-342.12970000000001</v>
      </c>
      <c r="H2487">
        <v>1.001212</v>
      </c>
      <c r="I2487">
        <v>285.22770000000003</v>
      </c>
      <c r="J2487">
        <v>-341.28120000000001</v>
      </c>
      <c r="K2487">
        <v>1.10958</v>
      </c>
      <c r="L2487">
        <v>285.23219999999998</v>
      </c>
      <c r="M2487">
        <v>-0.99980809999999998</v>
      </c>
      <c r="N2487">
        <v>0</v>
      </c>
      <c r="O2487">
        <v>1.676836E-2</v>
      </c>
      <c r="P2487">
        <v>-0.98903890000000005</v>
      </c>
      <c r="Q2487">
        <v>0.14739549999999901</v>
      </c>
      <c r="R2487">
        <v>8.7574030000000004E-3</v>
      </c>
      <c r="S2487">
        <v>-3.0793759999999999</v>
      </c>
      <c r="T2487">
        <v>-0.30980239999999998</v>
      </c>
      <c r="U2487">
        <v>-2.7770999999999998E-3</v>
      </c>
      <c r="V2487">
        <v>-7.8763830000000007E-3</v>
      </c>
      <c r="W2487">
        <v>0.15739700000000001</v>
      </c>
      <c r="X2487">
        <v>0.98750400000000005</v>
      </c>
      <c r="Y2487">
        <v>-1.7497950000000002E-2</v>
      </c>
      <c r="Z2487">
        <v>-2.5607529999999998E-3</v>
      </c>
      <c r="AA2487">
        <v>0.99984360000000005</v>
      </c>
      <c r="AB2487">
        <v>45</v>
      </c>
      <c r="AC2487">
        <v>-0.84850000000000103</v>
      </c>
      <c r="AD2487">
        <v>-0.10836800000000001</v>
      </c>
      <c r="AE2487">
        <v>-4.4999999999504299E-3</v>
      </c>
      <c r="AF2487">
        <v>-1.8427476093366101E-2</v>
      </c>
      <c r="AG2487">
        <v>-0.10836800000000001</v>
      </c>
      <c r="AH2487">
        <v>0.83469041658272203</v>
      </c>
      <c r="AI2487">
        <v>97.395561077930907</v>
      </c>
      <c r="AJ2487">
        <v>91.264714561517806</v>
      </c>
      <c r="AK2487">
        <v>0.84189743249056703</v>
      </c>
      <c r="AL2487">
        <v>80.944159062701601</v>
      </c>
      <c r="AM2487">
        <v>90.456984411471595</v>
      </c>
      <c r="AN2487">
        <v>1.00000000151708</v>
      </c>
    </row>
    <row r="2488" spans="1:40" x14ac:dyDescent="0.25">
      <c r="A2488" t="str">
        <f>"20190312164036902"</f>
        <v>20190312164036902</v>
      </c>
      <c r="B2488" t="str">
        <f>"1552380036898875"</f>
        <v>1552380036898875</v>
      </c>
      <c r="C2488" t="s">
        <v>40</v>
      </c>
      <c r="D2488">
        <v>5.3101770000000004</v>
      </c>
      <c r="E2488">
        <v>0.5004499</v>
      </c>
      <c r="F2488" t="s">
        <v>42</v>
      </c>
      <c r="G2488">
        <v>-342.13979999999998</v>
      </c>
      <c r="H2488">
        <v>1.022397</v>
      </c>
      <c r="I2488">
        <v>285.2303</v>
      </c>
      <c r="J2488">
        <v>-341.51339999999999</v>
      </c>
      <c r="K2488">
        <v>1.1095839999999999</v>
      </c>
      <c r="L2488">
        <v>285.23610000000002</v>
      </c>
      <c r="M2488">
        <v>-0.99980930000000001</v>
      </c>
      <c r="N2488">
        <v>0</v>
      </c>
      <c r="O2488">
        <v>1.669648E-2</v>
      </c>
      <c r="P2488">
        <v>-0.9890255</v>
      </c>
      <c r="Q2488">
        <v>0.14747399999999999</v>
      </c>
      <c r="R2488">
        <v>8.9540709999999992E-3</v>
      </c>
      <c r="S2488">
        <v>-3.079987</v>
      </c>
      <c r="T2488">
        <v>-0.31291639999999998</v>
      </c>
      <c r="U2488">
        <v>-7.9650880000000004E-3</v>
      </c>
      <c r="V2488">
        <v>-7.6097569999999896E-3</v>
      </c>
      <c r="W2488">
        <v>0.15748409999999999</v>
      </c>
      <c r="X2488">
        <v>0.98749219999999904</v>
      </c>
      <c r="Y2488">
        <v>-1.9098730000000001E-2</v>
      </c>
      <c r="Z2488">
        <v>-2.659678E-3</v>
      </c>
      <c r="AA2488">
        <v>0.99981410000000004</v>
      </c>
      <c r="AB2488">
        <v>45</v>
      </c>
      <c r="AC2488">
        <v>-0.62639999999998897</v>
      </c>
      <c r="AD2488">
        <v>-8.7186999999999903E-2</v>
      </c>
      <c r="AE2488">
        <v>-5.8000000000220098E-3</v>
      </c>
      <c r="AF2488">
        <v>-1.5949438828141701E-2</v>
      </c>
      <c r="AG2488">
        <v>-8.7186999999999903E-2</v>
      </c>
      <c r="AH2488">
        <v>0.6143156277313</v>
      </c>
      <c r="AI2488">
        <v>98.075093875190703</v>
      </c>
      <c r="AJ2488">
        <v>91.487232688280002</v>
      </c>
      <c r="AK2488">
        <v>0.62067676615355505</v>
      </c>
      <c r="AL2488">
        <v>80.939105539859398</v>
      </c>
      <c r="AM2488">
        <v>90.441520782463002</v>
      </c>
      <c r="AN2488">
        <v>0.99999999760762404</v>
      </c>
    </row>
    <row r="2489" spans="1:40" x14ac:dyDescent="0.25">
      <c r="A2489" t="str">
        <f>"20190312164036914"</f>
        <v>20190312164036914</v>
      </c>
      <c r="B2489" t="str">
        <f>"1552380036908634"</f>
        <v>1552380036908634</v>
      </c>
      <c r="C2489" t="s">
        <v>40</v>
      </c>
      <c r="D2489">
        <v>5.3300879999999999</v>
      </c>
      <c r="E2489">
        <v>0.50006689999999998</v>
      </c>
      <c r="F2489" t="s">
        <v>42</v>
      </c>
      <c r="G2489">
        <v>-342.53219999999999</v>
      </c>
      <c r="H2489">
        <v>1.0087330000000001</v>
      </c>
      <c r="I2489">
        <v>285.2321</v>
      </c>
      <c r="J2489">
        <v>-341.7482</v>
      </c>
      <c r="K2489">
        <v>1.1095900000000001</v>
      </c>
      <c r="L2489">
        <v>285.24</v>
      </c>
      <c r="M2489">
        <v>-0.99981050000000005</v>
      </c>
      <c r="N2489">
        <v>0</v>
      </c>
      <c r="O2489">
        <v>1.6619169999999999E-2</v>
      </c>
      <c r="P2489">
        <v>-0.98902889999999999</v>
      </c>
      <c r="Q2489">
        <v>0.1474377</v>
      </c>
      <c r="R2489">
        <v>9.1739979999999992E-3</v>
      </c>
      <c r="S2489">
        <v>-3.078827</v>
      </c>
      <c r="T2489">
        <v>-0.3047512</v>
      </c>
      <c r="U2489">
        <v>-1.1993409999999999E-2</v>
      </c>
      <c r="V2489">
        <v>-7.3164369999999899E-3</v>
      </c>
      <c r="W2489">
        <v>0.1574554</v>
      </c>
      <c r="X2489">
        <v>0.98749900000000002</v>
      </c>
      <c r="Y2489">
        <v>-2.03342E-2</v>
      </c>
      <c r="Z2489">
        <v>-2.6449500000000001E-3</v>
      </c>
      <c r="AA2489">
        <v>0.9997897</v>
      </c>
      <c r="AB2489">
        <v>45</v>
      </c>
      <c r="AC2489">
        <v>-0.78399999999999104</v>
      </c>
      <c r="AD2489">
        <v>-0.100856999999999</v>
      </c>
      <c r="AE2489">
        <v>-7.9000000000064505E-3</v>
      </c>
      <c r="AF2489">
        <v>-2.0588319714130301E-2</v>
      </c>
      <c r="AG2489">
        <v>-0.100856999999999</v>
      </c>
      <c r="AH2489">
        <v>0.77100215362201896</v>
      </c>
      <c r="AI2489">
        <v>97.450081149073597</v>
      </c>
      <c r="AJ2489">
        <v>91.529624213694802</v>
      </c>
      <c r="AK2489">
        <v>0.77784338670933195</v>
      </c>
      <c r="AL2489">
        <v>80.940770763129095</v>
      </c>
      <c r="AM2489">
        <v>90.424499964929495</v>
      </c>
      <c r="AN2489">
        <v>1.0000000041202599</v>
      </c>
    </row>
    <row r="2490" spans="1:40" x14ac:dyDescent="0.25">
      <c r="A2490" t="str">
        <f>"20190312164036926"</f>
        <v>20190312164036926</v>
      </c>
      <c r="B2490" t="str">
        <f>"1552380036918394"</f>
        <v>1552380036918394</v>
      </c>
      <c r="C2490" t="s">
        <v>40</v>
      </c>
      <c r="D2490">
        <v>5.2934859999999997</v>
      </c>
      <c r="E2490">
        <v>0.49983909999999998</v>
      </c>
      <c r="F2490" t="s">
        <v>42</v>
      </c>
      <c r="G2490">
        <v>-342.54640000000001</v>
      </c>
      <c r="H2490">
        <v>1.0325</v>
      </c>
      <c r="I2490">
        <v>285.23630000000003</v>
      </c>
      <c r="J2490">
        <v>-341.96870000000001</v>
      </c>
      <c r="K2490">
        <v>1.10959599999999</v>
      </c>
      <c r="L2490">
        <v>285.24360000000001</v>
      </c>
      <c r="M2490">
        <v>-0.99981180000000003</v>
      </c>
      <c r="N2490">
        <v>0</v>
      </c>
      <c r="O2490">
        <v>1.653994E-2</v>
      </c>
      <c r="P2490">
        <v>-0.98899349999999997</v>
      </c>
      <c r="Q2490">
        <v>0.14765699999999901</v>
      </c>
      <c r="R2490">
        <v>9.4743750000000002E-3</v>
      </c>
      <c r="S2490">
        <v>-3.077728</v>
      </c>
      <c r="T2490">
        <v>-0.29722029999999999</v>
      </c>
      <c r="U2490">
        <v>-1.3854979999999999E-2</v>
      </c>
      <c r="V2490">
        <v>-6.9399509999999998E-3</v>
      </c>
      <c r="W2490">
        <v>0.15768180000000001</v>
      </c>
      <c r="X2490">
        <v>0.98746560000000005</v>
      </c>
      <c r="Y2490">
        <v>-2.086762E-2</v>
      </c>
      <c r="Z2490">
        <v>-2.5988750000000001E-3</v>
      </c>
      <c r="AA2490">
        <v>0.99977890000000003</v>
      </c>
      <c r="AB2490">
        <v>45</v>
      </c>
      <c r="AC2490">
        <v>-0.577699999999992</v>
      </c>
      <c r="AD2490">
        <v>-7.7095999999999804E-2</v>
      </c>
      <c r="AE2490">
        <v>-7.2999999999865299E-3</v>
      </c>
      <c r="AF2490">
        <v>-1.65597373186618E-2</v>
      </c>
      <c r="AG2490">
        <v>-7.7095999999999804E-2</v>
      </c>
      <c r="AH2490">
        <v>0.56739661321608104</v>
      </c>
      <c r="AI2490">
        <v>97.734522689127004</v>
      </c>
      <c r="AJ2490">
        <v>91.671729755721103</v>
      </c>
      <c r="AK2490">
        <v>0.57284983617449203</v>
      </c>
      <c r="AL2490">
        <v>80.927634978917297</v>
      </c>
      <c r="AM2490">
        <v>90.402670590001605</v>
      </c>
      <c r="AN2490">
        <v>1.0000000120772401</v>
      </c>
    </row>
    <row r="2491" spans="1:40" x14ac:dyDescent="0.25">
      <c r="A2491" t="str">
        <f>"20190312164036937"</f>
        <v>20190312164036937</v>
      </c>
      <c r="B2491" t="str">
        <f>"1552380036928155"</f>
        <v>1552380036928155</v>
      </c>
      <c r="C2491" t="s">
        <v>40</v>
      </c>
      <c r="D2491">
        <v>5.2022139999999997</v>
      </c>
      <c r="E2491">
        <v>0.49953959999999997</v>
      </c>
      <c r="F2491" t="s">
        <v>42</v>
      </c>
      <c r="G2491">
        <v>-342.93579999999997</v>
      </c>
      <c r="H2491">
        <v>1.018238</v>
      </c>
      <c r="I2491">
        <v>285.23930000000001</v>
      </c>
      <c r="J2491">
        <v>-342.20979999999997</v>
      </c>
      <c r="K2491">
        <v>1.1095999999999999</v>
      </c>
      <c r="L2491">
        <v>285.2475</v>
      </c>
      <c r="M2491">
        <v>-0.99981319999999996</v>
      </c>
      <c r="N2491">
        <v>0</v>
      </c>
      <c r="O2491">
        <v>1.644984E-2</v>
      </c>
      <c r="P2491">
        <v>-0.98903370000000002</v>
      </c>
      <c r="Q2491">
        <v>0.14736759999999999</v>
      </c>
      <c r="R2491">
        <v>9.7579569999999994E-3</v>
      </c>
      <c r="S2491">
        <v>-3.0769959999999998</v>
      </c>
      <c r="T2491">
        <v>-0.2908268</v>
      </c>
      <c r="U2491">
        <v>-1.4831540000000001E-2</v>
      </c>
      <c r="V2491">
        <v>-6.571566E-3</v>
      </c>
      <c r="W2491">
        <v>0.1574007</v>
      </c>
      <c r="X2491">
        <v>0.98751290000000003</v>
      </c>
      <c r="Y2491">
        <v>-2.1102559999999999E-2</v>
      </c>
      <c r="Z2491">
        <v>-2.5464039999999999E-3</v>
      </c>
      <c r="AA2491">
        <v>0.9997741</v>
      </c>
      <c r="AB2491">
        <v>45</v>
      </c>
      <c r="AC2491">
        <v>-0.72599999999999898</v>
      </c>
      <c r="AD2491">
        <v>-9.1361999999999902E-2</v>
      </c>
      <c r="AE2491">
        <v>-8.1999999999879895E-3</v>
      </c>
      <c r="AF2491">
        <v>-1.9828122003886599E-2</v>
      </c>
      <c r="AG2491">
        <v>-9.1361999999999902E-2</v>
      </c>
      <c r="AH2491">
        <v>0.71445388760503603</v>
      </c>
      <c r="AI2491">
        <v>97.284470443024802</v>
      </c>
      <c r="AJ2491">
        <v>91.589712348011901</v>
      </c>
      <c r="AK2491">
        <v>0.72054460443483304</v>
      </c>
      <c r="AL2491">
        <v>80.943943892362299</v>
      </c>
      <c r="AM2491">
        <v>90.381278501465005</v>
      </c>
      <c r="AN2491">
        <v>0.99999994675329396</v>
      </c>
    </row>
    <row r="2492" spans="1:40" x14ac:dyDescent="0.25">
      <c r="A2492" t="str">
        <f>"20190312164036957"</f>
        <v>20190312164036957</v>
      </c>
      <c r="B2492" t="str">
        <f>"1552380036948650"</f>
        <v>1552380036948650</v>
      </c>
      <c r="C2492" t="s">
        <v>40</v>
      </c>
      <c r="D2492">
        <v>5.3551390000000003</v>
      </c>
      <c r="E2492">
        <v>0.49914740000000002</v>
      </c>
      <c r="F2492" t="s">
        <v>48</v>
      </c>
      <c r="G2492">
        <v>-354.15730000000002</v>
      </c>
      <c r="H2492" s="1">
        <v>6.7553909999999999E-7</v>
      </c>
      <c r="I2492">
        <v>285.18529999999998</v>
      </c>
      <c r="J2492">
        <v>-342.59370000000001</v>
      </c>
      <c r="K2492">
        <v>1.109626</v>
      </c>
      <c r="L2492">
        <v>285.25369999999998</v>
      </c>
      <c r="M2492">
        <v>-0.99981580000000003</v>
      </c>
      <c r="N2492">
        <v>0</v>
      </c>
      <c r="O2492">
        <v>1.6284469999999999E-2</v>
      </c>
      <c r="P2492">
        <v>-0.98894919999999997</v>
      </c>
      <c r="Q2492">
        <v>0.14790799999999901</v>
      </c>
      <c r="R2492">
        <v>1.0136930000000001E-2</v>
      </c>
      <c r="S2492">
        <v>-3.0760190000000001</v>
      </c>
      <c r="T2492">
        <v>-0.28567900000000002</v>
      </c>
      <c r="U2492">
        <v>-1.6021730000000001E-2</v>
      </c>
      <c r="V2492">
        <v>-6.0351579999999997E-3</v>
      </c>
      <c r="W2492">
        <v>0.1579545</v>
      </c>
      <c r="X2492">
        <v>0.98742790000000003</v>
      </c>
      <c r="Y2492">
        <v>-2.1331050000000001E-2</v>
      </c>
      <c r="Z2492">
        <v>-2.4975790000000002E-3</v>
      </c>
      <c r="AA2492">
        <v>0.99976929999999997</v>
      </c>
      <c r="AB2492">
        <v>45</v>
      </c>
      <c r="AC2492">
        <v>-11.563599999999999</v>
      </c>
      <c r="AD2492">
        <v>-1.10962532446089</v>
      </c>
      <c r="AE2492">
        <v>-6.8399999999996894E-2</v>
      </c>
      <c r="AF2492">
        <v>-0.254365618560707</v>
      </c>
      <c r="AG2492">
        <v>-1.10962532446089</v>
      </c>
      <c r="AH2492">
        <v>11.455473957694901</v>
      </c>
      <c r="AI2492">
        <v>95.531294293667699</v>
      </c>
      <c r="AJ2492">
        <v>91.272027845459803</v>
      </c>
      <c r="AK2492">
        <v>11.5119005304952</v>
      </c>
      <c r="AL2492">
        <v>80.911811584612806</v>
      </c>
      <c r="AM2492">
        <v>90.350187366960796</v>
      </c>
      <c r="AN2492">
        <v>0.99999995245037099</v>
      </c>
    </row>
    <row r="2493" spans="1:40" x14ac:dyDescent="0.25">
      <c r="A2493" t="str">
        <f>"20190312164036971"</f>
        <v>20190312164036971</v>
      </c>
      <c r="B2493" t="str">
        <f>"1552380036958411"</f>
        <v>1552380036958411</v>
      </c>
      <c r="C2493" t="s">
        <v>40</v>
      </c>
      <c r="D2493">
        <v>5.3510229999999996</v>
      </c>
      <c r="E2493">
        <v>0.49953009999999898</v>
      </c>
      <c r="F2493" t="s">
        <v>48</v>
      </c>
      <c r="G2493">
        <v>-354.60270000000003</v>
      </c>
      <c r="H2493" s="1">
        <v>9.1255770000000003E-7</v>
      </c>
      <c r="I2493">
        <v>285.18360000000001</v>
      </c>
      <c r="J2493">
        <v>-342.86410000000001</v>
      </c>
      <c r="K2493">
        <v>1.1096440000000001</v>
      </c>
      <c r="L2493">
        <v>285.25810000000001</v>
      </c>
      <c r="M2493">
        <v>-0.99981779999999998</v>
      </c>
      <c r="N2493">
        <v>0</v>
      </c>
      <c r="O2493">
        <v>1.6150620000000001E-2</v>
      </c>
      <c r="P2493">
        <v>-0.98893509999999996</v>
      </c>
      <c r="Q2493">
        <v>0.14799699999999999</v>
      </c>
      <c r="R2493">
        <v>1.0218390000000001E-2</v>
      </c>
      <c r="S2493">
        <v>-3.0762330000000002</v>
      </c>
      <c r="T2493">
        <v>-0.2842404</v>
      </c>
      <c r="U2493">
        <v>-1.7974850000000001E-2</v>
      </c>
      <c r="V2493">
        <v>-5.827423E-3</v>
      </c>
      <c r="W2493">
        <v>0.15805569999999999</v>
      </c>
      <c r="X2493">
        <v>0.98741299999999999</v>
      </c>
      <c r="Y2493">
        <v>-2.1831670000000001E-2</v>
      </c>
      <c r="Z2493">
        <v>-2.4956190000000001E-3</v>
      </c>
      <c r="AA2493">
        <v>0.99975849999999999</v>
      </c>
      <c r="AB2493">
        <v>45</v>
      </c>
      <c r="AC2493">
        <v>-11.7386</v>
      </c>
      <c r="AD2493">
        <v>-1.1096430874423</v>
      </c>
      <c r="AE2493">
        <v>-7.4500000000000399E-2</v>
      </c>
      <c r="AF2493">
        <v>-0.26174693685425499</v>
      </c>
      <c r="AG2493">
        <v>-1.1096430874423</v>
      </c>
      <c r="AH2493">
        <v>11.6319289529466</v>
      </c>
      <c r="AI2493">
        <v>95.447944552252096</v>
      </c>
      <c r="AJ2493">
        <v>91.289078046890893</v>
      </c>
      <c r="AK2493">
        <v>11.687668304963999</v>
      </c>
      <c r="AL2493">
        <v>80.905939904408001</v>
      </c>
      <c r="AM2493">
        <v>90.338139022856794</v>
      </c>
      <c r="AN2493">
        <v>0.99999999786515503</v>
      </c>
    </row>
    <row r="2494" spans="1:40" x14ac:dyDescent="0.25">
      <c r="A2494" t="str">
        <f>"20190312164036985"</f>
        <v>20190312164036985</v>
      </c>
      <c r="B2494" t="str">
        <f>"1552380036978908"</f>
        <v>1552380036978908</v>
      </c>
      <c r="C2494" t="s">
        <v>40</v>
      </c>
      <c r="D2494">
        <v>5.2367509999999999</v>
      </c>
      <c r="E2494">
        <v>0.50027169999999999</v>
      </c>
      <c r="F2494" t="s">
        <v>42</v>
      </c>
      <c r="G2494">
        <v>-343.74079999999998</v>
      </c>
      <c r="H2494">
        <v>1.02769</v>
      </c>
      <c r="I2494">
        <v>285.25420000000003</v>
      </c>
      <c r="J2494">
        <v>-343.14839999999998</v>
      </c>
      <c r="K2494">
        <v>1.109667</v>
      </c>
      <c r="L2494">
        <v>285.26249999999999</v>
      </c>
      <c r="M2494">
        <v>-0.99982009999999999</v>
      </c>
      <c r="N2494">
        <v>0</v>
      </c>
      <c r="O2494">
        <v>1.5998800000000001E-2</v>
      </c>
      <c r="P2494">
        <v>-0.98891099999999998</v>
      </c>
      <c r="Q2494">
        <v>0.14817439999999901</v>
      </c>
      <c r="R2494">
        <v>9.9836690000000006E-3</v>
      </c>
      <c r="S2494">
        <v>-3.076813</v>
      </c>
      <c r="T2494">
        <v>-0.28787879999999999</v>
      </c>
      <c r="U2494">
        <v>-1.4770510000000001E-2</v>
      </c>
      <c r="V2494">
        <v>-5.9185840000000002E-3</v>
      </c>
      <c r="W2494">
        <v>0.15824489999999999</v>
      </c>
      <c r="X2494">
        <v>0.98738219999999999</v>
      </c>
      <c r="Y2494">
        <v>-2.0639339999999999E-2</v>
      </c>
      <c r="Z2494">
        <v>-2.4571240000000002E-3</v>
      </c>
      <c r="AA2494">
        <v>0.99978400000000001</v>
      </c>
      <c r="AB2494">
        <v>45</v>
      </c>
      <c r="AC2494">
        <v>-0.59239999999999704</v>
      </c>
      <c r="AD2494">
        <v>-8.1976999999999897E-2</v>
      </c>
      <c r="AE2494">
        <v>-8.2999999999628891E-3</v>
      </c>
      <c r="AF2494">
        <v>-1.7443159130675599E-2</v>
      </c>
      <c r="AG2494">
        <v>-8.1976999999999897E-2</v>
      </c>
      <c r="AH2494">
        <v>0.58106651471871595</v>
      </c>
      <c r="AI2494">
        <v>98.026735762280794</v>
      </c>
      <c r="AJ2494">
        <v>91.7194578013072</v>
      </c>
      <c r="AK2494">
        <v>0.58707988115486798</v>
      </c>
      <c r="AL2494">
        <v>80.894961797227097</v>
      </c>
      <c r="AM2494">
        <v>90.343439270529601</v>
      </c>
      <c r="AN2494">
        <v>1.0000000434447001</v>
      </c>
    </row>
    <row r="2495" spans="1:40" x14ac:dyDescent="0.25">
      <c r="A2495" t="str">
        <f>"20190312164037002"</f>
        <v>20190312164037002</v>
      </c>
      <c r="B2495" t="str">
        <f>"1552380036998426"</f>
        <v>1552380036998426</v>
      </c>
      <c r="C2495" t="s">
        <v>40</v>
      </c>
      <c r="D2495">
        <v>5.2650110000000003</v>
      </c>
      <c r="E2495">
        <v>0.49981350000000002</v>
      </c>
      <c r="F2495" t="s">
        <v>42</v>
      </c>
      <c r="G2495">
        <v>-344.13490000000002</v>
      </c>
      <c r="H2495">
        <v>1.0185500000000001</v>
      </c>
      <c r="I2495">
        <v>285.25959999999998</v>
      </c>
      <c r="J2495">
        <v>-343.48590000000002</v>
      </c>
      <c r="K2495">
        <v>1.109699</v>
      </c>
      <c r="L2495">
        <v>285.26780000000002</v>
      </c>
      <c r="M2495">
        <v>-0.99982300000000002</v>
      </c>
      <c r="N2495">
        <v>0</v>
      </c>
      <c r="O2495">
        <v>1.580088E-2</v>
      </c>
      <c r="P2495">
        <v>-0.9888517</v>
      </c>
      <c r="Q2495">
        <v>0.1485668</v>
      </c>
      <c r="R2495">
        <v>1.00111E-2</v>
      </c>
      <c r="S2495">
        <v>-3.076355</v>
      </c>
      <c r="T2495">
        <v>-0.2842327</v>
      </c>
      <c r="U2495">
        <v>-9.765625E-3</v>
      </c>
      <c r="V2495">
        <v>-5.7044519999999996E-3</v>
      </c>
      <c r="W2495">
        <v>0.15865270000000001</v>
      </c>
      <c r="X2495">
        <v>0.98731800000000003</v>
      </c>
      <c r="Y2495">
        <v>-1.8828129999999998E-2</v>
      </c>
      <c r="Z2495">
        <v>-2.324759E-3</v>
      </c>
      <c r="AA2495">
        <v>0.99982009999999999</v>
      </c>
      <c r="AB2495">
        <v>45</v>
      </c>
      <c r="AC2495">
        <v>-0.64900000000000002</v>
      </c>
      <c r="AD2495">
        <v>-9.1148999999999897E-2</v>
      </c>
      <c r="AE2495">
        <v>-8.2000000000448294E-3</v>
      </c>
      <c r="AF2495">
        <v>-1.80973706133262E-2</v>
      </c>
      <c r="AG2495">
        <v>-9.1148999999999897E-2</v>
      </c>
      <c r="AH2495">
        <v>0.63624160752569703</v>
      </c>
      <c r="AI2495">
        <v>98.149560285018595</v>
      </c>
      <c r="AJ2495">
        <v>91.629292138411699</v>
      </c>
      <c r="AK2495">
        <v>0.64299225358553103</v>
      </c>
      <c r="AL2495">
        <v>80.871297478969197</v>
      </c>
      <c r="AM2495">
        <v>90.331035580458405</v>
      </c>
      <c r="AN2495">
        <v>1.00000002655695</v>
      </c>
    </row>
    <row r="2496" spans="1:40" x14ac:dyDescent="0.25">
      <c r="A2496" t="str">
        <f>"20190312164037014"</f>
        <v>20190312164037014</v>
      </c>
      <c r="B2496" t="str">
        <f>"1552380037008186"</f>
        <v>1552380037008186</v>
      </c>
      <c r="C2496" t="s">
        <v>40</v>
      </c>
      <c r="D2496">
        <v>5.4737479999999996</v>
      </c>
      <c r="E2496">
        <v>0.49942199999999998</v>
      </c>
      <c r="F2496" t="s">
        <v>42</v>
      </c>
      <c r="G2496">
        <v>-344.53370000000001</v>
      </c>
      <c r="H2496">
        <v>1.015245</v>
      </c>
      <c r="I2496">
        <v>285.26350000000002</v>
      </c>
      <c r="J2496">
        <v>-343.74810000000002</v>
      </c>
      <c r="K2496">
        <v>1.10972</v>
      </c>
      <c r="L2496">
        <v>285.27190000000002</v>
      </c>
      <c r="M2496">
        <v>-0.99982570000000004</v>
      </c>
      <c r="N2496">
        <v>0</v>
      </c>
      <c r="O2496">
        <v>1.5633669999999999E-2</v>
      </c>
      <c r="P2496">
        <v>-0.98882510000000001</v>
      </c>
      <c r="Q2496">
        <v>0.14874849999999901</v>
      </c>
      <c r="R2496">
        <v>9.9658779999999992E-3</v>
      </c>
      <c r="S2496">
        <v>-3.075653</v>
      </c>
      <c r="T2496">
        <v>-0.27747739999999999</v>
      </c>
      <c r="U2496">
        <v>-1.3671880000000001E-2</v>
      </c>
      <c r="V2496">
        <v>-5.591286E-3</v>
      </c>
      <c r="W2496">
        <v>0.15884570000000001</v>
      </c>
      <c r="X2496">
        <v>0.98728760000000004</v>
      </c>
      <c r="Y2496">
        <v>-1.9934480000000001E-2</v>
      </c>
      <c r="Z2496">
        <v>-2.3049979999999999E-3</v>
      </c>
      <c r="AA2496">
        <v>0.99979870000000004</v>
      </c>
      <c r="AB2496">
        <v>45</v>
      </c>
      <c r="AC2496">
        <v>-0.78559999999998797</v>
      </c>
      <c r="AD2496">
        <v>-9.4474999999999795E-2</v>
      </c>
      <c r="AE2496">
        <v>-8.3999999999946305E-3</v>
      </c>
      <c r="AF2496">
        <v>-2.0386624770954698E-2</v>
      </c>
      <c r="AG2496">
        <v>-9.4474999999999795E-2</v>
      </c>
      <c r="AH2496">
        <v>0.77417770716871104</v>
      </c>
      <c r="AI2496">
        <v>96.955170345595405</v>
      </c>
      <c r="AJ2496">
        <v>91.508436195151006</v>
      </c>
      <c r="AK2496">
        <v>0.78018732518001999</v>
      </c>
      <c r="AL2496">
        <v>80.860097230311496</v>
      </c>
      <c r="AM2496">
        <v>90.324478566333298</v>
      </c>
      <c r="AN2496">
        <v>1.00000001200069</v>
      </c>
    </row>
    <row r="2497" spans="1:40" x14ac:dyDescent="0.25">
      <c r="A2497" t="str">
        <f>"20190312164037027"</f>
        <v>20190312164037027</v>
      </c>
      <c r="B2497" t="str">
        <f>"1552380037018924"</f>
        <v>1552380037018924</v>
      </c>
      <c r="C2497" t="s">
        <v>40</v>
      </c>
      <c r="D2497">
        <v>5.2089660000000002</v>
      </c>
      <c r="E2497">
        <v>0.4991101</v>
      </c>
      <c r="F2497" t="s">
        <v>48</v>
      </c>
      <c r="G2497">
        <v>-356.25439999999998</v>
      </c>
      <c r="H2497" s="1">
        <v>1.791486E-6</v>
      </c>
      <c r="I2497">
        <v>285.20389999999998</v>
      </c>
      <c r="J2497">
        <v>-344.00569999999999</v>
      </c>
      <c r="K2497">
        <v>1.1097379999999999</v>
      </c>
      <c r="L2497">
        <v>285.27569999999997</v>
      </c>
      <c r="M2497">
        <v>-0.99982819999999994</v>
      </c>
      <c r="N2497">
        <v>0</v>
      </c>
      <c r="O2497">
        <v>1.545909E-2</v>
      </c>
      <c r="P2497">
        <v>-0.98881200000000002</v>
      </c>
      <c r="Q2497">
        <v>0.14884120000000001</v>
      </c>
      <c r="R2497">
        <v>9.8648969999999992E-3</v>
      </c>
      <c r="S2497">
        <v>-3.0751339999999998</v>
      </c>
      <c r="T2497">
        <v>-0.272866099999999</v>
      </c>
      <c r="U2497">
        <v>-1.6693119999999999E-2</v>
      </c>
      <c r="V2497">
        <v>-5.5262260000000004E-3</v>
      </c>
      <c r="W2497">
        <v>0.158949799999999</v>
      </c>
      <c r="X2497">
        <v>0.98727120000000002</v>
      </c>
      <c r="Y2497">
        <v>-2.0745119999999999E-2</v>
      </c>
      <c r="Z2497">
        <v>-2.2876559999999999E-3</v>
      </c>
      <c r="AA2497">
        <v>0.99978219999999995</v>
      </c>
      <c r="AB2497">
        <v>45</v>
      </c>
      <c r="AC2497">
        <v>-12.2486999999999</v>
      </c>
      <c r="AD2497">
        <v>-1.1097362085139999</v>
      </c>
      <c r="AE2497">
        <v>-7.1799999999996006E-2</v>
      </c>
      <c r="AF2497">
        <v>-0.25902893256032</v>
      </c>
      <c r="AG2497">
        <v>-1.1097362085139999</v>
      </c>
      <c r="AH2497">
        <v>12.146426587321001</v>
      </c>
      <c r="AI2497">
        <v>95.219052148854203</v>
      </c>
      <c r="AJ2497">
        <v>91.221677444588195</v>
      </c>
      <c r="AK2497">
        <v>12.1997659519176</v>
      </c>
      <c r="AL2497">
        <v>80.854055877339903</v>
      </c>
      <c r="AM2497">
        <v>90.320708352121002</v>
      </c>
      <c r="AN2497">
        <v>1.00000000022164</v>
      </c>
    </row>
    <row r="2498" spans="1:40" x14ac:dyDescent="0.25">
      <c r="A2498" t="str">
        <f>"20190312164037046"</f>
        <v>20190312164037046</v>
      </c>
      <c r="B2498" t="str">
        <f>"1552380037038442"</f>
        <v>1552380037038442</v>
      </c>
      <c r="C2498" t="s">
        <v>40</v>
      </c>
      <c r="D2498">
        <v>5.2105930000000003</v>
      </c>
      <c r="E2498">
        <v>0.49881429999999999</v>
      </c>
      <c r="F2498" t="s">
        <v>42</v>
      </c>
      <c r="G2498">
        <v>-344.94170000000003</v>
      </c>
      <c r="H2498">
        <v>1.0271140000000001</v>
      </c>
      <c r="I2498">
        <v>285.27010000000001</v>
      </c>
      <c r="J2498">
        <v>-344.38470000000001</v>
      </c>
      <c r="K2498">
        <v>1.109761</v>
      </c>
      <c r="L2498">
        <v>285.28140000000002</v>
      </c>
      <c r="M2498">
        <v>-0.9998321</v>
      </c>
      <c r="N2498">
        <v>0</v>
      </c>
      <c r="O2498">
        <v>1.5188979999999999E-2</v>
      </c>
      <c r="P2498">
        <v>-0.98881759999999996</v>
      </c>
      <c r="Q2498">
        <v>0.14879579999999901</v>
      </c>
      <c r="R2498">
        <v>9.9729929999999994E-3</v>
      </c>
      <c r="S2498">
        <v>-3.075043</v>
      </c>
      <c r="T2498">
        <v>-0.27159939999999999</v>
      </c>
      <c r="U2498">
        <v>-1.9317629999999999E-2</v>
      </c>
      <c r="V2498">
        <v>-5.160464E-3</v>
      </c>
      <c r="W2498">
        <v>0.15892010000000001</v>
      </c>
      <c r="X2498">
        <v>0.98727799999999999</v>
      </c>
      <c r="Y2498">
        <v>-2.132854E-2</v>
      </c>
      <c r="Z2498">
        <v>-2.2790459999999998E-3</v>
      </c>
      <c r="AA2498">
        <v>0.99976989999999999</v>
      </c>
      <c r="AB2498">
        <v>45</v>
      </c>
      <c r="AC2498">
        <v>-0.55700000000001604</v>
      </c>
      <c r="AD2498">
        <v>-8.2647000000000095E-2</v>
      </c>
      <c r="AE2498">
        <v>-1.1300000000005601E-2</v>
      </c>
      <c r="AF2498">
        <v>-1.93339169734126E-2</v>
      </c>
      <c r="AG2498">
        <v>-8.2647000000000095E-2</v>
      </c>
      <c r="AH2498">
        <v>0.54477511058360295</v>
      </c>
      <c r="AI2498">
        <v>98.621129878812795</v>
      </c>
      <c r="AJ2498">
        <v>92.032558196975401</v>
      </c>
      <c r="AK2498">
        <v>0.55134766533097002</v>
      </c>
      <c r="AL2498">
        <v>80.855779827464403</v>
      </c>
      <c r="AM2498">
        <v>90.2994801007099</v>
      </c>
      <c r="AN2498">
        <v>1.0000000389283501</v>
      </c>
    </row>
    <row r="2499" spans="1:40" x14ac:dyDescent="0.25">
      <c r="A2499" t="str">
        <f>"20190312164037068"</f>
        <v>20190312164037068</v>
      </c>
      <c r="B2499" t="str">
        <f>"1552380037058942"</f>
        <v>1552380037058942</v>
      </c>
      <c r="C2499" t="s">
        <v>40</v>
      </c>
      <c r="D2499">
        <v>5.237457</v>
      </c>
      <c r="E2499">
        <v>0.49845319999999999</v>
      </c>
      <c r="F2499" t="s">
        <v>42</v>
      </c>
      <c r="G2499">
        <v>-345.3433</v>
      </c>
      <c r="H2499">
        <v>1.0279229999999999</v>
      </c>
      <c r="I2499">
        <v>285.27550000000002</v>
      </c>
      <c r="J2499">
        <v>-344.82229999999998</v>
      </c>
      <c r="K2499">
        <v>1.109783</v>
      </c>
      <c r="L2499">
        <v>285.2878</v>
      </c>
      <c r="M2499">
        <v>-0.99983699999999998</v>
      </c>
      <c r="N2499">
        <v>0</v>
      </c>
      <c r="O2499">
        <v>1.4859789999999999E-2</v>
      </c>
      <c r="P2499">
        <v>-0.9888943</v>
      </c>
      <c r="Q2499">
        <v>0.14831159999999999</v>
      </c>
      <c r="R2499">
        <v>9.5981829999999997E-3</v>
      </c>
      <c r="S2499">
        <v>-3.0736080000000001</v>
      </c>
      <c r="T2499">
        <v>-0.26264379999999998</v>
      </c>
      <c r="U2499">
        <v>-2.0172120000000002E-2</v>
      </c>
      <c r="V2499">
        <v>-5.2197069999999996E-3</v>
      </c>
      <c r="W2499">
        <v>0.1584545</v>
      </c>
      <c r="X2499">
        <v>0.98735249999999997</v>
      </c>
      <c r="Y2499">
        <v>-2.1290659999999999E-2</v>
      </c>
      <c r="Z2499">
        <v>-2.1755059999999998E-3</v>
      </c>
      <c r="AA2499">
        <v>0.99977090000000002</v>
      </c>
      <c r="AB2499">
        <v>45</v>
      </c>
      <c r="AC2499">
        <v>-0.52100000000001501</v>
      </c>
      <c r="AD2499">
        <v>-8.1860000000000002E-2</v>
      </c>
      <c r="AE2499">
        <v>-1.22999999999819E-2</v>
      </c>
      <c r="AF2499">
        <v>-1.9558429796830999E-2</v>
      </c>
      <c r="AG2499">
        <v>-8.1860000000000002E-2</v>
      </c>
      <c r="AH2499">
        <v>0.50822024774971697</v>
      </c>
      <c r="AI2499">
        <v>99.143495204724999</v>
      </c>
      <c r="AJ2499">
        <v>92.203892417410202</v>
      </c>
      <c r="AK2499">
        <v>0.51514212795975201</v>
      </c>
      <c r="AL2499">
        <v>80.882798900346302</v>
      </c>
      <c r="AM2499">
        <v>90.3028952631918</v>
      </c>
      <c r="AN2499">
        <v>1.0000000165838301</v>
      </c>
    </row>
    <row r="2500" spans="1:40" x14ac:dyDescent="0.25">
      <c r="A2500" t="str">
        <f>"20190312164037079"</f>
        <v>20190312164037079</v>
      </c>
      <c r="B2500" t="str">
        <f>"1552380037068699"</f>
        <v>1552380037068699</v>
      </c>
      <c r="C2500" t="s">
        <v>40</v>
      </c>
      <c r="D2500">
        <v>5.3320939999999997</v>
      </c>
      <c r="E2500">
        <v>0.49833840000000001</v>
      </c>
      <c r="F2500" t="s">
        <v>42</v>
      </c>
      <c r="G2500">
        <v>-345.74829999999997</v>
      </c>
      <c r="H2500">
        <v>1.03242099999999</v>
      </c>
      <c r="I2500">
        <v>285.28100000000001</v>
      </c>
      <c r="J2500">
        <v>-345.0478</v>
      </c>
      <c r="K2500">
        <v>1.1097939999999999</v>
      </c>
      <c r="L2500">
        <v>285.29109999999997</v>
      </c>
      <c r="M2500">
        <v>-0.99983940000000004</v>
      </c>
      <c r="N2500">
        <v>0</v>
      </c>
      <c r="O2500">
        <v>1.4685790000000001E-2</v>
      </c>
      <c r="P2500">
        <v>-0.98889400000000005</v>
      </c>
      <c r="Q2500">
        <v>0.14831169999999999</v>
      </c>
      <c r="R2500">
        <v>9.6192129999999997E-3</v>
      </c>
      <c r="S2500">
        <v>-3.0724490000000002</v>
      </c>
      <c r="T2500">
        <v>-0.2569206</v>
      </c>
      <c r="U2500">
        <v>-2.3742679999999999E-2</v>
      </c>
      <c r="V2500">
        <v>-5.0309049999999996E-3</v>
      </c>
      <c r="W2500">
        <v>0.1584634</v>
      </c>
      <c r="X2500">
        <v>0.98735200000000001</v>
      </c>
      <c r="Y2500">
        <v>-2.2283649999999999E-2</v>
      </c>
      <c r="Z2500">
        <v>-2.15598E-3</v>
      </c>
      <c r="AA2500">
        <v>0.99974940000000001</v>
      </c>
      <c r="AB2500">
        <v>45</v>
      </c>
      <c r="AC2500">
        <v>-0.70049999999997603</v>
      </c>
      <c r="AD2500">
        <v>-7.7373000000000094E-2</v>
      </c>
      <c r="AE2500">
        <v>-1.00999999999658E-2</v>
      </c>
      <c r="AF2500">
        <v>-2.0141176444259501E-2</v>
      </c>
      <c r="AG2500">
        <v>-7.7373000000000094E-2</v>
      </c>
      <c r="AH2500">
        <v>0.69183739872732697</v>
      </c>
      <c r="AI2500">
        <v>96.378589865745496</v>
      </c>
      <c r="AJ2500">
        <v>91.667557362206296</v>
      </c>
      <c r="AK2500">
        <v>0.69644183848714403</v>
      </c>
      <c r="AL2500">
        <v>80.882281973252105</v>
      </c>
      <c r="AM2500">
        <v>90.291939580919504</v>
      </c>
      <c r="AN2500">
        <v>0.99999996552433801</v>
      </c>
    </row>
    <row r="2501" spans="1:40" x14ac:dyDescent="0.25">
      <c r="A2501" t="str">
        <f>"20190312164037101"</f>
        <v>20190312164037101</v>
      </c>
      <c r="B2501" t="str">
        <f>"1552380037098954"</f>
        <v>1552380037098954</v>
      </c>
      <c r="C2501" t="s">
        <v>40</v>
      </c>
      <c r="D2501">
        <v>5.3195699999999997</v>
      </c>
      <c r="E2501">
        <v>0.49796940000000001</v>
      </c>
      <c r="F2501" t="s">
        <v>42</v>
      </c>
      <c r="G2501">
        <v>-346.14030000000002</v>
      </c>
      <c r="H2501">
        <v>1.019685</v>
      </c>
      <c r="I2501">
        <v>285.28250000000003</v>
      </c>
      <c r="J2501">
        <v>-345.50139999999999</v>
      </c>
      <c r="K2501">
        <v>1.1098110000000001</v>
      </c>
      <c r="L2501">
        <v>285.29750000000001</v>
      </c>
      <c r="M2501">
        <v>-0.99984459999999997</v>
      </c>
      <c r="N2501">
        <v>0</v>
      </c>
      <c r="O2501">
        <v>1.432397E-2</v>
      </c>
      <c r="P2501">
        <v>-0.98889199999999999</v>
      </c>
      <c r="Q2501">
        <v>0.14836640000000001</v>
      </c>
      <c r="R2501">
        <v>8.9783209999999992E-3</v>
      </c>
      <c r="S2501">
        <v>-3.0719599999999998</v>
      </c>
      <c r="T2501">
        <v>-0.25352180000000002</v>
      </c>
      <c r="U2501">
        <v>-2.4688720000000001E-2</v>
      </c>
      <c r="V2501">
        <v>-5.3203909999999998E-3</v>
      </c>
      <c r="W2501">
        <v>0.1585336</v>
      </c>
      <c r="X2501">
        <v>0.98733930000000003</v>
      </c>
      <c r="Y2501">
        <v>-2.2235689999999999E-2</v>
      </c>
      <c r="Z2501">
        <v>-2.0961059999999999E-3</v>
      </c>
      <c r="AA2501">
        <v>0.99975060000000004</v>
      </c>
      <c r="AB2501">
        <v>45</v>
      </c>
      <c r="AC2501">
        <v>-0.638900000000035</v>
      </c>
      <c r="AD2501">
        <v>-9.0126000000000095E-2</v>
      </c>
      <c r="AE2501">
        <v>-1.49999999999863E-2</v>
      </c>
      <c r="AF2501">
        <v>-2.36795847103176E-2</v>
      </c>
      <c r="AG2501">
        <v>-9.0126000000000095E-2</v>
      </c>
      <c r="AH2501">
        <v>0.62616626636017203</v>
      </c>
      <c r="AI2501">
        <v>98.184732348458994</v>
      </c>
      <c r="AJ2501">
        <v>92.165709221469598</v>
      </c>
      <c r="AK2501">
        <v>0.63306209153249104</v>
      </c>
      <c r="AL2501">
        <v>80.878209102493301</v>
      </c>
      <c r="AM2501">
        <v>90.308741887602906</v>
      </c>
      <c r="AN2501">
        <v>1.00000005110692</v>
      </c>
    </row>
    <row r="2502" spans="1:40" x14ac:dyDescent="0.25">
      <c r="A2502" t="str">
        <f>"20190312164037113"</f>
        <v>20190312164037113</v>
      </c>
      <c r="B2502" t="str">
        <f>"1552380037108715"</f>
        <v>1552380037108715</v>
      </c>
      <c r="C2502" t="s">
        <v>40</v>
      </c>
      <c r="D2502">
        <v>5.304157</v>
      </c>
      <c r="E2502">
        <v>0.4980349</v>
      </c>
      <c r="F2502" t="s">
        <v>42</v>
      </c>
      <c r="G2502">
        <v>-346.54750000000001</v>
      </c>
      <c r="H2502">
        <v>1.026289</v>
      </c>
      <c r="I2502">
        <v>285.2878</v>
      </c>
      <c r="J2502">
        <v>-345.73489999999998</v>
      </c>
      <c r="K2502">
        <v>1.1098170000000001</v>
      </c>
      <c r="L2502">
        <v>285.30070000000001</v>
      </c>
      <c r="M2502">
        <v>-0.99984709999999999</v>
      </c>
      <c r="N2502">
        <v>0</v>
      </c>
      <c r="O2502">
        <v>1.4134809999999999E-2</v>
      </c>
      <c r="P2502">
        <v>-0.98888520000000002</v>
      </c>
      <c r="Q2502">
        <v>0.14844280000000001</v>
      </c>
      <c r="R2502">
        <v>8.4252800000000003E-3</v>
      </c>
      <c r="S2502">
        <v>-3.07077</v>
      </c>
      <c r="T2502">
        <v>-0.2452676</v>
      </c>
      <c r="U2502">
        <v>-2.886963E-2</v>
      </c>
      <c r="V2502">
        <v>-5.6894199999999997E-3</v>
      </c>
      <c r="W2502">
        <v>0.158617799999999</v>
      </c>
      <c r="X2502">
        <v>0.98732359999999997</v>
      </c>
      <c r="Y2502">
        <v>-2.3415439999999999E-2</v>
      </c>
      <c r="Z2502">
        <v>-2.0608100000000002E-3</v>
      </c>
      <c r="AA2502">
        <v>0.99972369999999999</v>
      </c>
      <c r="AB2502">
        <v>45</v>
      </c>
      <c r="AC2502">
        <v>-0.81260000000003096</v>
      </c>
      <c r="AD2502">
        <v>-8.3528000000000005E-2</v>
      </c>
      <c r="AE2502">
        <v>-1.29000000000019E-2</v>
      </c>
      <c r="AF2502">
        <v>-2.4130369252854798E-2</v>
      </c>
      <c r="AG2502">
        <v>-8.3528000000000005E-2</v>
      </c>
      <c r="AH2502">
        <v>0.80384517609167705</v>
      </c>
      <c r="AI2502">
        <v>95.929694143305596</v>
      </c>
      <c r="AJ2502">
        <v>91.719427191528993</v>
      </c>
      <c r="AK2502">
        <v>0.80853340600753099</v>
      </c>
      <c r="AL2502">
        <v>80.873321890944595</v>
      </c>
      <c r="AM2502">
        <v>90.330161403803899</v>
      </c>
      <c r="AN2502">
        <v>0.999999933546866</v>
      </c>
    </row>
    <row r="2503" spans="1:40" x14ac:dyDescent="0.25">
      <c r="A2503" t="str">
        <f>"20190312164037125"</f>
        <v>20190312164037125</v>
      </c>
      <c r="B2503" t="str">
        <f>"1552380037118474"</f>
        <v>1552380037118474</v>
      </c>
      <c r="C2503" t="s">
        <v>40</v>
      </c>
      <c r="D2503">
        <v>5.2117839999999998</v>
      </c>
      <c r="E2503">
        <v>0.49786239999999998</v>
      </c>
      <c r="F2503" t="s">
        <v>48</v>
      </c>
      <c r="G2503">
        <v>-359.67189999999999</v>
      </c>
      <c r="H2503" s="1">
        <v>3.6100959999999999E-6</v>
      </c>
      <c r="I2503">
        <v>285.16359999999997</v>
      </c>
      <c r="J2503">
        <v>-345.96269999999998</v>
      </c>
      <c r="K2503">
        <v>1.109826</v>
      </c>
      <c r="L2503">
        <v>285.30380000000002</v>
      </c>
      <c r="M2503">
        <v>-0.99984969999999995</v>
      </c>
      <c r="N2503">
        <v>0</v>
      </c>
      <c r="O2503">
        <v>1.394918E-2</v>
      </c>
      <c r="P2503">
        <v>-0.98889720000000003</v>
      </c>
      <c r="Q2503">
        <v>0.14838489999999999</v>
      </c>
      <c r="R2503">
        <v>8.0231959999999998E-3</v>
      </c>
      <c r="S2503">
        <v>-3.0706479999999998</v>
      </c>
      <c r="T2503">
        <v>-0.2445185</v>
      </c>
      <c r="U2503">
        <v>-3.02124E-2</v>
      </c>
      <c r="V2503">
        <v>-5.9112119999999999E-3</v>
      </c>
      <c r="W2503">
        <v>0.1585675</v>
      </c>
      <c r="X2503">
        <v>0.98733040000000005</v>
      </c>
      <c r="Y2503">
        <v>-2.3667839999999999E-2</v>
      </c>
      <c r="Z2503">
        <v>-2.0498890000000001E-3</v>
      </c>
      <c r="AA2503">
        <v>0.99971779999999999</v>
      </c>
      <c r="AB2503">
        <v>45</v>
      </c>
      <c r="AC2503">
        <v>-13.709199999999999</v>
      </c>
      <c r="AD2503">
        <v>-1.1098223899040001</v>
      </c>
      <c r="AE2503">
        <v>-0.14020000000004901</v>
      </c>
      <c r="AF2503">
        <v>-0.32927089418428501</v>
      </c>
      <c r="AG2503">
        <v>-1.1098223899040001</v>
      </c>
      <c r="AH2503">
        <v>13.616680725634399</v>
      </c>
      <c r="AI2503">
        <v>94.658215377489896</v>
      </c>
      <c r="AJ2503">
        <v>91.385224270802098</v>
      </c>
      <c r="AK2503">
        <v>13.665801075778599</v>
      </c>
      <c r="AL2503">
        <v>80.876241022751202</v>
      </c>
      <c r="AM2503">
        <v>90.343029499292101</v>
      </c>
      <c r="AN2503">
        <v>0.99999995662385799</v>
      </c>
    </row>
    <row r="2504" spans="1:40" x14ac:dyDescent="0.25">
      <c r="A2504" t="str">
        <f>"20190312164037137"</f>
        <v>20190312164037137</v>
      </c>
      <c r="B2504" t="str">
        <f>"1552380037128235"</f>
        <v>1552380037128235</v>
      </c>
      <c r="C2504" t="s">
        <v>40</v>
      </c>
      <c r="D2504">
        <v>5.1095699999999997</v>
      </c>
      <c r="E2504">
        <v>0.49775190000000002</v>
      </c>
      <c r="F2504" t="s">
        <v>42</v>
      </c>
      <c r="G2504">
        <v>-346.95639999999997</v>
      </c>
      <c r="H2504">
        <v>1.03139</v>
      </c>
      <c r="I2504">
        <v>285.29360000000003</v>
      </c>
      <c r="J2504">
        <v>-346.2235</v>
      </c>
      <c r="K2504">
        <v>1.109834</v>
      </c>
      <c r="L2504">
        <v>285.3073</v>
      </c>
      <c r="M2504">
        <v>-0.99985239999999997</v>
      </c>
      <c r="N2504">
        <v>0</v>
      </c>
      <c r="O2504">
        <v>1.3736119999999999E-2</v>
      </c>
      <c r="P2504">
        <v>-0.98886470000000004</v>
      </c>
      <c r="Q2504">
        <v>0.1486431</v>
      </c>
      <c r="R2504">
        <v>7.1950759999999999E-3</v>
      </c>
      <c r="S2504">
        <v>-3.0703429999999998</v>
      </c>
      <c r="T2504">
        <v>-0.24251349999999999</v>
      </c>
      <c r="U2504">
        <v>-3.2562260000000003E-2</v>
      </c>
      <c r="V2504">
        <v>-6.5309649999999997E-3</v>
      </c>
      <c r="W2504">
        <v>0.158833</v>
      </c>
      <c r="X2504">
        <v>0.98728389999999999</v>
      </c>
      <c r="Y2504">
        <v>-2.4221679999999999E-2</v>
      </c>
      <c r="Z2504">
        <v>-2.038364E-3</v>
      </c>
      <c r="AA2504">
        <v>0.9997045</v>
      </c>
      <c r="AB2504">
        <v>45</v>
      </c>
      <c r="AC2504">
        <v>-0.73289999999997202</v>
      </c>
      <c r="AD2504">
        <v>-7.8443999999999903E-2</v>
      </c>
      <c r="AE2504">
        <v>-1.3699999999971599E-2</v>
      </c>
      <c r="AF2504">
        <v>-2.3497355959225599E-2</v>
      </c>
      <c r="AG2504">
        <v>-7.8443999999999903E-2</v>
      </c>
      <c r="AH2504">
        <v>0.72434748317503606</v>
      </c>
      <c r="AI2504">
        <v>96.177596630245205</v>
      </c>
      <c r="AJ2504">
        <v>91.857985861139994</v>
      </c>
      <c r="AK2504">
        <v>0.72896149641464902</v>
      </c>
      <c r="AL2504">
        <v>80.860834476655</v>
      </c>
      <c r="AM2504">
        <v>90.379010811978503</v>
      </c>
      <c r="AN2504">
        <v>1.0000000372960101</v>
      </c>
    </row>
    <row r="2505" spans="1:40" x14ac:dyDescent="0.25">
      <c r="A2505" t="str">
        <f>"20190312164037158"</f>
        <v>20190312164037158</v>
      </c>
      <c r="B2505" t="str">
        <f>"1552380037148730"</f>
        <v>1552380037148730</v>
      </c>
      <c r="C2505" t="s">
        <v>40</v>
      </c>
      <c r="D2505">
        <v>5.119281</v>
      </c>
      <c r="E2505">
        <v>0.49758459999999899</v>
      </c>
      <c r="F2505" t="s">
        <v>48</v>
      </c>
      <c r="G2505">
        <v>-360.4273</v>
      </c>
      <c r="H2505" s="1">
        <v>-1.309382E-6</v>
      </c>
      <c r="I2505">
        <v>285.14330000000001</v>
      </c>
      <c r="J2505">
        <v>-346.63049999999998</v>
      </c>
      <c r="K2505">
        <v>1.109845</v>
      </c>
      <c r="L2505">
        <v>285.31270000000001</v>
      </c>
      <c r="M2505">
        <v>-0.99985690000000005</v>
      </c>
      <c r="N2505">
        <v>0</v>
      </c>
      <c r="O2505">
        <v>1.340117E-2</v>
      </c>
      <c r="P2505">
        <v>-0.98883589999999999</v>
      </c>
      <c r="Q2505">
        <v>0.1488978</v>
      </c>
      <c r="R2505">
        <v>5.7743990000000004E-3</v>
      </c>
      <c r="S2505">
        <v>-3.0700989999999999</v>
      </c>
      <c r="T2505">
        <v>-0.2398863</v>
      </c>
      <c r="U2505">
        <v>-3.5461430000000002E-2</v>
      </c>
      <c r="V2505">
        <v>-7.62424E-3</v>
      </c>
      <c r="W2505">
        <v>0.15909899999999999</v>
      </c>
      <c r="X2505">
        <v>0.98723320000000003</v>
      </c>
      <c r="Y2505">
        <v>-2.4833230000000001E-2</v>
      </c>
      <c r="Z2505">
        <v>-2.0142229999999999E-3</v>
      </c>
      <c r="AA2505">
        <v>0.99968959999999996</v>
      </c>
      <c r="AB2505">
        <v>45</v>
      </c>
      <c r="AC2505">
        <v>-13.796799999999999</v>
      </c>
      <c r="AD2505">
        <v>-1.1098463093819999</v>
      </c>
      <c r="AE2505">
        <v>-0.169399999999996</v>
      </c>
      <c r="AF2505">
        <v>-0.35201039997880601</v>
      </c>
      <c r="AG2505">
        <v>-1.1098463093819999</v>
      </c>
      <c r="AH2505">
        <v>13.7046218998571</v>
      </c>
      <c r="AI2505">
        <v>94.628380973402898</v>
      </c>
      <c r="AJ2505">
        <v>91.471348626472604</v>
      </c>
      <c r="AK2505">
        <v>13.753993295410099</v>
      </c>
      <c r="AL2505">
        <v>80.845397215309902</v>
      </c>
      <c r="AM2505">
        <v>90.442477106392801</v>
      </c>
      <c r="AN2505">
        <v>1.0000000060094001</v>
      </c>
    </row>
    <row r="2506" spans="1:40" x14ac:dyDescent="0.25">
      <c r="A2506" t="str">
        <f>"20190312164037180"</f>
        <v>20190312164037180</v>
      </c>
      <c r="B2506" t="str">
        <f>"1552380037168250"</f>
        <v>1552380037168250</v>
      </c>
      <c r="C2506" t="s">
        <v>40</v>
      </c>
      <c r="D2506">
        <v>5.2996230000000004</v>
      </c>
      <c r="E2506">
        <v>0.49748969999999998</v>
      </c>
      <c r="F2506" t="s">
        <v>42</v>
      </c>
      <c r="G2506">
        <v>-347.75369999999998</v>
      </c>
      <c r="H2506">
        <v>1.02352</v>
      </c>
      <c r="I2506">
        <v>285.29820000000001</v>
      </c>
      <c r="J2506">
        <v>-347.0847</v>
      </c>
      <c r="K2506">
        <v>1.1098509999999999</v>
      </c>
      <c r="L2506">
        <v>285.31849999999997</v>
      </c>
      <c r="M2506">
        <v>-0.99986160000000002</v>
      </c>
      <c r="N2506">
        <v>0</v>
      </c>
      <c r="O2506">
        <v>1.303461E-2</v>
      </c>
      <c r="P2506">
        <v>-0.98888109999999996</v>
      </c>
      <c r="Q2506">
        <v>0.1486442</v>
      </c>
      <c r="R2506">
        <v>4.4110859999999998E-3</v>
      </c>
      <c r="S2506">
        <v>-3.0696409999999998</v>
      </c>
      <c r="T2506">
        <v>-0.23615910000000001</v>
      </c>
      <c r="U2506">
        <v>-4.058838E-2</v>
      </c>
      <c r="V2506">
        <v>-8.6282100000000007E-3</v>
      </c>
      <c r="W2506">
        <v>0.15885750000000001</v>
      </c>
      <c r="X2506">
        <v>0.98726380000000002</v>
      </c>
      <c r="Y2506">
        <v>-2.6138660000000001E-2</v>
      </c>
      <c r="Z2506">
        <v>-2.0052780000000001E-3</v>
      </c>
      <c r="AA2506">
        <v>0.99965630000000005</v>
      </c>
      <c r="AB2506">
        <v>45</v>
      </c>
      <c r="AC2506">
        <v>-0.66899999999998205</v>
      </c>
      <c r="AD2506">
        <v>-8.6330999999999894E-2</v>
      </c>
      <c r="AE2506">
        <v>-2.0299999999963299E-2</v>
      </c>
      <c r="AF2506">
        <v>-2.8544001606477701E-2</v>
      </c>
      <c r="AG2506">
        <v>-8.6330999999999894E-2</v>
      </c>
      <c r="AH2506">
        <v>0.657735628926021</v>
      </c>
      <c r="AI2506">
        <v>97.470652212549197</v>
      </c>
      <c r="AJ2506">
        <v>92.484927393350503</v>
      </c>
      <c r="AK2506">
        <v>0.66399093303103096</v>
      </c>
      <c r="AL2506">
        <v>80.859412159729104</v>
      </c>
      <c r="AM2506">
        <v>90.500724762782198</v>
      </c>
      <c r="AN2506">
        <v>0.99999998105224597</v>
      </c>
    </row>
    <row r="2507" spans="1:40" x14ac:dyDescent="0.25">
      <c r="A2507" t="str">
        <f>"20190312164037204"</f>
        <v>20190312164037204</v>
      </c>
      <c r="B2507" t="str">
        <f>"1552380037198506"</f>
        <v>1552380037198506</v>
      </c>
      <c r="C2507" t="s">
        <v>40</v>
      </c>
      <c r="D2507">
        <v>5.3043529999999999</v>
      </c>
      <c r="E2507">
        <v>0.49738860000000001</v>
      </c>
      <c r="F2507" t="s">
        <v>42</v>
      </c>
      <c r="G2507">
        <v>-348.16030000000001</v>
      </c>
      <c r="H2507">
        <v>1.027873</v>
      </c>
      <c r="I2507">
        <v>285.30329999999998</v>
      </c>
      <c r="J2507">
        <v>-347.55259999999998</v>
      </c>
      <c r="K2507">
        <v>1.1098509999999999</v>
      </c>
      <c r="L2507">
        <v>285.32440000000003</v>
      </c>
      <c r="M2507">
        <v>-0.99986620000000004</v>
      </c>
      <c r="N2507">
        <v>0</v>
      </c>
      <c r="O2507">
        <v>1.266781E-2</v>
      </c>
      <c r="P2507">
        <v>-0.98896989999999996</v>
      </c>
      <c r="Q2507">
        <v>0.1480775</v>
      </c>
      <c r="R2507">
        <v>3.4595300000000002E-3</v>
      </c>
      <c r="S2507">
        <v>-3.0690919999999999</v>
      </c>
      <c r="T2507">
        <v>-0.2340237</v>
      </c>
      <c r="U2507">
        <v>-4.4250490000000003E-2</v>
      </c>
      <c r="V2507">
        <v>-9.2189070000000001E-3</v>
      </c>
      <c r="W2507">
        <v>0.15830429999999901</v>
      </c>
      <c r="X2507">
        <v>0.98734739999999999</v>
      </c>
      <c r="Y2507">
        <v>-2.696759E-2</v>
      </c>
      <c r="Z2507">
        <v>-1.9911669999999999E-3</v>
      </c>
      <c r="AA2507">
        <v>0.99963429999999998</v>
      </c>
      <c r="AB2507">
        <v>45</v>
      </c>
      <c r="AC2507">
        <v>-0.607700000000022</v>
      </c>
      <c r="AD2507">
        <v>-8.1977999999999801E-2</v>
      </c>
      <c r="AE2507">
        <v>-2.1100000000046699E-2</v>
      </c>
      <c r="AF2507">
        <v>-2.82828838931517E-2</v>
      </c>
      <c r="AG2507">
        <v>-8.1977999999999801E-2</v>
      </c>
      <c r="AH2507">
        <v>0.59654132749449595</v>
      </c>
      <c r="AI2507">
        <v>97.816028546828306</v>
      </c>
      <c r="AJ2507">
        <v>92.714442799974293</v>
      </c>
      <c r="AK2507">
        <v>0.60281163676077898</v>
      </c>
      <c r="AL2507">
        <v>80.891515169930798</v>
      </c>
      <c r="AM2507">
        <v>90.534957719980895</v>
      </c>
      <c r="AN2507">
        <v>1.00000006396576</v>
      </c>
    </row>
    <row r="2508" spans="1:40" x14ac:dyDescent="0.25">
      <c r="A2508" t="str">
        <f>"20190312164037226"</f>
        <v>20190312164037226</v>
      </c>
      <c r="B2508" t="str">
        <f>"1552380037219002"</f>
        <v>1552380037219002</v>
      </c>
      <c r="C2508" t="s">
        <v>40</v>
      </c>
      <c r="D2508">
        <v>5.155386</v>
      </c>
      <c r="E2508">
        <v>0.49734539999999999</v>
      </c>
      <c r="F2508" t="s">
        <v>48</v>
      </c>
      <c r="G2508">
        <v>-362.24310000000003</v>
      </c>
      <c r="H2508" s="1">
        <v>-3.4311800000000002E-7</v>
      </c>
      <c r="I2508">
        <v>285.09870000000001</v>
      </c>
      <c r="J2508">
        <v>-348.01199999999898</v>
      </c>
      <c r="K2508">
        <v>1.109845</v>
      </c>
      <c r="L2508">
        <v>285.33</v>
      </c>
      <c r="M2508">
        <v>-0.99987040000000005</v>
      </c>
      <c r="N2508">
        <v>0</v>
      </c>
      <c r="O2508">
        <v>1.2326739999999999E-2</v>
      </c>
      <c r="P2508">
        <v>-0.98905529999999997</v>
      </c>
      <c r="Q2508">
        <v>0.14752509999999999</v>
      </c>
      <c r="R2508">
        <v>2.4701660000000002E-3</v>
      </c>
      <c r="S2508">
        <v>-3.0683289999999999</v>
      </c>
      <c r="T2508">
        <v>-0.2318084</v>
      </c>
      <c r="U2508">
        <v>-4.7149660000000003E-2</v>
      </c>
      <c r="V2508">
        <v>-9.8699510000000001E-3</v>
      </c>
      <c r="W2508">
        <v>0.15776419999999999</v>
      </c>
      <c r="X2508">
        <v>0.98742750000000001</v>
      </c>
      <c r="Y2508">
        <v>-2.7575840000000001E-2</v>
      </c>
      <c r="Z2508">
        <v>-1.9700619999999999E-3</v>
      </c>
      <c r="AA2508">
        <v>0.9996178</v>
      </c>
      <c r="AB2508">
        <v>45</v>
      </c>
      <c r="AC2508">
        <v>-14.2311</v>
      </c>
      <c r="AD2508">
        <v>-1.109845343118</v>
      </c>
      <c r="AE2508">
        <v>-0.231299999999976</v>
      </c>
      <c r="AF2508">
        <v>-0.40425685095513503</v>
      </c>
      <c r="AG2508">
        <v>-1.109845343118</v>
      </c>
      <c r="AH2508">
        <v>14.1411830452994</v>
      </c>
      <c r="AI2508">
        <v>94.485732446507498</v>
      </c>
      <c r="AJ2508">
        <v>91.637480033566803</v>
      </c>
      <c r="AK2508">
        <v>14.1904276964384</v>
      </c>
      <c r="AL2508">
        <v>80.922853975367801</v>
      </c>
      <c r="AM2508">
        <v>90.572687821351494</v>
      </c>
      <c r="AN2508">
        <v>1.00000001324531</v>
      </c>
    </row>
    <row r="2509" spans="1:40" x14ac:dyDescent="0.25">
      <c r="A2509" t="str">
        <f>"20190312164037247"</f>
        <v>20190312164037247</v>
      </c>
      <c r="B2509" t="str">
        <f>"1552380037238522"</f>
        <v>1552380037238522</v>
      </c>
      <c r="C2509" t="s">
        <v>40</v>
      </c>
      <c r="D2509">
        <v>5.2762779999999996</v>
      </c>
      <c r="E2509">
        <v>0.49730059999999898</v>
      </c>
      <c r="F2509" t="s">
        <v>48</v>
      </c>
      <c r="G2509">
        <v>-362.72399999999999</v>
      </c>
      <c r="H2509" s="1">
        <v>-8.7228329999999998E-8</v>
      </c>
      <c r="I2509">
        <v>285.08940000000001</v>
      </c>
      <c r="J2509">
        <v>-348.43</v>
      </c>
      <c r="K2509">
        <v>1.1098319999999999</v>
      </c>
      <c r="L2509">
        <v>285.3349</v>
      </c>
      <c r="M2509">
        <v>-0.99987369999999998</v>
      </c>
      <c r="N2509">
        <v>0</v>
      </c>
      <c r="O2509">
        <v>1.2041639999999999E-2</v>
      </c>
      <c r="P2509">
        <v>-0.9891105</v>
      </c>
      <c r="Q2509">
        <v>0.14716670000000001</v>
      </c>
      <c r="R2509">
        <v>1.5609479999999999E-3</v>
      </c>
      <c r="S2509">
        <v>-3.067841</v>
      </c>
      <c r="T2509">
        <v>-0.231432</v>
      </c>
      <c r="U2509">
        <v>-5.0170899999999997E-2</v>
      </c>
      <c r="V2509">
        <v>-1.0492990000000001E-2</v>
      </c>
      <c r="W2509">
        <v>0.15741669999999999</v>
      </c>
      <c r="X2509">
        <v>0.98747649999999998</v>
      </c>
      <c r="Y2509">
        <v>-2.8276590000000001E-2</v>
      </c>
      <c r="Z2509">
        <v>-1.9720850000000002E-3</v>
      </c>
      <c r="AA2509">
        <v>0.99959819999999999</v>
      </c>
      <c r="AB2509">
        <v>45</v>
      </c>
      <c r="AC2509">
        <v>-14.293999999999899</v>
      </c>
      <c r="AD2509">
        <v>-1.1098320872283201</v>
      </c>
      <c r="AE2509">
        <v>-0.245499999999992</v>
      </c>
      <c r="AF2509">
        <v>-0.41511290312335097</v>
      </c>
      <c r="AG2509">
        <v>-1.1098320872283201</v>
      </c>
      <c r="AH2509">
        <v>14.204401610418801</v>
      </c>
      <c r="AI2509">
        <v>94.465714085613598</v>
      </c>
      <c r="AJ2509">
        <v>91.673949418542804</v>
      </c>
      <c r="AK2509">
        <v>14.2537388461501</v>
      </c>
      <c r="AL2509">
        <v>80.943015883187797</v>
      </c>
      <c r="AM2509">
        <v>90.608805794400794</v>
      </c>
      <c r="AN2509">
        <v>0.99999997916513905</v>
      </c>
    </row>
    <row r="2510" spans="1:40" x14ac:dyDescent="0.25">
      <c r="A2510" t="str">
        <f>"20190312164037269"</f>
        <v>20190312164037269</v>
      </c>
      <c r="B2510" t="str">
        <f>"1552380037259018"</f>
        <v>1552380037259018</v>
      </c>
      <c r="C2510" t="s">
        <v>40</v>
      </c>
      <c r="D2510">
        <v>5.0614499999999998</v>
      </c>
      <c r="E2510">
        <v>0.4972857</v>
      </c>
      <c r="F2510" t="s">
        <v>48</v>
      </c>
      <c r="G2510">
        <v>-363.18900000000002</v>
      </c>
      <c r="H2510" s="1">
        <v>1.6022739999999999E-7</v>
      </c>
      <c r="I2510">
        <v>285.0829</v>
      </c>
      <c r="J2510">
        <v>-348.87110000000001</v>
      </c>
      <c r="K2510">
        <v>1.10981</v>
      </c>
      <c r="L2510">
        <v>285.34010000000001</v>
      </c>
      <c r="M2510">
        <v>-0.9998766</v>
      </c>
      <c r="N2510">
        <v>0</v>
      </c>
      <c r="O2510">
        <v>1.177869E-2</v>
      </c>
      <c r="P2510">
        <v>-0.98918620000000002</v>
      </c>
      <c r="Q2510">
        <v>0.14666409999999999</v>
      </c>
      <c r="R2510">
        <v>7.0737699999999905E-4</v>
      </c>
      <c r="S2510">
        <v>-3.0674440000000001</v>
      </c>
      <c r="T2510">
        <v>-0.2306627</v>
      </c>
      <c r="U2510">
        <v>-5.2368159999999997E-2</v>
      </c>
      <c r="V2510">
        <v>-1.107821E-2</v>
      </c>
      <c r="W2510">
        <v>0.1569246</v>
      </c>
      <c r="X2510">
        <v>0.98754850000000005</v>
      </c>
      <c r="Y2510">
        <v>-2.8731840000000002E-2</v>
      </c>
      <c r="Z2510">
        <v>-1.9631380000000001E-3</v>
      </c>
      <c r="AA2510">
        <v>0.99958519999999895</v>
      </c>
      <c r="AB2510">
        <v>45</v>
      </c>
      <c r="AC2510">
        <v>-14.3179</v>
      </c>
      <c r="AD2510">
        <v>-1.1098098397725999</v>
      </c>
      <c r="AE2510">
        <v>-0.25720000000001098</v>
      </c>
      <c r="AF2510">
        <v>-0.42329498690945599</v>
      </c>
      <c r="AG2510">
        <v>-1.1098098397725999</v>
      </c>
      <c r="AH2510">
        <v>14.228418551596</v>
      </c>
      <c r="AI2510">
        <v>94.458048792817493</v>
      </c>
      <c r="AJ2510">
        <v>91.704044958962001</v>
      </c>
      <c r="AK2510">
        <v>14.277911297028</v>
      </c>
      <c r="AL2510">
        <v>80.971566602899301</v>
      </c>
      <c r="AM2510">
        <v>90.642710767465601</v>
      </c>
      <c r="AN2510">
        <v>1.0000000483371001</v>
      </c>
    </row>
    <row r="2511" spans="1:40" x14ac:dyDescent="0.25">
      <c r="A2511" t="str">
        <f>"20190312164037282"</f>
        <v>20190312164037282</v>
      </c>
      <c r="B2511" t="str">
        <f>"1552380037268778"</f>
        <v>1552380037268778</v>
      </c>
      <c r="C2511" t="s">
        <v>40</v>
      </c>
      <c r="D2511">
        <v>5.111192</v>
      </c>
      <c r="E2511">
        <v>0.49730859999999899</v>
      </c>
      <c r="F2511" t="s">
        <v>48</v>
      </c>
      <c r="G2511">
        <v>-363.6379</v>
      </c>
      <c r="H2511" s="1">
        <v>3.991178E-7</v>
      </c>
      <c r="I2511">
        <v>285.07569999999998</v>
      </c>
      <c r="J2511">
        <v>-349.12459999999999</v>
      </c>
      <c r="K2511">
        <v>1.109793</v>
      </c>
      <c r="L2511">
        <v>285.34300000000002</v>
      </c>
      <c r="M2511">
        <v>-0.99987820000000005</v>
      </c>
      <c r="N2511">
        <v>0</v>
      </c>
      <c r="O2511">
        <v>1.164634E-2</v>
      </c>
      <c r="P2511">
        <v>-0.98921289999999995</v>
      </c>
      <c r="Q2511">
        <v>0.14648599999999901</v>
      </c>
      <c r="R2511">
        <v>3.2585300000000003E-4</v>
      </c>
      <c r="S2511">
        <v>-3.0670169999999999</v>
      </c>
      <c r="T2511">
        <v>-0.23050390000000001</v>
      </c>
      <c r="U2511">
        <v>-5.4901119999999998E-2</v>
      </c>
      <c r="V2511">
        <v>-1.1321980000000001E-2</v>
      </c>
      <c r="W2511">
        <v>0.15675269999999999</v>
      </c>
      <c r="X2511">
        <v>0.98757300000000003</v>
      </c>
      <c r="Y2511">
        <v>-2.9425719999999999E-2</v>
      </c>
      <c r="Z2511">
        <v>-1.9781529999999999E-3</v>
      </c>
      <c r="AA2511">
        <v>0.99956500000000004</v>
      </c>
      <c r="AB2511">
        <v>45</v>
      </c>
      <c r="AC2511">
        <v>-14.513299999999999</v>
      </c>
      <c r="AD2511">
        <v>-1.1097926008822001</v>
      </c>
      <c r="AE2511">
        <v>-0.26730000000003401</v>
      </c>
      <c r="AF2511">
        <v>-0.43378224854096897</v>
      </c>
      <c r="AG2511">
        <v>-1.1097926008822001</v>
      </c>
      <c r="AH2511">
        <v>14.424885114702899</v>
      </c>
      <c r="AI2511">
        <v>94.397459925441296</v>
      </c>
      <c r="AJ2511">
        <v>91.722468084410593</v>
      </c>
      <c r="AK2511">
        <v>14.474015242098501</v>
      </c>
      <c r="AL2511">
        <v>80.981538845973603</v>
      </c>
      <c r="AM2511">
        <v>90.656835749435601</v>
      </c>
      <c r="AN2511">
        <v>1.0000000132586999</v>
      </c>
    </row>
    <row r="2512" spans="1:40" x14ac:dyDescent="0.25">
      <c r="A2512" t="str">
        <f>"20190312164037295"</f>
        <v>20190312164037295</v>
      </c>
      <c r="B2512" t="str">
        <f>"1552380037288299"</f>
        <v>1552380037288299</v>
      </c>
      <c r="C2512" t="s">
        <v>40</v>
      </c>
      <c r="D2512">
        <v>5.4373760000000004</v>
      </c>
      <c r="E2512">
        <v>0.4973495</v>
      </c>
      <c r="F2512" t="s">
        <v>48</v>
      </c>
      <c r="G2512">
        <v>-363.79469999999998</v>
      </c>
      <c r="H2512" s="1">
        <v>4.825844E-7</v>
      </c>
      <c r="I2512">
        <v>285.07549999999998</v>
      </c>
      <c r="J2512">
        <v>-349.41019999999997</v>
      </c>
      <c r="K2512">
        <v>1.109766</v>
      </c>
      <c r="L2512">
        <v>285.34629999999999</v>
      </c>
      <c r="M2512">
        <v>-0.99987950000000003</v>
      </c>
      <c r="N2512">
        <v>0</v>
      </c>
      <c r="O2512">
        <v>1.1517889999999999E-2</v>
      </c>
      <c r="P2512">
        <v>-0.98924570000000001</v>
      </c>
      <c r="Q2512">
        <v>0.14626359999999999</v>
      </c>
      <c r="R2512">
        <v>-3.4723430000000002E-4</v>
      </c>
      <c r="S2512">
        <v>-3.0671080000000002</v>
      </c>
      <c r="T2512">
        <v>-0.2320255</v>
      </c>
      <c r="U2512">
        <v>-5.5908199999999998E-2</v>
      </c>
      <c r="V2512">
        <v>-1.1858749999999999E-2</v>
      </c>
      <c r="W2512">
        <v>0.1565375</v>
      </c>
      <c r="X2512">
        <v>0.98760079999999995</v>
      </c>
      <c r="Y2512">
        <v>-2.9623150000000001E-2</v>
      </c>
      <c r="Z2512">
        <v>-1.988863E-3</v>
      </c>
      <c r="AA2512">
        <v>0.99955919999999998</v>
      </c>
      <c r="AB2512">
        <v>45</v>
      </c>
      <c r="AC2512">
        <v>-14.384499999999999</v>
      </c>
      <c r="AD2512">
        <v>-1.1097655174156</v>
      </c>
      <c r="AE2512">
        <v>-0.27080000000000798</v>
      </c>
      <c r="AF2512">
        <v>-0.43388844948620803</v>
      </c>
      <c r="AG2512">
        <v>-1.1097655174156</v>
      </c>
      <c r="AH2512">
        <v>14.295368668787599</v>
      </c>
      <c r="AI2512">
        <v>94.436997457030898</v>
      </c>
      <c r="AJ2512">
        <v>91.738489426518598</v>
      </c>
      <c r="AK2512">
        <v>14.3449435016941</v>
      </c>
      <c r="AL2512">
        <v>80.994022708723307</v>
      </c>
      <c r="AM2512">
        <v>90.687953748829599</v>
      </c>
      <c r="AN2512">
        <v>0.99999997950922603</v>
      </c>
    </row>
    <row r="2513" spans="1:40" x14ac:dyDescent="0.25">
      <c r="A2513" t="str">
        <f>"20190312164037307"</f>
        <v>20190312164037307</v>
      </c>
      <c r="B2513" t="str">
        <f>"1552380037299036"</f>
        <v>1552380037299036</v>
      </c>
      <c r="C2513" t="s">
        <v>40</v>
      </c>
      <c r="D2513">
        <v>5.1439529999999998</v>
      </c>
      <c r="E2513">
        <v>0.49736960000000002</v>
      </c>
      <c r="F2513" t="s">
        <v>48</v>
      </c>
      <c r="G2513">
        <v>-364.05470000000003</v>
      </c>
      <c r="H2513" s="1">
        <v>6.2094330000000001E-7</v>
      </c>
      <c r="I2513">
        <v>285.07170000000002</v>
      </c>
      <c r="J2513">
        <v>-349.64330000000001</v>
      </c>
      <c r="K2513">
        <v>1.1097429999999999</v>
      </c>
      <c r="L2513">
        <v>285.34890000000001</v>
      </c>
      <c r="M2513">
        <v>-0.99988049999999995</v>
      </c>
      <c r="N2513">
        <v>0</v>
      </c>
      <c r="O2513">
        <v>1.1432980000000001E-2</v>
      </c>
      <c r="P2513">
        <v>-0.98926789999999998</v>
      </c>
      <c r="Q2513">
        <v>0.1461114</v>
      </c>
      <c r="R2513">
        <v>-7.3650460000000001E-4</v>
      </c>
      <c r="S2513">
        <v>-3.0669559999999998</v>
      </c>
      <c r="T2513">
        <v>-0.2324146</v>
      </c>
      <c r="U2513">
        <v>-5.7495119999999997E-2</v>
      </c>
      <c r="V2513">
        <v>-1.2156200000000001E-2</v>
      </c>
      <c r="W2513">
        <v>0.156391</v>
      </c>
      <c r="X2513">
        <v>0.98762039999999995</v>
      </c>
      <c r="Y2513">
        <v>-3.00548E-2</v>
      </c>
      <c r="Z2513">
        <v>-2.0021840000000002E-3</v>
      </c>
      <c r="AA2513">
        <v>0.99954620000000005</v>
      </c>
      <c r="AB2513">
        <v>45</v>
      </c>
      <c r="AC2513">
        <v>-14.4114</v>
      </c>
      <c r="AD2513">
        <v>-1.1097423790567</v>
      </c>
      <c r="AE2513">
        <v>-0.27719999999999301</v>
      </c>
      <c r="AF2513">
        <v>-0.43935179263799201</v>
      </c>
      <c r="AG2513">
        <v>-1.1097423790567</v>
      </c>
      <c r="AH2513">
        <v>14.3223926541043</v>
      </c>
      <c r="AI2513">
        <v>94.428523351265198</v>
      </c>
      <c r="AJ2513">
        <v>91.757046639985106</v>
      </c>
      <c r="AK2513">
        <v>14.3720384595892</v>
      </c>
      <c r="AL2513">
        <v>81.002521272868407</v>
      </c>
      <c r="AM2513">
        <v>90.705193801868404</v>
      </c>
      <c r="AN2513">
        <v>0.99999998628779896</v>
      </c>
    </row>
    <row r="2514" spans="1:40" x14ac:dyDescent="0.25">
      <c r="A2514" t="str">
        <f>"20190312164037319"</f>
        <v>20190312164037319</v>
      </c>
      <c r="B2514" t="str">
        <f>"1552380037308795"</f>
        <v>1552380037308795</v>
      </c>
      <c r="C2514" t="s">
        <v>40</v>
      </c>
      <c r="D2514">
        <v>5.1060749999999997</v>
      </c>
      <c r="E2514">
        <v>0.49740259999999997</v>
      </c>
      <c r="F2514" t="s">
        <v>48</v>
      </c>
      <c r="G2514">
        <v>-364.2244</v>
      </c>
      <c r="H2514" s="1">
        <v>7.1121929999999999E-7</v>
      </c>
      <c r="I2514">
        <v>285.07310000000001</v>
      </c>
      <c r="J2514">
        <v>-349.8913</v>
      </c>
      <c r="K2514">
        <v>1.10972</v>
      </c>
      <c r="L2514">
        <v>285.35169999999999</v>
      </c>
      <c r="M2514">
        <v>-0.99988129999999997</v>
      </c>
      <c r="N2514">
        <v>0</v>
      </c>
      <c r="O2514">
        <v>1.135067E-2</v>
      </c>
      <c r="P2514">
        <v>-0.98930940000000001</v>
      </c>
      <c r="Q2514">
        <v>0.14582629999999999</v>
      </c>
      <c r="R2514">
        <v>-1.3098459999999999E-3</v>
      </c>
      <c r="S2514">
        <v>-3.066986</v>
      </c>
      <c r="T2514">
        <v>-0.23342389999999999</v>
      </c>
      <c r="U2514">
        <v>-5.8013919999999997E-2</v>
      </c>
      <c r="V2514">
        <v>-1.263946E-2</v>
      </c>
      <c r="W2514">
        <v>0.15611220000000001</v>
      </c>
      <c r="X2514">
        <v>0.98765840000000005</v>
      </c>
      <c r="Y2514">
        <v>-3.0140299999999998E-2</v>
      </c>
      <c r="Z2514">
        <v>-2.007825E-3</v>
      </c>
      <c r="AA2514">
        <v>0.99954370000000003</v>
      </c>
      <c r="AB2514">
        <v>45</v>
      </c>
      <c r="AC2514">
        <v>-14.3331</v>
      </c>
      <c r="AD2514">
        <v>-1.1097192887806999</v>
      </c>
      <c r="AE2514">
        <v>-0.27859999999998297</v>
      </c>
      <c r="AF2514">
        <v>-0.43865270073141799</v>
      </c>
      <c r="AG2514">
        <v>-1.1097192887806999</v>
      </c>
      <c r="AH2514">
        <v>14.2436640500765</v>
      </c>
      <c r="AI2514">
        <v>94.4527941427353</v>
      </c>
      <c r="AJ2514">
        <v>91.763942716558901</v>
      </c>
      <c r="AK2514">
        <v>14.293560041612899</v>
      </c>
      <c r="AL2514">
        <v>81.018693607469203</v>
      </c>
      <c r="AM2514">
        <v>90.733197007150395</v>
      </c>
      <c r="AN2514">
        <v>0.99999994501424405</v>
      </c>
    </row>
    <row r="2515" spans="1:40" x14ac:dyDescent="0.25">
      <c r="A2515" t="str">
        <f>"20190312164037331"</f>
        <v>20190312164037331</v>
      </c>
      <c r="B2515" t="str">
        <f>"1552380037318555"</f>
        <v>1552380037318555</v>
      </c>
      <c r="C2515" t="s">
        <v>40</v>
      </c>
      <c r="D2515">
        <v>5.2045669999999999</v>
      </c>
      <c r="E2515">
        <v>0.49753140000000001</v>
      </c>
      <c r="F2515" t="s">
        <v>42</v>
      </c>
      <c r="G2515">
        <v>-350.99029999999999</v>
      </c>
      <c r="H2515">
        <v>1.0256529999999999</v>
      </c>
      <c r="I2515">
        <v>285.33069999999998</v>
      </c>
      <c r="J2515">
        <v>-350.13499999999999</v>
      </c>
      <c r="K2515">
        <v>1.1096980000000001</v>
      </c>
      <c r="L2515">
        <v>285.3544</v>
      </c>
      <c r="M2515">
        <v>-0.99988220000000005</v>
      </c>
      <c r="N2515">
        <v>0</v>
      </c>
      <c r="O2515">
        <v>1.1288609999999999E-2</v>
      </c>
      <c r="P2515">
        <v>-0.98932430000000005</v>
      </c>
      <c r="Q2515">
        <v>0.14572360000000001</v>
      </c>
      <c r="R2515">
        <v>-1.4561439999999999E-3</v>
      </c>
      <c r="S2515">
        <v>-3.0669559999999998</v>
      </c>
      <c r="T2515">
        <v>-0.2347562</v>
      </c>
      <c r="U2515">
        <v>-5.9570310000000001E-2</v>
      </c>
      <c r="V2515">
        <v>-1.2715479999999999E-2</v>
      </c>
      <c r="W2515">
        <v>0.15601570000000001</v>
      </c>
      <c r="X2515">
        <v>0.98767269999999896</v>
      </c>
      <c r="Y2515">
        <v>-3.0583019999999999E-2</v>
      </c>
      <c r="Z2515">
        <v>-2.0314360000000002E-3</v>
      </c>
      <c r="AA2515">
        <v>0.99953009999999998</v>
      </c>
      <c r="AB2515">
        <v>45</v>
      </c>
      <c r="AC2515">
        <v>-0.85529999999999895</v>
      </c>
      <c r="AD2515">
        <v>-8.4044999999999703E-2</v>
      </c>
      <c r="AE2515">
        <v>-2.3700000000019299E-2</v>
      </c>
      <c r="AF2515">
        <v>-3.30354223664771E-2</v>
      </c>
      <c r="AG2515">
        <v>-8.4044999999999703E-2</v>
      </c>
      <c r="AH2515">
        <v>0.84680763655475699</v>
      </c>
      <c r="AI2515">
        <v>95.663719365656107</v>
      </c>
      <c r="AJ2515">
        <v>92.2340740077356</v>
      </c>
      <c r="AK2515">
        <v>0.85160910897158903</v>
      </c>
      <c r="AL2515">
        <v>81.024291484584595</v>
      </c>
      <c r="AM2515">
        <v>90.737595654688405</v>
      </c>
      <c r="AN2515">
        <v>0.999999972201704</v>
      </c>
    </row>
    <row r="2516" spans="1:40" x14ac:dyDescent="0.25">
      <c r="A2516" t="str">
        <f>"20190312164037347"</f>
        <v>20190312164037347</v>
      </c>
      <c r="B2516" t="str">
        <f>"1552380037339054"</f>
        <v>1552380037339054</v>
      </c>
      <c r="C2516" t="s">
        <v>40</v>
      </c>
      <c r="D2516">
        <v>5.0973040000000003</v>
      </c>
      <c r="E2516">
        <v>0.49750260000000002</v>
      </c>
      <c r="F2516" t="s">
        <v>48</v>
      </c>
      <c r="G2516">
        <v>-364.58449999999999</v>
      </c>
      <c r="H2516" s="1">
        <v>9.0284909999999998E-7</v>
      </c>
      <c r="I2516">
        <v>285.07569999999998</v>
      </c>
      <c r="J2516">
        <v>-350.45850000000002</v>
      </c>
      <c r="K2516">
        <v>1.1096649999999999</v>
      </c>
      <c r="L2516">
        <v>285.358</v>
      </c>
      <c r="M2516">
        <v>-0.99988279999999996</v>
      </c>
      <c r="N2516">
        <v>0</v>
      </c>
      <c r="O2516">
        <v>1.1220900000000001E-2</v>
      </c>
      <c r="P2516">
        <v>-0.98937079999999999</v>
      </c>
      <c r="Q2516">
        <v>0.1454</v>
      </c>
      <c r="R2516">
        <v>-2.1411529999999998E-3</v>
      </c>
      <c r="S2516">
        <v>-3.066986</v>
      </c>
      <c r="T2516">
        <v>-0.23554020000000001</v>
      </c>
      <c r="U2516">
        <v>-5.9173580000000003E-2</v>
      </c>
      <c r="V2516">
        <v>-1.332181E-2</v>
      </c>
      <c r="W2516">
        <v>0.15570010000000001</v>
      </c>
      <c r="X2516">
        <v>0.98771450000000005</v>
      </c>
      <c r="Y2516">
        <v>-3.0385869999999999E-2</v>
      </c>
      <c r="Z2516">
        <v>-2.0254309999999998E-3</v>
      </c>
      <c r="AA2516">
        <v>0.99953619999999999</v>
      </c>
      <c r="AB2516">
        <v>45</v>
      </c>
      <c r="AC2516">
        <v>-14.1259999999999</v>
      </c>
      <c r="AD2516">
        <v>-1.1096640971509</v>
      </c>
      <c r="AE2516">
        <v>-0.28230000000001998</v>
      </c>
      <c r="AF2516">
        <v>-0.43809492004905798</v>
      </c>
      <c r="AG2516">
        <v>-1.1096640971509</v>
      </c>
      <c r="AH2516">
        <v>14.035367246145499</v>
      </c>
      <c r="AI2516">
        <v>94.518323756765596</v>
      </c>
      <c r="AJ2516">
        <v>91.787829443575603</v>
      </c>
      <c r="AK2516">
        <v>14.0859793873786</v>
      </c>
      <c r="AL2516">
        <v>81.042597658701496</v>
      </c>
      <c r="AM2516">
        <v>90.772730591491495</v>
      </c>
      <c r="AN2516">
        <v>0.99999996263596702</v>
      </c>
    </row>
    <row r="2517" spans="1:40" x14ac:dyDescent="0.25">
      <c r="A2517" t="str">
        <f>"20190312164037360"</f>
        <v>20190312164037360</v>
      </c>
      <c r="B2517" t="str">
        <f>"1552380037348811"</f>
        <v>1552380037348811</v>
      </c>
      <c r="C2517" t="s">
        <v>40</v>
      </c>
      <c r="D2517">
        <v>5.2882720000000001</v>
      </c>
      <c r="E2517">
        <v>0.49760090000000001</v>
      </c>
      <c r="F2517" t="s">
        <v>48</v>
      </c>
      <c r="G2517">
        <v>-364.80739999999997</v>
      </c>
      <c r="H2517" s="1">
        <v>1.021473E-6</v>
      </c>
      <c r="I2517">
        <v>285.0675</v>
      </c>
      <c r="J2517">
        <v>-350.709</v>
      </c>
      <c r="K2517">
        <v>1.1096360000000001</v>
      </c>
      <c r="L2517">
        <v>285.36079999999998</v>
      </c>
      <c r="M2517">
        <v>-0.99988319999999997</v>
      </c>
      <c r="N2517">
        <v>0</v>
      </c>
      <c r="O2517">
        <v>1.117807E-2</v>
      </c>
      <c r="P2517">
        <v>-0.98938950000000003</v>
      </c>
      <c r="Q2517">
        <v>0.1452725</v>
      </c>
      <c r="R2517">
        <v>-2.112268E-3</v>
      </c>
      <c r="S2517">
        <v>-3.0669559999999998</v>
      </c>
      <c r="T2517">
        <v>-0.23718120000000001</v>
      </c>
      <c r="U2517">
        <v>-6.2103270000000002E-2</v>
      </c>
      <c r="V2517">
        <v>-1.324294E-2</v>
      </c>
      <c r="W2517">
        <v>0.15557860000000001</v>
      </c>
      <c r="X2517">
        <v>0.98773469999999997</v>
      </c>
      <c r="Y2517">
        <v>-3.1293349999999998E-2</v>
      </c>
      <c r="Z2517">
        <v>-2.071229E-3</v>
      </c>
      <c r="AA2517">
        <v>0.99950810000000001</v>
      </c>
      <c r="AB2517">
        <v>45</v>
      </c>
      <c r="AC2517">
        <v>-14.0983999999999</v>
      </c>
      <c r="AD2517">
        <v>-1.1096349785269899</v>
      </c>
      <c r="AE2517">
        <v>-0.29329999999998702</v>
      </c>
      <c r="AF2517">
        <v>-0.448108437993058</v>
      </c>
      <c r="AG2517">
        <v>-1.1096349785269899</v>
      </c>
      <c r="AH2517">
        <v>14.007505554252299</v>
      </c>
      <c r="AI2517">
        <v>94.527044735615704</v>
      </c>
      <c r="AJ2517">
        <v>91.832301193668897</v>
      </c>
      <c r="AK2517">
        <v>14.0585313176797</v>
      </c>
      <c r="AL2517">
        <v>81.049644923497695</v>
      </c>
      <c r="AM2517">
        <v>90.768140585304394</v>
      </c>
      <c r="AN2517">
        <v>0.99999995691094501</v>
      </c>
    </row>
    <row r="2518" spans="1:40" x14ac:dyDescent="0.25">
      <c r="A2518" t="str">
        <f>"20190312164037372"</f>
        <v>20190312164037372</v>
      </c>
      <c r="B2518" t="str">
        <f>"1552380037368331"</f>
        <v>1552380037368331</v>
      </c>
      <c r="C2518" t="s">
        <v>40</v>
      </c>
      <c r="D2518">
        <v>5.2357740000000002</v>
      </c>
      <c r="E2518">
        <v>0.4978474</v>
      </c>
      <c r="F2518" t="s">
        <v>42</v>
      </c>
      <c r="G2518">
        <v>-351.80149999999998</v>
      </c>
      <c r="H2518">
        <v>1.024967</v>
      </c>
      <c r="I2518">
        <v>285.33920000000001</v>
      </c>
      <c r="J2518">
        <v>-350.95589999999999</v>
      </c>
      <c r="K2518">
        <v>1.109615</v>
      </c>
      <c r="L2518">
        <v>285.36360000000002</v>
      </c>
      <c r="M2518">
        <v>-0.99988339999999998</v>
      </c>
      <c r="N2518">
        <v>0</v>
      </c>
      <c r="O2518">
        <v>1.1148299999999899E-2</v>
      </c>
      <c r="P2518">
        <v>-0.98940439999999996</v>
      </c>
      <c r="Q2518">
        <v>0.1451664</v>
      </c>
      <c r="R2518">
        <v>-2.3874370000000001E-3</v>
      </c>
      <c r="S2518">
        <v>-3.0669559999999998</v>
      </c>
      <c r="T2518">
        <v>-0.23785890000000001</v>
      </c>
      <c r="U2518">
        <v>-6.14624E-2</v>
      </c>
      <c r="V2518">
        <v>-1.348194E-2</v>
      </c>
      <c r="W2518">
        <v>0.1554787</v>
      </c>
      <c r="X2518">
        <v>0.98774729999999999</v>
      </c>
      <c r="Y2518">
        <v>-3.1054910000000002E-2</v>
      </c>
      <c r="Z2518">
        <v>-2.0655980000000001E-3</v>
      </c>
      <c r="AA2518">
        <v>0.9995155</v>
      </c>
      <c r="AB2518">
        <v>45</v>
      </c>
      <c r="AC2518">
        <v>-0.84559999999999003</v>
      </c>
      <c r="AD2518">
        <v>-8.4648000000000001E-2</v>
      </c>
      <c r="AE2518">
        <v>-2.4400000000014101E-2</v>
      </c>
      <c r="AF2518">
        <v>-3.34906743778089E-2</v>
      </c>
      <c r="AG2518">
        <v>-8.4648000000000001E-2</v>
      </c>
      <c r="AH2518">
        <v>0.83689600078632598</v>
      </c>
      <c r="AI2518">
        <v>95.770962509198299</v>
      </c>
      <c r="AJ2518">
        <v>92.291624012230997</v>
      </c>
      <c r="AK2518">
        <v>0.84183242115425005</v>
      </c>
      <c r="AL2518">
        <v>81.055440199911203</v>
      </c>
      <c r="AM2518">
        <v>90.781991808357503</v>
      </c>
      <c r="AN2518">
        <v>1.00000005875857</v>
      </c>
    </row>
    <row r="2519" spans="1:40" x14ac:dyDescent="0.25">
      <c r="A2519" t="str">
        <f>"20190312164037385"</f>
        <v>20190312164037385</v>
      </c>
      <c r="B2519" t="str">
        <f>"1552380037379067"</f>
        <v>1552380037379067</v>
      </c>
      <c r="C2519" t="s">
        <v>40</v>
      </c>
      <c r="D2519">
        <v>5.078398</v>
      </c>
      <c r="E2519">
        <v>0.4978456</v>
      </c>
      <c r="F2519" t="s">
        <v>48</v>
      </c>
      <c r="G2519">
        <v>-365.20069999999998</v>
      </c>
      <c r="H2519" s="1">
        <v>1.230771E-6</v>
      </c>
      <c r="I2519">
        <v>285.08240000000001</v>
      </c>
      <c r="J2519">
        <v>-351.23399999999998</v>
      </c>
      <c r="K2519">
        <v>1.109594</v>
      </c>
      <c r="L2519">
        <v>285.36669999999998</v>
      </c>
      <c r="M2519">
        <v>-0.99988379999999999</v>
      </c>
      <c r="N2519">
        <v>0</v>
      </c>
      <c r="O2519">
        <v>1.112134E-2</v>
      </c>
      <c r="P2519">
        <v>-0.98941480000000004</v>
      </c>
      <c r="Q2519">
        <v>0.1450987</v>
      </c>
      <c r="R2519">
        <v>-2.2669420000000001E-3</v>
      </c>
      <c r="S2519">
        <v>-3.0670169999999999</v>
      </c>
      <c r="T2519">
        <v>-0.23890839999999999</v>
      </c>
      <c r="U2519">
        <v>-6.0546879999999997E-2</v>
      </c>
      <c r="V2519">
        <v>-1.332712E-2</v>
      </c>
      <c r="W2519">
        <v>0.155417</v>
      </c>
      <c r="X2519">
        <v>0.9877591</v>
      </c>
      <c r="Y2519">
        <v>-3.072927E-2</v>
      </c>
      <c r="Z2519">
        <v>-2.0598890000000001E-3</v>
      </c>
      <c r="AA2519">
        <v>0.99952560000000001</v>
      </c>
      <c r="AB2519">
        <v>45</v>
      </c>
      <c r="AC2519">
        <v>-13.9666999999999</v>
      </c>
      <c r="AD2519">
        <v>-1.109592769229</v>
      </c>
      <c r="AE2519">
        <v>-0.28429999999997302</v>
      </c>
      <c r="AF2519">
        <v>-0.43686311395385702</v>
      </c>
      <c r="AG2519">
        <v>-1.109592769229</v>
      </c>
      <c r="AH2519">
        <v>13.875136110656999</v>
      </c>
      <c r="AI2519">
        <v>94.569950665047102</v>
      </c>
      <c r="AJ2519">
        <v>91.803380253436899</v>
      </c>
      <c r="AK2519">
        <v>13.926286209292</v>
      </c>
      <c r="AL2519">
        <v>81.059018752458599</v>
      </c>
      <c r="AM2519">
        <v>90.773003659723599</v>
      </c>
      <c r="AN2519">
        <v>1.00000004782465</v>
      </c>
    </row>
    <row r="2520" spans="1:40" x14ac:dyDescent="0.25">
      <c r="A2520" t="str">
        <f>"20190312164037405"</f>
        <v>20190312164037405</v>
      </c>
      <c r="B2520" t="str">
        <f>"1552380037398588"</f>
        <v>1552380037398588</v>
      </c>
      <c r="C2520" t="s">
        <v>40</v>
      </c>
      <c r="D2520">
        <v>5.0954819999999996</v>
      </c>
      <c r="E2520">
        <v>0.497923</v>
      </c>
      <c r="F2520" t="s">
        <v>48</v>
      </c>
      <c r="G2520">
        <v>-365.42880000000002</v>
      </c>
      <c r="H2520" s="1">
        <v>1.3521520000000001E-6</v>
      </c>
      <c r="I2520">
        <v>285.08690000000001</v>
      </c>
      <c r="J2520">
        <v>-351.61649999999997</v>
      </c>
      <c r="K2520">
        <v>1.1095740000000001</v>
      </c>
      <c r="L2520">
        <v>285.37090000000001</v>
      </c>
      <c r="M2520">
        <v>-0.99988379999999999</v>
      </c>
      <c r="N2520">
        <v>0</v>
      </c>
      <c r="O2520">
        <v>1.109625E-2</v>
      </c>
      <c r="P2520">
        <v>-0.98951440000000002</v>
      </c>
      <c r="Q2520">
        <v>0.14441999999999999</v>
      </c>
      <c r="R2520">
        <v>-2.1163129999999999E-3</v>
      </c>
      <c r="S2520">
        <v>-3.0670470000000001</v>
      </c>
      <c r="T2520">
        <v>-0.2397484</v>
      </c>
      <c r="U2520">
        <v>-6.045532E-2</v>
      </c>
      <c r="V2520">
        <v>-1.3144360000000001E-2</v>
      </c>
      <c r="W2520">
        <v>0.15474760000000001</v>
      </c>
      <c r="X2520">
        <v>0.98786660000000004</v>
      </c>
      <c r="Y2520">
        <v>-3.0673530000000001E-2</v>
      </c>
      <c r="Z2520">
        <v>-2.0629569999999998E-3</v>
      </c>
      <c r="AA2520">
        <v>0.99952730000000001</v>
      </c>
      <c r="AB2520">
        <v>45</v>
      </c>
      <c r="AC2520">
        <v>-13.8123</v>
      </c>
      <c r="AD2520">
        <v>-1.1095726478479999</v>
      </c>
      <c r="AE2520">
        <v>-0.28399999999999098</v>
      </c>
      <c r="AF2520">
        <v>-0.43445316446791998</v>
      </c>
      <c r="AG2520">
        <v>-1.1095726478479999</v>
      </c>
      <c r="AH2520">
        <v>13.7197979690678</v>
      </c>
      <c r="AI2520">
        <v>94.621359935281305</v>
      </c>
      <c r="AJ2520">
        <v>91.813730607250505</v>
      </c>
      <c r="AK2520">
        <v>13.7714471761324</v>
      </c>
      <c r="AL2520">
        <v>81.097841880650606</v>
      </c>
      <c r="AM2520">
        <v>90.762321463344193</v>
      </c>
      <c r="AN2520">
        <v>1.0000000066505601</v>
      </c>
    </row>
    <row r="2521" spans="1:40" x14ac:dyDescent="0.25">
      <c r="A2521" t="str">
        <f>"20190312164037427"</f>
        <v>20190312164037427</v>
      </c>
      <c r="B2521" t="str">
        <f>"1552380037419082"</f>
        <v>1552380037419082</v>
      </c>
      <c r="C2521" t="s">
        <v>40</v>
      </c>
      <c r="D2521">
        <v>5.2810160000000002</v>
      </c>
      <c r="E2521">
        <v>0.4981564</v>
      </c>
      <c r="F2521" t="s">
        <v>48</v>
      </c>
      <c r="G2521">
        <v>-365.61619999999999</v>
      </c>
      <c r="H2521" s="1">
        <v>1.4519E-6</v>
      </c>
      <c r="I2521">
        <v>285.09769999999997</v>
      </c>
      <c r="J2521">
        <v>-352.07769999999999</v>
      </c>
      <c r="K2521">
        <v>1.1095489999999999</v>
      </c>
      <c r="L2521">
        <v>285.37599999999998</v>
      </c>
      <c r="M2521">
        <v>-0.99988410000000005</v>
      </c>
      <c r="N2521">
        <v>0</v>
      </c>
      <c r="O2521">
        <v>1.107927E-2</v>
      </c>
      <c r="P2521">
        <v>-0.9896026</v>
      </c>
      <c r="Q2521">
        <v>0.14381759999999999</v>
      </c>
      <c r="R2521">
        <v>-1.8093720000000001E-3</v>
      </c>
      <c r="S2521">
        <v>-3.0671390000000001</v>
      </c>
      <c r="T2521">
        <v>-0.24309169999999999</v>
      </c>
      <c r="U2521">
        <v>-5.9875490000000003E-2</v>
      </c>
      <c r="V2521">
        <v>-1.2813929999999999E-2</v>
      </c>
      <c r="W2521">
        <v>0.154156399999999</v>
      </c>
      <c r="X2521">
        <v>0.98796340000000005</v>
      </c>
      <c r="Y2521">
        <v>-3.046422E-2</v>
      </c>
      <c r="Z2521">
        <v>-2.0819530000000001E-3</v>
      </c>
      <c r="AA2521">
        <v>0.99953369999999997</v>
      </c>
      <c r="AB2521">
        <v>45</v>
      </c>
      <c r="AC2521">
        <v>-13.538500000000001</v>
      </c>
      <c r="AD2521">
        <v>-1.1095475480999999</v>
      </c>
      <c r="AE2521">
        <v>-0.27830000000000099</v>
      </c>
      <c r="AF2521">
        <v>-0.42543153725619598</v>
      </c>
      <c r="AG2521">
        <v>-1.1095475480999999</v>
      </c>
      <c r="AH2521">
        <v>13.444323167541199</v>
      </c>
      <c r="AI2521">
        <v>94.715526134968997</v>
      </c>
      <c r="AJ2521">
        <v>91.812460181719601</v>
      </c>
      <c r="AK2521">
        <v>13.4967371311614</v>
      </c>
      <c r="AL2521">
        <v>81.132126815077001</v>
      </c>
      <c r="AM2521">
        <v>90.743087186704599</v>
      </c>
      <c r="AN2521">
        <v>1.00000003610128</v>
      </c>
    </row>
    <row r="2522" spans="1:40" x14ac:dyDescent="0.25">
      <c r="A2522" t="str">
        <f>"20190312164037448"</f>
        <v>20190312164037448</v>
      </c>
      <c r="B2522" t="str">
        <f>"1552380037438602"</f>
        <v>1552380037438602</v>
      </c>
      <c r="C2522" t="s">
        <v>40</v>
      </c>
      <c r="D2522">
        <v>5.249123</v>
      </c>
      <c r="E2522">
        <v>0.4983052</v>
      </c>
      <c r="F2522" t="s">
        <v>48</v>
      </c>
      <c r="G2522">
        <v>-365.98289999999997</v>
      </c>
      <c r="H2522" s="1">
        <v>1.647014E-6</v>
      </c>
      <c r="I2522">
        <v>285.11869999999999</v>
      </c>
      <c r="J2522">
        <v>-352.50199999999899</v>
      </c>
      <c r="K2522">
        <v>1.109529</v>
      </c>
      <c r="L2522">
        <v>285.38069999999999</v>
      </c>
      <c r="M2522">
        <v>-0.99988390000000005</v>
      </c>
      <c r="N2522">
        <v>0</v>
      </c>
      <c r="O2522">
        <v>1.1073090000000001E-2</v>
      </c>
      <c r="P2522">
        <v>-0.9896992</v>
      </c>
      <c r="Q2522">
        <v>0.14315820000000001</v>
      </c>
      <c r="R2522">
        <v>-9.9832960000000004E-4</v>
      </c>
      <c r="S2522">
        <v>-3.066986</v>
      </c>
      <c r="T2522">
        <v>-0.24472559999999999</v>
      </c>
      <c r="U2522">
        <v>-5.6762699999999902E-2</v>
      </c>
      <c r="V2522">
        <v>-1.1990260000000001E-2</v>
      </c>
      <c r="W2522">
        <v>0.15350610000000001</v>
      </c>
      <c r="X2522">
        <v>0.98807500000000004</v>
      </c>
      <c r="Y2522">
        <v>-2.9446389999999999E-2</v>
      </c>
      <c r="Z2522">
        <v>-2.0549919999999998E-3</v>
      </c>
      <c r="AA2522">
        <v>0.99956420000000001</v>
      </c>
      <c r="AB2522">
        <v>45</v>
      </c>
      <c r="AC2522">
        <v>-13.4809</v>
      </c>
      <c r="AD2522">
        <v>-1.1095273529859999</v>
      </c>
      <c r="AE2522">
        <v>-0.26200000000000001</v>
      </c>
      <c r="AF2522">
        <v>-0.40850123498868202</v>
      </c>
      <c r="AG2522">
        <v>-1.1095273529859999</v>
      </c>
      <c r="AH2522">
        <v>13.3865274565481</v>
      </c>
      <c r="AI2522">
        <v>94.735872120855007</v>
      </c>
      <c r="AJ2522">
        <v>91.747886870267607</v>
      </c>
      <c r="AK2522">
        <v>13.438639869827901</v>
      </c>
      <c r="AL2522">
        <v>81.169835196561493</v>
      </c>
      <c r="AM2522">
        <v>90.695248412020305</v>
      </c>
      <c r="AN2522">
        <v>1.00000004734853</v>
      </c>
    </row>
    <row r="2523" spans="1:40" x14ac:dyDescent="0.25">
      <c r="A2523" t="str">
        <f>"20190312164037461"</f>
        <v>20190312164037461</v>
      </c>
      <c r="B2523" t="str">
        <f>"1552380037448363"</f>
        <v>1552380037448363</v>
      </c>
      <c r="C2523" t="s">
        <v>40</v>
      </c>
      <c r="D2523">
        <v>5.0974849999999998</v>
      </c>
      <c r="E2523">
        <v>0.49831009999999998</v>
      </c>
      <c r="F2523" t="s">
        <v>48</v>
      </c>
      <c r="G2523">
        <v>-366.2543</v>
      </c>
      <c r="H2523" s="1">
        <v>1.7914349999999901E-6</v>
      </c>
      <c r="I2523">
        <v>285.1413</v>
      </c>
      <c r="J2523">
        <v>-352.76069999999999</v>
      </c>
      <c r="K2523">
        <v>1.1095159999999999</v>
      </c>
      <c r="L2523">
        <v>285.3836</v>
      </c>
      <c r="M2523">
        <v>-0.99988390000000005</v>
      </c>
      <c r="N2523">
        <v>0</v>
      </c>
      <c r="O2523">
        <v>1.1073019999999999E-2</v>
      </c>
      <c r="P2523">
        <v>-0.98975780000000002</v>
      </c>
      <c r="Q2523">
        <v>0.14275189999999999</v>
      </c>
      <c r="R2523">
        <v>-1.142632E-3</v>
      </c>
      <c r="S2523">
        <v>-3.0669249999999999</v>
      </c>
      <c r="T2523">
        <v>-0.2474384</v>
      </c>
      <c r="U2523">
        <v>-5.3405759999999997E-2</v>
      </c>
      <c r="V2523">
        <v>-1.213096E-2</v>
      </c>
      <c r="W2523">
        <v>0.15310560000000001</v>
      </c>
      <c r="X2523">
        <v>0.9881354</v>
      </c>
      <c r="Y2523">
        <v>-2.835362E-2</v>
      </c>
      <c r="Z2523">
        <v>-2.0337469999999998E-3</v>
      </c>
      <c r="AA2523">
        <v>0.99959589999999998</v>
      </c>
      <c r="AB2523">
        <v>46</v>
      </c>
      <c r="AC2523">
        <v>-13.493600000000001</v>
      </c>
      <c r="AD2523">
        <v>-1.109514208565</v>
      </c>
      <c r="AE2523">
        <v>-0.24229999999999999</v>
      </c>
      <c r="AF2523">
        <v>-0.38907852613660399</v>
      </c>
      <c r="AG2523">
        <v>-1.109514208565</v>
      </c>
      <c r="AH2523">
        <v>13.3995247025693</v>
      </c>
      <c r="AI2523">
        <v>94.731450745744198</v>
      </c>
      <c r="AJ2523">
        <v>91.663215368987395</v>
      </c>
      <c r="AK2523">
        <v>13.4510098555191</v>
      </c>
      <c r="AL2523">
        <v>81.193056479101003</v>
      </c>
      <c r="AM2523">
        <v>90.703363015056894</v>
      </c>
      <c r="AN2523">
        <v>1.00000002683752</v>
      </c>
    </row>
    <row r="2524" spans="1:40" x14ac:dyDescent="0.25">
      <c r="A2524" t="str">
        <f>"20190312164037472"</f>
        <v>20190312164037472</v>
      </c>
      <c r="B2524" t="str">
        <f>"1552380037468859"</f>
        <v>1552380037468859</v>
      </c>
      <c r="C2524" t="s">
        <v>40</v>
      </c>
      <c r="D2524">
        <v>5.2632269999999997</v>
      </c>
      <c r="E2524">
        <v>0.4984131</v>
      </c>
      <c r="F2524" t="s">
        <v>42</v>
      </c>
      <c r="G2524">
        <v>-353.83319999999998</v>
      </c>
      <c r="H2524">
        <v>1.0223139999999999</v>
      </c>
      <c r="I2524">
        <v>285.36489999999998</v>
      </c>
      <c r="J2524">
        <v>-353.0102</v>
      </c>
      <c r="K2524">
        <v>1.109502</v>
      </c>
      <c r="L2524">
        <v>285.38639999999998</v>
      </c>
      <c r="M2524">
        <v>-0.99988390000000005</v>
      </c>
      <c r="N2524">
        <v>0</v>
      </c>
      <c r="O2524">
        <v>1.1076849999999999E-2</v>
      </c>
      <c r="P2524">
        <v>-0.98975709999999995</v>
      </c>
      <c r="Q2524">
        <v>0.14276079999999999</v>
      </c>
      <c r="R2524">
        <v>-7.4415769999999998E-4</v>
      </c>
      <c r="S2524">
        <v>-3.0669249999999999</v>
      </c>
      <c r="T2524">
        <v>-0.24940039999999999</v>
      </c>
      <c r="U2524">
        <v>-5.3955080000000002E-2</v>
      </c>
      <c r="V2524">
        <v>-1.1732309999999999E-2</v>
      </c>
      <c r="W2524">
        <v>0.15311930000000001</v>
      </c>
      <c r="X2524">
        <v>0.98813810000000002</v>
      </c>
      <c r="Y2524">
        <v>-2.853379E-2</v>
      </c>
      <c r="Z2524">
        <v>-2.0574399999999998E-3</v>
      </c>
      <c r="AA2524">
        <v>0.99959070000000005</v>
      </c>
      <c r="AB2524">
        <v>46</v>
      </c>
      <c r="AC2524">
        <v>-0.82299999999997897</v>
      </c>
      <c r="AD2524">
        <v>-8.7188000000000002E-2</v>
      </c>
      <c r="AE2524">
        <v>-2.15000000000031E-2</v>
      </c>
      <c r="AF2524">
        <v>-3.02758693852135E-2</v>
      </c>
      <c r="AG2524">
        <v>-8.7188000000000002E-2</v>
      </c>
      <c r="AH2524">
        <v>0.81358658215449797</v>
      </c>
      <c r="AI2524">
        <v>96.112558638053898</v>
      </c>
      <c r="AJ2524">
        <v>92.131155446736102</v>
      </c>
      <c r="AK2524">
        <v>0.81880492320996001</v>
      </c>
      <c r="AL2524">
        <v>81.192262241420806</v>
      </c>
      <c r="AM2524">
        <v>90.680249311313005</v>
      </c>
      <c r="AN2524">
        <v>1.0000000359010099</v>
      </c>
    </row>
    <row r="2525" spans="1:40" x14ac:dyDescent="0.25">
      <c r="A2525" t="str">
        <f>"20190312164037493"</f>
        <v>20190312164037493</v>
      </c>
      <c r="B2525" t="str">
        <f>"1552380037488378"</f>
        <v>1552380037488378</v>
      </c>
      <c r="C2525" t="s">
        <v>40</v>
      </c>
      <c r="D2525">
        <v>5.169225</v>
      </c>
      <c r="E2525">
        <v>0.49839080000000002</v>
      </c>
      <c r="F2525" t="s">
        <v>48</v>
      </c>
      <c r="G2525">
        <v>-366.6361</v>
      </c>
      <c r="H2525" s="1">
        <v>1.9946299999999999E-6</v>
      </c>
      <c r="I2525">
        <v>285.15559999999999</v>
      </c>
      <c r="J2525">
        <v>-353.40949999999998</v>
      </c>
      <c r="K2525">
        <v>1.1094889999999999</v>
      </c>
      <c r="L2525">
        <v>285.39080000000001</v>
      </c>
      <c r="M2525">
        <v>-0.99988359999999998</v>
      </c>
      <c r="N2525">
        <v>0</v>
      </c>
      <c r="O2525">
        <v>1.1090300000000001E-2</v>
      </c>
      <c r="P2525">
        <v>-0.98977859999999995</v>
      </c>
      <c r="Q2525">
        <v>0.14261279999999901</v>
      </c>
      <c r="R2525" s="1">
        <v>-8.2208080000000002E-5</v>
      </c>
      <c r="S2525">
        <v>-3.0670169999999999</v>
      </c>
      <c r="T2525">
        <v>-0.2497337</v>
      </c>
      <c r="U2525">
        <v>-5.1940920000000002E-2</v>
      </c>
      <c r="V2525">
        <v>-1.107667E-2</v>
      </c>
      <c r="W2525">
        <v>0.15297939999999999</v>
      </c>
      <c r="X2525">
        <v>0.98816729999999997</v>
      </c>
      <c r="Y2525">
        <v>-2.7892179999999999E-2</v>
      </c>
      <c r="Z2525">
        <v>-2.0351470000000002E-3</v>
      </c>
      <c r="AA2525">
        <v>0.99960890000000002</v>
      </c>
      <c r="AB2525">
        <v>46</v>
      </c>
      <c r="AC2525">
        <v>-13.226599999999999</v>
      </c>
      <c r="AD2525">
        <v>-1.1094870053699999</v>
      </c>
      <c r="AE2525">
        <v>-0.23520000000002</v>
      </c>
      <c r="AF2525">
        <v>-0.37921311274014602</v>
      </c>
      <c r="AG2525">
        <v>-1.1094870053699999</v>
      </c>
      <c r="AH2525">
        <v>13.1308139857319</v>
      </c>
      <c r="AI2525">
        <v>94.827726713629005</v>
      </c>
      <c r="AJ2525">
        <v>91.654221399140297</v>
      </c>
      <c r="AK2525">
        <v>13.1830588228928</v>
      </c>
      <c r="AL2525">
        <v>81.200373174373098</v>
      </c>
      <c r="AM2525">
        <v>90.642219048597696</v>
      </c>
      <c r="AN2525">
        <v>1.00000000111596</v>
      </c>
    </row>
    <row r="2526" spans="1:40" x14ac:dyDescent="0.25">
      <c r="A2526" t="str">
        <f>"20190312164037505"</f>
        <v>20190312164037505</v>
      </c>
      <c r="B2526" t="str">
        <f>"1552380037498138"</f>
        <v>1552380037498138</v>
      </c>
      <c r="C2526" t="s">
        <v>40</v>
      </c>
      <c r="D2526">
        <v>5.2077200000000001</v>
      </c>
      <c r="E2526">
        <v>0.49838280000000001</v>
      </c>
      <c r="F2526" t="s">
        <v>48</v>
      </c>
      <c r="G2526">
        <v>-366.98520000000002</v>
      </c>
      <c r="H2526" s="1">
        <v>2.180374E-6</v>
      </c>
      <c r="I2526">
        <v>285.16789999999997</v>
      </c>
      <c r="J2526">
        <v>-353.67059999999998</v>
      </c>
      <c r="K2526">
        <v>1.1094729999999999</v>
      </c>
      <c r="L2526">
        <v>285.39370000000002</v>
      </c>
      <c r="M2526">
        <v>-0.99988330000000003</v>
      </c>
      <c r="N2526">
        <v>0</v>
      </c>
      <c r="O2526">
        <v>1.110589E-2</v>
      </c>
      <c r="P2526">
        <v>-0.98978049999999995</v>
      </c>
      <c r="Q2526">
        <v>0.14259820000000001</v>
      </c>
      <c r="R2526">
        <v>1.831991E-4</v>
      </c>
      <c r="S2526">
        <v>-3.067078</v>
      </c>
      <c r="T2526">
        <v>-0.25066100000000002</v>
      </c>
      <c r="U2526">
        <v>-5.0354000000000003E-2</v>
      </c>
      <c r="V2526">
        <v>-1.0821300000000001E-2</v>
      </c>
      <c r="W2526">
        <v>0.15297040000000001</v>
      </c>
      <c r="X2526">
        <v>0.98817149999999998</v>
      </c>
      <c r="Y2526">
        <v>-2.7391039999999998E-2</v>
      </c>
      <c r="Z2526">
        <v>-2.0234760000000002E-3</v>
      </c>
      <c r="AA2526">
        <v>0.99962280000000003</v>
      </c>
      <c r="AB2526">
        <v>46</v>
      </c>
      <c r="AC2526">
        <v>-13.3146</v>
      </c>
      <c r="AD2526">
        <v>-1.1094708196259999</v>
      </c>
      <c r="AE2526">
        <v>-0.22580000000004899</v>
      </c>
      <c r="AF2526">
        <v>-0.37108879587146998</v>
      </c>
      <c r="AG2526">
        <v>-1.1094708196259999</v>
      </c>
      <c r="AH2526">
        <v>13.2195082720275</v>
      </c>
      <c r="AI2526">
        <v>94.795527521725703</v>
      </c>
      <c r="AJ2526">
        <v>91.607944809469004</v>
      </c>
      <c r="AK2526">
        <v>13.2711729454569</v>
      </c>
      <c r="AL2526">
        <v>81.200894778383002</v>
      </c>
      <c r="AM2526">
        <v>90.627411371831997</v>
      </c>
      <c r="AN2526">
        <v>0.99999997861104895</v>
      </c>
    </row>
    <row r="2527" spans="1:40" x14ac:dyDescent="0.25">
      <c r="A2527" t="str">
        <f>"20190312164037518"</f>
        <v>20190312164037518</v>
      </c>
      <c r="B2527" t="str">
        <f>"1552380037508875"</f>
        <v>1552380037508875</v>
      </c>
      <c r="C2527" t="s">
        <v>40</v>
      </c>
      <c r="D2527">
        <v>5.3230240000000002</v>
      </c>
      <c r="E2527">
        <v>0.4983631</v>
      </c>
      <c r="F2527" t="s">
        <v>42</v>
      </c>
      <c r="G2527">
        <v>-354.6542</v>
      </c>
      <c r="H2527">
        <v>1.029285</v>
      </c>
      <c r="I2527">
        <v>285.37790000000001</v>
      </c>
      <c r="J2527">
        <v>-353.93009999999998</v>
      </c>
      <c r="K2527">
        <v>1.1094580000000001</v>
      </c>
      <c r="L2527">
        <v>285.39659999999998</v>
      </c>
      <c r="M2527">
        <v>-0.99988310000000002</v>
      </c>
      <c r="N2527">
        <v>0</v>
      </c>
      <c r="O2527">
        <v>1.112513E-2</v>
      </c>
      <c r="P2527">
        <v>-0.98984919999999998</v>
      </c>
      <c r="Q2527">
        <v>0.14212239999999901</v>
      </c>
      <c r="R2527">
        <v>3.1340200000000001E-4</v>
      </c>
      <c r="S2527">
        <v>-3.0670470000000001</v>
      </c>
      <c r="T2527">
        <v>-0.25005660000000002</v>
      </c>
      <c r="U2527">
        <v>-4.9468989999999997E-2</v>
      </c>
      <c r="V2527">
        <v>-1.070523E-2</v>
      </c>
      <c r="W2527">
        <v>0.15250059999999999</v>
      </c>
      <c r="X2527">
        <v>0.98824540000000005</v>
      </c>
      <c r="Y2527">
        <v>-2.712351E-2</v>
      </c>
      <c r="Z2527">
        <v>-2.009317E-3</v>
      </c>
      <c r="AA2527">
        <v>0.99963009999999997</v>
      </c>
      <c r="AB2527">
        <v>46</v>
      </c>
      <c r="AC2527">
        <v>-0.72410000000002095</v>
      </c>
      <c r="AD2527">
        <v>-8.0172999999999994E-2</v>
      </c>
      <c r="AE2527">
        <v>-1.8699999999967E-2</v>
      </c>
      <c r="AF2527">
        <v>-2.6431185383258299E-2</v>
      </c>
      <c r="AG2527">
        <v>-8.0172999999999994E-2</v>
      </c>
      <c r="AH2527">
        <v>0.71508664409941303</v>
      </c>
      <c r="AI2527">
        <v>96.392757323735196</v>
      </c>
      <c r="AJ2527">
        <v>92.116815198490698</v>
      </c>
      <c r="AK2527">
        <v>0.72005223842379995</v>
      </c>
      <c r="AL2527">
        <v>81.228132120607199</v>
      </c>
      <c r="AM2527">
        <v>90.620635833745695</v>
      </c>
      <c r="AN2527">
        <v>1.0000000027854301</v>
      </c>
    </row>
    <row r="2528" spans="1:40" x14ac:dyDescent="0.25">
      <c r="A2528" t="str">
        <f>"20190312164037530"</f>
        <v>20190312164037530</v>
      </c>
      <c r="B2528" t="str">
        <f>"1552380037518739"</f>
        <v>1552380037518739</v>
      </c>
      <c r="C2528" t="s">
        <v>40</v>
      </c>
      <c r="D2528">
        <v>5.2983089999999997</v>
      </c>
      <c r="E2528">
        <v>0.49837360000000003</v>
      </c>
      <c r="F2528" t="s">
        <v>42</v>
      </c>
      <c r="G2528">
        <v>-355.05369999999999</v>
      </c>
      <c r="H2528">
        <v>1.0175920000000001</v>
      </c>
      <c r="I2528">
        <v>285.37869999999998</v>
      </c>
      <c r="J2528">
        <v>-354.18779999999998</v>
      </c>
      <c r="K2528">
        <v>1.1094389999999901</v>
      </c>
      <c r="L2528">
        <v>285.39949999999999</v>
      </c>
      <c r="M2528">
        <v>-0.99988279999999996</v>
      </c>
      <c r="N2528">
        <v>0</v>
      </c>
      <c r="O2528">
        <v>1.115554E-2</v>
      </c>
      <c r="P2528">
        <v>-0.98985129999999999</v>
      </c>
      <c r="Q2528">
        <v>0.14210789999999901</v>
      </c>
      <c r="R2528">
        <v>4.2249479999999999E-4</v>
      </c>
      <c r="S2528">
        <v>-3.0667719999999998</v>
      </c>
      <c r="T2528">
        <v>-0.25082710000000003</v>
      </c>
      <c r="U2528">
        <v>-4.9560550000000002E-2</v>
      </c>
      <c r="V2528">
        <v>-1.061995E-2</v>
      </c>
      <c r="W2528">
        <v>0.15249019999999999</v>
      </c>
      <c r="X2528">
        <v>0.98824789999999996</v>
      </c>
      <c r="Y2528">
        <v>-2.7184079999999999E-2</v>
      </c>
      <c r="Z2528">
        <v>-2.0206209999999998E-3</v>
      </c>
      <c r="AA2528">
        <v>0.99962839999999997</v>
      </c>
      <c r="AB2528">
        <v>46</v>
      </c>
      <c r="AC2528">
        <v>-0.86590000000001</v>
      </c>
      <c r="AD2528">
        <v>-9.1846999999999804E-2</v>
      </c>
      <c r="AE2528">
        <v>-2.0800000000008301E-2</v>
      </c>
      <c r="AF2528">
        <v>-3.01201299329526E-2</v>
      </c>
      <c r="AG2528">
        <v>-9.1846999999999804E-2</v>
      </c>
      <c r="AH2528">
        <v>0.85598881506893298</v>
      </c>
      <c r="AI2528">
        <v>96.120605960674794</v>
      </c>
      <c r="AJ2528">
        <v>92.015265347501796</v>
      </c>
      <c r="AK2528">
        <v>0.86142901341857103</v>
      </c>
      <c r="AL2528">
        <v>81.228734830608701</v>
      </c>
      <c r="AM2528">
        <v>90.615690549467104</v>
      </c>
      <c r="AN2528">
        <v>0.99999997814422603</v>
      </c>
    </row>
    <row r="2529" spans="1:40" x14ac:dyDescent="0.25">
      <c r="A2529" t="str">
        <f>"20190312164037544"</f>
        <v>20190312164037544</v>
      </c>
      <c r="B2529" t="str">
        <f>"1552380037538260"</f>
        <v>1552380037538260</v>
      </c>
      <c r="C2529" t="s">
        <v>40</v>
      </c>
      <c r="D2529">
        <v>5.1367260000000003</v>
      </c>
      <c r="E2529">
        <v>0.498419</v>
      </c>
      <c r="F2529" t="s">
        <v>48</v>
      </c>
      <c r="G2529">
        <v>-367.79250000000002</v>
      </c>
      <c r="H2529" s="1">
        <v>2.6099959999999999E-6</v>
      </c>
      <c r="I2529">
        <v>285.18180000000001</v>
      </c>
      <c r="J2529">
        <v>-354.45549999999997</v>
      </c>
      <c r="K2529">
        <v>1.1094200000000001</v>
      </c>
      <c r="L2529">
        <v>285.40249999999997</v>
      </c>
      <c r="M2529">
        <v>-0.99988220000000005</v>
      </c>
      <c r="N2529">
        <v>0</v>
      </c>
      <c r="O2529">
        <v>1.119275E-2</v>
      </c>
      <c r="P2529">
        <v>-0.98987939999999996</v>
      </c>
      <c r="Q2529">
        <v>0.14191019999999999</v>
      </c>
      <c r="R2529">
        <v>3.773103E-4</v>
      </c>
      <c r="S2529">
        <v>-3.066681</v>
      </c>
      <c r="T2529">
        <v>-0.2500811</v>
      </c>
      <c r="U2529">
        <v>-4.9072270000000001E-2</v>
      </c>
      <c r="V2529">
        <v>-1.069614E-2</v>
      </c>
      <c r="W2529">
        <v>0.1522984</v>
      </c>
      <c r="X2529">
        <v>0.98827670000000001</v>
      </c>
      <c r="Y2529">
        <v>-2.7063670000000001E-2</v>
      </c>
      <c r="Z2529">
        <v>-2.012823E-3</v>
      </c>
      <c r="AA2529">
        <v>0.99963170000000001</v>
      </c>
      <c r="AB2529">
        <v>46</v>
      </c>
      <c r="AC2529">
        <v>-13.337</v>
      </c>
      <c r="AD2529">
        <v>-1.1094173900040001</v>
      </c>
      <c r="AE2529">
        <v>-0.22069999999996501</v>
      </c>
      <c r="AF2529">
        <v>-0.36743038217605301</v>
      </c>
      <c r="AG2529">
        <v>-1.1094173900040001</v>
      </c>
      <c r="AH2529">
        <v>13.242090756027901</v>
      </c>
      <c r="AI2529">
        <v>94.787201075643395</v>
      </c>
      <c r="AJ2529">
        <v>91.589387228451301</v>
      </c>
      <c r="AK2529">
        <v>13.2935615852889</v>
      </c>
      <c r="AL2529">
        <v>81.239854431431993</v>
      </c>
      <c r="AM2529">
        <v>90.620089243943795</v>
      </c>
      <c r="AN2529">
        <v>1.00000002290817</v>
      </c>
    </row>
    <row r="2530" spans="1:40" x14ac:dyDescent="0.25">
      <c r="A2530" t="str">
        <f>"20190312164037556"</f>
        <v>20190312164037556</v>
      </c>
      <c r="B2530" t="str">
        <f>"1552380037548995"</f>
        <v>1552380037548995</v>
      </c>
      <c r="C2530" t="s">
        <v>40</v>
      </c>
      <c r="D2530">
        <v>5.1422540000000003</v>
      </c>
      <c r="E2530">
        <v>0.49843989999999999</v>
      </c>
      <c r="F2530" t="s">
        <v>42</v>
      </c>
      <c r="G2530">
        <v>-355.46960000000001</v>
      </c>
      <c r="H2530">
        <v>1.0270760000000001</v>
      </c>
      <c r="I2530">
        <v>285.38639999999998</v>
      </c>
      <c r="J2530">
        <v>-354.7312</v>
      </c>
      <c r="K2530">
        <v>1.109402</v>
      </c>
      <c r="L2530">
        <v>285.40559999999999</v>
      </c>
      <c r="M2530">
        <v>-0.99988169999999998</v>
      </c>
      <c r="N2530">
        <v>0</v>
      </c>
      <c r="O2530">
        <v>1.123772E-2</v>
      </c>
      <c r="P2530">
        <v>-0.98987139999999996</v>
      </c>
      <c r="Q2530">
        <v>0.14196520000000001</v>
      </c>
      <c r="R2530">
        <v>6.8867919999999897E-4</v>
      </c>
      <c r="S2530">
        <v>-3.066376</v>
      </c>
      <c r="T2530">
        <v>-0.24907219999999999</v>
      </c>
      <c r="U2530">
        <v>-4.8828129999999997E-2</v>
      </c>
      <c r="V2530">
        <v>-1.0422249999999999E-2</v>
      </c>
      <c r="W2530">
        <v>0.1523582</v>
      </c>
      <c r="X2530">
        <v>0.98827039999999999</v>
      </c>
      <c r="Y2530">
        <v>-2.7031599999999999E-2</v>
      </c>
      <c r="Z2530">
        <v>-2.0072760000000001E-3</v>
      </c>
      <c r="AA2530">
        <v>0.99963250000000003</v>
      </c>
      <c r="AB2530">
        <v>46</v>
      </c>
      <c r="AC2530">
        <v>-0.73840000000001205</v>
      </c>
      <c r="AD2530">
        <v>-8.2325999999999899E-2</v>
      </c>
      <c r="AE2530">
        <v>-1.9200000000011999E-2</v>
      </c>
      <c r="AF2530">
        <v>-2.7159794282826201E-2</v>
      </c>
      <c r="AG2530">
        <v>-8.2325999999999899E-2</v>
      </c>
      <c r="AH2530">
        <v>0.72908083353328001</v>
      </c>
      <c r="AI2530">
        <v>96.437980841833394</v>
      </c>
      <c r="AJ2530">
        <v>92.133401788794998</v>
      </c>
      <c r="AK2530">
        <v>0.73421664822249</v>
      </c>
      <c r="AL2530">
        <v>81.236387607769501</v>
      </c>
      <c r="AM2530">
        <v>90.604216013873796</v>
      </c>
      <c r="AN2530">
        <v>1.00000001395923</v>
      </c>
    </row>
    <row r="2531" spans="1:40" x14ac:dyDescent="0.25">
      <c r="A2531" t="str">
        <f>"20190312164037571"</f>
        <v>20190312164037571</v>
      </c>
      <c r="B2531" t="str">
        <f>"1552380037558755"</f>
        <v>1552380037558755</v>
      </c>
      <c r="C2531" t="s">
        <v>40</v>
      </c>
      <c r="D2531">
        <v>5.3116070000000004</v>
      </c>
      <c r="E2531">
        <v>0.49845270000000003</v>
      </c>
      <c r="F2531" t="s">
        <v>48</v>
      </c>
      <c r="G2531">
        <v>-368.44279999999998</v>
      </c>
      <c r="H2531" s="1">
        <v>2.9560569999999998E-6</v>
      </c>
      <c r="I2531">
        <v>285.19229999999999</v>
      </c>
      <c r="J2531">
        <v>-355.00380000000001</v>
      </c>
      <c r="K2531">
        <v>1.109383</v>
      </c>
      <c r="L2531">
        <v>285.40870000000001</v>
      </c>
      <c r="M2531">
        <v>-0.99988100000000002</v>
      </c>
      <c r="N2531">
        <v>0</v>
      </c>
      <c r="O2531">
        <v>1.129843E-2</v>
      </c>
      <c r="P2531">
        <v>-0.98981799999999998</v>
      </c>
      <c r="Q2531">
        <v>0.14233970000000001</v>
      </c>
      <c r="R2531">
        <v>3.5086619999999998E-4</v>
      </c>
      <c r="S2531">
        <v>-3.066284</v>
      </c>
      <c r="T2531">
        <v>-0.2480918</v>
      </c>
      <c r="U2531">
        <v>-4.769897E-2</v>
      </c>
      <c r="V2531">
        <v>-1.0812270000000001E-2</v>
      </c>
      <c r="W2531">
        <v>0.15273709999999999</v>
      </c>
      <c r="X2531">
        <v>0.98820770000000002</v>
      </c>
      <c r="Y2531">
        <v>-2.6726529999999998E-2</v>
      </c>
      <c r="Z2531">
        <v>-1.9920490000000001E-3</v>
      </c>
      <c r="AA2531">
        <v>0.9996408</v>
      </c>
      <c r="AB2531">
        <v>46</v>
      </c>
      <c r="AC2531">
        <v>-13.438999999999901</v>
      </c>
      <c r="AD2531">
        <v>-1.1093800439429999</v>
      </c>
      <c r="AE2531">
        <v>-0.21640000000002099</v>
      </c>
      <c r="AF2531">
        <v>-0.365742498757821</v>
      </c>
      <c r="AG2531">
        <v>-1.1093800439429999</v>
      </c>
      <c r="AH2531">
        <v>13.344784038666599</v>
      </c>
      <c r="AI2531">
        <v>94.7504160799907</v>
      </c>
      <c r="AJ2531">
        <v>91.569921022980296</v>
      </c>
      <c r="AK2531">
        <v>13.3958110129976</v>
      </c>
      <c r="AL2531">
        <v>81.214420955186796</v>
      </c>
      <c r="AM2531">
        <v>90.626864898267499</v>
      </c>
      <c r="AN2531">
        <v>0.99999999261912598</v>
      </c>
    </row>
    <row r="2532" spans="1:40" x14ac:dyDescent="0.25">
      <c r="A2532" t="str">
        <f>"20190312164037583"</f>
        <v>20190312164037583</v>
      </c>
      <c r="B2532" t="str">
        <f>"1552380037578275"</f>
        <v>1552380037578275</v>
      </c>
      <c r="C2532" t="s">
        <v>40</v>
      </c>
      <c r="D2532">
        <v>5.3353000000000002</v>
      </c>
      <c r="E2532">
        <v>0.49850230000000001</v>
      </c>
      <c r="F2532" t="s">
        <v>48</v>
      </c>
      <c r="G2532">
        <v>-368.83159999999998</v>
      </c>
      <c r="H2532" s="1">
        <v>3.1629630000000001E-6</v>
      </c>
      <c r="I2532">
        <v>285.18770000000001</v>
      </c>
      <c r="J2532">
        <v>-355.2552</v>
      </c>
      <c r="K2532">
        <v>1.1093630000000001</v>
      </c>
      <c r="L2532">
        <v>285.41160000000002</v>
      </c>
      <c r="M2532">
        <v>-0.9998802</v>
      </c>
      <c r="N2532">
        <v>0</v>
      </c>
      <c r="O2532">
        <v>1.136319E-2</v>
      </c>
      <c r="P2532">
        <v>-0.98980889999999999</v>
      </c>
      <c r="Q2532">
        <v>0.1424021</v>
      </c>
      <c r="R2532">
        <v>5.4122890000000002E-4</v>
      </c>
      <c r="S2532">
        <v>-3.066284</v>
      </c>
      <c r="T2532">
        <v>-0.2460012</v>
      </c>
      <c r="U2532">
        <v>-4.9011230000000003E-2</v>
      </c>
      <c r="V2532">
        <v>-1.06788E-2</v>
      </c>
      <c r="W2532">
        <v>0.15280450000000001</v>
      </c>
      <c r="X2532">
        <v>0.98819880000000004</v>
      </c>
      <c r="Y2532">
        <v>-2.721927E-2</v>
      </c>
      <c r="Z2532">
        <v>-2.00023E-3</v>
      </c>
      <c r="AA2532">
        <v>0.9996275</v>
      </c>
      <c r="AB2532">
        <v>46</v>
      </c>
      <c r="AC2532">
        <v>-13.5763999999999</v>
      </c>
      <c r="AD2532">
        <v>-1.1093598370369999</v>
      </c>
      <c r="AE2532">
        <v>-0.223900000000014</v>
      </c>
      <c r="AF2532">
        <v>-0.37565772539130199</v>
      </c>
      <c r="AG2532">
        <v>-1.1093598370369999</v>
      </c>
      <c r="AH2532">
        <v>13.4829788299414</v>
      </c>
      <c r="AI2532">
        <v>94.701801767496903</v>
      </c>
      <c r="AJ2532">
        <v>91.595940755600395</v>
      </c>
      <c r="AK2532">
        <v>13.5337546934812</v>
      </c>
      <c r="AL2532">
        <v>81.210513949088593</v>
      </c>
      <c r="AM2532">
        <v>90.619132866094205</v>
      </c>
      <c r="AN2532">
        <v>1.0000000601555601</v>
      </c>
    </row>
    <row r="2533" spans="1:40" x14ac:dyDescent="0.25">
      <c r="A2533" t="str">
        <f>"20190312164037597"</f>
        <v>20190312164037597</v>
      </c>
      <c r="B2533" t="str">
        <f>"1552380037589015"</f>
        <v>1552380037589015</v>
      </c>
      <c r="C2533" t="s">
        <v>40</v>
      </c>
      <c r="D2533">
        <v>5.3505659999999997</v>
      </c>
      <c r="E2533">
        <v>0.49857200000000002</v>
      </c>
      <c r="F2533" t="s">
        <v>42</v>
      </c>
      <c r="G2533">
        <v>-356.28820000000002</v>
      </c>
      <c r="H2533">
        <v>1.0271429999999999</v>
      </c>
      <c r="I2533">
        <v>285.3954</v>
      </c>
      <c r="J2533">
        <v>-355.55459999999999</v>
      </c>
      <c r="K2533">
        <v>1.1093409999999999</v>
      </c>
      <c r="L2533">
        <v>285.4151</v>
      </c>
      <c r="M2533">
        <v>-0.99987919999999997</v>
      </c>
      <c r="N2533">
        <v>0</v>
      </c>
      <c r="O2533">
        <v>1.145345E-2</v>
      </c>
      <c r="P2533">
        <v>-0.98980049999999997</v>
      </c>
      <c r="Q2533">
        <v>0.1424608</v>
      </c>
      <c r="R2533">
        <v>1.4636059999999999E-4</v>
      </c>
      <c r="S2533">
        <v>-3.0660400000000001</v>
      </c>
      <c r="T2533">
        <v>-0.24410560000000001</v>
      </c>
      <c r="U2533">
        <v>-4.8645019999999997E-2</v>
      </c>
      <c r="V2533">
        <v>-1.1154610000000001E-2</v>
      </c>
      <c r="W2533">
        <v>0.15286859999999999</v>
      </c>
      <c r="X2533">
        <v>0.98818360000000005</v>
      </c>
      <c r="Y2533">
        <v>-2.719309E-2</v>
      </c>
      <c r="Z2533">
        <v>-1.9911590000000002E-3</v>
      </c>
      <c r="AA2533">
        <v>0.99962819999999997</v>
      </c>
      <c r="AB2533">
        <v>46</v>
      </c>
      <c r="AC2533">
        <v>-0.73360000000002401</v>
      </c>
      <c r="AD2533">
        <v>-8.2197999999999702E-2</v>
      </c>
      <c r="AE2533">
        <v>-1.97000000000002E-2</v>
      </c>
      <c r="AF2533">
        <v>-2.7753241905984199E-2</v>
      </c>
      <c r="AG2533">
        <v>-8.2197999999999702E-2</v>
      </c>
      <c r="AH2533">
        <v>0.72424021586711795</v>
      </c>
      <c r="AI2533">
        <v>96.470396445061795</v>
      </c>
      <c r="AJ2533">
        <v>92.194528728284695</v>
      </c>
      <c r="AK2533">
        <v>0.72941801727098998</v>
      </c>
      <c r="AL2533">
        <v>81.206797367961798</v>
      </c>
      <c r="AM2533">
        <v>90.646726916157803</v>
      </c>
      <c r="AN2533">
        <v>1.00000003074958</v>
      </c>
    </row>
    <row r="2534" spans="1:40" x14ac:dyDescent="0.25">
      <c r="A2534" t="str">
        <f>"20190312164037617"</f>
        <v>20190312164037617</v>
      </c>
      <c r="B2534" t="str">
        <f>"1552380037608530"</f>
        <v>1552380037608530</v>
      </c>
      <c r="C2534" t="s">
        <v>40</v>
      </c>
      <c r="D2534">
        <v>5.1827740000000002</v>
      </c>
      <c r="E2534">
        <v>0.4986661</v>
      </c>
      <c r="F2534" t="s">
        <v>48</v>
      </c>
      <c r="G2534">
        <v>-369.50369999999998</v>
      </c>
      <c r="H2534" s="1">
        <v>3.5205980000000002E-6</v>
      </c>
      <c r="I2534">
        <v>285.19080000000002</v>
      </c>
      <c r="J2534">
        <v>-355.96080000000001</v>
      </c>
      <c r="K2534">
        <v>1.1093059999999999</v>
      </c>
      <c r="L2534">
        <v>285.41980000000001</v>
      </c>
      <c r="M2534">
        <v>-0.99987740000000003</v>
      </c>
      <c r="N2534">
        <v>0</v>
      </c>
      <c r="O2534">
        <v>1.160709E-2</v>
      </c>
      <c r="P2534">
        <v>-0.98979790000000001</v>
      </c>
      <c r="Q2534">
        <v>0.14247939999999901</v>
      </c>
      <c r="R2534">
        <v>3.406754E-4</v>
      </c>
      <c r="S2534">
        <v>-3.0660099999999999</v>
      </c>
      <c r="T2534">
        <v>-0.24383189999999999</v>
      </c>
      <c r="U2534">
        <v>-4.9285889999999999E-2</v>
      </c>
      <c r="V2534">
        <v>-1.109943E-2</v>
      </c>
      <c r="W2534">
        <v>0.15289549999999999</v>
      </c>
      <c r="X2534">
        <v>0.98817999999999995</v>
      </c>
      <c r="Y2534">
        <v>-2.7554390000000002E-2</v>
      </c>
      <c r="Z2534">
        <v>-2.0154919999999998E-3</v>
      </c>
      <c r="AA2534">
        <v>0.99961829999999996</v>
      </c>
      <c r="AB2534">
        <v>46</v>
      </c>
      <c r="AC2534">
        <v>-13.5428999999999</v>
      </c>
      <c r="AD2534">
        <v>-1.1093024794020001</v>
      </c>
      <c r="AE2534">
        <v>-0.22899999999998499</v>
      </c>
      <c r="AF2534">
        <v>-0.38361387215412701</v>
      </c>
      <c r="AG2534">
        <v>-1.1093024794020001</v>
      </c>
      <c r="AH2534">
        <v>13.449121143662101</v>
      </c>
      <c r="AI2534">
        <v>94.713255046380198</v>
      </c>
      <c r="AJ2534">
        <v>91.633824085692794</v>
      </c>
      <c r="AK2534">
        <v>13.5002433730143</v>
      </c>
      <c r="AL2534">
        <v>81.2052372554257</v>
      </c>
      <c r="AM2534">
        <v>90.6435302796271</v>
      </c>
      <c r="AN2534">
        <v>0.99999997183328704</v>
      </c>
    </row>
    <row r="2535" spans="1:40" x14ac:dyDescent="0.25">
      <c r="A2535" t="str">
        <f>"20190312164037639"</f>
        <v>20190312164037639</v>
      </c>
      <c r="B2535" t="str">
        <f>"1552380037628557"</f>
        <v>1552380037628557</v>
      </c>
      <c r="C2535" t="s">
        <v>40</v>
      </c>
      <c r="D2535">
        <v>5.2991289999999998</v>
      </c>
      <c r="E2535">
        <v>0.4987721</v>
      </c>
      <c r="F2535" t="s">
        <v>48</v>
      </c>
      <c r="G2535">
        <v>-369.90129999999999</v>
      </c>
      <c r="H2535" s="1">
        <v>3.7321740000000002E-6</v>
      </c>
      <c r="I2535">
        <v>285.20069999999998</v>
      </c>
      <c r="J2535">
        <v>-356.39400000000001</v>
      </c>
      <c r="K2535">
        <v>1.1092610000000001</v>
      </c>
      <c r="L2535">
        <v>285.42500000000001</v>
      </c>
      <c r="M2535">
        <v>-0.99987479999999995</v>
      </c>
      <c r="N2535">
        <v>0</v>
      </c>
      <c r="O2535">
        <v>1.1812E-2</v>
      </c>
      <c r="P2535">
        <v>-0.9897338</v>
      </c>
      <c r="Q2535">
        <v>0.1429233</v>
      </c>
      <c r="R2535">
        <v>6.2563759999999995E-4</v>
      </c>
      <c r="S2535">
        <v>-3.0661010000000002</v>
      </c>
      <c r="T2535">
        <v>-0.24398230000000001</v>
      </c>
      <c r="U2535">
        <v>-4.8187260000000003E-2</v>
      </c>
      <c r="V2535">
        <v>-1.100112E-2</v>
      </c>
      <c r="W2535">
        <v>0.15334690000000001</v>
      </c>
      <c r="X2535">
        <v>0.98811119999999997</v>
      </c>
      <c r="Y2535">
        <v>-2.740037E-2</v>
      </c>
      <c r="Z2535">
        <v>-2.0268389999999999E-3</v>
      </c>
      <c r="AA2535">
        <v>0.99962249999999997</v>
      </c>
      <c r="AB2535">
        <v>46</v>
      </c>
      <c r="AC2535">
        <v>-13.507299999999899</v>
      </c>
      <c r="AD2535">
        <v>-1.109257267826</v>
      </c>
      <c r="AE2535">
        <v>-0.22430000000002701</v>
      </c>
      <c r="AF2535">
        <v>-0.381270782365702</v>
      </c>
      <c r="AG2535">
        <v>-1.109257267826</v>
      </c>
      <c r="AH2535">
        <v>13.413271760988801</v>
      </c>
      <c r="AI2535">
        <v>94.7256165304658</v>
      </c>
      <c r="AJ2535">
        <v>91.628187847451699</v>
      </c>
      <c r="AK2535">
        <v>13.464459826886801</v>
      </c>
      <c r="AL2535">
        <v>81.179065732678396</v>
      </c>
      <c r="AM2535">
        <v>90.637875275867998</v>
      </c>
      <c r="AN2535">
        <v>1.00000001997315</v>
      </c>
    </row>
    <row r="2536" spans="1:40" x14ac:dyDescent="0.25">
      <c r="A2536" t="str">
        <f>"20190312164037660"</f>
        <v>20190312164037660</v>
      </c>
      <c r="B2536" t="str">
        <f>"1552380037649053"</f>
        <v>1552380037649053</v>
      </c>
      <c r="C2536" t="s">
        <v>40</v>
      </c>
      <c r="D2536">
        <v>5.3448229999999999</v>
      </c>
      <c r="E2536">
        <v>0.4989132</v>
      </c>
      <c r="F2536" t="s">
        <v>42</v>
      </c>
      <c r="G2536">
        <v>-357.51319999999998</v>
      </c>
      <c r="H2536">
        <v>1.0206249999999999</v>
      </c>
      <c r="I2536">
        <v>285.40839999999997</v>
      </c>
      <c r="J2536">
        <v>-356.83409999999998</v>
      </c>
      <c r="K2536">
        <v>1.1092109999999999</v>
      </c>
      <c r="L2536">
        <v>285.43040000000002</v>
      </c>
      <c r="M2536">
        <v>-0.99987170000000003</v>
      </c>
      <c r="N2536">
        <v>0</v>
      </c>
      <c r="O2536">
        <v>1.2065889999999999E-2</v>
      </c>
      <c r="P2536">
        <v>-0.98969499999999999</v>
      </c>
      <c r="Q2536">
        <v>0.1431887</v>
      </c>
      <c r="R2536">
        <v>1.1722670000000001E-3</v>
      </c>
      <c r="S2536">
        <v>-3.066284</v>
      </c>
      <c r="T2536">
        <v>-0.2430245</v>
      </c>
      <c r="U2536">
        <v>-4.6752929999999998E-2</v>
      </c>
      <c r="V2536">
        <v>-1.068827E-2</v>
      </c>
      <c r="W2536">
        <v>0.1536197</v>
      </c>
      <c r="X2536">
        <v>0.98807219999999996</v>
      </c>
      <c r="Y2536">
        <v>-2.718663E-2</v>
      </c>
      <c r="Z2536">
        <v>-2.0304279999999999E-3</v>
      </c>
      <c r="AA2536">
        <v>0.99962830000000003</v>
      </c>
      <c r="AB2536">
        <v>46</v>
      </c>
      <c r="AC2536">
        <v>-0.67910000000000503</v>
      </c>
      <c r="AD2536">
        <v>-8.8586000000000206E-2</v>
      </c>
      <c r="AE2536">
        <v>-2.20000000000482E-2</v>
      </c>
      <c r="AF2536">
        <v>-2.9688148992121501E-2</v>
      </c>
      <c r="AG2536">
        <v>-8.8586000000000206E-2</v>
      </c>
      <c r="AH2536">
        <v>0.66743971032452498</v>
      </c>
      <c r="AI2536">
        <v>97.553018078326602</v>
      </c>
      <c r="AJ2536">
        <v>92.546874441823306</v>
      </c>
      <c r="AK2536">
        <v>0.67394705467467197</v>
      </c>
      <c r="AL2536">
        <v>81.163247506609196</v>
      </c>
      <c r="AM2536">
        <v>90.619761265236505</v>
      </c>
      <c r="AN2536">
        <v>0.99999996187826001</v>
      </c>
    </row>
    <row r="2537" spans="1:40" x14ac:dyDescent="0.25">
      <c r="A2537" t="str">
        <f>"20190312164037672"</f>
        <v>20190312164037672</v>
      </c>
      <c r="B2537" t="str">
        <f>"1552380037668572"</f>
        <v>1552380037668572</v>
      </c>
      <c r="C2537" t="s">
        <v>40</v>
      </c>
      <c r="D2537">
        <v>5.3347600000000002</v>
      </c>
      <c r="E2537">
        <v>0.49906689999999998</v>
      </c>
      <c r="F2537" t="s">
        <v>42</v>
      </c>
      <c r="G2537">
        <v>-357.92540000000002</v>
      </c>
      <c r="H2537">
        <v>1.0228919999999999</v>
      </c>
      <c r="I2537">
        <v>285.41460000000001</v>
      </c>
      <c r="J2537">
        <v>-357.1</v>
      </c>
      <c r="K2537">
        <v>1.1091819999999999</v>
      </c>
      <c r="L2537">
        <v>285.43369999999999</v>
      </c>
      <c r="M2537">
        <v>-0.99986949999999997</v>
      </c>
      <c r="N2537">
        <v>0</v>
      </c>
      <c r="O2537">
        <v>1.223875E-2</v>
      </c>
      <c r="P2537">
        <v>-0.98969629999999997</v>
      </c>
      <c r="Q2537">
        <v>0.1431742</v>
      </c>
      <c r="R2537">
        <v>1.6019369999999999E-3</v>
      </c>
      <c r="S2537">
        <v>-3.066376</v>
      </c>
      <c r="T2537">
        <v>-0.24254690000000001</v>
      </c>
      <c r="U2537">
        <v>-4.4708249999999998E-2</v>
      </c>
      <c r="V2537">
        <v>-1.041926E-2</v>
      </c>
      <c r="W2537">
        <v>0.15361029999999901</v>
      </c>
      <c r="X2537">
        <v>0.98807659999999997</v>
      </c>
      <c r="Y2537">
        <v>-2.669407E-2</v>
      </c>
      <c r="Z2537">
        <v>-2.0206019999999998E-3</v>
      </c>
      <c r="AA2537">
        <v>0.99964160000000002</v>
      </c>
      <c r="AB2537">
        <v>46</v>
      </c>
      <c r="AC2537">
        <v>-0.82540000000000102</v>
      </c>
      <c r="AD2537">
        <v>-8.6289999999999895E-2</v>
      </c>
      <c r="AE2537">
        <v>-1.9099999999980299E-2</v>
      </c>
      <c r="AF2537">
        <v>-2.8885466535260401E-2</v>
      </c>
      <c r="AG2537">
        <v>-8.6289999999999895E-2</v>
      </c>
      <c r="AH2537">
        <v>0.81618880924721704</v>
      </c>
      <c r="AI2537">
        <v>96.031319809674798</v>
      </c>
      <c r="AJ2537">
        <v>92.026889922119807</v>
      </c>
      <c r="AK2537">
        <v>0.82124570416980003</v>
      </c>
      <c r="AL2537">
        <v>81.163793130575399</v>
      </c>
      <c r="AM2537">
        <v>90.604161152795101</v>
      </c>
      <c r="AN2537">
        <v>1.00000002635629</v>
      </c>
    </row>
    <row r="2538" spans="1:40" x14ac:dyDescent="0.25">
      <c r="A2538" t="str">
        <f>"20190312164037695"</f>
        <v>20190312164037695</v>
      </c>
      <c r="B2538" t="str">
        <f>"1552380037689069"</f>
        <v>1552380037689069</v>
      </c>
      <c r="C2538" t="s">
        <v>40</v>
      </c>
      <c r="D2538">
        <v>5.245546</v>
      </c>
      <c r="E2538">
        <v>0.49916070000000001</v>
      </c>
      <c r="F2538" t="s">
        <v>48</v>
      </c>
      <c r="G2538">
        <v>-371.0958</v>
      </c>
      <c r="H2538" s="1">
        <v>-9.5366120000000004E-7</v>
      </c>
      <c r="I2538">
        <v>285.23930000000001</v>
      </c>
      <c r="J2538">
        <v>-357.55439999999999</v>
      </c>
      <c r="K2538">
        <v>1.1091420000000001</v>
      </c>
      <c r="L2538">
        <v>285.43959999999998</v>
      </c>
      <c r="M2538">
        <v>-0.99986540000000002</v>
      </c>
      <c r="N2538">
        <v>0</v>
      </c>
      <c r="O2538">
        <v>1.256316E-2</v>
      </c>
      <c r="P2538">
        <v>-0.98965159999999996</v>
      </c>
      <c r="Q2538">
        <v>0.14347109999999999</v>
      </c>
      <c r="R2538">
        <v>2.4406150000000001E-3</v>
      </c>
      <c r="S2538">
        <v>-3.0664370000000001</v>
      </c>
      <c r="T2538">
        <v>-0.2430187</v>
      </c>
      <c r="U2538">
        <v>-4.2602540000000001E-2</v>
      </c>
      <c r="V2538">
        <v>-9.8835550000000005E-3</v>
      </c>
      <c r="W2538">
        <v>0.1539151</v>
      </c>
      <c r="X2538">
        <v>0.98803470000000004</v>
      </c>
      <c r="Y2538">
        <v>-2.6331449999999999E-2</v>
      </c>
      <c r="Z2538">
        <v>-2.0358120000000001E-3</v>
      </c>
      <c r="AA2538">
        <v>0.99965119999999996</v>
      </c>
      <c r="AB2538">
        <v>46</v>
      </c>
      <c r="AC2538">
        <v>-13.541399999999999</v>
      </c>
      <c r="AD2538">
        <v>-1.1091429536611901</v>
      </c>
      <c r="AE2538">
        <v>-0.20029999999997</v>
      </c>
      <c r="AF2538">
        <v>-0.36794846759504801</v>
      </c>
      <c r="AG2538">
        <v>-1.1091429536611901</v>
      </c>
      <c r="AH2538">
        <v>13.447616386175801</v>
      </c>
      <c r="AI2538">
        <v>94.713257439791704</v>
      </c>
      <c r="AJ2538">
        <v>91.567313863397203</v>
      </c>
      <c r="AK2538">
        <v>13.4982951010936</v>
      </c>
      <c r="AL2538">
        <v>81.146119455902394</v>
      </c>
      <c r="AM2538">
        <v>90.573124709850902</v>
      </c>
      <c r="AN2538">
        <v>1.00000005553576</v>
      </c>
    </row>
    <row r="2539" spans="1:40" x14ac:dyDescent="0.25">
      <c r="A2539" t="str">
        <f>"20190312164037717"</f>
        <v>20190312164037717</v>
      </c>
      <c r="B2539" t="str">
        <f>"1552380037708589"</f>
        <v>1552380037708589</v>
      </c>
      <c r="C2539" t="s">
        <v>40</v>
      </c>
      <c r="D2539">
        <v>5.2420989999999996</v>
      </c>
      <c r="E2539">
        <v>0.4991797</v>
      </c>
      <c r="F2539" t="s">
        <v>48</v>
      </c>
      <c r="G2539">
        <v>-371.58699999999999</v>
      </c>
      <c r="H2539" s="1">
        <v>-6.9224519999999997E-7</v>
      </c>
      <c r="I2539">
        <v>285.25799999999998</v>
      </c>
      <c r="J2539">
        <v>-358.00729999999999</v>
      </c>
      <c r="K2539">
        <v>1.109092</v>
      </c>
      <c r="L2539">
        <v>285.44549999999998</v>
      </c>
      <c r="M2539">
        <v>-0.99986059999999999</v>
      </c>
      <c r="N2539">
        <v>0</v>
      </c>
      <c r="O2539">
        <v>1.2931679999999999E-2</v>
      </c>
      <c r="P2539">
        <v>-0.98964050000000003</v>
      </c>
      <c r="Q2539">
        <v>0.14353529999999901</v>
      </c>
      <c r="R2539">
        <v>3.085352E-3</v>
      </c>
      <c r="S2539">
        <v>-3.0666199999999999</v>
      </c>
      <c r="T2539">
        <v>-0.24238589999999999</v>
      </c>
      <c r="U2539">
        <v>-3.9672850000000003E-2</v>
      </c>
      <c r="V2539">
        <v>-9.5856899999999991E-3</v>
      </c>
      <c r="W2539">
        <v>0.15398770000000001</v>
      </c>
      <c r="X2539">
        <v>0.98802630000000002</v>
      </c>
      <c r="Y2539">
        <v>-2.5745540000000001E-2</v>
      </c>
      <c r="Z2539">
        <v>-2.0363830000000001E-3</v>
      </c>
      <c r="AA2539">
        <v>0.99966650000000001</v>
      </c>
      <c r="AB2539">
        <v>46</v>
      </c>
      <c r="AC2539">
        <v>-13.579700000000001</v>
      </c>
      <c r="AD2539">
        <v>-1.1090926922452</v>
      </c>
      <c r="AE2539">
        <v>-0.1875</v>
      </c>
      <c r="AF2539">
        <v>-0.36069689726360399</v>
      </c>
      <c r="AG2539">
        <v>-1.1090926922452</v>
      </c>
      <c r="AH2539">
        <v>13.486197642931399</v>
      </c>
      <c r="AI2539">
        <v>94.699700149079405</v>
      </c>
      <c r="AJ2539">
        <v>91.532046674497195</v>
      </c>
      <c r="AK2539">
        <v>13.5365326326906</v>
      </c>
      <c r="AL2539">
        <v>81.141909396225699</v>
      </c>
      <c r="AM2539">
        <v>90.555858026998493</v>
      </c>
      <c r="AN2539">
        <v>1.00000003334787</v>
      </c>
    </row>
    <row r="2540" spans="1:40" x14ac:dyDescent="0.25">
      <c r="A2540" t="str">
        <f>"20190312164037738"</f>
        <v>20190312164037738</v>
      </c>
      <c r="B2540" t="str">
        <f>"1552380037728618"</f>
        <v>1552380037728618</v>
      </c>
      <c r="C2540" t="s">
        <v>40</v>
      </c>
      <c r="D2540">
        <v>5.353764</v>
      </c>
      <c r="E2540">
        <v>0.49924629999999998</v>
      </c>
      <c r="F2540" t="s">
        <v>48</v>
      </c>
      <c r="G2540">
        <v>-372.03769999999997</v>
      </c>
      <c r="H2540" s="1">
        <v>-4.5241070000000001E-7</v>
      </c>
      <c r="I2540">
        <v>285.27</v>
      </c>
      <c r="J2540">
        <v>-358.43860000000001</v>
      </c>
      <c r="K2540">
        <v>1.10904</v>
      </c>
      <c r="L2540">
        <v>285.45139999999998</v>
      </c>
      <c r="M2540">
        <v>-0.9998553</v>
      </c>
      <c r="N2540">
        <v>0</v>
      </c>
      <c r="O2540">
        <v>1.333061E-2</v>
      </c>
      <c r="P2540">
        <v>-0.98969200000000002</v>
      </c>
      <c r="Q2540">
        <v>0.14315339999999999</v>
      </c>
      <c r="R2540">
        <v>4.1323669999999996E-3</v>
      </c>
      <c r="S2540">
        <v>-3.066681</v>
      </c>
      <c r="T2540">
        <v>-0.24241770000000001</v>
      </c>
      <c r="U2540">
        <v>-3.8360600000000002E-2</v>
      </c>
      <c r="V2540">
        <v>-8.9167410000000006E-3</v>
      </c>
      <c r="W2540">
        <v>0.1536141</v>
      </c>
      <c r="X2540">
        <v>0.98809069999999999</v>
      </c>
      <c r="Y2540">
        <v>-2.571526E-2</v>
      </c>
      <c r="Z2540">
        <v>-2.0669040000000001E-3</v>
      </c>
      <c r="AA2540">
        <v>0.99966719999999998</v>
      </c>
      <c r="AB2540">
        <v>46</v>
      </c>
      <c r="AC2540">
        <v>-13.5990999999999</v>
      </c>
      <c r="AD2540">
        <v>-1.1090404524107</v>
      </c>
      <c r="AE2540">
        <v>-0.18139999999999601</v>
      </c>
      <c r="AF2540">
        <v>-0.36028255728854802</v>
      </c>
      <c r="AG2540">
        <v>-1.1090404524107</v>
      </c>
      <c r="AH2540">
        <v>13.5056655734146</v>
      </c>
      <c r="AI2540">
        <v>94.692744556310998</v>
      </c>
      <c r="AJ2540">
        <v>91.528082810273901</v>
      </c>
      <c r="AK2540">
        <v>13.555912983900599</v>
      </c>
      <c r="AL2540">
        <v>81.163572696611993</v>
      </c>
      <c r="AM2540">
        <v>90.517035286936306</v>
      </c>
      <c r="AN2540">
        <v>1.00000001570768</v>
      </c>
    </row>
    <row r="2541" spans="1:40" x14ac:dyDescent="0.25">
      <c r="A2541" t="str">
        <f>"20190312164037760"</f>
        <v>20190312164037760</v>
      </c>
      <c r="B2541" t="str">
        <f>"1552380037748135"</f>
        <v>1552380037748135</v>
      </c>
      <c r="C2541" t="s">
        <v>40</v>
      </c>
      <c r="D2541">
        <v>5.225142</v>
      </c>
      <c r="E2541">
        <v>0.49924770000000002</v>
      </c>
      <c r="F2541" t="s">
        <v>42</v>
      </c>
      <c r="G2541">
        <v>-359.56760000000003</v>
      </c>
      <c r="H2541">
        <v>1.0191749999999999</v>
      </c>
      <c r="I2541">
        <v>285.43880000000001</v>
      </c>
      <c r="J2541">
        <v>-358.8956</v>
      </c>
      <c r="K2541">
        <v>1.108992</v>
      </c>
      <c r="L2541">
        <v>285.45780000000002</v>
      </c>
      <c r="M2541">
        <v>-0.99984879999999998</v>
      </c>
      <c r="N2541">
        <v>0</v>
      </c>
      <c r="O2541">
        <v>1.3800679999999999E-2</v>
      </c>
      <c r="P2541">
        <v>-0.98964280000000004</v>
      </c>
      <c r="Q2541">
        <v>0.143459</v>
      </c>
      <c r="R2541">
        <v>5.1793509999999996E-3</v>
      </c>
      <c r="S2541">
        <v>-3.0667110000000002</v>
      </c>
      <c r="T2541">
        <v>-0.2440821</v>
      </c>
      <c r="U2541">
        <v>-3.4393310000000003E-2</v>
      </c>
      <c r="V2541">
        <v>-8.3137190000000007E-3</v>
      </c>
      <c r="W2541">
        <v>0.15392739999999999</v>
      </c>
      <c r="X2541">
        <v>0.98804720000000001</v>
      </c>
      <c r="Y2541">
        <v>-2.4891509999999999E-2</v>
      </c>
      <c r="Z2541">
        <v>-2.0856690000000001E-3</v>
      </c>
      <c r="AA2541">
        <v>0.99968800000000002</v>
      </c>
      <c r="AB2541">
        <v>46</v>
      </c>
      <c r="AC2541">
        <v>-0.67200000000002502</v>
      </c>
      <c r="AD2541">
        <v>-8.9816999999999994E-2</v>
      </c>
      <c r="AE2541">
        <v>-1.9000000000005401E-2</v>
      </c>
      <c r="AF2541">
        <v>-2.7776955340338801E-2</v>
      </c>
      <c r="AG2541">
        <v>-8.9816999999999994E-2</v>
      </c>
      <c r="AH2541">
        <v>0.65989482754304796</v>
      </c>
      <c r="AI2541">
        <v>97.744014847630595</v>
      </c>
      <c r="AJ2541">
        <v>92.410328567451302</v>
      </c>
      <c r="AK2541">
        <v>0.66655820162612101</v>
      </c>
      <c r="AL2541">
        <v>81.145405864605706</v>
      </c>
      <c r="AM2541">
        <v>90.482092120229197</v>
      </c>
      <c r="AN2541">
        <v>1.0000000159111</v>
      </c>
    </row>
    <row r="2542" spans="1:40" x14ac:dyDescent="0.25">
      <c r="A2542" t="str">
        <f>"20190312164037772"</f>
        <v>20190312164037772</v>
      </c>
      <c r="B2542" t="str">
        <f>"1552380037768631"</f>
        <v>1552380037768631</v>
      </c>
      <c r="C2542" t="s">
        <v>40</v>
      </c>
      <c r="D2542">
        <v>5.3832199999999997</v>
      </c>
      <c r="E2542">
        <v>0.4992991</v>
      </c>
      <c r="F2542" t="s">
        <v>42</v>
      </c>
      <c r="G2542">
        <v>-359.98270000000002</v>
      </c>
      <c r="H2542">
        <v>1.023352</v>
      </c>
      <c r="I2542">
        <v>285.44670000000002</v>
      </c>
      <c r="J2542">
        <v>-359.15100000000001</v>
      </c>
      <c r="K2542">
        <v>1.108965</v>
      </c>
      <c r="L2542">
        <v>285.4615</v>
      </c>
      <c r="M2542">
        <v>-0.99984499999999998</v>
      </c>
      <c r="N2542">
        <v>0</v>
      </c>
      <c r="O2542">
        <v>1.408041E-2</v>
      </c>
      <c r="P2542">
        <v>-0.98964799999999997</v>
      </c>
      <c r="Q2542">
        <v>0.14338409999999999</v>
      </c>
      <c r="R2542">
        <v>6.1761159999999997E-3</v>
      </c>
      <c r="S2542">
        <v>-3.066589</v>
      </c>
      <c r="T2542">
        <v>-0.24167469999999999</v>
      </c>
      <c r="U2542">
        <v>-3.207397E-2</v>
      </c>
      <c r="V2542">
        <v>-7.5830659999999899E-3</v>
      </c>
      <c r="W2542">
        <v>0.1538562</v>
      </c>
      <c r="X2542">
        <v>0.98806419999999995</v>
      </c>
      <c r="Y2542">
        <v>-2.441863E-2</v>
      </c>
      <c r="Z2542">
        <v>-2.0686569999999998E-3</v>
      </c>
      <c r="AA2542">
        <v>0.99969969999999997</v>
      </c>
      <c r="AB2542">
        <v>46</v>
      </c>
      <c r="AC2542">
        <v>-0.83170000000001199</v>
      </c>
      <c r="AD2542">
        <v>-8.5612999999999898E-2</v>
      </c>
      <c r="AE2542">
        <v>-1.4799999999979699E-2</v>
      </c>
      <c r="AF2542">
        <v>-2.6231995012974001E-2</v>
      </c>
      <c r="AG2542">
        <v>-8.5612999999999898E-2</v>
      </c>
      <c r="AH2542">
        <v>0.82269454569378297</v>
      </c>
      <c r="AI2542">
        <v>95.938055464778202</v>
      </c>
      <c r="AJ2542">
        <v>91.826283605130996</v>
      </c>
      <c r="AK2542">
        <v>0.82755303083588505</v>
      </c>
      <c r="AL2542">
        <v>81.149534794097207</v>
      </c>
      <c r="AM2542">
        <v>90.439717528016899</v>
      </c>
      <c r="AN2542">
        <v>1.00000004824501</v>
      </c>
    </row>
    <row r="2543" spans="1:40" x14ac:dyDescent="0.25">
      <c r="A2543" t="str">
        <f>"20190312164037785"</f>
        <v>20190312164037785</v>
      </c>
      <c r="B2543" t="str">
        <f>"1552380037778391"</f>
        <v>1552380037778391</v>
      </c>
      <c r="C2543" t="s">
        <v>40</v>
      </c>
      <c r="D2543">
        <v>5.756005</v>
      </c>
      <c r="E2543">
        <v>0.49928309999999998</v>
      </c>
      <c r="F2543" t="s">
        <v>48</v>
      </c>
      <c r="G2543">
        <v>-373.19619999999998</v>
      </c>
      <c r="H2543" s="1">
        <v>1.6405310000000001E-7</v>
      </c>
      <c r="I2543">
        <v>285.3279</v>
      </c>
      <c r="J2543">
        <v>-359.40879999999999</v>
      </c>
      <c r="K2543">
        <v>1.1089370000000001</v>
      </c>
      <c r="L2543">
        <v>285.46539999999999</v>
      </c>
      <c r="M2543">
        <v>-0.99984079999999997</v>
      </c>
      <c r="N2543">
        <v>0</v>
      </c>
      <c r="O2543">
        <v>1.4372589999999999E-2</v>
      </c>
      <c r="P2543">
        <v>-0.98965840000000005</v>
      </c>
      <c r="Q2543">
        <v>0.14328659999999999</v>
      </c>
      <c r="R2543">
        <v>6.7456679999999998E-3</v>
      </c>
      <c r="S2543">
        <v>-3.066681</v>
      </c>
      <c r="T2543">
        <v>-0.2421355</v>
      </c>
      <c r="U2543">
        <v>-2.9174800000000001E-2</v>
      </c>
      <c r="V2543">
        <v>-7.2929479999999996E-3</v>
      </c>
      <c r="W2543">
        <v>0.15376300000000001</v>
      </c>
      <c r="X2543">
        <v>0.98808090000000004</v>
      </c>
      <c r="Y2543">
        <v>-2.3766120000000002E-2</v>
      </c>
      <c r="Z2543">
        <v>-2.0698499999999998E-3</v>
      </c>
      <c r="AA2543">
        <v>0.99971540000000003</v>
      </c>
      <c r="AB2543">
        <v>46</v>
      </c>
      <c r="AC2543">
        <v>-13.7873999999999</v>
      </c>
      <c r="AD2543">
        <v>-1.1089368359468901</v>
      </c>
      <c r="AE2543">
        <v>-0.13749999999998799</v>
      </c>
      <c r="AF2543">
        <v>-0.333500264836673</v>
      </c>
      <c r="AG2543">
        <v>-1.1089368359468901</v>
      </c>
      <c r="AH2543">
        <v>13.695410196702101</v>
      </c>
      <c r="AI2543">
        <v>94.627855439445597</v>
      </c>
      <c r="AJ2543">
        <v>91.394947779776402</v>
      </c>
      <c r="AK2543">
        <v>13.7442796751484</v>
      </c>
      <c r="AL2543">
        <v>81.154939138681002</v>
      </c>
      <c r="AM2543">
        <v>90.422887997211902</v>
      </c>
      <c r="AN2543">
        <v>1.00000005610216</v>
      </c>
    </row>
    <row r="2544" spans="1:40" x14ac:dyDescent="0.25">
      <c r="A2544" t="str">
        <f>"20190312164037799"</f>
        <v>20190312164037799</v>
      </c>
      <c r="B2544" t="str">
        <f>"1552380037788152"</f>
        <v>1552380037788152</v>
      </c>
      <c r="C2544" t="s">
        <v>40</v>
      </c>
      <c r="D2544">
        <v>5.2546410000000003</v>
      </c>
      <c r="E2544">
        <v>0.49926959999999998</v>
      </c>
      <c r="F2544" t="s">
        <v>42</v>
      </c>
      <c r="G2544">
        <v>-360.4006</v>
      </c>
      <c r="H2544">
        <v>1.030775</v>
      </c>
      <c r="I2544">
        <v>285.45650000000001</v>
      </c>
      <c r="J2544">
        <v>-359.69580000000002</v>
      </c>
      <c r="K2544">
        <v>1.1089070000000001</v>
      </c>
      <c r="L2544">
        <v>285.46969999999999</v>
      </c>
      <c r="M2544">
        <v>-0.99983580000000005</v>
      </c>
      <c r="N2544">
        <v>0</v>
      </c>
      <c r="O2544">
        <v>1.4707100000000001E-2</v>
      </c>
      <c r="P2544">
        <v>-0.98968310000000004</v>
      </c>
      <c r="Q2544">
        <v>0.143088299999999</v>
      </c>
      <c r="R2544">
        <v>7.3023589999999996E-3</v>
      </c>
      <c r="S2544">
        <v>-3.0665589999999998</v>
      </c>
      <c r="T2544">
        <v>-0.2417899</v>
      </c>
      <c r="U2544">
        <v>-2.7832030000000001E-2</v>
      </c>
      <c r="V2544">
        <v>-7.0566439999999999E-3</v>
      </c>
      <c r="W2544">
        <v>0.15356979999999901</v>
      </c>
      <c r="X2544">
        <v>0.98811260000000001</v>
      </c>
      <c r="Y2544">
        <v>-2.3662869999999999E-2</v>
      </c>
      <c r="Z2544">
        <v>-2.0892599999999999E-3</v>
      </c>
      <c r="AA2544">
        <v>0.99971779999999999</v>
      </c>
      <c r="AB2544">
        <v>46</v>
      </c>
      <c r="AC2544">
        <v>-0.704799999999977</v>
      </c>
      <c r="AD2544">
        <v>-7.8131999999999799E-2</v>
      </c>
      <c r="AE2544">
        <v>-1.31999999999834E-2</v>
      </c>
      <c r="AF2544">
        <v>-2.3278738777067098E-2</v>
      </c>
      <c r="AG2544">
        <v>-7.8131999999999799E-2</v>
      </c>
      <c r="AH2544">
        <v>0.69597953753778796</v>
      </c>
      <c r="AI2544">
        <v>96.401765765571298</v>
      </c>
      <c r="AJ2544">
        <v>91.915683389757803</v>
      </c>
      <c r="AK2544">
        <v>0.70073820059588898</v>
      </c>
      <c r="AL2544">
        <v>81.166141194158996</v>
      </c>
      <c r="AM2544">
        <v>90.409173049057799</v>
      </c>
      <c r="AN2544">
        <v>0.999999994987671</v>
      </c>
    </row>
    <row r="2545" spans="1:40" x14ac:dyDescent="0.25">
      <c r="A2545" t="str">
        <f>"20190312164037816"</f>
        <v>20190312164037816</v>
      </c>
      <c r="B2545" t="str">
        <f>"1552380037808648"</f>
        <v>1552380037808648</v>
      </c>
      <c r="C2545" t="s">
        <v>40</v>
      </c>
      <c r="D2545">
        <v>5.3501130000000003</v>
      </c>
      <c r="E2545">
        <v>0.49923849999999997</v>
      </c>
      <c r="F2545" t="s">
        <v>42</v>
      </c>
      <c r="G2545">
        <v>-360.80579999999998</v>
      </c>
      <c r="H2545">
        <v>1.0211460000000001</v>
      </c>
      <c r="I2545">
        <v>285.46039999999999</v>
      </c>
      <c r="J2545">
        <v>-360.06979999999999</v>
      </c>
      <c r="K2545">
        <v>1.1088690000000001</v>
      </c>
      <c r="L2545">
        <v>285.47550000000001</v>
      </c>
      <c r="M2545">
        <v>-0.99982890000000002</v>
      </c>
      <c r="N2545">
        <v>0</v>
      </c>
      <c r="O2545">
        <v>1.5162780000000001E-2</v>
      </c>
      <c r="P2545">
        <v>-0.98960840000000005</v>
      </c>
      <c r="Q2545">
        <v>0.14351340000000001</v>
      </c>
      <c r="R2545">
        <v>8.9058249999999992E-3</v>
      </c>
      <c r="S2545">
        <v>-3.066589</v>
      </c>
      <c r="T2545">
        <v>-0.24262510000000001</v>
      </c>
      <c r="U2545">
        <v>-2.6489260000000001E-2</v>
      </c>
      <c r="V2545">
        <v>-5.8896259999999898E-3</v>
      </c>
      <c r="W2545">
        <v>0.15399949999999901</v>
      </c>
      <c r="X2545">
        <v>0.98805339999999997</v>
      </c>
      <c r="Y2545">
        <v>-2.3678399999999999E-2</v>
      </c>
      <c r="Z2545">
        <v>-2.133046E-3</v>
      </c>
      <c r="AA2545">
        <v>0.99971739999999998</v>
      </c>
      <c r="AB2545">
        <v>46</v>
      </c>
      <c r="AC2545">
        <v>-0.73599999999999</v>
      </c>
      <c r="AD2545">
        <v>-8.7723000000000204E-2</v>
      </c>
      <c r="AE2545">
        <v>-1.5100000000018101E-2</v>
      </c>
      <c r="AF2545">
        <v>-2.5891043425312399E-2</v>
      </c>
      <c r="AG2545">
        <v>-8.7723000000000204E-2</v>
      </c>
      <c r="AH2545">
        <v>0.72538592279077196</v>
      </c>
      <c r="AI2545">
        <v>96.891112314381004</v>
      </c>
      <c r="AJ2545">
        <v>92.044178128747305</v>
      </c>
      <c r="AK2545">
        <v>0.73112954244899098</v>
      </c>
      <c r="AL2545">
        <v>81.141225091724294</v>
      </c>
      <c r="AM2545">
        <v>90.341526800146596</v>
      </c>
      <c r="AN2545">
        <v>1.00000002747311</v>
      </c>
    </row>
    <row r="2546" spans="1:40" x14ac:dyDescent="0.25">
      <c r="A2546" t="str">
        <f>"20190312164037850"</f>
        <v>20190312164037850</v>
      </c>
      <c r="B2546" t="str">
        <f>"1552380037838433"</f>
        <v>1552380037838433</v>
      </c>
      <c r="C2546" t="s">
        <v>40</v>
      </c>
      <c r="D2546">
        <v>5.3864280000000004</v>
      </c>
      <c r="E2546">
        <v>0.49914570000000003</v>
      </c>
      <c r="F2546" t="s">
        <v>48</v>
      </c>
      <c r="G2546">
        <v>-374.15519999999998</v>
      </c>
      <c r="H2546" s="1">
        <v>6.7437740000000003E-7</v>
      </c>
      <c r="I2546">
        <v>285.3734</v>
      </c>
      <c r="J2546">
        <v>-360.74079999999998</v>
      </c>
      <c r="K2546">
        <v>1.1088119999999999</v>
      </c>
      <c r="L2546">
        <v>285.4864</v>
      </c>
      <c r="M2546">
        <v>-0.99981560000000003</v>
      </c>
      <c r="N2546">
        <v>0</v>
      </c>
      <c r="O2546">
        <v>1.60175E-2</v>
      </c>
      <c r="P2546">
        <v>-0.98951180000000005</v>
      </c>
      <c r="Q2546">
        <v>0.14408650000000001</v>
      </c>
      <c r="R2546">
        <v>1.0293780000000001E-2</v>
      </c>
      <c r="S2546">
        <v>-3.066681</v>
      </c>
      <c r="T2546">
        <v>-0.24142469999999999</v>
      </c>
      <c r="U2546">
        <v>-2.2216799999999998E-2</v>
      </c>
      <c r="V2546">
        <v>-5.3256479999999997E-3</v>
      </c>
      <c r="W2546">
        <v>0.1545832</v>
      </c>
      <c r="X2546">
        <v>0.98796539999999999</v>
      </c>
      <c r="Y2546">
        <v>-2.3140290000000001E-2</v>
      </c>
      <c r="Z2546">
        <v>-2.1685049999999998E-3</v>
      </c>
      <c r="AA2546">
        <v>0.99972989999999995</v>
      </c>
      <c r="AB2546">
        <v>46</v>
      </c>
      <c r="AC2546">
        <v>-13.414400000000001</v>
      </c>
      <c r="AD2546">
        <v>-1.1088113256226</v>
      </c>
      <c r="AE2546">
        <v>-0.112999999999999</v>
      </c>
      <c r="AF2546">
        <v>-0.32563798074392297</v>
      </c>
      <c r="AG2546">
        <v>-1.1088113256226</v>
      </c>
      <c r="AH2546">
        <v>13.319868703613199</v>
      </c>
      <c r="AI2546">
        <v>94.757195635161494</v>
      </c>
      <c r="AJ2546">
        <v>91.400461714204198</v>
      </c>
      <c r="AK2546">
        <v>13.3699066912161</v>
      </c>
      <c r="AL2546">
        <v>81.1073757924528</v>
      </c>
      <c r="AM2546">
        <v>90.308851097512502</v>
      </c>
      <c r="AN2546">
        <v>0.99999997992300904</v>
      </c>
    </row>
    <row r="2547" spans="1:40" x14ac:dyDescent="0.25">
      <c r="A2547" t="str">
        <f>"20190312164037873"</f>
        <v>20190312164037873</v>
      </c>
      <c r="B2547" t="str">
        <f>"1552380037868688"</f>
        <v>1552380037868688</v>
      </c>
      <c r="C2547" t="s">
        <v>40</v>
      </c>
      <c r="D2547">
        <v>5.320233</v>
      </c>
      <c r="E2547">
        <v>0.4990909</v>
      </c>
      <c r="F2547" t="s">
        <v>48</v>
      </c>
      <c r="G2547">
        <v>-374.98860000000002</v>
      </c>
      <c r="H2547" s="1">
        <v>1.1178900000000001E-6</v>
      </c>
      <c r="I2547">
        <v>285.39609999999999</v>
      </c>
      <c r="J2547">
        <v>-361.21269999999998</v>
      </c>
      <c r="K2547">
        <v>1.1087739999999999</v>
      </c>
      <c r="L2547">
        <v>285.49439999999998</v>
      </c>
      <c r="M2547">
        <v>-0.99980530000000001</v>
      </c>
      <c r="N2547">
        <v>0</v>
      </c>
      <c r="O2547">
        <v>1.6636620000000001E-2</v>
      </c>
      <c r="P2547">
        <v>-0.98952899999999999</v>
      </c>
      <c r="Q2547">
        <v>0.1438931</v>
      </c>
      <c r="R2547">
        <v>1.127912E-2</v>
      </c>
      <c r="S2547">
        <v>-3.0667719999999998</v>
      </c>
      <c r="T2547">
        <v>-0.2386672</v>
      </c>
      <c r="U2547">
        <v>-1.9439700000000001E-2</v>
      </c>
      <c r="V2547">
        <v>-4.9413779999999997E-3</v>
      </c>
      <c r="W2547">
        <v>0.15439710000000001</v>
      </c>
      <c r="X2547">
        <v>0.98799650000000006</v>
      </c>
      <c r="Y2547">
        <v>-2.285562E-2</v>
      </c>
      <c r="Z2547">
        <v>-2.180801E-3</v>
      </c>
      <c r="AA2547">
        <v>0.99973639999999997</v>
      </c>
      <c r="AB2547">
        <v>46</v>
      </c>
      <c r="AC2547">
        <v>-13.7759</v>
      </c>
      <c r="AD2547">
        <v>-1.10877288211</v>
      </c>
      <c r="AE2547">
        <v>-9.8299999999994697E-2</v>
      </c>
      <c r="AF2547">
        <v>-0.32537601056653198</v>
      </c>
      <c r="AG2547">
        <v>-1.10877288211</v>
      </c>
      <c r="AH2547">
        <v>13.6837182664446</v>
      </c>
      <c r="AI2547">
        <v>94.631174184844298</v>
      </c>
      <c r="AJ2547">
        <v>91.362141445025401</v>
      </c>
      <c r="AK2547">
        <v>13.7324212157865</v>
      </c>
      <c r="AL2547">
        <v>81.118168132512395</v>
      </c>
      <c r="AM2547">
        <v>90.286557435928998</v>
      </c>
      <c r="AN2547">
        <v>0.99999998285859903</v>
      </c>
    </row>
    <row r="2548" spans="1:40" x14ac:dyDescent="0.25">
      <c r="A2548" t="str">
        <f>"20190312164037895"</f>
        <v>20190312164037895</v>
      </c>
      <c r="B2548" t="str">
        <f>"1552380037888208"</f>
        <v>1552380037888208</v>
      </c>
      <c r="C2548" t="s">
        <v>40</v>
      </c>
      <c r="D2548">
        <v>5.3044729999999998</v>
      </c>
      <c r="E2548">
        <v>0.49904270000000001</v>
      </c>
      <c r="F2548" t="s">
        <v>48</v>
      </c>
      <c r="G2548">
        <v>-375.51979999999998</v>
      </c>
      <c r="H2548" s="1">
        <v>1.4005810000000001E-6</v>
      </c>
      <c r="I2548">
        <v>285.41500000000002</v>
      </c>
      <c r="J2548">
        <v>-361.6755</v>
      </c>
      <c r="K2548">
        <v>1.1087469999999999</v>
      </c>
      <c r="L2548">
        <v>285.50240000000002</v>
      </c>
      <c r="M2548">
        <v>-0.99979479999999998</v>
      </c>
      <c r="N2548">
        <v>0</v>
      </c>
      <c r="O2548">
        <v>1.7253170000000002E-2</v>
      </c>
      <c r="P2548">
        <v>-0.98966339999999997</v>
      </c>
      <c r="Q2548">
        <v>0.14294879999999999</v>
      </c>
      <c r="R2548">
        <v>1.150498E-2</v>
      </c>
      <c r="S2548">
        <v>-3.0664980000000002</v>
      </c>
      <c r="T2548">
        <v>-0.23764750000000001</v>
      </c>
      <c r="U2548">
        <v>-1.6998289999999999E-2</v>
      </c>
      <c r="V2548">
        <v>-5.3195229999999996E-3</v>
      </c>
      <c r="W2548">
        <v>0.153462299999999</v>
      </c>
      <c r="X2548">
        <v>0.98814020000000002</v>
      </c>
      <c r="Y2548">
        <v>-2.2676470000000001E-2</v>
      </c>
      <c r="Z2548">
        <v>-2.2124850000000001E-3</v>
      </c>
      <c r="AA2548">
        <v>0.99974039999999997</v>
      </c>
      <c r="AB2548">
        <v>46</v>
      </c>
      <c r="AC2548">
        <v>-13.844299999999899</v>
      </c>
      <c r="AD2548">
        <v>-1.1087455994190001</v>
      </c>
      <c r="AE2548">
        <v>-8.7400000000002295E-2</v>
      </c>
      <c r="AF2548">
        <v>-0.32417934061675902</v>
      </c>
      <c r="AG2548">
        <v>-1.1087455994190001</v>
      </c>
      <c r="AH2548">
        <v>13.752527328370499</v>
      </c>
      <c r="AI2548">
        <v>94.608012185743902</v>
      </c>
      <c r="AJ2548">
        <v>91.350345900589403</v>
      </c>
      <c r="AK2548">
        <v>13.800957103284301</v>
      </c>
      <c r="AL2548">
        <v>81.172374554434896</v>
      </c>
      <c r="AM2548">
        <v>90.308441325099594</v>
      </c>
      <c r="AN2548">
        <v>1.0000000148511301</v>
      </c>
    </row>
    <row r="2549" spans="1:40" x14ac:dyDescent="0.25">
      <c r="A2549" t="str">
        <f>"20190312164037916"</f>
        <v>20190312164037916</v>
      </c>
      <c r="B2549" t="str">
        <f>"1552380037908704"</f>
        <v>1552380037908704</v>
      </c>
      <c r="C2549" t="s">
        <v>40</v>
      </c>
      <c r="D2549">
        <v>5.3840669999999999</v>
      </c>
      <c r="E2549">
        <v>0.4989806</v>
      </c>
      <c r="F2549" t="s">
        <v>48</v>
      </c>
      <c r="G2549">
        <v>-375.75900000000001</v>
      </c>
      <c r="H2549" s="1">
        <v>1.527862E-6</v>
      </c>
      <c r="I2549">
        <v>285.42439999999999</v>
      </c>
      <c r="J2549">
        <v>-362.12619999999998</v>
      </c>
      <c r="K2549">
        <v>1.1087229999999999</v>
      </c>
      <c r="L2549">
        <v>285.51060000000001</v>
      </c>
      <c r="M2549">
        <v>-0.99978420000000001</v>
      </c>
      <c r="N2549">
        <v>0</v>
      </c>
      <c r="O2549">
        <v>1.785542E-2</v>
      </c>
      <c r="P2549">
        <v>-0.98971830000000005</v>
      </c>
      <c r="Q2549">
        <v>0.14253199999999999</v>
      </c>
      <c r="R2549">
        <v>1.1946770000000001E-2</v>
      </c>
      <c r="S2549">
        <v>-3.0664060000000002</v>
      </c>
      <c r="T2549">
        <v>-0.24140829999999999</v>
      </c>
      <c r="U2549">
        <v>-1.6998289999999999E-2</v>
      </c>
      <c r="V2549">
        <v>-5.4678249999999999E-3</v>
      </c>
      <c r="W2549">
        <v>0.15305379999999999</v>
      </c>
      <c r="X2549">
        <v>0.98820280000000005</v>
      </c>
      <c r="Y2549">
        <v>-2.3271320000000002E-2</v>
      </c>
      <c r="Z2549">
        <v>-2.3181740000000001E-3</v>
      </c>
      <c r="AA2549">
        <v>0.99972649999999996</v>
      </c>
      <c r="AB2549">
        <v>46</v>
      </c>
      <c r="AC2549">
        <v>-13.6328</v>
      </c>
      <c r="AD2549">
        <v>-1.1087214721380001</v>
      </c>
      <c r="AE2549">
        <v>-8.6200000000019303E-2</v>
      </c>
      <c r="AF2549">
        <v>-0.32745360414555902</v>
      </c>
      <c r="AG2549">
        <v>-1.1087214721380001</v>
      </c>
      <c r="AH2549">
        <v>13.5395380699869</v>
      </c>
      <c r="AI2549">
        <v>94.680011358201497</v>
      </c>
      <c r="AJ2549">
        <v>91.385427825971902</v>
      </c>
      <c r="AK2549">
        <v>13.5888034908991</v>
      </c>
      <c r="AL2549">
        <v>81.196060166498697</v>
      </c>
      <c r="AM2549">
        <v>90.317020047502595</v>
      </c>
      <c r="AN2549">
        <v>1.00000006836625</v>
      </c>
    </row>
    <row r="2550" spans="1:40" x14ac:dyDescent="0.25">
      <c r="A2550" t="str">
        <f>"20190312164037939"</f>
        <v>20190312164037939</v>
      </c>
      <c r="B2550" t="str">
        <f>"1552380037928225"</f>
        <v>1552380037928225</v>
      </c>
      <c r="C2550" t="s">
        <v>40</v>
      </c>
      <c r="D2550">
        <v>5.3832610000000001</v>
      </c>
      <c r="E2550">
        <v>0.49892750000000002</v>
      </c>
      <c r="F2550" t="s">
        <v>48</v>
      </c>
      <c r="G2550">
        <v>-376.18380000000002</v>
      </c>
      <c r="H2550" s="1">
        <v>1.753943E-6</v>
      </c>
      <c r="I2550">
        <v>285.43669999999997</v>
      </c>
      <c r="J2550">
        <v>-362.59089999999998</v>
      </c>
      <c r="K2550">
        <v>1.108708</v>
      </c>
      <c r="L2550">
        <v>285.51929999999999</v>
      </c>
      <c r="M2550">
        <v>-0.99977289999999996</v>
      </c>
      <c r="N2550">
        <v>0</v>
      </c>
      <c r="O2550">
        <v>1.8469269999999999E-2</v>
      </c>
      <c r="P2550">
        <v>-0.98978679999999997</v>
      </c>
      <c r="Q2550">
        <v>0.142045</v>
      </c>
      <c r="R2550">
        <v>1.206514E-2</v>
      </c>
      <c r="S2550">
        <v>-3.0661930000000002</v>
      </c>
      <c r="T2550">
        <v>-0.2418293</v>
      </c>
      <c r="U2550">
        <v>-1.6113280000000001E-2</v>
      </c>
      <c r="V2550">
        <v>-5.9540890000000001E-3</v>
      </c>
      <c r="W2550">
        <v>0.1525755</v>
      </c>
      <c r="X2550">
        <v>0.98827390000000004</v>
      </c>
      <c r="Y2550">
        <v>-2.3593610000000001E-2</v>
      </c>
      <c r="Z2550">
        <v>-2.3833930000000001E-3</v>
      </c>
      <c r="AA2550">
        <v>0.99971880000000002</v>
      </c>
      <c r="AB2550">
        <v>46</v>
      </c>
      <c r="AC2550">
        <v>-13.5929</v>
      </c>
      <c r="AD2550">
        <v>-1.1087062460570001</v>
      </c>
      <c r="AE2550">
        <v>-8.2600000000013496E-2</v>
      </c>
      <c r="AF2550">
        <v>-0.33144605468754701</v>
      </c>
      <c r="AG2550">
        <v>-1.1087062460570001</v>
      </c>
      <c r="AH2550">
        <v>13.499250148759399</v>
      </c>
      <c r="AI2550">
        <v>94.693810281990494</v>
      </c>
      <c r="AJ2550">
        <v>91.406496296640398</v>
      </c>
      <c r="AK2550">
        <v>13.548757899010299</v>
      </c>
      <c r="AL2550">
        <v>81.223789985443403</v>
      </c>
      <c r="AM2550">
        <v>90.345187749147101</v>
      </c>
      <c r="AN2550">
        <v>1.0000000178986399</v>
      </c>
    </row>
    <row r="2551" spans="1:40" x14ac:dyDescent="0.25">
      <c r="A2551" t="str">
        <f>"20190312164037961"</f>
        <v>20190312164037961</v>
      </c>
      <c r="B2551" t="str">
        <f>"1552380037958481"</f>
        <v>1552380037958481</v>
      </c>
      <c r="C2551" t="s">
        <v>40</v>
      </c>
      <c r="D2551">
        <v>5.2733429999999997</v>
      </c>
      <c r="E2551">
        <v>0.49888110000000002</v>
      </c>
      <c r="F2551" t="s">
        <v>42</v>
      </c>
      <c r="G2551">
        <v>-363.70249999999999</v>
      </c>
      <c r="H2551">
        <v>1.0207360000000001</v>
      </c>
      <c r="I2551">
        <v>285.51330000000002</v>
      </c>
      <c r="J2551">
        <v>-363.05410000000001</v>
      </c>
      <c r="K2551">
        <v>1.108697</v>
      </c>
      <c r="L2551">
        <v>285.5283</v>
      </c>
      <c r="M2551">
        <v>-0.99976169999999998</v>
      </c>
      <c r="N2551">
        <v>0</v>
      </c>
      <c r="O2551">
        <v>1.9062570000000001E-2</v>
      </c>
      <c r="P2551">
        <v>-0.98989950000000004</v>
      </c>
      <c r="Q2551">
        <v>0.1411973</v>
      </c>
      <c r="R2551">
        <v>1.274868E-2</v>
      </c>
      <c r="S2551">
        <v>-3.0660099999999999</v>
      </c>
      <c r="T2551">
        <v>-0.2425717</v>
      </c>
      <c r="U2551">
        <v>-1.6265870000000002E-2</v>
      </c>
      <c r="V2551">
        <v>-5.8601319999999997E-3</v>
      </c>
      <c r="W2551">
        <v>0.1517366</v>
      </c>
      <c r="X2551">
        <v>0.98840360000000005</v>
      </c>
      <c r="Y2551">
        <v>-2.4232279999999998E-2</v>
      </c>
      <c r="Z2551">
        <v>-2.462919E-3</v>
      </c>
      <c r="AA2551">
        <v>0.99970329999999996</v>
      </c>
      <c r="AB2551">
        <v>46</v>
      </c>
      <c r="AC2551">
        <v>-0.64839999999997999</v>
      </c>
      <c r="AD2551">
        <v>-8.79609999999999E-2</v>
      </c>
      <c r="AE2551">
        <v>-1.49999999999863E-2</v>
      </c>
      <c r="AF2551">
        <v>-2.6864023236573199E-2</v>
      </c>
      <c r="AG2551">
        <v>-8.79609999999999E-2</v>
      </c>
      <c r="AH2551">
        <v>0.63629263004254499</v>
      </c>
      <c r="AI2551">
        <v>97.863758586605101</v>
      </c>
      <c r="AJ2551">
        <v>92.417569402070299</v>
      </c>
      <c r="AK2551">
        <v>0.64290522187326604</v>
      </c>
      <c r="AL2551">
        <v>81.272421560874406</v>
      </c>
      <c r="AM2551">
        <v>90.339696149311905</v>
      </c>
      <c r="AN2551">
        <v>1.0000000067097801</v>
      </c>
    </row>
    <row r="2552" spans="1:40" x14ac:dyDescent="0.25">
      <c r="A2552" t="str">
        <f>"20190312164037985"</f>
        <v>20190312164037985</v>
      </c>
      <c r="B2552" t="str">
        <f>"1552380037978980"</f>
        <v>1552380037978980</v>
      </c>
      <c r="C2552" t="s">
        <v>40</v>
      </c>
      <c r="D2552">
        <v>5.4225399999999997</v>
      </c>
      <c r="E2552">
        <v>0.49880639999999998</v>
      </c>
      <c r="F2552" t="s">
        <v>42</v>
      </c>
      <c r="G2552">
        <v>-364.11939999999998</v>
      </c>
      <c r="H2552">
        <v>1.023533</v>
      </c>
      <c r="I2552">
        <v>285.52350000000001</v>
      </c>
      <c r="J2552">
        <v>-363.55700000000002</v>
      </c>
      <c r="K2552">
        <v>1.108697</v>
      </c>
      <c r="L2552">
        <v>285.53829999999999</v>
      </c>
      <c r="M2552">
        <v>-0.99974949999999996</v>
      </c>
      <c r="N2552">
        <v>0</v>
      </c>
      <c r="O2552">
        <v>1.968319E-2</v>
      </c>
      <c r="P2552">
        <v>-0.98979059999999996</v>
      </c>
      <c r="Q2552">
        <v>0.1419106</v>
      </c>
      <c r="R2552">
        <v>1.327542E-2</v>
      </c>
      <c r="S2552">
        <v>-3.0658259999999999</v>
      </c>
      <c r="T2552">
        <v>-0.24523449999999999</v>
      </c>
      <c r="U2552">
        <v>-1.473999E-2</v>
      </c>
      <c r="V2552">
        <v>-5.9461879999999998E-3</v>
      </c>
      <c r="W2552">
        <v>0.15245629999999999</v>
      </c>
      <c r="X2552">
        <v>0.98829230000000001</v>
      </c>
      <c r="Y2552">
        <v>-2.435029E-2</v>
      </c>
      <c r="Z2552">
        <v>-2.5442920000000001E-3</v>
      </c>
      <c r="AA2552">
        <v>0.99970020000000004</v>
      </c>
      <c r="AB2552">
        <v>46</v>
      </c>
      <c r="AC2552">
        <v>-0.56240000000002499</v>
      </c>
      <c r="AD2552">
        <v>-8.5164000000000004E-2</v>
      </c>
      <c r="AE2552">
        <v>-1.4799999999979699E-2</v>
      </c>
      <c r="AF2552">
        <v>-2.52881085116437E-2</v>
      </c>
      <c r="AG2552">
        <v>-8.5164000000000004E-2</v>
      </c>
      <c r="AH2552">
        <v>0.54940994771362495</v>
      </c>
      <c r="AI2552">
        <v>98.802116047106907</v>
      </c>
      <c r="AJ2552">
        <v>92.635336330704405</v>
      </c>
      <c r="AK2552">
        <v>0.55654621189509901</v>
      </c>
      <c r="AL2552">
        <v>81.230700112475702</v>
      </c>
      <c r="AM2552">
        <v>90.344723282464301</v>
      </c>
      <c r="AN2552">
        <v>0.99999997540035501</v>
      </c>
    </row>
    <row r="2553" spans="1:40" x14ac:dyDescent="0.25">
      <c r="A2553" t="str">
        <f>"20190312164038007"</f>
        <v>20190312164038007</v>
      </c>
      <c r="B2553" t="str">
        <f>"1552380037998500"</f>
        <v>1552380037998500</v>
      </c>
      <c r="C2553" t="s">
        <v>40</v>
      </c>
      <c r="D2553">
        <v>5.2816320000000001</v>
      </c>
      <c r="E2553">
        <v>0.4987181</v>
      </c>
      <c r="F2553" t="s">
        <v>42</v>
      </c>
      <c r="G2553">
        <v>-364.54599999999999</v>
      </c>
      <c r="H2553">
        <v>1.03067999999999</v>
      </c>
      <c r="I2553">
        <v>285.5342</v>
      </c>
      <c r="J2553">
        <v>-364.00099999999998</v>
      </c>
      <c r="K2553">
        <v>1.1087049999999901</v>
      </c>
      <c r="L2553">
        <v>285.54739999999998</v>
      </c>
      <c r="M2553">
        <v>-0.99973920000000005</v>
      </c>
      <c r="N2553">
        <v>0</v>
      </c>
      <c r="O2553">
        <v>2.0196180000000001E-2</v>
      </c>
      <c r="P2553">
        <v>-0.9897553</v>
      </c>
      <c r="Q2553">
        <v>0.14208799999999999</v>
      </c>
      <c r="R2553">
        <v>1.397693E-2</v>
      </c>
      <c r="S2553">
        <v>-3.0658259999999999</v>
      </c>
      <c r="T2553">
        <v>-0.24201120000000001</v>
      </c>
      <c r="U2553">
        <v>-1.3549800000000001E-2</v>
      </c>
      <c r="V2553">
        <v>-5.757051E-3</v>
      </c>
      <c r="W2553">
        <v>0.15264</v>
      </c>
      <c r="X2553">
        <v>0.98826510000000001</v>
      </c>
      <c r="Y2553">
        <v>-2.4476850000000001E-2</v>
      </c>
      <c r="Z2553">
        <v>-2.5563719999999999E-3</v>
      </c>
      <c r="AA2553">
        <v>0.99969710000000001</v>
      </c>
      <c r="AB2553">
        <v>46</v>
      </c>
      <c r="AC2553">
        <v>-0.54500000000001503</v>
      </c>
      <c r="AD2553">
        <v>-7.8024999999999997E-2</v>
      </c>
      <c r="AE2553">
        <v>-1.31999999999834E-2</v>
      </c>
      <c r="AF2553">
        <v>-2.3718985576604699E-2</v>
      </c>
      <c r="AG2553">
        <v>-7.8024999999999997E-2</v>
      </c>
      <c r="AH2553">
        <v>0.53368998852536997</v>
      </c>
      <c r="AI2553">
        <v>98.309576943544997</v>
      </c>
      <c r="AJ2553">
        <v>92.544743363404706</v>
      </c>
      <c r="AK2553">
        <v>0.53988470505654496</v>
      </c>
      <c r="AL2553">
        <v>81.220050542829</v>
      </c>
      <c r="AM2553">
        <v>90.333767724433997</v>
      </c>
      <c r="AN2553">
        <v>1.0000000105571101</v>
      </c>
    </row>
    <row r="2554" spans="1:40" x14ac:dyDescent="0.25">
      <c r="A2554" t="str">
        <f>"20190312164038029"</f>
        <v>20190312164038029</v>
      </c>
      <c r="B2554" t="str">
        <f>"1552380038018992"</f>
        <v>1552380038018992</v>
      </c>
      <c r="C2554" t="s">
        <v>40</v>
      </c>
      <c r="D2554">
        <v>5.3344079999999998</v>
      </c>
      <c r="E2554">
        <v>0.49865280000000001</v>
      </c>
      <c r="F2554" t="s">
        <v>48</v>
      </c>
      <c r="G2554">
        <v>-378.03989999999999</v>
      </c>
      <c r="H2554" s="1">
        <v>2.7416539999999999E-6</v>
      </c>
      <c r="I2554">
        <v>285.48970000000003</v>
      </c>
      <c r="J2554">
        <v>-364.45800000000003</v>
      </c>
      <c r="K2554">
        <v>1.108733</v>
      </c>
      <c r="L2554">
        <v>285.55689999999998</v>
      </c>
      <c r="M2554">
        <v>-0.9997296</v>
      </c>
      <c r="N2554">
        <v>0</v>
      </c>
      <c r="O2554">
        <v>2.0669839999999998E-2</v>
      </c>
      <c r="P2554">
        <v>-0.98974039999999996</v>
      </c>
      <c r="Q2554">
        <v>0.1421878</v>
      </c>
      <c r="R2554">
        <v>1.4029639999999999E-2</v>
      </c>
      <c r="S2554">
        <v>-3.065979</v>
      </c>
      <c r="T2554">
        <v>-0.24213119999999999</v>
      </c>
      <c r="U2554">
        <v>-1.260376E-2</v>
      </c>
      <c r="V2554">
        <v>-6.1843640000000004E-3</v>
      </c>
      <c r="W2554">
        <v>0.1527461</v>
      </c>
      <c r="X2554">
        <v>0.98824610000000002</v>
      </c>
      <c r="Y2554">
        <v>-2.4639709999999999E-2</v>
      </c>
      <c r="Z2554">
        <v>-2.601276E-3</v>
      </c>
      <c r="AA2554">
        <v>0.99969300000000005</v>
      </c>
      <c r="AB2554">
        <v>46</v>
      </c>
      <c r="AC2554">
        <v>-13.5818999999999</v>
      </c>
      <c r="AD2554">
        <v>-1.1087302583459999</v>
      </c>
      <c r="AE2554">
        <v>-6.7199999999957002E-2</v>
      </c>
      <c r="AF2554">
        <v>-0.34563404595432501</v>
      </c>
      <c r="AG2554">
        <v>-1.1087302583459999</v>
      </c>
      <c r="AH2554">
        <v>13.4877297355519</v>
      </c>
      <c r="AI2554">
        <v>94.697776995261805</v>
      </c>
      <c r="AJ2554">
        <v>91.467929691887804</v>
      </c>
      <c r="AK2554">
        <v>13.537636392619801</v>
      </c>
      <c r="AL2554">
        <v>81.2138991101925</v>
      </c>
      <c r="AM2554">
        <v>90.358547664197005</v>
      </c>
      <c r="AN2554">
        <v>0.99999998579425198</v>
      </c>
    </row>
    <row r="2555" spans="1:40" x14ac:dyDescent="0.25">
      <c r="A2555" t="str">
        <f>"20190312164038051"</f>
        <v>20190312164038051</v>
      </c>
      <c r="B2555" t="str">
        <f>"1552380038038513"</f>
        <v>1552380038038513</v>
      </c>
      <c r="C2555" t="s">
        <v>40</v>
      </c>
      <c r="D2555">
        <v>5.2757769999999997</v>
      </c>
      <c r="E2555">
        <v>0.4985851</v>
      </c>
      <c r="F2555" t="s">
        <v>48</v>
      </c>
      <c r="G2555">
        <v>-378.55950000000001</v>
      </c>
      <c r="H2555" s="1">
        <v>3.0181660000000001E-6</v>
      </c>
      <c r="I2555">
        <v>285.49590000000001</v>
      </c>
      <c r="J2555">
        <v>-364.92079999999999</v>
      </c>
      <c r="K2555">
        <v>1.1087800000000001</v>
      </c>
      <c r="L2555">
        <v>285.5668</v>
      </c>
      <c r="M2555">
        <v>-0.99972099999999997</v>
      </c>
      <c r="N2555">
        <v>0</v>
      </c>
      <c r="O2555">
        <v>2.107361E-2</v>
      </c>
      <c r="P2555">
        <v>-0.98973350000000004</v>
      </c>
      <c r="Q2555">
        <v>0.14219189999999901</v>
      </c>
      <c r="R2555">
        <v>1.4461470000000001E-2</v>
      </c>
      <c r="S2555">
        <v>-3.0659179999999999</v>
      </c>
      <c r="T2555">
        <v>-0.24105689999999999</v>
      </c>
      <c r="U2555">
        <v>-1.3275149999999999E-2</v>
      </c>
      <c r="V2555">
        <v>-6.1706869999999898E-3</v>
      </c>
      <c r="W2555">
        <v>0.152756</v>
      </c>
      <c r="X2555">
        <v>0.98824469999999998</v>
      </c>
      <c r="Y2555">
        <v>-2.526053E-2</v>
      </c>
      <c r="Z2555">
        <v>-2.6458839999999998E-3</v>
      </c>
      <c r="AA2555">
        <v>0.99967740000000005</v>
      </c>
      <c r="AB2555">
        <v>46</v>
      </c>
      <c r="AC2555">
        <v>-13.6387</v>
      </c>
      <c r="AD2555">
        <v>-1.1087769818340001</v>
      </c>
      <c r="AE2555">
        <v>-7.0899999999994606E-2</v>
      </c>
      <c r="AF2555">
        <v>-0.35596471344173097</v>
      </c>
      <c r="AG2555">
        <v>-1.1087769818340001</v>
      </c>
      <c r="AH2555">
        <v>13.544661035467101</v>
      </c>
      <c r="AI2555">
        <v>94.678236136508701</v>
      </c>
      <c r="AJ2555">
        <v>91.505433180130396</v>
      </c>
      <c r="AK2555">
        <v>13.594629080573</v>
      </c>
      <c r="AL2555">
        <v>81.213325537789402</v>
      </c>
      <c r="AM2555">
        <v>90.357755247295202</v>
      </c>
      <c r="AN2555">
        <v>1.0000000299960701</v>
      </c>
    </row>
    <row r="2556" spans="1:40" x14ac:dyDescent="0.25">
      <c r="A2556" t="str">
        <f>"20190312164038074"</f>
        <v>20190312164038074</v>
      </c>
      <c r="B2556" t="str">
        <f>"1552380038068769"</f>
        <v>1552380038068769</v>
      </c>
      <c r="C2556" t="s">
        <v>40</v>
      </c>
      <c r="D2556">
        <v>5.4711489999999996</v>
      </c>
      <c r="E2556">
        <v>0.49849680000000002</v>
      </c>
      <c r="F2556" t="s">
        <v>48</v>
      </c>
      <c r="G2556">
        <v>-379.07</v>
      </c>
      <c r="H2556" s="1">
        <v>3.2898389999999998E-6</v>
      </c>
      <c r="I2556">
        <v>285.50799999999998</v>
      </c>
      <c r="J2556">
        <v>-365.3895</v>
      </c>
      <c r="K2556">
        <v>1.108857</v>
      </c>
      <c r="L2556">
        <v>285.57679999999999</v>
      </c>
      <c r="M2556">
        <v>-0.9997142</v>
      </c>
      <c r="N2556">
        <v>0</v>
      </c>
      <c r="O2556">
        <v>2.1391500000000001E-2</v>
      </c>
      <c r="P2556">
        <v>-0.98968670000000003</v>
      </c>
      <c r="Q2556">
        <v>0.14255909999999999</v>
      </c>
      <c r="R2556">
        <v>1.403691E-2</v>
      </c>
      <c r="S2556">
        <v>-3.0658259999999999</v>
      </c>
      <c r="T2556">
        <v>-0.24024770000000001</v>
      </c>
      <c r="U2556">
        <v>-1.272583E-2</v>
      </c>
      <c r="V2556">
        <v>-6.9341460000000004E-3</v>
      </c>
      <c r="W2556">
        <v>0.15313009999999999</v>
      </c>
      <c r="X2556">
        <v>0.98818170000000005</v>
      </c>
      <c r="Y2556">
        <v>-2.5398980000000002E-2</v>
      </c>
      <c r="Z2556">
        <v>-2.667394E-3</v>
      </c>
      <c r="AA2556">
        <v>0.99967379999999995</v>
      </c>
      <c r="AB2556">
        <v>46</v>
      </c>
      <c r="AC2556">
        <v>-13.680499999999901</v>
      </c>
      <c r="AD2556">
        <v>-1.1088537101610001</v>
      </c>
      <c r="AE2556">
        <v>-6.8800000000010103E-2</v>
      </c>
      <c r="AF2556">
        <v>-0.35908830421402799</v>
      </c>
      <c r="AG2556">
        <v>-1.1088537101610001</v>
      </c>
      <c r="AH2556">
        <v>13.586639703415001</v>
      </c>
      <c r="AI2556">
        <v>94.664148775398004</v>
      </c>
      <c r="AJ2556">
        <v>91.513947249473006</v>
      </c>
      <c r="AK2556">
        <v>13.6365420613576</v>
      </c>
      <c r="AL2556">
        <v>81.191635664307</v>
      </c>
      <c r="AM2556">
        <v>90.402042235383007</v>
      </c>
      <c r="AN2556">
        <v>0.99999999106082404</v>
      </c>
    </row>
    <row r="2557" spans="1:40" x14ac:dyDescent="0.25">
      <c r="A2557" t="str">
        <f>"20190312164038096"</f>
        <v>20190312164038096</v>
      </c>
      <c r="B2557" t="str">
        <f>"1552380038088289"</f>
        <v>1552380038088289</v>
      </c>
      <c r="C2557" t="s">
        <v>40</v>
      </c>
      <c r="D2557">
        <v>5.3856830000000002</v>
      </c>
      <c r="E2557">
        <v>0.49843979999999999</v>
      </c>
      <c r="F2557" t="s">
        <v>48</v>
      </c>
      <c r="G2557">
        <v>-379.61520000000002</v>
      </c>
      <c r="H2557" s="1">
        <v>3.5799249999999999E-6</v>
      </c>
      <c r="I2557">
        <v>285.5093</v>
      </c>
      <c r="J2557">
        <v>-365.85300000000001</v>
      </c>
      <c r="K2557">
        <v>1.1089450000000001</v>
      </c>
      <c r="L2557">
        <v>285.58690000000001</v>
      </c>
      <c r="M2557">
        <v>-0.99970919999999996</v>
      </c>
      <c r="N2557">
        <v>0</v>
      </c>
      <c r="O2557">
        <v>2.1621080000000001E-2</v>
      </c>
      <c r="P2557">
        <v>-0.9895929</v>
      </c>
      <c r="Q2557">
        <v>0.14328050000000001</v>
      </c>
      <c r="R2557">
        <v>1.3306439999999999E-2</v>
      </c>
      <c r="S2557">
        <v>-3.065887</v>
      </c>
      <c r="T2557">
        <v>-0.2389772</v>
      </c>
      <c r="U2557">
        <v>-1.4556879999999999E-2</v>
      </c>
      <c r="V2557">
        <v>-7.9166389999999996E-3</v>
      </c>
      <c r="W2557">
        <v>0.15385670000000001</v>
      </c>
      <c r="X2557">
        <v>0.98806139999999998</v>
      </c>
      <c r="Y2557">
        <v>-2.6223799999999999E-2</v>
      </c>
      <c r="Z2557">
        <v>-2.70324E-3</v>
      </c>
      <c r="AA2557">
        <v>0.9996524</v>
      </c>
      <c r="AB2557">
        <v>47</v>
      </c>
      <c r="AC2557">
        <v>-13.7622</v>
      </c>
      <c r="AD2557">
        <v>-1.1089414200749901</v>
      </c>
      <c r="AE2557">
        <v>-7.7600000000018099E-2</v>
      </c>
      <c r="AF2557">
        <v>-0.37273240103460498</v>
      </c>
      <c r="AG2557">
        <v>-1.1089414200749901</v>
      </c>
      <c r="AH2557">
        <v>13.668558324140999</v>
      </c>
      <c r="AI2557">
        <v>94.636578867051298</v>
      </c>
      <c r="AJ2557">
        <v>91.562030300979799</v>
      </c>
      <c r="AK2557">
        <v>13.718533710873899</v>
      </c>
      <c r="AL2557">
        <v>81.1495048686362</v>
      </c>
      <c r="AM2557">
        <v>90.459060840399701</v>
      </c>
      <c r="AN2557">
        <v>0.99999994373895096</v>
      </c>
    </row>
    <row r="2558" spans="1:40" x14ac:dyDescent="0.25">
      <c r="A2558" t="str">
        <f>"20190312164038117"</f>
        <v>20190312164038117</v>
      </c>
      <c r="B2558" t="str">
        <f>"1552380038108785"</f>
        <v>1552380038108785</v>
      </c>
      <c r="C2558" t="s">
        <v>40</v>
      </c>
      <c r="D2558">
        <v>5.391159</v>
      </c>
      <c r="E2558">
        <v>0.49838840000000001</v>
      </c>
      <c r="F2558" t="s">
        <v>48</v>
      </c>
      <c r="G2558">
        <v>-380.20890000000003</v>
      </c>
      <c r="H2558" s="1">
        <v>-1.42564E-6</v>
      </c>
      <c r="I2558">
        <v>285.50729999999999</v>
      </c>
      <c r="J2558">
        <v>-366.30329999999998</v>
      </c>
      <c r="K2558">
        <v>1.10902099999999</v>
      </c>
      <c r="L2558">
        <v>285.5967</v>
      </c>
      <c r="M2558">
        <v>-0.99970599999999998</v>
      </c>
      <c r="N2558">
        <v>0</v>
      </c>
      <c r="O2558">
        <v>2.1765039999999999E-2</v>
      </c>
      <c r="P2558">
        <v>-0.98954299999999995</v>
      </c>
      <c r="Q2558">
        <v>0.14374189999999901</v>
      </c>
      <c r="R2558">
        <v>1.196351E-2</v>
      </c>
      <c r="S2558">
        <v>-3.066071</v>
      </c>
      <c r="T2558">
        <v>-0.23684430000000001</v>
      </c>
      <c r="U2558">
        <v>-1.6998289999999999E-2</v>
      </c>
      <c r="V2558">
        <v>-9.4287769999999993E-3</v>
      </c>
      <c r="W2558">
        <v>0.15432360000000001</v>
      </c>
      <c r="X2558">
        <v>0.98797539999999995</v>
      </c>
      <c r="Y2558">
        <v>-2.7162800000000001E-2</v>
      </c>
      <c r="Z2558">
        <v>-2.7263410000000002E-3</v>
      </c>
      <c r="AA2558">
        <v>0.9996273</v>
      </c>
      <c r="AB2558">
        <v>47</v>
      </c>
      <c r="AC2558">
        <v>-13.9056</v>
      </c>
      <c r="AD2558">
        <v>-1.1090224256400001</v>
      </c>
      <c r="AE2558">
        <v>-8.9400000000011901E-2</v>
      </c>
      <c r="AF2558">
        <v>-0.38957420179309399</v>
      </c>
      <c r="AG2558">
        <v>-1.1090224256400001</v>
      </c>
      <c r="AH2558">
        <v>13.812506840395899</v>
      </c>
      <c r="AI2558">
        <v>94.588681003620593</v>
      </c>
      <c r="AJ2558">
        <v>91.615567828698403</v>
      </c>
      <c r="AK2558">
        <v>13.8624328317673</v>
      </c>
      <c r="AL2558">
        <v>81.122430908318805</v>
      </c>
      <c r="AM2558">
        <v>90.546787630321504</v>
      </c>
      <c r="AN2558">
        <v>1.0000000331789101</v>
      </c>
    </row>
    <row r="2559" spans="1:40" x14ac:dyDescent="0.25">
      <c r="A2559" t="str">
        <f>"20190312164038140"</f>
        <v>20190312164038140</v>
      </c>
      <c r="B2559" t="str">
        <f>"1552380038128304"</f>
        <v>1552380038128304</v>
      </c>
      <c r="C2559" t="s">
        <v>40</v>
      </c>
      <c r="D2559">
        <v>5.6733640000000003</v>
      </c>
      <c r="E2559">
        <v>0.49835940000000001</v>
      </c>
      <c r="F2559" t="s">
        <v>48</v>
      </c>
      <c r="G2559">
        <v>-380.77780000000001</v>
      </c>
      <c r="H2559" s="1">
        <v>-1.1228709999999999E-6</v>
      </c>
      <c r="I2559">
        <v>285.49470000000002</v>
      </c>
      <c r="J2559">
        <v>-366.7801</v>
      </c>
      <c r="K2559">
        <v>1.109102</v>
      </c>
      <c r="L2559">
        <v>285.60700000000003</v>
      </c>
      <c r="M2559">
        <v>-0.99970499999999995</v>
      </c>
      <c r="N2559">
        <v>0</v>
      </c>
      <c r="O2559">
        <v>2.181686E-2</v>
      </c>
      <c r="P2559">
        <v>-0.98953530000000001</v>
      </c>
      <c r="Q2559">
        <v>0.1439357</v>
      </c>
      <c r="R2559">
        <v>1.0150910000000001E-2</v>
      </c>
      <c r="S2559">
        <v>-3.0661010000000002</v>
      </c>
      <c r="T2559">
        <v>-0.23492160000000001</v>
      </c>
      <c r="U2559">
        <v>-2.1606449999999999E-2</v>
      </c>
      <c r="V2559">
        <v>-1.1323649999999999E-2</v>
      </c>
      <c r="W2559">
        <v>0.15452340000000001</v>
      </c>
      <c r="X2559">
        <v>0.98792420000000003</v>
      </c>
      <c r="Y2559">
        <v>-2.8714489999999999E-2</v>
      </c>
      <c r="Z2559">
        <v>-2.767561E-3</v>
      </c>
      <c r="AA2559">
        <v>0.99958380000000002</v>
      </c>
      <c r="AB2559">
        <v>47</v>
      </c>
      <c r="AC2559">
        <v>-13.9977</v>
      </c>
      <c r="AD2559">
        <v>-1.109103122871</v>
      </c>
      <c r="AE2559">
        <v>-0.11230000000000399</v>
      </c>
      <c r="AF2559">
        <v>-0.41507082590521899</v>
      </c>
      <c r="AG2559">
        <v>-1.109103122871</v>
      </c>
      <c r="AH2559">
        <v>13.904628286906799</v>
      </c>
      <c r="AI2559">
        <v>94.558521929932994</v>
      </c>
      <c r="AJ2559">
        <v>91.709844077155196</v>
      </c>
      <c r="AK2559">
        <v>13.954966188591399</v>
      </c>
      <c r="AL2559">
        <v>81.110843620935</v>
      </c>
      <c r="AM2559">
        <v>90.656699110277401</v>
      </c>
      <c r="AN2559">
        <v>0.99999996557126003</v>
      </c>
    </row>
    <row r="2560" spans="1:40" x14ac:dyDescent="0.25">
      <c r="A2560" t="str">
        <f>"20190312164038163"</f>
        <v>20190312164038163</v>
      </c>
      <c r="B2560" t="str">
        <f>"1552380038158561"</f>
        <v>1552380038158561</v>
      </c>
      <c r="C2560" t="s">
        <v>40</v>
      </c>
      <c r="D2560">
        <v>6.1133620000000004</v>
      </c>
      <c r="E2560">
        <v>0.49828090000000003</v>
      </c>
      <c r="F2560" t="s">
        <v>42</v>
      </c>
      <c r="G2560">
        <v>-367.87430000000001</v>
      </c>
      <c r="H2560">
        <v>1.025604</v>
      </c>
      <c r="I2560">
        <v>285.59739999999999</v>
      </c>
      <c r="J2560">
        <v>-367.24720000000002</v>
      </c>
      <c r="K2560">
        <v>1.109192</v>
      </c>
      <c r="L2560">
        <v>285.61720000000003</v>
      </c>
      <c r="M2560">
        <v>-0.99970559999999997</v>
      </c>
      <c r="N2560">
        <v>0</v>
      </c>
      <c r="O2560">
        <v>2.1773730000000002E-2</v>
      </c>
      <c r="P2560">
        <v>-0.98955040000000005</v>
      </c>
      <c r="Q2560">
        <v>0.14395179999999999</v>
      </c>
      <c r="R2560">
        <v>8.2554550000000001E-3</v>
      </c>
      <c r="S2560">
        <v>-3.0660400000000001</v>
      </c>
      <c r="T2560">
        <v>-0.23392859999999999</v>
      </c>
      <c r="U2560">
        <v>-2.676392E-2</v>
      </c>
      <c r="V2560">
        <v>-1.3209780000000001E-2</v>
      </c>
      <c r="W2560">
        <v>0.15454499999999999</v>
      </c>
      <c r="X2560">
        <v>0.98789749999999998</v>
      </c>
      <c r="Y2560">
        <v>-3.034941E-2</v>
      </c>
      <c r="Z2560">
        <v>-2.8149329999999999E-3</v>
      </c>
      <c r="AA2560">
        <v>0.99953539999999996</v>
      </c>
      <c r="AB2560">
        <v>47</v>
      </c>
      <c r="AC2560">
        <v>-0.627099999999984</v>
      </c>
      <c r="AD2560">
        <v>-8.3587999999999704E-2</v>
      </c>
      <c r="AE2560">
        <v>-1.9800000000032E-2</v>
      </c>
      <c r="AF2560">
        <v>-3.2867026904612198E-2</v>
      </c>
      <c r="AG2560">
        <v>-8.3587999999999704E-2</v>
      </c>
      <c r="AH2560">
        <v>0.61559380159932398</v>
      </c>
      <c r="AI2560">
        <v>97.721713497497703</v>
      </c>
      <c r="AJ2560">
        <v>93.056164033405693</v>
      </c>
      <c r="AK2560">
        <v>0.622111665032136</v>
      </c>
      <c r="AL2560">
        <v>81.109591857074307</v>
      </c>
      <c r="AM2560">
        <v>90.766091156232804</v>
      </c>
      <c r="AN2560">
        <v>1.0000000629094401</v>
      </c>
    </row>
    <row r="2561" spans="1:40" x14ac:dyDescent="0.25">
      <c r="A2561" t="str">
        <f>"20190312164038185"</f>
        <v>20190312164038185</v>
      </c>
      <c r="B2561" t="str">
        <f>"1552380038179057"</f>
        <v>1552380038179057</v>
      </c>
      <c r="C2561" t="s">
        <v>40</v>
      </c>
      <c r="D2561">
        <v>5.3828820000000004</v>
      </c>
      <c r="E2561">
        <v>0.49824220000000002</v>
      </c>
      <c r="F2561" t="s">
        <v>48</v>
      </c>
      <c r="G2561">
        <v>-381.82459999999998</v>
      </c>
      <c r="H2561" s="1">
        <v>-5.6584710000000002E-7</v>
      </c>
      <c r="I2561">
        <v>285.46039999999999</v>
      </c>
      <c r="J2561">
        <v>-367.72390000000001</v>
      </c>
      <c r="K2561">
        <v>1.1092820000000001</v>
      </c>
      <c r="L2561">
        <v>285.62740000000002</v>
      </c>
      <c r="M2561">
        <v>-0.99970829999999999</v>
      </c>
      <c r="N2561">
        <v>0</v>
      </c>
      <c r="O2561">
        <v>2.1646140000000001E-2</v>
      </c>
      <c r="P2561">
        <v>-0.98961010000000005</v>
      </c>
      <c r="Q2561">
        <v>0.14360729999999999</v>
      </c>
      <c r="R2561">
        <v>6.9864659999999898E-3</v>
      </c>
      <c r="S2561">
        <v>-3.065887</v>
      </c>
      <c r="T2561">
        <v>-0.23328289999999999</v>
      </c>
      <c r="U2561">
        <v>-3.2958979999999999E-2</v>
      </c>
      <c r="V2561">
        <v>-1.438774E-2</v>
      </c>
      <c r="W2561">
        <v>0.1542058</v>
      </c>
      <c r="X2561">
        <v>0.98793399999999998</v>
      </c>
      <c r="Y2561">
        <v>-3.2237479999999999E-2</v>
      </c>
      <c r="Z2561">
        <v>-2.8693410000000001E-3</v>
      </c>
      <c r="AA2561">
        <v>0.99947609999999998</v>
      </c>
      <c r="AB2561">
        <v>47</v>
      </c>
      <c r="AC2561">
        <v>-14.1006999999999</v>
      </c>
      <c r="AD2561">
        <v>-1.1092825658470999</v>
      </c>
      <c r="AE2561">
        <v>-0.16700000000003001</v>
      </c>
      <c r="AF2561">
        <v>-0.46930013366254503</v>
      </c>
      <c r="AG2561">
        <v>-1.1092825658470999</v>
      </c>
      <c r="AH2561">
        <v>14.007106301873501</v>
      </c>
      <c r="AI2561">
        <v>94.525518226256807</v>
      </c>
      <c r="AJ2561">
        <v>91.918944699826994</v>
      </c>
      <c r="AK2561">
        <v>14.058797152613501</v>
      </c>
      <c r="AL2561">
        <v>81.129261934984996</v>
      </c>
      <c r="AM2561">
        <v>90.834365965386993</v>
      </c>
      <c r="AN2561">
        <v>1.00000001208597</v>
      </c>
    </row>
    <row r="2562" spans="1:40" x14ac:dyDescent="0.25">
      <c r="A2562" t="str">
        <f>"20190312164038207"</f>
        <v>20190312164038207</v>
      </c>
      <c r="B2562" t="str">
        <f>"1552380038198583"</f>
        <v>1552380038198583</v>
      </c>
      <c r="C2562" t="s">
        <v>40</v>
      </c>
      <c r="D2562">
        <v>5.397132</v>
      </c>
      <c r="E2562">
        <v>0.49822280000000002</v>
      </c>
      <c r="F2562" t="s">
        <v>48</v>
      </c>
      <c r="G2562">
        <v>-382.25810000000001</v>
      </c>
      <c r="H2562" s="1">
        <v>-3.3514490000000001E-7</v>
      </c>
      <c r="I2562">
        <v>285.4522</v>
      </c>
      <c r="J2562">
        <v>-368.16770000000002</v>
      </c>
      <c r="K2562">
        <v>1.1093660000000001</v>
      </c>
      <c r="L2562">
        <v>285.63690000000003</v>
      </c>
      <c r="M2562">
        <v>-0.9997125</v>
      </c>
      <c r="N2562">
        <v>0</v>
      </c>
      <c r="O2562">
        <v>2.1451890000000001E-2</v>
      </c>
      <c r="P2562">
        <v>-0.98956840000000001</v>
      </c>
      <c r="Q2562">
        <v>0.14394399999999999</v>
      </c>
      <c r="R2562">
        <v>5.8873650000000003E-3</v>
      </c>
      <c r="S2562">
        <v>-3.0657040000000002</v>
      </c>
      <c r="T2562">
        <v>-0.23398160000000001</v>
      </c>
      <c r="U2562">
        <v>-3.6956790000000003E-2</v>
      </c>
      <c r="V2562">
        <v>-1.532531E-2</v>
      </c>
      <c r="W2562">
        <v>0.1545455</v>
      </c>
      <c r="X2562">
        <v>0.98786680000000004</v>
      </c>
      <c r="Y2562">
        <v>-3.3343480000000002E-2</v>
      </c>
      <c r="Z2562">
        <v>-2.9054060000000001E-3</v>
      </c>
      <c r="AA2562">
        <v>0.99943970000000004</v>
      </c>
      <c r="AB2562">
        <v>47</v>
      </c>
      <c r="AC2562">
        <v>-14.090399999999899</v>
      </c>
      <c r="AD2562">
        <v>-1.1093663351448999</v>
      </c>
      <c r="AE2562">
        <v>-0.18470000000001999</v>
      </c>
      <c r="AF2562">
        <v>-0.48394123482226198</v>
      </c>
      <c r="AG2562">
        <v>-1.1093663351448999</v>
      </c>
      <c r="AH2562">
        <v>13.9964493525279</v>
      </c>
      <c r="AI2562">
        <v>94.529125899880995</v>
      </c>
      <c r="AJ2562">
        <v>91.980269994637396</v>
      </c>
      <c r="AK2562">
        <v>14.048682758970401</v>
      </c>
      <c r="AL2562">
        <v>81.109562257732406</v>
      </c>
      <c r="AM2562">
        <v>90.888789005544396</v>
      </c>
      <c r="AN2562">
        <v>0.999999995619543</v>
      </c>
    </row>
    <row r="2563" spans="1:40" x14ac:dyDescent="0.25">
      <c r="A2563" t="str">
        <f>"20190312164038230"</f>
        <v>20190312164038230</v>
      </c>
      <c r="B2563" t="str">
        <f>"1552380038219073"</f>
        <v>1552380038219073</v>
      </c>
      <c r="C2563" t="s">
        <v>40</v>
      </c>
      <c r="D2563">
        <v>5.3618829999999997</v>
      </c>
      <c r="E2563">
        <v>0.49823499999999998</v>
      </c>
      <c r="F2563" t="s">
        <v>48</v>
      </c>
      <c r="G2563">
        <v>-382.7688</v>
      </c>
      <c r="H2563" s="1">
        <v>-6.3357519999999997E-8</v>
      </c>
      <c r="I2563">
        <v>285.44560000000001</v>
      </c>
      <c r="J2563">
        <v>-368.6447</v>
      </c>
      <c r="K2563">
        <v>1.1094710000000001</v>
      </c>
      <c r="L2563">
        <v>285.64690000000002</v>
      </c>
      <c r="M2563">
        <v>-0.99971869999999996</v>
      </c>
      <c r="N2563">
        <v>0</v>
      </c>
      <c r="O2563">
        <v>2.1159600000000001E-2</v>
      </c>
      <c r="P2563">
        <v>-0.98953089999999999</v>
      </c>
      <c r="Q2563">
        <v>0.1442416</v>
      </c>
      <c r="R2563">
        <v>4.8471E-3</v>
      </c>
      <c r="S2563">
        <v>-3.0657040000000002</v>
      </c>
      <c r="T2563">
        <v>-0.23292669999999999</v>
      </c>
      <c r="U2563">
        <v>-4.0161130000000003E-2</v>
      </c>
      <c r="V2563">
        <v>-1.6111190000000001E-2</v>
      </c>
      <c r="W2563">
        <v>0.15484700000000001</v>
      </c>
      <c r="X2563">
        <v>0.98780710000000005</v>
      </c>
      <c r="Y2563">
        <v>-3.4095849999999997E-2</v>
      </c>
      <c r="Z2563">
        <v>-2.8986960000000001E-3</v>
      </c>
      <c r="AA2563">
        <v>0.99941440000000004</v>
      </c>
      <c r="AB2563">
        <v>47</v>
      </c>
      <c r="AC2563">
        <v>-14.1241</v>
      </c>
      <c r="AD2563">
        <v>-1.10947106335751</v>
      </c>
      <c r="AE2563">
        <v>-0.201300000000003</v>
      </c>
      <c r="AF2563">
        <v>-0.49706593504075403</v>
      </c>
      <c r="AG2563">
        <v>-1.10947106335751</v>
      </c>
      <c r="AH2563">
        <v>14.0301244136049</v>
      </c>
      <c r="AI2563">
        <v>94.518590842268196</v>
      </c>
      <c r="AJ2563">
        <v>92.029053529591593</v>
      </c>
      <c r="AK2563">
        <v>14.0826983084009</v>
      </c>
      <c r="AL2563">
        <v>81.092077272078399</v>
      </c>
      <c r="AM2563">
        <v>90.934414572427897</v>
      </c>
      <c r="AN2563">
        <v>1.00000001533131</v>
      </c>
    </row>
    <row r="2564" spans="1:40" x14ac:dyDescent="0.25">
      <c r="A2564" t="str">
        <f>"20190312164038253"</f>
        <v>20190312164038253</v>
      </c>
      <c r="B2564" t="str">
        <f>"1552380038248353"</f>
        <v>1552380038248353</v>
      </c>
      <c r="C2564" t="s">
        <v>40</v>
      </c>
      <c r="D2564">
        <v>5.2919539999999996</v>
      </c>
      <c r="E2564">
        <v>0.4982106</v>
      </c>
      <c r="F2564" t="s">
        <v>48</v>
      </c>
      <c r="G2564">
        <v>-383.24329999999998</v>
      </c>
      <c r="H2564" s="1">
        <v>1.891331E-7</v>
      </c>
      <c r="I2564">
        <v>285.44349999999997</v>
      </c>
      <c r="J2564">
        <v>-369.12520000000001</v>
      </c>
      <c r="K2564">
        <v>1.1095759999999999</v>
      </c>
      <c r="L2564">
        <v>285.65679999999998</v>
      </c>
      <c r="M2564">
        <v>-0.99972640000000002</v>
      </c>
      <c r="N2564">
        <v>0</v>
      </c>
      <c r="O2564">
        <v>2.077785E-2</v>
      </c>
      <c r="P2564">
        <v>-0.98944529999999997</v>
      </c>
      <c r="Q2564">
        <v>0.14485889999999901</v>
      </c>
      <c r="R2564">
        <v>3.739614E-3</v>
      </c>
      <c r="S2564">
        <v>-3.0659179999999999</v>
      </c>
      <c r="T2564">
        <v>-0.2330053</v>
      </c>
      <c r="U2564">
        <v>-4.2724610000000003E-2</v>
      </c>
      <c r="V2564">
        <v>-1.687775E-2</v>
      </c>
      <c r="W2564">
        <v>0.1554712</v>
      </c>
      <c r="X2564">
        <v>0.98769620000000002</v>
      </c>
      <c r="Y2564">
        <v>-3.4548479999999999E-2</v>
      </c>
      <c r="Z2564">
        <v>-2.8876629999999999E-3</v>
      </c>
      <c r="AA2564">
        <v>0.99939880000000003</v>
      </c>
      <c r="AB2564">
        <v>47</v>
      </c>
      <c r="AC2564">
        <v>-14.118099999999901</v>
      </c>
      <c r="AD2564">
        <v>-1.1095758108669</v>
      </c>
      <c r="AE2564">
        <v>-0.21330000000000299</v>
      </c>
      <c r="AF2564">
        <v>-0.50350531231609597</v>
      </c>
      <c r="AG2564">
        <v>-1.1095758108669</v>
      </c>
      <c r="AH2564">
        <v>14.0240162621586</v>
      </c>
      <c r="AI2564">
        <v>94.520899670119206</v>
      </c>
      <c r="AJ2564">
        <v>92.056211484893595</v>
      </c>
      <c r="AK2564">
        <v>14.0768500809265</v>
      </c>
      <c r="AL2564">
        <v>81.055874389447098</v>
      </c>
      <c r="AM2564">
        <v>90.978974846336499</v>
      </c>
      <c r="AN2564">
        <v>0.99999996798447</v>
      </c>
    </row>
    <row r="2565" spans="1:40" x14ac:dyDescent="0.25">
      <c r="A2565" t="str">
        <f>"20190312164038274"</f>
        <v>20190312164038274</v>
      </c>
      <c r="B2565" t="str">
        <f>"1552380038268849"</f>
        <v>1552380038268849</v>
      </c>
      <c r="C2565" t="s">
        <v>40</v>
      </c>
      <c r="D2565">
        <v>5.2726660000000001</v>
      </c>
      <c r="E2565">
        <v>0.49815789999999999</v>
      </c>
      <c r="F2565" t="s">
        <v>48</v>
      </c>
      <c r="G2565">
        <v>-383.84469999999999</v>
      </c>
      <c r="H2565" s="1">
        <v>5.0917910000000003E-7</v>
      </c>
      <c r="I2565">
        <v>285.43799999999999</v>
      </c>
      <c r="J2565">
        <v>-369.58370000000002</v>
      </c>
      <c r="K2565">
        <v>1.10968</v>
      </c>
      <c r="L2565">
        <v>285.666</v>
      </c>
      <c r="M2565">
        <v>-0.9997355</v>
      </c>
      <c r="N2565">
        <v>0</v>
      </c>
      <c r="O2565">
        <v>2.0329420000000001E-2</v>
      </c>
      <c r="P2565">
        <v>-0.98937640000000004</v>
      </c>
      <c r="Q2565">
        <v>0.1453487</v>
      </c>
      <c r="R2565">
        <v>2.861302E-3</v>
      </c>
      <c r="S2565">
        <v>-3.065979</v>
      </c>
      <c r="T2565">
        <v>-0.2311175</v>
      </c>
      <c r="U2565">
        <v>-4.5562739999999997E-2</v>
      </c>
      <c r="V2565">
        <v>-1.7349219999999999E-2</v>
      </c>
      <c r="W2565">
        <v>0.15596949999999901</v>
      </c>
      <c r="X2565">
        <v>0.98760950000000003</v>
      </c>
      <c r="Y2565">
        <v>-3.5027349999999999E-2</v>
      </c>
      <c r="Z2565">
        <v>-2.8485310000000001E-3</v>
      </c>
      <c r="AA2565">
        <v>0.99938229999999995</v>
      </c>
      <c r="AB2565">
        <v>47</v>
      </c>
      <c r="AC2565">
        <v>-14.2609999999999</v>
      </c>
      <c r="AD2565">
        <v>-1.1096794908209</v>
      </c>
      <c r="AE2565">
        <v>-0.228000000000008</v>
      </c>
      <c r="AF2565">
        <v>-0.514771490334756</v>
      </c>
      <c r="AG2565">
        <v>-1.1096794908209</v>
      </c>
      <c r="AH2565">
        <v>14.167657552533299</v>
      </c>
      <c r="AI2565">
        <v>94.475598020635502</v>
      </c>
      <c r="AJ2565">
        <v>92.080884913230804</v>
      </c>
      <c r="AK2565">
        <v>14.2203691508155</v>
      </c>
      <c r="AL2565">
        <v>81.026971629517305</v>
      </c>
      <c r="AM2565">
        <v>91.006404708570301</v>
      </c>
      <c r="AN2565">
        <v>1.0000000024275499</v>
      </c>
    </row>
    <row r="2566" spans="1:40" x14ac:dyDescent="0.25">
      <c r="A2566" t="str">
        <f>"20190312164038307"</f>
        <v>20190312164038307</v>
      </c>
      <c r="B2566" t="str">
        <f>"1552380038299108"</f>
        <v>1552380038299108</v>
      </c>
      <c r="C2566" t="s">
        <v>40</v>
      </c>
      <c r="D2566">
        <v>5.2599299999999998</v>
      </c>
      <c r="E2566">
        <v>0.4981315</v>
      </c>
      <c r="F2566" t="s">
        <v>48</v>
      </c>
      <c r="G2566">
        <v>-384.4205</v>
      </c>
      <c r="H2566" s="1">
        <v>8.1556739999999998E-7</v>
      </c>
      <c r="I2566">
        <v>285.43279999999999</v>
      </c>
      <c r="J2566">
        <v>-370.2747</v>
      </c>
      <c r="K2566">
        <v>1.1098429999999999</v>
      </c>
      <c r="L2566">
        <v>285.67939999999999</v>
      </c>
      <c r="M2566">
        <v>-0.99975230000000004</v>
      </c>
      <c r="N2566">
        <v>0</v>
      </c>
      <c r="O2566">
        <v>1.947867E-2</v>
      </c>
      <c r="P2566">
        <v>-0.98915949999999997</v>
      </c>
      <c r="Q2566">
        <v>0.14683660000000001</v>
      </c>
      <c r="R2566">
        <v>1.6278009999999999E-3</v>
      </c>
      <c r="S2566">
        <v>-3.0660099999999999</v>
      </c>
      <c r="T2566">
        <v>-0.22931460000000001</v>
      </c>
      <c r="U2566">
        <v>-4.8187260000000003E-2</v>
      </c>
      <c r="V2566">
        <v>-1.7799849999999999E-2</v>
      </c>
      <c r="W2566">
        <v>0.1574699</v>
      </c>
      <c r="X2566">
        <v>0.98736330000000005</v>
      </c>
      <c r="Y2566">
        <v>-3.503684E-2</v>
      </c>
      <c r="Z2566">
        <v>-2.763148E-3</v>
      </c>
      <c r="AA2566">
        <v>0.9993822</v>
      </c>
      <c r="AB2566">
        <v>47</v>
      </c>
      <c r="AC2566">
        <v>-14.145799999999999</v>
      </c>
      <c r="AD2566">
        <v>-1.1098421844326001</v>
      </c>
      <c r="AE2566">
        <v>-0.24660000000000001</v>
      </c>
      <c r="AF2566">
        <v>-0.51891729460342895</v>
      </c>
      <c r="AG2566">
        <v>-1.1098421844326001</v>
      </c>
      <c r="AH2566">
        <v>14.051841479022301</v>
      </c>
      <c r="AI2566">
        <v>94.512895522389499</v>
      </c>
      <c r="AJ2566">
        <v>92.114901920600602</v>
      </c>
      <c r="AK2566">
        <v>14.1051506119062</v>
      </c>
      <c r="AL2566">
        <v>80.939928940277895</v>
      </c>
      <c r="AM2566">
        <v>91.032796964657393</v>
      </c>
      <c r="AN2566">
        <v>0.99999994512645896</v>
      </c>
    </row>
    <row r="2567" spans="1:40" x14ac:dyDescent="0.25">
      <c r="A2567" t="str">
        <f>"20190312164038330"</f>
        <v>20190312164038330</v>
      </c>
      <c r="B2567" t="str">
        <f>"1552380038318625"</f>
        <v>1552380038318625</v>
      </c>
      <c r="C2567" t="s">
        <v>40</v>
      </c>
      <c r="D2567">
        <v>5.2736479999999997</v>
      </c>
      <c r="E2567">
        <v>0.49810860000000001</v>
      </c>
      <c r="F2567" t="s">
        <v>48</v>
      </c>
      <c r="G2567">
        <v>-385.44319999999999</v>
      </c>
      <c r="H2567" s="1">
        <v>1.359795E-6</v>
      </c>
      <c r="I2567">
        <v>285.41379999999998</v>
      </c>
      <c r="J2567">
        <v>-370.73570000000001</v>
      </c>
      <c r="K2567">
        <v>1.1099570000000001</v>
      </c>
      <c r="L2567">
        <v>285.68790000000001</v>
      </c>
      <c r="M2567">
        <v>-0.99976500000000001</v>
      </c>
      <c r="N2567">
        <v>0</v>
      </c>
      <c r="O2567">
        <v>1.8802989999999999E-2</v>
      </c>
      <c r="P2567">
        <v>-0.98911119999999997</v>
      </c>
      <c r="Q2567">
        <v>0.14717089999999999</v>
      </c>
      <c r="R2567">
        <v>3.0049340000000001E-4</v>
      </c>
      <c r="S2567">
        <v>-3.066284</v>
      </c>
      <c r="T2567">
        <v>-0.22435369999999999</v>
      </c>
      <c r="U2567">
        <v>-5.368042E-2</v>
      </c>
      <c r="V2567">
        <v>-1.850079E-2</v>
      </c>
      <c r="W2567">
        <v>0.1578127</v>
      </c>
      <c r="X2567">
        <v>0.9872957</v>
      </c>
      <c r="Y2567">
        <v>-3.6155220000000002E-2</v>
      </c>
      <c r="Z2567">
        <v>-2.6947450000000001E-3</v>
      </c>
      <c r="AA2567">
        <v>0.99934259999999997</v>
      </c>
      <c r="AB2567">
        <v>47</v>
      </c>
      <c r="AC2567">
        <v>-14.7074999999999</v>
      </c>
      <c r="AD2567">
        <v>-1.1099556402049999</v>
      </c>
      <c r="AE2567">
        <v>-0.27410000000003198</v>
      </c>
      <c r="AF2567">
        <v>-0.54749541692161596</v>
      </c>
      <c r="AG2567">
        <v>-1.1099556402049999</v>
      </c>
      <c r="AH2567">
        <v>14.616525494418299</v>
      </c>
      <c r="AI2567">
        <v>94.339583882394294</v>
      </c>
      <c r="AJ2567">
        <v>92.145141690275096</v>
      </c>
      <c r="AK2567">
        <v>14.6688298880229</v>
      </c>
      <c r="AL2567">
        <v>80.920039421077803</v>
      </c>
      <c r="AM2567">
        <v>91.073531605243204</v>
      </c>
      <c r="AN2567">
        <v>0.99999996337520103</v>
      </c>
    </row>
    <row r="2568" spans="1:40" x14ac:dyDescent="0.25">
      <c r="A2568" t="str">
        <f>"20190312164038352"</f>
        <v>20190312164038352</v>
      </c>
      <c r="B2568" t="str">
        <f>"1552380038348881"</f>
        <v>1552380038348881</v>
      </c>
      <c r="C2568" t="s">
        <v>40</v>
      </c>
      <c r="D2568">
        <v>5.3296169999999998</v>
      </c>
      <c r="E2568">
        <v>0.49807259999999998</v>
      </c>
      <c r="F2568" t="s">
        <v>48</v>
      </c>
      <c r="G2568">
        <v>-385.99310000000003</v>
      </c>
      <c r="H2568" s="1">
        <v>1.6524630000000001E-6</v>
      </c>
      <c r="I2568">
        <v>285.39960000000002</v>
      </c>
      <c r="J2568">
        <v>-371.20729999999998</v>
      </c>
      <c r="K2568">
        <v>1.1100719999999999</v>
      </c>
      <c r="L2568">
        <v>285.69630000000001</v>
      </c>
      <c r="M2568">
        <v>-0.99977919999999998</v>
      </c>
      <c r="N2568">
        <v>0</v>
      </c>
      <c r="O2568">
        <v>1.802407E-2</v>
      </c>
      <c r="P2568">
        <v>-0.98914840000000004</v>
      </c>
      <c r="Q2568">
        <v>0.1469201</v>
      </c>
      <c r="R2568">
        <v>-5.8293370000000002E-4</v>
      </c>
      <c r="S2568">
        <v>-3.0662539999999998</v>
      </c>
      <c r="T2568">
        <v>-0.2230647</v>
      </c>
      <c r="U2568">
        <v>-5.7952879999999998E-2</v>
      </c>
      <c r="V2568">
        <v>-1.86564E-2</v>
      </c>
      <c r="W2568">
        <v>0.15757360000000001</v>
      </c>
      <c r="X2568">
        <v>0.98733099999999996</v>
      </c>
      <c r="Y2568">
        <v>-3.6770909999999997E-2</v>
      </c>
      <c r="Z2568">
        <v>-2.6450779999999999E-3</v>
      </c>
      <c r="AA2568">
        <v>0.99932019999999999</v>
      </c>
      <c r="AB2568">
        <v>47</v>
      </c>
      <c r="AC2568">
        <v>-14.7858</v>
      </c>
      <c r="AD2568">
        <v>-1.110070347537</v>
      </c>
      <c r="AE2568">
        <v>-0.29669999999998697</v>
      </c>
      <c r="AF2568">
        <v>-0.56001238750970195</v>
      </c>
      <c r="AG2568">
        <v>-1.110070347537</v>
      </c>
      <c r="AH2568">
        <v>14.6952529567693</v>
      </c>
      <c r="AI2568">
        <v>94.316762105210898</v>
      </c>
      <c r="AJ2568">
        <v>92.182393691170503</v>
      </c>
      <c r="AK2568">
        <v>14.747756762100501</v>
      </c>
      <c r="AL2568">
        <v>80.933912773432795</v>
      </c>
      <c r="AM2568">
        <v>91.082520235859505</v>
      </c>
      <c r="AN2568">
        <v>1.0000000021194599</v>
      </c>
    </row>
    <row r="2569" spans="1:40" x14ac:dyDescent="0.25">
      <c r="A2569" t="str">
        <f>"20190312164038376"</f>
        <v>20190312164038376</v>
      </c>
      <c r="B2569" t="str">
        <f>"1552380038368404"</f>
        <v>1552380038368404</v>
      </c>
      <c r="C2569" t="s">
        <v>40</v>
      </c>
      <c r="D2569">
        <v>5.4495420000000001</v>
      </c>
      <c r="E2569">
        <v>0.49794519999999998</v>
      </c>
      <c r="F2569" t="s">
        <v>48</v>
      </c>
      <c r="G2569">
        <v>-386.3972</v>
      </c>
      <c r="H2569" s="1">
        <v>1.867456E-6</v>
      </c>
      <c r="I2569">
        <v>285.39249999999998</v>
      </c>
      <c r="J2569">
        <v>-371.69170000000003</v>
      </c>
      <c r="K2569">
        <v>1.1101829999999999</v>
      </c>
      <c r="L2569">
        <v>285.70440000000002</v>
      </c>
      <c r="M2569">
        <v>-0.99979470000000004</v>
      </c>
      <c r="N2569">
        <v>0</v>
      </c>
      <c r="O2569">
        <v>1.7127239999999998E-2</v>
      </c>
      <c r="P2569">
        <v>-0.98924049999999997</v>
      </c>
      <c r="Q2569">
        <v>0.14629719999999999</v>
      </c>
      <c r="R2569">
        <v>-7.6637809999999999E-4</v>
      </c>
      <c r="S2569">
        <v>-3.0661930000000002</v>
      </c>
      <c r="T2569">
        <v>-0.2240762</v>
      </c>
      <c r="U2569">
        <v>-6.1309809999999999E-2</v>
      </c>
      <c r="V2569">
        <v>-1.7997639999999999E-2</v>
      </c>
      <c r="W2569">
        <v>0.15696650000000001</v>
      </c>
      <c r="X2569">
        <v>0.98743990000000004</v>
      </c>
      <c r="Y2569">
        <v>-3.6969099999999998E-2</v>
      </c>
      <c r="Z2569">
        <v>-2.598852E-3</v>
      </c>
      <c r="AA2569">
        <v>0.99931309999999995</v>
      </c>
      <c r="AB2569">
        <v>47</v>
      </c>
      <c r="AC2569">
        <v>-14.705499999999899</v>
      </c>
      <c r="AD2569">
        <v>-1.1101811325440001</v>
      </c>
      <c r="AE2569">
        <v>-0.31190000000003598</v>
      </c>
      <c r="AF2569">
        <v>-0.56054033549148896</v>
      </c>
      <c r="AG2569">
        <v>-1.1101811325440001</v>
      </c>
      <c r="AH2569">
        <v>14.6147428056079</v>
      </c>
      <c r="AI2569">
        <v>94.3408426916168</v>
      </c>
      <c r="AJ2569">
        <v>92.196471143372804</v>
      </c>
      <c r="AK2569">
        <v>14.667563358950799</v>
      </c>
      <c r="AL2569">
        <v>80.969135132456401</v>
      </c>
      <c r="AM2569">
        <v>91.044189774292306</v>
      </c>
      <c r="AN2569">
        <v>0.99999997663991402</v>
      </c>
    </row>
    <row r="2570" spans="1:40" x14ac:dyDescent="0.25">
      <c r="A2570" t="str">
        <f>"20190312164038396"</f>
        <v>20190312164038396</v>
      </c>
      <c r="B2570" t="str">
        <f>"1552380038388900"</f>
        <v>1552380038388900</v>
      </c>
      <c r="C2570" t="s">
        <v>40</v>
      </c>
      <c r="D2570">
        <v>5.3533330000000001</v>
      </c>
      <c r="E2570">
        <v>0.4978844</v>
      </c>
      <c r="F2570" t="s">
        <v>48</v>
      </c>
      <c r="G2570">
        <v>-386.78440000000001</v>
      </c>
      <c r="H2570" s="1">
        <v>2.0735109999999998E-6</v>
      </c>
      <c r="I2570">
        <v>285.39490000000001</v>
      </c>
      <c r="J2570">
        <v>-372.1463</v>
      </c>
      <c r="K2570">
        <v>1.1102959999999999</v>
      </c>
      <c r="L2570">
        <v>285.71159999999998</v>
      </c>
      <c r="M2570">
        <v>-0.99980999999999998</v>
      </c>
      <c r="N2570">
        <v>0</v>
      </c>
      <c r="O2570">
        <v>1.6196459999999999E-2</v>
      </c>
      <c r="P2570">
        <v>-0.98930289999999999</v>
      </c>
      <c r="Q2570">
        <v>0.1458689</v>
      </c>
      <c r="R2570">
        <v>-1.513457E-3</v>
      </c>
      <c r="S2570">
        <v>-3.0659179999999999</v>
      </c>
      <c r="T2570">
        <v>-0.2255219</v>
      </c>
      <c r="U2570">
        <v>-6.2866210000000006E-2</v>
      </c>
      <c r="V2570">
        <v>-1.786604E-2</v>
      </c>
      <c r="W2570">
        <v>0.156554</v>
      </c>
      <c r="X2570">
        <v>0.98750780000000005</v>
      </c>
      <c r="Y2570">
        <v>-3.6549409999999997E-2</v>
      </c>
      <c r="Z2570">
        <v>-2.532014E-3</v>
      </c>
      <c r="AA2570">
        <v>0.99932860000000001</v>
      </c>
      <c r="AB2570">
        <v>47</v>
      </c>
      <c r="AC2570">
        <v>-14.6381</v>
      </c>
      <c r="AD2570">
        <v>-1.1102939264889999</v>
      </c>
      <c r="AE2570">
        <v>-0.31669999999996801</v>
      </c>
      <c r="AF2570">
        <v>-0.55059164054878496</v>
      </c>
      <c r="AG2570">
        <v>-1.1102939264889999</v>
      </c>
      <c r="AH2570">
        <v>14.5473956075261</v>
      </c>
      <c r="AI2570">
        <v>94.361386332229898</v>
      </c>
      <c r="AJ2570">
        <v>92.167503224419306</v>
      </c>
      <c r="AK2570">
        <v>14.600089818891799</v>
      </c>
      <c r="AL2570">
        <v>80.993065737411996</v>
      </c>
      <c r="AM2570">
        <v>91.036485000802799</v>
      </c>
      <c r="AN2570">
        <v>1.00000000268106</v>
      </c>
    </row>
    <row r="2571" spans="1:40" x14ac:dyDescent="0.25">
      <c r="A2571" t="str">
        <f>"20190312164038410"</f>
        <v>20190312164038410</v>
      </c>
      <c r="B2571" t="str">
        <f>"1552380038398657"</f>
        <v>1552380038398657</v>
      </c>
      <c r="C2571" t="s">
        <v>40</v>
      </c>
      <c r="D2571">
        <v>5.2763010000000001</v>
      </c>
      <c r="E2571">
        <v>0.4978844</v>
      </c>
      <c r="F2571" t="s">
        <v>48</v>
      </c>
      <c r="G2571">
        <v>-387.13080000000002</v>
      </c>
      <c r="H2571" s="1">
        <v>2.257891E-6</v>
      </c>
      <c r="I2571">
        <v>285.39429999999999</v>
      </c>
      <c r="J2571">
        <v>-372.40899999999999</v>
      </c>
      <c r="K2571">
        <v>1.1103590000000001</v>
      </c>
      <c r="L2571">
        <v>285.71550000000002</v>
      </c>
      <c r="M2571">
        <v>-0.99981920000000002</v>
      </c>
      <c r="N2571">
        <v>0</v>
      </c>
      <c r="O2571">
        <v>1.5617529999999999E-2</v>
      </c>
      <c r="P2571">
        <v>-0.98932339999999996</v>
      </c>
      <c r="Q2571">
        <v>0.1457244</v>
      </c>
      <c r="R2571">
        <v>-1.8989250000000001E-3</v>
      </c>
      <c r="S2571">
        <v>-3.065887</v>
      </c>
      <c r="T2571">
        <v>-0.22717029999999999</v>
      </c>
      <c r="U2571">
        <v>-6.4910889999999999E-2</v>
      </c>
      <c r="V2571">
        <v>-1.7701140000000001E-2</v>
      </c>
      <c r="W2571">
        <v>0.1564188</v>
      </c>
      <c r="X2571">
        <v>0.98753219999999997</v>
      </c>
      <c r="Y2571">
        <v>-3.6636410000000001E-2</v>
      </c>
      <c r="Z2571">
        <v>-2.5108650000000001E-3</v>
      </c>
      <c r="AA2571">
        <v>0.99932549999999998</v>
      </c>
      <c r="AB2571">
        <v>47</v>
      </c>
      <c r="AC2571">
        <v>-14.7218</v>
      </c>
      <c r="AD2571">
        <v>-1.1103567421089999</v>
      </c>
      <c r="AE2571">
        <v>-0.32120000000003301</v>
      </c>
      <c r="AF2571">
        <v>-0.54797677986246396</v>
      </c>
      <c r="AG2571">
        <v>-1.1103567421089999</v>
      </c>
      <c r="AH2571">
        <v>14.631793253265499</v>
      </c>
      <c r="AI2571">
        <v>94.336634529957493</v>
      </c>
      <c r="AJ2571">
        <v>92.144787701756698</v>
      </c>
      <c r="AK2571">
        <v>14.6840915433104</v>
      </c>
      <c r="AL2571">
        <v>81.000908806393298</v>
      </c>
      <c r="AM2571">
        <v>91.026895140548504</v>
      </c>
      <c r="AN2571">
        <v>1.0000000086937899</v>
      </c>
    </row>
    <row r="2572" spans="1:40" x14ac:dyDescent="0.25">
      <c r="A2572" t="str">
        <f>"20190312164038431"</f>
        <v>20190312164038431</v>
      </c>
      <c r="B2572" t="str">
        <f>"1552380038418177"</f>
        <v>1552380038418177</v>
      </c>
      <c r="C2572" t="s">
        <v>40</v>
      </c>
      <c r="D2572">
        <v>5.475619</v>
      </c>
      <c r="E2572">
        <v>0.48788999999999999</v>
      </c>
      <c r="F2572" t="s">
        <v>48</v>
      </c>
      <c r="G2572">
        <v>-387.3623</v>
      </c>
      <c r="H2572" s="1">
        <v>2.381063E-6</v>
      </c>
      <c r="I2572">
        <v>285.39479999999998</v>
      </c>
      <c r="J2572">
        <v>-372.87029999999999</v>
      </c>
      <c r="K2572">
        <v>1.110457</v>
      </c>
      <c r="L2572">
        <v>285.72199999999998</v>
      </c>
      <c r="M2572">
        <v>-0.99983480000000002</v>
      </c>
      <c r="N2572">
        <v>0</v>
      </c>
      <c r="O2572">
        <v>1.4562810000000001E-2</v>
      </c>
      <c r="P2572">
        <v>-0.9893151</v>
      </c>
      <c r="Q2572">
        <v>0.14575769999999999</v>
      </c>
      <c r="R2572">
        <v>-3.1664649999999998E-3</v>
      </c>
      <c r="S2572">
        <v>-3.0658259999999999</v>
      </c>
      <c r="T2572">
        <v>-0.22765270000000001</v>
      </c>
      <c r="U2572">
        <v>-6.5734860000000006E-2</v>
      </c>
      <c r="V2572">
        <v>-1.7962820000000001E-2</v>
      </c>
      <c r="W2572">
        <v>0.15646640000000001</v>
      </c>
      <c r="X2572">
        <v>0.98751990000000001</v>
      </c>
      <c r="Y2572">
        <v>-3.5855529999999997E-2</v>
      </c>
      <c r="Z2572">
        <v>-2.4090700000000001E-3</v>
      </c>
      <c r="AA2572">
        <v>0.99935410000000002</v>
      </c>
      <c r="AB2572">
        <v>47</v>
      </c>
      <c r="AC2572">
        <v>-14.492000000000001</v>
      </c>
      <c r="AD2572">
        <v>-1.1104546189369999</v>
      </c>
      <c r="AE2572">
        <v>-0.32720000000000399</v>
      </c>
      <c r="AF2572">
        <v>-0.53508192189038895</v>
      </c>
      <c r="AG2572">
        <v>-1.1104546189369999</v>
      </c>
      <c r="AH2572">
        <v>14.401185123502801</v>
      </c>
      <c r="AI2572">
        <v>94.406241549500095</v>
      </c>
      <c r="AJ2572">
        <v>92.127869284370703</v>
      </c>
      <c r="AK2572">
        <v>14.453842225693901</v>
      </c>
      <c r="AL2572">
        <v>80.998147222584294</v>
      </c>
      <c r="AM2572">
        <v>91.042085619660298</v>
      </c>
      <c r="AN2572">
        <v>0.99999997506366001</v>
      </c>
    </row>
    <row r="2573" spans="1:40" x14ac:dyDescent="0.25">
      <c r="A2573" t="str">
        <f>"20190312164038455"</f>
        <v>20190312164038455</v>
      </c>
      <c r="B2573" t="str">
        <f>"1552380038448433"</f>
        <v>1552380038448433</v>
      </c>
      <c r="C2573" t="s">
        <v>40</v>
      </c>
      <c r="D2573">
        <v>5.4507190000000003</v>
      </c>
      <c r="E2573">
        <v>0.4904771</v>
      </c>
      <c r="F2573" t="s">
        <v>48</v>
      </c>
      <c r="G2573">
        <v>-388.30020000000002</v>
      </c>
      <c r="H2573" s="1">
        <v>2.8801679999999999E-6</v>
      </c>
      <c r="I2573">
        <v>284.9785</v>
      </c>
      <c r="J2573">
        <v>-373.34910000000002</v>
      </c>
      <c r="K2573">
        <v>1.110552</v>
      </c>
      <c r="L2573">
        <v>285.72809999999998</v>
      </c>
      <c r="M2573">
        <v>-0.99985069999999998</v>
      </c>
      <c r="N2573">
        <v>0</v>
      </c>
      <c r="O2573">
        <v>1.341637E-2</v>
      </c>
      <c r="P2573">
        <v>-0.98929060000000002</v>
      </c>
      <c r="Q2573">
        <v>0.14588950000000001</v>
      </c>
      <c r="R2573">
        <v>-4.5495040000000002E-3</v>
      </c>
      <c r="S2573">
        <v>-3.0644529999999999</v>
      </c>
      <c r="T2573">
        <v>-0.22054199999999999</v>
      </c>
      <c r="U2573">
        <v>-0.147644</v>
      </c>
      <c r="V2573">
        <v>-1.8245399999999998E-2</v>
      </c>
      <c r="W2573">
        <v>0.1566119</v>
      </c>
      <c r="X2573">
        <v>0.98749169999999997</v>
      </c>
      <c r="Y2573">
        <v>-6.1328130000000002E-2</v>
      </c>
      <c r="Z2573">
        <v>-3.1665579999999999E-3</v>
      </c>
      <c r="AA2573">
        <v>0.99811260000000002</v>
      </c>
      <c r="AB2573">
        <v>47</v>
      </c>
      <c r="AC2573">
        <v>-14.951099999999901</v>
      </c>
      <c r="AD2573">
        <v>-1.1105491198320001</v>
      </c>
      <c r="AE2573">
        <v>-0.74959999999998606</v>
      </c>
      <c r="AF2573">
        <v>-0.94493346779371001</v>
      </c>
      <c r="AG2573">
        <v>-1.1105491198320001</v>
      </c>
      <c r="AH2573">
        <v>14.857926091262099</v>
      </c>
      <c r="AI2573">
        <v>94.266012428349299</v>
      </c>
      <c r="AJ2573">
        <v>93.638992526359701</v>
      </c>
      <c r="AK2573">
        <v>14.9293062913024</v>
      </c>
      <c r="AL2573">
        <v>80.989707034318201</v>
      </c>
      <c r="AM2573">
        <v>91.058505587053503</v>
      </c>
      <c r="AN2573">
        <v>1.0000000197058201</v>
      </c>
    </row>
    <row r="2574" spans="1:40" x14ac:dyDescent="0.25">
      <c r="A2574" t="str">
        <f>"20190312164038476"</f>
        <v>20190312164038476</v>
      </c>
      <c r="B2574" t="str">
        <f>"1552380038468929"</f>
        <v>1552380038468929</v>
      </c>
      <c r="C2574" t="s">
        <v>40</v>
      </c>
      <c r="D2574">
        <v>5.4235280000000001</v>
      </c>
      <c r="E2574">
        <v>0.48962660000000002</v>
      </c>
      <c r="F2574" t="s">
        <v>48</v>
      </c>
      <c r="G2574">
        <v>-388.71289999999999</v>
      </c>
      <c r="H2574" s="1">
        <v>3.0998010000000002E-6</v>
      </c>
      <c r="I2574">
        <v>285.072</v>
      </c>
      <c r="J2574">
        <v>-373.80840000000001</v>
      </c>
      <c r="K2574">
        <v>1.110622</v>
      </c>
      <c r="L2574">
        <v>285.73360000000002</v>
      </c>
      <c r="M2574">
        <v>-0.999865</v>
      </c>
      <c r="N2574">
        <v>0</v>
      </c>
      <c r="O2574">
        <v>1.2279129999999999E-2</v>
      </c>
      <c r="P2574">
        <v>-0.98922659999999996</v>
      </c>
      <c r="Q2574">
        <v>0.1462437</v>
      </c>
      <c r="R2574">
        <v>-6.5846230000000004E-3</v>
      </c>
      <c r="S2574">
        <v>-3.064575</v>
      </c>
      <c r="T2574">
        <v>-0.2215174</v>
      </c>
      <c r="U2574">
        <v>-0.130889899999999</v>
      </c>
      <c r="V2574">
        <v>-1.9183660000000002E-2</v>
      </c>
      <c r="W2574">
        <v>0.156976</v>
      </c>
      <c r="X2574">
        <v>0.98741610000000002</v>
      </c>
      <c r="Y2574">
        <v>-5.476255E-2</v>
      </c>
      <c r="Z2574">
        <v>-2.8618419999999999E-3</v>
      </c>
      <c r="AA2574">
        <v>0.99849529999999997</v>
      </c>
      <c r="AB2574">
        <v>47</v>
      </c>
      <c r="AC2574">
        <v>-14.904499999999899</v>
      </c>
      <c r="AD2574">
        <v>-1.1106189001989999</v>
      </c>
      <c r="AE2574">
        <v>-0.66160000000002095</v>
      </c>
      <c r="AF2574">
        <v>-0.83992075639202202</v>
      </c>
      <c r="AG2574">
        <v>-1.1106189001989999</v>
      </c>
      <c r="AH2574">
        <v>14.8131622310495</v>
      </c>
      <c r="AI2574">
        <v>94.280886492817999</v>
      </c>
      <c r="AJ2574">
        <v>93.245251767787906</v>
      </c>
      <c r="AK2574">
        <v>14.8784648570304</v>
      </c>
      <c r="AL2574">
        <v>80.968584348236604</v>
      </c>
      <c r="AM2574">
        <v>91.113010506371396</v>
      </c>
      <c r="AN2574">
        <v>1.0000000159631</v>
      </c>
    </row>
    <row r="2575" spans="1:40" x14ac:dyDescent="0.25">
      <c r="A2575" t="str">
        <f>"20190312164038497"</f>
        <v>20190312164038497</v>
      </c>
      <c r="B2575" t="str">
        <f>"1552380038488449"</f>
        <v>1552380038488449</v>
      </c>
      <c r="C2575" t="s">
        <v>40</v>
      </c>
      <c r="D2575">
        <v>5.3787750000000001</v>
      </c>
      <c r="E2575">
        <v>0.4901607</v>
      </c>
      <c r="F2575" t="s">
        <v>48</v>
      </c>
      <c r="G2575">
        <v>-389.55059999999997</v>
      </c>
      <c r="H2575" s="1">
        <v>3.5455729999999999E-6</v>
      </c>
      <c r="I2575">
        <v>284.9966</v>
      </c>
      <c r="J2575">
        <v>-374.26029999999997</v>
      </c>
      <c r="K2575">
        <v>1.110681</v>
      </c>
      <c r="L2575">
        <v>285.73840000000001</v>
      </c>
      <c r="M2575">
        <v>-0.9998783</v>
      </c>
      <c r="N2575">
        <v>0</v>
      </c>
      <c r="O2575">
        <v>1.113722E-2</v>
      </c>
      <c r="P2575">
        <v>-0.98919089999999998</v>
      </c>
      <c r="Q2575">
        <v>0.14638019999999999</v>
      </c>
      <c r="R2575">
        <v>-8.6431400000000005E-3</v>
      </c>
      <c r="S2575">
        <v>-3.06366</v>
      </c>
      <c r="T2575">
        <v>-0.21614230000000001</v>
      </c>
      <c r="U2575">
        <v>-0.14343259999999999</v>
      </c>
      <c r="V2575">
        <v>-2.013473E-2</v>
      </c>
      <c r="W2575">
        <v>0.15712379999999901</v>
      </c>
      <c r="X2575">
        <v>0.98737370000000002</v>
      </c>
      <c r="Y2575">
        <v>-5.7718190000000003E-2</v>
      </c>
      <c r="Z2575">
        <v>-2.8168009999999999E-3</v>
      </c>
      <c r="AA2575">
        <v>0.99832889999999996</v>
      </c>
      <c r="AB2575">
        <v>47</v>
      </c>
      <c r="AC2575">
        <v>-15.2903</v>
      </c>
      <c r="AD2575">
        <v>-1.1106774544269999</v>
      </c>
      <c r="AE2575">
        <v>-0.74180000000001201</v>
      </c>
      <c r="AF2575">
        <v>-0.90727958810857401</v>
      </c>
      <c r="AG2575">
        <v>-1.1106774544269999</v>
      </c>
      <c r="AH2575">
        <v>15.201069759021699</v>
      </c>
      <c r="AI2575">
        <v>94.171535388870694</v>
      </c>
      <c r="AJ2575">
        <v>93.415660639192893</v>
      </c>
      <c r="AK2575">
        <v>15.2685717235574</v>
      </c>
      <c r="AL2575">
        <v>80.960010023957693</v>
      </c>
      <c r="AM2575">
        <v>91.168225546714794</v>
      </c>
      <c r="AN2575">
        <v>1.0000000596651399</v>
      </c>
    </row>
    <row r="2576" spans="1:40" x14ac:dyDescent="0.25">
      <c r="A2576" t="str">
        <f>"20190312164038520"</f>
        <v>20190312164038520</v>
      </c>
      <c r="B2576" t="str">
        <f>"1552380038508945"</f>
        <v>1552380038508945</v>
      </c>
      <c r="C2576" t="s">
        <v>40</v>
      </c>
      <c r="D2576">
        <v>5.3853999999999997</v>
      </c>
      <c r="E2576">
        <v>0.49004249999999999</v>
      </c>
      <c r="F2576" t="s">
        <v>48</v>
      </c>
      <c r="G2576">
        <v>-389.58260000000001</v>
      </c>
      <c r="H2576" s="1">
        <v>3.5626099999999998E-6</v>
      </c>
      <c r="I2576">
        <v>285.00940000000003</v>
      </c>
      <c r="J2576">
        <v>-374.72539999999998</v>
      </c>
      <c r="K2576">
        <v>1.110727</v>
      </c>
      <c r="L2576">
        <v>285.74279999999999</v>
      </c>
      <c r="M2576">
        <v>-0.99989050000000002</v>
      </c>
      <c r="N2576">
        <v>0</v>
      </c>
      <c r="O2576">
        <v>9.9586850000000001E-3</v>
      </c>
      <c r="P2576">
        <v>-0.98909239999999998</v>
      </c>
      <c r="Q2576">
        <v>0.14690690000000001</v>
      </c>
      <c r="R2576">
        <v>-1.0706230000000001E-2</v>
      </c>
      <c r="S2576">
        <v>-3.064362</v>
      </c>
      <c r="T2576">
        <v>-0.2221282</v>
      </c>
      <c r="U2576">
        <v>-0.14578250000000001</v>
      </c>
      <c r="V2576">
        <v>-2.1049559999999998E-2</v>
      </c>
      <c r="W2576">
        <v>0.1576639</v>
      </c>
      <c r="X2576">
        <v>0.98726840000000005</v>
      </c>
      <c r="Y2576">
        <v>-5.7289380000000001E-2</v>
      </c>
      <c r="Z2576">
        <v>-2.7931029999999999E-3</v>
      </c>
      <c r="AA2576">
        <v>0.99835370000000001</v>
      </c>
      <c r="AB2576">
        <v>47</v>
      </c>
      <c r="AC2576">
        <v>-14.857200000000001</v>
      </c>
      <c r="AD2576">
        <v>-1.1107234373899999</v>
      </c>
      <c r="AE2576">
        <v>-0.73339999999995997</v>
      </c>
      <c r="AF2576">
        <v>-0.87644408450728095</v>
      </c>
      <c r="AG2576">
        <v>-1.1107234373899999</v>
      </c>
      <c r="AH2576">
        <v>14.766827119386001</v>
      </c>
      <c r="AI2576">
        <v>94.294015533006601</v>
      </c>
      <c r="AJ2576">
        <v>93.396647445613795</v>
      </c>
      <c r="AK2576">
        <v>14.8344546229873</v>
      </c>
      <c r="AL2576">
        <v>80.928672918873403</v>
      </c>
      <c r="AM2576">
        <v>91.221418863754593</v>
      </c>
      <c r="AN2576">
        <v>0.99999994148897997</v>
      </c>
    </row>
    <row r="2577" spans="1:40" x14ac:dyDescent="0.25">
      <c r="A2577" t="str">
        <f>"20190312164038543"</f>
        <v>20190312164038543</v>
      </c>
      <c r="B2577" t="str">
        <f>"1552380038538225"</f>
        <v>1552380038538225</v>
      </c>
      <c r="C2577" t="s">
        <v>40</v>
      </c>
      <c r="D2577">
        <v>5.4509109999999996</v>
      </c>
      <c r="E2577">
        <v>0.490983</v>
      </c>
      <c r="F2577" t="s">
        <v>48</v>
      </c>
      <c r="G2577">
        <v>-390.04809999999998</v>
      </c>
      <c r="H2577" s="1">
        <v>-1.511205E-6</v>
      </c>
      <c r="I2577">
        <v>284.9769</v>
      </c>
      <c r="J2577">
        <v>-375.20530000000002</v>
      </c>
      <c r="K2577">
        <v>1.1107640000000001</v>
      </c>
      <c r="L2577">
        <v>285.74680000000001</v>
      </c>
      <c r="M2577">
        <v>-0.9999015</v>
      </c>
      <c r="N2577">
        <v>0</v>
      </c>
      <c r="O2577">
        <v>8.7589959999999998E-3</v>
      </c>
      <c r="P2577">
        <v>-0.9890082</v>
      </c>
      <c r="Q2577">
        <v>0.1473063</v>
      </c>
      <c r="R2577">
        <v>-1.2793560000000001E-2</v>
      </c>
      <c r="S2577">
        <v>-3.0643919999999998</v>
      </c>
      <c r="T2577">
        <v>-0.22213579999999999</v>
      </c>
      <c r="U2577">
        <v>-0.15316769999999999</v>
      </c>
      <c r="V2577">
        <v>-2.1962309999999999E-2</v>
      </c>
      <c r="W2577">
        <v>0.15807879999999999</v>
      </c>
      <c r="X2577">
        <v>0.98718229999999996</v>
      </c>
      <c r="Y2577">
        <v>-5.8491389999999997E-2</v>
      </c>
      <c r="Z2577">
        <v>-2.7496830000000002E-3</v>
      </c>
      <c r="AA2577">
        <v>0.99828410000000001</v>
      </c>
      <c r="AB2577">
        <v>47</v>
      </c>
      <c r="AC2577">
        <v>-14.842799999999899</v>
      </c>
      <c r="AD2577">
        <v>-1.1107655112049999</v>
      </c>
      <c r="AE2577">
        <v>-0.76990000000000602</v>
      </c>
      <c r="AF2577">
        <v>-0.89488809224862698</v>
      </c>
      <c r="AG2577">
        <v>-1.1107655112049999</v>
      </c>
      <c r="AH2577">
        <v>14.7530862410864</v>
      </c>
      <c r="AI2577">
        <v>94.297827939228995</v>
      </c>
      <c r="AJ2577">
        <v>93.471176417443601</v>
      </c>
      <c r="AK2577">
        <v>14.821881741380301</v>
      </c>
      <c r="AL2577">
        <v>80.904600198796302</v>
      </c>
      <c r="AM2577">
        <v>91.274475977337005</v>
      </c>
      <c r="AN2577">
        <v>1.00000007175163</v>
      </c>
    </row>
    <row r="2578" spans="1:40" x14ac:dyDescent="0.25">
      <c r="A2578" t="str">
        <f>"20190312164038554"</f>
        <v>20190312164038554</v>
      </c>
      <c r="B2578" t="str">
        <f>"1552380038548961"</f>
        <v>1552380038548961</v>
      </c>
      <c r="C2578" t="s">
        <v>40</v>
      </c>
      <c r="D2578">
        <v>5.4592580000000002</v>
      </c>
      <c r="E2578">
        <v>0.49140220000000001</v>
      </c>
      <c r="F2578" t="s">
        <v>48</v>
      </c>
      <c r="G2578">
        <v>-390.54410000000001</v>
      </c>
      <c r="H2578" s="1">
        <v>-1.247257E-6</v>
      </c>
      <c r="I2578">
        <v>284.98820000000001</v>
      </c>
      <c r="J2578">
        <v>-375.46550000000002</v>
      </c>
      <c r="K2578">
        <v>1.110779</v>
      </c>
      <c r="L2578">
        <v>285.74869999999999</v>
      </c>
      <c r="M2578">
        <v>-0.99990679999999998</v>
      </c>
      <c r="N2578">
        <v>0</v>
      </c>
      <c r="O2578">
        <v>8.1161429999999993E-3</v>
      </c>
      <c r="P2578">
        <v>-0.9890101</v>
      </c>
      <c r="Q2578">
        <v>0.14720559999999999</v>
      </c>
      <c r="R2578">
        <v>-1.3779970000000001E-2</v>
      </c>
      <c r="S2578">
        <v>-3.064362</v>
      </c>
      <c r="T2578">
        <v>-0.22190699999999999</v>
      </c>
      <c r="U2578">
        <v>-0.1515503</v>
      </c>
      <c r="V2578">
        <v>-2.231663E-2</v>
      </c>
      <c r="W2578">
        <v>0.1579874</v>
      </c>
      <c r="X2578">
        <v>0.98718890000000004</v>
      </c>
      <c r="Y2578">
        <v>-5.732951E-2</v>
      </c>
      <c r="Z2578">
        <v>-2.6584629999999998E-3</v>
      </c>
      <c r="AA2578">
        <v>0.99835180000000001</v>
      </c>
      <c r="AB2578">
        <v>47</v>
      </c>
      <c r="AC2578">
        <v>-15.0785999999999</v>
      </c>
      <c r="AD2578">
        <v>-1.1107802472570001</v>
      </c>
      <c r="AE2578">
        <v>-0.76049999999997897</v>
      </c>
      <c r="AF2578">
        <v>-0.87810927026968</v>
      </c>
      <c r="AG2578">
        <v>-1.1107802472570001</v>
      </c>
      <c r="AH2578">
        <v>14.9907868057348</v>
      </c>
      <c r="AI2578">
        <v>94.230505999674904</v>
      </c>
      <c r="AJ2578">
        <v>93.352361034160495</v>
      </c>
      <c r="AK2578">
        <v>15.057509678005299</v>
      </c>
      <c r="AL2578">
        <v>80.909902903962305</v>
      </c>
      <c r="AM2578">
        <v>91.295021615687702</v>
      </c>
      <c r="AN2578">
        <v>0.99999998740826301</v>
      </c>
    </row>
    <row r="2579" spans="1:40" x14ac:dyDescent="0.25">
      <c r="A2579" t="str">
        <f>"20190312164038567"</f>
        <v>20190312164038567</v>
      </c>
      <c r="B2579" t="str">
        <f>"1552380038558721"</f>
        <v>1552380038558721</v>
      </c>
      <c r="C2579" t="s">
        <v>40</v>
      </c>
      <c r="D2579">
        <v>5.2811120000000003</v>
      </c>
      <c r="E2579">
        <v>0.49132619999999999</v>
      </c>
      <c r="F2579" t="s">
        <v>48</v>
      </c>
      <c r="G2579">
        <v>-390.77089999999998</v>
      </c>
      <c r="H2579" s="1">
        <v>-1.1265539999999999E-6</v>
      </c>
      <c r="I2579">
        <v>284.99579999999997</v>
      </c>
      <c r="J2579">
        <v>-375.72230000000002</v>
      </c>
      <c r="K2579">
        <v>1.1107899999999999</v>
      </c>
      <c r="L2579">
        <v>285.75040000000001</v>
      </c>
      <c r="M2579">
        <v>-0.99991149999999995</v>
      </c>
      <c r="N2579">
        <v>0</v>
      </c>
      <c r="O2579">
        <v>7.4936439999999998E-3</v>
      </c>
      <c r="P2579">
        <v>-0.9889365</v>
      </c>
      <c r="Q2579">
        <v>0.1475687</v>
      </c>
      <c r="R2579">
        <v>-1.511388E-2</v>
      </c>
      <c r="S2579">
        <v>-3.0643009999999999</v>
      </c>
      <c r="T2579">
        <v>-0.22238949999999999</v>
      </c>
      <c r="U2579">
        <v>-0.15072629999999901</v>
      </c>
      <c r="V2579">
        <v>-2.303827E-2</v>
      </c>
      <c r="W2579">
        <v>0.15835750000000001</v>
      </c>
      <c r="X2579">
        <v>0.98711309999999997</v>
      </c>
      <c r="Y2579">
        <v>-5.6444340000000003E-2</v>
      </c>
      <c r="Z2579">
        <v>-2.5871430000000001E-3</v>
      </c>
      <c r="AA2579">
        <v>0.99840240000000002</v>
      </c>
      <c r="AB2579">
        <v>47</v>
      </c>
      <c r="AC2579">
        <v>-15.048599999999899</v>
      </c>
      <c r="AD2579">
        <v>-1.110791126554</v>
      </c>
      <c r="AE2579">
        <v>-0.75460000000003902</v>
      </c>
      <c r="AF2579">
        <v>-0.86266607470311496</v>
      </c>
      <c r="AG2579">
        <v>-1.110791126554</v>
      </c>
      <c r="AH2579">
        <v>14.9612114796823</v>
      </c>
      <c r="AI2579">
        <v>94.239103970622907</v>
      </c>
      <c r="AJ2579">
        <v>93.300030720696896</v>
      </c>
      <c r="AK2579">
        <v>15.0271720101639</v>
      </c>
      <c r="AL2579">
        <v>80.888428112778399</v>
      </c>
      <c r="AM2579">
        <v>91.336985644981198</v>
      </c>
      <c r="AN2579">
        <v>1.00000006594122</v>
      </c>
    </row>
    <row r="2580" spans="1:40" x14ac:dyDescent="0.25">
      <c r="A2580" t="str">
        <f>"20190312164038587"</f>
        <v>20190312164038587</v>
      </c>
      <c r="B2580" t="str">
        <f>"1552380038578241"</f>
        <v>1552380038578241</v>
      </c>
      <c r="C2580" t="s">
        <v>40</v>
      </c>
      <c r="D2580">
        <v>5.2970879999999996</v>
      </c>
      <c r="E2580">
        <v>0.49064849999999999</v>
      </c>
      <c r="F2580" t="s">
        <v>48</v>
      </c>
      <c r="G2580">
        <v>-391.02940000000001</v>
      </c>
      <c r="H2580" s="1">
        <v>-9.8899360000000005E-7</v>
      </c>
      <c r="I2580">
        <v>284.97800000000001</v>
      </c>
      <c r="J2580">
        <v>-376.1438</v>
      </c>
      <c r="K2580">
        <v>1.110795</v>
      </c>
      <c r="L2580">
        <v>285.75299999999999</v>
      </c>
      <c r="M2580">
        <v>-0.99991819999999998</v>
      </c>
      <c r="N2580">
        <v>0</v>
      </c>
      <c r="O2580">
        <v>6.5012459999999996E-3</v>
      </c>
      <c r="P2580">
        <v>-0.98885659999999997</v>
      </c>
      <c r="Q2580">
        <v>0.14791960000000001</v>
      </c>
      <c r="R2580">
        <v>-1.680245E-2</v>
      </c>
      <c r="S2580">
        <v>-3.0644230000000001</v>
      </c>
      <c r="T2580">
        <v>-0.22237589999999999</v>
      </c>
      <c r="U2580">
        <v>-0.15463260000000001</v>
      </c>
      <c r="V2580">
        <v>-2.374619E-2</v>
      </c>
      <c r="W2580">
        <v>0.15872240000000001</v>
      </c>
      <c r="X2580">
        <v>0.98703770000000002</v>
      </c>
      <c r="Y2580">
        <v>-5.6722939999999999E-2</v>
      </c>
      <c r="Z2580">
        <v>-2.5250049999999999E-3</v>
      </c>
      <c r="AA2580">
        <v>0.99838669999999996</v>
      </c>
      <c r="AB2580">
        <v>47</v>
      </c>
      <c r="AC2580">
        <v>-14.8856</v>
      </c>
      <c r="AD2580">
        <v>-1.1107959889936001</v>
      </c>
      <c r="AE2580">
        <v>-0.77499999999997704</v>
      </c>
      <c r="AF2580">
        <v>-0.86694990393707105</v>
      </c>
      <c r="AG2580">
        <v>-1.1107959889936001</v>
      </c>
      <c r="AH2580">
        <v>14.7980667706912</v>
      </c>
      <c r="AI2580">
        <v>94.2854556446473</v>
      </c>
      <c r="AJ2580">
        <v>93.352860790076207</v>
      </c>
      <c r="AK2580">
        <v>14.8650008414038</v>
      </c>
      <c r="AL2580">
        <v>80.867252941247003</v>
      </c>
      <c r="AM2580">
        <v>91.378158165440496</v>
      </c>
      <c r="AN2580">
        <v>1.0000000515112799</v>
      </c>
    </row>
    <row r="2581" spans="1:40" x14ac:dyDescent="0.25">
      <c r="A2581" t="str">
        <f>"20190312164038599"</f>
        <v>20190312164038599</v>
      </c>
      <c r="B2581" t="str">
        <f>"1552380038588978"</f>
        <v>1552380038588978</v>
      </c>
      <c r="C2581" t="s">
        <v>40</v>
      </c>
      <c r="D2581">
        <v>5.3925190000000001</v>
      </c>
      <c r="E2581">
        <v>0.4675435</v>
      </c>
      <c r="F2581" t="s">
        <v>48</v>
      </c>
      <c r="G2581">
        <v>-391.78710000000001</v>
      </c>
      <c r="H2581" s="1">
        <v>-5.8576240000000005E-7</v>
      </c>
      <c r="I2581">
        <v>284.91230000000002</v>
      </c>
      <c r="J2581">
        <v>-376.41039999999998</v>
      </c>
      <c r="K2581">
        <v>1.1107860000000001</v>
      </c>
      <c r="L2581">
        <v>285.75450000000001</v>
      </c>
      <c r="M2581">
        <v>-0.99992199999999998</v>
      </c>
      <c r="N2581">
        <v>0</v>
      </c>
      <c r="O2581">
        <v>5.8947619999999996E-3</v>
      </c>
      <c r="P2581">
        <v>-0.98885520000000005</v>
      </c>
      <c r="Q2581">
        <v>0.14782100000000001</v>
      </c>
      <c r="R2581">
        <v>-1.7743660000000001E-2</v>
      </c>
      <c r="S2581">
        <v>-3.0635379999999999</v>
      </c>
      <c r="T2581">
        <v>-0.2175338</v>
      </c>
      <c r="U2581">
        <v>-0.16464229999999899</v>
      </c>
      <c r="V2581">
        <v>-2.408447E-2</v>
      </c>
      <c r="W2581">
        <v>0.15863479999999999</v>
      </c>
      <c r="X2581">
        <v>0.98704360000000002</v>
      </c>
      <c r="Y2581">
        <v>-5.9386899999999999E-2</v>
      </c>
      <c r="Z2581">
        <v>-2.5220759999999998E-3</v>
      </c>
      <c r="AA2581">
        <v>0.9982318</v>
      </c>
      <c r="AB2581">
        <v>47</v>
      </c>
      <c r="AC2581">
        <v>-15.3767</v>
      </c>
      <c r="AD2581">
        <v>-1.1107865857624</v>
      </c>
      <c r="AE2581">
        <v>-0.84219999999999096</v>
      </c>
      <c r="AF2581">
        <v>-0.92800465913808095</v>
      </c>
      <c r="AG2581">
        <v>-1.1107865857624</v>
      </c>
      <c r="AH2581">
        <v>15.291907759109799</v>
      </c>
      <c r="AI2581">
        <v>94.147000080036904</v>
      </c>
      <c r="AJ2581">
        <v>93.472792459058397</v>
      </c>
      <c r="AK2581">
        <v>15.360256586386001</v>
      </c>
      <c r="AL2581">
        <v>80.8723365810514</v>
      </c>
      <c r="AM2581">
        <v>91.397774843406694</v>
      </c>
      <c r="AN2581">
        <v>1.0000000648835801</v>
      </c>
    </row>
    <row r="2582" spans="1:40" x14ac:dyDescent="0.25">
      <c r="A2582" t="str">
        <f>"20190312164038612"</f>
        <v>20190312164038612</v>
      </c>
      <c r="B2582" t="str">
        <f>"1552380038608497"</f>
        <v>1552380038608497</v>
      </c>
      <c r="C2582" t="s">
        <v>40</v>
      </c>
      <c r="D2582">
        <v>5.2484149999999996</v>
      </c>
      <c r="E2582">
        <v>0.46556599999999998</v>
      </c>
      <c r="F2582" t="s">
        <v>48</v>
      </c>
      <c r="G2582">
        <v>-396.25630000000001</v>
      </c>
      <c r="H2582" s="1">
        <v>1.7925040000000001E-6</v>
      </c>
      <c r="I2582">
        <v>283.4819</v>
      </c>
      <c r="J2582">
        <v>-376.68529999999998</v>
      </c>
      <c r="K2582">
        <v>1.1107670000000001</v>
      </c>
      <c r="L2582">
        <v>285.75569999999999</v>
      </c>
      <c r="M2582">
        <v>-0.99992499999999995</v>
      </c>
      <c r="N2582">
        <v>0</v>
      </c>
      <c r="O2582">
        <v>5.3023690000000004E-3</v>
      </c>
      <c r="P2582">
        <v>-0.98886719999999895</v>
      </c>
      <c r="Q2582">
        <v>0.14760970000000001</v>
      </c>
      <c r="R2582">
        <v>-1.8797100000000001E-2</v>
      </c>
      <c r="S2582">
        <v>-3.0530400000000002</v>
      </c>
      <c r="T2582">
        <v>-0.17088</v>
      </c>
      <c r="U2582">
        <v>-0.34960940000000001</v>
      </c>
      <c r="V2582">
        <v>-2.4545089999999999E-2</v>
      </c>
      <c r="W2582">
        <v>0.1584361</v>
      </c>
      <c r="X2582">
        <v>0.9870641</v>
      </c>
      <c r="Y2582">
        <v>-0.1188432</v>
      </c>
      <c r="Z2582">
        <v>-3.6080750000000001E-3</v>
      </c>
      <c r="AA2582">
        <v>0.99290650000000003</v>
      </c>
      <c r="AB2582">
        <v>47</v>
      </c>
      <c r="AC2582">
        <v>-19.571000000000002</v>
      </c>
      <c r="AD2582">
        <v>-1.1107652074959999</v>
      </c>
      <c r="AE2582">
        <v>-2.2737999999999898</v>
      </c>
      <c r="AF2582">
        <v>-2.3700143928438702</v>
      </c>
      <c r="AG2582">
        <v>-1.1107652074959999</v>
      </c>
      <c r="AH2582">
        <v>19.496701132210401</v>
      </c>
      <c r="AI2582">
        <v>93.236950890934494</v>
      </c>
      <c r="AJ2582">
        <v>96.930856368294201</v>
      </c>
      <c r="AK2582">
        <v>19.671607016387998</v>
      </c>
      <c r="AL2582">
        <v>80.883866463020993</v>
      </c>
      <c r="AM2582">
        <v>91.424467064917707</v>
      </c>
      <c r="AN2582">
        <v>0.99999999836756404</v>
      </c>
    </row>
    <row r="2583" spans="1:40" x14ac:dyDescent="0.25">
      <c r="A2583" t="str">
        <f>"20190312164038627"</f>
        <v>20190312164038627</v>
      </c>
      <c r="B2583" t="str">
        <f>"1552380038618257"</f>
        <v>1552380038618257</v>
      </c>
      <c r="C2583" t="s">
        <v>40</v>
      </c>
      <c r="D2583">
        <v>5.2999720000000003</v>
      </c>
      <c r="E2583">
        <v>0.46519080000000002</v>
      </c>
      <c r="F2583" t="s">
        <v>48</v>
      </c>
      <c r="G2583">
        <v>-399.5127</v>
      </c>
      <c r="H2583" s="1">
        <v>3.5253980000000001E-6</v>
      </c>
      <c r="I2583">
        <v>283.00959999999998</v>
      </c>
      <c r="J2583">
        <v>-376.97</v>
      </c>
      <c r="K2583">
        <v>1.1107450000000001</v>
      </c>
      <c r="L2583">
        <v>285.75689999999997</v>
      </c>
      <c r="M2583">
        <v>-0.99992789999999998</v>
      </c>
      <c r="N2583">
        <v>0</v>
      </c>
      <c r="O2583">
        <v>4.7137709999999899E-3</v>
      </c>
      <c r="P2583">
        <v>-0.98889570000000004</v>
      </c>
      <c r="Q2583">
        <v>0.14730460000000001</v>
      </c>
      <c r="R2583">
        <v>-1.9666389999999999E-2</v>
      </c>
      <c r="S2583">
        <v>-3.04895</v>
      </c>
      <c r="T2583">
        <v>-0.148359299999999</v>
      </c>
      <c r="U2583">
        <v>-0.36679079999999997</v>
      </c>
      <c r="V2583">
        <v>-2.4823479999999998E-2</v>
      </c>
      <c r="W2583">
        <v>0.15814520000000001</v>
      </c>
      <c r="X2583">
        <v>0.98710379999999998</v>
      </c>
      <c r="Y2583">
        <v>-0.12396840000000001</v>
      </c>
      <c r="Z2583">
        <v>-3.231945E-3</v>
      </c>
      <c r="AA2583">
        <v>0.99228090000000002</v>
      </c>
      <c r="AB2583">
        <v>47</v>
      </c>
      <c r="AC2583">
        <v>-22.5426999999999</v>
      </c>
      <c r="AD2583">
        <v>-1.1107414746019999</v>
      </c>
      <c r="AE2583">
        <v>-2.7472999999999899</v>
      </c>
      <c r="AF2583">
        <v>-2.8467269259850099</v>
      </c>
      <c r="AG2583">
        <v>-1.1107414746019999</v>
      </c>
      <c r="AH2583">
        <v>22.475730452392298</v>
      </c>
      <c r="AI2583">
        <v>92.806844271885495</v>
      </c>
      <c r="AJ2583">
        <v>97.218521710870505</v>
      </c>
      <c r="AK2583">
        <v>22.682505597555199</v>
      </c>
      <c r="AL2583">
        <v>80.900746734176195</v>
      </c>
      <c r="AM2583">
        <v>91.4405586609886</v>
      </c>
      <c r="AN2583">
        <v>1.00000001070839</v>
      </c>
    </row>
    <row r="2584" spans="1:40" x14ac:dyDescent="0.25">
      <c r="A2584" t="str">
        <f>"20190312164038644"</f>
        <v>20190312164038644</v>
      </c>
      <c r="B2584" t="str">
        <f>"1552380038638753"</f>
        <v>1552380038638753</v>
      </c>
      <c r="C2584" t="s">
        <v>40</v>
      </c>
      <c r="D2584">
        <v>5.1598220000000001</v>
      </c>
      <c r="E2584">
        <v>0.46536240000000001</v>
      </c>
      <c r="F2584" t="s">
        <v>49</v>
      </c>
      <c r="G2584">
        <v>-400.48739999999998</v>
      </c>
      <c r="H2584" s="1">
        <v>8.5428429999999999E-6</v>
      </c>
      <c r="I2584">
        <v>282.88990000000001</v>
      </c>
      <c r="J2584">
        <v>-377.34550000000002</v>
      </c>
      <c r="K2584">
        <v>1.110708</v>
      </c>
      <c r="L2584">
        <v>285.75830000000002</v>
      </c>
      <c r="M2584">
        <v>-0.99993089999999996</v>
      </c>
      <c r="N2584">
        <v>0</v>
      </c>
      <c r="O2584">
        <v>3.9814050000000004E-3</v>
      </c>
      <c r="P2584">
        <v>-0.98893920000000002</v>
      </c>
      <c r="Q2584">
        <v>0.14677999999999999</v>
      </c>
      <c r="R2584">
        <v>-2.1339460000000001E-2</v>
      </c>
      <c r="S2584">
        <v>-3.0477289999999999</v>
      </c>
      <c r="T2584">
        <v>-0.14394560000000001</v>
      </c>
      <c r="U2584">
        <v>-0.37155149999999998</v>
      </c>
      <c r="V2584">
        <v>-2.5756609999999999E-2</v>
      </c>
      <c r="W2584">
        <v>0.15763849999999999</v>
      </c>
      <c r="X2584">
        <v>0.98716090000000001</v>
      </c>
      <c r="Y2584">
        <v>-0.1248249</v>
      </c>
      <c r="Z2584">
        <v>-3.122545E-3</v>
      </c>
      <c r="AA2584">
        <v>0.99217390000000005</v>
      </c>
      <c r="AB2584">
        <v>47</v>
      </c>
      <c r="AC2584">
        <v>-23.1418999999999</v>
      </c>
      <c r="AD2584">
        <v>-1.1106994571569999</v>
      </c>
      <c r="AE2584">
        <v>-2.8683999999999998</v>
      </c>
      <c r="AF2584">
        <v>-2.9538188992765302</v>
      </c>
      <c r="AG2584">
        <v>-1.1106994571569999</v>
      </c>
      <c r="AH2584">
        <v>23.0779390866652</v>
      </c>
      <c r="AI2584">
        <v>92.733153606935801</v>
      </c>
      <c r="AJ2584">
        <v>97.293812064250602</v>
      </c>
      <c r="AK2584">
        <v>23.292702115935001</v>
      </c>
      <c r="AL2584">
        <v>80.930146931625302</v>
      </c>
      <c r="AM2584">
        <v>91.494599616382501</v>
      </c>
      <c r="AN2584">
        <v>0.99999997106487504</v>
      </c>
    </row>
    <row r="2585" spans="1:40" x14ac:dyDescent="0.25">
      <c r="A2585" t="str">
        <f>"20190312164038667"</f>
        <v>20190312164038667</v>
      </c>
      <c r="B2585" t="str">
        <f>"1552380038658273"</f>
        <v>1552380038658273</v>
      </c>
      <c r="C2585" t="s">
        <v>40</v>
      </c>
      <c r="D2585">
        <v>5.2792219999999999</v>
      </c>
      <c r="E2585">
        <v>0.46473340000000002</v>
      </c>
      <c r="F2585" t="s">
        <v>49</v>
      </c>
      <c r="G2585">
        <v>-401.72219999999999</v>
      </c>
      <c r="H2585" s="1">
        <v>8.0213379999999995E-6</v>
      </c>
      <c r="I2585">
        <v>282.76369999999997</v>
      </c>
      <c r="J2585">
        <v>-377.81610000000001</v>
      </c>
      <c r="K2585">
        <v>1.110657</v>
      </c>
      <c r="L2585">
        <v>285.75959999999998</v>
      </c>
      <c r="M2585">
        <v>-0.99993330000000002</v>
      </c>
      <c r="N2585">
        <v>0</v>
      </c>
      <c r="O2585">
        <v>3.1446429999999999E-3</v>
      </c>
      <c r="P2585">
        <v>-0.98901269999999997</v>
      </c>
      <c r="Q2585">
        <v>0.14606669999999999</v>
      </c>
      <c r="R2585">
        <v>-2.2778989999999999E-2</v>
      </c>
      <c r="S2585">
        <v>-3.0461119999999999</v>
      </c>
      <c r="T2585">
        <v>-0.13879259999999999</v>
      </c>
      <c r="U2585">
        <v>-0.3742065</v>
      </c>
      <c r="V2585">
        <v>-2.6343999999999999E-2</v>
      </c>
      <c r="W2585">
        <v>0.15698579999999901</v>
      </c>
      <c r="X2585">
        <v>0.98724940000000005</v>
      </c>
      <c r="Y2585">
        <v>-0.1249205</v>
      </c>
      <c r="Z2585">
        <v>-2.9765080000000001E-3</v>
      </c>
      <c r="AA2585">
        <v>0.99216230000000005</v>
      </c>
      <c r="AB2585">
        <v>47</v>
      </c>
      <c r="AC2585">
        <v>-23.906099999999899</v>
      </c>
      <c r="AD2585">
        <v>-1.110648978662</v>
      </c>
      <c r="AE2585">
        <v>-2.9958999999999998</v>
      </c>
      <c r="AF2585">
        <v>-3.0645536565970399</v>
      </c>
      <c r="AG2585">
        <v>-1.110648978662</v>
      </c>
      <c r="AH2585">
        <v>23.845886529448499</v>
      </c>
      <c r="AI2585">
        <v>92.644966613471098</v>
      </c>
      <c r="AJ2585">
        <v>97.323225029394905</v>
      </c>
      <c r="AK2585">
        <v>24.067640820057498</v>
      </c>
      <c r="AL2585">
        <v>80.968015316079004</v>
      </c>
      <c r="AM2585">
        <v>91.528531608171505</v>
      </c>
      <c r="AN2585">
        <v>0.99999996276899905</v>
      </c>
    </row>
    <row r="2586" spans="1:40" x14ac:dyDescent="0.25">
      <c r="A2586" t="str">
        <f>"20190312164038688"</f>
        <v>20190312164038688</v>
      </c>
      <c r="B2586" t="str">
        <f>"1552380038678769"</f>
        <v>1552380038678769</v>
      </c>
      <c r="C2586" t="s">
        <v>40</v>
      </c>
      <c r="D2586">
        <v>5.2390309999999998</v>
      </c>
      <c r="E2586">
        <v>0.46373120000000001</v>
      </c>
      <c r="F2586" t="s">
        <v>49</v>
      </c>
      <c r="G2586">
        <v>-401.35149999999999</v>
      </c>
      <c r="H2586" s="1">
        <v>8.1789429999999999E-6</v>
      </c>
      <c r="I2586">
        <v>282.79649999999998</v>
      </c>
      <c r="J2586">
        <v>-378.27339999999998</v>
      </c>
      <c r="K2586">
        <v>1.110636</v>
      </c>
      <c r="L2586">
        <v>285.76060000000001</v>
      </c>
      <c r="M2586">
        <v>-0.99993310000000002</v>
      </c>
      <c r="N2586">
        <v>0</v>
      </c>
      <c r="O2586">
        <v>2.4175429999999999E-3</v>
      </c>
      <c r="P2586">
        <v>-0.98906079999999996</v>
      </c>
      <c r="Q2586">
        <v>0.1455487</v>
      </c>
      <c r="R2586">
        <v>-2.3967160000000001E-2</v>
      </c>
      <c r="S2586">
        <v>-3.045715</v>
      </c>
      <c r="T2586">
        <v>-0.14372889999999999</v>
      </c>
      <c r="U2586">
        <v>-0.3834534</v>
      </c>
      <c r="V2586">
        <v>-2.678794E-2</v>
      </c>
      <c r="W2586">
        <v>0.15665379999999901</v>
      </c>
      <c r="X2586">
        <v>0.98729020000000001</v>
      </c>
      <c r="Y2586">
        <v>-0.12716959999999999</v>
      </c>
      <c r="Z2586">
        <v>-3.1007449999999998E-3</v>
      </c>
      <c r="AA2586">
        <v>0.99187610000000004</v>
      </c>
      <c r="AB2586">
        <v>47</v>
      </c>
      <c r="AC2586">
        <v>-23.078099999999999</v>
      </c>
      <c r="AD2586">
        <v>-1.110627821057</v>
      </c>
      <c r="AE2586">
        <v>-2.9641000000000299</v>
      </c>
      <c r="AF2586">
        <v>-3.0130223162246401</v>
      </c>
      <c r="AG2586">
        <v>-1.110627821057</v>
      </c>
      <c r="AH2586">
        <v>23.018420933921099</v>
      </c>
      <c r="AI2586">
        <v>92.739022504789006</v>
      </c>
      <c r="AJ2586">
        <v>97.457397735991805</v>
      </c>
      <c r="AK2586">
        <v>23.241331715849501</v>
      </c>
      <c r="AL2586">
        <v>80.987275913523405</v>
      </c>
      <c r="AM2586">
        <v>91.554213165818098</v>
      </c>
      <c r="AN2586">
        <v>0.99999997289996101</v>
      </c>
    </row>
    <row r="2587" spans="1:40" x14ac:dyDescent="0.25">
      <c r="A2587" t="str">
        <f>"20190312164038702"</f>
        <v>20190312164038702</v>
      </c>
      <c r="B2587" t="str">
        <f>"1552380038698290"</f>
        <v>1552380038698290</v>
      </c>
      <c r="C2587" t="s">
        <v>40</v>
      </c>
      <c r="D2587">
        <v>5.2320789999999997</v>
      </c>
      <c r="E2587">
        <v>0.46354800000000002</v>
      </c>
      <c r="F2587" t="s">
        <v>49</v>
      </c>
      <c r="G2587">
        <v>-400.24680000000001</v>
      </c>
      <c r="H2587" s="1">
        <v>8.6457719999999995E-6</v>
      </c>
      <c r="I2587">
        <v>282.90820000000002</v>
      </c>
      <c r="J2587">
        <v>-378.57229999999998</v>
      </c>
      <c r="K2587">
        <v>1.110627</v>
      </c>
      <c r="L2587">
        <v>285.7611</v>
      </c>
      <c r="M2587">
        <v>-0.99993200000000004</v>
      </c>
      <c r="N2587">
        <v>0</v>
      </c>
      <c r="O2587">
        <v>1.9881370000000001E-3</v>
      </c>
      <c r="P2587">
        <v>-0.98908879999999999</v>
      </c>
      <c r="Q2587">
        <v>0.145207</v>
      </c>
      <c r="R2587">
        <v>-2.4871870000000001E-2</v>
      </c>
      <c r="S2587">
        <v>-3.046265</v>
      </c>
      <c r="T2587">
        <v>-0.1539712</v>
      </c>
      <c r="U2587">
        <v>-0.39544679999999999</v>
      </c>
      <c r="V2587">
        <v>-2.7249519999999999E-2</v>
      </c>
      <c r="W2587">
        <v>0.15649649999999901</v>
      </c>
      <c r="X2587">
        <v>0.98730249999999997</v>
      </c>
      <c r="Y2587">
        <v>-0.1305386</v>
      </c>
      <c r="Z2587">
        <v>-3.3831519999999999E-3</v>
      </c>
      <c r="AA2587">
        <v>0.99143740000000002</v>
      </c>
      <c r="AB2587">
        <v>47</v>
      </c>
      <c r="AC2587">
        <v>-21.674499999999998</v>
      </c>
      <c r="AD2587">
        <v>-1.1106183542279999</v>
      </c>
      <c r="AE2587">
        <v>-2.8528999999999698</v>
      </c>
      <c r="AF2587">
        <v>-2.8885340538711</v>
      </c>
      <c r="AG2587">
        <v>-1.1106183542279999</v>
      </c>
      <c r="AH2587">
        <v>21.6130037497873</v>
      </c>
      <c r="AI2587">
        <v>92.915766976337594</v>
      </c>
      <c r="AJ2587">
        <v>97.612355043170695</v>
      </c>
      <c r="AK2587">
        <v>21.833438419026901</v>
      </c>
      <c r="AL2587">
        <v>80.996400960281306</v>
      </c>
      <c r="AM2587">
        <v>91.580960476498007</v>
      </c>
      <c r="AN2587">
        <v>0.99999995867936398</v>
      </c>
    </row>
    <row r="2588" spans="1:40" x14ac:dyDescent="0.25">
      <c r="A2588" t="str">
        <f>"20190312164038721"</f>
        <v>20190312164038721</v>
      </c>
      <c r="B2588" t="str">
        <f>"1552380038718785"</f>
        <v>1552380038718785</v>
      </c>
      <c r="C2588" t="s">
        <v>40</v>
      </c>
      <c r="D2588">
        <v>5.1223450000000001</v>
      </c>
      <c r="E2588">
        <v>0.4632521</v>
      </c>
      <c r="F2588" t="s">
        <v>49</v>
      </c>
      <c r="G2588">
        <v>-400.173</v>
      </c>
      <c r="H2588" s="1">
        <v>8.6748050000000007E-6</v>
      </c>
      <c r="I2588">
        <v>282.92610000000002</v>
      </c>
      <c r="J2588">
        <v>-378.98110000000003</v>
      </c>
      <c r="K2588">
        <v>1.1106199999999999</v>
      </c>
      <c r="L2588">
        <v>285.76159999999999</v>
      </c>
      <c r="M2588">
        <v>-0.99992970000000003</v>
      </c>
      <c r="N2588">
        <v>0</v>
      </c>
      <c r="O2588">
        <v>1.4663790000000001E-3</v>
      </c>
      <c r="P2588">
        <v>-0.98908859999999998</v>
      </c>
      <c r="Q2588">
        <v>0.14503969999999999</v>
      </c>
      <c r="R2588">
        <v>-2.5836270000000001E-2</v>
      </c>
      <c r="S2588">
        <v>-3.0459900000000002</v>
      </c>
      <c r="T2588">
        <v>-0.15661229999999901</v>
      </c>
      <c r="U2588">
        <v>-0.39978029999999998</v>
      </c>
      <c r="V2588">
        <v>-2.767228E-2</v>
      </c>
      <c r="W2588">
        <v>0.15660109999999999</v>
      </c>
      <c r="X2588">
        <v>0.98727419999999999</v>
      </c>
      <c r="Y2588">
        <v>-0.13141329999999901</v>
      </c>
      <c r="Z2588">
        <v>-3.43678E-3</v>
      </c>
      <c r="AA2588">
        <v>0.99132169999999997</v>
      </c>
      <c r="AB2588">
        <v>47</v>
      </c>
      <c r="AC2588">
        <v>-21.191899999999901</v>
      </c>
      <c r="AD2588">
        <v>-1.1106113251950001</v>
      </c>
      <c r="AE2588">
        <v>-2.8354999999999602</v>
      </c>
      <c r="AF2588">
        <v>-2.8588606110678998</v>
      </c>
      <c r="AG2588">
        <v>-1.1106113251950001</v>
      </c>
      <c r="AH2588">
        <v>21.130703619907099</v>
      </c>
      <c r="AI2588">
        <v>92.981533412450304</v>
      </c>
      <c r="AJ2588">
        <v>97.704999088198704</v>
      </c>
      <c r="AK2588">
        <v>21.352123477104598</v>
      </c>
      <c r="AL2588">
        <v>80.990333405726702</v>
      </c>
      <c r="AM2588">
        <v>91.605521390073505</v>
      </c>
      <c r="AN2588">
        <v>1.00000000279362</v>
      </c>
    </row>
    <row r="2589" spans="1:40" x14ac:dyDescent="0.25">
      <c r="A2589" t="str">
        <f>"20190312164038744"</f>
        <v>20190312164038744</v>
      </c>
      <c r="B2589" t="str">
        <f>"1552380038738309"</f>
        <v>1552380038738309</v>
      </c>
      <c r="C2589" t="s">
        <v>40</v>
      </c>
      <c r="D2589">
        <v>5.2466210000000002</v>
      </c>
      <c r="E2589">
        <v>0.46287240000000002</v>
      </c>
      <c r="F2589" t="s">
        <v>48</v>
      </c>
      <c r="G2589">
        <v>-399.74029999999999</v>
      </c>
      <c r="H2589" s="1">
        <v>3.6465219999999999E-6</v>
      </c>
      <c r="I2589">
        <v>283.00119999999998</v>
      </c>
      <c r="J2589">
        <v>-379.45330000000001</v>
      </c>
      <c r="K2589">
        <v>1.1105849999999999</v>
      </c>
      <c r="L2589">
        <v>285.762</v>
      </c>
      <c r="M2589">
        <v>-0.99992709999999996</v>
      </c>
      <c r="N2589">
        <v>0</v>
      </c>
      <c r="O2589">
        <v>9.5183159999999998E-4</v>
      </c>
      <c r="P2589">
        <v>-0.98916740000000003</v>
      </c>
      <c r="Q2589">
        <v>0.14432229999999999</v>
      </c>
      <c r="R2589">
        <v>-2.6813130000000001E-2</v>
      </c>
      <c r="S2589">
        <v>-3.0463870000000002</v>
      </c>
      <c r="T2589">
        <v>-0.1629815</v>
      </c>
      <c r="U2589">
        <v>-0.40509030000000001</v>
      </c>
      <c r="V2589">
        <v>-2.81093E-2</v>
      </c>
      <c r="W2589">
        <v>0.15615129999999999</v>
      </c>
      <c r="X2589">
        <v>0.98733309999999996</v>
      </c>
      <c r="Y2589">
        <v>-0.13256970000000001</v>
      </c>
      <c r="Z2589">
        <v>-3.578875E-3</v>
      </c>
      <c r="AA2589">
        <v>0.99116720000000003</v>
      </c>
      <c r="AB2589">
        <v>47</v>
      </c>
      <c r="AC2589">
        <v>-20.2869999999999</v>
      </c>
      <c r="AD2589">
        <v>-1.110581353478</v>
      </c>
      <c r="AE2589">
        <v>-2.7608000000000099</v>
      </c>
      <c r="AF2589">
        <v>-2.7719538725289699</v>
      </c>
      <c r="AG2589">
        <v>-1.110581353478</v>
      </c>
      <c r="AH2589">
        <v>20.224854020839601</v>
      </c>
      <c r="AI2589">
        <v>93.113999392229402</v>
      </c>
      <c r="AJ2589">
        <v>97.8041529967293</v>
      </c>
      <c r="AK2589">
        <v>20.444115030452998</v>
      </c>
      <c r="AL2589">
        <v>81.016426077732305</v>
      </c>
      <c r="AM2589">
        <v>91.630766082390593</v>
      </c>
      <c r="AN2589">
        <v>1.0000000057968901</v>
      </c>
    </row>
    <row r="2590" spans="1:40" x14ac:dyDescent="0.25">
      <c r="A2590" t="str">
        <f>"20190312164038754"</f>
        <v>20190312164038754</v>
      </c>
      <c r="B2590" t="str">
        <f>"1552380038749042"</f>
        <v>1552380038749042</v>
      </c>
      <c r="C2590" t="s">
        <v>40</v>
      </c>
      <c r="D2590">
        <v>5.2217469999999997</v>
      </c>
      <c r="E2590">
        <v>0.46283809999999898</v>
      </c>
      <c r="F2590" t="s">
        <v>48</v>
      </c>
      <c r="G2590">
        <v>-399.42790000000002</v>
      </c>
      <c r="H2590" s="1">
        <v>3.480263E-6</v>
      </c>
      <c r="I2590">
        <v>283.06630000000001</v>
      </c>
      <c r="J2590">
        <v>-379.70049999999998</v>
      </c>
      <c r="K2590">
        <v>1.11056</v>
      </c>
      <c r="L2590">
        <v>285.762</v>
      </c>
      <c r="M2590">
        <v>-0.99992599999999998</v>
      </c>
      <c r="N2590">
        <v>0</v>
      </c>
      <c r="O2590">
        <v>7.1226949999999905E-4</v>
      </c>
      <c r="P2590">
        <v>-0.98916040000000005</v>
      </c>
      <c r="Q2590">
        <v>0.14426439999999999</v>
      </c>
      <c r="R2590">
        <v>-2.7381470000000002E-2</v>
      </c>
      <c r="S2590">
        <v>-3.0464169999999999</v>
      </c>
      <c r="T2590">
        <v>-0.16938010000000001</v>
      </c>
      <c r="U2590">
        <v>-0.41113280000000002</v>
      </c>
      <c r="V2590">
        <v>-2.8425869999999999E-2</v>
      </c>
      <c r="W2590">
        <v>0.1562125</v>
      </c>
      <c r="X2590">
        <v>0.98731429999999998</v>
      </c>
      <c r="Y2590">
        <v>-0.134244899999999</v>
      </c>
      <c r="Z2590">
        <v>-3.7517200000000001E-3</v>
      </c>
      <c r="AA2590">
        <v>0.99094110000000002</v>
      </c>
      <c r="AB2590">
        <v>47</v>
      </c>
      <c r="AC2590">
        <v>-19.727399999999999</v>
      </c>
      <c r="AD2590">
        <v>-1.110556519737</v>
      </c>
      <c r="AE2590">
        <v>-2.69569999999998</v>
      </c>
      <c r="AF2590">
        <v>-2.7013475496574402</v>
      </c>
      <c r="AG2590">
        <v>-1.110556519737</v>
      </c>
      <c r="AH2590">
        <v>19.664298168122102</v>
      </c>
      <c r="AI2590">
        <v>93.202378040721001</v>
      </c>
      <c r="AJ2590">
        <v>97.821946046244605</v>
      </c>
      <c r="AK2590">
        <v>19.880021046577902</v>
      </c>
      <c r="AL2590">
        <v>81.012875515202595</v>
      </c>
      <c r="AM2590">
        <v>91.649153247016599</v>
      </c>
      <c r="AN2590">
        <v>0.999999951112997</v>
      </c>
    </row>
    <row r="2591" spans="1:40" x14ac:dyDescent="0.25">
      <c r="A2591" t="str">
        <f>"20190312164038767"</f>
        <v>20190312164038767</v>
      </c>
      <c r="B2591" t="str">
        <f>"1552380038758801"</f>
        <v>1552380038758801</v>
      </c>
      <c r="C2591" t="s">
        <v>40</v>
      </c>
      <c r="D2591">
        <v>5.2422599999999999</v>
      </c>
      <c r="E2591">
        <v>0.4630377</v>
      </c>
      <c r="F2591" t="s">
        <v>48</v>
      </c>
      <c r="G2591">
        <v>-399.75470000000001</v>
      </c>
      <c r="H2591" s="1">
        <v>3.65418E-6</v>
      </c>
      <c r="I2591">
        <v>283.04379999999998</v>
      </c>
      <c r="J2591">
        <v>-379.95370000000003</v>
      </c>
      <c r="K2591">
        <v>1.110525</v>
      </c>
      <c r="L2591">
        <v>285.76209999999998</v>
      </c>
      <c r="M2591">
        <v>-0.99992479999999995</v>
      </c>
      <c r="N2591">
        <v>0</v>
      </c>
      <c r="O2591">
        <v>4.9414559999999997E-4</v>
      </c>
      <c r="P2591">
        <v>-0.98916289999999996</v>
      </c>
      <c r="Q2591">
        <v>0.14417829999999901</v>
      </c>
      <c r="R2591">
        <v>-2.7740859999999999E-2</v>
      </c>
      <c r="S2591">
        <v>-3.0460509999999998</v>
      </c>
      <c r="T2591">
        <v>-0.1686831</v>
      </c>
      <c r="U2591">
        <v>-0.41287230000000003</v>
      </c>
      <c r="V2591">
        <v>-2.8553829999999999E-2</v>
      </c>
      <c r="W2591">
        <v>0.15623229999999999</v>
      </c>
      <c r="X2591">
        <v>0.9873075</v>
      </c>
      <c r="Y2591">
        <v>-0.13460169999999999</v>
      </c>
      <c r="Z2591">
        <v>-3.7344180000000002E-3</v>
      </c>
      <c r="AA2591">
        <v>0.99089280000000002</v>
      </c>
      <c r="AB2591">
        <v>47</v>
      </c>
      <c r="AC2591">
        <v>-19.800999999999899</v>
      </c>
      <c r="AD2591">
        <v>-1.1105213458200001</v>
      </c>
      <c r="AE2591">
        <v>-2.7183000000000002</v>
      </c>
      <c r="AF2591">
        <v>-2.7196886363835802</v>
      </c>
      <c r="AG2591">
        <v>-1.1105213458200001</v>
      </c>
      <c r="AH2591">
        <v>19.738716005834199</v>
      </c>
      <c r="AI2591">
        <v>93.190051970610995</v>
      </c>
      <c r="AJ2591">
        <v>97.845072714221203</v>
      </c>
      <c r="AK2591">
        <v>19.956123709212001</v>
      </c>
      <c r="AL2591">
        <v>81.011727183626903</v>
      </c>
      <c r="AM2591">
        <v>91.656584241162093</v>
      </c>
      <c r="AN2591">
        <v>0.99999997616360403</v>
      </c>
    </row>
    <row r="2592" spans="1:40" x14ac:dyDescent="0.25">
      <c r="A2592" t="str">
        <f>"20190312164038788"</f>
        <v>20190312164038788</v>
      </c>
      <c r="B2592" t="str">
        <f>"1552380038778325"</f>
        <v>1552380038778325</v>
      </c>
      <c r="C2592" t="s">
        <v>40</v>
      </c>
      <c r="D2592">
        <v>5.1876360000000004</v>
      </c>
      <c r="E2592">
        <v>0.46278849999999999</v>
      </c>
      <c r="F2592" t="s">
        <v>49</v>
      </c>
      <c r="G2592">
        <v>-400.20859999999999</v>
      </c>
      <c r="H2592" s="1">
        <v>8.6395090000000005E-6</v>
      </c>
      <c r="I2592">
        <v>283.02030000000002</v>
      </c>
      <c r="J2592">
        <v>-380.38249999999999</v>
      </c>
      <c r="K2592">
        <v>1.110468</v>
      </c>
      <c r="L2592">
        <v>285.762</v>
      </c>
      <c r="M2592">
        <v>-0.99992300000000001</v>
      </c>
      <c r="N2592">
        <v>0</v>
      </c>
      <c r="O2592">
        <v>1.6134029999999999E-4</v>
      </c>
      <c r="P2592">
        <v>-0.98912699999999998</v>
      </c>
      <c r="Q2592">
        <v>0.14426040000000001</v>
      </c>
      <c r="R2592">
        <v>-2.8586299999999999E-2</v>
      </c>
      <c r="S2592">
        <v>-3.0456240000000001</v>
      </c>
      <c r="T2592">
        <v>-0.1669822</v>
      </c>
      <c r="U2592">
        <v>-0.41226200000000002</v>
      </c>
      <c r="V2592">
        <v>-2.9043719999999999E-2</v>
      </c>
      <c r="W2592">
        <v>0.15647539999999999</v>
      </c>
      <c r="X2592">
        <v>0.98725469999999904</v>
      </c>
      <c r="Y2592">
        <v>-0.13410059999999999</v>
      </c>
      <c r="Z2592">
        <v>-3.6655659999999999E-3</v>
      </c>
      <c r="AA2592">
        <v>0.99096099999999998</v>
      </c>
      <c r="AB2592">
        <v>47</v>
      </c>
      <c r="AC2592">
        <v>-19.8261</v>
      </c>
      <c r="AD2592">
        <v>-1.110459360491</v>
      </c>
      <c r="AE2592">
        <v>-2.7416999999999798</v>
      </c>
      <c r="AF2592">
        <v>-2.7364754023793698</v>
      </c>
      <c r="AG2592">
        <v>-1.110459360491</v>
      </c>
      <c r="AH2592">
        <v>19.764816302905</v>
      </c>
      <c r="AI2592">
        <v>93.185383054378306</v>
      </c>
      <c r="AJ2592">
        <v>97.8825947080025</v>
      </c>
      <c r="AK2592">
        <v>19.984228309011801</v>
      </c>
      <c r="AL2592">
        <v>80.997625043576306</v>
      </c>
      <c r="AM2592">
        <v>91.685079607007197</v>
      </c>
      <c r="AN2592">
        <v>0.99999996557434301</v>
      </c>
    </row>
    <row r="2593" spans="1:40" x14ac:dyDescent="0.25">
      <c r="A2593" t="str">
        <f>"20190312164038810"</f>
        <v>20190312164038810</v>
      </c>
      <c r="B2593" t="str">
        <f>"1552380038798818"</f>
        <v>1552380038798818</v>
      </c>
      <c r="C2593" t="s">
        <v>40</v>
      </c>
      <c r="D2593">
        <v>5.1983030000000001</v>
      </c>
      <c r="E2593">
        <v>0.46260509999999999</v>
      </c>
      <c r="F2593" t="s">
        <v>49</v>
      </c>
      <c r="G2593">
        <v>-400.1139</v>
      </c>
      <c r="H2593" s="1">
        <v>8.6726699999999903E-6</v>
      </c>
      <c r="I2593">
        <v>283.06330000000003</v>
      </c>
      <c r="J2593">
        <v>-380.85770000000002</v>
      </c>
      <c r="K2593">
        <v>1.110406</v>
      </c>
      <c r="L2593">
        <v>285.76170000000002</v>
      </c>
      <c r="M2593">
        <v>-0.99992110000000001</v>
      </c>
      <c r="N2593">
        <v>0</v>
      </c>
      <c r="O2593">
        <v>-1.5697359999999999E-4</v>
      </c>
      <c r="P2593">
        <v>-0.98911119999999997</v>
      </c>
      <c r="Q2593">
        <v>0.14423540000000001</v>
      </c>
      <c r="R2593">
        <v>-2.9248469999999999E-2</v>
      </c>
      <c r="S2593">
        <v>-3.0459290000000001</v>
      </c>
      <c r="T2593">
        <v>-0.17142160000000001</v>
      </c>
      <c r="U2593">
        <v>-0.41659550000000001</v>
      </c>
      <c r="V2593">
        <v>-2.9361330000000001E-2</v>
      </c>
      <c r="W2593">
        <v>0.1566081</v>
      </c>
      <c r="X2593">
        <v>0.98722430000000005</v>
      </c>
      <c r="Y2593">
        <v>-0.1351444</v>
      </c>
      <c r="Z2593">
        <v>-3.7735339999999998E-3</v>
      </c>
      <c r="AA2593">
        <v>0.99081870000000005</v>
      </c>
      <c r="AB2593">
        <v>47</v>
      </c>
      <c r="AC2593">
        <v>-19.2561999999999</v>
      </c>
      <c r="AD2593">
        <v>-1.1103973273299901</v>
      </c>
      <c r="AE2593">
        <v>-2.6983999999999901</v>
      </c>
      <c r="AF2593">
        <v>-2.6866155700170702</v>
      </c>
      <c r="AG2593">
        <v>-1.1103973273299901</v>
      </c>
      <c r="AH2593">
        <v>19.194028860384901</v>
      </c>
      <c r="AI2593">
        <v>93.279043502347804</v>
      </c>
      <c r="AJ2593">
        <v>97.968004630792905</v>
      </c>
      <c r="AK2593">
        <v>19.4129242861267</v>
      </c>
      <c r="AL2593">
        <v>80.989927313927694</v>
      </c>
      <c r="AM2593">
        <v>91.703548560964293</v>
      </c>
      <c r="AN2593">
        <v>1.0000000015977299</v>
      </c>
    </row>
    <row r="2594" spans="1:40" x14ac:dyDescent="0.25">
      <c r="A2594" t="str">
        <f>"20190312164038833"</f>
        <v>20190312164038833</v>
      </c>
      <c r="B2594" t="str">
        <f>"1552380038829074"</f>
        <v>1552380038829074</v>
      </c>
      <c r="C2594" t="s">
        <v>40</v>
      </c>
      <c r="D2594">
        <v>5.0660569999999998</v>
      </c>
      <c r="E2594">
        <v>0.46262239999999999</v>
      </c>
      <c r="F2594" t="s">
        <v>49</v>
      </c>
      <c r="G2594">
        <v>-400.20440000000002</v>
      </c>
      <c r="H2594" s="1">
        <v>8.6262609999999906E-6</v>
      </c>
      <c r="I2594">
        <v>283.09350000000001</v>
      </c>
      <c r="J2594">
        <v>-381.35379999999998</v>
      </c>
      <c r="K2594">
        <v>1.11032999999999</v>
      </c>
      <c r="L2594">
        <v>285.76130000000001</v>
      </c>
      <c r="M2594">
        <v>-0.99991909999999895</v>
      </c>
      <c r="N2594">
        <v>0</v>
      </c>
      <c r="O2594">
        <v>-4.5187910000000001E-4</v>
      </c>
      <c r="P2594">
        <v>-0.98906000000000005</v>
      </c>
      <c r="Q2594">
        <v>0.14447470000000001</v>
      </c>
      <c r="R2594">
        <v>-2.979271E-2</v>
      </c>
      <c r="S2594">
        <v>-3.0461119999999999</v>
      </c>
      <c r="T2594">
        <v>-0.17483000000000001</v>
      </c>
      <c r="U2594">
        <v>-0.42010500000000001</v>
      </c>
      <c r="V2594">
        <v>-2.9584050000000001E-2</v>
      </c>
      <c r="W2594">
        <v>0.1569924</v>
      </c>
      <c r="X2594">
        <v>0.98715660000000005</v>
      </c>
      <c r="Y2594">
        <v>-0.135955399999999</v>
      </c>
      <c r="Z2594">
        <v>-3.8542239999999998E-3</v>
      </c>
      <c r="AA2594">
        <v>0.99070749999999996</v>
      </c>
      <c r="AB2594">
        <v>47</v>
      </c>
      <c r="AC2594">
        <v>-18.8506</v>
      </c>
      <c r="AD2594">
        <v>-1.1103213737390001</v>
      </c>
      <c r="AE2594">
        <v>-2.6678000000000002</v>
      </c>
      <c r="AF2594">
        <v>-2.65026670984872</v>
      </c>
      <c r="AG2594">
        <v>-1.1103213737390001</v>
      </c>
      <c r="AH2594">
        <v>18.787901928166299</v>
      </c>
      <c r="AI2594">
        <v>93.349033961478597</v>
      </c>
      <c r="AJ2594">
        <v>98.029303080542405</v>
      </c>
      <c r="AK2594">
        <v>19.006366987110098</v>
      </c>
      <c r="AL2594">
        <v>80.967632675927604</v>
      </c>
      <c r="AM2594">
        <v>91.716580752024797</v>
      </c>
      <c r="AN2594">
        <v>0.99999999129786099</v>
      </c>
    </row>
    <row r="2595" spans="1:40" x14ac:dyDescent="0.25">
      <c r="A2595" t="str">
        <f>"20190312164038856"</f>
        <v>20190312164038856</v>
      </c>
      <c r="B2595" t="str">
        <f>"1552380038848593"</f>
        <v>1552380038848593</v>
      </c>
      <c r="C2595" t="s">
        <v>40</v>
      </c>
      <c r="D2595">
        <v>5.1171720000000001</v>
      </c>
      <c r="E2595">
        <v>0.4626461</v>
      </c>
      <c r="F2595" t="s">
        <v>49</v>
      </c>
      <c r="G2595">
        <v>-400.42509999999999</v>
      </c>
      <c r="H2595" s="1">
        <v>8.5224459999999906E-6</v>
      </c>
      <c r="I2595">
        <v>283.12240000000003</v>
      </c>
      <c r="J2595">
        <v>-381.81729999999999</v>
      </c>
      <c r="K2595">
        <v>1.110268</v>
      </c>
      <c r="L2595">
        <v>285.76080000000002</v>
      </c>
      <c r="M2595">
        <v>-0.99991750000000001</v>
      </c>
      <c r="N2595">
        <v>0</v>
      </c>
      <c r="O2595">
        <v>-7.0484589999999896E-4</v>
      </c>
      <c r="P2595">
        <v>-0.98906179999999999</v>
      </c>
      <c r="Q2595">
        <v>0.1443874</v>
      </c>
      <c r="R2595">
        <v>-3.0153679999999999E-2</v>
      </c>
      <c r="S2595">
        <v>-3.0463870000000002</v>
      </c>
      <c r="T2595">
        <v>-0.1773593</v>
      </c>
      <c r="U2595">
        <v>-0.42153930000000001</v>
      </c>
      <c r="V2595">
        <v>-2.966908E-2</v>
      </c>
      <c r="W2595">
        <v>0.15702539999999901</v>
      </c>
      <c r="X2595">
        <v>0.98714880000000005</v>
      </c>
      <c r="Y2595">
        <v>-0.13614419999999999</v>
      </c>
      <c r="Z2595">
        <v>-3.9002389999999998E-3</v>
      </c>
      <c r="AA2595">
        <v>0.99068140000000005</v>
      </c>
      <c r="AB2595">
        <v>47</v>
      </c>
      <c r="AC2595">
        <v>-18.607800000000001</v>
      </c>
      <c r="AD2595">
        <v>-1.110259477554</v>
      </c>
      <c r="AE2595">
        <v>-2.6383999999999901</v>
      </c>
      <c r="AF2595">
        <v>-2.6161524958837599</v>
      </c>
      <c r="AG2595">
        <v>-1.110259477554</v>
      </c>
      <c r="AH2595">
        <v>18.544935030860898</v>
      </c>
      <c r="AI2595">
        <v>93.392616853822801</v>
      </c>
      <c r="AJ2595">
        <v>98.029785590521996</v>
      </c>
      <c r="AK2595">
        <v>18.761437719110599</v>
      </c>
      <c r="AL2595">
        <v>80.965718175844799</v>
      </c>
      <c r="AM2595">
        <v>91.721525150619001</v>
      </c>
      <c r="AN2595">
        <v>0.99999999194732303</v>
      </c>
    </row>
    <row r="2596" spans="1:40" x14ac:dyDescent="0.25">
      <c r="A2596" t="str">
        <f>"20190312164038877"</f>
        <v>20190312164038877</v>
      </c>
      <c r="B2596" t="str">
        <f>"1552380038869093"</f>
        <v>1552380038869093</v>
      </c>
      <c r="C2596" t="s">
        <v>40</v>
      </c>
      <c r="D2596">
        <v>5.1176490000000001</v>
      </c>
      <c r="E2596">
        <v>0.46258260000000001</v>
      </c>
      <c r="F2596" t="s">
        <v>49</v>
      </c>
      <c r="G2596">
        <v>-400.62279999999998</v>
      </c>
      <c r="H2596" s="1">
        <v>8.4278290000000002E-6</v>
      </c>
      <c r="I2596">
        <v>283.15589999999997</v>
      </c>
      <c r="J2596">
        <v>-382.27280000000002</v>
      </c>
      <c r="K2596">
        <v>1.1102080000000001</v>
      </c>
      <c r="L2596">
        <v>285.76029999999997</v>
      </c>
      <c r="M2596">
        <v>-0.99991609999999997</v>
      </c>
      <c r="N2596">
        <v>0</v>
      </c>
      <c r="O2596">
        <v>-9.3891649999999999E-4</v>
      </c>
      <c r="P2596">
        <v>-0.98909239999999998</v>
      </c>
      <c r="Q2596">
        <v>0.1441209</v>
      </c>
      <c r="R2596">
        <v>-3.042657E-2</v>
      </c>
      <c r="S2596">
        <v>-3.04657</v>
      </c>
      <c r="T2596">
        <v>-0.17986629999999901</v>
      </c>
      <c r="U2596">
        <v>-0.42199710000000001</v>
      </c>
      <c r="V2596">
        <v>-2.9688229999999999E-2</v>
      </c>
      <c r="W2596">
        <v>0.156862</v>
      </c>
      <c r="X2596">
        <v>0.9871742</v>
      </c>
      <c r="Y2596">
        <v>-0.13604449999999901</v>
      </c>
      <c r="Z2596">
        <v>-3.9383279999999996E-3</v>
      </c>
      <c r="AA2596">
        <v>0.99069490000000004</v>
      </c>
      <c r="AB2596">
        <v>47</v>
      </c>
      <c r="AC2596">
        <v>-18.349999999999898</v>
      </c>
      <c r="AD2596">
        <v>-1.1101995721709901</v>
      </c>
      <c r="AE2596">
        <v>-2.6043999999999898</v>
      </c>
      <c r="AF2596">
        <v>-2.5779183817631202</v>
      </c>
      <c r="AG2596">
        <v>-1.1101995721709901</v>
      </c>
      <c r="AH2596">
        <v>18.286821877838499</v>
      </c>
      <c r="AI2596">
        <v>93.440250520297297</v>
      </c>
      <c r="AJ2596">
        <v>98.024188772959505</v>
      </c>
      <c r="AK2596">
        <v>18.500974586893399</v>
      </c>
      <c r="AL2596">
        <v>80.975197760432906</v>
      </c>
      <c r="AM2596">
        <v>91.722591348376596</v>
      </c>
      <c r="AN2596">
        <v>0.99999998959508596</v>
      </c>
    </row>
    <row r="2597" spans="1:40" x14ac:dyDescent="0.25">
      <c r="A2597" t="str">
        <f>"20190312164038900"</f>
        <v>20190312164038900</v>
      </c>
      <c r="B2597" t="str">
        <f>"1552380038888610"</f>
        <v>1552380038888610</v>
      </c>
      <c r="C2597" t="s">
        <v>40</v>
      </c>
      <c r="D2597">
        <v>5.2575469999999997</v>
      </c>
      <c r="E2597">
        <v>0.46262880000000001</v>
      </c>
      <c r="F2597" t="s">
        <v>49</v>
      </c>
      <c r="G2597">
        <v>-400.78370000000001</v>
      </c>
      <c r="H2597" s="1">
        <v>8.3500279999999996E-6</v>
      </c>
      <c r="I2597">
        <v>283.18720000000002</v>
      </c>
      <c r="J2597">
        <v>-382.74220000000003</v>
      </c>
      <c r="K2597">
        <v>1.110163</v>
      </c>
      <c r="L2597">
        <v>285.7595</v>
      </c>
      <c r="M2597">
        <v>-0.99991459999999999</v>
      </c>
      <c r="N2597">
        <v>0</v>
      </c>
      <c r="O2597">
        <v>-1.167104E-3</v>
      </c>
      <c r="P2597">
        <v>-0.98916000000000004</v>
      </c>
      <c r="Q2597">
        <v>0.1437079</v>
      </c>
      <c r="R2597">
        <v>-3.0176729999999999E-2</v>
      </c>
      <c r="S2597">
        <v>-3.0466920000000002</v>
      </c>
      <c r="T2597">
        <v>-0.18272730000000001</v>
      </c>
      <c r="U2597">
        <v>-0.42349239999999999</v>
      </c>
      <c r="V2597">
        <v>-2.9193589999999998E-2</v>
      </c>
      <c r="W2597">
        <v>0.15654170000000001</v>
      </c>
      <c r="X2597">
        <v>0.9872398</v>
      </c>
      <c r="Y2597">
        <v>-0.13628270000000001</v>
      </c>
      <c r="Z2597">
        <v>-3.9940660000000001E-3</v>
      </c>
      <c r="AA2597">
        <v>0.99066189999999998</v>
      </c>
      <c r="AB2597">
        <v>47</v>
      </c>
      <c r="AC2597">
        <v>-18.0414999999999</v>
      </c>
      <c r="AD2597">
        <v>-1.1101546499719901</v>
      </c>
      <c r="AE2597">
        <v>-2.5722999999999798</v>
      </c>
      <c r="AF2597">
        <v>-2.5418077071946601</v>
      </c>
      <c r="AG2597">
        <v>-1.1101546499719901</v>
      </c>
      <c r="AH2597">
        <v>17.977775984661601</v>
      </c>
      <c r="AI2597">
        <v>93.498902624333496</v>
      </c>
      <c r="AJ2597">
        <v>98.047486772124699</v>
      </c>
      <c r="AK2597">
        <v>18.190482652252001</v>
      </c>
      <c r="AL2597">
        <v>80.993779213543704</v>
      </c>
      <c r="AM2597">
        <v>91.693795369804604</v>
      </c>
      <c r="AN2597">
        <v>0.999999996120009</v>
      </c>
    </row>
    <row r="2598" spans="1:40" x14ac:dyDescent="0.25">
      <c r="A2598" t="str">
        <f>"20190312164038922"</f>
        <v>20190312164038922</v>
      </c>
      <c r="B2598" t="str">
        <f>"1552380038918866"</f>
        <v>1552380038918866</v>
      </c>
      <c r="C2598" t="s">
        <v>40</v>
      </c>
      <c r="D2598">
        <v>5.1119000000000003</v>
      </c>
      <c r="E2598">
        <v>0.46307500000000001</v>
      </c>
      <c r="F2598" t="s">
        <v>49</v>
      </c>
      <c r="G2598">
        <v>-400.92129999999997</v>
      </c>
      <c r="H2598" s="1">
        <v>8.2776539999999995E-6</v>
      </c>
      <c r="I2598">
        <v>283.24220000000003</v>
      </c>
      <c r="J2598">
        <v>-383.21559999999999</v>
      </c>
      <c r="K2598">
        <v>1.1101259999999999</v>
      </c>
      <c r="L2598">
        <v>285.75869999999998</v>
      </c>
      <c r="M2598">
        <v>-0.99991339999999995</v>
      </c>
      <c r="N2598">
        <v>0</v>
      </c>
      <c r="O2598">
        <v>-1.388919E-3</v>
      </c>
      <c r="P2598">
        <v>-0.98919559999999995</v>
      </c>
      <c r="Q2598">
        <v>0.143298799999999</v>
      </c>
      <c r="R2598">
        <v>-3.0952549999999999E-2</v>
      </c>
      <c r="S2598">
        <v>-3.0470280000000001</v>
      </c>
      <c r="T2598">
        <v>-0.18607460000000001</v>
      </c>
      <c r="U2598">
        <v>-0.42193599999999998</v>
      </c>
      <c r="V2598">
        <v>-2.973464E-2</v>
      </c>
      <c r="W2598">
        <v>0.15621160000000001</v>
      </c>
      <c r="X2598">
        <v>0.98727600000000004</v>
      </c>
      <c r="Y2598">
        <v>-0.13554449999999901</v>
      </c>
      <c r="Z2598">
        <v>-4.0309150000000004E-3</v>
      </c>
      <c r="AA2598">
        <v>0.99076310000000001</v>
      </c>
      <c r="AB2598">
        <v>47</v>
      </c>
      <c r="AC2598">
        <v>-17.705699999999901</v>
      </c>
      <c r="AD2598">
        <v>-1.1101177223459999</v>
      </c>
      <c r="AE2598">
        <v>-2.51649999999995</v>
      </c>
      <c r="AF2598">
        <v>-2.4823386328558801</v>
      </c>
      <c r="AG2598">
        <v>-1.1101177223459999</v>
      </c>
      <c r="AH2598">
        <v>17.6412026193148</v>
      </c>
      <c r="AI2598">
        <v>93.565699945600798</v>
      </c>
      <c r="AJ2598">
        <v>98.009647855526694</v>
      </c>
      <c r="AK2598">
        <v>17.849548910304598</v>
      </c>
      <c r="AL2598">
        <v>81.012928677138603</v>
      </c>
      <c r="AM2598">
        <v>91.725104765979793</v>
      </c>
      <c r="AN2598">
        <v>1.0000000564832401</v>
      </c>
    </row>
    <row r="2599" spans="1:40" x14ac:dyDescent="0.25">
      <c r="A2599" t="str">
        <f>"20190312164038944"</f>
        <v>20190312164038944</v>
      </c>
      <c r="B2599" t="str">
        <f>"1552380038938385"</f>
        <v>1552380038938385</v>
      </c>
      <c r="C2599" t="s">
        <v>40</v>
      </c>
      <c r="D2599">
        <v>4.9799689999999996</v>
      </c>
      <c r="E2599">
        <v>0.46314939999999999</v>
      </c>
      <c r="F2599" t="s">
        <v>49</v>
      </c>
      <c r="G2599">
        <v>-401.57569999999998</v>
      </c>
      <c r="H2599" s="1">
        <v>7.9908949999999997E-6</v>
      </c>
      <c r="I2599">
        <v>283.22559999999999</v>
      </c>
      <c r="J2599">
        <v>-383.68979999999999</v>
      </c>
      <c r="K2599">
        <v>1.11009</v>
      </c>
      <c r="L2599">
        <v>285.75779999999997</v>
      </c>
      <c r="M2599">
        <v>-0.99991209999999997</v>
      </c>
      <c r="N2599">
        <v>0</v>
      </c>
      <c r="O2599">
        <v>-1.6054179999999999E-3</v>
      </c>
      <c r="P2599">
        <v>-0.98921680000000001</v>
      </c>
      <c r="Q2599">
        <v>0.14307059999999999</v>
      </c>
      <c r="R2599">
        <v>-3.1323869999999997E-2</v>
      </c>
      <c r="S2599">
        <v>-3.0462950000000002</v>
      </c>
      <c r="T2599">
        <v>-0.1841903</v>
      </c>
      <c r="U2599">
        <v>-0.4202881</v>
      </c>
      <c r="V2599">
        <v>-2.9878990000000001E-2</v>
      </c>
      <c r="W2599">
        <v>0.15605150000000001</v>
      </c>
      <c r="X2599">
        <v>0.98729690000000003</v>
      </c>
      <c r="Y2599">
        <v>-0.13484289999999999</v>
      </c>
      <c r="Z2599">
        <v>-3.9571540000000001E-3</v>
      </c>
      <c r="AA2599">
        <v>0.99085909999999999</v>
      </c>
      <c r="AB2599">
        <v>47</v>
      </c>
      <c r="AC2599">
        <v>-17.8858999999999</v>
      </c>
      <c r="AD2599">
        <v>-1.1100820091050001</v>
      </c>
      <c r="AE2599">
        <v>-2.53219999999998</v>
      </c>
      <c r="AF2599">
        <v>-2.4940615064588099</v>
      </c>
      <c r="AG2599">
        <v>-1.1100820091050001</v>
      </c>
      <c r="AH2599">
        <v>17.822638392316701</v>
      </c>
      <c r="AI2599">
        <v>93.529755172278399</v>
      </c>
      <c r="AJ2599">
        <v>97.966117280662303</v>
      </c>
      <c r="AK2599">
        <v>18.030503712548299</v>
      </c>
      <c r="AL2599">
        <v>81.022215082568906</v>
      </c>
      <c r="AM2599">
        <v>91.733437701483297</v>
      </c>
      <c r="AN2599">
        <v>0.99999999672263995</v>
      </c>
    </row>
    <row r="2600" spans="1:40" x14ac:dyDescent="0.25">
      <c r="A2600" t="str">
        <f>"20190312164038966"</f>
        <v>20190312164038966</v>
      </c>
      <c r="B2600" t="str">
        <f>"1552380038958881"</f>
        <v>1552380038958881</v>
      </c>
      <c r="C2600" t="s">
        <v>40</v>
      </c>
      <c r="D2600">
        <v>5.1761699999999999</v>
      </c>
      <c r="E2600">
        <v>0.46306940000000002</v>
      </c>
      <c r="F2600" t="s">
        <v>49</v>
      </c>
      <c r="G2600">
        <v>-401.94799999999998</v>
      </c>
      <c r="H2600" s="1">
        <v>7.8232740000000007E-6</v>
      </c>
      <c r="I2600">
        <v>283.23770000000002</v>
      </c>
      <c r="J2600">
        <v>-384.15109999999999</v>
      </c>
      <c r="K2600">
        <v>1.1100669999999999</v>
      </c>
      <c r="L2600">
        <v>285.7568</v>
      </c>
      <c r="M2600">
        <v>-0.9999112</v>
      </c>
      <c r="N2600">
        <v>0</v>
      </c>
      <c r="O2600">
        <v>-1.8133209999999999E-3</v>
      </c>
      <c r="P2600">
        <v>-0.98920669999999999</v>
      </c>
      <c r="Q2600">
        <v>0.14290639999999999</v>
      </c>
      <c r="R2600">
        <v>-3.2373739999999998E-2</v>
      </c>
      <c r="S2600">
        <v>-3.046173</v>
      </c>
      <c r="T2600">
        <v>-0.18520519999999999</v>
      </c>
      <c r="U2600">
        <v>-0.4204407</v>
      </c>
      <c r="V2600">
        <v>-3.0712819999999998E-2</v>
      </c>
      <c r="W2600">
        <v>0.15593650000000001</v>
      </c>
      <c r="X2600">
        <v>0.98728950000000004</v>
      </c>
      <c r="Y2600">
        <v>-0.1346889</v>
      </c>
      <c r="Z2600">
        <v>-3.9618400000000003E-3</v>
      </c>
      <c r="AA2600">
        <v>0.99087999999999998</v>
      </c>
      <c r="AB2600">
        <v>47</v>
      </c>
      <c r="AC2600">
        <v>-17.796900000000001</v>
      </c>
      <c r="AD2600">
        <v>-1.110059176726</v>
      </c>
      <c r="AE2600">
        <v>-2.5190999999999799</v>
      </c>
      <c r="AF2600">
        <v>-2.4773726890532202</v>
      </c>
      <c r="AG2600">
        <v>-1.110059176726</v>
      </c>
      <c r="AH2600">
        <v>17.7338011803005</v>
      </c>
      <c r="AI2600">
        <v>93.547436094064395</v>
      </c>
      <c r="AJ2600">
        <v>97.9526267327997</v>
      </c>
      <c r="AK2600">
        <v>17.940382134133301</v>
      </c>
      <c r="AL2600">
        <v>81.028885907581198</v>
      </c>
      <c r="AM2600">
        <v>91.781795161757898</v>
      </c>
      <c r="AN2600">
        <v>1.00000001307742</v>
      </c>
    </row>
    <row r="2601" spans="1:40" x14ac:dyDescent="0.25">
      <c r="A2601" t="str">
        <f>"20190312164038990"</f>
        <v>20190312164038990</v>
      </c>
      <c r="B2601" t="str">
        <f>"1552380038978402"</f>
        <v>1552380038978402</v>
      </c>
      <c r="C2601" t="s">
        <v>40</v>
      </c>
      <c r="D2601">
        <v>5.1083689999999997</v>
      </c>
      <c r="E2601">
        <v>0.4624721</v>
      </c>
      <c r="F2601" t="s">
        <v>49</v>
      </c>
      <c r="G2601">
        <v>-402.36529999999999</v>
      </c>
      <c r="H2601" s="1">
        <v>7.6427019999999993E-6</v>
      </c>
      <c r="I2601">
        <v>283.21589999999998</v>
      </c>
      <c r="J2601">
        <v>-384.64339999999999</v>
      </c>
      <c r="K2601">
        <v>1.1098699999999999</v>
      </c>
      <c r="L2601">
        <v>285.75569999999999</v>
      </c>
      <c r="M2601">
        <v>-0.99991790000000003</v>
      </c>
      <c r="N2601">
        <v>0</v>
      </c>
      <c r="O2601">
        <v>-2.0293139999999999E-3</v>
      </c>
      <c r="P2601">
        <v>-0.98910929999999997</v>
      </c>
      <c r="Q2601">
        <v>0.14354520000000001</v>
      </c>
      <c r="R2601">
        <v>-3.2525350000000001E-2</v>
      </c>
      <c r="S2601">
        <v>-3.0456539999999999</v>
      </c>
      <c r="T2601">
        <v>-0.18561630000000001</v>
      </c>
      <c r="U2601">
        <v>-0.42486570000000001</v>
      </c>
      <c r="V2601">
        <v>-3.063987E-2</v>
      </c>
      <c r="W2601">
        <v>0.156029799999999</v>
      </c>
      <c r="X2601">
        <v>0.98727699999999996</v>
      </c>
      <c r="Y2601">
        <v>-0.13590720000000001</v>
      </c>
      <c r="Z2601">
        <v>-3.9947139999999999E-3</v>
      </c>
      <c r="AA2601">
        <v>0.99071350000000002</v>
      </c>
      <c r="AB2601">
        <v>47</v>
      </c>
      <c r="AC2601">
        <v>-17.721900000000002</v>
      </c>
      <c r="AD2601">
        <v>-1.109862357298</v>
      </c>
      <c r="AE2601">
        <v>-2.5398000000000098</v>
      </c>
      <c r="AF2601">
        <v>-2.4942428250362401</v>
      </c>
      <c r="AG2601">
        <v>-1.109862357298</v>
      </c>
      <c r="AH2601">
        <v>17.659151083418902</v>
      </c>
      <c r="AI2601">
        <v>93.561007110218895</v>
      </c>
      <c r="AJ2601">
        <v>98.0394841425816</v>
      </c>
      <c r="AK2601">
        <v>17.8689299822179</v>
      </c>
      <c r="AL2601">
        <v>81.023473735573106</v>
      </c>
      <c r="AM2601">
        <v>91.777588198958696</v>
      </c>
      <c r="AN2601">
        <v>0.99999998742532803</v>
      </c>
    </row>
    <row r="2602" spans="1:40" x14ac:dyDescent="0.25">
      <c r="A2602" t="str">
        <f>"20190312164039011"</f>
        <v>20190312164039011</v>
      </c>
      <c r="B2602" t="str">
        <f>"1552380039008658"</f>
        <v>1552380039008658</v>
      </c>
      <c r="C2602" t="s">
        <v>40</v>
      </c>
      <c r="D2602">
        <v>4.9628040000000002</v>
      </c>
      <c r="E2602">
        <v>0.46153559999999999</v>
      </c>
      <c r="F2602" t="s">
        <v>49</v>
      </c>
      <c r="G2602">
        <v>-402.94830000000002</v>
      </c>
      <c r="H2602" s="1">
        <v>7.3941059999999998E-6</v>
      </c>
      <c r="I2602">
        <v>283.1678</v>
      </c>
      <c r="J2602">
        <v>-385.101</v>
      </c>
      <c r="K2602">
        <v>1.1095029999999999</v>
      </c>
      <c r="L2602">
        <v>285.75450000000001</v>
      </c>
      <c r="M2602">
        <v>-0.99993279999999995</v>
      </c>
      <c r="N2602">
        <v>0</v>
      </c>
      <c r="O2602">
        <v>-2.2240160000000001E-3</v>
      </c>
      <c r="P2602">
        <v>-0.98891370000000001</v>
      </c>
      <c r="Q2602">
        <v>0.1448179</v>
      </c>
      <c r="R2602">
        <v>-3.2829810000000001E-2</v>
      </c>
      <c r="S2602">
        <v>-3.0456539999999999</v>
      </c>
      <c r="T2602">
        <v>-0.18466389999999999</v>
      </c>
      <c r="U2602">
        <v>-0.43057250000000002</v>
      </c>
      <c r="V2602">
        <v>-3.073913E-2</v>
      </c>
      <c r="W2602">
        <v>0.15604199999999999</v>
      </c>
      <c r="X2602">
        <v>0.98727200000000004</v>
      </c>
      <c r="Y2602">
        <v>-0.13753460000000001</v>
      </c>
      <c r="Z2602">
        <v>-4.0110559999999998E-3</v>
      </c>
      <c r="AA2602">
        <v>0.99048879999999995</v>
      </c>
      <c r="AB2602">
        <v>47</v>
      </c>
      <c r="AC2602">
        <v>-17.847300000000001</v>
      </c>
      <c r="AD2602">
        <v>-1.109495605894</v>
      </c>
      <c r="AE2602">
        <v>-2.5867</v>
      </c>
      <c r="AF2602">
        <v>-2.5373940528291099</v>
      </c>
      <c r="AG2602">
        <v>-1.109495605894</v>
      </c>
      <c r="AH2602">
        <v>17.785688419471001</v>
      </c>
      <c r="AI2602">
        <v>93.533873998752796</v>
      </c>
      <c r="AJ2602">
        <v>98.119309525810607</v>
      </c>
      <c r="AK2602">
        <v>18.000001712037001</v>
      </c>
      <c r="AL2602">
        <v>81.0227661812376</v>
      </c>
      <c r="AM2602">
        <v>91.783352133485593</v>
      </c>
      <c r="AN2602">
        <v>1.0000000009305701</v>
      </c>
    </row>
    <row r="2603" spans="1:40" x14ac:dyDescent="0.25">
      <c r="A2603" t="str">
        <f>"20190312164039035"</f>
        <v>20190312164039035</v>
      </c>
      <c r="B2603" t="str">
        <f>"1552380039028177"</f>
        <v>1552380039028177</v>
      </c>
      <c r="C2603" t="s">
        <v>40</v>
      </c>
      <c r="D2603">
        <v>4.9650550000000004</v>
      </c>
      <c r="E2603">
        <v>0.46091549999999998</v>
      </c>
      <c r="F2603" t="s">
        <v>49</v>
      </c>
      <c r="G2603">
        <v>-403.56909999999999</v>
      </c>
      <c r="H2603" s="1">
        <v>7.1343389999999996E-6</v>
      </c>
      <c r="I2603">
        <v>283.09280000000001</v>
      </c>
      <c r="J2603">
        <v>-385.61180000000002</v>
      </c>
      <c r="K2603">
        <v>1.109124</v>
      </c>
      <c r="L2603">
        <v>285.75319999999999</v>
      </c>
      <c r="M2603">
        <v>-0.99994899999999998</v>
      </c>
      <c r="N2603">
        <v>0</v>
      </c>
      <c r="O2603">
        <v>-2.4408619999999998E-3</v>
      </c>
      <c r="P2603">
        <v>-0.98866569999999998</v>
      </c>
      <c r="Q2603">
        <v>0.14652279999999901</v>
      </c>
      <c r="R2603">
        <v>-3.2730750000000003E-2</v>
      </c>
      <c r="S2603">
        <v>-3.0458980000000002</v>
      </c>
      <c r="T2603">
        <v>-0.18298729999999999</v>
      </c>
      <c r="U2603">
        <v>-0.43899539999999998</v>
      </c>
      <c r="V2603">
        <v>-3.0412209999999999E-2</v>
      </c>
      <c r="W2603">
        <v>0.15618290000000001</v>
      </c>
      <c r="X2603">
        <v>0.98725989999999997</v>
      </c>
      <c r="Y2603">
        <v>-0.13999329999999999</v>
      </c>
      <c r="Z2603">
        <v>-4.0340840000000003E-3</v>
      </c>
      <c r="AA2603">
        <v>0.99014429999999998</v>
      </c>
      <c r="AB2603">
        <v>48</v>
      </c>
      <c r="AC2603">
        <v>-17.957299999999901</v>
      </c>
      <c r="AD2603">
        <v>-1.109116865661</v>
      </c>
      <c r="AE2603">
        <v>-2.6603999999999801</v>
      </c>
      <c r="AF2603">
        <v>-2.6068277174733399</v>
      </c>
      <c r="AG2603">
        <v>-1.109116865661</v>
      </c>
      <c r="AH2603">
        <v>17.8969334772381</v>
      </c>
      <c r="AI2603">
        <v>93.5092873143943</v>
      </c>
      <c r="AJ2603">
        <v>98.287296091332294</v>
      </c>
      <c r="AK2603">
        <v>18.1197659714182</v>
      </c>
      <c r="AL2603">
        <v>81.014593490866901</v>
      </c>
      <c r="AM2603">
        <v>91.764419304767202</v>
      </c>
      <c r="AN2603">
        <v>1.00000005545875</v>
      </c>
    </row>
    <row r="2604" spans="1:40" x14ac:dyDescent="0.25">
      <c r="A2604" t="str">
        <f>"20190312164039057"</f>
        <v>20190312164039057</v>
      </c>
      <c r="B2604" t="str">
        <f>"1552380039048674"</f>
        <v>1552380039048674</v>
      </c>
      <c r="C2604" t="s">
        <v>40</v>
      </c>
      <c r="D2604">
        <v>4.9841749999999996</v>
      </c>
      <c r="E2604">
        <v>0.46049220000000002</v>
      </c>
      <c r="F2604" t="s">
        <v>49</v>
      </c>
      <c r="G2604">
        <v>-404.4622</v>
      </c>
      <c r="H2604" s="1">
        <v>6.755723E-6</v>
      </c>
      <c r="I2604">
        <v>283.00839999999999</v>
      </c>
      <c r="J2604">
        <v>-386.09050000000002</v>
      </c>
      <c r="K2604">
        <v>1.1088720000000001</v>
      </c>
      <c r="L2604">
        <v>285.75200000000001</v>
      </c>
      <c r="M2604">
        <v>-0.99996070000000004</v>
      </c>
      <c r="N2604">
        <v>0</v>
      </c>
      <c r="O2604">
        <v>-2.6442879999999998E-3</v>
      </c>
      <c r="P2604">
        <v>-0.98841509999999999</v>
      </c>
      <c r="Q2604">
        <v>0.14797829999999901</v>
      </c>
      <c r="R2604">
        <v>-3.3741420000000001E-2</v>
      </c>
      <c r="S2604">
        <v>-3.046265</v>
      </c>
      <c r="T2604">
        <v>-0.17923559999999999</v>
      </c>
      <c r="U2604">
        <v>-0.443573</v>
      </c>
      <c r="V2604">
        <v>-3.1212239999999999E-2</v>
      </c>
      <c r="W2604">
        <v>0.15632789999999999</v>
      </c>
      <c r="X2604">
        <v>0.98721190000000003</v>
      </c>
      <c r="Y2604">
        <v>-0.14124049999999999</v>
      </c>
      <c r="Z2604">
        <v>-3.9751980000000001E-3</v>
      </c>
      <c r="AA2604">
        <v>0.98996729999999999</v>
      </c>
      <c r="AB2604">
        <v>48</v>
      </c>
      <c r="AC2604">
        <v>-18.371699999999901</v>
      </c>
      <c r="AD2604">
        <v>-1.108865244277</v>
      </c>
      <c r="AE2604">
        <v>-2.74360000000001</v>
      </c>
      <c r="AF2604">
        <v>-2.6854389763823399</v>
      </c>
      <c r="AG2604">
        <v>-1.108865244277</v>
      </c>
      <c r="AH2604">
        <v>18.313629838192501</v>
      </c>
      <c r="AI2604">
        <v>93.428377067438106</v>
      </c>
      <c r="AJ2604">
        <v>98.342176258115103</v>
      </c>
      <c r="AK2604">
        <v>18.5426589915302</v>
      </c>
      <c r="AL2604">
        <v>81.006181564103301</v>
      </c>
      <c r="AM2604">
        <v>91.810891970527507</v>
      </c>
      <c r="AN2604">
        <v>0.999999975872918</v>
      </c>
    </row>
    <row r="2605" spans="1:40" x14ac:dyDescent="0.25">
      <c r="A2605" t="str">
        <f>"20190312164039078"</f>
        <v>20190312164039078</v>
      </c>
      <c r="B2605" t="str">
        <f>"1552380039068194"</f>
        <v>1552380039068194</v>
      </c>
      <c r="C2605" t="s">
        <v>40</v>
      </c>
      <c r="D2605">
        <v>4.94848</v>
      </c>
      <c r="E2605">
        <v>0.46001039999999999</v>
      </c>
      <c r="F2605" t="s">
        <v>49</v>
      </c>
      <c r="G2605">
        <v>-405.31400000000002</v>
      </c>
      <c r="H2605" s="1">
        <v>6.3971969999999996E-6</v>
      </c>
      <c r="I2605">
        <v>282.9153</v>
      </c>
      <c r="J2605">
        <v>-386.55149999999998</v>
      </c>
      <c r="K2605">
        <v>1.1088009999999999</v>
      </c>
      <c r="L2605">
        <v>285.75069999999999</v>
      </c>
      <c r="M2605">
        <v>-0.99996669999999999</v>
      </c>
      <c r="N2605">
        <v>0</v>
      </c>
      <c r="O2605">
        <v>-2.8373959999999998E-3</v>
      </c>
      <c r="P2605">
        <v>-0.98823660000000002</v>
      </c>
      <c r="Q2605">
        <v>0.14897439999999901</v>
      </c>
      <c r="R2605">
        <v>-3.457329E-2</v>
      </c>
      <c r="S2605">
        <v>-3.0461429999999998</v>
      </c>
      <c r="T2605">
        <v>-0.17571039999999999</v>
      </c>
      <c r="U2605">
        <v>-0.44949339999999999</v>
      </c>
      <c r="V2605">
        <v>-3.1850040000000003E-2</v>
      </c>
      <c r="W2605">
        <v>0.15652149999999901</v>
      </c>
      <c r="X2605">
        <v>0.98716090000000001</v>
      </c>
      <c r="Y2605">
        <v>-0.14294519999999999</v>
      </c>
      <c r="Z2605">
        <v>-3.9345450000000002E-3</v>
      </c>
      <c r="AA2605">
        <v>0.98972280000000001</v>
      </c>
      <c r="AB2605">
        <v>48</v>
      </c>
      <c r="AC2605">
        <v>-18.762499999999999</v>
      </c>
      <c r="AD2605">
        <v>-1.108794602803</v>
      </c>
      <c r="AE2605">
        <v>-2.8353999999999902</v>
      </c>
      <c r="AF2605">
        <v>-2.7726833393827399</v>
      </c>
      <c r="AG2605">
        <v>-1.108794602803</v>
      </c>
      <c r="AH2605">
        <v>18.706598079940001</v>
      </c>
      <c r="AI2605">
        <v>93.355545456202094</v>
      </c>
      <c r="AJ2605">
        <v>98.430971514319197</v>
      </c>
      <c r="AK2605">
        <v>18.943442403536601</v>
      </c>
      <c r="AL2605">
        <v>80.994951284249197</v>
      </c>
      <c r="AM2605">
        <v>91.847966267051106</v>
      </c>
      <c r="AN2605">
        <v>1.0000000237495299</v>
      </c>
    </row>
    <row r="2606" spans="1:40" x14ac:dyDescent="0.25">
      <c r="A2606" t="str">
        <f>"20190312164039100"</f>
        <v>20190312164039100</v>
      </c>
      <c r="B2606" t="str">
        <f>"1552380039088690"</f>
        <v>1552380039088690</v>
      </c>
      <c r="C2606" t="s">
        <v>40</v>
      </c>
      <c r="D2606">
        <v>4.9985879999999998</v>
      </c>
      <c r="E2606">
        <v>0.4594647</v>
      </c>
      <c r="F2606" t="s">
        <v>49</v>
      </c>
      <c r="G2606">
        <v>-406.15230000000003</v>
      </c>
      <c r="H2606" s="1">
        <v>6.0458660000000003E-6</v>
      </c>
      <c r="I2606">
        <v>282.81650000000002</v>
      </c>
      <c r="J2606">
        <v>-387.02980000000002</v>
      </c>
      <c r="K2606">
        <v>1.1089370000000001</v>
      </c>
      <c r="L2606">
        <v>285.74919999999997</v>
      </c>
      <c r="M2606">
        <v>-0.99996680000000004</v>
      </c>
      <c r="N2606">
        <v>0</v>
      </c>
      <c r="O2606">
        <v>-3.0321060000000001E-3</v>
      </c>
      <c r="P2606">
        <v>-0.9881451</v>
      </c>
      <c r="Q2606">
        <v>0.14944089999999999</v>
      </c>
      <c r="R2606">
        <v>-3.51705E-2</v>
      </c>
      <c r="S2606">
        <v>-3.045715</v>
      </c>
      <c r="T2606">
        <v>-0.17229259999999999</v>
      </c>
      <c r="U2606">
        <v>-0.45593260000000002</v>
      </c>
      <c r="V2606">
        <v>-3.2257609999999999E-2</v>
      </c>
      <c r="W2606">
        <v>0.156896799999999</v>
      </c>
      <c r="X2606">
        <v>0.98708810000000002</v>
      </c>
      <c r="Y2606">
        <v>-0.1448256</v>
      </c>
      <c r="Z2606">
        <v>-3.8999799999999999E-3</v>
      </c>
      <c r="AA2606">
        <v>0.98944949999999998</v>
      </c>
      <c r="AB2606">
        <v>48</v>
      </c>
      <c r="AC2606">
        <v>-19.122499999999999</v>
      </c>
      <c r="AD2606">
        <v>-1.108930954134</v>
      </c>
      <c r="AE2606">
        <v>-2.9326999999999499</v>
      </c>
      <c r="AF2606">
        <v>-2.86528903571361</v>
      </c>
      <c r="AG2606">
        <v>-1.108930954134</v>
      </c>
      <c r="AH2606">
        <v>19.068651423001199</v>
      </c>
      <c r="AI2606">
        <v>93.291400383629593</v>
      </c>
      <c r="AJ2606">
        <v>98.545432507584707</v>
      </c>
      <c r="AK2606">
        <v>19.314581957970098</v>
      </c>
      <c r="AL2606">
        <v>80.973179311380804</v>
      </c>
      <c r="AM2606">
        <v>91.871735047486396</v>
      </c>
      <c r="AN2606">
        <v>1.0000000382073799</v>
      </c>
    </row>
    <row r="2607" spans="1:40" x14ac:dyDescent="0.25">
      <c r="A2607" t="str">
        <f>"20190312164039123"</f>
        <v>20190312164039123</v>
      </c>
      <c r="B2607" t="str">
        <f>"1552380039118946"</f>
        <v>1552380039118946</v>
      </c>
      <c r="C2607" t="s">
        <v>40</v>
      </c>
      <c r="D2607">
        <v>5.0108699999999997</v>
      </c>
      <c r="E2607">
        <v>0.45873239999999998</v>
      </c>
      <c r="F2607" t="s">
        <v>49</v>
      </c>
      <c r="G2607">
        <v>-406.62189999999998</v>
      </c>
      <c r="H2607" s="1">
        <v>5.8459180000000003E-6</v>
      </c>
      <c r="I2607">
        <v>282.77620000000002</v>
      </c>
      <c r="J2607">
        <v>-387.52280000000002</v>
      </c>
      <c r="K2607">
        <v>1.1091660000000001</v>
      </c>
      <c r="L2607">
        <v>285.74759999999998</v>
      </c>
      <c r="M2607">
        <v>-0.99996350000000001</v>
      </c>
      <c r="N2607">
        <v>0</v>
      </c>
      <c r="O2607">
        <v>-3.2266679999999998E-3</v>
      </c>
      <c r="P2607">
        <v>-0.98806609999999995</v>
      </c>
      <c r="Q2607">
        <v>0.14972729999999901</v>
      </c>
      <c r="R2607">
        <v>-3.615691E-2</v>
      </c>
      <c r="S2607">
        <v>-3.0456240000000001</v>
      </c>
      <c r="T2607">
        <v>-0.17238489999999901</v>
      </c>
      <c r="U2607">
        <v>-0.46215820000000002</v>
      </c>
      <c r="V2607">
        <v>-3.3056259999999997E-2</v>
      </c>
      <c r="W2607">
        <v>0.15753020000000001</v>
      </c>
      <c r="X2607">
        <v>0.98696079999999997</v>
      </c>
      <c r="Y2607">
        <v>-0.1466122</v>
      </c>
      <c r="Z2607">
        <v>-3.9408849999999999E-3</v>
      </c>
      <c r="AA2607">
        <v>0.98918620000000002</v>
      </c>
      <c r="AB2607">
        <v>48</v>
      </c>
      <c r="AC2607">
        <v>-19.0990999999999</v>
      </c>
      <c r="AD2607">
        <v>-1.109160154082</v>
      </c>
      <c r="AE2607">
        <v>-2.9713999999999601</v>
      </c>
      <c r="AF2607">
        <v>-2.9002061139954001</v>
      </c>
      <c r="AG2607">
        <v>-1.109160154082</v>
      </c>
      <c r="AH2607">
        <v>19.0458727995488</v>
      </c>
      <c r="AI2607">
        <v>93.295028885730304</v>
      </c>
      <c r="AJ2607">
        <v>98.658190225862597</v>
      </c>
      <c r="AK2607">
        <v>19.297323712050101</v>
      </c>
      <c r="AL2607">
        <v>80.936431301444003</v>
      </c>
      <c r="AM2607">
        <v>91.918289408960305</v>
      </c>
      <c r="AN2607">
        <v>1.00000005048693</v>
      </c>
    </row>
    <row r="2608" spans="1:40" x14ac:dyDescent="0.25">
      <c r="A2608" t="str">
        <f>"20190312164039146"</f>
        <v>20190312164039146</v>
      </c>
      <c r="B2608" t="str">
        <f>"1552380039138466"</f>
        <v>1552380039138466</v>
      </c>
      <c r="C2608" t="s">
        <v>40</v>
      </c>
      <c r="D2608">
        <v>5.00265</v>
      </c>
      <c r="E2608">
        <v>0.45839869999999999</v>
      </c>
      <c r="F2608" t="s">
        <v>49</v>
      </c>
      <c r="G2608">
        <v>-407.01229999999998</v>
      </c>
      <c r="H2608" s="1">
        <v>5.6819939999999901E-6</v>
      </c>
      <c r="I2608">
        <v>282.73180000000002</v>
      </c>
      <c r="J2608">
        <v>-388.01679999999999</v>
      </c>
      <c r="K2608">
        <v>1.1093839999999999</v>
      </c>
      <c r="L2608">
        <v>285.74599999999998</v>
      </c>
      <c r="M2608">
        <v>-0.99995900000000004</v>
      </c>
      <c r="N2608">
        <v>0</v>
      </c>
      <c r="O2608">
        <v>-3.4211860000000001E-3</v>
      </c>
      <c r="P2608">
        <v>-0.98807990000000001</v>
      </c>
      <c r="Q2608">
        <v>0.1494933</v>
      </c>
      <c r="R2608">
        <v>-3.6743100000000001E-2</v>
      </c>
      <c r="S2608">
        <v>-3.045258</v>
      </c>
      <c r="T2608">
        <v>-0.173307399999999</v>
      </c>
      <c r="U2608">
        <v>-0.47122190000000003</v>
      </c>
      <c r="V2608">
        <v>-3.3454970000000001E-2</v>
      </c>
      <c r="W2608">
        <v>0.15777369999999999</v>
      </c>
      <c r="X2608">
        <v>0.98690840000000002</v>
      </c>
      <c r="Y2608">
        <v>-0.1493072</v>
      </c>
      <c r="Z2608">
        <v>-4.0267039999999999E-3</v>
      </c>
      <c r="AA2608">
        <v>0.98878259999999996</v>
      </c>
      <c r="AB2608">
        <v>48</v>
      </c>
      <c r="AC2608">
        <v>-18.9955</v>
      </c>
      <c r="AD2608">
        <v>-1.109378318006</v>
      </c>
      <c r="AE2608">
        <v>-3.0141999999999598</v>
      </c>
      <c r="AF2608">
        <v>-2.9394133886504301</v>
      </c>
      <c r="AG2608">
        <v>-1.109378318006</v>
      </c>
      <c r="AH2608">
        <v>18.942678269382501</v>
      </c>
      <c r="AI2608">
        <v>93.312150366759695</v>
      </c>
      <c r="AJ2608">
        <v>98.8204748871497</v>
      </c>
      <c r="AK2608">
        <v>19.2014564900472</v>
      </c>
      <c r="AL2608">
        <v>80.922302482571496</v>
      </c>
      <c r="AM2608">
        <v>91.941512368104398</v>
      </c>
      <c r="AN2608">
        <v>0.99999998270997503</v>
      </c>
    </row>
    <row r="2609" spans="1:40" x14ac:dyDescent="0.25">
      <c r="A2609" t="str">
        <f>"20190312164039168"</f>
        <v>20190312164039168</v>
      </c>
      <c r="B2609" t="str">
        <f>"1552380039158962"</f>
        <v>1552380039158962</v>
      </c>
      <c r="C2609" t="s">
        <v>40</v>
      </c>
      <c r="D2609">
        <v>5.1035700000000004</v>
      </c>
      <c r="E2609">
        <v>0.458125</v>
      </c>
      <c r="F2609" t="s">
        <v>49</v>
      </c>
      <c r="G2609">
        <v>-407.50290000000001</v>
      </c>
      <c r="H2609" s="1">
        <v>5.4706480000000002E-6</v>
      </c>
      <c r="I2609">
        <v>282.70170000000002</v>
      </c>
      <c r="J2609">
        <v>-388.4898</v>
      </c>
      <c r="K2609">
        <v>1.10955</v>
      </c>
      <c r="L2609">
        <v>285.74430000000001</v>
      </c>
      <c r="M2609">
        <v>-0.99995409999999996</v>
      </c>
      <c r="N2609">
        <v>0</v>
      </c>
      <c r="O2609">
        <v>-3.610205E-3</v>
      </c>
      <c r="P2609">
        <v>-0.98811059999999995</v>
      </c>
      <c r="Q2609">
        <v>0.14909749999999999</v>
      </c>
      <c r="R2609">
        <v>-3.7521869999999999E-2</v>
      </c>
      <c r="S2609">
        <v>-3.0447389999999999</v>
      </c>
      <c r="T2609">
        <v>-0.1733421</v>
      </c>
      <c r="U2609">
        <v>-0.47567749999999998</v>
      </c>
      <c r="V2609">
        <v>-3.4050289999999997E-2</v>
      </c>
      <c r="W2609">
        <v>0.1578542</v>
      </c>
      <c r="X2609">
        <v>0.98687519999999995</v>
      </c>
      <c r="Y2609">
        <v>-0.15055660000000001</v>
      </c>
      <c r="Z2609">
        <v>-4.0523740000000001E-3</v>
      </c>
      <c r="AA2609">
        <v>0.9885931</v>
      </c>
      <c r="AB2609">
        <v>48</v>
      </c>
      <c r="AC2609">
        <v>-19.013100000000001</v>
      </c>
      <c r="AD2609">
        <v>-1.1095445293520001</v>
      </c>
      <c r="AE2609">
        <v>-3.04259999999999</v>
      </c>
      <c r="AF2609">
        <v>-2.9640940376134499</v>
      </c>
      <c r="AG2609">
        <v>-1.1095445293520001</v>
      </c>
      <c r="AH2609">
        <v>18.961001138207099</v>
      </c>
      <c r="AI2609">
        <v>93.308873218348097</v>
      </c>
      <c r="AJ2609">
        <v>98.884899697007796</v>
      </c>
      <c r="AK2609">
        <v>19.223332351325599</v>
      </c>
      <c r="AL2609">
        <v>80.917631941995097</v>
      </c>
      <c r="AM2609">
        <v>91.976100205305897</v>
      </c>
      <c r="AN2609">
        <v>1.0000000155408799</v>
      </c>
    </row>
    <row r="2610" spans="1:40" x14ac:dyDescent="0.25">
      <c r="A2610" t="str">
        <f>"20190312164039192"</f>
        <v>20190312164039192</v>
      </c>
      <c r="B2610" t="str">
        <f>"1552380039188242"</f>
        <v>1552380039188242</v>
      </c>
      <c r="C2610" t="s">
        <v>40</v>
      </c>
      <c r="D2610">
        <v>5.0561660000000002</v>
      </c>
      <c r="E2610">
        <v>0.45758399999999999</v>
      </c>
      <c r="F2610" t="s">
        <v>49</v>
      </c>
      <c r="G2610">
        <v>-407.94510000000002</v>
      </c>
      <c r="H2610" s="1">
        <v>5.2798510000000002E-6</v>
      </c>
      <c r="I2610">
        <v>282.67610000000002</v>
      </c>
      <c r="J2610">
        <v>-388.97340000000003</v>
      </c>
      <c r="K2610">
        <v>1.109683</v>
      </c>
      <c r="L2610">
        <v>285.74239999999998</v>
      </c>
      <c r="M2610">
        <v>-0.99994870000000002</v>
      </c>
      <c r="N2610">
        <v>0</v>
      </c>
      <c r="O2610">
        <v>-3.8059750000000001E-3</v>
      </c>
      <c r="P2610">
        <v>-0.98814570000000002</v>
      </c>
      <c r="Q2610">
        <v>0.1486439</v>
      </c>
      <c r="R2610">
        <v>-3.8381169999999999E-2</v>
      </c>
      <c r="S2610">
        <v>-3.044098</v>
      </c>
      <c r="T2610">
        <v>-0.17360590000000001</v>
      </c>
      <c r="U2610">
        <v>-0.480072</v>
      </c>
      <c r="V2610">
        <v>-3.471921E-2</v>
      </c>
      <c r="W2610">
        <v>0.15789700000000001</v>
      </c>
      <c r="X2610">
        <v>0.98684499999999997</v>
      </c>
      <c r="Y2610">
        <v>-0.15178520000000001</v>
      </c>
      <c r="Z2610">
        <v>-4.082624E-3</v>
      </c>
      <c r="AA2610">
        <v>0.98840510000000004</v>
      </c>
      <c r="AB2610">
        <v>48</v>
      </c>
      <c r="AC2610">
        <v>-18.971699999999998</v>
      </c>
      <c r="AD2610">
        <v>-1.109677720149</v>
      </c>
      <c r="AE2610">
        <v>-3.0662999999999498</v>
      </c>
      <c r="AF2610">
        <v>-2.98411936323641</v>
      </c>
      <c r="AG2610">
        <v>-1.109677720149</v>
      </c>
      <c r="AH2610">
        <v>18.9201511930398</v>
      </c>
      <c r="AI2610">
        <v>93.315690767716902</v>
      </c>
      <c r="AJ2610">
        <v>98.962956049915206</v>
      </c>
      <c r="AK2610">
        <v>19.186153188800599</v>
      </c>
      <c r="AL2610">
        <v>80.915148121904593</v>
      </c>
      <c r="AM2610">
        <v>92.014950732958198</v>
      </c>
      <c r="AN2610">
        <v>0.99999997008851105</v>
      </c>
    </row>
    <row r="2611" spans="1:40" x14ac:dyDescent="0.25">
      <c r="A2611" t="str">
        <f>"20190312164039212"</f>
        <v>20190312164039212</v>
      </c>
      <c r="B2611" t="str">
        <f>"1552380039208738"</f>
        <v>1552380039208738</v>
      </c>
      <c r="C2611" t="s">
        <v>40</v>
      </c>
      <c r="D2611">
        <v>5.0275790000000002</v>
      </c>
      <c r="E2611">
        <v>0.4571926</v>
      </c>
      <c r="F2611" t="s">
        <v>49</v>
      </c>
      <c r="G2611">
        <v>-408.1268</v>
      </c>
      <c r="H2611" s="1">
        <v>5.1994230000000001E-6</v>
      </c>
      <c r="I2611">
        <v>282.67540000000002</v>
      </c>
      <c r="J2611">
        <v>-389.44499999999999</v>
      </c>
      <c r="K2611">
        <v>1.109777</v>
      </c>
      <c r="L2611">
        <v>285.7405</v>
      </c>
      <c r="M2611">
        <v>-0.99994320000000003</v>
      </c>
      <c r="N2611">
        <v>0</v>
      </c>
      <c r="O2611">
        <v>-3.9998890000000004E-3</v>
      </c>
      <c r="P2611">
        <v>-0.98826250000000004</v>
      </c>
      <c r="Q2611">
        <v>0.1478718</v>
      </c>
      <c r="R2611">
        <v>-3.835964E-2</v>
      </c>
      <c r="S2611">
        <v>-3.0435789999999998</v>
      </c>
      <c r="T2611">
        <v>-0.17633379999999901</v>
      </c>
      <c r="U2611">
        <v>-0.48736570000000001</v>
      </c>
      <c r="V2611">
        <v>-3.4506189999999999E-2</v>
      </c>
      <c r="W2611">
        <v>0.15761689999999901</v>
      </c>
      <c r="X2611">
        <v>0.98689729999999998</v>
      </c>
      <c r="Y2611">
        <v>-0.15391869999999999</v>
      </c>
      <c r="Z2611">
        <v>-4.1968049999999996E-3</v>
      </c>
      <c r="AA2611">
        <v>0.98807460000000003</v>
      </c>
      <c r="AB2611">
        <v>48</v>
      </c>
      <c r="AC2611">
        <v>-18.681799999999999</v>
      </c>
      <c r="AD2611">
        <v>-1.1097718005769901</v>
      </c>
      <c r="AE2611">
        <v>-3.06509999999997</v>
      </c>
      <c r="AF2611">
        <v>-2.9801060990200998</v>
      </c>
      <c r="AG2611">
        <v>-1.1097718005769901</v>
      </c>
      <c r="AH2611">
        <v>18.629892874726799</v>
      </c>
      <c r="AI2611">
        <v>93.366350101967598</v>
      </c>
      <c r="AJ2611">
        <v>99.088247500494504</v>
      </c>
      <c r="AK2611">
        <v>18.899352749090902</v>
      </c>
      <c r="AL2611">
        <v>80.9314006586023</v>
      </c>
      <c r="AM2611">
        <v>92.002492043158796</v>
      </c>
      <c r="AN2611">
        <v>1.0000000225306001</v>
      </c>
    </row>
    <row r="2612" spans="1:40" x14ac:dyDescent="0.25">
      <c r="A2612" t="str">
        <f>"20190312164039235"</f>
        <v>20190312164039235</v>
      </c>
      <c r="B2612" t="str">
        <f>"1552380039228849"</f>
        <v>1552380039228849</v>
      </c>
      <c r="C2612" t="s">
        <v>40</v>
      </c>
      <c r="D2612">
        <v>5.0985709999999997</v>
      </c>
      <c r="E2612">
        <v>0.44522850000000003</v>
      </c>
      <c r="F2612" t="s">
        <v>49</v>
      </c>
      <c r="G2612">
        <v>-408.33109999999999</v>
      </c>
      <c r="H2612" s="1">
        <v>5.1050030000000001E-6</v>
      </c>
      <c r="I2612">
        <v>282.69389999999999</v>
      </c>
      <c r="J2612">
        <v>-389.93889999999999</v>
      </c>
      <c r="K2612">
        <v>1.109853</v>
      </c>
      <c r="L2612">
        <v>285.73829999999998</v>
      </c>
      <c r="M2612">
        <v>-0.99993699999999996</v>
      </c>
      <c r="N2612">
        <v>0</v>
      </c>
      <c r="O2612">
        <v>-4.2060370000000001E-3</v>
      </c>
      <c r="P2612">
        <v>-0.98837070000000005</v>
      </c>
      <c r="Q2612">
        <v>0.1471864</v>
      </c>
      <c r="R2612">
        <v>-3.8208829999999999E-2</v>
      </c>
      <c r="S2612">
        <v>-3.043396</v>
      </c>
      <c r="T2612">
        <v>-0.178834299999999</v>
      </c>
      <c r="U2612">
        <v>-0.49093629999999999</v>
      </c>
      <c r="V2612">
        <v>-3.415137E-2</v>
      </c>
      <c r="W2612">
        <v>0.15744359999999999</v>
      </c>
      <c r="X2612">
        <v>0.98693730000000002</v>
      </c>
      <c r="Y2612">
        <v>-0.15484609999999999</v>
      </c>
      <c r="Z2612">
        <v>-4.2711009999999898E-3</v>
      </c>
      <c r="AA2612">
        <v>0.98792930000000001</v>
      </c>
      <c r="AB2612">
        <v>48</v>
      </c>
      <c r="AC2612">
        <v>-18.392199999999999</v>
      </c>
      <c r="AD2612">
        <v>-1.1098478949970001</v>
      </c>
      <c r="AE2612">
        <v>-3.0443999999999898</v>
      </c>
      <c r="AF2612">
        <v>-2.9565320118463299</v>
      </c>
      <c r="AG2612">
        <v>-1.1098478949970001</v>
      </c>
      <c r="AH2612">
        <v>18.339842454247101</v>
      </c>
      <c r="AI2612">
        <v>93.419033970260699</v>
      </c>
      <c r="AJ2612">
        <v>99.157758031941896</v>
      </c>
      <c r="AK2612">
        <v>18.609746509120001</v>
      </c>
      <c r="AL2612">
        <v>80.941455525796201</v>
      </c>
      <c r="AM2612">
        <v>91.981837077289299</v>
      </c>
      <c r="AN2612">
        <v>1.0000000186925599</v>
      </c>
    </row>
    <row r="2613" spans="1:40" x14ac:dyDescent="0.25">
      <c r="A2613" t="str">
        <f>"20190312164039258"</f>
        <v>20190312164039258</v>
      </c>
      <c r="B2613" t="str">
        <f>"1552380039248370"</f>
        <v>1552380039248370</v>
      </c>
      <c r="C2613" t="s">
        <v>40</v>
      </c>
      <c r="D2613">
        <v>5.1414970000000002</v>
      </c>
      <c r="E2613">
        <v>0.44519350000000002</v>
      </c>
      <c r="F2613" t="s">
        <v>49</v>
      </c>
      <c r="G2613">
        <v>-406.66309999999999</v>
      </c>
      <c r="H2613" s="1">
        <v>5.8823439999999999E-6</v>
      </c>
      <c r="I2613">
        <v>282.51170000000002</v>
      </c>
      <c r="J2613">
        <v>-390.4187</v>
      </c>
      <c r="K2613">
        <v>1.109912</v>
      </c>
      <c r="L2613">
        <v>285.7362</v>
      </c>
      <c r="M2613">
        <v>-0.99993109999999996</v>
      </c>
      <c r="N2613">
        <v>0</v>
      </c>
      <c r="O2613">
        <v>-4.4079339999999996E-3</v>
      </c>
      <c r="P2613">
        <v>-0.98841909999999999</v>
      </c>
      <c r="Q2613">
        <v>0.1468351</v>
      </c>
      <c r="R2613">
        <v>-3.8305819999999997E-2</v>
      </c>
      <c r="S2613">
        <v>-3.0426639999999998</v>
      </c>
      <c r="T2613">
        <v>-0.20191719999999999</v>
      </c>
      <c r="U2613">
        <v>-0.58703609999999995</v>
      </c>
      <c r="V2613">
        <v>-3.4048080000000001E-2</v>
      </c>
      <c r="W2613">
        <v>0.15757160000000001</v>
      </c>
      <c r="X2613">
        <v>0.98692040000000003</v>
      </c>
      <c r="Y2613">
        <v>-0.1847288</v>
      </c>
      <c r="Z2613">
        <v>-5.7774649999999999E-3</v>
      </c>
      <c r="AA2613">
        <v>0.98277250000000005</v>
      </c>
      <c r="AB2613">
        <v>48</v>
      </c>
      <c r="AC2613">
        <v>-16.244399999999899</v>
      </c>
      <c r="AD2613">
        <v>-1.1099061176559999</v>
      </c>
      <c r="AE2613">
        <v>-3.2244999999999702</v>
      </c>
      <c r="AF2613">
        <v>-3.1387627536735798</v>
      </c>
      <c r="AG2613">
        <v>-1.1099061176559999</v>
      </c>
      <c r="AH2613">
        <v>16.185759688952601</v>
      </c>
      <c r="AI2613">
        <v>93.851278291034006</v>
      </c>
      <c r="AJ2613">
        <v>100.974653290595</v>
      </c>
      <c r="AK2613">
        <v>16.524604077628702</v>
      </c>
      <c r="AL2613">
        <v>80.934028597860504</v>
      </c>
      <c r="AM2613">
        <v>91.975881624300399</v>
      </c>
      <c r="AN2613">
        <v>0.99999997840720301</v>
      </c>
    </row>
    <row r="2614" spans="1:40" x14ac:dyDescent="0.25">
      <c r="A2614" t="str">
        <f>"20190312164039279"</f>
        <v>20190312164039279</v>
      </c>
      <c r="B2614" t="str">
        <f>"1552380039268866"</f>
        <v>1552380039268866</v>
      </c>
      <c r="C2614" t="s">
        <v>40</v>
      </c>
      <c r="D2614">
        <v>5.0637449999999999</v>
      </c>
      <c r="E2614">
        <v>0.44631340000000003</v>
      </c>
      <c r="F2614" t="s">
        <v>49</v>
      </c>
      <c r="G2614">
        <v>-406.64859999999999</v>
      </c>
      <c r="H2614" s="1">
        <v>5.8709820000000001E-6</v>
      </c>
      <c r="I2614">
        <v>282.59769999999997</v>
      </c>
      <c r="J2614">
        <v>-390.88850000000002</v>
      </c>
      <c r="K2614">
        <v>1.109955</v>
      </c>
      <c r="L2614">
        <v>285.73399999999998</v>
      </c>
      <c r="M2614">
        <v>-0.99992510000000001</v>
      </c>
      <c r="N2614">
        <v>0</v>
      </c>
      <c r="O2614">
        <v>-4.6063399999999996E-3</v>
      </c>
      <c r="P2614">
        <v>-0.98846820000000002</v>
      </c>
      <c r="Q2614">
        <v>0.1465989</v>
      </c>
      <c r="R2614">
        <v>-3.7940109999999999E-2</v>
      </c>
      <c r="S2614">
        <v>-3.0432429999999999</v>
      </c>
      <c r="T2614">
        <v>-0.20811589999999999</v>
      </c>
      <c r="U2614">
        <v>-0.58850100000000005</v>
      </c>
      <c r="V2614">
        <v>-3.3485099999999997E-2</v>
      </c>
      <c r="W2614">
        <v>0.15777269999999999</v>
      </c>
      <c r="X2614">
        <v>0.98690750000000005</v>
      </c>
      <c r="Y2614">
        <v>-0.18493129999999999</v>
      </c>
      <c r="Z2614">
        <v>-5.9464820000000003E-3</v>
      </c>
      <c r="AA2614">
        <v>0.98273339999999998</v>
      </c>
      <c r="AB2614">
        <v>48</v>
      </c>
      <c r="AC2614">
        <v>-15.7600999999999</v>
      </c>
      <c r="AD2614">
        <v>-1.1099491290179999</v>
      </c>
      <c r="AE2614">
        <v>-3.1363000000000598</v>
      </c>
      <c r="AF2614">
        <v>-3.0491179423303398</v>
      </c>
      <c r="AG2614">
        <v>-1.1099491290179999</v>
      </c>
      <c r="AH2614">
        <v>15.699476352034701</v>
      </c>
      <c r="AI2614">
        <v>93.970127761978304</v>
      </c>
      <c r="AJ2614">
        <v>100.99102828541101</v>
      </c>
      <c r="AK2614">
        <v>16.031302661460298</v>
      </c>
      <c r="AL2614">
        <v>80.922360161423597</v>
      </c>
      <c r="AM2614">
        <v>91.943261351256197</v>
      </c>
      <c r="AN2614">
        <v>0.99999994517177304</v>
      </c>
    </row>
    <row r="2615" spans="1:40" x14ac:dyDescent="0.25">
      <c r="A2615" t="str">
        <f>"20190312164039302"</f>
        <v>20190312164039302</v>
      </c>
      <c r="B2615" t="str">
        <f>"1552380039299120"</f>
        <v>1552380039299120</v>
      </c>
      <c r="C2615" t="s">
        <v>40</v>
      </c>
      <c r="D2615">
        <v>5.363531</v>
      </c>
      <c r="E2615">
        <v>0.44727040000000001</v>
      </c>
      <c r="F2615" t="s">
        <v>49</v>
      </c>
      <c r="G2615">
        <v>-408.06029999999998</v>
      </c>
      <c r="H2615" s="1">
        <v>5.2714149999999901E-6</v>
      </c>
      <c r="I2615">
        <v>282.46960000000001</v>
      </c>
      <c r="J2615">
        <v>-391.36660000000001</v>
      </c>
      <c r="K2615">
        <v>1.1099920000000001</v>
      </c>
      <c r="L2615">
        <v>285.73160000000001</v>
      </c>
      <c r="M2615">
        <v>-0.99991960000000002</v>
      </c>
      <c r="N2615">
        <v>0</v>
      </c>
      <c r="O2615">
        <v>-4.8078549999999998E-3</v>
      </c>
      <c r="P2615">
        <v>-0.98850830000000001</v>
      </c>
      <c r="Q2615">
        <v>0.1463672</v>
      </c>
      <c r="R2615">
        <v>-3.7792550000000001E-2</v>
      </c>
      <c r="S2615">
        <v>-3.0419619999999998</v>
      </c>
      <c r="T2615">
        <v>-0.19662650000000001</v>
      </c>
      <c r="U2615">
        <v>-0.57827759999999995</v>
      </c>
      <c r="V2615">
        <v>-3.3137340000000001E-2</v>
      </c>
      <c r="W2615">
        <v>0.1579451</v>
      </c>
      <c r="X2615">
        <v>0.98689170000000004</v>
      </c>
      <c r="Y2615">
        <v>-0.1816738</v>
      </c>
      <c r="Z2615">
        <v>-5.5058199999999998E-3</v>
      </c>
      <c r="AA2615">
        <v>0.98334339999999998</v>
      </c>
      <c r="AB2615">
        <v>48</v>
      </c>
      <c r="AC2615">
        <v>-16.6936999999999</v>
      </c>
      <c r="AD2615">
        <v>-1.109986728585</v>
      </c>
      <c r="AE2615">
        <v>-3.262</v>
      </c>
      <c r="AF2615">
        <v>-3.1682040793892798</v>
      </c>
      <c r="AG2615">
        <v>-1.109986728585</v>
      </c>
      <c r="AH2615">
        <v>16.638336964537299</v>
      </c>
      <c r="AI2615">
        <v>93.749522122353497</v>
      </c>
      <c r="AJ2615">
        <v>100.780964953088</v>
      </c>
      <c r="AK2615">
        <v>16.9736220227676</v>
      </c>
      <c r="AL2615">
        <v>80.912357289067202</v>
      </c>
      <c r="AM2615">
        <v>91.923125580575302</v>
      </c>
      <c r="AN2615">
        <v>0.99999998272258706</v>
      </c>
    </row>
    <row r="2616" spans="1:40" x14ac:dyDescent="0.25">
      <c r="A2616" t="str">
        <f>"20190312164039324"</f>
        <v>20190312164039324</v>
      </c>
      <c r="B2616" t="str">
        <f>"1552380039318659"</f>
        <v>1552380039318659</v>
      </c>
      <c r="C2616" t="s">
        <v>40</v>
      </c>
      <c r="D2616">
        <v>5.1781050000000004</v>
      </c>
      <c r="E2616">
        <v>0.4471154</v>
      </c>
      <c r="F2616" t="s">
        <v>49</v>
      </c>
      <c r="G2616">
        <v>-409.30770000000001</v>
      </c>
      <c r="H2616" s="1">
        <v>4.7389179999999997E-6</v>
      </c>
      <c r="I2616">
        <v>282.36950000000002</v>
      </c>
      <c r="J2616">
        <v>-391.8673</v>
      </c>
      <c r="K2616">
        <v>1.1100159999999999</v>
      </c>
      <c r="L2616">
        <v>285.72910000000002</v>
      </c>
      <c r="M2616">
        <v>-0.99991410000000003</v>
      </c>
      <c r="N2616">
        <v>0</v>
      </c>
      <c r="O2616">
        <v>-5.017639E-3</v>
      </c>
      <c r="P2616">
        <v>-0.98855179999999998</v>
      </c>
      <c r="Q2616">
        <v>0.14614969999999999</v>
      </c>
      <c r="R2616">
        <v>-3.7496080000000001E-2</v>
      </c>
      <c r="S2616">
        <v>-3.040924</v>
      </c>
      <c r="T2616">
        <v>-0.18813659999999999</v>
      </c>
      <c r="U2616">
        <v>-0.56985469999999905</v>
      </c>
      <c r="V2616">
        <v>-3.2632479999999998E-2</v>
      </c>
      <c r="W2616">
        <v>0.158108</v>
      </c>
      <c r="X2616">
        <v>0.98688240000000005</v>
      </c>
      <c r="Y2616">
        <v>-0.17893339999999999</v>
      </c>
      <c r="Z2616">
        <v>-5.1748260000000004E-3</v>
      </c>
      <c r="AA2616">
        <v>0.98384760000000004</v>
      </c>
      <c r="AB2616">
        <v>48</v>
      </c>
      <c r="AC2616">
        <v>-17.4404</v>
      </c>
      <c r="AD2616">
        <v>-1.1100112610820001</v>
      </c>
      <c r="AE2616">
        <v>-3.3595999999999999</v>
      </c>
      <c r="AF2616">
        <v>-3.2593111997988999</v>
      </c>
      <c r="AG2616">
        <v>-1.1100112610820001</v>
      </c>
      <c r="AH2616">
        <v>17.389119229299599</v>
      </c>
      <c r="AI2616">
        <v>93.590093703673503</v>
      </c>
      <c r="AJ2616">
        <v>100.615999040291</v>
      </c>
      <c r="AK2616">
        <v>17.726722823682401</v>
      </c>
      <c r="AL2616">
        <v>80.902904690785405</v>
      </c>
      <c r="AM2616">
        <v>91.893865364726693</v>
      </c>
      <c r="AN2616">
        <v>0.999999944922353</v>
      </c>
    </row>
    <row r="2617" spans="1:40" x14ac:dyDescent="0.25">
      <c r="A2617" t="str">
        <f>"20190312164039346"</f>
        <v>20190312164039346</v>
      </c>
      <c r="B2617" t="str">
        <f>"1552380039339141"</f>
        <v>1552380039339141</v>
      </c>
      <c r="C2617" t="s">
        <v>40</v>
      </c>
      <c r="D2617">
        <v>5.1723970000000001</v>
      </c>
      <c r="E2617">
        <v>0.44691160000000002</v>
      </c>
      <c r="F2617" t="s">
        <v>49</v>
      </c>
      <c r="G2617">
        <v>-409.10520000000002</v>
      </c>
      <c r="H2617" s="1">
        <v>4.8023179999999998E-6</v>
      </c>
      <c r="I2617">
        <v>282.49740000000003</v>
      </c>
      <c r="J2617">
        <v>-392.34559999999999</v>
      </c>
      <c r="K2617">
        <v>1.110026</v>
      </c>
      <c r="L2617">
        <v>285.72649999999999</v>
      </c>
      <c r="M2617">
        <v>-0.99990900000000005</v>
      </c>
      <c r="N2617">
        <v>0</v>
      </c>
      <c r="O2617">
        <v>-5.2168910000000004E-3</v>
      </c>
      <c r="P2617">
        <v>-0.98862779999999995</v>
      </c>
      <c r="Q2617">
        <v>0.145805399999999</v>
      </c>
      <c r="R2617">
        <v>-3.6830080000000001E-2</v>
      </c>
      <c r="S2617">
        <v>-3.0421140000000002</v>
      </c>
      <c r="T2617">
        <v>-0.1958936</v>
      </c>
      <c r="U2617">
        <v>-0.5703125</v>
      </c>
      <c r="V2617">
        <v>-3.1768560000000001E-2</v>
      </c>
      <c r="W2617">
        <v>0.15809010000000001</v>
      </c>
      <c r="X2617">
        <v>0.9869135</v>
      </c>
      <c r="Y2617">
        <v>-0.17878469999999999</v>
      </c>
      <c r="Z2617">
        <v>-5.3681789999999998E-3</v>
      </c>
      <c r="AA2617">
        <v>0.98387360000000001</v>
      </c>
      <c r="AB2617">
        <v>48</v>
      </c>
      <c r="AC2617">
        <v>-16.759599999999999</v>
      </c>
      <c r="AD2617">
        <v>-1.110021197682</v>
      </c>
      <c r="AE2617">
        <v>-3.2290999999999599</v>
      </c>
      <c r="AF2617">
        <v>-3.1283842825708899</v>
      </c>
      <c r="AG2617">
        <v>-1.110021197682</v>
      </c>
      <c r="AH2617">
        <v>16.705560260135499</v>
      </c>
      <c r="AI2617">
        <v>93.736731905360301</v>
      </c>
      <c r="AJ2617">
        <v>100.606705620735</v>
      </c>
      <c r="AK2617">
        <v>17.032166006816599</v>
      </c>
      <c r="AL2617">
        <v>80.903943750745697</v>
      </c>
      <c r="AM2617">
        <v>91.843703739881306</v>
      </c>
      <c r="AN2617">
        <v>0.99999998880236596</v>
      </c>
    </row>
    <row r="2618" spans="1:40" x14ac:dyDescent="0.25">
      <c r="A2618" t="str">
        <f>"20190312164039359"</f>
        <v>20190312164039359</v>
      </c>
      <c r="B2618" t="str">
        <f>"1552380039348898"</f>
        <v>1552380039348898</v>
      </c>
      <c r="C2618" t="s">
        <v>40</v>
      </c>
      <c r="D2618">
        <v>6.0690869999999997</v>
      </c>
      <c r="E2618">
        <v>0.44691160000000002</v>
      </c>
      <c r="F2618" t="s">
        <v>49</v>
      </c>
      <c r="G2618">
        <v>-409.5795</v>
      </c>
      <c r="H2618" s="1">
        <v>4.5918090000000003E-6</v>
      </c>
      <c r="I2618">
        <v>282.49829999999997</v>
      </c>
      <c r="J2618">
        <v>-392.60399999999998</v>
      </c>
      <c r="K2618">
        <v>1.1100270000000001</v>
      </c>
      <c r="L2618">
        <v>285.7251</v>
      </c>
      <c r="M2618">
        <v>-0.99990619999999997</v>
      </c>
      <c r="N2618">
        <v>0</v>
      </c>
      <c r="O2618">
        <v>-5.3240639999999999E-3</v>
      </c>
      <c r="P2618">
        <v>-0.9886606</v>
      </c>
      <c r="Q2618">
        <v>0.14562449999999999</v>
      </c>
      <c r="R2618">
        <v>-3.6659839999999999E-2</v>
      </c>
      <c r="S2618">
        <v>-3.0421749999999999</v>
      </c>
      <c r="T2618">
        <v>-0.1959448</v>
      </c>
      <c r="U2618">
        <v>-0.56985469999999905</v>
      </c>
      <c r="V2618">
        <v>-3.1491930000000001E-2</v>
      </c>
      <c r="W2618">
        <v>0.15807449999999901</v>
      </c>
      <c r="X2618">
        <v>0.98692489999999999</v>
      </c>
      <c r="Y2618">
        <v>-0.1785331</v>
      </c>
      <c r="Z2618">
        <v>-5.3546849999999997E-3</v>
      </c>
      <c r="AA2618">
        <v>0.98391930000000005</v>
      </c>
      <c r="AB2618">
        <v>48</v>
      </c>
      <c r="AC2618">
        <v>-16.975499999999901</v>
      </c>
      <c r="AD2618">
        <v>-1.110022408191</v>
      </c>
      <c r="AE2618">
        <v>-3.2268000000000199</v>
      </c>
      <c r="AF2618">
        <v>-3.1234787508342001</v>
      </c>
      <c r="AG2618">
        <v>-1.110022408191</v>
      </c>
      <c r="AH2618">
        <v>16.922605890621199</v>
      </c>
      <c r="AI2618">
        <v>93.6907225310661</v>
      </c>
      <c r="AJ2618">
        <v>100.457634698644</v>
      </c>
      <c r="AK2618">
        <v>17.244212344519699</v>
      </c>
      <c r="AL2618">
        <v>80.904849267207993</v>
      </c>
      <c r="AM2618">
        <v>91.827639223077398</v>
      </c>
      <c r="AN2618">
        <v>1.00000002372269</v>
      </c>
    </row>
    <row r="2619" spans="1:40" x14ac:dyDescent="0.25">
      <c r="A2619" t="str">
        <f>"20190312164039371"</f>
        <v>20190312164039371</v>
      </c>
      <c r="B2619" t="str">
        <f>"1552380039358658"</f>
        <v>1552380039358658</v>
      </c>
      <c r="C2619" t="s">
        <v>40</v>
      </c>
      <c r="D2619">
        <v>5.3562719999999997</v>
      </c>
      <c r="E2619">
        <v>0.44695010000000002</v>
      </c>
      <c r="F2619" t="s">
        <v>49</v>
      </c>
      <c r="G2619">
        <v>-409.80029999999999</v>
      </c>
      <c r="H2619" s="1">
        <v>4.4925090000000002E-6</v>
      </c>
      <c r="I2619">
        <v>282.505</v>
      </c>
      <c r="J2619">
        <v>-392.86180000000002</v>
      </c>
      <c r="K2619">
        <v>1.1100289999999999</v>
      </c>
      <c r="L2619">
        <v>285.72359999999998</v>
      </c>
      <c r="M2619">
        <v>-0.99990369999999995</v>
      </c>
      <c r="N2619">
        <v>0</v>
      </c>
      <c r="O2619">
        <v>-5.4309190000000002E-3</v>
      </c>
      <c r="P2619">
        <v>-0.98865619999999999</v>
      </c>
      <c r="Q2619">
        <v>0.1456578</v>
      </c>
      <c r="R2619">
        <v>-3.664249E-2</v>
      </c>
      <c r="S2619">
        <v>-3.0421749999999999</v>
      </c>
      <c r="T2619">
        <v>-0.19637299999999999</v>
      </c>
      <c r="U2619">
        <v>-0.56967159999999994</v>
      </c>
      <c r="V2619">
        <v>-3.1369099999999997E-2</v>
      </c>
      <c r="W2619">
        <v>0.1582596</v>
      </c>
      <c r="X2619">
        <v>0.98689910000000003</v>
      </c>
      <c r="Y2619">
        <v>-0.1783698</v>
      </c>
      <c r="Z2619">
        <v>-5.3543430000000001E-3</v>
      </c>
      <c r="AA2619">
        <v>0.98394890000000002</v>
      </c>
      <c r="AB2619">
        <v>48</v>
      </c>
      <c r="AC2619">
        <v>-16.938499999999902</v>
      </c>
      <c r="AD2619">
        <v>-1.110024507491</v>
      </c>
      <c r="AE2619">
        <v>-3.2185999999999799</v>
      </c>
      <c r="AF2619">
        <v>-3.1136477374586402</v>
      </c>
      <c r="AG2619">
        <v>-1.110024507491</v>
      </c>
      <c r="AH2619">
        <v>16.885742337373401</v>
      </c>
      <c r="AI2619">
        <v>93.698882412519296</v>
      </c>
      <c r="AJ2619">
        <v>100.447701884982</v>
      </c>
      <c r="AK2619">
        <v>17.2062561565373</v>
      </c>
      <c r="AL2619">
        <v>80.894108194894699</v>
      </c>
      <c r="AM2619">
        <v>91.820563131329294</v>
      </c>
      <c r="AN2619">
        <v>0.99999997750388903</v>
      </c>
    </row>
    <row r="2620" spans="1:40" x14ac:dyDescent="0.25">
      <c r="A2620" t="str">
        <f>"20190312164039391"</f>
        <v>20190312164039391</v>
      </c>
      <c r="B2620" t="str">
        <f>"1552380039379153"</f>
        <v>1552380039379153</v>
      </c>
      <c r="C2620" t="s">
        <v>40</v>
      </c>
      <c r="D2620">
        <v>5.4631410000000002</v>
      </c>
      <c r="E2620">
        <v>0.45317550000000001</v>
      </c>
      <c r="F2620" t="s">
        <v>49</v>
      </c>
      <c r="G2620">
        <v>-410.76400000000001</v>
      </c>
      <c r="H2620" s="1">
        <v>2.5374180000000001E-6</v>
      </c>
      <c r="I2620">
        <v>282.37259999999998</v>
      </c>
      <c r="J2620">
        <v>-393.29239999999999</v>
      </c>
      <c r="K2620">
        <v>1.110026</v>
      </c>
      <c r="L2620">
        <v>285.72120000000001</v>
      </c>
      <c r="M2620">
        <v>-0.9998996</v>
      </c>
      <c r="N2620">
        <v>0</v>
      </c>
      <c r="O2620">
        <v>-5.6093979999999998E-3</v>
      </c>
      <c r="P2620">
        <v>-0.98873390000000005</v>
      </c>
      <c r="Q2620">
        <v>0.1452531</v>
      </c>
      <c r="R2620">
        <v>-3.6151259999999998E-2</v>
      </c>
      <c r="S2620">
        <v>-3.041077</v>
      </c>
      <c r="T2620">
        <v>-0.18856249999999999</v>
      </c>
      <c r="U2620">
        <v>-0.56924439999999998</v>
      </c>
      <c r="V2620">
        <v>-3.0699810000000001E-2</v>
      </c>
      <c r="W2620">
        <v>0.15809289999999901</v>
      </c>
      <c r="X2620">
        <v>0.98694689999999996</v>
      </c>
      <c r="Y2620">
        <v>-0.17815249999999999</v>
      </c>
      <c r="Z2620">
        <v>-5.1260400000000001E-3</v>
      </c>
      <c r="AA2620">
        <v>0.98398949999999996</v>
      </c>
      <c r="AB2620">
        <v>48</v>
      </c>
      <c r="AC2620">
        <v>-17.471599999999999</v>
      </c>
      <c r="AD2620">
        <v>-1.110023462582</v>
      </c>
      <c r="AE2620">
        <v>-3.34860000000003</v>
      </c>
      <c r="AF2620">
        <v>-3.2379272233473602</v>
      </c>
      <c r="AG2620">
        <v>-1.110023462582</v>
      </c>
      <c r="AH2620">
        <v>17.4222779557869</v>
      </c>
      <c r="AI2620">
        <v>93.584339279373296</v>
      </c>
      <c r="AJ2620">
        <v>100.528290775306</v>
      </c>
      <c r="AK2620">
        <v>17.755339871708301</v>
      </c>
      <c r="AL2620">
        <v>80.903781504968705</v>
      </c>
      <c r="AM2620">
        <v>91.781658733024798</v>
      </c>
      <c r="AN2620">
        <v>1.0000000133920199</v>
      </c>
    </row>
    <row r="2621" spans="1:40" x14ac:dyDescent="0.25">
      <c r="A2621" t="str">
        <f>"20190312164039414"</f>
        <v>20190312164039414</v>
      </c>
      <c r="B2621" t="str">
        <f>"1552380039408436"</f>
        <v>1552380039408436</v>
      </c>
      <c r="C2621" t="s">
        <v>40</v>
      </c>
      <c r="D2621">
        <v>5.3526199999999999</v>
      </c>
      <c r="E2621">
        <v>0.50800089999999998</v>
      </c>
      <c r="F2621" t="s">
        <v>49</v>
      </c>
      <c r="G2621">
        <v>-411.58150000000001</v>
      </c>
      <c r="H2621" s="1">
        <v>2.6618570000000002E-6</v>
      </c>
      <c r="I2621">
        <v>282.608</v>
      </c>
      <c r="J2621">
        <v>-393.76929999999999</v>
      </c>
      <c r="K2621">
        <v>1.110028</v>
      </c>
      <c r="L2621">
        <v>285.71839999999997</v>
      </c>
      <c r="M2621">
        <v>-0.99989550000000005</v>
      </c>
      <c r="N2621">
        <v>0</v>
      </c>
      <c r="O2621">
        <v>-5.8077830000000004E-3</v>
      </c>
      <c r="P2621">
        <v>-0.98879879999999998</v>
      </c>
      <c r="Q2621">
        <v>0.14490320000000001</v>
      </c>
      <c r="R2621">
        <v>-3.5778369999999997E-2</v>
      </c>
      <c r="S2621">
        <v>-3.042389</v>
      </c>
      <c r="T2621">
        <v>-0.18465200000000001</v>
      </c>
      <c r="U2621">
        <v>-0.51788329999999905</v>
      </c>
      <c r="V2621">
        <v>-3.012952E-2</v>
      </c>
      <c r="W2621">
        <v>0.15797659999999999</v>
      </c>
      <c r="X2621">
        <v>0.9869831</v>
      </c>
      <c r="Y2621">
        <v>-0.1618011</v>
      </c>
      <c r="Z2621">
        <v>-4.521008E-3</v>
      </c>
      <c r="AA2621">
        <v>0.98681300000000005</v>
      </c>
      <c r="AB2621">
        <v>48</v>
      </c>
      <c r="AC2621">
        <v>-17.812200000000001</v>
      </c>
      <c r="AD2621">
        <v>-1.1100253381430001</v>
      </c>
      <c r="AE2621">
        <v>-3.1103999999999701</v>
      </c>
      <c r="AF2621">
        <v>-2.9955997101969101</v>
      </c>
      <c r="AG2621">
        <v>-1.1100253381430001</v>
      </c>
      <c r="AH2621">
        <v>17.7630230505812</v>
      </c>
      <c r="AI2621">
        <v>93.526146257920502</v>
      </c>
      <c r="AJ2621">
        <v>99.5724312195767</v>
      </c>
      <c r="AK2621">
        <v>18.048012682024801</v>
      </c>
      <c r="AL2621">
        <v>80.910529838416906</v>
      </c>
      <c r="AM2621">
        <v>91.748518688064905</v>
      </c>
      <c r="AN2621">
        <v>1.0000000169043</v>
      </c>
    </row>
    <row r="2622" spans="1:40" x14ac:dyDescent="0.25">
      <c r="A2622" t="str">
        <f>"20190312164039425"</f>
        <v>20190312164039425</v>
      </c>
      <c r="B2622" t="str">
        <f>"1552380039419169"</f>
        <v>1552380039419169</v>
      </c>
      <c r="C2622" t="s">
        <v>40</v>
      </c>
      <c r="D2622">
        <v>5.2780279999999999</v>
      </c>
      <c r="E2622">
        <v>0.50792150000000003</v>
      </c>
      <c r="F2622" t="s">
        <v>49</v>
      </c>
      <c r="G2622">
        <v>-416.60739999999998</v>
      </c>
      <c r="H2622" s="1">
        <v>3.3315979999999999E-6</v>
      </c>
      <c r="I2622">
        <v>285.1447</v>
      </c>
      <c r="J2622">
        <v>-394.01870000000002</v>
      </c>
      <c r="K2622">
        <v>1.1100350000000001</v>
      </c>
      <c r="L2622">
        <v>285.71690000000001</v>
      </c>
      <c r="M2622">
        <v>-0.99989340000000004</v>
      </c>
      <c r="N2622">
        <v>0</v>
      </c>
      <c r="O2622">
        <v>-5.9115249999999999E-3</v>
      </c>
      <c r="P2622">
        <v>-0.98880330000000005</v>
      </c>
      <c r="Q2622">
        <v>0.1448006</v>
      </c>
      <c r="R2622">
        <v>-3.6077499999999998E-2</v>
      </c>
      <c r="S2622">
        <v>-3.0529480000000002</v>
      </c>
      <c r="T2622">
        <v>-0.14838579999999901</v>
      </c>
      <c r="U2622">
        <v>-7.6690670000000002E-2</v>
      </c>
      <c r="V2622">
        <v>-3.032526E-2</v>
      </c>
      <c r="W2622">
        <v>0.1579836</v>
      </c>
      <c r="X2622">
        <v>0.98697599999999996</v>
      </c>
      <c r="Y2622">
        <v>-1.918599E-2</v>
      </c>
      <c r="Z2622">
        <v>-1.7878180000000001E-4</v>
      </c>
      <c r="AA2622">
        <v>0.99981589999999998</v>
      </c>
      <c r="AB2622">
        <v>48</v>
      </c>
      <c r="AC2622">
        <v>-22.5886999999999</v>
      </c>
      <c r="AD2622">
        <v>-1.110031668402</v>
      </c>
      <c r="AE2622">
        <v>-0.57220000000000903</v>
      </c>
      <c r="AF2622">
        <v>-0.43758840487558398</v>
      </c>
      <c r="AG2622">
        <v>-1.110031668402</v>
      </c>
      <c r="AH2622">
        <v>22.537299049492098</v>
      </c>
      <c r="AI2622">
        <v>92.819185207513698</v>
      </c>
      <c r="AJ2622">
        <v>91.112325785252395</v>
      </c>
      <c r="AK2622">
        <v>22.568861343966301</v>
      </c>
      <c r="AL2622">
        <v>80.9101238050349</v>
      </c>
      <c r="AM2622">
        <v>91.7598836787989</v>
      </c>
      <c r="AN2622">
        <v>1.0000000319195099</v>
      </c>
    </row>
    <row r="2623" spans="1:40" x14ac:dyDescent="0.25">
      <c r="A2623" t="str">
        <f>"20190312164039448"</f>
        <v>20190312164039448</v>
      </c>
      <c r="B2623" t="str">
        <f>"1552380039438627"</f>
        <v>1552380039438627</v>
      </c>
      <c r="C2623" t="s">
        <v>40</v>
      </c>
      <c r="D2623">
        <v>5.3839569999999997</v>
      </c>
      <c r="E2623">
        <v>0.50900670000000003</v>
      </c>
      <c r="F2623" t="s">
        <v>49</v>
      </c>
      <c r="G2623">
        <v>-414.72590000000002</v>
      </c>
      <c r="H2623" s="1">
        <v>2.994964E-6</v>
      </c>
      <c r="I2623">
        <v>285.17779999999999</v>
      </c>
      <c r="J2623">
        <v>-394.49880000000002</v>
      </c>
      <c r="K2623">
        <v>1.1100369999999999</v>
      </c>
      <c r="L2623">
        <v>285.71390000000002</v>
      </c>
      <c r="M2623">
        <v>-0.99988940000000004</v>
      </c>
      <c r="N2623">
        <v>0</v>
      </c>
      <c r="O2623">
        <v>-6.1112019999999996E-3</v>
      </c>
      <c r="P2623">
        <v>-0.98881699999999995</v>
      </c>
      <c r="Q2623">
        <v>0.144675</v>
      </c>
      <c r="R2623">
        <v>-3.6194249999999997E-2</v>
      </c>
      <c r="S2623">
        <v>-3.0550839999999999</v>
      </c>
      <c r="T2623">
        <v>-0.16377130000000001</v>
      </c>
      <c r="U2623">
        <v>-7.9528810000000005E-2</v>
      </c>
      <c r="V2623">
        <v>-3.0244E-2</v>
      </c>
      <c r="W2623">
        <v>0.15804860000000001</v>
      </c>
      <c r="X2623">
        <v>0.98696799999999996</v>
      </c>
      <c r="Y2623">
        <v>-1.9892859999999998E-2</v>
      </c>
      <c r="Z2623">
        <v>-2.053875E-4</v>
      </c>
      <c r="AA2623">
        <v>0.99980210000000003</v>
      </c>
      <c r="AB2623">
        <v>48</v>
      </c>
      <c r="AC2623">
        <v>-20.2271</v>
      </c>
      <c r="AD2623">
        <v>-1.110034005036</v>
      </c>
      <c r="AE2623">
        <v>-0.53610000000003299</v>
      </c>
      <c r="AF2623">
        <v>-0.41122911810463397</v>
      </c>
      <c r="AG2623">
        <v>-1.110034005036</v>
      </c>
      <c r="AH2623">
        <v>20.169298391972799</v>
      </c>
      <c r="AI2623">
        <v>93.149489362320793</v>
      </c>
      <c r="AJ2623">
        <v>91.168034124210493</v>
      </c>
      <c r="AK2623">
        <v>20.204006595335301</v>
      </c>
      <c r="AL2623">
        <v>80.906351409444198</v>
      </c>
      <c r="AM2623">
        <v>91.755185040870899</v>
      </c>
      <c r="AN2623">
        <v>0.99999994626097799</v>
      </c>
    </row>
    <row r="2624" spans="1:40" x14ac:dyDescent="0.25">
      <c r="A2624" t="str">
        <f>"20190312164039469"</f>
        <v>20190312164039469</v>
      </c>
      <c r="B2624" t="str">
        <f>"1552380039459123"</f>
        <v>1552380039459123</v>
      </c>
      <c r="C2624" t="s">
        <v>40</v>
      </c>
      <c r="D2624">
        <v>5.3221610000000004</v>
      </c>
      <c r="E2624">
        <v>0.50933989999999996</v>
      </c>
      <c r="F2624" t="s">
        <v>49</v>
      </c>
      <c r="G2624">
        <v>-412.0222</v>
      </c>
      <c r="H2624" s="1">
        <v>2.5055130000000001E-6</v>
      </c>
      <c r="I2624">
        <v>285.29050000000001</v>
      </c>
      <c r="J2624">
        <v>-394.97190000000001</v>
      </c>
      <c r="K2624">
        <v>1.1100410000000001</v>
      </c>
      <c r="L2624">
        <v>285.71080000000001</v>
      </c>
      <c r="M2624">
        <v>-0.9998861</v>
      </c>
      <c r="N2624">
        <v>0</v>
      </c>
      <c r="O2624">
        <v>-6.3088060000000001E-3</v>
      </c>
      <c r="P2624">
        <v>-0.9888671</v>
      </c>
      <c r="Q2624">
        <v>0.1443731</v>
      </c>
      <c r="R2624">
        <v>-3.6038340000000002E-2</v>
      </c>
      <c r="S2624">
        <v>-3.0595699999999999</v>
      </c>
      <c r="T2624">
        <v>-0.19381109999999999</v>
      </c>
      <c r="U2624">
        <v>-7.3913569999999998E-2</v>
      </c>
      <c r="V2624">
        <v>-2.9892160000000001E-2</v>
      </c>
      <c r="W2624">
        <v>0.1579121</v>
      </c>
      <c r="X2624">
        <v>0.98700060000000001</v>
      </c>
      <c r="Y2624">
        <v>-1.7820010000000001E-2</v>
      </c>
      <c r="Z2624">
        <v>-1.6455840000000001E-4</v>
      </c>
      <c r="AA2624">
        <v>0.99984119999999999</v>
      </c>
      <c r="AB2624">
        <v>48</v>
      </c>
      <c r="AC2624">
        <v>-17.050299999999901</v>
      </c>
      <c r="AD2624">
        <v>-1.1100384944869901</v>
      </c>
      <c r="AE2624">
        <v>-0.42029999999999701</v>
      </c>
      <c r="AF2624">
        <v>-0.311395439671039</v>
      </c>
      <c r="AG2624">
        <v>-1.1100384944869901</v>
      </c>
      <c r="AH2624">
        <v>16.980683570003102</v>
      </c>
      <c r="AI2624">
        <v>93.739514432508003</v>
      </c>
      <c r="AJ2624">
        <v>91.050584612383901</v>
      </c>
      <c r="AK2624">
        <v>17.019775764788001</v>
      </c>
      <c r="AL2624">
        <v>80.914272040530307</v>
      </c>
      <c r="AM2624">
        <v>91.734721589574406</v>
      </c>
      <c r="AN2624">
        <v>0.99999997847811695</v>
      </c>
    </row>
    <row r="2625" spans="1:40" x14ac:dyDescent="0.25">
      <c r="A2625" t="str">
        <f>"20190312164039491"</f>
        <v>20190312164039491</v>
      </c>
      <c r="B2625" t="str">
        <f>"1552380039488404"</f>
        <v>1552380039488404</v>
      </c>
      <c r="C2625" t="s">
        <v>40</v>
      </c>
      <c r="D2625">
        <v>5.3319999999999999</v>
      </c>
      <c r="E2625">
        <v>0.50931139999999997</v>
      </c>
      <c r="F2625" t="s">
        <v>49</v>
      </c>
      <c r="G2625">
        <v>-411.95549999999997</v>
      </c>
      <c r="H2625" s="1">
        <v>2.4918500000000001E-6</v>
      </c>
      <c r="I2625">
        <v>285.31150000000002</v>
      </c>
      <c r="J2625">
        <v>-395.4341</v>
      </c>
      <c r="K2625">
        <v>1.110042</v>
      </c>
      <c r="L2625">
        <v>285.70780000000002</v>
      </c>
      <c r="M2625">
        <v>-0.99988279999999996</v>
      </c>
      <c r="N2625">
        <v>0</v>
      </c>
      <c r="O2625">
        <v>-6.5048459999999999E-3</v>
      </c>
      <c r="P2625">
        <v>-0.98893790000000004</v>
      </c>
      <c r="Q2625">
        <v>0.14408109999999999</v>
      </c>
      <c r="R2625">
        <v>-3.5250610000000002E-2</v>
      </c>
      <c r="S2625">
        <v>-3.0603940000000001</v>
      </c>
      <c r="T2625">
        <v>-0.20002590000000001</v>
      </c>
      <c r="U2625">
        <v>-7.1960449999999995E-2</v>
      </c>
      <c r="V2625">
        <v>-2.8910149999999999E-2</v>
      </c>
      <c r="W2625">
        <v>0.15776089999999901</v>
      </c>
      <c r="X2625">
        <v>0.98705399999999999</v>
      </c>
      <c r="Y2625">
        <v>-1.6980450000000001E-2</v>
      </c>
      <c r="Z2625">
        <v>-1.2957689999999999E-4</v>
      </c>
      <c r="AA2625">
        <v>0.99985579999999996</v>
      </c>
      <c r="AB2625">
        <v>48</v>
      </c>
      <c r="AC2625">
        <v>-16.5213999999999</v>
      </c>
      <c r="AD2625">
        <v>-1.1100395081500001</v>
      </c>
      <c r="AE2625">
        <v>-0.39629999999999599</v>
      </c>
      <c r="AF2625">
        <v>-0.28751496797500598</v>
      </c>
      <c r="AG2625">
        <v>-1.1100395081500001</v>
      </c>
      <c r="AH2625">
        <v>16.449414856884001</v>
      </c>
      <c r="AI2625">
        <v>93.859993292525104</v>
      </c>
      <c r="AJ2625">
        <v>91.001355798241804</v>
      </c>
      <c r="AK2625">
        <v>16.489332967113601</v>
      </c>
      <c r="AL2625">
        <v>80.923044857773505</v>
      </c>
      <c r="AM2625">
        <v>91.677675344527103</v>
      </c>
      <c r="AN2625">
        <v>0.99999994862891495</v>
      </c>
    </row>
    <row r="2626" spans="1:40" x14ac:dyDescent="0.25">
      <c r="A2626" t="str">
        <f>"20190312164039503"</f>
        <v>20190312164039503</v>
      </c>
      <c r="B2626" t="str">
        <f>"1552380039499140"</f>
        <v>1552380039499140</v>
      </c>
      <c r="C2626" t="s">
        <v>40</v>
      </c>
      <c r="D2626">
        <v>5.3043120000000004</v>
      </c>
      <c r="E2626">
        <v>0.50939369999999995</v>
      </c>
      <c r="F2626" t="s">
        <v>49</v>
      </c>
      <c r="G2626">
        <v>-412.44450000000001</v>
      </c>
      <c r="H2626" s="1">
        <v>2.5776659999999998E-6</v>
      </c>
      <c r="I2626">
        <v>285.32220000000001</v>
      </c>
      <c r="J2626">
        <v>-395.68520000000001</v>
      </c>
      <c r="K2626">
        <v>1.1100429999999999</v>
      </c>
      <c r="L2626">
        <v>285.70600000000002</v>
      </c>
      <c r="M2626">
        <v>-0.99988109999999997</v>
      </c>
      <c r="N2626">
        <v>0</v>
      </c>
      <c r="O2626">
        <v>-6.6149240000000003E-3</v>
      </c>
      <c r="P2626">
        <v>-0.98893759999999997</v>
      </c>
      <c r="Q2626">
        <v>0.14407929999999999</v>
      </c>
      <c r="R2626">
        <v>-3.52658E-2</v>
      </c>
      <c r="S2626">
        <v>-3.060181</v>
      </c>
      <c r="T2626">
        <v>-0.19969609999999999</v>
      </c>
      <c r="U2626">
        <v>-6.9366460000000005E-2</v>
      </c>
      <c r="V2626">
        <v>-2.8816660000000001E-2</v>
      </c>
      <c r="W2626">
        <v>0.15782779999999999</v>
      </c>
      <c r="X2626">
        <v>0.98704610000000004</v>
      </c>
      <c r="Y2626">
        <v>-1.602725E-2</v>
      </c>
      <c r="Z2626" s="1">
        <v>-9.1133870000000003E-5</v>
      </c>
      <c r="AA2626">
        <v>0.99987159999999997</v>
      </c>
      <c r="AB2626">
        <v>48</v>
      </c>
      <c r="AC2626">
        <v>-16.7592999999999</v>
      </c>
      <c r="AD2626">
        <v>-1.1100404223339999</v>
      </c>
      <c r="AE2626">
        <v>-0.38379999999995101</v>
      </c>
      <c r="AF2626">
        <v>-0.27172790819750697</v>
      </c>
      <c r="AG2626">
        <v>-1.1100404223339999</v>
      </c>
      <c r="AH2626">
        <v>16.688299417145601</v>
      </c>
      <c r="AI2626">
        <v>93.804982627603593</v>
      </c>
      <c r="AJ2626">
        <v>90.932838407752598</v>
      </c>
      <c r="AK2626">
        <v>16.7273836337788</v>
      </c>
      <c r="AL2626">
        <v>80.919163692011793</v>
      </c>
      <c r="AM2626">
        <v>91.672266519320004</v>
      </c>
      <c r="AN2626">
        <v>1.0000000089358001</v>
      </c>
    </row>
    <row r="2627" spans="1:40" x14ac:dyDescent="0.25">
      <c r="A2627" t="str">
        <f>"20190312164039514"</f>
        <v>20190312164039514</v>
      </c>
      <c r="B2627" t="str">
        <f>"1552380039508899"</f>
        <v>1552380039508899</v>
      </c>
      <c r="C2627" t="s">
        <v>40</v>
      </c>
      <c r="D2627">
        <v>5.3290369999999996</v>
      </c>
      <c r="E2627">
        <v>0.50940450000000004</v>
      </c>
      <c r="F2627" t="s">
        <v>49</v>
      </c>
      <c r="G2627">
        <v>-412.4975</v>
      </c>
      <c r="H2627" s="1">
        <v>2.5865900000000001E-6</v>
      </c>
      <c r="I2627">
        <v>285.32749999999999</v>
      </c>
      <c r="J2627">
        <v>-395.93990000000002</v>
      </c>
      <c r="K2627">
        <v>1.110044</v>
      </c>
      <c r="L2627">
        <v>285.70429999999999</v>
      </c>
      <c r="M2627">
        <v>-0.99987950000000003</v>
      </c>
      <c r="N2627">
        <v>0</v>
      </c>
      <c r="O2627">
        <v>-6.7300060000000002E-3</v>
      </c>
      <c r="P2627">
        <v>-0.98896139999999999</v>
      </c>
      <c r="Q2627">
        <v>0.14402239999999999</v>
      </c>
      <c r="R2627">
        <v>-3.4834329999999997E-2</v>
      </c>
      <c r="S2627">
        <v>-3.0605470000000001</v>
      </c>
      <c r="T2627">
        <v>-0.2020749</v>
      </c>
      <c r="U2627">
        <v>-6.8908689999999995E-2</v>
      </c>
      <c r="V2627">
        <v>-2.8272530000000001E-2</v>
      </c>
      <c r="W2627">
        <v>0.1578358</v>
      </c>
      <c r="X2627">
        <v>0.98706050000000001</v>
      </c>
      <c r="Y2627">
        <v>-1.5760329999999999E-2</v>
      </c>
      <c r="Z2627" s="1">
        <v>-7.581551E-5</v>
      </c>
      <c r="AA2627">
        <v>0.99987579999999998</v>
      </c>
      <c r="AB2627">
        <v>48</v>
      </c>
      <c r="AC2627">
        <v>-16.557599999999901</v>
      </c>
      <c r="AD2627">
        <v>-1.1100414134100001</v>
      </c>
      <c r="AE2627">
        <v>-0.37680000000000202</v>
      </c>
      <c r="AF2627">
        <v>-0.26416114904593002</v>
      </c>
      <c r="AG2627">
        <v>-1.1100414134100001</v>
      </c>
      <c r="AH2627">
        <v>16.4857040446207</v>
      </c>
      <c r="AI2627">
        <v>93.851622238396601</v>
      </c>
      <c r="AJ2627">
        <v>90.9180089453302</v>
      </c>
      <c r="AK2627">
        <v>16.5251448072014</v>
      </c>
      <c r="AL2627">
        <v>80.918698997146905</v>
      </c>
      <c r="AM2627">
        <v>91.640683482818204</v>
      </c>
      <c r="AN2627">
        <v>0.999999953187244</v>
      </c>
    </row>
    <row r="2628" spans="1:40" x14ac:dyDescent="0.25">
      <c r="A2628" t="str">
        <f>"20190312164039526"</f>
        <v>20190312164039526</v>
      </c>
      <c r="B2628" t="str">
        <f>"1552380039518659"</f>
        <v>1552380039518659</v>
      </c>
      <c r="C2628" t="s">
        <v>40</v>
      </c>
      <c r="D2628">
        <v>5.3318529999999997</v>
      </c>
      <c r="E2628">
        <v>0.50885340000000001</v>
      </c>
      <c r="F2628" t="s">
        <v>49</v>
      </c>
      <c r="G2628">
        <v>-412.6173</v>
      </c>
      <c r="H2628" s="1">
        <v>2.607079E-6</v>
      </c>
      <c r="I2628">
        <v>285.33629999999999</v>
      </c>
      <c r="J2628">
        <v>-396.19420000000002</v>
      </c>
      <c r="K2628">
        <v>1.1100509999999999</v>
      </c>
      <c r="L2628">
        <v>285.70249999999999</v>
      </c>
      <c r="M2628">
        <v>-0.99987780000000004</v>
      </c>
      <c r="N2628">
        <v>0</v>
      </c>
      <c r="O2628">
        <v>-6.8523580000000002E-3</v>
      </c>
      <c r="P2628">
        <v>-0.98900250000000001</v>
      </c>
      <c r="Q2628">
        <v>0.14379739999999999</v>
      </c>
      <c r="R2628">
        <v>-3.459719E-2</v>
      </c>
      <c r="S2628">
        <v>-3.06073</v>
      </c>
      <c r="T2628">
        <v>-0.2037214</v>
      </c>
      <c r="U2628">
        <v>-6.7535399999999995E-2</v>
      </c>
      <c r="V2628">
        <v>-2.7916050000000001E-2</v>
      </c>
      <c r="W2628">
        <v>0.15766959999999999</v>
      </c>
      <c r="X2628">
        <v>0.98709729999999996</v>
      </c>
      <c r="Y2628">
        <v>-1.518944E-2</v>
      </c>
      <c r="Z2628" s="1">
        <v>-4.9317139999999999E-5</v>
      </c>
      <c r="AA2628">
        <v>0.99988460000000001</v>
      </c>
      <c r="AB2628">
        <v>48</v>
      </c>
      <c r="AC2628">
        <v>-16.423099999999899</v>
      </c>
      <c r="AD2628">
        <v>-1.1100483929209899</v>
      </c>
      <c r="AE2628">
        <v>-0.36619999999999198</v>
      </c>
      <c r="AF2628">
        <v>-0.25249040040572801</v>
      </c>
      <c r="AG2628">
        <v>-1.1100483929209899</v>
      </c>
      <c r="AH2628">
        <v>16.3505635137446</v>
      </c>
      <c r="AI2628">
        <v>93.883419368947898</v>
      </c>
      <c r="AJ2628">
        <v>90.884708623983798</v>
      </c>
      <c r="AK2628">
        <v>16.3901460046553</v>
      </c>
      <c r="AL2628">
        <v>80.928343135429003</v>
      </c>
      <c r="AM2628">
        <v>91.619947318784099</v>
      </c>
      <c r="AN2628">
        <v>1.00000004413952</v>
      </c>
    </row>
    <row r="2629" spans="1:40" x14ac:dyDescent="0.25">
      <c r="A2629" t="str">
        <f>"20190312164039539"</f>
        <v>20190312164039539</v>
      </c>
      <c r="B2629" t="str">
        <f>"1552380039528926"</f>
        <v>1552380039528926</v>
      </c>
      <c r="C2629" t="s">
        <v>40</v>
      </c>
      <c r="D2629">
        <v>6.1650299999999998</v>
      </c>
      <c r="E2629">
        <v>0.50871319999999998</v>
      </c>
      <c r="F2629" t="s">
        <v>49</v>
      </c>
      <c r="G2629">
        <v>-412.84120000000001</v>
      </c>
      <c r="H2629" s="1">
        <v>2.6488860000000002E-6</v>
      </c>
      <c r="I2629">
        <v>285.31240000000003</v>
      </c>
      <c r="J2629">
        <v>-396.46510000000001</v>
      </c>
      <c r="K2629">
        <v>1.110058</v>
      </c>
      <c r="L2629">
        <v>285.70049999999998</v>
      </c>
      <c r="M2629">
        <v>-0.99987610000000005</v>
      </c>
      <c r="N2629">
        <v>0</v>
      </c>
      <c r="O2629">
        <v>-6.9873869999999899E-3</v>
      </c>
      <c r="P2629">
        <v>-0.98903099999999999</v>
      </c>
      <c r="Q2629">
        <v>0.14365600000000001</v>
      </c>
      <c r="R2629">
        <v>-3.4365229999999997E-2</v>
      </c>
      <c r="S2629">
        <v>-3.0605159999999998</v>
      </c>
      <c r="T2629">
        <v>-0.20408029999999999</v>
      </c>
      <c r="U2629">
        <v>-7.1716310000000005E-2</v>
      </c>
      <c r="V2629">
        <v>-2.7553040000000001E-2</v>
      </c>
      <c r="W2629">
        <v>0.1575877</v>
      </c>
      <c r="X2629">
        <v>0.98712049999999996</v>
      </c>
      <c r="Y2629">
        <v>-1.641865E-2</v>
      </c>
      <c r="Z2629" s="1">
        <v>-8.1345319999999997E-5</v>
      </c>
      <c r="AA2629">
        <v>0.99986520000000001</v>
      </c>
      <c r="AB2629">
        <v>48</v>
      </c>
      <c r="AC2629">
        <v>-16.376100000000001</v>
      </c>
      <c r="AD2629">
        <v>-1.1100553511140001</v>
      </c>
      <c r="AE2629">
        <v>-0.38809999999995098</v>
      </c>
      <c r="AF2629">
        <v>-0.27240205540287299</v>
      </c>
      <c r="AG2629">
        <v>-1.1100553511140001</v>
      </c>
      <c r="AH2629">
        <v>16.303542461980602</v>
      </c>
      <c r="AI2629">
        <v>93.894530474022403</v>
      </c>
      <c r="AJ2629">
        <v>90.957217490861595</v>
      </c>
      <c r="AK2629">
        <v>16.3435590546224</v>
      </c>
      <c r="AL2629">
        <v>80.933094364009193</v>
      </c>
      <c r="AM2629">
        <v>91.598855570073795</v>
      </c>
      <c r="AN2629">
        <v>0.99999996736239005</v>
      </c>
    </row>
    <row r="2630" spans="1:40" x14ac:dyDescent="0.25">
      <c r="A2630" t="str">
        <f>"20190312164039558"</f>
        <v>20190312164039558</v>
      </c>
      <c r="B2630" t="str">
        <f>"1552380039548446"</f>
        <v>1552380039548446</v>
      </c>
      <c r="C2630" t="s">
        <v>40</v>
      </c>
      <c r="D2630">
        <v>5.3242969999999996</v>
      </c>
      <c r="E2630">
        <v>0.50852900000000001</v>
      </c>
      <c r="F2630" t="s">
        <v>49</v>
      </c>
      <c r="G2630">
        <v>-413.38470000000001</v>
      </c>
      <c r="H2630" s="1">
        <v>2.7462500000000002E-6</v>
      </c>
      <c r="I2630">
        <v>285.30149999999998</v>
      </c>
      <c r="J2630">
        <v>-396.86340000000001</v>
      </c>
      <c r="K2630">
        <v>1.1100760000000001</v>
      </c>
      <c r="L2630">
        <v>285.69760000000002</v>
      </c>
      <c r="M2630">
        <v>-0.99987329999999996</v>
      </c>
      <c r="N2630">
        <v>0</v>
      </c>
      <c r="O2630">
        <v>-7.2047419999999897E-3</v>
      </c>
      <c r="P2630">
        <v>-0.98908600000000002</v>
      </c>
      <c r="Q2630">
        <v>0.14327909999999999</v>
      </c>
      <c r="R2630">
        <v>-3.4351939999999997E-2</v>
      </c>
      <c r="S2630">
        <v>-3.0599370000000001</v>
      </c>
      <c r="T2630">
        <v>-0.20075519999999999</v>
      </c>
      <c r="U2630">
        <v>-7.2174070000000007E-2</v>
      </c>
      <c r="V2630">
        <v>-2.7330779999999999E-2</v>
      </c>
      <c r="W2630">
        <v>0.1572877</v>
      </c>
      <c r="X2630">
        <v>0.98717460000000001</v>
      </c>
      <c r="Y2630">
        <v>-1.6356490000000001E-2</v>
      </c>
      <c r="Z2630" s="1">
        <v>-6.3757380000000006E-5</v>
      </c>
      <c r="AA2630">
        <v>0.99986620000000004</v>
      </c>
      <c r="AB2630">
        <v>48</v>
      </c>
      <c r="AC2630">
        <v>-16.521299999999901</v>
      </c>
      <c r="AD2630">
        <v>-1.11007325375</v>
      </c>
      <c r="AE2630">
        <v>-0.39610000000004603</v>
      </c>
      <c r="AF2630">
        <v>-0.27580161457939301</v>
      </c>
      <c r="AG2630">
        <v>-1.11007325375</v>
      </c>
      <c r="AH2630">
        <v>16.449505679226402</v>
      </c>
      <c r="AI2630">
        <v>93.860135950074493</v>
      </c>
      <c r="AJ2630">
        <v>90.960563088721898</v>
      </c>
      <c r="AK2630">
        <v>16.489225762606299</v>
      </c>
      <c r="AL2630">
        <v>80.950500844160899</v>
      </c>
      <c r="AM2630">
        <v>91.585877946842601</v>
      </c>
      <c r="AN2630">
        <v>1.00000004149592</v>
      </c>
    </row>
    <row r="2631" spans="1:40" x14ac:dyDescent="0.25">
      <c r="A2631" t="str">
        <f>"20190312164039580"</f>
        <v>20190312164039580</v>
      </c>
      <c r="B2631" t="str">
        <f>"1552380039568942"</f>
        <v>1552380039568942</v>
      </c>
      <c r="C2631" t="s">
        <v>40</v>
      </c>
      <c r="D2631">
        <v>5.3387390000000003</v>
      </c>
      <c r="E2631">
        <v>0.5084611</v>
      </c>
      <c r="F2631" t="s">
        <v>49</v>
      </c>
      <c r="G2631">
        <v>-414.1816</v>
      </c>
      <c r="H2631" s="1">
        <v>2.8893750000000002E-6</v>
      </c>
      <c r="I2631">
        <v>285.28120000000001</v>
      </c>
      <c r="J2631">
        <v>-397.3383</v>
      </c>
      <c r="K2631">
        <v>1.110107</v>
      </c>
      <c r="L2631">
        <v>285.69389999999999</v>
      </c>
      <c r="M2631">
        <v>-0.99987009999999998</v>
      </c>
      <c r="N2631">
        <v>0</v>
      </c>
      <c r="O2631">
        <v>-7.4981119999999899E-3</v>
      </c>
      <c r="P2631">
        <v>-0.98908660000000004</v>
      </c>
      <c r="Q2631">
        <v>0.14326559999999999</v>
      </c>
      <c r="R2631">
        <v>-3.4394199999999903E-2</v>
      </c>
      <c r="S2631">
        <v>-3.058929</v>
      </c>
      <c r="T2631">
        <v>-0.19607369999999999</v>
      </c>
      <c r="U2631">
        <v>-7.3547360000000006E-2</v>
      </c>
      <c r="V2631">
        <v>-2.7093249999999999E-2</v>
      </c>
      <c r="W2631">
        <v>0.15735270000000001</v>
      </c>
      <c r="X2631">
        <v>0.98717080000000001</v>
      </c>
      <c r="Y2631">
        <v>-1.652066E-2</v>
      </c>
      <c r="Z2631" s="1">
        <v>-4.8765589999999999E-5</v>
      </c>
      <c r="AA2631">
        <v>0.99986350000000002</v>
      </c>
      <c r="AB2631">
        <v>48</v>
      </c>
      <c r="AC2631">
        <v>-16.843299999999999</v>
      </c>
      <c r="AD2631">
        <v>-1.110104110625</v>
      </c>
      <c r="AE2631">
        <v>-0.41269999999997198</v>
      </c>
      <c r="AF2631">
        <v>-0.285144712486055</v>
      </c>
      <c r="AG2631">
        <v>-1.110104110625</v>
      </c>
      <c r="AH2631">
        <v>16.7731053620466</v>
      </c>
      <c r="AI2631">
        <v>93.785971978996997</v>
      </c>
      <c r="AJ2631">
        <v>90.973940997840899</v>
      </c>
      <c r="AK2631">
        <v>16.812218834223</v>
      </c>
      <c r="AL2631">
        <v>80.946729757904393</v>
      </c>
      <c r="AM2631">
        <v>91.572108182107002</v>
      </c>
      <c r="AN2631">
        <v>1.0000000523827399</v>
      </c>
    </row>
    <row r="2632" spans="1:40" x14ac:dyDescent="0.25">
      <c r="A2632" t="str">
        <f>"20190312164039592"</f>
        <v>20190312164039592</v>
      </c>
      <c r="B2632" t="str">
        <f>"1552380039588463"</f>
        <v>1552380039588463</v>
      </c>
      <c r="C2632" t="s">
        <v>40</v>
      </c>
      <c r="D2632">
        <v>5.4320899999999996</v>
      </c>
      <c r="E2632">
        <v>0.50854120000000003</v>
      </c>
      <c r="F2632" t="s">
        <v>49</v>
      </c>
      <c r="G2632">
        <v>-414.90910000000002</v>
      </c>
      <c r="H2632" s="1">
        <v>3.0195789999999999E-6</v>
      </c>
      <c r="I2632">
        <v>285.2679</v>
      </c>
      <c r="J2632">
        <v>-397.58850000000001</v>
      </c>
      <c r="K2632">
        <v>1.110123</v>
      </c>
      <c r="L2632">
        <v>285.69189999999998</v>
      </c>
      <c r="M2632">
        <v>-0.99986819999999998</v>
      </c>
      <c r="N2632">
        <v>0</v>
      </c>
      <c r="O2632">
        <v>-7.66689E-3</v>
      </c>
      <c r="P2632">
        <v>-0.98906229999999995</v>
      </c>
      <c r="Q2632">
        <v>0.14339250000000001</v>
      </c>
      <c r="R2632">
        <v>-3.455884E-2</v>
      </c>
      <c r="S2632">
        <v>-3.0585330000000002</v>
      </c>
      <c r="T2632">
        <v>-0.19323470000000001</v>
      </c>
      <c r="U2632">
        <v>-7.4157710000000002E-2</v>
      </c>
      <c r="V2632">
        <v>-2.709725E-2</v>
      </c>
      <c r="W2632">
        <v>0.15751509999999999</v>
      </c>
      <c r="X2632">
        <v>0.98714469999999999</v>
      </c>
      <c r="Y2632">
        <v>-1.6555199999999999E-2</v>
      </c>
      <c r="Z2632" s="1">
        <v>-3.8505269999999997E-5</v>
      </c>
      <c r="AA2632">
        <v>0.99986299999999995</v>
      </c>
      <c r="AB2632">
        <v>48</v>
      </c>
      <c r="AC2632">
        <v>-17.320599999999999</v>
      </c>
      <c r="AD2632">
        <v>-1.110119980421</v>
      </c>
      <c r="AE2632">
        <v>-0.42399999999997801</v>
      </c>
      <c r="AF2632">
        <v>-0.28998828698925899</v>
      </c>
      <c r="AG2632">
        <v>-1.110119980421</v>
      </c>
      <c r="AH2632">
        <v>17.252513723103</v>
      </c>
      <c r="AI2632">
        <v>93.681126114079404</v>
      </c>
      <c r="AJ2632">
        <v>90.962963470696394</v>
      </c>
      <c r="AK2632">
        <v>17.290624319074698</v>
      </c>
      <c r="AL2632">
        <v>80.937306607890605</v>
      </c>
      <c r="AM2632">
        <v>91.5723817205388</v>
      </c>
      <c r="AN2632">
        <v>0.99999996321183005</v>
      </c>
    </row>
    <row r="2633" spans="1:40" x14ac:dyDescent="0.25">
      <c r="A2633" t="str">
        <f>"20190312164039604"</f>
        <v>20190312164039604</v>
      </c>
      <c r="B2633" t="str">
        <f>"1552380039599199"</f>
        <v>1552380039599199</v>
      </c>
      <c r="C2633" t="s">
        <v>40</v>
      </c>
      <c r="D2633">
        <v>5.730137</v>
      </c>
      <c r="E2633">
        <v>0.50848660000000001</v>
      </c>
      <c r="F2633" t="s">
        <v>49</v>
      </c>
      <c r="G2633">
        <v>-415.20499999999998</v>
      </c>
      <c r="H2633" s="1">
        <v>3.0722739999999999E-6</v>
      </c>
      <c r="I2633">
        <v>285.26549999999997</v>
      </c>
      <c r="J2633">
        <v>-397.82560000000001</v>
      </c>
      <c r="K2633">
        <v>1.1101430000000001</v>
      </c>
      <c r="L2633">
        <v>285.69</v>
      </c>
      <c r="M2633">
        <v>-0.99986649999999999</v>
      </c>
      <c r="N2633">
        <v>0</v>
      </c>
      <c r="O2633">
        <v>-7.8358769999999998E-3</v>
      </c>
      <c r="P2633">
        <v>-0.98912999999999995</v>
      </c>
      <c r="Q2633">
        <v>0.14298079999999999</v>
      </c>
      <c r="R2633">
        <v>-3.4327240000000002E-2</v>
      </c>
      <c r="S2633">
        <v>-3.0585629999999999</v>
      </c>
      <c r="T2633">
        <v>-0.19273850000000001</v>
      </c>
      <c r="U2633">
        <v>-7.403564E-2</v>
      </c>
      <c r="V2633">
        <v>-2.6703950000000001E-2</v>
      </c>
      <c r="W2633">
        <v>0.157137</v>
      </c>
      <c r="X2633">
        <v>0.98721570000000003</v>
      </c>
      <c r="Y2633">
        <v>-1.6346929999999999E-2</v>
      </c>
      <c r="Z2633" s="1">
        <v>-2.1214069999999999E-5</v>
      </c>
      <c r="AA2633">
        <v>0.99986640000000004</v>
      </c>
      <c r="AB2633">
        <v>48</v>
      </c>
      <c r="AC2633">
        <v>-17.379399999999901</v>
      </c>
      <c r="AD2633">
        <v>-1.110139927726</v>
      </c>
      <c r="AE2633">
        <v>-0.42450000000002303</v>
      </c>
      <c r="AF2633">
        <v>-0.28711930591013801</v>
      </c>
      <c r="AG2633">
        <v>-1.110139927726</v>
      </c>
      <c r="AH2633">
        <v>17.311599603857701</v>
      </c>
      <c r="AI2633">
        <v>93.668675868560499</v>
      </c>
      <c r="AJ2633">
        <v>90.950184655310593</v>
      </c>
      <c r="AK2633">
        <v>17.349533970664599</v>
      </c>
      <c r="AL2633">
        <v>80.959243553476199</v>
      </c>
      <c r="AM2633">
        <v>91.549459381155401</v>
      </c>
      <c r="AN2633">
        <v>0.99999998802054602</v>
      </c>
    </row>
    <row r="2634" spans="1:40" x14ac:dyDescent="0.25">
      <c r="A2634" t="str">
        <f>"20190312164039615"</f>
        <v>20190312164039615</v>
      </c>
      <c r="B2634" t="str">
        <f>"1552380039599199"</f>
        <v>1552380039599199</v>
      </c>
      <c r="C2634" t="s">
        <v>40</v>
      </c>
      <c r="D2634">
        <v>5.730137</v>
      </c>
      <c r="E2634">
        <v>0.50848660000000001</v>
      </c>
      <c r="F2634" t="s">
        <v>49</v>
      </c>
      <c r="G2634">
        <v>-415.43110000000001</v>
      </c>
      <c r="H2634" s="1">
        <v>3.1124329999999999E-6</v>
      </c>
      <c r="I2634">
        <v>285.26499999999999</v>
      </c>
      <c r="J2634">
        <v>-398.0967</v>
      </c>
      <c r="K2634">
        <v>1.1101669999999999</v>
      </c>
      <c r="L2634">
        <v>285.68770000000001</v>
      </c>
      <c r="M2634">
        <v>-0.99986439999999999</v>
      </c>
      <c r="N2634">
        <v>0</v>
      </c>
      <c r="O2634">
        <v>-8.0387979999999998E-3</v>
      </c>
      <c r="P2634">
        <v>-0.9891605</v>
      </c>
      <c r="Q2634">
        <v>0.14279249999999999</v>
      </c>
      <c r="R2634">
        <v>-3.4240520000000003E-2</v>
      </c>
      <c r="S2634">
        <v>-3.0582579999999999</v>
      </c>
      <c r="T2634">
        <v>-0.19284270000000001</v>
      </c>
      <c r="U2634">
        <v>-7.3822020000000002E-2</v>
      </c>
      <c r="V2634">
        <v>-2.642357E-2</v>
      </c>
      <c r="W2634">
        <v>0.15698299999999901</v>
      </c>
      <c r="X2634">
        <v>0.98724780000000001</v>
      </c>
      <c r="Y2634">
        <v>-1.607753E-2</v>
      </c>
      <c r="Z2634" s="1">
        <v>3.8009599999999999E-8</v>
      </c>
      <c r="AA2634">
        <v>0.99987079999999995</v>
      </c>
      <c r="AB2634">
        <v>48</v>
      </c>
      <c r="AC2634">
        <v>-17.334399999999999</v>
      </c>
      <c r="AD2634">
        <v>-1.1101638875669999</v>
      </c>
      <c r="AE2634">
        <v>-0.42270000000002</v>
      </c>
      <c r="AF2634">
        <v>-0.282167545662103</v>
      </c>
      <c r="AG2634">
        <v>-1.1101638875669999</v>
      </c>
      <c r="AH2634">
        <v>17.2664595768351</v>
      </c>
      <c r="AI2634">
        <v>93.678334525836505</v>
      </c>
      <c r="AJ2634">
        <v>90.936241182380698</v>
      </c>
      <c r="AK2634">
        <v>17.3044129833856</v>
      </c>
      <c r="AL2634">
        <v>80.968178488822105</v>
      </c>
      <c r="AM2634">
        <v>91.533148702194694</v>
      </c>
      <c r="AN2634">
        <v>1.0000000429726901</v>
      </c>
    </row>
    <row r="2635" spans="1:40" x14ac:dyDescent="0.25">
      <c r="A2635" t="str">
        <f>"20190312164039636"</f>
        <v>20190312164039636</v>
      </c>
      <c r="B2635" t="str">
        <f>"1552380039628985"</f>
        <v>1552380039628985</v>
      </c>
      <c r="C2635" t="s">
        <v>40</v>
      </c>
      <c r="D2635">
        <v>5.3248509999999998</v>
      </c>
      <c r="E2635">
        <v>0.50839109999999998</v>
      </c>
      <c r="F2635" t="s">
        <v>49</v>
      </c>
      <c r="G2635">
        <v>-415.64960000000002</v>
      </c>
      <c r="H2635" s="1">
        <v>3.151186E-6</v>
      </c>
      <c r="I2635">
        <v>285.26510000000002</v>
      </c>
      <c r="J2635">
        <v>-398.51900000000001</v>
      </c>
      <c r="K2635">
        <v>1.1102110000000001</v>
      </c>
      <c r="L2635">
        <v>285.6841</v>
      </c>
      <c r="M2635">
        <v>-0.99986079999999999</v>
      </c>
      <c r="N2635">
        <v>0</v>
      </c>
      <c r="O2635">
        <v>-8.3867860000000002E-3</v>
      </c>
      <c r="P2635">
        <v>-0.98921740000000002</v>
      </c>
      <c r="Q2635">
        <v>0.1424986</v>
      </c>
      <c r="R2635">
        <v>-3.3811500000000001E-2</v>
      </c>
      <c r="S2635">
        <v>-3.0582579999999999</v>
      </c>
      <c r="T2635">
        <v>-0.19342519999999999</v>
      </c>
      <c r="U2635">
        <v>-7.3638919999999997E-2</v>
      </c>
      <c r="V2635">
        <v>-2.5661960000000001E-2</v>
      </c>
      <c r="W2635">
        <v>0.15673719999999999</v>
      </c>
      <c r="X2635">
        <v>0.98730689999999999</v>
      </c>
      <c r="Y2635">
        <v>-1.5671109999999999E-2</v>
      </c>
      <c r="Z2635" s="1">
        <v>3.4860799999999997E-5</v>
      </c>
      <c r="AA2635">
        <v>0.99987720000000002</v>
      </c>
      <c r="AB2635">
        <v>48</v>
      </c>
      <c r="AC2635">
        <v>-17.130600000000001</v>
      </c>
      <c r="AD2635">
        <v>-1.1102078488139999</v>
      </c>
      <c r="AE2635">
        <v>-0.418999999999982</v>
      </c>
      <c r="AF2635">
        <v>-0.27414886315935399</v>
      </c>
      <c r="AG2635">
        <v>-1.1102078488139999</v>
      </c>
      <c r="AH2635">
        <v>17.061892389259199</v>
      </c>
      <c r="AI2635">
        <v>93.722476907297406</v>
      </c>
      <c r="AJ2635">
        <v>90.920543916665295</v>
      </c>
      <c r="AK2635">
        <v>17.1001722496997</v>
      </c>
      <c r="AL2635">
        <v>80.982437928717701</v>
      </c>
      <c r="AM2635">
        <v>91.488889655888997</v>
      </c>
      <c r="AN2635">
        <v>1.0000000004212399</v>
      </c>
    </row>
    <row r="2636" spans="1:40" x14ac:dyDescent="0.25">
      <c r="A2636" t="str">
        <f>"20190312164039661"</f>
        <v>20190312164039661</v>
      </c>
      <c r="B2636" t="str">
        <f>"1552380039648505"</f>
        <v>1552380039648505</v>
      </c>
      <c r="C2636" t="s">
        <v>40</v>
      </c>
      <c r="D2636">
        <v>5.3470490000000002</v>
      </c>
      <c r="E2636">
        <v>0.50875760000000003</v>
      </c>
      <c r="F2636" t="s">
        <v>49</v>
      </c>
      <c r="G2636">
        <v>-415.96089999999998</v>
      </c>
      <c r="H2636" s="1">
        <v>3.2060380000000001E-6</v>
      </c>
      <c r="I2636">
        <v>285.26920000000001</v>
      </c>
      <c r="J2636">
        <v>-399.0224</v>
      </c>
      <c r="K2636">
        <v>1.1102540000000001</v>
      </c>
      <c r="L2636">
        <v>285.67950000000002</v>
      </c>
      <c r="M2636">
        <v>-0.99985619999999997</v>
      </c>
      <c r="N2636">
        <v>0</v>
      </c>
      <c r="O2636">
        <v>-8.84029699999999E-3</v>
      </c>
      <c r="P2636">
        <v>-0.98919539999999995</v>
      </c>
      <c r="Q2636">
        <v>0.142739</v>
      </c>
      <c r="R2636">
        <v>-3.3440259999999999E-2</v>
      </c>
      <c r="S2636">
        <v>-3.0582889999999998</v>
      </c>
      <c r="T2636">
        <v>-0.19466639999999999</v>
      </c>
      <c r="U2636">
        <v>-7.2753910000000005E-2</v>
      </c>
      <c r="V2636">
        <v>-2.4858100000000001E-2</v>
      </c>
      <c r="W2636">
        <v>0.1570259</v>
      </c>
      <c r="X2636">
        <v>0.98728159999999998</v>
      </c>
      <c r="Y2636">
        <v>-1.49304E-2</v>
      </c>
      <c r="Z2636" s="1">
        <v>8.7465769999999895E-5</v>
      </c>
      <c r="AA2636">
        <v>0.99988849999999996</v>
      </c>
      <c r="AB2636">
        <v>48</v>
      </c>
      <c r="AC2636">
        <v>-16.938499999999902</v>
      </c>
      <c r="AD2636">
        <v>-1.1102507939620001</v>
      </c>
      <c r="AE2636">
        <v>-0.41030000000000599</v>
      </c>
      <c r="AF2636">
        <v>-0.25941305361553502</v>
      </c>
      <c r="AG2636">
        <v>-1.1102507939620001</v>
      </c>
      <c r="AH2636">
        <v>16.869033977341001</v>
      </c>
      <c r="AI2636">
        <v>93.765099041612203</v>
      </c>
      <c r="AJ2636">
        <v>90.881028615089093</v>
      </c>
      <c r="AK2636">
        <v>16.9075207906589</v>
      </c>
      <c r="AL2636">
        <v>80.965689314816998</v>
      </c>
      <c r="AM2636">
        <v>91.442307201135094</v>
      </c>
      <c r="AN2636">
        <v>1.00000000805249</v>
      </c>
    </row>
    <row r="2637" spans="1:40" x14ac:dyDescent="0.25">
      <c r="A2637" t="str">
        <f>"20190312164039682"</f>
        <v>20190312164039682</v>
      </c>
      <c r="B2637" t="str">
        <f>"1552380039678761"</f>
        <v>1552380039678761</v>
      </c>
      <c r="C2637" t="s">
        <v>40</v>
      </c>
      <c r="D2637">
        <v>5.470173</v>
      </c>
      <c r="E2637">
        <v>0.53255269999999899</v>
      </c>
      <c r="F2637" t="s">
        <v>49</v>
      </c>
      <c r="G2637">
        <v>-416.2167</v>
      </c>
      <c r="H2637" s="1">
        <v>3.249118E-6</v>
      </c>
      <c r="I2637">
        <v>285.29539999999997</v>
      </c>
      <c r="J2637">
        <v>-399.48869999999999</v>
      </c>
      <c r="K2637">
        <v>1.110293</v>
      </c>
      <c r="L2637">
        <v>285.67500000000001</v>
      </c>
      <c r="M2637">
        <v>-0.9998515</v>
      </c>
      <c r="N2637">
        <v>0</v>
      </c>
      <c r="O2637">
        <v>-9.2905290000000005E-3</v>
      </c>
      <c r="P2637">
        <v>-0.98925189999999996</v>
      </c>
      <c r="Q2637">
        <v>0.1424299</v>
      </c>
      <c r="R2637">
        <v>-3.3087980000000003E-2</v>
      </c>
      <c r="S2637">
        <v>-3.058929</v>
      </c>
      <c r="T2637">
        <v>-0.1975179</v>
      </c>
      <c r="U2637">
        <v>-6.8328860000000005E-2</v>
      </c>
      <c r="V2637">
        <v>-2.4072010000000001E-2</v>
      </c>
      <c r="W2637">
        <v>0.15675559999999999</v>
      </c>
      <c r="X2637">
        <v>0.987344</v>
      </c>
      <c r="Y2637">
        <v>-1.3033990000000001E-2</v>
      </c>
      <c r="Z2637">
        <v>1.789223E-4</v>
      </c>
      <c r="AA2637">
        <v>0.99991509999999995</v>
      </c>
      <c r="AB2637">
        <v>47</v>
      </c>
      <c r="AC2637">
        <v>-16.728000000000002</v>
      </c>
      <c r="AD2637">
        <v>-1.110289750882</v>
      </c>
      <c r="AE2637">
        <v>-0.37960000000003802</v>
      </c>
      <c r="AF2637">
        <v>-0.223172615278072</v>
      </c>
      <c r="AG2637">
        <v>-1.110289750882</v>
      </c>
      <c r="AH2637">
        <v>16.6574600757722</v>
      </c>
      <c r="AI2637">
        <v>93.813022771775493</v>
      </c>
      <c r="AJ2637">
        <v>90.7675890503792</v>
      </c>
      <c r="AK2637">
        <v>16.695913437816699</v>
      </c>
      <c r="AL2637">
        <v>80.981370279276703</v>
      </c>
      <c r="AM2637">
        <v>91.396627111562395</v>
      </c>
      <c r="AN2637">
        <v>0.99999997706639898</v>
      </c>
    </row>
    <row r="2638" spans="1:40" x14ac:dyDescent="0.25">
      <c r="A2638" t="str">
        <f>"20190312164039696"</f>
        <v>20190312164039696</v>
      </c>
      <c r="B2638" t="str">
        <f>"1552380039688521"</f>
        <v>1552380039688521</v>
      </c>
      <c r="C2638" t="s">
        <v>40</v>
      </c>
      <c r="D2638">
        <v>5.0262479999999998</v>
      </c>
      <c r="E2638">
        <v>0.53441969999999905</v>
      </c>
      <c r="F2638" t="s">
        <v>42</v>
      </c>
      <c r="G2638">
        <v>-400.5532</v>
      </c>
      <c r="H2638">
        <v>1.0361320000000001</v>
      </c>
      <c r="I2638">
        <v>285.71780000000001</v>
      </c>
      <c r="J2638">
        <v>-399.80399999999997</v>
      </c>
      <c r="K2638">
        <v>1.1103130000000001</v>
      </c>
      <c r="L2638">
        <v>285.67189999999999</v>
      </c>
      <c r="M2638">
        <v>-0.99984819999999996</v>
      </c>
      <c r="N2638">
        <v>0</v>
      </c>
      <c r="O2638">
        <v>-9.6062820000000007E-3</v>
      </c>
      <c r="P2638">
        <v>-0.98924179999999995</v>
      </c>
      <c r="Q2638">
        <v>0.14256930000000001</v>
      </c>
      <c r="R2638">
        <v>-3.279025E-2</v>
      </c>
      <c r="S2638">
        <v>-3.0674739999999998</v>
      </c>
      <c r="T2638">
        <v>-0.2137126</v>
      </c>
      <c r="U2638">
        <v>0.1225586</v>
      </c>
      <c r="V2638">
        <v>-2.347018E-2</v>
      </c>
      <c r="W2638">
        <v>0.156918</v>
      </c>
      <c r="X2638">
        <v>0.98733269999999995</v>
      </c>
      <c r="Y2638">
        <v>4.9377409999999997E-2</v>
      </c>
      <c r="Z2638">
        <v>2.3856039999999999E-3</v>
      </c>
      <c r="AA2638">
        <v>0.99877729999999998</v>
      </c>
      <c r="AB2638">
        <v>47</v>
      </c>
      <c r="AC2638">
        <v>-0.749199999999973</v>
      </c>
      <c r="AD2638">
        <v>-7.4180999999999803E-2</v>
      </c>
      <c r="AE2638">
        <v>4.5900000000017302E-2</v>
      </c>
      <c r="AF2638">
        <v>5.2582097379945299E-2</v>
      </c>
      <c r="AG2638">
        <v>-7.4180999999999803E-2</v>
      </c>
      <c r="AH2638">
        <v>0.74148236380134103</v>
      </c>
      <c r="AI2638">
        <v>95.698882702113494</v>
      </c>
      <c r="AJ2638">
        <v>85.943669961759397</v>
      </c>
      <c r="AK2638">
        <v>0.74703667483885805</v>
      </c>
      <c r="AL2638">
        <v>80.971948915545497</v>
      </c>
      <c r="AM2638">
        <v>91.361738602415201</v>
      </c>
      <c r="AN2638">
        <v>0.99999998428126102</v>
      </c>
    </row>
    <row r="2639" spans="1:40" x14ac:dyDescent="0.25">
      <c r="A2639" t="str">
        <f>"20190312164039715"</f>
        <v>20190312164039715</v>
      </c>
      <c r="B2639" t="str">
        <f>"1552380039709033"</f>
        <v>1552380039709033</v>
      </c>
      <c r="C2639" t="s">
        <v>40</v>
      </c>
      <c r="D2639">
        <v>5.5229569999999999</v>
      </c>
      <c r="E2639">
        <v>0.53708310000000004</v>
      </c>
      <c r="F2639" t="s">
        <v>49</v>
      </c>
      <c r="G2639">
        <v>-414.47250000000003</v>
      </c>
      <c r="H2639" s="1">
        <v>2.8495719999999999E-6</v>
      </c>
      <c r="I2639">
        <v>286.32670000000002</v>
      </c>
      <c r="J2639">
        <v>-400.19720000000001</v>
      </c>
      <c r="K2639">
        <v>1.110341</v>
      </c>
      <c r="L2639">
        <v>285.6678</v>
      </c>
      <c r="M2639">
        <v>-0.99984379999999995</v>
      </c>
      <c r="N2639">
        <v>0</v>
      </c>
      <c r="O2639">
        <v>-1.0011610000000001E-2</v>
      </c>
      <c r="P2639">
        <v>-0.98922810000000005</v>
      </c>
      <c r="Q2639">
        <v>0.14266889999999999</v>
      </c>
      <c r="R2639">
        <v>-3.2766869999999997E-2</v>
      </c>
      <c r="S2639">
        <v>-3.0706790000000002</v>
      </c>
      <c r="T2639">
        <v>-0.23243069999999999</v>
      </c>
      <c r="U2639">
        <v>0.13708499999999901</v>
      </c>
      <c r="V2639">
        <v>-2.3054470000000001E-2</v>
      </c>
      <c r="W2639">
        <v>0.15704189999999901</v>
      </c>
      <c r="X2639">
        <v>0.98732279999999994</v>
      </c>
      <c r="Y2639">
        <v>5.44153E-2</v>
      </c>
      <c r="Z2639">
        <v>2.8119540000000002E-3</v>
      </c>
      <c r="AA2639">
        <v>0.99851440000000002</v>
      </c>
      <c r="AB2639">
        <v>47</v>
      </c>
      <c r="AC2639">
        <v>-14.2753</v>
      </c>
      <c r="AD2639">
        <v>-1.1103381504279899</v>
      </c>
      <c r="AE2639">
        <v>0.65890000000001603</v>
      </c>
      <c r="AF2639">
        <v>0.79698950299627502</v>
      </c>
      <c r="AG2639">
        <v>-1.1103381504279899</v>
      </c>
      <c r="AH2639">
        <v>14.1823691576342</v>
      </c>
      <c r="AI2639">
        <v>94.469534158537698</v>
      </c>
      <c r="AJ2639">
        <v>86.783601061978501</v>
      </c>
      <c r="AK2639">
        <v>14.248074887492599</v>
      </c>
      <c r="AL2639">
        <v>80.964760893738799</v>
      </c>
      <c r="AM2639">
        <v>91.337641379872494</v>
      </c>
      <c r="AN2639">
        <v>0.99999998917121502</v>
      </c>
    </row>
    <row r="2640" spans="1:40" x14ac:dyDescent="0.25">
      <c r="A2640" t="str">
        <f>"20190312164039737"</f>
        <v>20190312164039737</v>
      </c>
      <c r="B2640" t="str">
        <f>"1552380039728540"</f>
        <v>1552380039728540</v>
      </c>
      <c r="C2640" t="s">
        <v>40</v>
      </c>
      <c r="D2640">
        <v>6.3463849999999997</v>
      </c>
      <c r="E2640">
        <v>0.53870899999999999</v>
      </c>
      <c r="F2640" t="s">
        <v>49</v>
      </c>
      <c r="G2640">
        <v>-415.77080000000001</v>
      </c>
      <c r="H2640" s="1">
        <v>3.0670730000000001E-6</v>
      </c>
      <c r="I2640">
        <v>286.47309999999999</v>
      </c>
      <c r="J2640">
        <v>-400.6592</v>
      </c>
      <c r="K2640">
        <v>1.110376</v>
      </c>
      <c r="L2640">
        <v>285.66289999999998</v>
      </c>
      <c r="M2640">
        <v>-0.99983840000000002</v>
      </c>
      <c r="N2640">
        <v>0</v>
      </c>
      <c r="O2640">
        <v>-1.049812E-2</v>
      </c>
      <c r="P2640">
        <v>-0.98923740000000004</v>
      </c>
      <c r="Q2640">
        <v>0.1425092</v>
      </c>
      <c r="R2640">
        <v>-3.3175919999999998E-2</v>
      </c>
      <c r="S2640">
        <v>-3.069458</v>
      </c>
      <c r="T2640">
        <v>-0.21884010000000001</v>
      </c>
      <c r="U2640">
        <v>0.1587219</v>
      </c>
      <c r="V2640">
        <v>-2.2990469999999999E-2</v>
      </c>
      <c r="W2640">
        <v>0.15690809999999999</v>
      </c>
      <c r="X2640">
        <v>0.98734560000000005</v>
      </c>
      <c r="Y2640">
        <v>6.1940059999999998E-2</v>
      </c>
      <c r="Z2640">
        <v>2.9509219999999999E-3</v>
      </c>
      <c r="AA2640">
        <v>0.9980755</v>
      </c>
      <c r="AB2640">
        <v>47</v>
      </c>
      <c r="AC2640">
        <v>-15.111599999999999</v>
      </c>
      <c r="AD2640">
        <v>-1.110372932927</v>
      </c>
      <c r="AE2640">
        <v>0.81020000000000802</v>
      </c>
      <c r="AF2640">
        <v>0.96362787183947596</v>
      </c>
      <c r="AG2640">
        <v>-1.110372932927</v>
      </c>
      <c r="AH2640">
        <v>15.021391896321299</v>
      </c>
      <c r="AI2640">
        <v>94.218942657401897</v>
      </c>
      <c r="AJ2640">
        <v>86.329483995506195</v>
      </c>
      <c r="AK2640">
        <v>15.0931680315443</v>
      </c>
      <c r="AL2640">
        <v>80.972523617297</v>
      </c>
      <c r="AM2640">
        <v>91.333898592771106</v>
      </c>
      <c r="AN2640">
        <v>1.0000000236978901</v>
      </c>
    </row>
    <row r="2641" spans="1:40" x14ac:dyDescent="0.25">
      <c r="A2641" t="str">
        <f>"20190312164039759"</f>
        <v>20190312164039759</v>
      </c>
      <c r="B2641" t="str">
        <f>"1552380039749033"</f>
        <v>1552380039749033</v>
      </c>
      <c r="C2641" t="s">
        <v>40</v>
      </c>
      <c r="D2641">
        <v>5.3884109999999996</v>
      </c>
      <c r="E2641">
        <v>0.53906889999999996</v>
      </c>
      <c r="F2641" t="s">
        <v>49</v>
      </c>
      <c r="G2641">
        <v>-417.16460000000001</v>
      </c>
      <c r="H2641" s="1">
        <v>3.304734E-6</v>
      </c>
      <c r="I2641">
        <v>286.58260000000001</v>
      </c>
      <c r="J2641">
        <v>-401.12349999999998</v>
      </c>
      <c r="K2641">
        <v>1.1104050000000001</v>
      </c>
      <c r="L2641">
        <v>285.6576</v>
      </c>
      <c r="M2641">
        <v>-0.99983259999999996</v>
      </c>
      <c r="N2641">
        <v>0</v>
      </c>
      <c r="O2641">
        <v>-1.099549E-2</v>
      </c>
      <c r="P2641">
        <v>-0.98926179999999997</v>
      </c>
      <c r="Q2641">
        <v>0.1421636</v>
      </c>
      <c r="R2641">
        <v>-3.3917740000000002E-2</v>
      </c>
      <c r="S2641">
        <v>-3.068085</v>
      </c>
      <c r="T2641">
        <v>-0.2064</v>
      </c>
      <c r="U2641">
        <v>0.17095949999999999</v>
      </c>
      <c r="V2641">
        <v>-2.3246389999999999E-2</v>
      </c>
      <c r="W2641">
        <v>0.15658320000000001</v>
      </c>
      <c r="X2641">
        <v>0.98739120000000002</v>
      </c>
      <c r="Y2641">
        <v>6.6437330000000003E-2</v>
      </c>
      <c r="Z2641">
        <v>2.9689009999999999E-3</v>
      </c>
      <c r="AA2641">
        <v>0.99778619999999996</v>
      </c>
      <c r="AB2641">
        <v>47</v>
      </c>
      <c r="AC2641">
        <v>-16.0411</v>
      </c>
      <c r="AD2641">
        <v>-1.1104016952660001</v>
      </c>
      <c r="AE2641">
        <v>0.92500000000001104</v>
      </c>
      <c r="AF2641">
        <v>1.0961078474243799</v>
      </c>
      <c r="AG2641">
        <v>-1.1104016952660001</v>
      </c>
      <c r="AH2641">
        <v>15.9537654445038</v>
      </c>
      <c r="AI2641">
        <v>93.972102003308805</v>
      </c>
      <c r="AJ2641">
        <v>86.069654215367905</v>
      </c>
      <c r="AK2641">
        <v>16.0298807293217</v>
      </c>
      <c r="AL2641">
        <v>80.991372125905698</v>
      </c>
      <c r="AM2641">
        <v>91.348679257313094</v>
      </c>
      <c r="AN2641">
        <v>1.00000003750385</v>
      </c>
    </row>
    <row r="2642" spans="1:40" x14ac:dyDescent="0.25">
      <c r="A2642" t="str">
        <f>"20190312164039771"</f>
        <v>20190312164039771</v>
      </c>
      <c r="B2642" t="str">
        <f>"1552380039758793"</f>
        <v>1552380039758793</v>
      </c>
      <c r="C2642" t="s">
        <v>40</v>
      </c>
      <c r="D2642">
        <v>5.0387029999999999</v>
      </c>
      <c r="E2642">
        <v>0.53927250000000004</v>
      </c>
      <c r="F2642" t="s">
        <v>42</v>
      </c>
      <c r="G2642">
        <v>-402.2466</v>
      </c>
      <c r="H2642">
        <v>1.0399119999999999</v>
      </c>
      <c r="I2642">
        <v>285.72120000000001</v>
      </c>
      <c r="J2642">
        <v>-401.37299999999999</v>
      </c>
      <c r="K2642">
        <v>1.1104179999999999</v>
      </c>
      <c r="L2642">
        <v>285.65469999999999</v>
      </c>
      <c r="M2642">
        <v>-0.99982950000000004</v>
      </c>
      <c r="N2642">
        <v>0</v>
      </c>
      <c r="O2642">
        <v>-1.126454E-2</v>
      </c>
      <c r="P2642">
        <v>-0.98928839999999996</v>
      </c>
      <c r="Q2642">
        <v>0.14188770000000001</v>
      </c>
      <c r="R2642">
        <v>-3.4298130000000003E-2</v>
      </c>
      <c r="S2642">
        <v>-3.0661619999999998</v>
      </c>
      <c r="T2642">
        <v>-0.19263910000000001</v>
      </c>
      <c r="U2642">
        <v>0.1726685</v>
      </c>
      <c r="V2642">
        <v>-2.336274E-2</v>
      </c>
      <c r="W2642">
        <v>0.1563176</v>
      </c>
      <c r="X2642">
        <v>0.98743049999999999</v>
      </c>
      <c r="Y2642">
        <v>6.7315009999999995E-2</v>
      </c>
      <c r="Z2642">
        <v>2.8174519999999998E-3</v>
      </c>
      <c r="AA2642">
        <v>0.99772780000000005</v>
      </c>
      <c r="AB2642">
        <v>47</v>
      </c>
      <c r="AC2642">
        <v>-0.87359999999995297</v>
      </c>
      <c r="AD2642">
        <v>-7.0505999999999902E-2</v>
      </c>
      <c r="AE2642">
        <v>6.6500000000019099E-2</v>
      </c>
      <c r="AF2642">
        <v>7.5846342420303095E-2</v>
      </c>
      <c r="AG2642">
        <v>-7.0505999999999902E-2</v>
      </c>
      <c r="AH2642">
        <v>0.86717939543004896</v>
      </c>
      <c r="AI2642">
        <v>94.630607049757899</v>
      </c>
      <c r="AJ2642">
        <v>85.001444101680903</v>
      </c>
      <c r="AK2642">
        <v>0.87334063660920003</v>
      </c>
      <c r="AL2642">
        <v>81.006779284137593</v>
      </c>
      <c r="AM2642">
        <v>91.355373064324596</v>
      </c>
      <c r="AN2642">
        <v>1.00000000101015</v>
      </c>
    </row>
    <row r="2643" spans="1:40" x14ac:dyDescent="0.25">
      <c r="A2643" t="str">
        <f>"20190312164039784"</f>
        <v>20190312164039784</v>
      </c>
      <c r="B2643" t="str">
        <f>"1552380039778314"</f>
        <v>1552380039778314</v>
      </c>
      <c r="C2643" t="s">
        <v>40</v>
      </c>
      <c r="D2643">
        <v>5.3224090000000004</v>
      </c>
      <c r="E2643">
        <v>0.53966409999999998</v>
      </c>
      <c r="F2643" t="s">
        <v>49</v>
      </c>
      <c r="G2643">
        <v>-419.59649999999999</v>
      </c>
      <c r="H2643" s="1">
        <v>3.7268520000000002E-6</v>
      </c>
      <c r="I2643">
        <v>286.68849999999998</v>
      </c>
      <c r="J2643">
        <v>-401.64729999999997</v>
      </c>
      <c r="K2643">
        <v>1.1104290000000001</v>
      </c>
      <c r="L2643">
        <v>285.65140000000002</v>
      </c>
      <c r="M2643">
        <v>-0.99982610000000005</v>
      </c>
      <c r="N2643">
        <v>0</v>
      </c>
      <c r="O2643">
        <v>-1.156102E-2</v>
      </c>
      <c r="P2643">
        <v>-0.98926349999999996</v>
      </c>
      <c r="Q2643">
        <v>0.14203199999999999</v>
      </c>
      <c r="R2643">
        <v>-3.4422639999999997E-2</v>
      </c>
      <c r="S2643">
        <v>-3.065277</v>
      </c>
      <c r="T2643">
        <v>-0.18677650000000001</v>
      </c>
      <c r="U2643">
        <v>0.17388919999999999</v>
      </c>
      <c r="V2643">
        <v>-2.3197840000000001E-2</v>
      </c>
      <c r="W2643">
        <v>0.156472</v>
      </c>
      <c r="X2643">
        <v>0.98740989999999995</v>
      </c>
      <c r="Y2643">
        <v>6.8030370000000007E-2</v>
      </c>
      <c r="Z2643">
        <v>2.7724199999999998E-3</v>
      </c>
      <c r="AA2643">
        <v>0.99767939999999999</v>
      </c>
      <c r="AB2643">
        <v>47</v>
      </c>
      <c r="AC2643">
        <v>-17.949200000000001</v>
      </c>
      <c r="AD2643">
        <v>-1.110425273148</v>
      </c>
      <c r="AE2643">
        <v>1.03709999999995</v>
      </c>
      <c r="AF2643">
        <v>1.2398345681852301</v>
      </c>
      <c r="AG2643">
        <v>-1.110425273148</v>
      </c>
      <c r="AH2643">
        <v>17.867851514540899</v>
      </c>
      <c r="AI2643">
        <v>93.547652775010306</v>
      </c>
      <c r="AJ2643">
        <v>86.0306584748067</v>
      </c>
      <c r="AK2643">
        <v>17.945204144544999</v>
      </c>
      <c r="AL2643">
        <v>80.997822306136896</v>
      </c>
      <c r="AM2643">
        <v>91.345838103551799</v>
      </c>
      <c r="AN2643">
        <v>0.999999968591337</v>
      </c>
    </row>
    <row r="2644" spans="1:40" x14ac:dyDescent="0.25">
      <c r="A2644" t="str">
        <f>"20190312164039816"</f>
        <v>20190312164039816</v>
      </c>
      <c r="B2644" t="str">
        <f>"1552380039808573"</f>
        <v>1552380039808573</v>
      </c>
      <c r="C2644" t="s">
        <v>40</v>
      </c>
      <c r="D2644">
        <v>5.1423779999999999</v>
      </c>
      <c r="E2644">
        <v>0.54002530000000004</v>
      </c>
      <c r="F2644" t="s">
        <v>42</v>
      </c>
      <c r="G2644">
        <v>-402.67649999999998</v>
      </c>
      <c r="H2644">
        <v>1.050217</v>
      </c>
      <c r="I2644">
        <v>285.71069999999997</v>
      </c>
      <c r="J2644">
        <v>-402.32389999999998</v>
      </c>
      <c r="K2644">
        <v>1.11046</v>
      </c>
      <c r="L2644">
        <v>285.64299999999997</v>
      </c>
      <c r="M2644">
        <v>-0.99981699999999996</v>
      </c>
      <c r="N2644">
        <v>0</v>
      </c>
      <c r="O2644">
        <v>-1.229323E-2</v>
      </c>
      <c r="P2644">
        <v>-0.98936950000000001</v>
      </c>
      <c r="Q2644">
        <v>0.1410254</v>
      </c>
      <c r="R2644">
        <v>-3.5494599999999897E-2</v>
      </c>
      <c r="S2644">
        <v>-3.0644529999999999</v>
      </c>
      <c r="T2644">
        <v>-0.17912919999999999</v>
      </c>
      <c r="U2644">
        <v>0.17724609999999999</v>
      </c>
      <c r="V2644">
        <v>-2.3549489999999999E-2</v>
      </c>
      <c r="W2644">
        <v>0.15548809999999999</v>
      </c>
      <c r="X2644">
        <v>0.98755700000000002</v>
      </c>
      <c r="Y2644">
        <v>6.9872760000000006E-2</v>
      </c>
      <c r="Z2644">
        <v>2.756231E-3</v>
      </c>
      <c r="AA2644">
        <v>0.99755210000000005</v>
      </c>
      <c r="AB2644">
        <v>47</v>
      </c>
      <c r="AC2644">
        <v>-0.35259999999999497</v>
      </c>
      <c r="AD2644">
        <v>-6.0242999999999998E-2</v>
      </c>
      <c r="AE2644">
        <v>6.7700000000001995E-2</v>
      </c>
      <c r="AF2644">
        <v>7.0057602269581701E-2</v>
      </c>
      <c r="AG2644">
        <v>-6.0242999999999998E-2</v>
      </c>
      <c r="AH2644">
        <v>0.34210956040684298</v>
      </c>
      <c r="AI2644">
        <v>99.787908620870397</v>
      </c>
      <c r="AJ2644">
        <v>78.426905667879794</v>
      </c>
      <c r="AK2644">
        <v>0.354367377175899</v>
      </c>
      <c r="AL2644">
        <v>81.054894260580298</v>
      </c>
      <c r="AM2644">
        <v>91.366028209438596</v>
      </c>
      <c r="AN2644">
        <v>0.99999997798493401</v>
      </c>
    </row>
    <row r="2645" spans="1:40" x14ac:dyDescent="0.25">
      <c r="A2645" t="str">
        <f>"20190312164039837"</f>
        <v>20190312164039837</v>
      </c>
      <c r="B2645" t="str">
        <f>"1552380039829069"</f>
        <v>1552380039829069</v>
      </c>
      <c r="C2645" t="s">
        <v>40</v>
      </c>
      <c r="D2645">
        <v>5.1142260000000004</v>
      </c>
      <c r="E2645">
        <v>0.54046729999999998</v>
      </c>
      <c r="F2645" t="s">
        <v>49</v>
      </c>
      <c r="G2645">
        <v>-422.00850000000003</v>
      </c>
      <c r="H2645" s="1">
        <v>3.418815E-6</v>
      </c>
      <c r="I2645">
        <v>286.78410000000002</v>
      </c>
      <c r="J2645">
        <v>-402.77530000000002</v>
      </c>
      <c r="K2645">
        <v>1.1104670000000001</v>
      </c>
      <c r="L2645">
        <v>285.63709999999998</v>
      </c>
      <c r="M2645">
        <v>-0.99981059999999999</v>
      </c>
      <c r="N2645">
        <v>0</v>
      </c>
      <c r="O2645">
        <v>-1.278165E-2</v>
      </c>
      <c r="P2645">
        <v>-0.98942220000000003</v>
      </c>
      <c r="Q2645">
        <v>0.140481299999999</v>
      </c>
      <c r="R2645">
        <v>-3.6180820000000002E-2</v>
      </c>
      <c r="S2645">
        <v>-3.063202</v>
      </c>
      <c r="T2645">
        <v>-0.1728026</v>
      </c>
      <c r="U2645">
        <v>0.17758180000000001</v>
      </c>
      <c r="V2645">
        <v>-2.3753980000000001E-2</v>
      </c>
      <c r="W2645">
        <v>0.15495629999999999</v>
      </c>
      <c r="X2645">
        <v>0.98763570000000001</v>
      </c>
      <c r="Y2645">
        <v>7.0500320000000005E-2</v>
      </c>
      <c r="Z2645">
        <v>2.7053020000000001E-3</v>
      </c>
      <c r="AA2645">
        <v>0.99750810000000001</v>
      </c>
      <c r="AB2645">
        <v>47</v>
      </c>
      <c r="AC2645">
        <v>-19.2332</v>
      </c>
      <c r="AD2645">
        <v>-1.1104635811849899</v>
      </c>
      <c r="AE2645">
        <v>1.14700000000004</v>
      </c>
      <c r="AF2645">
        <v>1.3881537279902501</v>
      </c>
      <c r="AG2645">
        <v>-1.1104635811849899</v>
      </c>
      <c r="AH2645">
        <v>19.153344248161101</v>
      </c>
      <c r="AI2645">
        <v>93.309492005009702</v>
      </c>
      <c r="AJ2645">
        <v>85.854691136227103</v>
      </c>
      <c r="AK2645">
        <v>19.235662089624999</v>
      </c>
      <c r="AL2645">
        <v>81.085738114891996</v>
      </c>
      <c r="AM2645">
        <v>91.377775691555698</v>
      </c>
      <c r="AN2645">
        <v>0.99999999119501004</v>
      </c>
    </row>
    <row r="2646" spans="1:40" x14ac:dyDescent="0.25">
      <c r="A2646" t="str">
        <f>"20190312164039861"</f>
        <v>20190312164039861</v>
      </c>
      <c r="B2646" t="str">
        <f>"1552380039848585"</f>
        <v>1552380039848585</v>
      </c>
      <c r="C2646" t="s">
        <v>40</v>
      </c>
      <c r="D2646">
        <v>5.2326739999999896</v>
      </c>
      <c r="E2646">
        <v>0.54068709999999998</v>
      </c>
      <c r="F2646" t="s">
        <v>49</v>
      </c>
      <c r="G2646">
        <v>-422.39980000000003</v>
      </c>
      <c r="H2646" s="1">
        <v>3.3491849999999999E-6</v>
      </c>
      <c r="I2646">
        <v>286.7867</v>
      </c>
      <c r="J2646">
        <v>-403.2509</v>
      </c>
      <c r="K2646">
        <v>1.110482</v>
      </c>
      <c r="L2646">
        <v>285.63060000000002</v>
      </c>
      <c r="M2646">
        <v>-0.99980389999999997</v>
      </c>
      <c r="N2646">
        <v>0</v>
      </c>
      <c r="O2646">
        <v>-1.3290730000000001E-2</v>
      </c>
      <c r="P2646">
        <v>-0.98942030000000003</v>
      </c>
      <c r="Q2646">
        <v>0.1403808</v>
      </c>
      <c r="R2646">
        <v>-3.6618190000000002E-2</v>
      </c>
      <c r="S2646">
        <v>-3.0632630000000001</v>
      </c>
      <c r="T2646">
        <v>-0.1733364</v>
      </c>
      <c r="U2646">
        <v>0.1794434</v>
      </c>
      <c r="V2646">
        <v>-2.3689809999999999E-2</v>
      </c>
      <c r="W2646">
        <v>0.15486539999999999</v>
      </c>
      <c r="X2646">
        <v>0.98765150000000002</v>
      </c>
      <c r="Y2646">
        <v>7.1607799999999999E-2</v>
      </c>
      <c r="Z2646">
        <v>2.7735910000000002E-3</v>
      </c>
      <c r="AA2646">
        <v>0.99742900000000001</v>
      </c>
      <c r="AB2646">
        <v>47</v>
      </c>
      <c r="AC2646">
        <v>-19.148900000000001</v>
      </c>
      <c r="AD2646">
        <v>-1.110478650815</v>
      </c>
      <c r="AE2646">
        <v>1.1560999999999799</v>
      </c>
      <c r="AF2646">
        <v>1.40581749593953</v>
      </c>
      <c r="AG2646">
        <v>-1.110478650815</v>
      </c>
      <c r="AH2646">
        <v>19.067947743021701</v>
      </c>
      <c r="AI2646">
        <v>93.324023844205001</v>
      </c>
      <c r="AJ2646">
        <v>85.783398271532604</v>
      </c>
      <c r="AK2646">
        <v>19.151922013114302</v>
      </c>
      <c r="AL2646">
        <v>81.091009950613497</v>
      </c>
      <c r="AM2646">
        <v>91.374033166148394</v>
      </c>
      <c r="AN2646">
        <v>0.99999999233362302</v>
      </c>
    </row>
    <row r="2647" spans="1:40" x14ac:dyDescent="0.25">
      <c r="A2647" t="str">
        <f>"20190312164039882"</f>
        <v>20190312164039882</v>
      </c>
      <c r="B2647" t="str">
        <f>"1552380039878841"</f>
        <v>1552380039878841</v>
      </c>
      <c r="C2647" t="s">
        <v>40</v>
      </c>
      <c r="D2647">
        <v>5.3489190000000004</v>
      </c>
      <c r="E2647">
        <v>0.54069979999999995</v>
      </c>
      <c r="F2647" t="s">
        <v>42</v>
      </c>
      <c r="G2647">
        <v>-404.36110000000002</v>
      </c>
      <c r="H2647">
        <v>1.04932</v>
      </c>
      <c r="I2647">
        <v>285.69619999999998</v>
      </c>
      <c r="J2647">
        <v>-403.72309999999999</v>
      </c>
      <c r="K2647">
        <v>1.110492</v>
      </c>
      <c r="L2647">
        <v>285.62389999999999</v>
      </c>
      <c r="M2647">
        <v>-0.99979700000000005</v>
      </c>
      <c r="N2647">
        <v>0</v>
      </c>
      <c r="O2647">
        <v>-1.3786939999999999E-2</v>
      </c>
      <c r="P2647">
        <v>-0.98946540000000005</v>
      </c>
      <c r="Q2647">
        <v>0.13995009999999999</v>
      </c>
      <c r="R2647">
        <v>-3.7048810000000001E-2</v>
      </c>
      <c r="S2647">
        <v>-3.0627140000000002</v>
      </c>
      <c r="T2647">
        <v>-0.16892179999999901</v>
      </c>
      <c r="U2647">
        <v>0.1801758</v>
      </c>
      <c r="V2647">
        <v>-2.362827E-2</v>
      </c>
      <c r="W2647">
        <v>0.1544442</v>
      </c>
      <c r="X2647">
        <v>0.98771889999999996</v>
      </c>
      <c r="Y2647">
        <v>7.2355829999999996E-2</v>
      </c>
      <c r="Z2647">
        <v>2.7514520000000002E-3</v>
      </c>
      <c r="AA2647">
        <v>0.99737509999999996</v>
      </c>
      <c r="AB2647">
        <v>47</v>
      </c>
      <c r="AC2647">
        <v>-0.63800000000003299</v>
      </c>
      <c r="AD2647">
        <v>-6.1171999999999997E-2</v>
      </c>
      <c r="AE2647">
        <v>7.2299999999984196E-2</v>
      </c>
      <c r="AF2647">
        <v>8.0360743362633894E-2</v>
      </c>
      <c r="AG2647">
        <v>-6.1171999999999997E-2</v>
      </c>
      <c r="AH2647">
        <v>0.63121318786033498</v>
      </c>
      <c r="AI2647">
        <v>95.4913015160962</v>
      </c>
      <c r="AJ2647">
        <v>82.744615222695501</v>
      </c>
      <c r="AK2647">
        <v>0.63924170013117998</v>
      </c>
      <c r="AL2647">
        <v>81.115436585361294</v>
      </c>
      <c r="AM2647">
        <v>91.370371664164907</v>
      </c>
      <c r="AN2647">
        <v>0.99999996573701999</v>
      </c>
    </row>
    <row r="2648" spans="1:40" x14ac:dyDescent="0.25">
      <c r="A2648" t="str">
        <f>"20190312164039905"</f>
        <v>20190312164039905</v>
      </c>
      <c r="B2648" t="str">
        <f>"1552380039898365"</f>
        <v>1552380039898365</v>
      </c>
      <c r="C2648" t="s">
        <v>40</v>
      </c>
      <c r="D2648">
        <v>5.188669</v>
      </c>
      <c r="E2648">
        <v>0.54075839999999997</v>
      </c>
      <c r="F2648" t="s">
        <v>42</v>
      </c>
      <c r="G2648">
        <v>-404.7826</v>
      </c>
      <c r="H2648">
        <v>1.0507010000000001</v>
      </c>
      <c r="I2648">
        <v>285.68639999999999</v>
      </c>
      <c r="J2648">
        <v>-404.19220000000001</v>
      </c>
      <c r="K2648">
        <v>1.1104969999999901</v>
      </c>
      <c r="L2648">
        <v>285.61700000000002</v>
      </c>
      <c r="M2648">
        <v>-0.99979030000000002</v>
      </c>
      <c r="N2648">
        <v>0</v>
      </c>
      <c r="O2648">
        <v>-1.427113E-2</v>
      </c>
      <c r="P2648">
        <v>-0.9894193</v>
      </c>
      <c r="Q2648">
        <v>0.14015859999999999</v>
      </c>
      <c r="R2648">
        <v>-3.7488590000000002E-2</v>
      </c>
      <c r="S2648">
        <v>-3.0631409999999999</v>
      </c>
      <c r="T2648">
        <v>-0.17317399999999999</v>
      </c>
      <c r="U2648">
        <v>0.17892459999999999</v>
      </c>
      <c r="V2648">
        <v>-2.3588379999999999E-2</v>
      </c>
      <c r="W2648">
        <v>0.15465860000000001</v>
      </c>
      <c r="X2648">
        <v>0.98768630000000002</v>
      </c>
      <c r="Y2648">
        <v>7.2417190000000006E-2</v>
      </c>
      <c r="Z2648">
        <v>2.8493110000000002E-3</v>
      </c>
      <c r="AA2648">
        <v>0.99737039999999999</v>
      </c>
      <c r="AB2648">
        <v>47</v>
      </c>
      <c r="AC2648">
        <v>-0.59039999999998805</v>
      </c>
      <c r="AD2648">
        <v>-5.9795999999999697E-2</v>
      </c>
      <c r="AE2648">
        <v>6.9399999999973205E-2</v>
      </c>
      <c r="AF2648">
        <v>7.7040028998458396E-2</v>
      </c>
      <c r="AG2648">
        <v>-5.9795999999999697E-2</v>
      </c>
      <c r="AH2648">
        <v>0.58344607010735905</v>
      </c>
      <c r="AI2648">
        <v>95.801666518628394</v>
      </c>
      <c r="AJ2648">
        <v>82.478002413450895</v>
      </c>
      <c r="AK2648">
        <v>0.591540399641313</v>
      </c>
      <c r="AL2648">
        <v>81.103002931821194</v>
      </c>
      <c r="AM2648">
        <v>91.368104176499102</v>
      </c>
      <c r="AN2648">
        <v>0.99999996071633601</v>
      </c>
    </row>
    <row r="2649" spans="1:40" x14ac:dyDescent="0.25">
      <c r="A2649" t="str">
        <f>"20190312164039926"</f>
        <v>20190312164039926</v>
      </c>
      <c r="B2649" t="str">
        <f>"1552380039918857"</f>
        <v>1552380039918857</v>
      </c>
      <c r="C2649" t="s">
        <v>40</v>
      </c>
      <c r="D2649">
        <v>5.3145319999999998</v>
      </c>
      <c r="E2649">
        <v>0.54083959999999998</v>
      </c>
      <c r="F2649" t="s">
        <v>49</v>
      </c>
      <c r="G2649">
        <v>-424.2328</v>
      </c>
      <c r="H2649" s="1">
        <v>3.0241640000000001E-6</v>
      </c>
      <c r="I2649">
        <v>286.7851</v>
      </c>
      <c r="J2649">
        <v>-404.6533</v>
      </c>
      <c r="K2649">
        <v>1.110493</v>
      </c>
      <c r="L2649">
        <v>285.61009999999999</v>
      </c>
      <c r="M2649">
        <v>-0.99978339999999999</v>
      </c>
      <c r="N2649">
        <v>0</v>
      </c>
      <c r="O2649">
        <v>-1.4733420000000001E-2</v>
      </c>
      <c r="P2649">
        <v>-0.98939880000000002</v>
      </c>
      <c r="Q2649">
        <v>0.14027409999999901</v>
      </c>
      <c r="R2649">
        <v>-3.7595000000000003E-2</v>
      </c>
      <c r="S2649">
        <v>-3.0629270000000002</v>
      </c>
      <c r="T2649">
        <v>-0.16972329999999999</v>
      </c>
      <c r="U2649">
        <v>0.17852779999999999</v>
      </c>
      <c r="V2649">
        <v>-2.3235180000000001E-2</v>
      </c>
      <c r="W2649">
        <v>0.1547801</v>
      </c>
      <c r="X2649">
        <v>0.98767570000000005</v>
      </c>
      <c r="Y2649">
        <v>7.2757859999999994E-2</v>
      </c>
      <c r="Z2649">
        <v>2.8278320000000002E-3</v>
      </c>
      <c r="AA2649">
        <v>0.99734560000000005</v>
      </c>
      <c r="AB2649">
        <v>47</v>
      </c>
      <c r="AC2649">
        <v>-19.579499999999999</v>
      </c>
      <c r="AD2649">
        <v>-1.1104899758359901</v>
      </c>
      <c r="AE2649">
        <v>1.17500000000001</v>
      </c>
      <c r="AF2649">
        <v>1.4587010701788901</v>
      </c>
      <c r="AG2649">
        <v>-1.1104899758359901</v>
      </c>
      <c r="AH2649">
        <v>19.497565696681701</v>
      </c>
      <c r="AI2649">
        <v>93.250712144635699</v>
      </c>
      <c r="AJ2649">
        <v>85.721414444442701</v>
      </c>
      <c r="AK2649">
        <v>19.583566194516099</v>
      </c>
      <c r="AL2649">
        <v>81.095957184272194</v>
      </c>
      <c r="AM2649">
        <v>91.347640973344696</v>
      </c>
      <c r="AN2649">
        <v>1.0000000206580599</v>
      </c>
    </row>
    <row r="2650" spans="1:40" x14ac:dyDescent="0.25">
      <c r="A2650" t="str">
        <f>"20190312164039949"</f>
        <v>20190312164039949</v>
      </c>
      <c r="B2650" t="str">
        <f>"1552380039938378"</f>
        <v>1552380039938378</v>
      </c>
      <c r="C2650" t="s">
        <v>40</v>
      </c>
      <c r="D2650">
        <v>5.3625249999999998</v>
      </c>
      <c r="E2650">
        <v>0.54097959999999901</v>
      </c>
      <c r="F2650" t="s">
        <v>49</v>
      </c>
      <c r="G2650">
        <v>-425.07369999999997</v>
      </c>
      <c r="H2650" s="1">
        <v>2.8729020000000001E-6</v>
      </c>
      <c r="I2650">
        <v>286.80919999999998</v>
      </c>
      <c r="J2650">
        <v>-405.1173</v>
      </c>
      <c r="K2650">
        <v>1.11049</v>
      </c>
      <c r="L2650">
        <v>285.60289999999998</v>
      </c>
      <c r="M2650">
        <v>-0.99977669999999996</v>
      </c>
      <c r="N2650">
        <v>0</v>
      </c>
      <c r="O2650">
        <v>-1.5180239999999999E-2</v>
      </c>
      <c r="P2650">
        <v>-0.9892763</v>
      </c>
      <c r="Q2650">
        <v>0.14106850000000001</v>
      </c>
      <c r="R2650">
        <v>-3.7846110000000002E-2</v>
      </c>
      <c r="S2650">
        <v>-3.062592</v>
      </c>
      <c r="T2650">
        <v>-0.1665479</v>
      </c>
      <c r="U2650">
        <v>0.1798401</v>
      </c>
      <c r="V2650">
        <v>-2.304198E-2</v>
      </c>
      <c r="W2650">
        <v>0.15557860000000001</v>
      </c>
      <c r="X2650">
        <v>0.98755470000000001</v>
      </c>
      <c r="Y2650">
        <v>7.3638759999999998E-2</v>
      </c>
      <c r="Z2650">
        <v>2.8234530000000001E-3</v>
      </c>
      <c r="AA2650">
        <v>0.99728099999999997</v>
      </c>
      <c r="AB2650">
        <v>47</v>
      </c>
      <c r="AC2650">
        <v>-19.956399999999899</v>
      </c>
      <c r="AD2650">
        <v>-1.1104871270979999</v>
      </c>
      <c r="AE2650">
        <v>1.2062999999999899</v>
      </c>
      <c r="AF2650">
        <v>1.50449503479154</v>
      </c>
      <c r="AG2650">
        <v>-1.1104871270979999</v>
      </c>
      <c r="AH2650">
        <v>19.8744700298138</v>
      </c>
      <c r="AI2650">
        <v>93.188974301391696</v>
      </c>
      <c r="AJ2650">
        <v>85.670972780244298</v>
      </c>
      <c r="AK2650">
        <v>19.962245513346701</v>
      </c>
      <c r="AL2650">
        <v>81.049644947367995</v>
      </c>
      <c r="AM2650">
        <v>91.3366031375609</v>
      </c>
      <c r="AN2650">
        <v>0.99999995955618404</v>
      </c>
    </row>
    <row r="2651" spans="1:40" x14ac:dyDescent="0.25">
      <c r="A2651" t="str">
        <f>"20190312164039972"</f>
        <v>20190312164039972</v>
      </c>
      <c r="B2651" t="str">
        <f>"1552380039968634"</f>
        <v>1552380039968634</v>
      </c>
      <c r="C2651" t="s">
        <v>40</v>
      </c>
      <c r="D2651">
        <v>5.308897</v>
      </c>
      <c r="E2651">
        <v>0.54112419999999894</v>
      </c>
      <c r="F2651" t="s">
        <v>49</v>
      </c>
      <c r="G2651">
        <v>-426.13339999999999</v>
      </c>
      <c r="H2651" s="1">
        <v>2.6820100000000002E-6</v>
      </c>
      <c r="I2651">
        <v>286.84269999999998</v>
      </c>
      <c r="J2651">
        <v>-405.6</v>
      </c>
      <c r="K2651">
        <v>1.110487</v>
      </c>
      <c r="L2651">
        <v>285.59530000000001</v>
      </c>
      <c r="M2651">
        <v>-0.99976980000000004</v>
      </c>
      <c r="N2651">
        <v>0</v>
      </c>
      <c r="O2651">
        <v>-1.5620729999999999E-2</v>
      </c>
      <c r="P2651">
        <v>-0.98913720000000005</v>
      </c>
      <c r="Q2651">
        <v>0.14197899999999999</v>
      </c>
      <c r="R2651">
        <v>-3.8076039999999998E-2</v>
      </c>
      <c r="S2651">
        <v>-3.0625309999999999</v>
      </c>
      <c r="T2651">
        <v>-0.16182389999999999</v>
      </c>
      <c r="U2651">
        <v>0.18066409999999999</v>
      </c>
      <c r="V2651">
        <v>-2.2832399999999999E-2</v>
      </c>
      <c r="W2651">
        <v>0.15649179999999999</v>
      </c>
      <c r="X2651">
        <v>0.9874153</v>
      </c>
      <c r="Y2651">
        <v>7.4352409999999994E-2</v>
      </c>
      <c r="Z2651">
        <v>2.7855839999999998E-3</v>
      </c>
      <c r="AA2651">
        <v>0.99722809999999995</v>
      </c>
      <c r="AB2651">
        <v>47</v>
      </c>
      <c r="AC2651">
        <v>-20.533399999999901</v>
      </c>
      <c r="AD2651">
        <v>-1.1104843179899999</v>
      </c>
      <c r="AE2651">
        <v>1.2473999999999701</v>
      </c>
      <c r="AF2651">
        <v>1.56347306391119</v>
      </c>
      <c r="AG2651">
        <v>-1.1104843179899999</v>
      </c>
      <c r="AH2651">
        <v>20.4518082936954</v>
      </c>
      <c r="AI2651">
        <v>93.098947588061804</v>
      </c>
      <c r="AJ2651">
        <v>85.628429990289902</v>
      </c>
      <c r="AK2651">
        <v>20.541521022654301</v>
      </c>
      <c r="AL2651">
        <v>80.996673878844703</v>
      </c>
      <c r="AM2651">
        <v>91.324637231854197</v>
      </c>
      <c r="AN2651">
        <v>0.99999998831554404</v>
      </c>
    </row>
    <row r="2652" spans="1:40" x14ac:dyDescent="0.25">
      <c r="A2652" t="str">
        <f>"20190312164039994"</f>
        <v>20190312164039994</v>
      </c>
      <c r="B2652" t="str">
        <f>"1552380039989130"</f>
        <v>1552380039989130</v>
      </c>
      <c r="C2652" t="s">
        <v>40</v>
      </c>
      <c r="D2652">
        <v>5.1892189999999996</v>
      </c>
      <c r="E2652">
        <v>0.54046039999999995</v>
      </c>
      <c r="F2652" t="s">
        <v>49</v>
      </c>
      <c r="G2652">
        <v>-427.2869</v>
      </c>
      <c r="H2652" s="1">
        <v>2.4742E-6</v>
      </c>
      <c r="I2652">
        <v>286.87920000000003</v>
      </c>
      <c r="J2652">
        <v>-406.07040000000001</v>
      </c>
      <c r="K2652">
        <v>1.1104689999999999</v>
      </c>
      <c r="L2652">
        <v>285.58760000000001</v>
      </c>
      <c r="M2652">
        <v>-0.99976350000000003</v>
      </c>
      <c r="N2652">
        <v>0</v>
      </c>
      <c r="O2652">
        <v>-1.6023590000000001E-2</v>
      </c>
      <c r="P2652">
        <v>-0.98901640000000002</v>
      </c>
      <c r="Q2652">
        <v>0.14283870000000001</v>
      </c>
      <c r="R2652">
        <v>-3.7999980000000003E-2</v>
      </c>
      <c r="S2652">
        <v>-3.0624389999999999</v>
      </c>
      <c r="T2652">
        <v>-0.15681339999999999</v>
      </c>
      <c r="U2652">
        <v>0.18130489999999999</v>
      </c>
      <c r="V2652">
        <v>-2.2352810000000001E-2</v>
      </c>
      <c r="W2652">
        <v>0.1573541</v>
      </c>
      <c r="X2652">
        <v>0.98728919999999998</v>
      </c>
      <c r="Y2652">
        <v>7.4970220000000004E-2</v>
      </c>
      <c r="Z2652">
        <v>2.7359089999999999E-3</v>
      </c>
      <c r="AA2652">
        <v>0.99718200000000001</v>
      </c>
      <c r="AB2652">
        <v>47</v>
      </c>
      <c r="AC2652">
        <v>-21.2165</v>
      </c>
      <c r="AD2652">
        <v>-1.1104665257999999</v>
      </c>
      <c r="AE2652">
        <v>1.2916000000000101</v>
      </c>
      <c r="AF2652">
        <v>1.6269947776158999</v>
      </c>
      <c r="AG2652">
        <v>-1.1104665257999999</v>
      </c>
      <c r="AH2652">
        <v>21.1353916287289</v>
      </c>
      <c r="AI2652">
        <v>92.998734506631607</v>
      </c>
      <c r="AJ2652">
        <v>85.598073062029499</v>
      </c>
      <c r="AK2652">
        <v>21.226988180405101</v>
      </c>
      <c r="AL2652">
        <v>80.946647712897004</v>
      </c>
      <c r="AM2652">
        <v>91.296988673091704</v>
      </c>
      <c r="AN2652">
        <v>0.99999996266917202</v>
      </c>
    </row>
    <row r="2653" spans="1:40" x14ac:dyDescent="0.25">
      <c r="A2653" t="str">
        <f>"20190312164040016"</f>
        <v>20190312164040016</v>
      </c>
      <c r="B2653" t="str">
        <f>"1552380040008662"</f>
        <v>1552380040008662</v>
      </c>
      <c r="C2653" t="s">
        <v>40</v>
      </c>
      <c r="D2653">
        <v>5.2509209999999999</v>
      </c>
      <c r="E2653">
        <v>0.53980660000000003</v>
      </c>
      <c r="F2653" t="s">
        <v>49</v>
      </c>
      <c r="G2653">
        <v>-428.41699999999997</v>
      </c>
      <c r="H2653" s="1">
        <v>2.2742070000000002E-6</v>
      </c>
      <c r="I2653">
        <v>286.87380000000002</v>
      </c>
      <c r="J2653">
        <v>-406.52440000000001</v>
      </c>
      <c r="K2653">
        <v>1.1104480000000001</v>
      </c>
      <c r="L2653">
        <v>285.58</v>
      </c>
      <c r="M2653">
        <v>-0.99975749999999997</v>
      </c>
      <c r="N2653">
        <v>0</v>
      </c>
      <c r="O2653">
        <v>-1.6387309999999999E-2</v>
      </c>
      <c r="P2653">
        <v>-0.98890719999999999</v>
      </c>
      <c r="Q2653">
        <v>0.14353339999999901</v>
      </c>
      <c r="R2653">
        <v>-3.8220820000000003E-2</v>
      </c>
      <c r="S2653">
        <v>-3.0620419999999999</v>
      </c>
      <c r="T2653">
        <v>-0.15216160000000001</v>
      </c>
      <c r="U2653">
        <v>0.17623900000000001</v>
      </c>
      <c r="V2653">
        <v>-2.2207660000000001E-2</v>
      </c>
      <c r="W2653">
        <v>0.15805050000000001</v>
      </c>
      <c r="X2653">
        <v>0.98718119999999998</v>
      </c>
      <c r="Y2653">
        <v>7.3704409999999998E-2</v>
      </c>
      <c r="Z2653">
        <v>2.6419659999999999E-3</v>
      </c>
      <c r="AA2653">
        <v>0.99727659999999996</v>
      </c>
      <c r="AB2653">
        <v>47</v>
      </c>
      <c r="AC2653">
        <v>-21.892599999999899</v>
      </c>
      <c r="AD2653">
        <v>-1.1104457257929901</v>
      </c>
      <c r="AE2653">
        <v>1.29380000000003</v>
      </c>
      <c r="AF2653">
        <v>1.64820020403593</v>
      </c>
      <c r="AG2653">
        <v>-1.1104457257929901</v>
      </c>
      <c r="AH2653">
        <v>21.8125322182809</v>
      </c>
      <c r="AI2653">
        <v>92.906062434567502</v>
      </c>
      <c r="AJ2653">
        <v>85.678823606319597</v>
      </c>
      <c r="AK2653">
        <v>21.9028814404877</v>
      </c>
      <c r="AL2653">
        <v>80.906241023405599</v>
      </c>
      <c r="AM2653">
        <v>91.288710333382497</v>
      </c>
      <c r="AN2653">
        <v>0.99999993117317998</v>
      </c>
    </row>
    <row r="2654" spans="1:40" x14ac:dyDescent="0.25">
      <c r="A2654" t="str">
        <f>"20190312164040038"</f>
        <v>20190312164040038</v>
      </c>
      <c r="B2654" t="str">
        <f>"1552380040029149"</f>
        <v>1552380040029149</v>
      </c>
      <c r="C2654" t="s">
        <v>40</v>
      </c>
      <c r="D2654">
        <v>5.1895030000000002</v>
      </c>
      <c r="E2654">
        <v>0.53925869999999998</v>
      </c>
      <c r="F2654" t="s">
        <v>49</v>
      </c>
      <c r="G2654">
        <v>-429.5215</v>
      </c>
      <c r="H2654" s="1">
        <v>2.0795090000000002E-6</v>
      </c>
      <c r="I2654">
        <v>286.85980000000001</v>
      </c>
      <c r="J2654">
        <v>-406.99160000000001</v>
      </c>
      <c r="K2654">
        <v>1.110422</v>
      </c>
      <c r="L2654">
        <v>285.57209999999998</v>
      </c>
      <c r="M2654">
        <v>-0.99975170000000002</v>
      </c>
      <c r="N2654">
        <v>0</v>
      </c>
      <c r="O2654">
        <v>-1.6736460000000002E-2</v>
      </c>
      <c r="P2654">
        <v>-0.98886499999999999</v>
      </c>
      <c r="Q2654">
        <v>0.1439291</v>
      </c>
      <c r="R2654">
        <v>-3.7827569999999998E-2</v>
      </c>
      <c r="S2654">
        <v>-3.0616759999999998</v>
      </c>
      <c r="T2654">
        <v>-0.147837</v>
      </c>
      <c r="U2654">
        <v>0.17037959999999999</v>
      </c>
      <c r="V2654">
        <v>-2.1460170000000001E-2</v>
      </c>
      <c r="W2654">
        <v>0.15844829999999999</v>
      </c>
      <c r="X2654">
        <v>0.98713399999999996</v>
      </c>
      <c r="Y2654">
        <v>7.2164510000000001E-2</v>
      </c>
      <c r="Z2654">
        <v>2.5471220000000002E-3</v>
      </c>
      <c r="AA2654">
        <v>0.99738950000000004</v>
      </c>
      <c r="AB2654">
        <v>47</v>
      </c>
      <c r="AC2654">
        <v>-22.529900000000001</v>
      </c>
      <c r="AD2654">
        <v>-1.1104199204909999</v>
      </c>
      <c r="AE2654">
        <v>1.2877000000000201</v>
      </c>
      <c r="AF2654">
        <v>1.66061042913817</v>
      </c>
      <c r="AG2654">
        <v>-1.1104199204909999</v>
      </c>
      <c r="AH2654">
        <v>22.450830744393599</v>
      </c>
      <c r="AI2654">
        <v>92.823844872452597</v>
      </c>
      <c r="AJ2654">
        <v>85.769732472778699</v>
      </c>
      <c r="AK2654">
        <v>22.539531062348999</v>
      </c>
      <c r="AL2654">
        <v>80.883158235508503</v>
      </c>
      <c r="AM2654">
        <v>91.2454069205058</v>
      </c>
      <c r="AN2654">
        <v>0.99999996831265903</v>
      </c>
    </row>
    <row r="2655" spans="1:40" x14ac:dyDescent="0.25">
      <c r="A2655" t="str">
        <f>"20190312164040061"</f>
        <v>20190312164040061</v>
      </c>
      <c r="B2655" t="str">
        <f>"1552380040058425"</f>
        <v>1552380040058425</v>
      </c>
      <c r="C2655" t="s">
        <v>40</v>
      </c>
      <c r="D2655">
        <v>5.9742660000000001</v>
      </c>
      <c r="E2655">
        <v>0.52760669999999898</v>
      </c>
      <c r="F2655" t="s">
        <v>49</v>
      </c>
      <c r="G2655">
        <v>-430.48230000000001</v>
      </c>
      <c r="H2655" s="1">
        <v>2.2350339999999999E-6</v>
      </c>
      <c r="I2655">
        <v>286.85660000000001</v>
      </c>
      <c r="J2655">
        <v>-407.46409999999997</v>
      </c>
      <c r="K2655">
        <v>1.1104080000000001</v>
      </c>
      <c r="L2655">
        <v>285.56400000000002</v>
      </c>
      <c r="M2655">
        <v>-0.99974620000000003</v>
      </c>
      <c r="N2655">
        <v>0</v>
      </c>
      <c r="O2655">
        <v>-1.706798E-2</v>
      </c>
      <c r="P2655">
        <v>-0.98878739999999998</v>
      </c>
      <c r="Q2655">
        <v>0.14443810000000001</v>
      </c>
      <c r="R2655">
        <v>-3.7919219999999997E-2</v>
      </c>
      <c r="S2655">
        <v>-3.0612789999999999</v>
      </c>
      <c r="T2655">
        <v>-0.14470839999999999</v>
      </c>
      <c r="U2655">
        <v>0.16738889999999901</v>
      </c>
      <c r="V2655">
        <v>-2.1216470000000001E-2</v>
      </c>
      <c r="W2655">
        <v>0.15895870000000001</v>
      </c>
      <c r="X2655">
        <v>0.98705719999999997</v>
      </c>
      <c r="Y2655">
        <v>7.1535589999999996E-2</v>
      </c>
      <c r="Z2655">
        <v>2.4944749999999999E-3</v>
      </c>
      <c r="AA2655">
        <v>0.99743490000000001</v>
      </c>
      <c r="AB2655">
        <v>47</v>
      </c>
      <c r="AC2655">
        <v>-23.0182</v>
      </c>
      <c r="AD2655">
        <v>-1.110405764966</v>
      </c>
      <c r="AE2655">
        <v>1.29259999999999</v>
      </c>
      <c r="AF2655">
        <v>1.6814277247182099</v>
      </c>
      <c r="AG2655">
        <v>-1.110405764966</v>
      </c>
      <c r="AH2655">
        <v>22.939566243015001</v>
      </c>
      <c r="AI2655">
        <v>92.763876064235902</v>
      </c>
      <c r="AJ2655">
        <v>85.807822396496803</v>
      </c>
      <c r="AK2655">
        <v>23.027893945691002</v>
      </c>
      <c r="AL2655">
        <v>80.853539020792596</v>
      </c>
      <c r="AM2655">
        <v>91.231364328223805</v>
      </c>
      <c r="AN2655">
        <v>0.99999996148839398</v>
      </c>
    </row>
    <row r="2656" spans="1:40" x14ac:dyDescent="0.25">
      <c r="A2656" t="str">
        <f>"20190312164040084"</f>
        <v>20190312164040084</v>
      </c>
      <c r="B2656" t="str">
        <f>"1552380040078921"</f>
        <v>1552380040078921</v>
      </c>
      <c r="C2656" t="s">
        <v>40</v>
      </c>
      <c r="D2656">
        <v>5.4144639999999997</v>
      </c>
      <c r="E2656">
        <v>0.52898449999999997</v>
      </c>
      <c r="F2656" t="s">
        <v>49</v>
      </c>
      <c r="G2656">
        <v>-428.65600000000001</v>
      </c>
      <c r="H2656" s="1">
        <v>2.302162E-6</v>
      </c>
      <c r="I2656">
        <v>286.06909999999999</v>
      </c>
      <c r="J2656">
        <v>-407.93729999999999</v>
      </c>
      <c r="K2656">
        <v>1.1103909999999999</v>
      </c>
      <c r="L2656">
        <v>285.55560000000003</v>
      </c>
      <c r="M2656">
        <v>-0.99974050000000003</v>
      </c>
      <c r="N2656">
        <v>0</v>
      </c>
      <c r="O2656">
        <v>-1.7384400000000001E-2</v>
      </c>
      <c r="P2656">
        <v>-0.98856069999999996</v>
      </c>
      <c r="Q2656">
        <v>0.14598910000000001</v>
      </c>
      <c r="R2656">
        <v>-3.7880419999999998E-2</v>
      </c>
      <c r="S2656">
        <v>-3.0602420000000001</v>
      </c>
      <c r="T2656">
        <v>-0.16034880000000001</v>
      </c>
      <c r="U2656">
        <v>7.2937009999999997E-2</v>
      </c>
      <c r="V2656">
        <v>-2.0861459999999998E-2</v>
      </c>
      <c r="W2656">
        <v>0.16050780000000001</v>
      </c>
      <c r="X2656">
        <v>0.98681410000000003</v>
      </c>
      <c r="Y2656">
        <v>4.1124500000000001E-2</v>
      </c>
      <c r="Z2656">
        <v>1.9867740000000002E-3</v>
      </c>
      <c r="AA2656">
        <v>0.99915209999999999</v>
      </c>
      <c r="AB2656">
        <v>47</v>
      </c>
      <c r="AC2656">
        <v>-20.718699999999998</v>
      </c>
      <c r="AD2656">
        <v>-1.110388697838</v>
      </c>
      <c r="AE2656">
        <v>0.51349999999996498</v>
      </c>
      <c r="AF2656">
        <v>0.871142965519909</v>
      </c>
      <c r="AG2656">
        <v>-1.110388697838</v>
      </c>
      <c r="AH2656">
        <v>20.647372058988999</v>
      </c>
      <c r="AI2656">
        <v>93.075595816180495</v>
      </c>
      <c r="AJ2656">
        <v>87.584039760986201</v>
      </c>
      <c r="AK2656">
        <v>20.6955508761903</v>
      </c>
      <c r="AL2656">
        <v>80.763628135849601</v>
      </c>
      <c r="AM2656">
        <v>91.211064577270903</v>
      </c>
      <c r="AN2656">
        <v>1.00000001116649</v>
      </c>
    </row>
    <row r="2657" spans="1:40" x14ac:dyDescent="0.25">
      <c r="A2657" t="str">
        <f>"20190312164040106"</f>
        <v>20190312164040106</v>
      </c>
      <c r="B2657" t="str">
        <f>"1552380040098445"</f>
        <v>1552380040098445</v>
      </c>
      <c r="C2657" t="s">
        <v>40</v>
      </c>
      <c r="D2657">
        <v>5.2233679999999998</v>
      </c>
      <c r="E2657">
        <v>0.52829459999999995</v>
      </c>
      <c r="F2657" t="s">
        <v>49</v>
      </c>
      <c r="G2657">
        <v>-434.4171</v>
      </c>
      <c r="H2657" s="1">
        <v>4.0289880000000004E-6</v>
      </c>
      <c r="I2657">
        <v>286.2953</v>
      </c>
      <c r="J2657">
        <v>-408.39640000000003</v>
      </c>
      <c r="K2657">
        <v>1.1103809999999901</v>
      </c>
      <c r="L2657">
        <v>285.54739999999998</v>
      </c>
      <c r="M2657">
        <v>-0.99973540000000005</v>
      </c>
      <c r="N2657">
        <v>0</v>
      </c>
      <c r="O2657">
        <v>-1.7680870000000001E-2</v>
      </c>
      <c r="P2657">
        <v>-0.98830759999999995</v>
      </c>
      <c r="Q2657">
        <v>0.14768029999999999</v>
      </c>
      <c r="R2657">
        <v>-3.7934009999999997E-2</v>
      </c>
      <c r="S2657">
        <v>-3.0568849999999999</v>
      </c>
      <c r="T2657">
        <v>-0.12818570000000001</v>
      </c>
      <c r="U2657">
        <v>8.5388179999999994E-2</v>
      </c>
      <c r="V2657">
        <v>-2.0621359999999998E-2</v>
      </c>
      <c r="W2657">
        <v>0.162195799999999</v>
      </c>
      <c r="X2657">
        <v>0.98654310000000001</v>
      </c>
      <c r="Y2657">
        <v>4.5538179999999998E-2</v>
      </c>
      <c r="Z2657">
        <v>1.6952289999999999E-3</v>
      </c>
      <c r="AA2657">
        <v>0.99896119999999999</v>
      </c>
      <c r="AB2657">
        <v>47</v>
      </c>
      <c r="AC2657">
        <v>-26.020699999999898</v>
      </c>
      <c r="AD2657">
        <v>-1.1103769710119999</v>
      </c>
      <c r="AE2657">
        <v>0.747900000000015</v>
      </c>
      <c r="AF2657">
        <v>1.20570774617514</v>
      </c>
      <c r="AG2657">
        <v>-1.1103769710119999</v>
      </c>
      <c r="AH2657">
        <v>25.956180213439001</v>
      </c>
      <c r="AI2657">
        <v>92.446921889998706</v>
      </c>
      <c r="AJ2657">
        <v>87.340427540646999</v>
      </c>
      <c r="AK2657">
        <v>26.007882640835302</v>
      </c>
      <c r="AL2657">
        <v>80.665628681944597</v>
      </c>
      <c r="AM2657">
        <v>91.197458949918001</v>
      </c>
      <c r="AN2657">
        <v>1.00000000309174</v>
      </c>
    </row>
    <row r="2658" spans="1:40" x14ac:dyDescent="0.25">
      <c r="A2658" t="str">
        <f>"20190312164040128"</f>
        <v>20190312164040128</v>
      </c>
      <c r="B2658" t="str">
        <f>"1552380040118940"</f>
        <v>1552380040118940</v>
      </c>
      <c r="C2658" t="s">
        <v>40</v>
      </c>
      <c r="D2658">
        <v>5.246747</v>
      </c>
      <c r="E2658">
        <v>0.52845500000000001</v>
      </c>
      <c r="F2658" t="s">
        <v>49</v>
      </c>
      <c r="G2658">
        <v>-432.37700000000001</v>
      </c>
      <c r="H2658" s="1">
        <v>3.1357650000000002E-6</v>
      </c>
      <c r="I2658">
        <v>286.16430000000003</v>
      </c>
      <c r="J2658">
        <v>-408.85919999999999</v>
      </c>
      <c r="K2658">
        <v>1.110371</v>
      </c>
      <c r="L2658">
        <v>285.53890000000001</v>
      </c>
      <c r="M2658">
        <v>-0.99973029999999996</v>
      </c>
      <c r="N2658">
        <v>0</v>
      </c>
      <c r="O2658">
        <v>-1.7972749999999999E-2</v>
      </c>
      <c r="P2658">
        <v>-0.98816959999999998</v>
      </c>
      <c r="Q2658">
        <v>0.1486789</v>
      </c>
      <c r="R2658">
        <v>-3.7628080000000001E-2</v>
      </c>
      <c r="S2658">
        <v>-3.0596619999999999</v>
      </c>
      <c r="T2658">
        <v>-0.1416721</v>
      </c>
      <c r="U2658">
        <v>7.8704830000000003E-2</v>
      </c>
      <c r="V2658">
        <v>-2.0024340000000002E-2</v>
      </c>
      <c r="W2658">
        <v>0.1631928</v>
      </c>
      <c r="X2658">
        <v>0.98639089999999996</v>
      </c>
      <c r="Y2658">
        <v>4.3613520000000003E-2</v>
      </c>
      <c r="Z2658">
        <v>1.840733E-3</v>
      </c>
      <c r="AA2658">
        <v>0.99904680000000001</v>
      </c>
      <c r="AB2658">
        <v>47</v>
      </c>
      <c r="AC2658">
        <v>-23.517799999999902</v>
      </c>
      <c r="AD2658">
        <v>-1.1103678642349999</v>
      </c>
      <c r="AE2658">
        <v>0.62540000000001295</v>
      </c>
      <c r="AF2658">
        <v>1.04569485418223</v>
      </c>
      <c r="AG2658">
        <v>-1.1103678642349999</v>
      </c>
      <c r="AH2658">
        <v>23.450521221160599</v>
      </c>
      <c r="AI2658">
        <v>92.708208323938905</v>
      </c>
      <c r="AJ2658">
        <v>87.446784337727806</v>
      </c>
      <c r="AK2658">
        <v>23.500071065128601</v>
      </c>
      <c r="AL2658">
        <v>80.607732784304602</v>
      </c>
      <c r="AM2658">
        <v>91.162979707767406</v>
      </c>
      <c r="AN2658">
        <v>0.99999993588353997</v>
      </c>
    </row>
    <row r="2659" spans="1:40" x14ac:dyDescent="0.25">
      <c r="A2659" t="str">
        <f>"20190312164040151"</f>
        <v>20190312164040151</v>
      </c>
      <c r="B2659" t="str">
        <f>"1552380040138458"</f>
        <v>1552380040138458</v>
      </c>
      <c r="C2659" t="s">
        <v>40</v>
      </c>
      <c r="D2659">
        <v>5.2394780000000001</v>
      </c>
      <c r="E2659">
        <v>0.52813650000000001</v>
      </c>
      <c r="F2659" t="s">
        <v>49</v>
      </c>
      <c r="G2659">
        <v>-430.97179999999997</v>
      </c>
      <c r="H2659" s="1">
        <v>2.51696E-6</v>
      </c>
      <c r="I2659">
        <v>286.1146</v>
      </c>
      <c r="J2659">
        <v>-409.32209999999998</v>
      </c>
      <c r="K2659">
        <v>1.1103609999999999</v>
      </c>
      <c r="L2659">
        <v>285.53039999999999</v>
      </c>
      <c r="M2659">
        <v>-0.99972499999999997</v>
      </c>
      <c r="N2659">
        <v>0</v>
      </c>
      <c r="O2659">
        <v>-1.8260490000000001E-2</v>
      </c>
      <c r="P2659">
        <v>-0.98799440000000005</v>
      </c>
      <c r="Q2659">
        <v>0.14992440000000001</v>
      </c>
      <c r="R2659">
        <v>-3.728244E-2</v>
      </c>
      <c r="S2659">
        <v>-3.0620419999999999</v>
      </c>
      <c r="T2659">
        <v>-0.15375839999999999</v>
      </c>
      <c r="U2659">
        <v>7.9711909999999997E-2</v>
      </c>
      <c r="V2659">
        <v>-1.939331E-2</v>
      </c>
      <c r="W2659">
        <v>0.164436</v>
      </c>
      <c r="X2659">
        <v>0.98619710000000005</v>
      </c>
      <c r="Y2659">
        <v>4.419675E-2</v>
      </c>
      <c r="Z2659">
        <v>2.0250910000000001E-3</v>
      </c>
      <c r="AA2659">
        <v>0.99902080000000004</v>
      </c>
      <c r="AB2659">
        <v>47</v>
      </c>
      <c r="AC2659">
        <v>-21.649699999999999</v>
      </c>
      <c r="AD2659">
        <v>-1.11035848304</v>
      </c>
      <c r="AE2659">
        <v>0.58420000000000905</v>
      </c>
      <c r="AF2659">
        <v>0.97691169548113699</v>
      </c>
      <c r="AG2659">
        <v>-1.11035848304</v>
      </c>
      <c r="AH2659">
        <v>21.578701058126601</v>
      </c>
      <c r="AI2659">
        <v>92.942617881642704</v>
      </c>
      <c r="AJ2659">
        <v>87.407873438855205</v>
      </c>
      <c r="AK2659">
        <v>21.629322499274501</v>
      </c>
      <c r="AL2659">
        <v>80.535527950951703</v>
      </c>
      <c r="AM2659">
        <v>91.126561433215798</v>
      </c>
      <c r="AN2659">
        <v>1.0000000093085799</v>
      </c>
    </row>
    <row r="2660" spans="1:40" x14ac:dyDescent="0.25">
      <c r="A2660" t="str">
        <f>"20190312164040174"</f>
        <v>20190312164040174</v>
      </c>
      <c r="B2660" t="str">
        <f>"1552380040168714"</f>
        <v>1552380040168714</v>
      </c>
      <c r="C2660" t="s">
        <v>40</v>
      </c>
      <c r="D2660">
        <v>5.2786330000000001</v>
      </c>
      <c r="E2660">
        <v>0.52792030000000001</v>
      </c>
      <c r="F2660" t="s">
        <v>49</v>
      </c>
      <c r="G2660">
        <v>-430.70499999999998</v>
      </c>
      <c r="H2660" s="1">
        <v>2.402184E-6</v>
      </c>
      <c r="I2660">
        <v>286.07400000000001</v>
      </c>
      <c r="J2660">
        <v>-409.80200000000002</v>
      </c>
      <c r="K2660">
        <v>1.110358</v>
      </c>
      <c r="L2660">
        <v>285.52140000000003</v>
      </c>
      <c r="M2660">
        <v>-0.99971969999999999</v>
      </c>
      <c r="N2660">
        <v>0</v>
      </c>
      <c r="O2660">
        <v>-1.855743E-2</v>
      </c>
      <c r="P2660">
        <v>-0.98778460000000001</v>
      </c>
      <c r="Q2660">
        <v>0.15139649999999999</v>
      </c>
      <c r="R2660">
        <v>-3.689191E-2</v>
      </c>
      <c r="S2660">
        <v>-3.0635379999999999</v>
      </c>
      <c r="T2660">
        <v>-0.1590821</v>
      </c>
      <c r="U2660">
        <v>7.7880859999999996E-2</v>
      </c>
      <c r="V2660">
        <v>-1.8710060000000001E-2</v>
      </c>
      <c r="W2660">
        <v>0.16590429999999901</v>
      </c>
      <c r="X2660">
        <v>0.98596439999999996</v>
      </c>
      <c r="Y2660">
        <v>4.3878649999999998E-2</v>
      </c>
      <c r="Z2660">
        <v>2.1012629999999999E-3</v>
      </c>
      <c r="AA2660">
        <v>0.99903459999999999</v>
      </c>
      <c r="AB2660">
        <v>47</v>
      </c>
      <c r="AC2660">
        <v>-20.902999999999999</v>
      </c>
      <c r="AD2660">
        <v>-1.110355597816</v>
      </c>
      <c r="AE2660">
        <v>0.55259999999998399</v>
      </c>
      <c r="AF2660">
        <v>0.93780836526684497</v>
      </c>
      <c r="AG2660">
        <v>-1.110355597816</v>
      </c>
      <c r="AH2660">
        <v>20.830408114144099</v>
      </c>
      <c r="AI2660">
        <v>93.048156448777704</v>
      </c>
      <c r="AJ2660">
        <v>87.422220359540404</v>
      </c>
      <c r="AK2660">
        <v>20.881050650898</v>
      </c>
      <c r="AL2660">
        <v>80.450229374142907</v>
      </c>
      <c r="AM2660">
        <v>91.087137448561094</v>
      </c>
      <c r="AN2660">
        <v>1.00000005058552</v>
      </c>
    </row>
    <row r="2661" spans="1:40" x14ac:dyDescent="0.25">
      <c r="A2661" t="str">
        <f>"20190312164040195"</f>
        <v>20190312164040195</v>
      </c>
      <c r="B2661" t="str">
        <f>"1552380040188234"</f>
        <v>1552380040188234</v>
      </c>
      <c r="C2661" t="s">
        <v>40</v>
      </c>
      <c r="D2661">
        <v>5.2307600000000001</v>
      </c>
      <c r="E2661">
        <v>0.52743989999999996</v>
      </c>
      <c r="F2661" t="s">
        <v>49</v>
      </c>
      <c r="G2661">
        <v>-430.86219999999997</v>
      </c>
      <c r="H2661" s="1">
        <v>2.4740630000000002E-6</v>
      </c>
      <c r="I2661">
        <v>286.04939999999999</v>
      </c>
      <c r="J2661">
        <v>-410.25709999999998</v>
      </c>
      <c r="K2661">
        <v>1.1103609999999999</v>
      </c>
      <c r="L2661">
        <v>285.5127</v>
      </c>
      <c r="M2661">
        <v>-0.9997144</v>
      </c>
      <c r="N2661">
        <v>0</v>
      </c>
      <c r="O2661">
        <v>-1.8836169999999999E-2</v>
      </c>
      <c r="P2661">
        <v>-0.98756619999999995</v>
      </c>
      <c r="Q2661">
        <v>0.1528581</v>
      </c>
      <c r="R2661">
        <v>-3.670868E-2</v>
      </c>
      <c r="S2661">
        <v>-3.0647579999999999</v>
      </c>
      <c r="T2661">
        <v>-0.16158320000000001</v>
      </c>
      <c r="U2661">
        <v>7.6843259999999997E-2</v>
      </c>
      <c r="V2661">
        <v>-1.8252750000000002E-2</v>
      </c>
      <c r="W2661">
        <v>0.16736229999999999</v>
      </c>
      <c r="X2661">
        <v>0.98572649999999995</v>
      </c>
      <c r="Y2661">
        <v>4.3806190000000002E-2</v>
      </c>
      <c r="Z2661">
        <v>2.1461900000000001E-3</v>
      </c>
      <c r="AA2661">
        <v>0.99903770000000003</v>
      </c>
      <c r="AB2661">
        <v>47</v>
      </c>
      <c r="AC2661">
        <v>-20.6051</v>
      </c>
      <c r="AD2661">
        <v>-1.1103585259369999</v>
      </c>
      <c r="AE2661">
        <v>0.53669999999999596</v>
      </c>
      <c r="AF2661">
        <v>0.922092092740604</v>
      </c>
      <c r="AG2661">
        <v>-1.1103585259369999</v>
      </c>
      <c r="AH2661">
        <v>20.5317519662877</v>
      </c>
      <c r="AI2661">
        <v>93.092433136044704</v>
      </c>
      <c r="AJ2661">
        <v>87.428543443141606</v>
      </c>
      <c r="AK2661">
        <v>20.582419408047599</v>
      </c>
      <c r="AL2661">
        <v>80.365507302439397</v>
      </c>
      <c r="AM2661">
        <v>91.060827760085999</v>
      </c>
      <c r="AN2661">
        <v>1.0000000175730499</v>
      </c>
    </row>
    <row r="2662" spans="1:40" x14ac:dyDescent="0.25">
      <c r="A2662" t="str">
        <f>"20190312164040217"</f>
        <v>20190312164040217</v>
      </c>
      <c r="B2662" t="str">
        <f>"1552380040208729"</f>
        <v>1552380040208729</v>
      </c>
      <c r="C2662" t="s">
        <v>40</v>
      </c>
      <c r="D2662">
        <v>5.2770080000000004</v>
      </c>
      <c r="E2662">
        <v>0.50016229999999995</v>
      </c>
      <c r="F2662" t="s">
        <v>49</v>
      </c>
      <c r="G2662">
        <v>-432.12630000000001</v>
      </c>
      <c r="H2662" s="1">
        <v>3.0355469999999998E-6</v>
      </c>
      <c r="I2662">
        <v>286.03870000000001</v>
      </c>
      <c r="J2662">
        <v>-410.71089999999998</v>
      </c>
      <c r="K2662">
        <v>1.1103609999999999</v>
      </c>
      <c r="L2662">
        <v>285.50389999999999</v>
      </c>
      <c r="M2662">
        <v>-0.99970910000000002</v>
      </c>
      <c r="N2662">
        <v>0</v>
      </c>
      <c r="O2662">
        <v>-1.9111920000000001E-2</v>
      </c>
      <c r="P2662">
        <v>-0.98739460000000001</v>
      </c>
      <c r="Q2662">
        <v>0.15398489999999901</v>
      </c>
      <c r="R2662">
        <v>-3.6614210000000001E-2</v>
      </c>
      <c r="S2662">
        <v>-3.0646059999999999</v>
      </c>
      <c r="T2662">
        <v>-0.1555985</v>
      </c>
      <c r="U2662">
        <v>7.369995E-2</v>
      </c>
      <c r="V2662">
        <v>-1.7885939999999999E-2</v>
      </c>
      <c r="W2662">
        <v>0.16848529999999901</v>
      </c>
      <c r="X2662">
        <v>0.98554189999999997</v>
      </c>
      <c r="Y2662">
        <v>4.3065819999999998E-2</v>
      </c>
      <c r="Z2662">
        <v>2.062141E-3</v>
      </c>
      <c r="AA2662">
        <v>0.99907009999999996</v>
      </c>
      <c r="AB2662">
        <v>47</v>
      </c>
      <c r="AC2662">
        <v>-21.415400000000002</v>
      </c>
      <c r="AD2662">
        <v>-1.1103579644529999</v>
      </c>
      <c r="AE2662">
        <v>0.53480000000001804</v>
      </c>
      <c r="AF2662">
        <v>0.94150656122000997</v>
      </c>
      <c r="AG2662">
        <v>-1.1103579644529999</v>
      </c>
      <c r="AH2662">
        <v>21.343922914576702</v>
      </c>
      <c r="AI2662">
        <v>92.975080527381905</v>
      </c>
      <c r="AJ2662">
        <v>87.474250397134199</v>
      </c>
      <c r="AK2662">
        <v>21.393512446473999</v>
      </c>
      <c r="AL2662">
        <v>80.300237326933697</v>
      </c>
      <c r="AM2662">
        <v>91.039708598944998</v>
      </c>
      <c r="AN2662">
        <v>1.00000001991069</v>
      </c>
    </row>
    <row r="2663" spans="1:40" x14ac:dyDescent="0.25">
      <c r="A2663" t="str">
        <f>"20190312164040239"</f>
        <v>20190312164040239</v>
      </c>
      <c r="B2663" t="str">
        <f>"1552380040228249"</f>
        <v>1552380040228249</v>
      </c>
      <c r="C2663" t="s">
        <v>40</v>
      </c>
      <c r="D2663">
        <v>5.3366769999999999</v>
      </c>
      <c r="E2663">
        <v>0.49691600000000002</v>
      </c>
      <c r="F2663" t="s">
        <v>49</v>
      </c>
      <c r="G2663">
        <v>-436.49450000000002</v>
      </c>
      <c r="H2663" s="1">
        <v>5.12470299999999E-6</v>
      </c>
      <c r="I2663">
        <v>284.3</v>
      </c>
      <c r="J2663">
        <v>-411.17290000000003</v>
      </c>
      <c r="K2663">
        <v>1.1103529999999999</v>
      </c>
      <c r="L2663">
        <v>285.49489999999997</v>
      </c>
      <c r="M2663">
        <v>-0.99970389999999998</v>
      </c>
      <c r="N2663">
        <v>0</v>
      </c>
      <c r="O2663">
        <v>-1.9385489999999998E-2</v>
      </c>
      <c r="P2663">
        <v>-0.98731860000000005</v>
      </c>
      <c r="Q2663">
        <v>0.15473480000000001</v>
      </c>
      <c r="R2663">
        <v>-3.5488209999999999E-2</v>
      </c>
      <c r="S2663">
        <v>-3.053528</v>
      </c>
      <c r="T2663">
        <v>-0.13149820000000001</v>
      </c>
      <c r="U2663">
        <v>-0.14257810000000001</v>
      </c>
      <c r="V2663">
        <v>-1.6487109999999999E-2</v>
      </c>
      <c r="W2663">
        <v>0.16923350000000001</v>
      </c>
      <c r="X2663">
        <v>0.98543800000000004</v>
      </c>
      <c r="Y2663">
        <v>-2.725957E-2</v>
      </c>
      <c r="Z2663">
        <v>2.4757309999999999E-4</v>
      </c>
      <c r="AA2663">
        <v>0.99962839999999997</v>
      </c>
      <c r="AB2663">
        <v>47</v>
      </c>
      <c r="AC2663">
        <v>-25.321599999999901</v>
      </c>
      <c r="AD2663">
        <v>-1.110347875297</v>
      </c>
      <c r="AE2663">
        <v>-1.1948999999999601</v>
      </c>
      <c r="AF2663">
        <v>-0.70240310132999895</v>
      </c>
      <c r="AG2663">
        <v>-1.110347875297</v>
      </c>
      <c r="AH2663">
        <v>25.2914842479619</v>
      </c>
      <c r="AI2663">
        <v>92.512820052421404</v>
      </c>
      <c r="AJ2663">
        <v>91.590827595272799</v>
      </c>
      <c r="AK2663">
        <v>25.325588206117501</v>
      </c>
      <c r="AL2663">
        <v>80.256743154450803</v>
      </c>
      <c r="AM2663">
        <v>90.958511538516802</v>
      </c>
      <c r="AN2663">
        <v>0.999999927081198</v>
      </c>
    </row>
    <row r="2664" spans="1:40" x14ac:dyDescent="0.25">
      <c r="A2664" t="str">
        <f>"20190312164040262"</f>
        <v>20190312164040262</v>
      </c>
      <c r="B2664" t="str">
        <f>"1552380040258505"</f>
        <v>1552380040258505</v>
      </c>
      <c r="C2664" t="s">
        <v>40</v>
      </c>
      <c r="D2664">
        <v>5.4487259999999997</v>
      </c>
      <c r="E2664">
        <v>0.4964191</v>
      </c>
      <c r="F2664" t="s">
        <v>49</v>
      </c>
      <c r="G2664">
        <v>-434.23129999999998</v>
      </c>
      <c r="H2664" s="1">
        <v>4.1263389999999998E-6</v>
      </c>
      <c r="I2664">
        <v>284.23950000000002</v>
      </c>
      <c r="J2664">
        <v>-411.64729999999997</v>
      </c>
      <c r="K2664">
        <v>1.1103430000000001</v>
      </c>
      <c r="L2664">
        <v>285.4855</v>
      </c>
      <c r="M2664">
        <v>-0.99969870000000005</v>
      </c>
      <c r="N2664">
        <v>0</v>
      </c>
      <c r="O2664">
        <v>-1.965426E-2</v>
      </c>
      <c r="P2664">
        <v>-0.9872223</v>
      </c>
      <c r="Q2664">
        <v>0.1555086</v>
      </c>
      <c r="R2664">
        <v>-3.4778610000000001E-2</v>
      </c>
      <c r="S2664">
        <v>-3.0556030000000001</v>
      </c>
      <c r="T2664">
        <v>-0.14713860000000001</v>
      </c>
      <c r="U2664">
        <v>-0.16635129999999901</v>
      </c>
      <c r="V2664">
        <v>-1.550904E-2</v>
      </c>
      <c r="W2664">
        <v>0.17000509999999999</v>
      </c>
      <c r="X2664">
        <v>0.98532109999999995</v>
      </c>
      <c r="Y2664">
        <v>-3.4705699999999999E-2</v>
      </c>
      <c r="Z2664">
        <v>1.106056E-4</v>
      </c>
      <c r="AA2664">
        <v>0.9993976</v>
      </c>
      <c r="AB2664">
        <v>46</v>
      </c>
      <c r="AC2664">
        <v>-22.584</v>
      </c>
      <c r="AD2664">
        <v>-1.110338873661</v>
      </c>
      <c r="AE2664">
        <v>-1.24599999999998</v>
      </c>
      <c r="AF2664">
        <v>-0.79991179885712504</v>
      </c>
      <c r="AG2664">
        <v>-1.110338873661</v>
      </c>
      <c r="AH2664">
        <v>22.5497869765688</v>
      </c>
      <c r="AI2664">
        <v>92.817166287184094</v>
      </c>
      <c r="AJ2664">
        <v>92.031609462584001</v>
      </c>
      <c r="AK2664">
        <v>22.591272739466199</v>
      </c>
      <c r="AL2664">
        <v>80.211884094534796</v>
      </c>
      <c r="AM2664">
        <v>90.901766097716603</v>
      </c>
      <c r="AN2664">
        <v>0.99999996722647</v>
      </c>
    </row>
    <row r="2665" spans="1:40" x14ac:dyDescent="0.25">
      <c r="A2665" t="str">
        <f>"20190312164040285"</f>
        <v>20190312164040285</v>
      </c>
      <c r="B2665" t="str">
        <f>"1552380040279001"</f>
        <v>1552380040279001</v>
      </c>
      <c r="C2665" t="s">
        <v>40</v>
      </c>
      <c r="D2665">
        <v>5.6645490000000001</v>
      </c>
      <c r="E2665">
        <v>0.49629420000000002</v>
      </c>
      <c r="F2665" t="s">
        <v>49</v>
      </c>
      <c r="G2665">
        <v>-437.43860000000001</v>
      </c>
      <c r="H2665" s="1">
        <v>5.5634300000000004E-6</v>
      </c>
      <c r="I2665">
        <v>284.07010000000002</v>
      </c>
      <c r="J2665">
        <v>-412.1266</v>
      </c>
      <c r="K2665">
        <v>1.1103289999999999</v>
      </c>
      <c r="L2665">
        <v>285.47579999999999</v>
      </c>
      <c r="M2665">
        <v>-0.99969359999999996</v>
      </c>
      <c r="N2665">
        <v>0</v>
      </c>
      <c r="O2665">
        <v>-1.9912869999999999E-2</v>
      </c>
      <c r="P2665">
        <v>-0.98697469999999998</v>
      </c>
      <c r="Q2665">
        <v>0.15712670000000001</v>
      </c>
      <c r="R2665">
        <v>-3.4534290000000002E-2</v>
      </c>
      <c r="S2665">
        <v>-3.0536189999999999</v>
      </c>
      <c r="T2665">
        <v>-0.131461299999999</v>
      </c>
      <c r="U2665">
        <v>-0.167572</v>
      </c>
      <c r="V2665">
        <v>-1.500957E-2</v>
      </c>
      <c r="W2665">
        <v>0.17161850000000001</v>
      </c>
      <c r="X2665">
        <v>0.98504910000000001</v>
      </c>
      <c r="Y2665">
        <v>-3.4884310000000002E-2</v>
      </c>
      <c r="Z2665">
        <v>1.061708E-4</v>
      </c>
      <c r="AA2665">
        <v>0.99939140000000004</v>
      </c>
      <c r="AB2665">
        <v>46</v>
      </c>
      <c r="AC2665">
        <v>-25.312000000000001</v>
      </c>
      <c r="AD2665">
        <v>-1.1103234365700001</v>
      </c>
      <c r="AE2665">
        <v>-1.40569999999996</v>
      </c>
      <c r="AF2665">
        <v>-0.89960647589028198</v>
      </c>
      <c r="AG2665">
        <v>-1.1103234365700001</v>
      </c>
      <c r="AH2665">
        <v>25.286468415464299</v>
      </c>
      <c r="AI2665">
        <v>92.512642844922397</v>
      </c>
      <c r="AJ2665">
        <v>92.037529471339298</v>
      </c>
      <c r="AK2665">
        <v>25.3268157270419</v>
      </c>
      <c r="AL2665">
        <v>80.118064221142305</v>
      </c>
      <c r="AM2665">
        <v>90.872970155591403</v>
      </c>
      <c r="AN2665">
        <v>0.99999996307232097</v>
      </c>
    </row>
    <row r="2666" spans="1:40" x14ac:dyDescent="0.25">
      <c r="A2666" t="str">
        <f>"20190312164040307"</f>
        <v>20190312164040307</v>
      </c>
      <c r="B2666" t="str">
        <f>"1552380040298522"</f>
        <v>1552380040298522</v>
      </c>
      <c r="C2666" t="s">
        <v>40</v>
      </c>
      <c r="D2666">
        <v>5.4244050000000001</v>
      </c>
      <c r="E2666">
        <v>0.49657370000000001</v>
      </c>
      <c r="F2666" t="s">
        <v>49</v>
      </c>
      <c r="G2666">
        <v>-438.70819999999998</v>
      </c>
      <c r="H2666" s="1">
        <v>6.1304779999999998E-6</v>
      </c>
      <c r="I2666">
        <v>284.02420000000001</v>
      </c>
      <c r="J2666">
        <v>-412.5745</v>
      </c>
      <c r="K2666">
        <v>1.110325</v>
      </c>
      <c r="L2666">
        <v>285.46679999999998</v>
      </c>
      <c r="M2666">
        <v>-0.9996891</v>
      </c>
      <c r="N2666">
        <v>0</v>
      </c>
      <c r="O2666">
        <v>-2.0135320000000002E-2</v>
      </c>
      <c r="P2666">
        <v>-0.98685179999999995</v>
      </c>
      <c r="Q2666">
        <v>0.15783349999999999</v>
      </c>
      <c r="R2666">
        <v>-3.4820780000000003E-2</v>
      </c>
      <c r="S2666">
        <v>-3.0540159999999998</v>
      </c>
      <c r="T2666">
        <v>-0.1275675</v>
      </c>
      <c r="U2666">
        <v>-0.1667786</v>
      </c>
      <c r="V2666">
        <v>-1.5071569999999999E-2</v>
      </c>
      <c r="W2666">
        <v>0.17232169999999999</v>
      </c>
      <c r="X2666">
        <v>0.98492539999999995</v>
      </c>
      <c r="Y2666">
        <v>-3.4397360000000002E-2</v>
      </c>
      <c r="Z2666">
        <v>1.2245290000000001E-4</v>
      </c>
      <c r="AA2666">
        <v>0.99940819999999997</v>
      </c>
      <c r="AB2666">
        <v>46</v>
      </c>
      <c r="AC2666">
        <v>-26.133699999999902</v>
      </c>
      <c r="AD2666">
        <v>-1.1103188695219901</v>
      </c>
      <c r="AE2666">
        <v>-1.4425999999999699</v>
      </c>
      <c r="AF2666">
        <v>-0.91439461515947695</v>
      </c>
      <c r="AG2666">
        <v>-1.1103188695219901</v>
      </c>
      <c r="AH2666">
        <v>26.110462972668699</v>
      </c>
      <c r="AI2666">
        <v>92.433483354419707</v>
      </c>
      <c r="AJ2666">
        <v>92.0056921373086</v>
      </c>
      <c r="AK2666">
        <v>26.150051666322799</v>
      </c>
      <c r="AL2666">
        <v>80.077164699667804</v>
      </c>
      <c r="AM2666">
        <v>90.876685644929907</v>
      </c>
      <c r="AN2666">
        <v>0.99999998203915696</v>
      </c>
    </row>
    <row r="2667" spans="1:40" x14ac:dyDescent="0.25">
      <c r="A2667" t="str">
        <f>"20190312164040328"</f>
        <v>20190312164040328</v>
      </c>
      <c r="B2667" t="str">
        <f>"1552380040319018"</f>
        <v>1552380040319018</v>
      </c>
      <c r="C2667" t="s">
        <v>40</v>
      </c>
      <c r="D2667">
        <v>5.4846209999999997</v>
      </c>
      <c r="E2667">
        <v>0.4968688</v>
      </c>
      <c r="F2667" t="s">
        <v>49</v>
      </c>
      <c r="G2667">
        <v>-439.10950000000003</v>
      </c>
      <c r="H2667" s="1">
        <v>6.3082710000000001E-6</v>
      </c>
      <c r="I2667">
        <v>284.02589999999998</v>
      </c>
      <c r="J2667">
        <v>-413.0247</v>
      </c>
      <c r="K2667">
        <v>1.110311</v>
      </c>
      <c r="L2667">
        <v>285.45749999999998</v>
      </c>
      <c r="M2667">
        <v>-0.9996853</v>
      </c>
      <c r="N2667">
        <v>0</v>
      </c>
      <c r="O2667">
        <v>-2.0332639999999999E-2</v>
      </c>
      <c r="P2667">
        <v>-0.98668400000000001</v>
      </c>
      <c r="Q2667">
        <v>0.158996</v>
      </c>
      <c r="R2667">
        <v>-3.4278179999999998E-2</v>
      </c>
      <c r="S2667">
        <v>-3.0545960000000001</v>
      </c>
      <c r="T2667">
        <v>-0.1278155</v>
      </c>
      <c r="U2667">
        <v>-0.16586300000000001</v>
      </c>
      <c r="V2667">
        <v>-1.432985E-2</v>
      </c>
      <c r="W2667">
        <v>0.173480299999999</v>
      </c>
      <c r="X2667">
        <v>0.98473310000000003</v>
      </c>
      <c r="Y2667">
        <v>-3.3891669999999999E-2</v>
      </c>
      <c r="Z2667">
        <v>1.4148089999999999E-4</v>
      </c>
      <c r="AA2667">
        <v>0.99942549999999997</v>
      </c>
      <c r="AB2667">
        <v>46</v>
      </c>
      <c r="AC2667">
        <v>-26.084800000000001</v>
      </c>
      <c r="AD2667">
        <v>-1.110304691729</v>
      </c>
      <c r="AE2667">
        <v>-1.4316</v>
      </c>
      <c r="AF2667">
        <v>-0.89924951125793795</v>
      </c>
      <c r="AG2667">
        <v>-1.110304691729</v>
      </c>
      <c r="AH2667">
        <v>26.061441467095499</v>
      </c>
      <c r="AI2667">
        <v>92.438067682156102</v>
      </c>
      <c r="AJ2667">
        <v>91.976205677338498</v>
      </c>
      <c r="AK2667">
        <v>26.1005777241581</v>
      </c>
      <c r="AL2667">
        <v>80.009767107076797</v>
      </c>
      <c r="AM2667">
        <v>90.833710148101005</v>
      </c>
      <c r="AN2667">
        <v>1.0000000186623601</v>
      </c>
    </row>
    <row r="2668" spans="1:40" x14ac:dyDescent="0.25">
      <c r="A2668" t="str">
        <f>"20190312164040342"</f>
        <v>20190312164040342</v>
      </c>
      <c r="B2668" t="str">
        <f>"1552380040328778"</f>
        <v>1552380040328778</v>
      </c>
      <c r="C2668" t="s">
        <v>40</v>
      </c>
      <c r="D2668">
        <v>5.4303509999999999</v>
      </c>
      <c r="E2668">
        <v>0.49694050000000001</v>
      </c>
      <c r="F2668" t="s">
        <v>49</v>
      </c>
      <c r="G2668">
        <v>-438.8211</v>
      </c>
      <c r="H2668" s="1">
        <v>6.1753769999999998E-6</v>
      </c>
      <c r="I2668">
        <v>284.08319999999998</v>
      </c>
      <c r="J2668">
        <v>-413.29059999999998</v>
      </c>
      <c r="K2668">
        <v>1.1102970000000001</v>
      </c>
      <c r="L2668">
        <v>285.45209999999997</v>
      </c>
      <c r="M2668">
        <v>-0.99968330000000005</v>
      </c>
      <c r="N2668">
        <v>0</v>
      </c>
      <c r="O2668">
        <v>-2.0434609999999999E-2</v>
      </c>
      <c r="P2668">
        <v>-0.98667159999999998</v>
      </c>
      <c r="Q2668">
        <v>0.15909570000000001</v>
      </c>
      <c r="R2668">
        <v>-3.417663E-2</v>
      </c>
      <c r="S2668">
        <v>-3.056</v>
      </c>
      <c r="T2668">
        <v>-0.13153339999999999</v>
      </c>
      <c r="U2668">
        <v>-0.16281129999999999</v>
      </c>
      <c r="V2668">
        <v>-1.4121119999999999E-2</v>
      </c>
      <c r="W2668">
        <v>0.17357939999999999</v>
      </c>
      <c r="X2668">
        <v>0.9847186</v>
      </c>
      <c r="Y2668">
        <v>-3.2770130000000001E-2</v>
      </c>
      <c r="Z2668">
        <v>1.7402189999999999E-4</v>
      </c>
      <c r="AA2668">
        <v>0.99946290000000004</v>
      </c>
      <c r="AB2668">
        <v>46</v>
      </c>
      <c r="AC2668">
        <v>-25.5305</v>
      </c>
      <c r="AD2668">
        <v>-1.1102908246230001</v>
      </c>
      <c r="AE2668">
        <v>-1.36889999999999</v>
      </c>
      <c r="AF2668">
        <v>-0.84525797463783903</v>
      </c>
      <c r="AG2668">
        <v>-1.1102908246230001</v>
      </c>
      <c r="AH2668">
        <v>25.505045026935999</v>
      </c>
      <c r="AI2668">
        <v>92.491271801485397</v>
      </c>
      <c r="AJ2668">
        <v>91.898134107669506</v>
      </c>
      <c r="AK2668">
        <v>25.543189475571801</v>
      </c>
      <c r="AL2668">
        <v>80.004001110003799</v>
      </c>
      <c r="AM2668">
        <v>90.821580017118194</v>
      </c>
      <c r="AN2668">
        <v>0.99999996766018595</v>
      </c>
    </row>
    <row r="2669" spans="1:40" x14ac:dyDescent="0.25">
      <c r="A2669" t="str">
        <f>"20190312164040353"</f>
        <v>20190312164040353</v>
      </c>
      <c r="B2669" t="str">
        <f>"1552380040348298"</f>
        <v>1552380040348298</v>
      </c>
      <c r="C2669" t="s">
        <v>40</v>
      </c>
      <c r="D2669">
        <v>5.4393989999999999</v>
      </c>
      <c r="E2669">
        <v>0.49672739999999999</v>
      </c>
      <c r="F2669" t="s">
        <v>49</v>
      </c>
      <c r="G2669">
        <v>-438.53699999999998</v>
      </c>
      <c r="H2669" s="1">
        <v>6.0470879999999998E-6</v>
      </c>
      <c r="I2669">
        <v>284.1096</v>
      </c>
      <c r="J2669">
        <v>-413.54149999999998</v>
      </c>
      <c r="K2669">
        <v>1.1102810000000001</v>
      </c>
      <c r="L2669">
        <v>285.44690000000003</v>
      </c>
      <c r="M2669">
        <v>-0.9996815</v>
      </c>
      <c r="N2669">
        <v>0</v>
      </c>
      <c r="O2669">
        <v>-2.0515789999999999E-2</v>
      </c>
      <c r="P2669">
        <v>-0.98669870000000004</v>
      </c>
      <c r="Q2669">
        <v>0.158994</v>
      </c>
      <c r="R2669">
        <v>-3.3864199999999997E-2</v>
      </c>
      <c r="S2669">
        <v>-3.0565799999999999</v>
      </c>
      <c r="T2669">
        <v>-0.13442299999999999</v>
      </c>
      <c r="U2669">
        <v>-0.1625366</v>
      </c>
      <c r="V2669">
        <v>-1.37198999999999E-2</v>
      </c>
      <c r="W2669">
        <v>0.1734771</v>
      </c>
      <c r="X2669">
        <v>0.98474229999999996</v>
      </c>
      <c r="Y2669">
        <v>-3.2589090000000001E-2</v>
      </c>
      <c r="Z2669">
        <v>1.8534979999999999E-4</v>
      </c>
      <c r="AA2669">
        <v>0.99946880000000005</v>
      </c>
      <c r="AB2669">
        <v>46</v>
      </c>
      <c r="AC2669">
        <v>-24.9955</v>
      </c>
      <c r="AD2669">
        <v>-1.110274952912</v>
      </c>
      <c r="AE2669">
        <v>-1.3373000000000199</v>
      </c>
      <c r="AF2669">
        <v>-0.82254237300237498</v>
      </c>
      <c r="AG2669">
        <v>-1.110274952912</v>
      </c>
      <c r="AH2669">
        <v>24.968553249319701</v>
      </c>
      <c r="AI2669">
        <v>92.5447116318404</v>
      </c>
      <c r="AJ2669">
        <v>91.886820130783505</v>
      </c>
      <c r="AK2669">
        <v>25.0067578424425</v>
      </c>
      <c r="AL2669">
        <v>80.009952771533406</v>
      </c>
      <c r="AM2669">
        <v>90.798220516614606</v>
      </c>
      <c r="AN2669">
        <v>0.99999996864485396</v>
      </c>
    </row>
    <row r="2670" spans="1:40" x14ac:dyDescent="0.25">
      <c r="A2670" t="str">
        <f>"20190312164040374"</f>
        <v>20190312164040374</v>
      </c>
      <c r="B2670" t="str">
        <f>"1552380040368793"</f>
        <v>1552380040368793</v>
      </c>
      <c r="C2670" t="s">
        <v>40</v>
      </c>
      <c r="D2670">
        <v>5.4387169999999996</v>
      </c>
      <c r="E2670">
        <v>0.4964268</v>
      </c>
      <c r="F2670" t="s">
        <v>49</v>
      </c>
      <c r="G2670">
        <v>-439.14319999999998</v>
      </c>
      <c r="H2670" s="1">
        <v>6.3185090000000002E-6</v>
      </c>
      <c r="I2670">
        <v>284.08019999999999</v>
      </c>
      <c r="J2670">
        <v>-413.96199999999999</v>
      </c>
      <c r="K2670">
        <v>1.1102510000000001</v>
      </c>
      <c r="L2670">
        <v>285.43819999999999</v>
      </c>
      <c r="M2670">
        <v>-0.99967919999999999</v>
      </c>
      <c r="N2670">
        <v>0</v>
      </c>
      <c r="O2670">
        <v>-2.0625879999999999E-2</v>
      </c>
      <c r="P2670">
        <v>-0.98665579999999997</v>
      </c>
      <c r="Q2670">
        <v>0.1592711</v>
      </c>
      <c r="R2670">
        <v>-3.3808129999999999E-2</v>
      </c>
      <c r="S2670">
        <v>-3.0562130000000001</v>
      </c>
      <c r="T2670">
        <v>-0.132539299999999</v>
      </c>
      <c r="U2670">
        <v>-0.16314699999999999</v>
      </c>
      <c r="V2670">
        <v>-1.354174E-2</v>
      </c>
      <c r="W2670">
        <v>0.17375270000000001</v>
      </c>
      <c r="X2670">
        <v>0.98469620000000002</v>
      </c>
      <c r="Y2670">
        <v>-3.2684749999999999E-2</v>
      </c>
      <c r="Z2670">
        <v>1.8547060000000001E-4</v>
      </c>
      <c r="AA2670">
        <v>0.99946570000000001</v>
      </c>
      <c r="AB2670">
        <v>46</v>
      </c>
      <c r="AC2670">
        <v>-25.181199999999901</v>
      </c>
      <c r="AD2670">
        <v>-1.1102446814910001</v>
      </c>
      <c r="AE2670">
        <v>-1.3580000000000001</v>
      </c>
      <c r="AF2670">
        <v>-0.83664882659392903</v>
      </c>
      <c r="AG2670">
        <v>-1.1102446814910001</v>
      </c>
      <c r="AH2670">
        <v>25.155096480261001</v>
      </c>
      <c r="AI2670">
        <v>92.525770111458002</v>
      </c>
      <c r="AJ2670">
        <v>91.904933366519501</v>
      </c>
      <c r="AK2670">
        <v>25.193481368065399</v>
      </c>
      <c r="AL2670">
        <v>79.993918797455905</v>
      </c>
      <c r="AM2670">
        <v>90.787893405364201</v>
      </c>
      <c r="AN2670">
        <v>0.99999999288697805</v>
      </c>
    </row>
    <row r="2671" spans="1:40" x14ac:dyDescent="0.25">
      <c r="A2671" t="str">
        <f>"20190312164040386"</f>
        <v>20190312164040386</v>
      </c>
      <c r="B2671" t="str">
        <f>"1552380040378554"</f>
        <v>1552380040378554</v>
      </c>
      <c r="C2671" t="s">
        <v>40</v>
      </c>
      <c r="D2671">
        <v>5.512651</v>
      </c>
      <c r="E2671">
        <v>0.4963342</v>
      </c>
      <c r="F2671" t="s">
        <v>48</v>
      </c>
      <c r="G2671">
        <v>-440.17020000000002</v>
      </c>
      <c r="H2671" s="1">
        <v>-1.4202190000000001E-6</v>
      </c>
      <c r="I2671">
        <v>284.02170000000001</v>
      </c>
      <c r="J2671">
        <v>-414.2165</v>
      </c>
      <c r="K2671">
        <v>1.110231</v>
      </c>
      <c r="L2671">
        <v>285.43279999999999</v>
      </c>
      <c r="M2671">
        <v>-0.99967839999999997</v>
      </c>
      <c r="N2671">
        <v>0</v>
      </c>
      <c r="O2671">
        <v>-2.0676730000000001E-2</v>
      </c>
      <c r="P2671">
        <v>-0.98658809999999997</v>
      </c>
      <c r="Q2671">
        <v>0.15967700000000001</v>
      </c>
      <c r="R2671">
        <v>-3.3873319999999998E-2</v>
      </c>
      <c r="S2671">
        <v>-3.0558169999999998</v>
      </c>
      <c r="T2671">
        <v>-0.12945309999999999</v>
      </c>
      <c r="U2671">
        <v>-0.16516110000000001</v>
      </c>
      <c r="V2671">
        <v>-1.3549210000000001E-2</v>
      </c>
      <c r="W2671">
        <v>0.17415700000000001</v>
      </c>
      <c r="X2671">
        <v>0.98462470000000002</v>
      </c>
      <c r="Y2671">
        <v>-3.32977E-2</v>
      </c>
      <c r="Z2671">
        <v>1.703574E-4</v>
      </c>
      <c r="AA2671">
        <v>0.99944540000000004</v>
      </c>
      <c r="AB2671">
        <v>46</v>
      </c>
      <c r="AC2671">
        <v>-25.953700000000001</v>
      </c>
      <c r="AD2671">
        <v>-1.1102324202189999</v>
      </c>
      <c r="AE2671">
        <v>-1.41109999999997</v>
      </c>
      <c r="AF2671">
        <v>-0.87251085407463003</v>
      </c>
      <c r="AG2671">
        <v>-1.1102324202189999</v>
      </c>
      <c r="AH2671">
        <v>25.930020633580401</v>
      </c>
      <c r="AI2671">
        <v>92.450321511992499</v>
      </c>
      <c r="AJ2671">
        <v>91.9271999741092</v>
      </c>
      <c r="AK2671">
        <v>25.968439715841399</v>
      </c>
      <c r="AL2671">
        <v>79.970395750852106</v>
      </c>
      <c r="AM2671">
        <v>90.788385212814802</v>
      </c>
      <c r="AN2671">
        <v>1.0000000207953501</v>
      </c>
    </row>
    <row r="2672" spans="1:40" x14ac:dyDescent="0.25">
      <c r="A2672" t="str">
        <f>"20190312164040399"</f>
        <v>20190312164040399</v>
      </c>
      <c r="B2672" t="str">
        <f>"1552380040388314"</f>
        <v>1552380040388314</v>
      </c>
      <c r="C2672" t="s">
        <v>40</v>
      </c>
      <c r="D2672">
        <v>5.5605140000000004</v>
      </c>
      <c r="E2672">
        <v>0.49625619999999998</v>
      </c>
      <c r="F2672" t="s">
        <v>48</v>
      </c>
      <c r="G2672">
        <v>-440.85239999999999</v>
      </c>
      <c r="H2672" s="1">
        <v>-1.0555769999999999E-6</v>
      </c>
      <c r="I2672">
        <v>283.9846</v>
      </c>
      <c r="J2672">
        <v>-414.47629999999998</v>
      </c>
      <c r="K2672">
        <v>1.1102080000000001</v>
      </c>
      <c r="L2672">
        <v>285.42739999999998</v>
      </c>
      <c r="M2672">
        <v>-0.99967740000000005</v>
      </c>
      <c r="N2672">
        <v>0</v>
      </c>
      <c r="O2672">
        <v>-2.072185E-2</v>
      </c>
      <c r="P2672">
        <v>-0.98658369999999995</v>
      </c>
      <c r="Q2672">
        <v>0.15974959999999999</v>
      </c>
      <c r="R2672">
        <v>-3.3658939999999998E-2</v>
      </c>
      <c r="S2672">
        <v>-3.0556640000000002</v>
      </c>
      <c r="T2672">
        <v>-0.12736549999999999</v>
      </c>
      <c r="U2672">
        <v>-0.1661377</v>
      </c>
      <c r="V2672">
        <v>-1.3281889999999999E-2</v>
      </c>
      <c r="W2672">
        <v>0.17422879999999999</v>
      </c>
      <c r="X2672">
        <v>0.98461560000000004</v>
      </c>
      <c r="Y2672">
        <v>-3.3573909999999998E-2</v>
      </c>
      <c r="Z2672">
        <v>1.6374670000000001E-4</v>
      </c>
      <c r="AA2672">
        <v>0.9994362</v>
      </c>
      <c r="AB2672">
        <v>46</v>
      </c>
      <c r="AC2672">
        <v>-26.376100000000001</v>
      </c>
      <c r="AD2672">
        <v>-1.1102090555769999</v>
      </c>
      <c r="AE2672">
        <v>-1.4427999999999701</v>
      </c>
      <c r="AF2672">
        <v>-0.89428990998194802</v>
      </c>
      <c r="AG2672">
        <v>-1.1102090555769999</v>
      </c>
      <c r="AH2672">
        <v>26.353784483326301</v>
      </c>
      <c r="AI2672">
        <v>92.410893809403007</v>
      </c>
      <c r="AJ2672">
        <v>91.943530484478003</v>
      </c>
      <c r="AK2672">
        <v>26.3923146992414</v>
      </c>
      <c r="AL2672">
        <v>79.966217645510596</v>
      </c>
      <c r="AM2672">
        <v>90.772839763996402</v>
      </c>
      <c r="AN2672">
        <v>0.99999998155738501</v>
      </c>
    </row>
    <row r="2673" spans="1:40" x14ac:dyDescent="0.25">
      <c r="A2673" t="str">
        <f>"20190312164040411"</f>
        <v>20190312164040411</v>
      </c>
      <c r="B2673" t="str">
        <f>"1552380040408810"</f>
        <v>1552380040408810</v>
      </c>
      <c r="C2673" t="s">
        <v>40</v>
      </c>
      <c r="D2673">
        <v>5.5283449999999998</v>
      </c>
      <c r="E2673">
        <v>0.49614760000000002</v>
      </c>
      <c r="F2673" t="s">
        <v>48</v>
      </c>
      <c r="G2673">
        <v>-441.27879999999999</v>
      </c>
      <c r="H2673" s="1">
        <v>-8.280724E-7</v>
      </c>
      <c r="I2673">
        <v>283.97070000000002</v>
      </c>
      <c r="J2673">
        <v>-414.74610000000001</v>
      </c>
      <c r="K2673">
        <v>1.1101909999999999</v>
      </c>
      <c r="L2673">
        <v>285.42180000000002</v>
      </c>
      <c r="M2673">
        <v>-0.99967680000000003</v>
      </c>
      <c r="N2673">
        <v>0</v>
      </c>
      <c r="O2673">
        <v>-2.0755429999999998E-2</v>
      </c>
      <c r="P2673">
        <v>-0.98655400000000004</v>
      </c>
      <c r="Q2673">
        <v>0.1599014</v>
      </c>
      <c r="R2673">
        <v>-3.3808209999999998E-2</v>
      </c>
      <c r="S2673">
        <v>-3.055634</v>
      </c>
      <c r="T2673">
        <v>-0.12657019999999999</v>
      </c>
      <c r="U2673">
        <v>-0.16607669999999999</v>
      </c>
      <c r="V2673">
        <v>-1.338951E-2</v>
      </c>
      <c r="W2673">
        <v>0.17437949999999999</v>
      </c>
      <c r="X2673">
        <v>0.98458749999999995</v>
      </c>
      <c r="Y2673">
        <v>-3.3521200000000001E-2</v>
      </c>
      <c r="Z2673">
        <v>1.6520639999999999E-4</v>
      </c>
      <c r="AA2673">
        <v>0.99943800000000005</v>
      </c>
      <c r="AB2673">
        <v>46</v>
      </c>
      <c r="AC2673">
        <v>-26.532699999999899</v>
      </c>
      <c r="AD2673">
        <v>-1.1101918280723999</v>
      </c>
      <c r="AE2673">
        <v>-1.4510999999999901</v>
      </c>
      <c r="AF2673">
        <v>-0.89846206973916598</v>
      </c>
      <c r="AG2673">
        <v>-1.1101918280723999</v>
      </c>
      <c r="AH2673">
        <v>26.5108282404126</v>
      </c>
      <c r="AI2673">
        <v>92.396595350617702</v>
      </c>
      <c r="AJ2673">
        <v>91.941032895389</v>
      </c>
      <c r="AK2673">
        <v>26.549270686377401</v>
      </c>
      <c r="AL2673">
        <v>79.9574492992015</v>
      </c>
      <c r="AM2673">
        <v>90.779123364954003</v>
      </c>
      <c r="AN2673">
        <v>1.0000000170772601</v>
      </c>
    </row>
    <row r="2674" spans="1:40" x14ac:dyDescent="0.25">
      <c r="A2674" t="str">
        <f>"20190312164040429"</f>
        <v>20190312164040429</v>
      </c>
      <c r="B2674" t="str">
        <f>"1552380040418570"</f>
        <v>1552380040418570</v>
      </c>
      <c r="C2674" t="s">
        <v>40</v>
      </c>
      <c r="D2674">
        <v>5.4058299999999999</v>
      </c>
      <c r="E2674">
        <v>0.49609429999999999</v>
      </c>
      <c r="F2674" t="s">
        <v>48</v>
      </c>
      <c r="G2674">
        <v>-441.71030000000002</v>
      </c>
      <c r="H2674" s="1">
        <v>-5.972355E-7</v>
      </c>
      <c r="I2674">
        <v>283.94279999999998</v>
      </c>
      <c r="J2674">
        <v>-415.10219999999998</v>
      </c>
      <c r="K2674">
        <v>1.1101650000000001</v>
      </c>
      <c r="L2674">
        <v>285.4144</v>
      </c>
      <c r="M2674">
        <v>-0.99967600000000001</v>
      </c>
      <c r="N2674">
        <v>0</v>
      </c>
      <c r="O2674">
        <v>-2.0786530000000001E-2</v>
      </c>
      <c r="P2674">
        <v>-0.98645550000000004</v>
      </c>
      <c r="Q2674">
        <v>0.16052749999999999</v>
      </c>
      <c r="R2674">
        <v>-3.3717329999999997E-2</v>
      </c>
      <c r="S2674">
        <v>-3.055542</v>
      </c>
      <c r="T2674">
        <v>-0.12580539999999901</v>
      </c>
      <c r="U2674">
        <v>-0.16760249999999999</v>
      </c>
      <c r="V2674">
        <v>-1.325891E-2</v>
      </c>
      <c r="W2674">
        <v>0.17500309999999999</v>
      </c>
      <c r="X2674">
        <v>0.98447859999999998</v>
      </c>
      <c r="Y2674">
        <v>-3.398909E-2</v>
      </c>
      <c r="Z2674">
        <v>1.5586810000000001E-4</v>
      </c>
      <c r="AA2674">
        <v>0.99942220000000004</v>
      </c>
      <c r="AB2674">
        <v>46</v>
      </c>
      <c r="AC2674">
        <v>-26.6081</v>
      </c>
      <c r="AD2674">
        <v>-1.1101655972355</v>
      </c>
      <c r="AE2674">
        <v>-1.47160000000002</v>
      </c>
      <c r="AF2674">
        <v>-0.916541565367889</v>
      </c>
      <c r="AG2674">
        <v>-1.1101655972355</v>
      </c>
      <c r="AH2674">
        <v>26.586801432319099</v>
      </c>
      <c r="AI2674">
        <v>92.389650980602696</v>
      </c>
      <c r="AJ2674">
        <v>91.974407316804999</v>
      </c>
      <c r="AK2674">
        <v>26.625749313322601</v>
      </c>
      <c r="AL2674">
        <v>79.921161478963995</v>
      </c>
      <c r="AM2674">
        <v>90.771610126687094</v>
      </c>
      <c r="AN2674">
        <v>0.999999998780979</v>
      </c>
    </row>
    <row r="2675" spans="1:40" x14ac:dyDescent="0.25">
      <c r="A2675" t="str">
        <f>"20190312164040441"</f>
        <v>20190312164040441</v>
      </c>
      <c r="B2675" t="str">
        <f>"1552380040439121"</f>
        <v>1552380040439121</v>
      </c>
      <c r="C2675" t="s">
        <v>40</v>
      </c>
      <c r="D2675">
        <v>5.4405239999999999</v>
      </c>
      <c r="E2675">
        <v>0.49585459999999898</v>
      </c>
      <c r="F2675" t="s">
        <v>48</v>
      </c>
      <c r="G2675">
        <v>-442.18950000000001</v>
      </c>
      <c r="H2675" s="1">
        <v>-3.4146430000000002E-7</v>
      </c>
      <c r="I2675">
        <v>283.92610000000002</v>
      </c>
      <c r="J2675">
        <v>-415.36349999999999</v>
      </c>
      <c r="K2675">
        <v>1.110147</v>
      </c>
      <c r="L2675">
        <v>285.40890000000002</v>
      </c>
      <c r="M2675">
        <v>-0.99967589999999995</v>
      </c>
      <c r="N2675">
        <v>0</v>
      </c>
      <c r="O2675">
        <v>-2.0798460000000001E-2</v>
      </c>
      <c r="P2675">
        <v>-0.98643800000000004</v>
      </c>
      <c r="Q2675">
        <v>0.16064579999999901</v>
      </c>
      <c r="R2675">
        <v>-3.3666160000000001E-2</v>
      </c>
      <c r="S2675">
        <v>-3.0558779999999999</v>
      </c>
      <c r="T2675">
        <v>-0.1252441</v>
      </c>
      <c r="U2675">
        <v>-0.16790769999999999</v>
      </c>
      <c r="V2675">
        <v>-1.318822E-2</v>
      </c>
      <c r="W2675">
        <v>0.17512</v>
      </c>
      <c r="X2675">
        <v>0.98445870000000002</v>
      </c>
      <c r="Y2675">
        <v>-3.407073E-2</v>
      </c>
      <c r="Z2675">
        <v>1.539728E-4</v>
      </c>
      <c r="AA2675">
        <v>0.99941939999999996</v>
      </c>
      <c r="AB2675">
        <v>46</v>
      </c>
      <c r="AC2675">
        <v>-26.826000000000001</v>
      </c>
      <c r="AD2675">
        <v>-1.1101473414642999</v>
      </c>
      <c r="AE2675">
        <v>-1.4827999999999899</v>
      </c>
      <c r="AF2675">
        <v>-0.92290383637436602</v>
      </c>
      <c r="AG2675">
        <v>-1.1101473414642999</v>
      </c>
      <c r="AH2675">
        <v>26.805273069891101</v>
      </c>
      <c r="AI2675">
        <v>92.370161478246899</v>
      </c>
      <c r="AJ2675">
        <v>91.971911086837096</v>
      </c>
      <c r="AK2675">
        <v>26.844121199294001</v>
      </c>
      <c r="AL2675">
        <v>79.914357926299104</v>
      </c>
      <c r="AM2675">
        <v>90.767512286091502</v>
      </c>
      <c r="AN2675">
        <v>0.99999993777622698</v>
      </c>
    </row>
    <row r="2676" spans="1:40" x14ac:dyDescent="0.25">
      <c r="A2676" t="str">
        <f>"20190312164040454"</f>
        <v>20190312164040454</v>
      </c>
      <c r="B2676" t="str">
        <f>"1552380040448826"</f>
        <v>1552380040448826</v>
      </c>
      <c r="C2676" t="s">
        <v>40</v>
      </c>
      <c r="D2676">
        <v>5.4907329999999996</v>
      </c>
      <c r="E2676">
        <v>0.49585459999999898</v>
      </c>
      <c r="F2676" t="s">
        <v>48</v>
      </c>
      <c r="G2676">
        <v>-442.82990000000001</v>
      </c>
      <c r="H2676" s="1">
        <v>1.0974329999999999E-9</v>
      </c>
      <c r="I2676">
        <v>283.88510000000002</v>
      </c>
      <c r="J2676">
        <v>-415.6182</v>
      </c>
      <c r="K2676">
        <v>1.1101299999999901</v>
      </c>
      <c r="L2676">
        <v>285.40370000000001</v>
      </c>
      <c r="M2676">
        <v>-0.99967589999999995</v>
      </c>
      <c r="N2676">
        <v>0</v>
      </c>
      <c r="O2676">
        <v>-2.0798110000000002E-2</v>
      </c>
      <c r="P2676">
        <v>-0.98641290000000004</v>
      </c>
      <c r="Q2676">
        <v>0.16078729999999999</v>
      </c>
      <c r="R2676">
        <v>-3.3728370000000001E-2</v>
      </c>
      <c r="S2676">
        <v>-3.0555729999999999</v>
      </c>
      <c r="T2676">
        <v>-0.123501399999999</v>
      </c>
      <c r="U2676">
        <v>-0.16952509999999901</v>
      </c>
      <c r="V2676">
        <v>-1.324374E-2</v>
      </c>
      <c r="W2676">
        <v>0.17526040000000001</v>
      </c>
      <c r="X2676">
        <v>0.98443309999999995</v>
      </c>
      <c r="Y2676">
        <v>-3.4603830000000002E-2</v>
      </c>
      <c r="Z2676">
        <v>1.410688E-4</v>
      </c>
      <c r="AA2676">
        <v>0.99940110000000004</v>
      </c>
      <c r="AB2676">
        <v>46</v>
      </c>
      <c r="AC2676">
        <v>-27.2117</v>
      </c>
      <c r="AD2676">
        <v>-1.1101299989025599</v>
      </c>
      <c r="AE2676">
        <v>-1.51859999999999</v>
      </c>
      <c r="AF2676">
        <v>-0.95068119576134802</v>
      </c>
      <c r="AG2676">
        <v>-1.1101299989025599</v>
      </c>
      <c r="AH2676">
        <v>27.192284043435201</v>
      </c>
      <c r="AI2676">
        <v>92.336386643964701</v>
      </c>
      <c r="AJ2676">
        <v>92.002326962337406</v>
      </c>
      <c r="AK2676">
        <v>27.231534933772998</v>
      </c>
      <c r="AL2676">
        <v>79.906188547464097</v>
      </c>
      <c r="AM2676">
        <v>90.770763024433506</v>
      </c>
      <c r="AN2676">
        <v>1.0000000664164701</v>
      </c>
    </row>
    <row r="2677" spans="1:40" x14ac:dyDescent="0.25">
      <c r="A2677" t="str">
        <f>"20190312164040468"</f>
        <v>20190312164040468</v>
      </c>
      <c r="B2677" t="str">
        <f>"1552380040458586"</f>
        <v>1552380040458586</v>
      </c>
      <c r="C2677" t="s">
        <v>40</v>
      </c>
      <c r="D2677">
        <v>5.5999480000000004</v>
      </c>
      <c r="E2677">
        <v>0.48084719999999997</v>
      </c>
      <c r="F2677" t="s">
        <v>48</v>
      </c>
      <c r="G2677">
        <v>-443.18470000000002</v>
      </c>
      <c r="H2677" s="1">
        <v>1.904786E-7</v>
      </c>
      <c r="I2677">
        <v>283.87180000000001</v>
      </c>
      <c r="J2677">
        <v>-415.89850000000001</v>
      </c>
      <c r="K2677">
        <v>1.1101049999999999</v>
      </c>
      <c r="L2677">
        <v>285.39780000000002</v>
      </c>
      <c r="M2677">
        <v>-0.99967620000000001</v>
      </c>
      <c r="N2677">
        <v>0</v>
      </c>
      <c r="O2677">
        <v>-2.0782200000000001E-2</v>
      </c>
      <c r="P2677">
        <v>-0.98649989999999999</v>
      </c>
      <c r="Q2677">
        <v>0.16027529999999901</v>
      </c>
      <c r="R2677">
        <v>-3.3614869999999998E-2</v>
      </c>
      <c r="S2677">
        <v>-3.0555729999999999</v>
      </c>
      <c r="T2677">
        <v>-0.12305099999999999</v>
      </c>
      <c r="U2677">
        <v>-0.169799799999999</v>
      </c>
      <c r="V2677">
        <v>-1.313464E-2</v>
      </c>
      <c r="W2677">
        <v>0.1747486</v>
      </c>
      <c r="X2677">
        <v>0.98452550000000005</v>
      </c>
      <c r="Y2677">
        <v>-3.470927E-2</v>
      </c>
      <c r="Z2677">
        <v>1.377939E-4</v>
      </c>
      <c r="AA2677">
        <v>0.99939750000000005</v>
      </c>
      <c r="AB2677">
        <v>46</v>
      </c>
      <c r="AC2677">
        <v>-27.286200000000001</v>
      </c>
      <c r="AD2677">
        <v>-1.1101048095213999</v>
      </c>
      <c r="AE2677">
        <v>-1.52600000000001</v>
      </c>
      <c r="AF2677">
        <v>-0.95696295468138903</v>
      </c>
      <c r="AG2677">
        <v>-1.1101048095213999</v>
      </c>
      <c r="AH2677">
        <v>27.267031918511201</v>
      </c>
      <c r="AI2677">
        <v>92.329925145576297</v>
      </c>
      <c r="AJ2677">
        <v>92.010026004969603</v>
      </c>
      <c r="AK2677">
        <v>27.3063937646453</v>
      </c>
      <c r="AL2677">
        <v>79.935971746976904</v>
      </c>
      <c r="AM2677">
        <v>90.764342613975998</v>
      </c>
      <c r="AN2677">
        <v>1.0000000260600601</v>
      </c>
    </row>
    <row r="2678" spans="1:40" x14ac:dyDescent="0.25">
      <c r="A2678" t="str">
        <f>"20190312164040486"</f>
        <v>20190312164040486</v>
      </c>
      <c r="B2678" t="str">
        <f>"1552380040479082"</f>
        <v>1552380040479082</v>
      </c>
      <c r="C2678" t="s">
        <v>40</v>
      </c>
      <c r="D2678">
        <v>5.5002950000000004</v>
      </c>
      <c r="E2678">
        <v>0.47857569999999999</v>
      </c>
      <c r="F2678" t="s">
        <v>48</v>
      </c>
      <c r="G2678">
        <v>-452.0052</v>
      </c>
      <c r="H2678" s="1">
        <v>-3.5494109999999999E-7</v>
      </c>
      <c r="I2678">
        <v>281.9907</v>
      </c>
      <c r="J2678">
        <v>-416.2663</v>
      </c>
      <c r="K2678">
        <v>1.1100730000000001</v>
      </c>
      <c r="L2678">
        <v>285.39019999999999</v>
      </c>
      <c r="M2678">
        <v>-0.99967709999999999</v>
      </c>
      <c r="N2678">
        <v>0</v>
      </c>
      <c r="O2678">
        <v>-2.0741329999999999E-2</v>
      </c>
      <c r="P2678">
        <v>-0.98659200000000002</v>
      </c>
      <c r="Q2678">
        <v>0.1597257</v>
      </c>
      <c r="R2678">
        <v>-3.3526E-2</v>
      </c>
      <c r="S2678">
        <v>-3.0465089999999999</v>
      </c>
      <c r="T2678">
        <v>-9.3665239999999997E-2</v>
      </c>
      <c r="U2678">
        <v>-0.2874756</v>
      </c>
      <c r="V2678">
        <v>-1.3070210000000001E-2</v>
      </c>
      <c r="W2678">
        <v>0.17419970000000001</v>
      </c>
      <c r="X2678">
        <v>0.98462360000000004</v>
      </c>
      <c r="Y2678">
        <v>-7.3248359999999998E-2</v>
      </c>
      <c r="Z2678">
        <v>-4.8724450000000002E-4</v>
      </c>
      <c r="AA2678">
        <v>0.99731360000000002</v>
      </c>
      <c r="AB2678">
        <v>46</v>
      </c>
      <c r="AC2678">
        <v>-35.738900000000001</v>
      </c>
      <c r="AD2678">
        <v>-1.1100733549410999</v>
      </c>
      <c r="AE2678">
        <v>-3.3994999999999802</v>
      </c>
      <c r="AF2678">
        <v>-2.6548779621354299</v>
      </c>
      <c r="AG2678">
        <v>-1.1100733549410999</v>
      </c>
      <c r="AH2678">
        <v>35.767529979108801</v>
      </c>
      <c r="AI2678">
        <v>91.772775151720197</v>
      </c>
      <c r="AJ2678">
        <v>94.2450475843617</v>
      </c>
      <c r="AK2678">
        <v>35.883099652254501</v>
      </c>
      <c r="AL2678">
        <v>79.967911030161702</v>
      </c>
      <c r="AM2678">
        <v>90.760517917298202</v>
      </c>
      <c r="AN2678">
        <v>0.99999999977324705</v>
      </c>
    </row>
    <row r="2679" spans="1:40" x14ac:dyDescent="0.25">
      <c r="A2679" t="str">
        <f>"20190312164040508"</f>
        <v>20190312164040508</v>
      </c>
      <c r="B2679" t="str">
        <f>"1552380040498602"</f>
        <v>1552380040498602</v>
      </c>
      <c r="C2679" t="s">
        <v>40</v>
      </c>
      <c r="D2679">
        <v>5.5010770000000004</v>
      </c>
      <c r="E2679">
        <v>0.47805700000000001</v>
      </c>
      <c r="F2679" t="s">
        <v>48</v>
      </c>
      <c r="G2679">
        <v>-453.75119999999998</v>
      </c>
      <c r="H2679" s="1">
        <v>5.8996179999999999E-7</v>
      </c>
      <c r="I2679">
        <v>281.62990000000002</v>
      </c>
      <c r="J2679">
        <v>-416.72250000000003</v>
      </c>
      <c r="K2679">
        <v>1.1100369999999999</v>
      </c>
      <c r="L2679">
        <v>285.38069999999999</v>
      </c>
      <c r="M2679">
        <v>-0.99967890000000004</v>
      </c>
      <c r="N2679">
        <v>0</v>
      </c>
      <c r="O2679">
        <v>-2.0656979999999998E-2</v>
      </c>
      <c r="P2679">
        <v>-0.98656279999999996</v>
      </c>
      <c r="Q2679">
        <v>0.15995119999999999</v>
      </c>
      <c r="R2679">
        <v>-3.3311100000000003E-2</v>
      </c>
      <c r="S2679">
        <v>-3.0449830000000002</v>
      </c>
      <c r="T2679">
        <v>-9.0173600000000007E-2</v>
      </c>
      <c r="U2679">
        <v>-0.30545040000000001</v>
      </c>
      <c r="V2679">
        <v>-1.2921800000000001E-2</v>
      </c>
      <c r="W2679">
        <v>0.17442270000000001</v>
      </c>
      <c r="X2679">
        <v>0.98458610000000002</v>
      </c>
      <c r="Y2679">
        <v>-7.9209050000000003E-2</v>
      </c>
      <c r="Z2679">
        <v>-5.5970749999999995E-4</v>
      </c>
      <c r="AA2679">
        <v>0.99685789999999996</v>
      </c>
      <c r="AB2679">
        <v>46</v>
      </c>
      <c r="AC2679">
        <v>-37.028699999999901</v>
      </c>
      <c r="AD2679">
        <v>-1.1100364100382001</v>
      </c>
      <c r="AE2679">
        <v>-3.7507999999999599</v>
      </c>
      <c r="AF2679">
        <v>-2.9823630626121398</v>
      </c>
      <c r="AG2679">
        <v>-1.1100364100382001</v>
      </c>
      <c r="AH2679">
        <v>37.065314750397</v>
      </c>
      <c r="AI2679">
        <v>91.709865262466906</v>
      </c>
      <c r="AJ2679">
        <v>94.600243659774904</v>
      </c>
      <c r="AK2679">
        <v>37.201669691222797</v>
      </c>
      <c r="AL2679">
        <v>79.954935625484396</v>
      </c>
      <c r="AM2679">
        <v>90.751911997186696</v>
      </c>
      <c r="AN2679">
        <v>1.0000000197518699</v>
      </c>
    </row>
    <row r="2680" spans="1:40" x14ac:dyDescent="0.25">
      <c r="A2680" t="str">
        <f>"20190312164040529"</f>
        <v>20190312164040529</v>
      </c>
      <c r="B2680" t="str">
        <f>"1552380040519098"</f>
        <v>1552380040519098</v>
      </c>
      <c r="C2680" t="s">
        <v>40</v>
      </c>
      <c r="D2680">
        <v>5.4972149999999997</v>
      </c>
      <c r="E2680">
        <v>0.4774756</v>
      </c>
      <c r="F2680" t="s">
        <v>48</v>
      </c>
      <c r="G2680">
        <v>-455.22519999999997</v>
      </c>
      <c r="H2680" s="1">
        <v>1.381078E-6</v>
      </c>
      <c r="I2680">
        <v>281.476</v>
      </c>
      <c r="J2680">
        <v>-417.17200000000003</v>
      </c>
      <c r="K2680">
        <v>1.10999</v>
      </c>
      <c r="L2680">
        <v>285.3716</v>
      </c>
      <c r="M2680">
        <v>-0.99968129999999999</v>
      </c>
      <c r="N2680">
        <v>0</v>
      </c>
      <c r="O2680">
        <v>-2.0540920000000001E-2</v>
      </c>
      <c r="P2680">
        <v>-0.98647410000000002</v>
      </c>
      <c r="Q2680">
        <v>0.16051079999999901</v>
      </c>
      <c r="R2680">
        <v>-3.3248069999999998E-2</v>
      </c>
      <c r="S2680">
        <v>-3.044708</v>
      </c>
      <c r="T2680">
        <v>-8.7779159999999995E-2</v>
      </c>
      <c r="U2680">
        <v>-0.30877690000000002</v>
      </c>
      <c r="V2680">
        <v>-1.2956179999999999E-2</v>
      </c>
      <c r="W2680">
        <v>0.1749801</v>
      </c>
      <c r="X2680">
        <v>0.9844868</v>
      </c>
      <c r="Y2680">
        <v>-8.0412540000000005E-2</v>
      </c>
      <c r="Z2680">
        <v>-5.6550760000000002E-4</v>
      </c>
      <c r="AA2680">
        <v>0.99676149999999997</v>
      </c>
      <c r="AB2680">
        <v>46</v>
      </c>
      <c r="AC2680">
        <v>-38.053199999999997</v>
      </c>
      <c r="AD2680">
        <v>-1.1099886189219901</v>
      </c>
      <c r="AE2680">
        <v>-3.8956</v>
      </c>
      <c r="AF2680">
        <v>-3.1104269114221799</v>
      </c>
      <c r="AG2680">
        <v>-1.1099886189219901</v>
      </c>
      <c r="AH2680">
        <v>38.093121864673201</v>
      </c>
      <c r="AI2680">
        <v>91.663525892197697</v>
      </c>
      <c r="AJ2680">
        <v>94.668030239525706</v>
      </c>
      <c r="AK2680">
        <v>38.2360139620003</v>
      </c>
      <c r="AL2680">
        <v>79.922500748002193</v>
      </c>
      <c r="AM2680">
        <v>90.753988353098293</v>
      </c>
      <c r="AN2680">
        <v>1.0000000786852099</v>
      </c>
    </row>
    <row r="2681" spans="1:40" x14ac:dyDescent="0.25">
      <c r="A2681" t="str">
        <f>"20190312164040542"</f>
        <v>20190312164040542</v>
      </c>
      <c r="B2681" t="str">
        <f>"1552380040538618"</f>
        <v>1552380040538618</v>
      </c>
      <c r="C2681" t="s">
        <v>40</v>
      </c>
      <c r="D2681">
        <v>5.4923310000000001</v>
      </c>
      <c r="E2681">
        <v>0.4770488</v>
      </c>
      <c r="F2681" t="s">
        <v>48</v>
      </c>
      <c r="G2681">
        <v>-456.12329999999997</v>
      </c>
      <c r="H2681" s="1">
        <v>1.8640460000000001E-6</v>
      </c>
      <c r="I2681">
        <v>281.36040000000003</v>
      </c>
      <c r="J2681">
        <v>-417.41969999999998</v>
      </c>
      <c r="K2681">
        <v>1.1099669999999999</v>
      </c>
      <c r="L2681">
        <v>285.36649999999997</v>
      </c>
      <c r="M2681">
        <v>-0.99968299999999999</v>
      </c>
      <c r="N2681">
        <v>0</v>
      </c>
      <c r="O2681">
        <v>-2.0464679999999999E-2</v>
      </c>
      <c r="P2681">
        <v>-0.9864233</v>
      </c>
      <c r="Q2681">
        <v>0.16081790000000001</v>
      </c>
      <c r="R2681">
        <v>-3.3270330000000001E-2</v>
      </c>
      <c r="S2681">
        <v>-3.0446780000000002</v>
      </c>
      <c r="T2681">
        <v>-8.6763740000000006E-2</v>
      </c>
      <c r="U2681">
        <v>-0.31353760000000003</v>
      </c>
      <c r="V2681">
        <v>-1.304512E-2</v>
      </c>
      <c r="W2681">
        <v>0.17528569999999999</v>
      </c>
      <c r="X2681">
        <v>0.98443119999999995</v>
      </c>
      <c r="Y2681">
        <v>-8.2031800000000002E-2</v>
      </c>
      <c r="Z2681">
        <v>-5.8410359999999998E-4</v>
      </c>
      <c r="AA2681">
        <v>0.99662949999999995</v>
      </c>
      <c r="AB2681">
        <v>46</v>
      </c>
      <c r="AC2681">
        <v>-38.703600000000002</v>
      </c>
      <c r="AD2681">
        <v>-1.1099651359539999</v>
      </c>
      <c r="AE2681">
        <v>-4.0060999999999396</v>
      </c>
      <c r="AF2681">
        <v>-3.2105063309924402</v>
      </c>
      <c r="AG2681">
        <v>-1.1099651359539999</v>
      </c>
      <c r="AH2681">
        <v>38.7459558980743</v>
      </c>
      <c r="AI2681">
        <v>91.635316554721399</v>
      </c>
      <c r="AJ2681">
        <v>94.736731793172297</v>
      </c>
      <c r="AK2681">
        <v>38.894581524421802</v>
      </c>
      <c r="AL2681">
        <v>79.904715694764207</v>
      </c>
      <c r="AM2681">
        <v>90.759206508460196</v>
      </c>
      <c r="AN2681">
        <v>1.0000000196568699</v>
      </c>
    </row>
    <row r="2682" spans="1:40" x14ac:dyDescent="0.25">
      <c r="A2682" t="str">
        <f>"20190312164040554"</f>
        <v>20190312164040554</v>
      </c>
      <c r="B2682" t="str">
        <f>"1552380040548378"</f>
        <v>1552380040548378</v>
      </c>
      <c r="C2682" t="s">
        <v>40</v>
      </c>
      <c r="D2682">
        <v>5.4948959999999998</v>
      </c>
      <c r="E2682">
        <v>0.47703119999999999</v>
      </c>
      <c r="F2682" t="s">
        <v>48</v>
      </c>
      <c r="G2682">
        <v>-456.72660000000002</v>
      </c>
      <c r="H2682" s="1">
        <v>2.1887919999999999E-6</v>
      </c>
      <c r="I2682">
        <v>281.27620000000002</v>
      </c>
      <c r="J2682">
        <v>-417.6662</v>
      </c>
      <c r="K2682">
        <v>1.109944</v>
      </c>
      <c r="L2682">
        <v>285.36149999999998</v>
      </c>
      <c r="M2682">
        <v>-0.99968469999999998</v>
      </c>
      <c r="N2682">
        <v>0</v>
      </c>
      <c r="O2682">
        <v>-2.0378440000000001E-2</v>
      </c>
      <c r="P2682">
        <v>-0.98643990000000004</v>
      </c>
      <c r="Q2682">
        <v>0.1607971</v>
      </c>
      <c r="R2682">
        <v>-3.2875090000000003E-2</v>
      </c>
      <c r="S2682">
        <v>-3.0446780000000002</v>
      </c>
      <c r="T2682">
        <v>-8.5976839999999999E-2</v>
      </c>
      <c r="U2682">
        <v>-0.31683349999999999</v>
      </c>
      <c r="V2682">
        <v>-1.272503E-2</v>
      </c>
      <c r="W2682">
        <v>0.17526410000000001</v>
      </c>
      <c r="X2682">
        <v>0.98443919999999996</v>
      </c>
      <c r="Y2682">
        <v>-8.3185090000000003E-2</v>
      </c>
      <c r="Z2682">
        <v>-5.9744119999999995E-4</v>
      </c>
      <c r="AA2682">
        <v>0.99653389999999997</v>
      </c>
      <c r="AB2682">
        <v>46</v>
      </c>
      <c r="AC2682">
        <v>-39.060400000000001</v>
      </c>
      <c r="AD2682">
        <v>-1.109941811208</v>
      </c>
      <c r="AE2682">
        <v>-4.0852999999999602</v>
      </c>
      <c r="AF2682">
        <v>-3.28575132684839</v>
      </c>
      <c r="AG2682">
        <v>-1.109941811208</v>
      </c>
      <c r="AH2682">
        <v>39.104313952932699</v>
      </c>
      <c r="AI2682">
        <v>91.620147939063997</v>
      </c>
      <c r="AJ2682">
        <v>94.803012214273494</v>
      </c>
      <c r="AK2682">
        <v>39.257808170295</v>
      </c>
      <c r="AL2682">
        <v>79.905972387916606</v>
      </c>
      <c r="AM2682">
        <v>90.740573831608998</v>
      </c>
      <c r="AN2682">
        <v>0.99999998481697505</v>
      </c>
    </row>
    <row r="2683" spans="1:40" x14ac:dyDescent="0.25">
      <c r="A2683" t="str">
        <f>"20190312164040566"</f>
        <v>20190312164040566</v>
      </c>
      <c r="B2683" t="str">
        <f>"1552380040559114"</f>
        <v>1552380040559114</v>
      </c>
      <c r="C2683" t="s">
        <v>40</v>
      </c>
      <c r="D2683">
        <v>5.5534739999999996</v>
      </c>
      <c r="E2683">
        <v>0.47683730000000002</v>
      </c>
      <c r="F2683" t="s">
        <v>48</v>
      </c>
      <c r="G2683">
        <v>-457.05619999999999</v>
      </c>
      <c r="H2683" s="1">
        <v>2.3642370000000001E-6</v>
      </c>
      <c r="I2683">
        <v>281.2749</v>
      </c>
      <c r="J2683">
        <v>-417.91879999999998</v>
      </c>
      <c r="K2683">
        <v>1.1099250000000001</v>
      </c>
      <c r="L2683">
        <v>285.35640000000001</v>
      </c>
      <c r="M2683">
        <v>-0.99968679999999999</v>
      </c>
      <c r="N2683">
        <v>0</v>
      </c>
      <c r="O2683">
        <v>-2.0280289999999999E-2</v>
      </c>
      <c r="P2683">
        <v>-0.98637350000000001</v>
      </c>
      <c r="Q2683">
        <v>0.1611553</v>
      </c>
      <c r="R2683">
        <v>-3.3112099999999998E-2</v>
      </c>
      <c r="S2683">
        <v>-3.0447690000000001</v>
      </c>
      <c r="T2683">
        <v>-8.5796360000000002E-2</v>
      </c>
      <c r="U2683">
        <v>-0.31588749999999999</v>
      </c>
      <c r="V2683">
        <v>-1.305043E-2</v>
      </c>
      <c r="W2683">
        <v>0.1756209</v>
      </c>
      <c r="X2683">
        <v>0.98437140000000001</v>
      </c>
      <c r="Y2683">
        <v>-8.2973669999999999E-2</v>
      </c>
      <c r="Z2683">
        <v>-5.9596479999999999E-4</v>
      </c>
      <c r="AA2683">
        <v>0.99655159999999998</v>
      </c>
      <c r="AB2683">
        <v>46</v>
      </c>
      <c r="AC2683">
        <v>-39.1374</v>
      </c>
      <c r="AD2683">
        <v>-1.1099226357629901</v>
      </c>
      <c r="AE2683">
        <v>-4.0815000000000001</v>
      </c>
      <c r="AF2683">
        <v>-3.2842442291806599</v>
      </c>
      <c r="AG2683">
        <v>-1.1099226357629901</v>
      </c>
      <c r="AH2683">
        <v>39.180958916917703</v>
      </c>
      <c r="AI2683">
        <v>91.616979721748606</v>
      </c>
      <c r="AJ2683">
        <v>94.791471988238797</v>
      </c>
      <c r="AK2683">
        <v>39.334027635922098</v>
      </c>
      <c r="AL2683">
        <v>79.885207677818798</v>
      </c>
      <c r="AM2683">
        <v>90.759561641065801</v>
      </c>
      <c r="AN2683">
        <v>1.0000000336889701</v>
      </c>
    </row>
    <row r="2684" spans="1:40" x14ac:dyDescent="0.25">
      <c r="A2684" t="str">
        <f>"20190312164040586"</f>
        <v>20190312164040586</v>
      </c>
      <c r="B2684" t="str">
        <f>"1552380040578637"</f>
        <v>1552380040578637</v>
      </c>
      <c r="C2684" t="s">
        <v>40</v>
      </c>
      <c r="D2684">
        <v>5.4972580000000004</v>
      </c>
      <c r="E2684">
        <v>0.47674100000000003</v>
      </c>
      <c r="F2684" t="s">
        <v>48</v>
      </c>
      <c r="G2684">
        <v>-456.95850000000002</v>
      </c>
      <c r="H2684" s="1">
        <v>2.31212E-6</v>
      </c>
      <c r="I2684">
        <v>281.27769999999998</v>
      </c>
      <c r="J2684">
        <v>-418.32299999999998</v>
      </c>
      <c r="K2684">
        <v>1.1098920000000001</v>
      </c>
      <c r="L2684">
        <v>285.34840000000003</v>
      </c>
      <c r="M2684">
        <v>-0.99969019999999997</v>
      </c>
      <c r="N2684">
        <v>0</v>
      </c>
      <c r="O2684">
        <v>-2.010719E-2</v>
      </c>
      <c r="P2684">
        <v>-0.98639120000000002</v>
      </c>
      <c r="Q2684">
        <v>0.16108329999999901</v>
      </c>
      <c r="R2684">
        <v>-3.2938820000000001E-2</v>
      </c>
      <c r="S2684">
        <v>-3.0448909999999998</v>
      </c>
      <c r="T2684">
        <v>-8.6568119999999998E-2</v>
      </c>
      <c r="U2684">
        <v>-0.31811519999999999</v>
      </c>
      <c r="V2684">
        <v>-1.303324E-2</v>
      </c>
      <c r="W2684">
        <v>0.17554719999999999</v>
      </c>
      <c r="X2684">
        <v>0.98438479999999995</v>
      </c>
      <c r="Y2684">
        <v>-8.3862539999999999E-2</v>
      </c>
      <c r="Z2684">
        <v>-6.1878059999999997E-4</v>
      </c>
      <c r="AA2684">
        <v>0.9964771</v>
      </c>
      <c r="AB2684">
        <v>46</v>
      </c>
      <c r="AC2684">
        <v>-38.635499999999901</v>
      </c>
      <c r="AD2684">
        <v>-1.10988968788</v>
      </c>
      <c r="AE2684">
        <v>-4.0707000000000404</v>
      </c>
      <c r="AF2684">
        <v>-3.29025642681259</v>
      </c>
      <c r="AG2684">
        <v>-1.10988968788</v>
      </c>
      <c r="AH2684">
        <v>38.677977896428402</v>
      </c>
      <c r="AI2684">
        <v>91.637776522296704</v>
      </c>
      <c r="AJ2684">
        <v>94.862328419649302</v>
      </c>
      <c r="AK2684">
        <v>38.8335372665181</v>
      </c>
      <c r="AL2684">
        <v>79.889497278793996</v>
      </c>
      <c r="AM2684">
        <v>90.7585509402371</v>
      </c>
      <c r="AN2684">
        <v>1.0000000596218801</v>
      </c>
    </row>
    <row r="2685" spans="1:40" x14ac:dyDescent="0.25">
      <c r="A2685" t="str">
        <f>"20190312164040608"</f>
        <v>20190312164040608</v>
      </c>
      <c r="B2685" t="str">
        <f>"1552380040599130"</f>
        <v>1552380040599130</v>
      </c>
      <c r="C2685" t="s">
        <v>40</v>
      </c>
      <c r="D2685">
        <v>5.4922490000000002</v>
      </c>
      <c r="E2685">
        <v>0.47655799999999998</v>
      </c>
      <c r="F2685" t="s">
        <v>48</v>
      </c>
      <c r="G2685">
        <v>-456.91250000000002</v>
      </c>
      <c r="H2685" s="1">
        <v>2.2864560000000001E-6</v>
      </c>
      <c r="I2685">
        <v>281.30419999999998</v>
      </c>
      <c r="J2685">
        <v>-418.78629999999998</v>
      </c>
      <c r="K2685">
        <v>1.1098589999999999</v>
      </c>
      <c r="L2685">
        <v>285.33920000000001</v>
      </c>
      <c r="M2685">
        <v>-0.99969459999999999</v>
      </c>
      <c r="N2685">
        <v>0</v>
      </c>
      <c r="O2685">
        <v>-1.988556E-2</v>
      </c>
      <c r="P2685">
        <v>-0.98642890000000005</v>
      </c>
      <c r="Q2685">
        <v>0.16101480000000001</v>
      </c>
      <c r="R2685">
        <v>-3.213245E-2</v>
      </c>
      <c r="S2685">
        <v>-3.0450740000000001</v>
      </c>
      <c r="T2685">
        <v>-8.7580920000000007E-2</v>
      </c>
      <c r="U2685">
        <v>-0.31912230000000003</v>
      </c>
      <c r="V2685">
        <v>-1.242976E-2</v>
      </c>
      <c r="W2685">
        <v>0.17547769999999999</v>
      </c>
      <c r="X2685">
        <v>0.98440490000000003</v>
      </c>
      <c r="Y2685">
        <v>-8.4402329999999998E-2</v>
      </c>
      <c r="Z2685">
        <v>-6.4006129999999895E-4</v>
      </c>
      <c r="AA2685">
        <v>0.99643150000000003</v>
      </c>
      <c r="AB2685">
        <v>46</v>
      </c>
      <c r="AC2685">
        <v>-38.126199999999997</v>
      </c>
      <c r="AD2685">
        <v>-1.1098567135439901</v>
      </c>
      <c r="AE2685">
        <v>-4.0350000000000197</v>
      </c>
      <c r="AF2685">
        <v>-3.2732165123071102</v>
      </c>
      <c r="AG2685">
        <v>-1.1098567135439901</v>
      </c>
      <c r="AH2685">
        <v>38.166921994530099</v>
      </c>
      <c r="AI2685">
        <v>91.659547506066005</v>
      </c>
      <c r="AJ2685">
        <v>94.90172429143</v>
      </c>
      <c r="AK2685">
        <v>38.323095683902899</v>
      </c>
      <c r="AL2685">
        <v>79.893541152441898</v>
      </c>
      <c r="AM2685">
        <v>90.723416699831205</v>
      </c>
      <c r="AN2685">
        <v>0.99999996463747798</v>
      </c>
    </row>
    <row r="2686" spans="1:40" x14ac:dyDescent="0.25">
      <c r="A2686" t="str">
        <f>"20190312164040620"</f>
        <v>20190312164040620</v>
      </c>
      <c r="B2686" t="str">
        <f>"1552380040608890"</f>
        <v>1552380040608890</v>
      </c>
      <c r="C2686" t="s">
        <v>40</v>
      </c>
      <c r="D2686">
        <v>5.5528529999999998</v>
      </c>
      <c r="E2686">
        <v>0.47646769999999999</v>
      </c>
      <c r="F2686" t="s">
        <v>48</v>
      </c>
      <c r="G2686">
        <v>-456.63490000000002</v>
      </c>
      <c r="H2686" s="1">
        <v>2.1354060000000001E-6</v>
      </c>
      <c r="I2686">
        <v>281.38040000000001</v>
      </c>
      <c r="J2686">
        <v>-419.02620000000002</v>
      </c>
      <c r="K2686">
        <v>1.1098429999999999</v>
      </c>
      <c r="L2686">
        <v>285.33449999999999</v>
      </c>
      <c r="M2686">
        <v>-0.99969719999999995</v>
      </c>
      <c r="N2686">
        <v>0</v>
      </c>
      <c r="O2686">
        <v>-1.9763670000000001E-2</v>
      </c>
      <c r="P2686">
        <v>-0.98640519999999998</v>
      </c>
      <c r="Q2686">
        <v>0.1612189</v>
      </c>
      <c r="R2686">
        <v>-3.1840420000000001E-2</v>
      </c>
      <c r="S2686">
        <v>-3.045471</v>
      </c>
      <c r="T2686">
        <v>-8.9304209999999995E-2</v>
      </c>
      <c r="U2686">
        <v>-0.31854250000000001</v>
      </c>
      <c r="V2686">
        <v>-1.225187E-2</v>
      </c>
      <c r="W2686">
        <v>0.17568</v>
      </c>
      <c r="X2686">
        <v>0.98437110000000005</v>
      </c>
      <c r="Y2686">
        <v>-8.4321660000000007E-2</v>
      </c>
      <c r="Z2686">
        <v>-6.5495430000000001E-4</v>
      </c>
      <c r="AA2686">
        <v>0.99643839999999995</v>
      </c>
      <c r="AB2686">
        <v>46</v>
      </c>
      <c r="AC2686">
        <v>-37.608699999999999</v>
      </c>
      <c r="AD2686">
        <v>-1.1098408645939899</v>
      </c>
      <c r="AE2686">
        <v>-3.95409999999998</v>
      </c>
      <c r="AF2686">
        <v>-3.2071992381838501</v>
      </c>
      <c r="AG2686">
        <v>-1.1098408645939899</v>
      </c>
      <c r="AH2686">
        <v>37.6470819750134</v>
      </c>
      <c r="AI2686">
        <v>91.682507089060195</v>
      </c>
      <c r="AJ2686">
        <v>94.869337827694395</v>
      </c>
      <c r="AK2686">
        <v>37.799744111984502</v>
      </c>
      <c r="AL2686">
        <v>79.881767845062896</v>
      </c>
      <c r="AM2686">
        <v>90.713088993518397</v>
      </c>
      <c r="AN2686">
        <v>1.0000000166168499</v>
      </c>
    </row>
    <row r="2687" spans="1:40" x14ac:dyDescent="0.25">
      <c r="A2687" t="str">
        <f>"20190312164040633"</f>
        <v>20190312164040633</v>
      </c>
      <c r="B2687" t="str">
        <f>"1552380040628410"</f>
        <v>1552380040628410</v>
      </c>
      <c r="C2687" t="s">
        <v>40</v>
      </c>
      <c r="D2687">
        <v>5.7194820000000002</v>
      </c>
      <c r="E2687">
        <v>0.4777843</v>
      </c>
      <c r="F2687" t="s">
        <v>48</v>
      </c>
      <c r="G2687">
        <v>-456.69110000000001</v>
      </c>
      <c r="H2687" s="1">
        <v>2.1644150000000002E-6</v>
      </c>
      <c r="I2687">
        <v>281.40120000000002</v>
      </c>
      <c r="J2687">
        <v>-419.28910000000002</v>
      </c>
      <c r="K2687">
        <v>1.1098300000000001</v>
      </c>
      <c r="L2687">
        <v>285.32940000000002</v>
      </c>
      <c r="M2687">
        <v>-0.99970000000000003</v>
      </c>
      <c r="N2687">
        <v>0</v>
      </c>
      <c r="O2687">
        <v>-1.96226E-2</v>
      </c>
      <c r="P2687">
        <v>-0.9864503</v>
      </c>
      <c r="Q2687">
        <v>0.16101309999999999</v>
      </c>
      <c r="R2687">
        <v>-3.1474729999999999E-2</v>
      </c>
      <c r="S2687">
        <v>-3.045715</v>
      </c>
      <c r="T2687">
        <v>-8.9745519999999995E-2</v>
      </c>
      <c r="U2687">
        <v>-0.31805420000000001</v>
      </c>
      <c r="V2687">
        <v>-1.2017160000000001E-2</v>
      </c>
      <c r="W2687">
        <v>0.17547349999999901</v>
      </c>
      <c r="X2687">
        <v>0.98441080000000003</v>
      </c>
      <c r="Y2687">
        <v>-8.4295679999999998E-2</v>
      </c>
      <c r="Z2687">
        <v>-6.6190279999999997E-4</v>
      </c>
      <c r="AA2687">
        <v>0.99644060000000001</v>
      </c>
      <c r="AB2687">
        <v>46</v>
      </c>
      <c r="AC2687">
        <v>-37.402000000000001</v>
      </c>
      <c r="AD2687">
        <v>-1.109827835585</v>
      </c>
      <c r="AE2687">
        <v>-3.9281999999999999</v>
      </c>
      <c r="AF2687">
        <v>-3.1906614734999801</v>
      </c>
      <c r="AG2687">
        <v>-1.109827835585</v>
      </c>
      <c r="AH2687">
        <v>37.4392817405367</v>
      </c>
      <c r="AI2687">
        <v>91.691815839762</v>
      </c>
      <c r="AJ2687">
        <v>94.871107825189995</v>
      </c>
      <c r="AK2687">
        <v>37.591380071904801</v>
      </c>
      <c r="AL2687">
        <v>79.893785869386306</v>
      </c>
      <c r="AM2687">
        <v>90.699401459818603</v>
      </c>
      <c r="AN2687">
        <v>0.99999999224667702</v>
      </c>
    </row>
    <row r="2688" spans="1:40" x14ac:dyDescent="0.25">
      <c r="A2688" t="str">
        <f>"20190312164040653"</f>
        <v>20190312164040653</v>
      </c>
      <c r="B2688" t="str">
        <f>"1552380040648906"</f>
        <v>1552380040648906</v>
      </c>
      <c r="C2688" t="s">
        <v>40</v>
      </c>
      <c r="D2688">
        <v>5.4855080000000003</v>
      </c>
      <c r="E2688">
        <v>0.47658879999999998</v>
      </c>
      <c r="F2688" t="s">
        <v>49</v>
      </c>
      <c r="G2688">
        <v>-433.51319999999998</v>
      </c>
      <c r="H2688" s="1">
        <v>3.8403899999999998E-6</v>
      </c>
      <c r="I2688">
        <v>283.86779999999999</v>
      </c>
      <c r="J2688">
        <v>-419.69159999999999</v>
      </c>
      <c r="K2688">
        <v>1.109801</v>
      </c>
      <c r="L2688">
        <v>285.32170000000002</v>
      </c>
      <c r="M2688">
        <v>-0.99970429999999999</v>
      </c>
      <c r="N2688">
        <v>0</v>
      </c>
      <c r="O2688">
        <v>-1.9397000000000001E-2</v>
      </c>
      <c r="P2688">
        <v>-0.98648170000000002</v>
      </c>
      <c r="Q2688">
        <v>0.16091610000000001</v>
      </c>
      <c r="R2688">
        <v>-3.0982309999999999E-2</v>
      </c>
      <c r="S2688">
        <v>-3.0701900000000002</v>
      </c>
      <c r="T2688">
        <v>-0.23955009999999999</v>
      </c>
      <c r="U2688">
        <v>-0.31549070000000001</v>
      </c>
      <c r="V2688">
        <v>-1.173713E-2</v>
      </c>
      <c r="W2688">
        <v>0.1753749</v>
      </c>
      <c r="X2688">
        <v>0.98443170000000002</v>
      </c>
      <c r="Y2688">
        <v>-8.2714029999999994E-2</v>
      </c>
      <c r="Z2688">
        <v>-1.70663E-3</v>
      </c>
      <c r="AA2688">
        <v>0.99657180000000001</v>
      </c>
      <c r="AB2688">
        <v>46</v>
      </c>
      <c r="AC2688">
        <v>-13.821599999999901</v>
      </c>
      <c r="AD2688">
        <v>-1.10979715961</v>
      </c>
      <c r="AE2688">
        <v>-1.4539000000000299</v>
      </c>
      <c r="AF2688">
        <v>-1.1779883947115199</v>
      </c>
      <c r="AG2688">
        <v>-1.10979715961</v>
      </c>
      <c r="AH2688">
        <v>13.759464315210501</v>
      </c>
      <c r="AI2688">
        <v>94.594588334498695</v>
      </c>
      <c r="AJ2688">
        <v>94.893328907043099</v>
      </c>
      <c r="AK2688">
        <v>13.854319349398001</v>
      </c>
      <c r="AL2688">
        <v>79.899523724434601</v>
      </c>
      <c r="AM2688">
        <v>90.683090711286297</v>
      </c>
      <c r="AN2688">
        <v>0.99999994386776603</v>
      </c>
    </row>
    <row r="2689" spans="1:40" x14ac:dyDescent="0.25">
      <c r="A2689" t="str">
        <f>"20190312164040676"</f>
        <v>20190312164040676</v>
      </c>
      <c r="B2689" t="str">
        <f>"1552380040668426"</f>
        <v>1552380040668426</v>
      </c>
      <c r="C2689" t="s">
        <v>40</v>
      </c>
      <c r="D2689">
        <v>5.6615840000000004</v>
      </c>
      <c r="E2689">
        <v>0.47711439999999999</v>
      </c>
      <c r="F2689" t="s">
        <v>49</v>
      </c>
      <c r="G2689">
        <v>-435.44220000000001</v>
      </c>
      <c r="H2689" s="1">
        <v>4.713412E-6</v>
      </c>
      <c r="I2689">
        <v>283.66669999999999</v>
      </c>
      <c r="J2689">
        <v>-420.15660000000003</v>
      </c>
      <c r="K2689">
        <v>1.1097699999999999</v>
      </c>
      <c r="L2689">
        <v>285.31279999999998</v>
      </c>
      <c r="M2689">
        <v>-0.99970979999999998</v>
      </c>
      <c r="N2689">
        <v>0</v>
      </c>
      <c r="O2689">
        <v>-1.9121039999999999E-2</v>
      </c>
      <c r="P2689">
        <v>-0.98662459999999996</v>
      </c>
      <c r="Q2689">
        <v>0.1601091</v>
      </c>
      <c r="R2689">
        <v>-3.0615199999999999E-2</v>
      </c>
      <c r="S2689">
        <v>-3.0662229999999999</v>
      </c>
      <c r="T2689">
        <v>-0.21604689999999999</v>
      </c>
      <c r="U2689">
        <v>-0.32217410000000002</v>
      </c>
      <c r="V2689">
        <v>-1.162852E-2</v>
      </c>
      <c r="W2689">
        <v>0.1745678</v>
      </c>
      <c r="X2689">
        <v>0.98457649999999997</v>
      </c>
      <c r="Y2689">
        <v>-8.5297029999999996E-2</v>
      </c>
      <c r="Z2689">
        <v>-1.651425E-3</v>
      </c>
      <c r="AA2689">
        <v>0.99635419999999997</v>
      </c>
      <c r="AB2689">
        <v>46</v>
      </c>
      <c r="AC2689">
        <v>-15.285599999999899</v>
      </c>
      <c r="AD2689">
        <v>-1.1097652865880001</v>
      </c>
      <c r="AE2689">
        <v>-1.6460999999999899</v>
      </c>
      <c r="AF2689">
        <v>-1.34647506359646</v>
      </c>
      <c r="AG2689">
        <v>-1.1097652865880001</v>
      </c>
      <c r="AH2689">
        <v>15.234900015721299</v>
      </c>
      <c r="AI2689">
        <v>94.150153002812999</v>
      </c>
      <c r="AJ2689">
        <v>95.050732433524999</v>
      </c>
      <c r="AK2689">
        <v>15.334495511011299</v>
      </c>
      <c r="AL2689">
        <v>79.946492392689393</v>
      </c>
      <c r="AM2689">
        <v>90.676670772639795</v>
      </c>
      <c r="AN2689">
        <v>1.0000000118132399</v>
      </c>
    </row>
    <row r="2690" spans="1:40" x14ac:dyDescent="0.25">
      <c r="A2690" t="str">
        <f>"20190312164040697"</f>
        <v>20190312164040697</v>
      </c>
      <c r="B2690" t="str">
        <f>"1552380040688922"</f>
        <v>1552380040688922</v>
      </c>
      <c r="C2690" t="s">
        <v>40</v>
      </c>
      <c r="D2690">
        <v>5.5071760000000003</v>
      </c>
      <c r="E2690">
        <v>0.47651250000000001</v>
      </c>
      <c r="F2690" t="s">
        <v>49</v>
      </c>
      <c r="G2690">
        <v>-438.44040000000001</v>
      </c>
      <c r="H2690" s="1">
        <v>6.0634250000000003E-6</v>
      </c>
      <c r="I2690">
        <v>283.43290000000002</v>
      </c>
      <c r="J2690">
        <v>-420.60879999999997</v>
      </c>
      <c r="K2690">
        <v>1.109742</v>
      </c>
      <c r="L2690">
        <v>285.30439999999999</v>
      </c>
      <c r="M2690">
        <v>-0.99971529999999997</v>
      </c>
      <c r="N2690">
        <v>0</v>
      </c>
      <c r="O2690">
        <v>-1.8835210000000002E-2</v>
      </c>
      <c r="P2690">
        <v>-0.9866492</v>
      </c>
      <c r="Q2690">
        <v>0.15985339999999901</v>
      </c>
      <c r="R2690">
        <v>-3.1152340000000001E-2</v>
      </c>
      <c r="S2690">
        <v>-3.061096</v>
      </c>
      <c r="T2690">
        <v>-0.1857973</v>
      </c>
      <c r="U2690">
        <v>-0.3147278</v>
      </c>
      <c r="V2690">
        <v>-1.2436600000000001E-2</v>
      </c>
      <c r="W2690">
        <v>0.17431099999999999</v>
      </c>
      <c r="X2690">
        <v>0.98461209999999999</v>
      </c>
      <c r="Y2690">
        <v>-8.3402089999999998E-2</v>
      </c>
      <c r="Z2690">
        <v>-1.3831640000000001E-3</v>
      </c>
      <c r="AA2690">
        <v>0.99651500000000004</v>
      </c>
      <c r="AB2690">
        <v>46</v>
      </c>
      <c r="AC2690">
        <v>-17.831600000000002</v>
      </c>
      <c r="AD2690">
        <v>-1.1097359365749999</v>
      </c>
      <c r="AE2690">
        <v>-1.87149999999996</v>
      </c>
      <c r="AF2690">
        <v>-1.5294109394394899</v>
      </c>
      <c r="AG2690">
        <v>-1.1097359365749999</v>
      </c>
      <c r="AH2690">
        <v>17.7955170412028</v>
      </c>
      <c r="AI2690">
        <v>93.555295853851504</v>
      </c>
      <c r="AJ2690">
        <v>94.912135565154003</v>
      </c>
      <c r="AK2690">
        <v>17.895559181940701</v>
      </c>
      <c r="AL2690">
        <v>79.961434835773105</v>
      </c>
      <c r="AM2690">
        <v>90.723662445984303</v>
      </c>
      <c r="AN2690">
        <v>0.99999999060348399</v>
      </c>
    </row>
    <row r="2691" spans="1:40" x14ac:dyDescent="0.25">
      <c r="A2691" t="str">
        <f>"20190312164040720"</f>
        <v>20190312164040720</v>
      </c>
      <c r="B2691" t="str">
        <f>"1552380040708442"</f>
        <v>1552380040708442</v>
      </c>
      <c r="C2691" t="s">
        <v>40</v>
      </c>
      <c r="D2691">
        <v>5.7841709999999997</v>
      </c>
      <c r="E2691">
        <v>0.47695120000000002</v>
      </c>
      <c r="F2691" t="s">
        <v>49</v>
      </c>
      <c r="G2691">
        <v>-437.93819999999999</v>
      </c>
      <c r="H2691" s="1">
        <v>5.8362229999999997E-6</v>
      </c>
      <c r="I2691">
        <v>283.48410000000001</v>
      </c>
      <c r="J2691">
        <v>-421.05410000000001</v>
      </c>
      <c r="K2691">
        <v>1.1097159999999999</v>
      </c>
      <c r="L2691">
        <v>285.2962</v>
      </c>
      <c r="M2691">
        <v>-0.99972090000000002</v>
      </c>
      <c r="N2691">
        <v>0</v>
      </c>
      <c r="O2691">
        <v>-1.8534229999999999E-2</v>
      </c>
      <c r="P2691">
        <v>-0.98659819999999998</v>
      </c>
      <c r="Q2691">
        <v>0.1601571</v>
      </c>
      <c r="R2691">
        <v>-3.1206680000000001E-2</v>
      </c>
      <c r="S2691">
        <v>-3.0622250000000002</v>
      </c>
      <c r="T2691">
        <v>-0.19609860000000001</v>
      </c>
      <c r="U2691">
        <v>-0.32165529999999998</v>
      </c>
      <c r="V2691">
        <v>-1.2777230000000001E-2</v>
      </c>
      <c r="W2691">
        <v>0.17461289999999999</v>
      </c>
      <c r="X2691">
        <v>0.98455420000000005</v>
      </c>
      <c r="Y2691">
        <v>-8.5875880000000002E-2</v>
      </c>
      <c r="Z2691">
        <v>-1.557105E-3</v>
      </c>
      <c r="AA2691">
        <v>0.99630459999999998</v>
      </c>
      <c r="AB2691">
        <v>46</v>
      </c>
      <c r="AC2691">
        <v>-16.884099999999901</v>
      </c>
      <c r="AD2691">
        <v>-1.1097101637769999</v>
      </c>
      <c r="AE2691">
        <v>-1.8120999999999801</v>
      </c>
      <c r="AF2691">
        <v>-1.49244763248582</v>
      </c>
      <c r="AG2691">
        <v>-1.1097101637769999</v>
      </c>
      <c r="AH2691">
        <v>16.842859431240001</v>
      </c>
      <c r="AI2691">
        <v>93.754876697869904</v>
      </c>
      <c r="AJ2691">
        <v>95.063759851728406</v>
      </c>
      <c r="AK2691">
        <v>16.9452285438648</v>
      </c>
      <c r="AL2691">
        <v>79.943867393641796</v>
      </c>
      <c r="AM2691">
        <v>90.743524590038604</v>
      </c>
      <c r="AN2691">
        <v>0.99999994759526001</v>
      </c>
    </row>
    <row r="2692" spans="1:40" x14ac:dyDescent="0.25">
      <c r="A2692" t="str">
        <f>"20190312164040732"</f>
        <v>20190312164040732</v>
      </c>
      <c r="B2692" t="str">
        <f>"1552380040728938"</f>
        <v>1552380040728938</v>
      </c>
      <c r="C2692" t="s">
        <v>40</v>
      </c>
      <c r="D2692">
        <v>5.429684</v>
      </c>
      <c r="E2692">
        <v>0.47867419999999999</v>
      </c>
      <c r="F2692" t="s">
        <v>48</v>
      </c>
      <c r="G2692">
        <v>-440.20010000000002</v>
      </c>
      <c r="H2692" s="1">
        <v>-1.373083E-6</v>
      </c>
      <c r="I2692">
        <v>283.30739999999997</v>
      </c>
      <c r="J2692">
        <v>-421.3227</v>
      </c>
      <c r="K2692">
        <v>1.109696</v>
      </c>
      <c r="L2692">
        <v>285.29140000000001</v>
      </c>
      <c r="M2692">
        <v>-0.99972450000000002</v>
      </c>
      <c r="N2692">
        <v>0</v>
      </c>
      <c r="O2692">
        <v>-1.8341779999999999E-2</v>
      </c>
      <c r="P2692">
        <v>-0.98660479999999995</v>
      </c>
      <c r="Q2692">
        <v>0.16013179999999999</v>
      </c>
      <c r="R2692">
        <v>-3.1129460000000001E-2</v>
      </c>
      <c r="S2692">
        <v>-3.0595089999999998</v>
      </c>
      <c r="T2692">
        <v>-0.17733119999999999</v>
      </c>
      <c r="U2692">
        <v>-0.31781009999999998</v>
      </c>
      <c r="V2692">
        <v>-1.288339E-2</v>
      </c>
      <c r="W2692">
        <v>0.17458609999999999</v>
      </c>
      <c r="X2692">
        <v>0.98455760000000003</v>
      </c>
      <c r="Y2692">
        <v>-8.4946729999999998E-2</v>
      </c>
      <c r="Z2692">
        <v>-1.393952E-3</v>
      </c>
      <c r="AA2692">
        <v>0.99638450000000001</v>
      </c>
      <c r="AB2692">
        <v>46</v>
      </c>
      <c r="AC2692">
        <v>-18.877400000000002</v>
      </c>
      <c r="AD2692">
        <v>-1.109697373083</v>
      </c>
      <c r="AE2692">
        <v>-1.98400000000003</v>
      </c>
      <c r="AF2692">
        <v>-1.6318066297034199</v>
      </c>
      <c r="AG2692">
        <v>-1.109697373083</v>
      </c>
      <c r="AH2692">
        <v>18.846204037026201</v>
      </c>
      <c r="AI2692">
        <v>93.357252306800405</v>
      </c>
      <c r="AJ2692">
        <v>94.948637474373498</v>
      </c>
      <c r="AK2692">
        <v>18.949238183678901</v>
      </c>
      <c r="AL2692">
        <v>79.945427182683503</v>
      </c>
      <c r="AM2692">
        <v>90.749698895616604</v>
      </c>
      <c r="AN2692">
        <v>0.99999997788442996</v>
      </c>
    </row>
    <row r="2693" spans="1:40" x14ac:dyDescent="0.25">
      <c r="A2693" t="str">
        <f>"20190312164040745"</f>
        <v>20190312164040745</v>
      </c>
      <c r="B2693" t="str">
        <f>"1552380040739038"</f>
        <v>1552380040739038</v>
      </c>
      <c r="C2693" t="s">
        <v>40</v>
      </c>
      <c r="D2693">
        <v>5.5581490000000002</v>
      </c>
      <c r="E2693">
        <v>0.50257459999999998</v>
      </c>
      <c r="F2693" t="s">
        <v>48</v>
      </c>
      <c r="G2693">
        <v>-441.0394</v>
      </c>
      <c r="H2693" s="1">
        <v>-9.2761060000000004E-7</v>
      </c>
      <c r="I2693">
        <v>283.33350000000002</v>
      </c>
      <c r="J2693">
        <v>-421.57470000000001</v>
      </c>
      <c r="K2693">
        <v>1.1096809999999999</v>
      </c>
      <c r="L2693">
        <v>285.2869</v>
      </c>
      <c r="M2693">
        <v>-0.99972799999999995</v>
      </c>
      <c r="N2693">
        <v>0</v>
      </c>
      <c r="O2693">
        <v>-1.8155560000000001E-2</v>
      </c>
      <c r="P2693">
        <v>-0.98658900000000005</v>
      </c>
      <c r="Q2693">
        <v>0.16024430000000001</v>
      </c>
      <c r="R2693">
        <v>-3.1053560000000001E-2</v>
      </c>
      <c r="S2693">
        <v>-3.0590820000000001</v>
      </c>
      <c r="T2693">
        <v>-0.17217170000000001</v>
      </c>
      <c r="U2693">
        <v>-0.30377199999999999</v>
      </c>
      <c r="V2693">
        <v>-1.298501E-2</v>
      </c>
      <c r="W2693">
        <v>0.17469789999999999</v>
      </c>
      <c r="X2693">
        <v>0.98453650000000004</v>
      </c>
      <c r="Y2693">
        <v>-8.0632899999999993E-2</v>
      </c>
      <c r="Z2693">
        <v>-1.2433870000000001E-3</v>
      </c>
      <c r="AA2693">
        <v>0.99674309999999999</v>
      </c>
      <c r="AB2693">
        <v>46</v>
      </c>
      <c r="AC2693">
        <v>-19.464700000000001</v>
      </c>
      <c r="AD2693">
        <v>-1.1096819276106</v>
      </c>
      <c r="AE2693">
        <v>-1.95339999999998</v>
      </c>
      <c r="AF2693">
        <v>-1.5945168351213901</v>
      </c>
      <c r="AG2693">
        <v>-1.1096819276106</v>
      </c>
      <c r="AH2693">
        <v>19.434425173807401</v>
      </c>
      <c r="AI2693">
        <v>93.257050160942001</v>
      </c>
      <c r="AJ2693">
        <v>94.690383803068102</v>
      </c>
      <c r="AK2693">
        <v>19.531276449691401</v>
      </c>
      <c r="AL2693">
        <v>79.938922200493195</v>
      </c>
      <c r="AM2693">
        <v>90.755627786253299</v>
      </c>
      <c r="AN2693">
        <v>1.0000000432906699</v>
      </c>
    </row>
    <row r="2694" spans="1:40" x14ac:dyDescent="0.25">
      <c r="A2694" t="str">
        <f>"20190312164040757"</f>
        <v>20190312164040757</v>
      </c>
      <c r="B2694" t="str">
        <f>"1552380040748459"</f>
        <v>1552380040748459</v>
      </c>
      <c r="C2694" t="s">
        <v>40</v>
      </c>
      <c r="D2694">
        <v>5.5372260000000004</v>
      </c>
      <c r="E2694">
        <v>0.50314139999999996</v>
      </c>
      <c r="F2694" t="s">
        <v>48</v>
      </c>
      <c r="G2694">
        <v>-449.09780000000001</v>
      </c>
      <c r="H2694" s="1">
        <v>3.318606E-6</v>
      </c>
      <c r="I2694">
        <v>284.29649999999998</v>
      </c>
      <c r="J2694">
        <v>-421.8184</v>
      </c>
      <c r="K2694">
        <v>1.109667</v>
      </c>
      <c r="L2694">
        <v>285.2826</v>
      </c>
      <c r="M2694">
        <v>-0.99973129999999999</v>
      </c>
      <c r="N2694">
        <v>0</v>
      </c>
      <c r="O2694">
        <v>-1.7970779999999999E-2</v>
      </c>
      <c r="P2694">
        <v>-0.986568</v>
      </c>
      <c r="Q2694">
        <v>0.16039579999999901</v>
      </c>
      <c r="R2694">
        <v>-3.094061E-2</v>
      </c>
      <c r="S2694">
        <v>-3.0573730000000001</v>
      </c>
      <c r="T2694">
        <v>-0.12326719999999999</v>
      </c>
      <c r="U2694">
        <v>-0.1100159</v>
      </c>
      <c r="V2694">
        <v>-1.304803E-2</v>
      </c>
      <c r="W2694">
        <v>0.17484769999999999</v>
      </c>
      <c r="X2694">
        <v>0.98450910000000003</v>
      </c>
      <c r="Y2694">
        <v>-1.799361E-2</v>
      </c>
      <c r="Z2694">
        <v>3.6153869999999997E-4</v>
      </c>
      <c r="AA2694">
        <v>0.99983809999999995</v>
      </c>
      <c r="AB2694">
        <v>46</v>
      </c>
      <c r="AC2694">
        <v>-27.279399999999999</v>
      </c>
      <c r="AD2694">
        <v>-1.109663681394</v>
      </c>
      <c r="AE2694">
        <v>-0.98610000000002096</v>
      </c>
      <c r="AF2694">
        <v>-0.494838342048187</v>
      </c>
      <c r="AG2694">
        <v>-1.109663681394</v>
      </c>
      <c r="AH2694">
        <v>27.2476893825799</v>
      </c>
      <c r="AI2694">
        <v>92.331701076368901</v>
      </c>
      <c r="AJ2694">
        <v>91.040419677182797</v>
      </c>
      <c r="AK2694">
        <v>27.274764804854399</v>
      </c>
      <c r="AL2694">
        <v>79.930205384627101</v>
      </c>
      <c r="AM2694">
        <v>90.759315767154007</v>
      </c>
      <c r="AN2694">
        <v>1.0000000686324799</v>
      </c>
    </row>
    <row r="2695" spans="1:40" x14ac:dyDescent="0.25">
      <c r="A2695" t="str">
        <f>"20190312164040776"</f>
        <v>20190312164040776</v>
      </c>
      <c r="B2695" t="str">
        <f>"1552380040768956"</f>
        <v>1552380040768956</v>
      </c>
      <c r="C2695" t="s">
        <v>40</v>
      </c>
      <c r="D2695">
        <v>5.4965999999999999</v>
      </c>
      <c r="E2695">
        <v>0.50269960000000002</v>
      </c>
      <c r="F2695" t="s">
        <v>48</v>
      </c>
      <c r="G2695">
        <v>-444.79259999999999</v>
      </c>
      <c r="H2695" s="1">
        <v>1.0194999999999999E-6</v>
      </c>
      <c r="I2695">
        <v>284.48129999999998</v>
      </c>
      <c r="J2695">
        <v>-422.2081</v>
      </c>
      <c r="K2695">
        <v>1.10965</v>
      </c>
      <c r="L2695">
        <v>285.2758</v>
      </c>
      <c r="M2695">
        <v>-0.99973690000000004</v>
      </c>
      <c r="N2695">
        <v>0</v>
      </c>
      <c r="O2695">
        <v>-1.7657320000000001E-2</v>
      </c>
      <c r="P2695">
        <v>-0.98665420000000004</v>
      </c>
      <c r="Q2695">
        <v>0.15992519999999999</v>
      </c>
      <c r="R2695">
        <v>-3.0624849999999999E-2</v>
      </c>
      <c r="S2695">
        <v>-3.0615540000000001</v>
      </c>
      <c r="T2695">
        <v>-0.1478747</v>
      </c>
      <c r="U2695">
        <v>-0.106781</v>
      </c>
      <c r="V2695">
        <v>-1.303083E-2</v>
      </c>
      <c r="W2695">
        <v>0.1743767</v>
      </c>
      <c r="X2695">
        <v>0.98459280000000005</v>
      </c>
      <c r="Y2695">
        <v>-1.7203449999999999E-2</v>
      </c>
      <c r="Z2695">
        <v>4.369954E-4</v>
      </c>
      <c r="AA2695">
        <v>0.99985190000000002</v>
      </c>
      <c r="AB2695">
        <v>46</v>
      </c>
      <c r="AC2695">
        <v>-22.584499999999899</v>
      </c>
      <c r="AD2695">
        <v>-1.1096489805</v>
      </c>
      <c r="AE2695">
        <v>-0.79450000000002696</v>
      </c>
      <c r="AF2695">
        <v>-0.39460020300068199</v>
      </c>
      <c r="AG2695">
        <v>-1.1096489805</v>
      </c>
      <c r="AH2695">
        <v>22.540660979308399</v>
      </c>
      <c r="AI2695">
        <v>92.817894358535</v>
      </c>
      <c r="AJ2695">
        <v>91.002926092324401</v>
      </c>
      <c r="AK2695">
        <v>22.571407301368001</v>
      </c>
      <c r="AL2695">
        <v>79.957612140842102</v>
      </c>
      <c r="AM2695">
        <v>90.7582504923692</v>
      </c>
      <c r="AN2695">
        <v>1.0000000089226</v>
      </c>
    </row>
    <row r="2696" spans="1:40" x14ac:dyDescent="0.25">
      <c r="A2696" t="str">
        <f>"20190312164040798"</f>
        <v>20190312164040798</v>
      </c>
      <c r="B2696" t="str">
        <f>"1552380040788474"</f>
        <v>1552380040788474</v>
      </c>
      <c r="C2696" t="s">
        <v>40</v>
      </c>
      <c r="D2696">
        <v>5.5482559999999896</v>
      </c>
      <c r="E2696">
        <v>0.50299649999999996</v>
      </c>
      <c r="F2696" t="s">
        <v>48</v>
      </c>
      <c r="G2696">
        <v>-442.75920000000002</v>
      </c>
      <c r="H2696" s="1">
        <v>-6.5050359999999999E-8</v>
      </c>
      <c r="I2696">
        <v>284.53829999999999</v>
      </c>
      <c r="J2696">
        <v>-422.64729999999997</v>
      </c>
      <c r="K2696">
        <v>1.1096220000000001</v>
      </c>
      <c r="L2696">
        <v>285.26839999999999</v>
      </c>
      <c r="M2696">
        <v>-0.99974350000000001</v>
      </c>
      <c r="N2696">
        <v>0</v>
      </c>
      <c r="O2696">
        <v>-1.7278700000000001E-2</v>
      </c>
      <c r="P2696">
        <v>-0.98671379999999997</v>
      </c>
      <c r="Q2696">
        <v>0.1596514</v>
      </c>
      <c r="R2696">
        <v>-3.012329E-2</v>
      </c>
      <c r="S2696">
        <v>-3.063965</v>
      </c>
      <c r="T2696">
        <v>-0.1654378</v>
      </c>
      <c r="U2696">
        <v>-0.10995480000000001</v>
      </c>
      <c r="V2696">
        <v>-1.2889680000000001E-2</v>
      </c>
      <c r="W2696">
        <v>0.17410210000000001</v>
      </c>
      <c r="X2696">
        <v>0.98464320000000005</v>
      </c>
      <c r="Y2696">
        <v>-1.858667E-2</v>
      </c>
      <c r="Z2696">
        <v>4.3070830000000002E-4</v>
      </c>
      <c r="AA2696">
        <v>0.99982709999999997</v>
      </c>
      <c r="AB2696">
        <v>46</v>
      </c>
      <c r="AC2696">
        <v>-20.111899999999999</v>
      </c>
      <c r="AD2696">
        <v>-1.1096220650503601</v>
      </c>
      <c r="AE2696">
        <v>-0.73009999999999298</v>
      </c>
      <c r="AF2696">
        <v>-0.38128713087051103</v>
      </c>
      <c r="AG2696">
        <v>-1.1096220650503601</v>
      </c>
      <c r="AH2696">
        <v>20.060529634277</v>
      </c>
      <c r="AI2696">
        <v>93.165444560334507</v>
      </c>
      <c r="AJ2696">
        <v>91.088880186092197</v>
      </c>
      <c r="AK2696">
        <v>20.094812519929601</v>
      </c>
      <c r="AL2696">
        <v>79.973589455598002</v>
      </c>
      <c r="AM2696">
        <v>90.749999676481295</v>
      </c>
      <c r="AN2696">
        <v>0.99999995819057497</v>
      </c>
    </row>
    <row r="2697" spans="1:40" x14ac:dyDescent="0.25">
      <c r="A2697" t="str">
        <f>"20190312164040809"</f>
        <v>20190312164040809</v>
      </c>
      <c r="B2697" t="str">
        <f>"1552380040799209"</f>
        <v>1552380040799209</v>
      </c>
      <c r="C2697" t="s">
        <v>40</v>
      </c>
      <c r="D2697">
        <v>5.6020699999999897</v>
      </c>
      <c r="E2697">
        <v>0.50321300000000002</v>
      </c>
      <c r="F2697" t="s">
        <v>48</v>
      </c>
      <c r="G2697">
        <v>-443.16289999999998</v>
      </c>
      <c r="H2697" s="1">
        <v>1.4894000000000001E-7</v>
      </c>
      <c r="I2697">
        <v>284.5575</v>
      </c>
      <c r="J2697">
        <v>-422.88760000000002</v>
      </c>
      <c r="K2697">
        <v>1.1096060000000001</v>
      </c>
      <c r="L2697">
        <v>285.26440000000002</v>
      </c>
      <c r="M2697">
        <v>-0.99974750000000001</v>
      </c>
      <c r="N2697">
        <v>0</v>
      </c>
      <c r="O2697">
        <v>-1.7055009999999999E-2</v>
      </c>
      <c r="P2697">
        <v>-0.98674119999999998</v>
      </c>
      <c r="Q2697">
        <v>0.15958</v>
      </c>
      <c r="R2697">
        <v>-2.9598860000000001E-2</v>
      </c>
      <c r="S2697">
        <v>-3.0639949999999998</v>
      </c>
      <c r="T2697">
        <v>-0.16572110000000001</v>
      </c>
      <c r="U2697">
        <v>-0.10617070000000001</v>
      </c>
      <c r="V2697">
        <v>-1.2578550000000001E-2</v>
      </c>
      <c r="W2697">
        <v>0.17402970000000001</v>
      </c>
      <c r="X2697">
        <v>0.98465999999999998</v>
      </c>
      <c r="Y2697">
        <v>-1.7577849999999999E-2</v>
      </c>
      <c r="Z2697">
        <v>4.4662130000000001E-4</v>
      </c>
      <c r="AA2697">
        <v>0.9998454</v>
      </c>
      <c r="AB2697">
        <v>46</v>
      </c>
      <c r="AC2697">
        <v>-20.275299999999898</v>
      </c>
      <c r="AD2697">
        <v>-1.10960585105999</v>
      </c>
      <c r="AE2697">
        <v>-0.70690000000001796</v>
      </c>
      <c r="AF2697">
        <v>-0.35988812877293502</v>
      </c>
      <c r="AG2697">
        <v>-1.10960585105999</v>
      </c>
      <c r="AH2697">
        <v>20.223909941463202</v>
      </c>
      <c r="AI2697">
        <v>93.139947719700004</v>
      </c>
      <c r="AJ2697">
        <v>91.019481137593303</v>
      </c>
      <c r="AK2697">
        <v>20.2575239832106</v>
      </c>
      <c r="AL2697">
        <v>79.977801753881494</v>
      </c>
      <c r="AM2697">
        <v>90.731885755612794</v>
      </c>
      <c r="AN2697">
        <v>0.99999993600109405</v>
      </c>
    </row>
    <row r="2698" spans="1:40" x14ac:dyDescent="0.25">
      <c r="A2698" t="str">
        <f>"20190312164040822"</f>
        <v>20190312164040822</v>
      </c>
      <c r="B2698" t="str">
        <f>"1552380040808970"</f>
        <v>1552380040808970</v>
      </c>
      <c r="C2698" t="s">
        <v>40</v>
      </c>
      <c r="D2698">
        <v>5.4625219999999999</v>
      </c>
      <c r="E2698">
        <v>0.50315889999999996</v>
      </c>
      <c r="F2698" t="s">
        <v>48</v>
      </c>
      <c r="G2698">
        <v>-442.77870000000001</v>
      </c>
      <c r="H2698" s="1">
        <v>-5.7175090000000003E-8</v>
      </c>
      <c r="I2698">
        <v>284.59550000000002</v>
      </c>
      <c r="J2698">
        <v>-423.13940000000002</v>
      </c>
      <c r="K2698">
        <v>1.1095870000000001</v>
      </c>
      <c r="L2698">
        <v>285.2602</v>
      </c>
      <c r="M2698">
        <v>-0.99975159999999996</v>
      </c>
      <c r="N2698">
        <v>0</v>
      </c>
      <c r="O2698">
        <v>-1.6814260000000001E-2</v>
      </c>
      <c r="P2698">
        <v>-0.98674770000000001</v>
      </c>
      <c r="Q2698">
        <v>0.15959309999999999</v>
      </c>
      <c r="R2698">
        <v>-2.9314079999999999E-2</v>
      </c>
      <c r="S2698">
        <v>-3.06488</v>
      </c>
      <c r="T2698">
        <v>-0.17097119999999999</v>
      </c>
      <c r="U2698">
        <v>-0.10305789999999999</v>
      </c>
      <c r="V2698">
        <v>-1.252265E-2</v>
      </c>
      <c r="W2698">
        <v>0.17404149999999999</v>
      </c>
      <c r="X2698">
        <v>0.9846587</v>
      </c>
      <c r="Y2698">
        <v>-1.679514E-2</v>
      </c>
      <c r="Z2698">
        <v>4.6902020000000002E-4</v>
      </c>
      <c r="AA2698">
        <v>0.99985889999999999</v>
      </c>
      <c r="AB2698">
        <v>45</v>
      </c>
      <c r="AC2698">
        <v>-19.639299999999899</v>
      </c>
      <c r="AD2698">
        <v>-1.1095870571750901</v>
      </c>
      <c r="AE2698">
        <v>-0.66469999999998197</v>
      </c>
      <c r="AF2698">
        <v>-0.333287716283374</v>
      </c>
      <c r="AG2698">
        <v>-1.1095870571750901</v>
      </c>
      <c r="AH2698">
        <v>19.585254904486899</v>
      </c>
      <c r="AI2698">
        <v>93.242112195970407</v>
      </c>
      <c r="AJ2698">
        <v>90.974924074231495</v>
      </c>
      <c r="AK2698">
        <v>19.619492190497802</v>
      </c>
      <c r="AL2698">
        <v>79.977115915119001</v>
      </c>
      <c r="AM2698">
        <v>90.728634514888796</v>
      </c>
      <c r="AN2698">
        <v>1.0000000079854801</v>
      </c>
    </row>
    <row r="2699" spans="1:40" x14ac:dyDescent="0.25">
      <c r="A2699" t="str">
        <f>"20190312164040834"</f>
        <v>20190312164040834</v>
      </c>
      <c r="B2699" t="str">
        <f>"1552380040828491"</f>
        <v>1552380040828491</v>
      </c>
      <c r="C2699" t="s">
        <v>40</v>
      </c>
      <c r="D2699">
        <v>5.5477790000000002</v>
      </c>
      <c r="E2699">
        <v>0.50373659999999998</v>
      </c>
      <c r="F2699" t="s">
        <v>48</v>
      </c>
      <c r="G2699">
        <v>-442.71120000000002</v>
      </c>
      <c r="H2699" s="1">
        <v>-9.3449149999999993E-8</v>
      </c>
      <c r="I2699">
        <v>284.60359999999997</v>
      </c>
      <c r="J2699">
        <v>-423.40069999999997</v>
      </c>
      <c r="K2699">
        <v>1.1095660000000001</v>
      </c>
      <c r="L2699">
        <v>285.25599999999997</v>
      </c>
      <c r="M2699">
        <v>-0.99975599999999998</v>
      </c>
      <c r="N2699">
        <v>0</v>
      </c>
      <c r="O2699">
        <v>-1.655214E-2</v>
      </c>
      <c r="P2699">
        <v>-0.98673789999999995</v>
      </c>
      <c r="Q2699">
        <v>0.15971579999999999</v>
      </c>
      <c r="R2699">
        <v>-2.8978150000000001E-2</v>
      </c>
      <c r="S2699">
        <v>-3.0653380000000001</v>
      </c>
      <c r="T2699">
        <v>-0.17378379999999999</v>
      </c>
      <c r="U2699">
        <v>-0.1028442</v>
      </c>
      <c r="V2699">
        <v>-1.2436930000000001E-2</v>
      </c>
      <c r="W2699">
        <v>0.1741626</v>
      </c>
      <c r="X2699">
        <v>0.98463829999999997</v>
      </c>
      <c r="Y2699">
        <v>-1.6981949999999999E-2</v>
      </c>
      <c r="Z2699">
        <v>4.5652140000000002E-4</v>
      </c>
      <c r="AA2699">
        <v>0.99985570000000001</v>
      </c>
      <c r="AB2699">
        <v>45</v>
      </c>
      <c r="AC2699">
        <v>-19.310500000000001</v>
      </c>
      <c r="AD2699">
        <v>-1.10956609344914</v>
      </c>
      <c r="AE2699">
        <v>-0.65239999999999998</v>
      </c>
      <c r="AF2699">
        <v>-0.33155291039564699</v>
      </c>
      <c r="AG2699">
        <v>-1.10956609344914</v>
      </c>
      <c r="AH2699">
        <v>19.2551541574569</v>
      </c>
      <c r="AI2699">
        <v>93.297498203650903</v>
      </c>
      <c r="AJ2699">
        <v>90.986473813203901</v>
      </c>
      <c r="AK2699">
        <v>19.289946238275402</v>
      </c>
      <c r="AL2699">
        <v>79.970069046940097</v>
      </c>
      <c r="AM2699">
        <v>90.723662391803401</v>
      </c>
      <c r="AN2699">
        <v>0.99999993514673502</v>
      </c>
    </row>
    <row r="2700" spans="1:40" x14ac:dyDescent="0.25">
      <c r="A2700" t="str">
        <f>"20190312164040847"</f>
        <v>20190312164040847</v>
      </c>
      <c r="B2700" t="str">
        <f>"1552380040839227"</f>
        <v>1552380040839227</v>
      </c>
      <c r="C2700" t="s">
        <v>40</v>
      </c>
      <c r="D2700">
        <v>5.6002239999999999</v>
      </c>
      <c r="E2700">
        <v>0.50392840000000005</v>
      </c>
      <c r="F2700" t="s">
        <v>48</v>
      </c>
      <c r="G2700">
        <v>-442.33800000000002</v>
      </c>
      <c r="H2700" s="1">
        <v>-2.9427450000000002E-7</v>
      </c>
      <c r="I2700">
        <v>284.65429999999998</v>
      </c>
      <c r="J2700">
        <v>-423.64699999999999</v>
      </c>
      <c r="K2700">
        <v>1.1095459999999999</v>
      </c>
      <c r="L2700">
        <v>285.25209999999998</v>
      </c>
      <c r="M2700">
        <v>-0.99976019999999999</v>
      </c>
      <c r="N2700">
        <v>0</v>
      </c>
      <c r="O2700">
        <v>-1.629181E-2</v>
      </c>
      <c r="P2700">
        <v>-0.98670469999999999</v>
      </c>
      <c r="Q2700">
        <v>0.159938</v>
      </c>
      <c r="R2700">
        <v>-2.8875979999999999E-2</v>
      </c>
      <c r="S2700">
        <v>-3.066589</v>
      </c>
      <c r="T2700">
        <v>-0.17967640000000001</v>
      </c>
      <c r="U2700">
        <v>-9.7442630000000002E-2</v>
      </c>
      <c r="V2700">
        <v>-1.2583850000000001E-2</v>
      </c>
      <c r="W2700">
        <v>0.17438429999999999</v>
      </c>
      <c r="X2700">
        <v>0.98459730000000001</v>
      </c>
      <c r="Y2700">
        <v>-1.547139E-2</v>
      </c>
      <c r="Z2700">
        <v>5.0076959999999996E-4</v>
      </c>
      <c r="AA2700">
        <v>0.9998802</v>
      </c>
      <c r="AB2700">
        <v>45</v>
      </c>
      <c r="AC2700">
        <v>-18.690999999999999</v>
      </c>
      <c r="AD2700">
        <v>-1.1095462942745</v>
      </c>
      <c r="AE2700">
        <v>-0.59780000000000599</v>
      </c>
      <c r="AF2700">
        <v>-0.29214935775933298</v>
      </c>
      <c r="AG2700">
        <v>-1.1095462942745</v>
      </c>
      <c r="AH2700">
        <v>18.6326661910743</v>
      </c>
      <c r="AI2700">
        <v>93.407432431355005</v>
      </c>
      <c r="AJ2700">
        <v>90.898290856257205</v>
      </c>
      <c r="AK2700">
        <v>18.667959010410801</v>
      </c>
      <c r="AL2700">
        <v>79.957170235378499</v>
      </c>
      <c r="AM2700">
        <v>90.732240725408204</v>
      </c>
      <c r="AN2700">
        <v>1.0000000402672999</v>
      </c>
    </row>
    <row r="2701" spans="1:40" x14ac:dyDescent="0.25">
      <c r="A2701" t="str">
        <f>"20190312164040859"</f>
        <v>20190312164040859</v>
      </c>
      <c r="B2701" t="str">
        <f>"1552380040848987"</f>
        <v>1552380040848987</v>
      </c>
      <c r="C2701" t="s">
        <v>40</v>
      </c>
      <c r="D2701">
        <v>5.5544070000000003</v>
      </c>
      <c r="E2701">
        <v>0.5041021</v>
      </c>
      <c r="F2701" t="s">
        <v>48</v>
      </c>
      <c r="G2701">
        <v>-442.39019999999999</v>
      </c>
      <c r="H2701" s="1">
        <v>-2.6703840000000001E-7</v>
      </c>
      <c r="I2701">
        <v>284.6671</v>
      </c>
      <c r="J2701">
        <v>-423.89690000000002</v>
      </c>
      <c r="K2701">
        <v>1.1095250000000001</v>
      </c>
      <c r="L2701">
        <v>285.2482</v>
      </c>
      <c r="M2701">
        <v>-0.9997646</v>
      </c>
      <c r="N2701">
        <v>0</v>
      </c>
      <c r="O2701">
        <v>-1.6020630000000001E-2</v>
      </c>
      <c r="P2701">
        <v>-0.98665950000000002</v>
      </c>
      <c r="Q2701">
        <v>0.1602555</v>
      </c>
      <c r="R2701">
        <v>-2.8663460000000002E-2</v>
      </c>
      <c r="S2701">
        <v>-3.0670470000000001</v>
      </c>
      <c r="T2701">
        <v>-0.1815602</v>
      </c>
      <c r="U2701">
        <v>-9.5733639999999995E-2</v>
      </c>
      <c r="V2701">
        <v>-1.2630550000000001E-2</v>
      </c>
      <c r="W2701">
        <v>0.17469979999999999</v>
      </c>
      <c r="X2701">
        <v>0.98454079999999999</v>
      </c>
      <c r="Y2701">
        <v>-1.518134E-2</v>
      </c>
      <c r="Z2701">
        <v>4.9848299999999998E-4</v>
      </c>
      <c r="AA2701">
        <v>0.99988460000000001</v>
      </c>
      <c r="AB2701">
        <v>45</v>
      </c>
      <c r="AC2701">
        <v>-18.493299999999898</v>
      </c>
      <c r="AD2701">
        <v>-1.1095252670383999</v>
      </c>
      <c r="AE2701">
        <v>-0.58109999999999196</v>
      </c>
      <c r="AF2701">
        <v>-0.28369919490470002</v>
      </c>
      <c r="AG2701">
        <v>-1.1095252670383999</v>
      </c>
      <c r="AH2701">
        <v>18.433948608079099</v>
      </c>
      <c r="AI2701">
        <v>93.444026862941399</v>
      </c>
      <c r="AJ2701">
        <v>90.881714694743096</v>
      </c>
      <c r="AK2701">
        <v>18.4694881584923</v>
      </c>
      <c r="AL2701">
        <v>79.938811898511403</v>
      </c>
      <c r="AM2701">
        <v>90.735000023274296</v>
      </c>
      <c r="AN2701">
        <v>1.0000000688889801</v>
      </c>
    </row>
    <row r="2702" spans="1:40" x14ac:dyDescent="0.25">
      <c r="A2702" t="str">
        <f>"20190312164040876"</f>
        <v>20190312164040876</v>
      </c>
      <c r="B2702" t="str">
        <f>"1552380040868506"</f>
        <v>1552380040868506</v>
      </c>
      <c r="C2702" t="s">
        <v>40</v>
      </c>
      <c r="D2702">
        <v>5.4597230000000003</v>
      </c>
      <c r="E2702">
        <v>0.50359739999999997</v>
      </c>
      <c r="F2702" t="s">
        <v>48</v>
      </c>
      <c r="G2702">
        <v>-442.49599999999998</v>
      </c>
      <c r="H2702" s="1">
        <v>-2.1126009999999999E-7</v>
      </c>
      <c r="I2702">
        <v>284.6789</v>
      </c>
      <c r="J2702">
        <v>-424.24650000000003</v>
      </c>
      <c r="K2702">
        <v>1.109486</v>
      </c>
      <c r="L2702">
        <v>285.24290000000002</v>
      </c>
      <c r="M2702">
        <v>-0.99977099999999997</v>
      </c>
      <c r="N2702">
        <v>0</v>
      </c>
      <c r="O2702">
        <v>-1.561601E-2</v>
      </c>
      <c r="P2702">
        <v>-0.9866568</v>
      </c>
      <c r="Q2702">
        <v>0.16027429999999901</v>
      </c>
      <c r="R2702">
        <v>-2.8649999999999998E-2</v>
      </c>
      <c r="S2702">
        <v>-3.067596</v>
      </c>
      <c r="T2702">
        <v>-0.18299599999999999</v>
      </c>
      <c r="U2702">
        <v>-9.3902589999999994E-2</v>
      </c>
      <c r="V2702">
        <v>-1.30027999999999E-2</v>
      </c>
      <c r="W2702">
        <v>0.17471809999999999</v>
      </c>
      <c r="X2702">
        <v>0.98453270000000004</v>
      </c>
      <c r="Y2702">
        <v>-1.498382E-2</v>
      </c>
      <c r="Z2702">
        <v>4.8411150000000002E-4</v>
      </c>
      <c r="AA2702">
        <v>0.99988759999999999</v>
      </c>
      <c r="AB2702">
        <v>45</v>
      </c>
      <c r="AC2702">
        <v>-18.249499999999902</v>
      </c>
      <c r="AD2702">
        <v>-1.1094862112601001</v>
      </c>
      <c r="AE2702">
        <v>-0.56400000000002104</v>
      </c>
      <c r="AF2702">
        <v>-0.27789020182678598</v>
      </c>
      <c r="AG2702">
        <v>-1.1094862112601001</v>
      </c>
      <c r="AH2702">
        <v>18.188918970625199</v>
      </c>
      <c r="AI2702">
        <v>93.4901921065306</v>
      </c>
      <c r="AJ2702">
        <v>90.875296498624905</v>
      </c>
      <c r="AK2702">
        <v>18.224844469493199</v>
      </c>
      <c r="AL2702">
        <v>79.937746941169806</v>
      </c>
      <c r="AM2702">
        <v>90.756665827399502</v>
      </c>
      <c r="AN2702">
        <v>1.0000000623223599</v>
      </c>
    </row>
    <row r="2703" spans="1:40" x14ac:dyDescent="0.25">
      <c r="A2703" t="str">
        <f>"20190312164040900"</f>
        <v>20190312164040900</v>
      </c>
      <c r="B2703" t="str">
        <f>"1552380040889002"</f>
        <v>1552380040889002</v>
      </c>
      <c r="C2703" t="s">
        <v>40</v>
      </c>
      <c r="D2703">
        <v>5.52189</v>
      </c>
      <c r="E2703">
        <v>0.5033301</v>
      </c>
      <c r="F2703" t="s">
        <v>48</v>
      </c>
      <c r="G2703">
        <v>-442.76089999999999</v>
      </c>
      <c r="H2703" s="1">
        <v>-6.9203839999999898E-8</v>
      </c>
      <c r="I2703">
        <v>284.65370000000001</v>
      </c>
      <c r="J2703">
        <v>-424.7063</v>
      </c>
      <c r="K2703">
        <v>1.1094459999999999</v>
      </c>
      <c r="L2703">
        <v>285.2362</v>
      </c>
      <c r="M2703">
        <v>-0.9997798</v>
      </c>
      <c r="N2703">
        <v>0</v>
      </c>
      <c r="O2703">
        <v>-1.5044899999999899E-2</v>
      </c>
      <c r="P2703">
        <v>-0.9866876</v>
      </c>
      <c r="Q2703">
        <v>0.1601311</v>
      </c>
      <c r="R2703">
        <v>-2.8387699999999998E-2</v>
      </c>
      <c r="S2703">
        <v>-3.067596</v>
      </c>
      <c r="T2703">
        <v>-0.18382760000000001</v>
      </c>
      <c r="U2703">
        <v>-9.7625729999999994E-2</v>
      </c>
      <c r="V2703">
        <v>-1.328528E-2</v>
      </c>
      <c r="W2703">
        <v>0.17457439999999999</v>
      </c>
      <c r="X2703">
        <v>0.98455440000000005</v>
      </c>
      <c r="Y2703">
        <v>-1.6763150000000001E-2</v>
      </c>
      <c r="Z2703">
        <v>3.9886229999999998E-4</v>
      </c>
      <c r="AA2703">
        <v>0.99985939999999995</v>
      </c>
      <c r="AB2703">
        <v>45</v>
      </c>
      <c r="AC2703">
        <v>-18.054599999999901</v>
      </c>
      <c r="AD2703">
        <v>-1.1094460692038399</v>
      </c>
      <c r="AE2703">
        <v>-0.58249999999998103</v>
      </c>
      <c r="AF2703">
        <v>-0.30960746241614701</v>
      </c>
      <c r="AG2703">
        <v>-1.1094460692038399</v>
      </c>
      <c r="AH2703">
        <v>17.993447382156202</v>
      </c>
      <c r="AI2703">
        <v>93.527774981093202</v>
      </c>
      <c r="AJ2703">
        <v>90.985772773608304</v>
      </c>
      <c r="AK2703">
        <v>18.030276649449402</v>
      </c>
      <c r="AL2703">
        <v>79.946108661938098</v>
      </c>
      <c r="AM2703">
        <v>90.773085041858593</v>
      </c>
      <c r="AN2703">
        <v>1.00000004317969</v>
      </c>
    </row>
    <row r="2704" spans="1:40" x14ac:dyDescent="0.25">
      <c r="A2704" t="str">
        <f>"20190312164040922"</f>
        <v>20190312164040922</v>
      </c>
      <c r="B2704" t="str">
        <f>"1552380040908523"</f>
        <v>1552380040908523</v>
      </c>
      <c r="C2704" t="s">
        <v>40</v>
      </c>
      <c r="D2704">
        <v>5.4233289999999998</v>
      </c>
      <c r="E2704">
        <v>0.50308989999999998</v>
      </c>
      <c r="F2704" t="s">
        <v>48</v>
      </c>
      <c r="G2704">
        <v>-443.68920000000003</v>
      </c>
      <c r="H2704" s="1">
        <v>4.2597510000000002E-7</v>
      </c>
      <c r="I2704">
        <v>284.6266</v>
      </c>
      <c r="J2704">
        <v>-425.14550000000003</v>
      </c>
      <c r="K2704">
        <v>1.1094010000000001</v>
      </c>
      <c r="L2704">
        <v>285.23</v>
      </c>
      <c r="M2704">
        <v>-0.99978860000000003</v>
      </c>
      <c r="N2704">
        <v>0</v>
      </c>
      <c r="O2704">
        <v>-1.4451830000000001E-2</v>
      </c>
      <c r="P2704">
        <v>-0.98670800000000003</v>
      </c>
      <c r="Q2704">
        <v>0.16001399999999999</v>
      </c>
      <c r="R2704">
        <v>-2.8337680000000001E-2</v>
      </c>
      <c r="S2704">
        <v>-3.0667420000000001</v>
      </c>
      <c r="T2704">
        <v>-0.17923430000000001</v>
      </c>
      <c r="U2704">
        <v>-9.8480219999999993E-2</v>
      </c>
      <c r="V2704">
        <v>-1.3801529999999999E-2</v>
      </c>
      <c r="W2704">
        <v>0.17445749999999999</v>
      </c>
      <c r="X2704">
        <v>0.984568</v>
      </c>
      <c r="Y2704">
        <v>-1.7641069999999998E-2</v>
      </c>
      <c r="Z2704">
        <v>3.287729E-4</v>
      </c>
      <c r="AA2704">
        <v>0.99984430000000002</v>
      </c>
      <c r="AB2704">
        <v>45</v>
      </c>
      <c r="AC2704">
        <v>-18.543700000000001</v>
      </c>
      <c r="AD2704">
        <v>-1.1094005740249</v>
      </c>
      <c r="AE2704">
        <v>-0.60340000000002103</v>
      </c>
      <c r="AF2704">
        <v>-0.33412328170354499</v>
      </c>
      <c r="AG2704">
        <v>-1.1094005740249</v>
      </c>
      <c r="AH2704">
        <v>18.4843951060157</v>
      </c>
      <c r="AI2704">
        <v>93.434111156049596</v>
      </c>
      <c r="AJ2704">
        <v>91.035563736509502</v>
      </c>
      <c r="AK2704">
        <v>18.520671435893501</v>
      </c>
      <c r="AL2704">
        <v>79.952910729528199</v>
      </c>
      <c r="AM2704">
        <v>90.803111243179501</v>
      </c>
      <c r="AN2704">
        <v>1.00000002408029</v>
      </c>
    </row>
    <row r="2705" spans="1:40" x14ac:dyDescent="0.25">
      <c r="A2705" t="str">
        <f>"20190312164040934"</f>
        <v>20190312164040934</v>
      </c>
      <c r="B2705" t="str">
        <f>"1552380040929019"</f>
        <v>1552380040929019</v>
      </c>
      <c r="C2705" t="s">
        <v>40</v>
      </c>
      <c r="D2705">
        <v>5.4255839999999997</v>
      </c>
      <c r="E2705">
        <v>0.50290599999999996</v>
      </c>
      <c r="F2705" t="s">
        <v>48</v>
      </c>
      <c r="G2705">
        <v>-444.58479999999997</v>
      </c>
      <c r="H2705" s="1">
        <v>9.038849E-7</v>
      </c>
      <c r="I2705">
        <v>284.59690000000001</v>
      </c>
      <c r="J2705">
        <v>-425.42959999999999</v>
      </c>
      <c r="K2705">
        <v>1.1093740000000001</v>
      </c>
      <c r="L2705">
        <v>285.22620000000001</v>
      </c>
      <c r="M2705">
        <v>-0.99979439999999997</v>
      </c>
      <c r="N2705">
        <v>0</v>
      </c>
      <c r="O2705">
        <v>-1.4047489999999999E-2</v>
      </c>
      <c r="P2705">
        <v>-0.98671730000000002</v>
      </c>
      <c r="Q2705">
        <v>0.15997410000000001</v>
      </c>
      <c r="R2705">
        <v>-2.8238559999999999E-2</v>
      </c>
      <c r="S2705">
        <v>-3.0659480000000001</v>
      </c>
      <c r="T2705">
        <v>-0.1749732</v>
      </c>
      <c r="U2705">
        <v>-9.9853520000000001E-2</v>
      </c>
      <c r="V2705">
        <v>-1.408848E-2</v>
      </c>
      <c r="W2705">
        <v>0.17441760000000001</v>
      </c>
      <c r="X2705">
        <v>0.98457099999999997</v>
      </c>
      <c r="Y2705">
        <v>-1.8499310000000001E-2</v>
      </c>
      <c r="Z2705">
        <v>2.7353719999999998E-4</v>
      </c>
      <c r="AA2705">
        <v>0.99982879999999996</v>
      </c>
      <c r="AB2705">
        <v>45</v>
      </c>
      <c r="AC2705">
        <v>-19.155199999999901</v>
      </c>
      <c r="AD2705">
        <v>-1.1093730961151</v>
      </c>
      <c r="AE2705">
        <v>-0.62929999999999997</v>
      </c>
      <c r="AF2705">
        <v>-0.35892405421215301</v>
      </c>
      <c r="AG2705">
        <v>-1.1093730961151</v>
      </c>
      <c r="AH2705">
        <v>19.0981616199767</v>
      </c>
      <c r="AI2705">
        <v>93.323873080229703</v>
      </c>
      <c r="AJ2705">
        <v>91.076669745524896</v>
      </c>
      <c r="AK2705">
        <v>19.133721864964699</v>
      </c>
      <c r="AL2705">
        <v>79.955232377756104</v>
      </c>
      <c r="AM2705">
        <v>90.819804114790898</v>
      </c>
      <c r="AN2705">
        <v>1.00000001924973</v>
      </c>
    </row>
    <row r="2706" spans="1:40" x14ac:dyDescent="0.25">
      <c r="A2706" t="str">
        <f>"20190312164040955"</f>
        <v>20190312164040955</v>
      </c>
      <c r="B2706" t="str">
        <f>"1552380040948542"</f>
        <v>1552380040948542</v>
      </c>
      <c r="C2706" t="s">
        <v>40</v>
      </c>
      <c r="D2706">
        <v>5.5440649999999998</v>
      </c>
      <c r="E2706">
        <v>0.50285040000000003</v>
      </c>
      <c r="F2706" t="s">
        <v>48</v>
      </c>
      <c r="G2706">
        <v>-445.12520000000001</v>
      </c>
      <c r="H2706" s="1">
        <v>1.192284E-6</v>
      </c>
      <c r="I2706">
        <v>284.57679999999999</v>
      </c>
      <c r="J2706">
        <v>-425.83730000000003</v>
      </c>
      <c r="K2706">
        <v>1.109337</v>
      </c>
      <c r="L2706">
        <v>285.22089999999997</v>
      </c>
      <c r="M2706">
        <v>-0.99980290000000005</v>
      </c>
      <c r="N2706">
        <v>0</v>
      </c>
      <c r="O2706">
        <v>-1.3437799999999901E-2</v>
      </c>
      <c r="P2706">
        <v>-0.98659419999999998</v>
      </c>
      <c r="Q2706">
        <v>0.1607142</v>
      </c>
      <c r="R2706">
        <v>-2.8341089999999999E-2</v>
      </c>
      <c r="S2706">
        <v>-3.0655209999999999</v>
      </c>
      <c r="T2706">
        <v>-0.17266860000000001</v>
      </c>
      <c r="U2706">
        <v>-0.1010742</v>
      </c>
      <c r="V2706">
        <v>-1.477523E-2</v>
      </c>
      <c r="W2706">
        <v>0.17515610000000001</v>
      </c>
      <c r="X2706">
        <v>0.98442980000000002</v>
      </c>
      <c r="Y2706">
        <v>-1.9508870000000001E-2</v>
      </c>
      <c r="Z2706">
        <v>2.0727030000000001E-4</v>
      </c>
      <c r="AA2706">
        <v>0.99980970000000002</v>
      </c>
      <c r="AB2706">
        <v>45</v>
      </c>
      <c r="AC2706">
        <v>-19.287899999999901</v>
      </c>
      <c r="AD2706">
        <v>-1.1093358077159901</v>
      </c>
      <c r="AE2706">
        <v>-0.64409999999998002</v>
      </c>
      <c r="AF2706">
        <v>-0.38355982911304598</v>
      </c>
      <c r="AG2706">
        <v>-1.1093358077159901</v>
      </c>
      <c r="AH2706">
        <v>19.231269499223</v>
      </c>
      <c r="AI2706">
        <v>93.300734076946199</v>
      </c>
      <c r="AJ2706">
        <v>91.1425894752727</v>
      </c>
      <c r="AK2706">
        <v>19.2670566155948</v>
      </c>
      <c r="AL2706">
        <v>79.912257701215694</v>
      </c>
      <c r="AM2706">
        <v>90.859883316717699</v>
      </c>
      <c r="AN2706">
        <v>0.99999999895840097</v>
      </c>
    </row>
    <row r="2707" spans="1:40" x14ac:dyDescent="0.25">
      <c r="A2707" t="str">
        <f>"20190312164040976"</f>
        <v>20190312164040976</v>
      </c>
      <c r="B2707" t="str">
        <f>"1552380040969037"</f>
        <v>1552380040969037</v>
      </c>
      <c r="C2707" t="s">
        <v>40</v>
      </c>
      <c r="D2707">
        <v>5.5300060000000002</v>
      </c>
      <c r="E2707">
        <v>0.50279679999999904</v>
      </c>
      <c r="F2707" t="s">
        <v>48</v>
      </c>
      <c r="G2707">
        <v>-445.637</v>
      </c>
      <c r="H2707" s="1">
        <v>1.4652810000000001E-6</v>
      </c>
      <c r="I2707">
        <v>284.56330000000003</v>
      </c>
      <c r="J2707">
        <v>-426.26870000000002</v>
      </c>
      <c r="K2707">
        <v>1.1092900000000001</v>
      </c>
      <c r="L2707">
        <v>285.21559999999999</v>
      </c>
      <c r="M2707">
        <v>-0.99981180000000003</v>
      </c>
      <c r="N2707">
        <v>0</v>
      </c>
      <c r="O2707">
        <v>-1.2751759999999999E-2</v>
      </c>
      <c r="P2707">
        <v>-0.98659779999999997</v>
      </c>
      <c r="Q2707">
        <v>0.1607547</v>
      </c>
      <c r="R2707">
        <v>-2.7983830000000001E-2</v>
      </c>
      <c r="S2707">
        <v>-3.0658259999999999</v>
      </c>
      <c r="T2707">
        <v>-0.17177190000000001</v>
      </c>
      <c r="U2707">
        <v>-0.1018372</v>
      </c>
      <c r="V2707">
        <v>-1.5075079999999999E-2</v>
      </c>
      <c r="W2707">
        <v>0.17519650000000001</v>
      </c>
      <c r="X2707">
        <v>0.98441809999999996</v>
      </c>
      <c r="Y2707">
        <v>-2.0437739999999999E-2</v>
      </c>
      <c r="Z2707">
        <v>1.417864E-4</v>
      </c>
      <c r="AA2707">
        <v>0.99979110000000004</v>
      </c>
      <c r="AB2707">
        <v>45</v>
      </c>
      <c r="AC2707">
        <v>-19.368299999999898</v>
      </c>
      <c r="AD2707">
        <v>-1.10928853471899</v>
      </c>
      <c r="AE2707">
        <v>-0.65229999999996802</v>
      </c>
      <c r="AF2707">
        <v>-0.40391719230946099</v>
      </c>
      <c r="AG2707">
        <v>-1.10928853471899</v>
      </c>
      <c r="AH2707">
        <v>19.311768221854201</v>
      </c>
      <c r="AI2707">
        <v>93.286800807953</v>
      </c>
      <c r="AJ2707">
        <v>91.198200823376197</v>
      </c>
      <c r="AK2707">
        <v>19.347818016668501</v>
      </c>
      <c r="AL2707">
        <v>79.909906950269004</v>
      </c>
      <c r="AM2707">
        <v>90.877341600166403</v>
      </c>
      <c r="AN2707">
        <v>1.00000003362843</v>
      </c>
    </row>
    <row r="2708" spans="1:40" x14ac:dyDescent="0.25">
      <c r="A2708" t="str">
        <f>"20190312164040999"</f>
        <v>20190312164040999</v>
      </c>
      <c r="B2708" t="str">
        <f>"1552380040988554"</f>
        <v>1552380040988554</v>
      </c>
      <c r="C2708" t="s">
        <v>40</v>
      </c>
      <c r="D2708">
        <v>5.468153</v>
      </c>
      <c r="E2708">
        <v>0.50254370000000004</v>
      </c>
      <c r="F2708" t="s">
        <v>48</v>
      </c>
      <c r="G2708">
        <v>-445.74200000000002</v>
      </c>
      <c r="H2708" s="1">
        <v>1.520688E-6</v>
      </c>
      <c r="I2708">
        <v>284.57319999999999</v>
      </c>
      <c r="J2708">
        <v>-426.72050000000002</v>
      </c>
      <c r="K2708">
        <v>1.1092439999999999</v>
      </c>
      <c r="L2708">
        <v>285.21039999999999</v>
      </c>
      <c r="M2708">
        <v>-0.99982119999999997</v>
      </c>
      <c r="N2708">
        <v>0</v>
      </c>
      <c r="O2708">
        <v>-1.198784E-2</v>
      </c>
      <c r="P2708">
        <v>-0.98653760000000001</v>
      </c>
      <c r="Q2708">
        <v>0.16127339999999901</v>
      </c>
      <c r="R2708">
        <v>-2.7099620000000001E-2</v>
      </c>
      <c r="S2708">
        <v>-3.0663450000000001</v>
      </c>
      <c r="T2708">
        <v>-0.17467339999999901</v>
      </c>
      <c r="U2708">
        <v>-0.1011658</v>
      </c>
      <c r="V2708">
        <v>-1.4923469999999999E-2</v>
      </c>
      <c r="W2708">
        <v>0.17571289999999901</v>
      </c>
      <c r="X2708">
        <v>0.98432830000000004</v>
      </c>
      <c r="Y2708">
        <v>-2.0974840000000002E-2</v>
      </c>
      <c r="Z2708" s="1">
        <v>8.5405369999999998E-5</v>
      </c>
      <c r="AA2708">
        <v>0.99978</v>
      </c>
      <c r="AB2708">
        <v>45</v>
      </c>
      <c r="AC2708">
        <v>-19.0214999999999</v>
      </c>
      <c r="AD2708">
        <v>-1.1092424793119999</v>
      </c>
      <c r="AE2708">
        <v>-0.63720000000000698</v>
      </c>
      <c r="AF2708">
        <v>-0.40771816029311497</v>
      </c>
      <c r="AG2708">
        <v>-1.1092424793119999</v>
      </c>
      <c r="AH2708">
        <v>18.963356673655898</v>
      </c>
      <c r="AI2708">
        <v>93.346872722336201</v>
      </c>
      <c r="AJ2708">
        <v>91.231687598431506</v>
      </c>
      <c r="AK2708">
        <v>19.0001460338713</v>
      </c>
      <c r="AL2708">
        <v>79.879852527356604</v>
      </c>
      <c r="AM2708">
        <v>90.8685987614206</v>
      </c>
      <c r="AN2708">
        <v>0.99999996768207</v>
      </c>
    </row>
    <row r="2709" spans="1:40" x14ac:dyDescent="0.25">
      <c r="A2709" t="str">
        <f>"20190312164041011"</f>
        <v>20190312164041011</v>
      </c>
      <c r="B2709" t="str">
        <f>"1552380041009050"</f>
        <v>1552380041009050</v>
      </c>
      <c r="C2709" t="s">
        <v>40</v>
      </c>
      <c r="D2709">
        <v>5.5432579999999998</v>
      </c>
      <c r="E2709">
        <v>0.50242319999999996</v>
      </c>
      <c r="F2709" t="s">
        <v>48</v>
      </c>
      <c r="G2709">
        <v>-446.11430000000001</v>
      </c>
      <c r="H2709" s="1">
        <v>1.7189069999999999E-6</v>
      </c>
      <c r="I2709">
        <v>284.57170000000002</v>
      </c>
      <c r="J2709">
        <v>-426.98790000000002</v>
      </c>
      <c r="K2709">
        <v>1.1092109999999999</v>
      </c>
      <c r="L2709">
        <v>285.20760000000001</v>
      </c>
      <c r="M2709">
        <v>-0.99982700000000002</v>
      </c>
      <c r="N2709">
        <v>0</v>
      </c>
      <c r="O2709">
        <v>-1.1512949999999999E-2</v>
      </c>
      <c r="P2709">
        <v>-0.98655300000000001</v>
      </c>
      <c r="Q2709">
        <v>0.16126779999999999</v>
      </c>
      <c r="R2709">
        <v>-2.657414E-2</v>
      </c>
      <c r="S2709">
        <v>-3.0668329999999999</v>
      </c>
      <c r="T2709">
        <v>-0.17540910000000001</v>
      </c>
      <c r="U2709">
        <v>-0.1010132</v>
      </c>
      <c r="V2709">
        <v>-1.4854020000000001E-2</v>
      </c>
      <c r="W2709">
        <v>0.17570720000000001</v>
      </c>
      <c r="X2709">
        <v>0.98433040000000005</v>
      </c>
      <c r="Y2709">
        <v>-2.1393189999999999E-2</v>
      </c>
      <c r="Z2709" s="1">
        <v>4.6669389999999997E-5</v>
      </c>
      <c r="AA2709">
        <v>0.99977110000000002</v>
      </c>
      <c r="AB2709">
        <v>45</v>
      </c>
      <c r="AC2709">
        <v>-19.126399999999901</v>
      </c>
      <c r="AD2709">
        <v>-1.1092092810930001</v>
      </c>
      <c r="AE2709">
        <v>-0.63589999999999203</v>
      </c>
      <c r="AF2709">
        <v>-0.41424139396791199</v>
      </c>
      <c r="AG2709">
        <v>-1.1092092810930001</v>
      </c>
      <c r="AH2709">
        <v>19.068392807835099</v>
      </c>
      <c r="AI2709">
        <v>93.328362969935696</v>
      </c>
      <c r="AJ2709">
        <v>91.244496650520901</v>
      </c>
      <c r="AK2709">
        <v>19.105118304675202</v>
      </c>
      <c r="AL2709">
        <v>79.880184596993203</v>
      </c>
      <c r="AM2709">
        <v>90.864555296464204</v>
      </c>
      <c r="AN2709">
        <v>0.99999999920308003</v>
      </c>
    </row>
    <row r="2710" spans="1:40" x14ac:dyDescent="0.25">
      <c r="A2710" t="str">
        <f>"20190312164041024"</f>
        <v>20190312164041024</v>
      </c>
      <c r="B2710" t="str">
        <f>"1552380041018810"</f>
        <v>1552380041018810</v>
      </c>
      <c r="C2710" t="s">
        <v>40</v>
      </c>
      <c r="D2710">
        <v>5.5321689999999997</v>
      </c>
      <c r="E2710">
        <v>0.50232979999999905</v>
      </c>
      <c r="F2710" t="s">
        <v>48</v>
      </c>
      <c r="G2710">
        <v>-446.37959999999998</v>
      </c>
      <c r="H2710" s="1">
        <v>1.86E-6</v>
      </c>
      <c r="I2710">
        <v>284.57319999999999</v>
      </c>
      <c r="J2710">
        <v>-427.22789999999998</v>
      </c>
      <c r="K2710">
        <v>1.109186</v>
      </c>
      <c r="L2710">
        <v>285.20519999999999</v>
      </c>
      <c r="M2710">
        <v>-0.9998319</v>
      </c>
      <c r="N2710">
        <v>0</v>
      </c>
      <c r="O2710">
        <v>-1.107795E-2</v>
      </c>
      <c r="P2710">
        <v>-0.98659980000000003</v>
      </c>
      <c r="Q2710">
        <v>0.1610471</v>
      </c>
      <c r="R2710">
        <v>-2.6170789999999999E-2</v>
      </c>
      <c r="S2710">
        <v>-3.0668329999999999</v>
      </c>
      <c r="T2710">
        <v>-0.17542369999999999</v>
      </c>
      <c r="U2710">
        <v>-0.10034179999999999</v>
      </c>
      <c r="V2710">
        <v>-1.486963E-2</v>
      </c>
      <c r="W2710">
        <v>0.17548659999999999</v>
      </c>
      <c r="X2710">
        <v>0.98436950000000001</v>
      </c>
      <c r="Y2710">
        <v>-2.1608470000000001E-2</v>
      </c>
      <c r="Z2710" s="1">
        <v>1.5668510000000002E-5</v>
      </c>
      <c r="AA2710">
        <v>0.9997665</v>
      </c>
      <c r="AB2710">
        <v>45</v>
      </c>
      <c r="AC2710">
        <v>-19.151700000000002</v>
      </c>
      <c r="AD2710">
        <v>-1.10918414</v>
      </c>
      <c r="AE2710">
        <v>-0.632000000000005</v>
      </c>
      <c r="AF2710">
        <v>-0.41837518959075698</v>
      </c>
      <c r="AG2710">
        <v>-1.10918414</v>
      </c>
      <c r="AH2710">
        <v>19.093552097773902</v>
      </c>
      <c r="AI2710">
        <v>93.323898316237603</v>
      </c>
      <c r="AJ2710">
        <v>91.255256077166905</v>
      </c>
      <c r="AK2710">
        <v>19.1303177957424</v>
      </c>
      <c r="AL2710">
        <v>79.893023365929693</v>
      </c>
      <c r="AM2710">
        <v>90.865429342554705</v>
      </c>
      <c r="AN2710">
        <v>0.99999998260307299</v>
      </c>
    </row>
    <row r="2711" spans="1:40" x14ac:dyDescent="0.25">
      <c r="A2711" t="str">
        <f>"20190312164041045"</f>
        <v>20190312164041045</v>
      </c>
      <c r="B2711" t="str">
        <f>"1552380041038333"</f>
        <v>1552380041038333</v>
      </c>
      <c r="C2711" t="s">
        <v>40</v>
      </c>
      <c r="D2711">
        <v>5.5451240000000004</v>
      </c>
      <c r="E2711">
        <v>0.50216590000000005</v>
      </c>
      <c r="F2711" t="s">
        <v>48</v>
      </c>
      <c r="G2711">
        <v>-446.44110000000001</v>
      </c>
      <c r="H2711" s="1">
        <v>1.892343E-6</v>
      </c>
      <c r="I2711">
        <v>284.58150000000001</v>
      </c>
      <c r="J2711">
        <v>-427.64420000000001</v>
      </c>
      <c r="K2711">
        <v>1.1091390000000001</v>
      </c>
      <c r="L2711">
        <v>285.2011</v>
      </c>
      <c r="M2711">
        <v>-0.99984010000000001</v>
      </c>
      <c r="N2711">
        <v>0</v>
      </c>
      <c r="O2711">
        <v>-1.030093E-2</v>
      </c>
      <c r="P2711">
        <v>-0.98669629999999997</v>
      </c>
      <c r="Q2711">
        <v>0.16057859999999999</v>
      </c>
      <c r="R2711">
        <v>-2.5396999999999999E-2</v>
      </c>
      <c r="S2711">
        <v>-3.0670169999999999</v>
      </c>
      <c r="T2711">
        <v>-0.1770602</v>
      </c>
      <c r="U2711">
        <v>-9.9548339999999999E-2</v>
      </c>
      <c r="V2711">
        <v>-1.484508E-2</v>
      </c>
      <c r="W2711">
        <v>0.17501810000000001</v>
      </c>
      <c r="X2711">
        <v>0.98445329999999998</v>
      </c>
      <c r="Y2711">
        <v>-2.2122639999999999E-2</v>
      </c>
      <c r="Z2711" s="1">
        <v>-4.3818610000000002E-5</v>
      </c>
      <c r="AA2711">
        <v>0.99975530000000001</v>
      </c>
      <c r="AB2711">
        <v>45</v>
      </c>
      <c r="AC2711">
        <v>-18.796899999999901</v>
      </c>
      <c r="AD2711">
        <v>-1.10913710765699</v>
      </c>
      <c r="AE2711">
        <v>-0.61959999999999105</v>
      </c>
      <c r="AF2711">
        <v>-0.424444671819043</v>
      </c>
      <c r="AG2711">
        <v>-1.10913710765699</v>
      </c>
      <c r="AH2711">
        <v>18.737118418674601</v>
      </c>
      <c r="AI2711">
        <v>93.386783527932707</v>
      </c>
      <c r="AJ2711">
        <v>91.2976771239572</v>
      </c>
      <c r="AK2711">
        <v>18.7747155780974</v>
      </c>
      <c r="AL2711">
        <v>79.920288641810004</v>
      </c>
      <c r="AM2711">
        <v>90.863927185947603</v>
      </c>
      <c r="AN2711">
        <v>1.0000000058043499</v>
      </c>
    </row>
    <row r="2712" spans="1:40" x14ac:dyDescent="0.25">
      <c r="A2712" t="str">
        <f>"20190312164041066"</f>
        <v>20190312164041066</v>
      </c>
      <c r="B2712" t="str">
        <f>"1552380041058829"</f>
        <v>1552380041058829</v>
      </c>
      <c r="C2712" t="s">
        <v>40</v>
      </c>
      <c r="D2712">
        <v>5.6041059999999998</v>
      </c>
      <c r="E2712">
        <v>0.50204929999999903</v>
      </c>
      <c r="F2712" t="s">
        <v>48</v>
      </c>
      <c r="G2712">
        <v>-446.70339999999999</v>
      </c>
      <c r="H2712" s="1">
        <v>2.0314519999999999E-6</v>
      </c>
      <c r="I2712">
        <v>284.5924</v>
      </c>
      <c r="J2712">
        <v>-428.07729999999998</v>
      </c>
      <c r="K2712">
        <v>1.1090949999999999</v>
      </c>
      <c r="L2712">
        <v>285.19740000000002</v>
      </c>
      <c r="M2712">
        <v>-0.99984850000000003</v>
      </c>
      <c r="N2712">
        <v>0</v>
      </c>
      <c r="O2712">
        <v>-9.4632680000000004E-3</v>
      </c>
      <c r="P2712">
        <v>-0.98674640000000002</v>
      </c>
      <c r="Q2712">
        <v>0.1604092</v>
      </c>
      <c r="R2712">
        <v>-2.4516340000000001E-2</v>
      </c>
      <c r="S2712">
        <v>-3.066986</v>
      </c>
      <c r="T2712">
        <v>-0.1784818</v>
      </c>
      <c r="U2712">
        <v>-9.7961430000000002E-2</v>
      </c>
      <c r="V2712">
        <v>-1.4773710000000001E-2</v>
      </c>
      <c r="W2712">
        <v>0.17484810000000001</v>
      </c>
      <c r="X2712">
        <v>0.98448460000000004</v>
      </c>
      <c r="Y2712">
        <v>-2.244152E-2</v>
      </c>
      <c r="Z2712">
        <v>-1.021321E-4</v>
      </c>
      <c r="AA2712">
        <v>0.99974819999999998</v>
      </c>
      <c r="AB2712">
        <v>45</v>
      </c>
      <c r="AC2712">
        <v>-18.626100000000001</v>
      </c>
      <c r="AD2712">
        <v>-1.109092968548</v>
      </c>
      <c r="AE2712">
        <v>-0.60500000000001797</v>
      </c>
      <c r="AF2712">
        <v>-0.42717730355818301</v>
      </c>
      <c r="AG2712">
        <v>-1.109092968548</v>
      </c>
      <c r="AH2712">
        <v>18.5652358011837</v>
      </c>
      <c r="AI2712">
        <v>93.417901927128199</v>
      </c>
      <c r="AJ2712">
        <v>91.318116226271599</v>
      </c>
      <c r="AK2712">
        <v>18.603240255802501</v>
      </c>
      <c r="AL2712">
        <v>79.930181654729395</v>
      </c>
      <c r="AM2712">
        <v>90.859747017474305</v>
      </c>
      <c r="AN2712">
        <v>1.0000000241089599</v>
      </c>
    </row>
    <row r="2713" spans="1:40" x14ac:dyDescent="0.25">
      <c r="A2713" t="str">
        <f>"20190312164041089"</f>
        <v>20190312164041089</v>
      </c>
      <c r="B2713" t="str">
        <f>"1552380041078350"</f>
        <v>1552380041078350</v>
      </c>
      <c r="C2713" t="s">
        <v>40</v>
      </c>
      <c r="D2713">
        <v>5.5977930000000002</v>
      </c>
      <c r="E2713">
        <v>0.50194810000000001</v>
      </c>
      <c r="F2713" t="s">
        <v>48</v>
      </c>
      <c r="G2713">
        <v>-447.23540000000003</v>
      </c>
      <c r="H2713" s="1">
        <v>2.3142070000000002E-6</v>
      </c>
      <c r="I2713">
        <v>284.601</v>
      </c>
      <c r="J2713">
        <v>-428.5317</v>
      </c>
      <c r="K2713">
        <v>1.109056</v>
      </c>
      <c r="L2713">
        <v>285.19380000000001</v>
      </c>
      <c r="M2713">
        <v>-0.99985670000000004</v>
      </c>
      <c r="N2713">
        <v>0</v>
      </c>
      <c r="O2713">
        <v>-8.5538569999999998E-3</v>
      </c>
      <c r="P2713">
        <v>-0.98670679999999999</v>
      </c>
      <c r="Q2713">
        <v>0.1607644</v>
      </c>
      <c r="R2713">
        <v>-2.376027E-2</v>
      </c>
      <c r="S2713">
        <v>-3.0667719999999998</v>
      </c>
      <c r="T2713">
        <v>-0.1775399</v>
      </c>
      <c r="U2713">
        <v>-9.5458979999999999E-2</v>
      </c>
      <c r="V2713">
        <v>-1.4898089999999999E-2</v>
      </c>
      <c r="W2713">
        <v>0.1752021</v>
      </c>
      <c r="X2713">
        <v>0.98441979999999996</v>
      </c>
      <c r="Y2713">
        <v>-2.2536629999999998E-2</v>
      </c>
      <c r="Z2713">
        <v>-1.569428E-4</v>
      </c>
      <c r="AA2713">
        <v>0.99974600000000002</v>
      </c>
      <c r="AB2713">
        <v>45</v>
      </c>
      <c r="AC2713">
        <v>-18.703700000000001</v>
      </c>
      <c r="AD2713">
        <v>-1.109053685793</v>
      </c>
      <c r="AE2713">
        <v>-0.59280000000001098</v>
      </c>
      <c r="AF2713">
        <v>-0.43125767366633999</v>
      </c>
      <c r="AG2713">
        <v>-1.109053685793</v>
      </c>
      <c r="AH2713">
        <v>18.6426050436941</v>
      </c>
      <c r="AI2713">
        <v>93.403620673363903</v>
      </c>
      <c r="AJ2713">
        <v>91.325181667252494</v>
      </c>
      <c r="AK2713">
        <v>18.680543516563802</v>
      </c>
      <c r="AL2713">
        <v>79.909581075210298</v>
      </c>
      <c r="AM2713">
        <v>90.867041196293798</v>
      </c>
      <c r="AN2713">
        <v>1.0000000357810399</v>
      </c>
    </row>
    <row r="2714" spans="1:40" x14ac:dyDescent="0.25">
      <c r="A2714" t="str">
        <f>"20190312164041111"</f>
        <v>20190312164041111</v>
      </c>
      <c r="B2714" t="str">
        <f>"1552380041098845"</f>
        <v>1552380041098845</v>
      </c>
      <c r="C2714" t="s">
        <v>40</v>
      </c>
      <c r="D2714">
        <v>5.4816310000000001</v>
      </c>
      <c r="E2714">
        <v>0.50187559999999998</v>
      </c>
      <c r="F2714" t="s">
        <v>48</v>
      </c>
      <c r="G2714">
        <v>-447.94240000000002</v>
      </c>
      <c r="H2714" s="1">
        <v>2.6903260000000002E-6</v>
      </c>
      <c r="I2714">
        <v>284.60410000000002</v>
      </c>
      <c r="J2714">
        <v>-428.98289999999997</v>
      </c>
      <c r="K2714">
        <v>1.1090329999999999</v>
      </c>
      <c r="L2714">
        <v>285.19060000000002</v>
      </c>
      <c r="M2714">
        <v>-0.99986419999999998</v>
      </c>
      <c r="N2714">
        <v>0</v>
      </c>
      <c r="O2714">
        <v>-7.622546E-3</v>
      </c>
      <c r="P2714">
        <v>-0.9866393</v>
      </c>
      <c r="Q2714">
        <v>0.1612767</v>
      </c>
      <c r="R2714">
        <v>-2.308027E-2</v>
      </c>
      <c r="S2714">
        <v>-3.0667420000000001</v>
      </c>
      <c r="T2714">
        <v>-0.17522179999999901</v>
      </c>
      <c r="U2714">
        <v>-9.3170169999999997E-2</v>
      </c>
      <c r="V2714">
        <v>-1.512061E-2</v>
      </c>
      <c r="W2714">
        <v>0.17571239999999999</v>
      </c>
      <c r="X2714">
        <v>0.98432540000000002</v>
      </c>
      <c r="Y2714">
        <v>-2.2721499999999999E-2</v>
      </c>
      <c r="Z2714">
        <v>-2.1333260000000001E-4</v>
      </c>
      <c r="AA2714">
        <v>0.99974180000000001</v>
      </c>
      <c r="AB2714">
        <v>45</v>
      </c>
      <c r="AC2714">
        <v>-18.959499999999998</v>
      </c>
      <c r="AD2714">
        <v>-1.109030309674</v>
      </c>
      <c r="AE2714">
        <v>-0.58650000000000002</v>
      </c>
      <c r="AF2714">
        <v>-0.44044227822982002</v>
      </c>
      <c r="AG2714">
        <v>-1.109030309674</v>
      </c>
      <c r="AH2714">
        <v>18.8988172279109</v>
      </c>
      <c r="AI2714">
        <v>93.357499903657001</v>
      </c>
      <c r="AJ2714">
        <v>91.335052669036003</v>
      </c>
      <c r="AK2714">
        <v>18.936452419664299</v>
      </c>
      <c r="AL2714">
        <v>79.879881822734006</v>
      </c>
      <c r="AM2714">
        <v>90.880073806521693</v>
      </c>
      <c r="AN2714">
        <v>0.99999998672284596</v>
      </c>
    </row>
    <row r="2715" spans="1:40" x14ac:dyDescent="0.25">
      <c r="A2715" t="str">
        <f>"20190312164041133"</f>
        <v>20190312164041133</v>
      </c>
      <c r="B2715" t="str">
        <f>"1552380041129105"</f>
        <v>1552380041129105</v>
      </c>
      <c r="C2715" t="s">
        <v>40</v>
      </c>
      <c r="D2715">
        <v>5.544441</v>
      </c>
      <c r="E2715">
        <v>0.50171299999999996</v>
      </c>
      <c r="F2715" t="s">
        <v>48</v>
      </c>
      <c r="G2715">
        <v>-448.70030000000003</v>
      </c>
      <c r="H2715" s="1">
        <v>3.093855E-6</v>
      </c>
      <c r="I2715">
        <v>284.59789999999998</v>
      </c>
      <c r="J2715">
        <v>-429.43470000000002</v>
      </c>
      <c r="K2715">
        <v>1.1090009999999999</v>
      </c>
      <c r="L2715">
        <v>285.18790000000001</v>
      </c>
      <c r="M2715">
        <v>-0.99987130000000002</v>
      </c>
      <c r="N2715">
        <v>0</v>
      </c>
      <c r="O2715">
        <v>-6.6632360000000003E-3</v>
      </c>
      <c r="P2715">
        <v>-0.98663389999999995</v>
      </c>
      <c r="Q2715">
        <v>0.1613906</v>
      </c>
      <c r="R2715">
        <v>-2.2511059999999999E-2</v>
      </c>
      <c r="S2715">
        <v>-3.0666500000000001</v>
      </c>
      <c r="T2715">
        <v>-0.172488</v>
      </c>
      <c r="U2715">
        <v>-9.2193600000000001E-2</v>
      </c>
      <c r="V2715">
        <v>-1.548216E-2</v>
      </c>
      <c r="W2715">
        <v>0.1758255</v>
      </c>
      <c r="X2715">
        <v>0.98429960000000005</v>
      </c>
      <c r="Y2715">
        <v>-2.3361750000000001E-2</v>
      </c>
      <c r="Z2715">
        <v>-2.81909E-4</v>
      </c>
      <c r="AA2715">
        <v>0.99972700000000003</v>
      </c>
      <c r="AB2715">
        <v>45</v>
      </c>
      <c r="AC2715">
        <v>-19.265599999999999</v>
      </c>
      <c r="AD2715">
        <v>-1.1089979061449999</v>
      </c>
      <c r="AE2715">
        <v>-0.59000000000003106</v>
      </c>
      <c r="AF2715">
        <v>-0.46007891119049099</v>
      </c>
      <c r="AG2715">
        <v>-1.1089979061449999</v>
      </c>
      <c r="AH2715">
        <v>19.2055246933615</v>
      </c>
      <c r="AI2715">
        <v>93.303854261447398</v>
      </c>
      <c r="AJ2715">
        <v>91.372289458860095</v>
      </c>
      <c r="AK2715">
        <v>19.243017635175502</v>
      </c>
      <c r="AL2715">
        <v>79.873299355935899</v>
      </c>
      <c r="AM2715">
        <v>90.901137501266504</v>
      </c>
      <c r="AN2715">
        <v>1.0000000031443299</v>
      </c>
    </row>
    <row r="2716" spans="1:40" x14ac:dyDescent="0.25">
      <c r="A2716" t="str">
        <f>"20190312164041157"</f>
        <v>20190312164041157</v>
      </c>
      <c r="B2716" t="str">
        <f>"1552380041148333"</f>
        <v>1552380041148333</v>
      </c>
      <c r="C2716" t="s">
        <v>40</v>
      </c>
      <c r="D2716">
        <v>5.7825290000000003</v>
      </c>
      <c r="E2716">
        <v>0.50164600000000004</v>
      </c>
      <c r="F2716" t="s">
        <v>48</v>
      </c>
      <c r="G2716">
        <v>-449.40449999999998</v>
      </c>
      <c r="H2716" s="1">
        <v>3.4689989999999999E-6</v>
      </c>
      <c r="I2716">
        <v>284.58969999999999</v>
      </c>
      <c r="J2716">
        <v>-429.89370000000002</v>
      </c>
      <c r="K2716">
        <v>1.108962</v>
      </c>
      <c r="L2716">
        <v>285.1857</v>
      </c>
      <c r="M2716">
        <v>-0.99987749999999997</v>
      </c>
      <c r="N2716">
        <v>0</v>
      </c>
      <c r="O2716">
        <v>-5.6631669999999898E-3</v>
      </c>
      <c r="P2716">
        <v>-0.98674490000000004</v>
      </c>
      <c r="Q2716">
        <v>0.160764299999999</v>
      </c>
      <c r="R2716">
        <v>-2.213064E-2</v>
      </c>
      <c r="S2716">
        <v>-3.0664060000000002</v>
      </c>
      <c r="T2716">
        <v>-0.17028889999999999</v>
      </c>
      <c r="U2716">
        <v>-9.1857910000000001E-2</v>
      </c>
      <c r="V2716">
        <v>-1.6073489999999999E-2</v>
      </c>
      <c r="W2716">
        <v>0.1752012</v>
      </c>
      <c r="X2716">
        <v>0.98440150000000004</v>
      </c>
      <c r="Y2716">
        <v>-2.4252449999999998E-2</v>
      </c>
      <c r="Z2716">
        <v>-3.5853559999999998E-4</v>
      </c>
      <c r="AA2716">
        <v>0.99970579999999998</v>
      </c>
      <c r="AB2716">
        <v>45</v>
      </c>
      <c r="AC2716">
        <v>-19.5107999999999</v>
      </c>
      <c r="AD2716">
        <v>-1.1089585310009999</v>
      </c>
      <c r="AE2716">
        <v>-0.59600000000000297</v>
      </c>
      <c r="AF2716">
        <v>-0.483923860152154</v>
      </c>
      <c r="AG2716">
        <v>-1.1089585310009999</v>
      </c>
      <c r="AH2716">
        <v>19.451082975907699</v>
      </c>
      <c r="AI2716">
        <v>93.262046806832799</v>
      </c>
      <c r="AJ2716">
        <v>91.425168783992902</v>
      </c>
      <c r="AK2716">
        <v>19.4886787715728</v>
      </c>
      <c r="AL2716">
        <v>79.909633753350604</v>
      </c>
      <c r="AM2716">
        <v>90.935452971203006</v>
      </c>
      <c r="AN2716">
        <v>1.0000000653822301</v>
      </c>
    </row>
    <row r="2717" spans="1:40" x14ac:dyDescent="0.25">
      <c r="A2717" t="str">
        <f>"20190312164041177"</f>
        <v>20190312164041177</v>
      </c>
      <c r="B2717" t="str">
        <f>"1552380041168829"</f>
        <v>1552380041168829</v>
      </c>
      <c r="C2717" t="s">
        <v>40</v>
      </c>
      <c r="D2717">
        <v>5.5751650000000001</v>
      </c>
      <c r="E2717">
        <v>0.50157850000000004</v>
      </c>
      <c r="F2717" t="s">
        <v>48</v>
      </c>
      <c r="G2717">
        <v>-449.70190000000002</v>
      </c>
      <c r="H2717" s="1">
        <v>3.6267910000000001E-6</v>
      </c>
      <c r="I2717">
        <v>284.60050000000001</v>
      </c>
      <c r="J2717">
        <v>-430.32170000000002</v>
      </c>
      <c r="K2717">
        <v>1.1089310000000001</v>
      </c>
      <c r="L2717">
        <v>285.18400000000003</v>
      </c>
      <c r="M2717">
        <v>-0.99988250000000001</v>
      </c>
      <c r="N2717">
        <v>0</v>
      </c>
      <c r="O2717">
        <v>-4.7053559999999999E-3</v>
      </c>
      <c r="P2717">
        <v>-0.98690370000000005</v>
      </c>
      <c r="Q2717">
        <v>0.15988669999999999</v>
      </c>
      <c r="R2717">
        <v>-2.1395620000000001E-2</v>
      </c>
      <c r="S2717">
        <v>-3.0662229999999999</v>
      </c>
      <c r="T2717">
        <v>-0.17166139999999999</v>
      </c>
      <c r="U2717">
        <v>-9.0576169999999998E-2</v>
      </c>
      <c r="V2717">
        <v>-1.6271319999999999E-2</v>
      </c>
      <c r="W2717">
        <v>0.1743256</v>
      </c>
      <c r="X2717">
        <v>0.98455360000000003</v>
      </c>
      <c r="Y2717">
        <v>-2.4791540000000001E-2</v>
      </c>
      <c r="Z2717">
        <v>-4.3009199999999997E-4</v>
      </c>
      <c r="AA2717">
        <v>0.99969260000000004</v>
      </c>
      <c r="AB2717">
        <v>45</v>
      </c>
      <c r="AC2717">
        <v>-19.380199999999999</v>
      </c>
      <c r="AD2717">
        <v>-1.1089273732089999</v>
      </c>
      <c r="AE2717">
        <v>-0.58350000000001501</v>
      </c>
      <c r="AF2717">
        <v>-0.49068799419173897</v>
      </c>
      <c r="AG2717">
        <v>-1.1089273732089999</v>
      </c>
      <c r="AH2717">
        <v>19.319534802937401</v>
      </c>
      <c r="AI2717">
        <v>93.284075031091504</v>
      </c>
      <c r="AJ2717">
        <v>91.454916402498398</v>
      </c>
      <c r="AK2717">
        <v>19.357554588031199</v>
      </c>
      <c r="AL2717">
        <v>79.960585212905599</v>
      </c>
      <c r="AM2717">
        <v>90.946818029836805</v>
      </c>
      <c r="AN2717">
        <v>0.99999998097143095</v>
      </c>
    </row>
    <row r="2718" spans="1:40" x14ac:dyDescent="0.25">
      <c r="A2718" t="str">
        <f>"20190312164041211"</f>
        <v>20190312164041211</v>
      </c>
      <c r="B2718" t="str">
        <f>"1552380041199088"</f>
        <v>1552380041199088</v>
      </c>
      <c r="C2718" t="s">
        <v>40</v>
      </c>
      <c r="D2718">
        <v>5.6591199999999997</v>
      </c>
      <c r="E2718">
        <v>0.50142059999999999</v>
      </c>
      <c r="F2718" t="s">
        <v>48</v>
      </c>
      <c r="G2718">
        <v>-449.90010000000001</v>
      </c>
      <c r="H2718" s="1">
        <v>3.7315850000000002E-6</v>
      </c>
      <c r="I2718">
        <v>284.6157</v>
      </c>
      <c r="J2718">
        <v>-430.9855</v>
      </c>
      <c r="K2718">
        <v>1.108876</v>
      </c>
      <c r="L2718">
        <v>285.1823</v>
      </c>
      <c r="M2718">
        <v>-0.99988849999999996</v>
      </c>
      <c r="N2718">
        <v>0</v>
      </c>
      <c r="O2718">
        <v>-3.1761139999999998E-3</v>
      </c>
      <c r="P2718">
        <v>-0.9869308</v>
      </c>
      <c r="Q2718">
        <v>0.15988859999999999</v>
      </c>
      <c r="R2718">
        <v>-2.007931E-2</v>
      </c>
      <c r="S2718">
        <v>-3.065979</v>
      </c>
      <c r="T2718">
        <v>-0.17365749999999999</v>
      </c>
      <c r="U2718">
        <v>-8.8989260000000001E-2</v>
      </c>
      <c r="V2718">
        <v>-1.644456E-2</v>
      </c>
      <c r="W2718">
        <v>0.17432600000000001</v>
      </c>
      <c r="X2718">
        <v>0.9845507</v>
      </c>
      <c r="Y2718">
        <v>-2.5801040000000001E-2</v>
      </c>
      <c r="Z2718">
        <v>-5.5021839999999905E-4</v>
      </c>
      <c r="AA2718">
        <v>0.99966690000000002</v>
      </c>
      <c r="AB2718">
        <v>45</v>
      </c>
      <c r="AC2718">
        <v>-18.9146</v>
      </c>
      <c r="AD2718">
        <v>-1.1088722684150001</v>
      </c>
      <c r="AE2718">
        <v>-0.566599999999994</v>
      </c>
      <c r="AF2718">
        <v>-0.50478248087917799</v>
      </c>
      <c r="AG2718">
        <v>-1.1088722684150001</v>
      </c>
      <c r="AH2718">
        <v>18.851571205228598</v>
      </c>
      <c r="AI2718">
        <v>93.365124957564504</v>
      </c>
      <c r="AJ2718">
        <v>91.533824217583401</v>
      </c>
      <c r="AK2718">
        <v>18.890900983448802</v>
      </c>
      <c r="AL2718">
        <v>79.960562428938502</v>
      </c>
      <c r="AM2718">
        <v>90.956899711600499</v>
      </c>
      <c r="AN2718">
        <v>1.00000002935004</v>
      </c>
    </row>
    <row r="2719" spans="1:40" x14ac:dyDescent="0.25">
      <c r="A2719" t="str">
        <f>"20190312164041234"</f>
        <v>20190312164041234</v>
      </c>
      <c r="B2719" t="str">
        <f>"1552380041228364"</f>
        <v>1552380041228364</v>
      </c>
      <c r="C2719" t="s">
        <v>40</v>
      </c>
      <c r="D2719">
        <v>5.6011179999999996</v>
      </c>
      <c r="E2719">
        <v>0.50133850000000002</v>
      </c>
      <c r="F2719" t="s">
        <v>48</v>
      </c>
      <c r="G2719">
        <v>-450.71269999999998</v>
      </c>
      <c r="H2719" s="1">
        <v>-1.157862E-6</v>
      </c>
      <c r="I2719">
        <v>284.62400000000002</v>
      </c>
      <c r="J2719">
        <v>-431.4513</v>
      </c>
      <c r="K2719">
        <v>1.1088450000000001</v>
      </c>
      <c r="L2719">
        <v>285.18169999999998</v>
      </c>
      <c r="M2719">
        <v>-0.99989130000000004</v>
      </c>
      <c r="N2719">
        <v>0</v>
      </c>
      <c r="O2719">
        <v>-2.0810479999999998E-3</v>
      </c>
      <c r="P2719">
        <v>-0.98702389999999995</v>
      </c>
      <c r="Q2719">
        <v>0.1594681</v>
      </c>
      <c r="R2719">
        <v>-1.8807379999999999E-2</v>
      </c>
      <c r="S2719">
        <v>-3.065887</v>
      </c>
      <c r="T2719">
        <v>-0.17233499999999999</v>
      </c>
      <c r="U2719">
        <v>-8.6761469999999993E-2</v>
      </c>
      <c r="V2719">
        <v>-1.62425E-2</v>
      </c>
      <c r="W2719">
        <v>0.173904799999999</v>
      </c>
      <c r="X2719">
        <v>0.98462850000000002</v>
      </c>
      <c r="Y2719">
        <v>-2.616916E-2</v>
      </c>
      <c r="Z2719">
        <v>-6.178911E-4</v>
      </c>
      <c r="AA2719">
        <v>0.99965729999999997</v>
      </c>
      <c r="AB2719">
        <v>45</v>
      </c>
      <c r="AC2719">
        <v>-19.261399999999899</v>
      </c>
      <c r="AD2719">
        <v>-1.1088461578619999</v>
      </c>
      <c r="AE2719">
        <v>-0.55769999999995401</v>
      </c>
      <c r="AF2719">
        <v>-0.51590229870990501</v>
      </c>
      <c r="AG2719">
        <v>-1.1088461578619999</v>
      </c>
      <c r="AH2719">
        <v>19.198944893130999</v>
      </c>
      <c r="AI2719">
        <v>93.304288646067107</v>
      </c>
      <c r="AJ2719">
        <v>91.539246715176503</v>
      </c>
      <c r="AK2719">
        <v>19.2378579886925</v>
      </c>
      <c r="AL2719">
        <v>79.985069362216095</v>
      </c>
      <c r="AM2719">
        <v>90.945069433173202</v>
      </c>
      <c r="AN2719">
        <v>0.99999999064076905</v>
      </c>
    </row>
    <row r="2720" spans="1:40" x14ac:dyDescent="0.25">
      <c r="A2720" t="str">
        <f>"20190312164041256"</f>
        <v>20190312164041256</v>
      </c>
      <c r="B2720" t="str">
        <f>"1552380041248861"</f>
        <v>1552380041248861</v>
      </c>
      <c r="C2720" t="s">
        <v>40</v>
      </c>
      <c r="D2720">
        <v>5.6118410000000001</v>
      </c>
      <c r="E2720">
        <v>0.50128300000000003</v>
      </c>
      <c r="F2720" t="s">
        <v>48</v>
      </c>
      <c r="G2720">
        <v>-451.12549999999999</v>
      </c>
      <c r="H2720" s="1">
        <v>-9.3904720000000004E-7</v>
      </c>
      <c r="I2720">
        <v>284.64429999999999</v>
      </c>
      <c r="J2720">
        <v>-431.89760000000001</v>
      </c>
      <c r="K2720">
        <v>1.1088169999999999</v>
      </c>
      <c r="L2720">
        <v>285.1816</v>
      </c>
      <c r="M2720">
        <v>-0.99989300000000003</v>
      </c>
      <c r="N2720">
        <v>0</v>
      </c>
      <c r="O2720">
        <v>-1.0181400000000001E-3</v>
      </c>
      <c r="P2720">
        <v>-0.98716539999999997</v>
      </c>
      <c r="Q2720">
        <v>0.1586649</v>
      </c>
      <c r="R2720">
        <v>-1.816713E-2</v>
      </c>
      <c r="S2720">
        <v>-3.0657649999999999</v>
      </c>
      <c r="T2720">
        <v>-0.17278740000000001</v>
      </c>
      <c r="U2720">
        <v>-8.3740229999999999E-2</v>
      </c>
      <c r="V2720">
        <v>-1.6643970000000001E-2</v>
      </c>
      <c r="W2720">
        <v>0.173102799999999</v>
      </c>
      <c r="X2720">
        <v>0.9847631</v>
      </c>
      <c r="Y2720">
        <v>-2.624655E-2</v>
      </c>
      <c r="Z2720">
        <v>-6.8157530000000001E-4</v>
      </c>
      <c r="AA2720">
        <v>0.99965519999999997</v>
      </c>
      <c r="AB2720">
        <v>45</v>
      </c>
      <c r="AC2720">
        <v>-19.227899999999899</v>
      </c>
      <c r="AD2720">
        <v>-1.1088179390471999</v>
      </c>
      <c r="AE2720">
        <v>-0.53730000000001599</v>
      </c>
      <c r="AF2720">
        <v>-0.51600630318125296</v>
      </c>
      <c r="AG2720">
        <v>-1.1088179390471999</v>
      </c>
      <c r="AH2720">
        <v>19.164754498244399</v>
      </c>
      <c r="AI2720">
        <v>93.310081691635403</v>
      </c>
      <c r="AJ2720">
        <v>91.542302155754797</v>
      </c>
      <c r="AK2720">
        <v>19.203738039893601</v>
      </c>
      <c r="AL2720">
        <v>80.031728159302105</v>
      </c>
      <c r="AM2720">
        <v>90.968292217836293</v>
      </c>
      <c r="AN2720">
        <v>0.99999998211340502</v>
      </c>
    </row>
    <row r="2721" spans="1:40" x14ac:dyDescent="0.25">
      <c r="A2721" t="str">
        <f>"20190312164041278"</f>
        <v>20190312164041278</v>
      </c>
      <c r="B2721" t="str">
        <f>"1552380041268381"</f>
        <v>1552380041268381</v>
      </c>
      <c r="C2721" t="s">
        <v>40</v>
      </c>
      <c r="D2721">
        <v>5.6477380000000004</v>
      </c>
      <c r="E2721">
        <v>0.50118770000000001</v>
      </c>
      <c r="F2721" t="s">
        <v>48</v>
      </c>
      <c r="G2721">
        <v>-451.37799999999999</v>
      </c>
      <c r="H2721" s="1">
        <v>-8.0547150000000001E-7</v>
      </c>
      <c r="I2721">
        <v>284.66149999999999</v>
      </c>
      <c r="J2721">
        <v>-432.327</v>
      </c>
      <c r="K2721">
        <v>1.1087899999999999</v>
      </c>
      <c r="L2721">
        <v>285.18189999999998</v>
      </c>
      <c r="M2721">
        <v>-0.9998937</v>
      </c>
      <c r="N2721">
        <v>0</v>
      </c>
      <c r="O2721" s="1">
        <v>1.2695239999999999E-5</v>
      </c>
      <c r="P2721">
        <v>-0.98734650000000002</v>
      </c>
      <c r="Q2721">
        <v>0.15764489999999901</v>
      </c>
      <c r="R2721">
        <v>-1.7188720000000001E-2</v>
      </c>
      <c r="S2721">
        <v>-3.0655209999999999</v>
      </c>
      <c r="T2721">
        <v>-0.17448900000000001</v>
      </c>
      <c r="U2721">
        <v>-8.184814E-2</v>
      </c>
      <c r="V2721">
        <v>-1.667892E-2</v>
      </c>
      <c r="W2721">
        <v>0.17208399999999999</v>
      </c>
      <c r="X2721">
        <v>0.98494110000000001</v>
      </c>
      <c r="Y2721">
        <v>-2.665963E-2</v>
      </c>
      <c r="Z2721">
        <v>-7.5870479999999997E-4</v>
      </c>
      <c r="AA2721">
        <v>0.99964430000000004</v>
      </c>
      <c r="AB2721">
        <v>45</v>
      </c>
      <c r="AC2721">
        <v>-19.050999999999998</v>
      </c>
      <c r="AD2721">
        <v>-1.1087908054715001</v>
      </c>
      <c r="AE2721">
        <v>-0.52039999999999498</v>
      </c>
      <c r="AF2721">
        <v>-0.51888553173111696</v>
      </c>
      <c r="AG2721">
        <v>-1.1087908054715001</v>
      </c>
      <c r="AH2721">
        <v>18.986726124975998</v>
      </c>
      <c r="AI2721">
        <v>93.340930486680094</v>
      </c>
      <c r="AJ2721">
        <v>91.5654385439381</v>
      </c>
      <c r="AK2721">
        <v>19.026151165965899</v>
      </c>
      <c r="AL2721">
        <v>80.090990921994404</v>
      </c>
      <c r="AM2721">
        <v>90.9701497821343</v>
      </c>
      <c r="AN2721">
        <v>1.0000000299487799</v>
      </c>
    </row>
    <row r="2722" spans="1:40" x14ac:dyDescent="0.25">
      <c r="A2722" t="str">
        <f>"20190312164041301"</f>
        <v>20190312164041301</v>
      </c>
      <c r="B2722" t="str">
        <f>"1552380041298637"</f>
        <v>1552380041298637</v>
      </c>
      <c r="C2722" t="s">
        <v>40</v>
      </c>
      <c r="D2722">
        <v>5.6494519999999904</v>
      </c>
      <c r="E2722">
        <v>0.50107650000000004</v>
      </c>
      <c r="F2722" t="s">
        <v>48</v>
      </c>
      <c r="G2722">
        <v>-451.57170000000002</v>
      </c>
      <c r="H2722" s="1">
        <v>-7.0337359999999996E-7</v>
      </c>
      <c r="I2722">
        <v>284.68439999999998</v>
      </c>
      <c r="J2722">
        <v>-432.78590000000003</v>
      </c>
      <c r="K2722">
        <v>1.1087800000000001</v>
      </c>
      <c r="L2722">
        <v>285.18279999999999</v>
      </c>
      <c r="M2722">
        <v>-0.99989309999999998</v>
      </c>
      <c r="N2722">
        <v>0</v>
      </c>
      <c r="O2722">
        <v>1.122456E-3</v>
      </c>
      <c r="P2722">
        <v>-0.98736650000000004</v>
      </c>
      <c r="Q2722">
        <v>0.15760299999999999</v>
      </c>
      <c r="R2722">
        <v>-1.6406810000000001E-2</v>
      </c>
      <c r="S2722">
        <v>-3.0652469999999998</v>
      </c>
      <c r="T2722">
        <v>-0.17660490000000001</v>
      </c>
      <c r="U2722">
        <v>-7.9254149999999995E-2</v>
      </c>
      <c r="V2722">
        <v>-1.6987149999999999E-2</v>
      </c>
      <c r="W2722">
        <v>0.17204079999999999</v>
      </c>
      <c r="X2722">
        <v>0.98494329999999997</v>
      </c>
      <c r="Y2722">
        <v>-2.6922789999999999E-2</v>
      </c>
      <c r="Z2722">
        <v>-8.3942299999999995E-4</v>
      </c>
      <c r="AA2722">
        <v>0.9996372</v>
      </c>
      <c r="AB2722">
        <v>45</v>
      </c>
      <c r="AC2722">
        <v>-18.785799999999899</v>
      </c>
      <c r="AD2722">
        <v>-1.1087807033735999</v>
      </c>
      <c r="AE2722">
        <v>-0.49840000000000301</v>
      </c>
      <c r="AF2722">
        <v>-0.51768600334992698</v>
      </c>
      <c r="AG2722">
        <v>-1.1087807033735999</v>
      </c>
      <c r="AH2722">
        <v>18.720060790443299</v>
      </c>
      <c r="AI2722">
        <v>93.388350585310405</v>
      </c>
      <c r="AJ2722">
        <v>91.584058181449805</v>
      </c>
      <c r="AK2722">
        <v>18.760012511833001</v>
      </c>
      <c r="AL2722">
        <v>80.093502794877793</v>
      </c>
      <c r="AM2722">
        <v>90.9880726283928</v>
      </c>
      <c r="AN2722">
        <v>0.99999995217232496</v>
      </c>
    </row>
    <row r="2723" spans="1:40" x14ac:dyDescent="0.25">
      <c r="A2723" t="str">
        <f>"20190312164041324"</f>
        <v>20190312164041324</v>
      </c>
      <c r="B2723" t="str">
        <f>"1552380041319133"</f>
        <v>1552380041319133</v>
      </c>
      <c r="C2723" t="s">
        <v>40</v>
      </c>
      <c r="D2723">
        <v>5.6482580000000002</v>
      </c>
      <c r="E2723">
        <v>0.50101119999999999</v>
      </c>
      <c r="F2723" t="s">
        <v>48</v>
      </c>
      <c r="G2723">
        <v>-452.18079999999998</v>
      </c>
      <c r="H2723" s="1">
        <v>-3.7977420000000001E-7</v>
      </c>
      <c r="I2723">
        <v>284.69600000000003</v>
      </c>
      <c r="J2723">
        <v>-433.23700000000002</v>
      </c>
      <c r="K2723">
        <v>1.108779</v>
      </c>
      <c r="L2723">
        <v>285.18430000000001</v>
      </c>
      <c r="M2723">
        <v>-0.99989119999999998</v>
      </c>
      <c r="N2723">
        <v>0</v>
      </c>
      <c r="O2723">
        <v>2.2166239999999999E-3</v>
      </c>
      <c r="P2723">
        <v>-0.98728090000000002</v>
      </c>
      <c r="Q2723">
        <v>0.15817709999999999</v>
      </c>
      <c r="R2723">
        <v>-1.6011879999999999E-2</v>
      </c>
      <c r="S2723">
        <v>-3.0650940000000002</v>
      </c>
      <c r="T2723">
        <v>-0.17522739999999901</v>
      </c>
      <c r="U2723">
        <v>-7.6934810000000006E-2</v>
      </c>
      <c r="V2723">
        <v>-1.7665879999999998E-2</v>
      </c>
      <c r="W2723">
        <v>0.172613299999999</v>
      </c>
      <c r="X2723">
        <v>0.98483120000000002</v>
      </c>
      <c r="Y2723">
        <v>-2.7260409999999999E-2</v>
      </c>
      <c r="Z2723">
        <v>-9.0507580000000003E-4</v>
      </c>
      <c r="AA2723">
        <v>0.99962790000000001</v>
      </c>
      <c r="AB2723">
        <v>45</v>
      </c>
      <c r="AC2723">
        <v>-18.9438</v>
      </c>
      <c r="AD2723">
        <v>-1.1087793797742</v>
      </c>
      <c r="AE2723">
        <v>-0.48830000000003698</v>
      </c>
      <c r="AF2723">
        <v>-0.52848528970407405</v>
      </c>
      <c r="AG2723">
        <v>-1.1087793797742</v>
      </c>
      <c r="AH2723">
        <v>18.878042382677599</v>
      </c>
      <c r="AI2723">
        <v>93.360024539188302</v>
      </c>
      <c r="AJ2723">
        <v>91.6035598163255</v>
      </c>
      <c r="AK2723">
        <v>18.917958997117399</v>
      </c>
      <c r="AL2723">
        <v>80.060202898300204</v>
      </c>
      <c r="AM2723">
        <v>91.027660194860005</v>
      </c>
      <c r="AN2723">
        <v>0.99999996357325105</v>
      </c>
    </row>
    <row r="2724" spans="1:40" x14ac:dyDescent="0.25">
      <c r="A2724" t="str">
        <f>"20190312164041345"</f>
        <v>20190312164041345</v>
      </c>
      <c r="B2724" t="str">
        <f>"1552380041338653"</f>
        <v>1552380041338653</v>
      </c>
      <c r="C2724" t="s">
        <v>40</v>
      </c>
      <c r="D2724">
        <v>5.4582309999999996</v>
      </c>
      <c r="E2724">
        <v>0.50094680000000003</v>
      </c>
      <c r="F2724" t="s">
        <v>48</v>
      </c>
      <c r="G2724">
        <v>-452.98410000000001</v>
      </c>
      <c r="H2724" s="1">
        <v>4.771838E-8</v>
      </c>
      <c r="I2724">
        <v>284.69569999999999</v>
      </c>
      <c r="J2724">
        <v>-433.67430000000002</v>
      </c>
      <c r="K2724">
        <v>1.108773</v>
      </c>
      <c r="L2724">
        <v>285.18610000000001</v>
      </c>
      <c r="M2724">
        <v>-0.99988840000000001</v>
      </c>
      <c r="N2724">
        <v>0</v>
      </c>
      <c r="O2724">
        <v>3.2790459999999999E-3</v>
      </c>
      <c r="P2724">
        <v>-0.98716780000000004</v>
      </c>
      <c r="Q2724">
        <v>0.158932399999999</v>
      </c>
      <c r="R2724">
        <v>-1.549906E-2</v>
      </c>
      <c r="S2724">
        <v>-3.0650019999999998</v>
      </c>
      <c r="T2724">
        <v>-0.17209679999999999</v>
      </c>
      <c r="U2724">
        <v>-7.5836180000000003E-2</v>
      </c>
      <c r="V2724">
        <v>-1.81955E-2</v>
      </c>
      <c r="W2724">
        <v>0.1733662</v>
      </c>
      <c r="X2724">
        <v>0.98468940000000005</v>
      </c>
      <c r="Y2724">
        <v>-2.796413E-2</v>
      </c>
      <c r="Z2724">
        <v>-9.683049E-4</v>
      </c>
      <c r="AA2724">
        <v>0.99960850000000001</v>
      </c>
      <c r="AB2724">
        <v>45</v>
      </c>
      <c r="AC2724">
        <v>-19.309799999999999</v>
      </c>
      <c r="AD2724">
        <v>-1.1087729522816201</v>
      </c>
      <c r="AE2724">
        <v>-0.49040000000002198</v>
      </c>
      <c r="AF2724">
        <v>-0.55190331462445497</v>
      </c>
      <c r="AG2724">
        <v>-1.1087729522816201</v>
      </c>
      <c r="AH2724">
        <v>19.244677577923799</v>
      </c>
      <c r="AI2724">
        <v>93.296071659584001</v>
      </c>
      <c r="AJ2724">
        <v>91.642691376487505</v>
      </c>
      <c r="AK2724">
        <v>19.284490913857301</v>
      </c>
      <c r="AL2724">
        <v>80.016405606253599</v>
      </c>
      <c r="AM2724">
        <v>91.058614750023693</v>
      </c>
      <c r="AN2724">
        <v>1.00000006499752</v>
      </c>
    </row>
    <row r="2725" spans="1:40" x14ac:dyDescent="0.25">
      <c r="A2725" t="str">
        <f>"20190312164041367"</f>
        <v>20190312164041367</v>
      </c>
      <c r="B2725" t="str">
        <f>"1552380041359152"</f>
        <v>1552380041359152</v>
      </c>
      <c r="C2725" t="s">
        <v>40</v>
      </c>
      <c r="D2725">
        <v>5.4342220000000001</v>
      </c>
      <c r="E2725">
        <v>0.5008975</v>
      </c>
      <c r="F2725" t="s">
        <v>48</v>
      </c>
      <c r="G2725">
        <v>-453.81479999999999</v>
      </c>
      <c r="H2725" s="1">
        <v>4.8985770000000004E-7</v>
      </c>
      <c r="I2725">
        <v>284.69380000000001</v>
      </c>
      <c r="J2725">
        <v>-434.11610000000002</v>
      </c>
      <c r="K2725">
        <v>1.108768</v>
      </c>
      <c r="L2725">
        <v>285.1884</v>
      </c>
      <c r="M2725">
        <v>-0.99988429999999995</v>
      </c>
      <c r="N2725">
        <v>0</v>
      </c>
      <c r="O2725">
        <v>4.3531280000000004E-3</v>
      </c>
      <c r="P2725">
        <v>-0.98713169999999995</v>
      </c>
      <c r="Q2725">
        <v>0.1591581</v>
      </c>
      <c r="R2725">
        <v>-1.549122E-2</v>
      </c>
      <c r="S2725">
        <v>-3.0650019999999998</v>
      </c>
      <c r="T2725">
        <v>-0.1687341</v>
      </c>
      <c r="U2725">
        <v>-7.4920650000000005E-2</v>
      </c>
      <c r="V2725">
        <v>-1.9243650000000001E-2</v>
      </c>
      <c r="W2725">
        <v>0.1735921</v>
      </c>
      <c r="X2725">
        <v>0.98462959999999999</v>
      </c>
      <c r="Y2725">
        <v>-2.87386E-2</v>
      </c>
      <c r="Z2725">
        <v>-1.0297990000000001E-3</v>
      </c>
      <c r="AA2725">
        <v>0.99958639999999999</v>
      </c>
      <c r="AB2725">
        <v>45</v>
      </c>
      <c r="AC2725">
        <v>-19.698699999999899</v>
      </c>
      <c r="AD2725">
        <v>-1.1087675101423</v>
      </c>
      <c r="AE2725">
        <v>-0.49459999999999099</v>
      </c>
      <c r="AF2725">
        <v>-0.57852368946836497</v>
      </c>
      <c r="AG2725">
        <v>-1.1087675101423</v>
      </c>
      <c r="AH2725">
        <v>19.6341951296757</v>
      </c>
      <c r="AI2725">
        <v>93.230732183370307</v>
      </c>
      <c r="AJ2725">
        <v>91.687738044750702</v>
      </c>
      <c r="AK2725">
        <v>19.673984686407699</v>
      </c>
      <c r="AL2725">
        <v>80.003262484623406</v>
      </c>
      <c r="AM2725">
        <v>91.119649028916299</v>
      </c>
      <c r="AN2725">
        <v>0.99999999222194602</v>
      </c>
    </row>
    <row r="2726" spans="1:40" x14ac:dyDescent="0.25">
      <c r="A2726" t="str">
        <f>"20190312164041390"</f>
        <v>20190312164041390</v>
      </c>
      <c r="B2726" t="str">
        <f>"1552380041378427"</f>
        <v>1552380041378427</v>
      </c>
      <c r="C2726" t="s">
        <v>40</v>
      </c>
      <c r="D2726">
        <v>5.6508089999999997</v>
      </c>
      <c r="E2726">
        <v>0.50083820000000001</v>
      </c>
      <c r="F2726" t="s">
        <v>48</v>
      </c>
      <c r="G2726">
        <v>-454.46019999999999</v>
      </c>
      <c r="H2726" s="1">
        <v>8.3357189999999998E-7</v>
      </c>
      <c r="I2726">
        <v>284.6884</v>
      </c>
      <c r="J2726">
        <v>-434.5591</v>
      </c>
      <c r="K2726">
        <v>1.1087610000000001</v>
      </c>
      <c r="L2726">
        <v>285.19119999999998</v>
      </c>
      <c r="M2726">
        <v>-0.99987910000000002</v>
      </c>
      <c r="N2726">
        <v>0</v>
      </c>
      <c r="O2726">
        <v>5.4310010000000004E-3</v>
      </c>
      <c r="P2726">
        <v>-0.98721400000000004</v>
      </c>
      <c r="Q2726">
        <v>0.15872020000000001</v>
      </c>
      <c r="R2726">
        <v>-1.4711699999999999E-2</v>
      </c>
      <c r="S2726">
        <v>-3.0648499999999999</v>
      </c>
      <c r="T2726">
        <v>-0.1670365</v>
      </c>
      <c r="U2726">
        <v>-7.5317380000000003E-2</v>
      </c>
      <c r="V2726">
        <v>-1.9528299999999998E-2</v>
      </c>
      <c r="W2726">
        <v>0.17315349999999999</v>
      </c>
      <c r="X2726">
        <v>0.98470119999999906</v>
      </c>
      <c r="Y2726">
        <v>-2.9944269999999999E-2</v>
      </c>
      <c r="Z2726">
        <v>-1.1110289999999999E-3</v>
      </c>
      <c r="AA2726">
        <v>0.99955090000000002</v>
      </c>
      <c r="AB2726">
        <v>45</v>
      </c>
      <c r="AC2726">
        <v>-19.9010999999999</v>
      </c>
      <c r="AD2726">
        <v>-1.1087601664280999</v>
      </c>
      <c r="AE2726">
        <v>-0.50279999999997904</v>
      </c>
      <c r="AF2726">
        <v>-0.60899783080466097</v>
      </c>
      <c r="AG2726">
        <v>-1.1087601664280999</v>
      </c>
      <c r="AH2726">
        <v>19.836542181619301</v>
      </c>
      <c r="AI2726">
        <v>93.197705476967698</v>
      </c>
      <c r="AJ2726">
        <v>91.758474266100507</v>
      </c>
      <c r="AK2726">
        <v>19.8768365991106</v>
      </c>
      <c r="AL2726">
        <v>80.028778614507601</v>
      </c>
      <c r="AM2726">
        <v>91.136123852242804</v>
      </c>
      <c r="AN2726">
        <v>0.999999971172289</v>
      </c>
    </row>
    <row r="2727" spans="1:40" x14ac:dyDescent="0.25">
      <c r="A2727" t="str">
        <f>"20190312164041413"</f>
        <v>20190312164041413</v>
      </c>
      <c r="B2727" t="str">
        <f>"1552380041408683"</f>
        <v>1552380041408683</v>
      </c>
      <c r="C2727" t="s">
        <v>40</v>
      </c>
      <c r="D2727">
        <v>5.5235940000000001</v>
      </c>
      <c r="E2727">
        <v>0.50075190000000003</v>
      </c>
      <c r="F2727" t="s">
        <v>48</v>
      </c>
      <c r="G2727">
        <v>-454.83280000000002</v>
      </c>
      <c r="H2727" s="1">
        <v>1.03137E-6</v>
      </c>
      <c r="I2727">
        <v>284.6986</v>
      </c>
      <c r="J2727">
        <v>-435.02179999999998</v>
      </c>
      <c r="K2727">
        <v>1.1087629999999999</v>
      </c>
      <c r="L2727">
        <v>285.19459999999998</v>
      </c>
      <c r="M2727">
        <v>-0.99987239999999999</v>
      </c>
      <c r="N2727">
        <v>0</v>
      </c>
      <c r="O2727">
        <v>6.5536020000000004E-3</v>
      </c>
      <c r="P2727">
        <v>-0.98731550000000001</v>
      </c>
      <c r="Q2727">
        <v>0.15815509999999999</v>
      </c>
      <c r="R2727">
        <v>-1.397194E-2</v>
      </c>
      <c r="S2727">
        <v>-3.064667</v>
      </c>
      <c r="T2727">
        <v>-0.167606</v>
      </c>
      <c r="U2727">
        <v>-7.4462890000000004E-2</v>
      </c>
      <c r="V2727">
        <v>-1.989701E-2</v>
      </c>
      <c r="W2727">
        <v>0.17258850000000001</v>
      </c>
      <c r="X2727">
        <v>0.98479300000000003</v>
      </c>
      <c r="Y2727">
        <v>-3.0786129999999998E-2</v>
      </c>
      <c r="Z2727">
        <v>-1.199229E-3</v>
      </c>
      <c r="AA2727">
        <v>0.9995252</v>
      </c>
      <c r="AB2727">
        <v>45</v>
      </c>
      <c r="AC2727">
        <v>-19.811</v>
      </c>
      <c r="AD2727">
        <v>-1.1087619686300001</v>
      </c>
      <c r="AE2727">
        <v>-0.49599999999998001</v>
      </c>
      <c r="AF2727">
        <v>-0.62388356650480403</v>
      </c>
      <c r="AG2727">
        <v>-1.1087619686300001</v>
      </c>
      <c r="AH2727">
        <v>19.7455133378668</v>
      </c>
      <c r="AI2727">
        <v>93.212332312578994</v>
      </c>
      <c r="AJ2727">
        <v>91.809727935838495</v>
      </c>
      <c r="AK2727">
        <v>19.786457004312599</v>
      </c>
      <c r="AL2727">
        <v>80.061645519589504</v>
      </c>
      <c r="AM2727">
        <v>91.157461124688496</v>
      </c>
      <c r="AN2727">
        <v>0.999999967094094</v>
      </c>
    </row>
    <row r="2728" spans="1:40" x14ac:dyDescent="0.25">
      <c r="A2728" t="str">
        <f>"20190312164041435"</f>
        <v>20190312164041435</v>
      </c>
      <c r="B2728" t="str">
        <f>"1552380041429182"</f>
        <v>1552380041429182</v>
      </c>
      <c r="C2728" t="s">
        <v>40</v>
      </c>
      <c r="D2728">
        <v>5.5840110000000003</v>
      </c>
      <c r="E2728">
        <v>0.49340210000000001</v>
      </c>
      <c r="F2728" t="s">
        <v>48</v>
      </c>
      <c r="G2728">
        <v>-455.18079999999998</v>
      </c>
      <c r="H2728" s="1">
        <v>1.2159929999999999E-6</v>
      </c>
      <c r="I2728">
        <v>284.71179999999998</v>
      </c>
      <c r="J2728">
        <v>-435.46010000000001</v>
      </c>
      <c r="K2728">
        <v>1.10877</v>
      </c>
      <c r="L2728">
        <v>285.19830000000002</v>
      </c>
      <c r="M2728">
        <v>-0.999865</v>
      </c>
      <c r="N2728">
        <v>0</v>
      </c>
      <c r="O2728">
        <v>7.6068069999999897E-3</v>
      </c>
      <c r="P2728">
        <v>-0.98736100000000004</v>
      </c>
      <c r="Q2728">
        <v>0.15800500000000001</v>
      </c>
      <c r="R2728">
        <v>-1.2376160000000001E-2</v>
      </c>
      <c r="S2728">
        <v>-3.064514</v>
      </c>
      <c r="T2728">
        <v>-0.16855059999999999</v>
      </c>
      <c r="U2728">
        <v>-7.3394780000000007E-2</v>
      </c>
      <c r="V2728">
        <v>-1.9343430000000002E-2</v>
      </c>
      <c r="W2728">
        <v>0.17243439999999999</v>
      </c>
      <c r="X2728">
        <v>0.98483100000000001</v>
      </c>
      <c r="Y2728">
        <v>-3.1488710000000003E-2</v>
      </c>
      <c r="Z2728">
        <v>-1.2832290000000001E-3</v>
      </c>
      <c r="AA2728">
        <v>0.99950329999999998</v>
      </c>
      <c r="AB2728">
        <v>44</v>
      </c>
      <c r="AC2728">
        <v>-19.720699999999901</v>
      </c>
      <c r="AD2728">
        <v>-1.108768784007</v>
      </c>
      <c r="AE2728">
        <v>-0.48650000000003402</v>
      </c>
      <c r="AF2728">
        <v>-0.63450887105990394</v>
      </c>
      <c r="AG2728">
        <v>-1.108768784007</v>
      </c>
      <c r="AH2728">
        <v>19.654336805578598</v>
      </c>
      <c r="AI2728">
        <v>93.227152091841205</v>
      </c>
      <c r="AJ2728">
        <v>91.849060530078603</v>
      </c>
      <c r="AK2728">
        <v>19.6958098333367</v>
      </c>
      <c r="AL2728">
        <v>80.070608961322506</v>
      </c>
      <c r="AM2728">
        <v>91.125222918889904</v>
      </c>
      <c r="AN2728">
        <v>0.99999994457426</v>
      </c>
    </row>
    <row r="2729" spans="1:40" x14ac:dyDescent="0.25">
      <c r="A2729" t="str">
        <f>"20190312164041456"</f>
        <v>20190312164041456</v>
      </c>
      <c r="B2729" t="str">
        <f>"1552380041448699"</f>
        <v>1552380041448699</v>
      </c>
      <c r="C2729" t="s">
        <v>40</v>
      </c>
      <c r="D2729">
        <v>5.6432250000000002</v>
      </c>
      <c r="E2729">
        <v>0.49504779999999998</v>
      </c>
      <c r="F2729" t="s">
        <v>48</v>
      </c>
      <c r="G2729">
        <v>-447.46600000000001</v>
      </c>
      <c r="H2729" s="1">
        <v>2.4335469999999999E-6</v>
      </c>
      <c r="I2729">
        <v>284.67759999999998</v>
      </c>
      <c r="J2729">
        <v>-435.8879</v>
      </c>
      <c r="K2729">
        <v>1.108781</v>
      </c>
      <c r="L2729">
        <v>285.20229999999998</v>
      </c>
      <c r="M2729">
        <v>-0.99985690000000005</v>
      </c>
      <c r="N2729">
        <v>0</v>
      </c>
      <c r="O2729">
        <v>8.6145349999999996E-3</v>
      </c>
      <c r="P2729">
        <v>-0.98737490000000006</v>
      </c>
      <c r="Q2729">
        <v>0.15807750000000001</v>
      </c>
      <c r="R2729">
        <v>-1.0129610000000001E-2</v>
      </c>
      <c r="S2729">
        <v>-3.082214</v>
      </c>
      <c r="T2729">
        <v>-0.2846494</v>
      </c>
      <c r="U2729">
        <v>-0.13366700000000001</v>
      </c>
      <c r="V2729">
        <v>-1.8096399999999999E-2</v>
      </c>
      <c r="W2729">
        <v>0.17249970000000001</v>
      </c>
      <c r="X2729">
        <v>0.98484329999999998</v>
      </c>
      <c r="Y2729">
        <v>-5.1676109999999997E-2</v>
      </c>
      <c r="Z2729">
        <v>-3.1736500000000001E-3</v>
      </c>
      <c r="AA2729">
        <v>0.99865879999999996</v>
      </c>
      <c r="AB2729">
        <v>44</v>
      </c>
      <c r="AC2729">
        <v>-11.578099999999999</v>
      </c>
      <c r="AD2729">
        <v>-1.1087785664530001</v>
      </c>
      <c r="AE2729">
        <v>-0.52469999999999495</v>
      </c>
      <c r="AF2729">
        <v>-0.61876797758618296</v>
      </c>
      <c r="AG2729">
        <v>-1.1087785664530001</v>
      </c>
      <c r="AH2729">
        <v>11.468190946240499</v>
      </c>
      <c r="AI2729">
        <v>95.514389662198695</v>
      </c>
      <c r="AJ2729">
        <v>93.088407827139406</v>
      </c>
      <c r="AK2729">
        <v>11.5382696839233</v>
      </c>
      <c r="AL2729">
        <v>80.066810943858897</v>
      </c>
      <c r="AM2729">
        <v>91.052685920003299</v>
      </c>
      <c r="AN2729">
        <v>0.99999997587396905</v>
      </c>
    </row>
    <row r="2730" spans="1:40" x14ac:dyDescent="0.25">
      <c r="A2730" t="str">
        <f>"20190312164041479"</f>
        <v>20190312164041479</v>
      </c>
      <c r="B2730" t="str">
        <f>"1552380041469195"</f>
        <v>1552380041469195</v>
      </c>
      <c r="C2730" t="s">
        <v>40</v>
      </c>
      <c r="D2730">
        <v>5.643535</v>
      </c>
      <c r="E2730">
        <v>0.49570750000000002</v>
      </c>
      <c r="F2730" t="s">
        <v>48</v>
      </c>
      <c r="G2730">
        <v>-450.98759999999999</v>
      </c>
      <c r="H2730" s="1">
        <v>-1.0131089999999999E-6</v>
      </c>
      <c r="I2730">
        <v>284.65879999999999</v>
      </c>
      <c r="J2730">
        <v>-436.33190000000002</v>
      </c>
      <c r="K2730">
        <v>1.1088009999999999</v>
      </c>
      <c r="L2730">
        <v>285.20699999999999</v>
      </c>
      <c r="M2730">
        <v>-0.99984759999999995</v>
      </c>
      <c r="N2730">
        <v>0</v>
      </c>
      <c r="O2730">
        <v>9.6262699999999993E-3</v>
      </c>
      <c r="P2730">
        <v>-0.98739239999999995</v>
      </c>
      <c r="Q2730">
        <v>0.15809389999999901</v>
      </c>
      <c r="R2730">
        <v>-7.9146159999999993E-3</v>
      </c>
      <c r="S2730">
        <v>-3.0733640000000002</v>
      </c>
      <c r="T2730">
        <v>-0.2256794</v>
      </c>
      <c r="U2730">
        <v>-0.11062619999999999</v>
      </c>
      <c r="V2730">
        <v>-1.6889939999999999E-2</v>
      </c>
      <c r="W2730">
        <v>0.17250860000000001</v>
      </c>
      <c r="X2730">
        <v>0.98486320000000005</v>
      </c>
      <c r="Y2730">
        <v>-4.5443160000000003E-2</v>
      </c>
      <c r="Z2730">
        <v>-2.371466E-3</v>
      </c>
      <c r="AA2730">
        <v>0.99896410000000002</v>
      </c>
      <c r="AB2730">
        <v>44</v>
      </c>
      <c r="AC2730">
        <v>-14.6556999999999</v>
      </c>
      <c r="AD2730">
        <v>-1.108802013109</v>
      </c>
      <c r="AE2730">
        <v>-0.54820000000000801</v>
      </c>
      <c r="AF2730">
        <v>-0.68535185441619795</v>
      </c>
      <c r="AG2730">
        <v>-1.108802013109</v>
      </c>
      <c r="AH2730">
        <v>14.5664819868247</v>
      </c>
      <c r="AI2730">
        <v>94.348174165131695</v>
      </c>
      <c r="AJ2730">
        <v>92.693775448036206</v>
      </c>
      <c r="AK2730">
        <v>14.6246896220438</v>
      </c>
      <c r="AL2730">
        <v>80.066293542128406</v>
      </c>
      <c r="AM2730">
        <v>90.982499319580299</v>
      </c>
      <c r="AN2730">
        <v>1.0000000049307001</v>
      </c>
    </row>
    <row r="2731" spans="1:40" x14ac:dyDescent="0.25">
      <c r="A2731" t="str">
        <f>"20190312164041502"</f>
        <v>20190312164041502</v>
      </c>
      <c r="B2731" t="str">
        <f>"1552380041498475"</f>
        <v>1552380041498475</v>
      </c>
      <c r="C2731" t="s">
        <v>40</v>
      </c>
      <c r="D2731">
        <v>5.5056539999999998</v>
      </c>
      <c r="E2731">
        <v>0.49647340000000001</v>
      </c>
      <c r="F2731" t="s">
        <v>48</v>
      </c>
      <c r="G2731">
        <v>-453.14789999999999</v>
      </c>
      <c r="H2731" s="1">
        <v>1.35916799999999E-7</v>
      </c>
      <c r="I2731">
        <v>284.67290000000003</v>
      </c>
      <c r="J2731">
        <v>-436.78500000000003</v>
      </c>
      <c r="K2731">
        <v>1.108838</v>
      </c>
      <c r="L2731">
        <v>285.2122</v>
      </c>
      <c r="M2731">
        <v>-0.99983770000000005</v>
      </c>
      <c r="N2731">
        <v>0</v>
      </c>
      <c r="O2731">
        <v>1.0612150000000001E-2</v>
      </c>
      <c r="P2731">
        <v>-0.98735059999999997</v>
      </c>
      <c r="Q2731">
        <v>0.1584419</v>
      </c>
      <c r="R2731">
        <v>-5.9359419999999996E-3</v>
      </c>
      <c r="S2731">
        <v>-3.0699770000000002</v>
      </c>
      <c r="T2731">
        <v>-0.20242579999999999</v>
      </c>
      <c r="U2731">
        <v>-9.7503660000000006E-2</v>
      </c>
      <c r="V2731">
        <v>-1.5897600000000001E-2</v>
      </c>
      <c r="W2731">
        <v>0.17284869999999999</v>
      </c>
      <c r="X2731">
        <v>0.98482009999999998</v>
      </c>
      <c r="Y2731">
        <v>-4.2235870000000002E-2</v>
      </c>
      <c r="Z2731">
        <v>-2.0894939999999999E-3</v>
      </c>
      <c r="AA2731">
        <v>0.99910549999999998</v>
      </c>
      <c r="AB2731">
        <v>44</v>
      </c>
      <c r="AC2731">
        <v>-16.3628999999999</v>
      </c>
      <c r="AD2731">
        <v>-1.1088378640832</v>
      </c>
      <c r="AE2731">
        <v>-0.53929999999996803</v>
      </c>
      <c r="AF2731">
        <v>-0.70967817167999903</v>
      </c>
      <c r="AG2731">
        <v>-1.1088378640832</v>
      </c>
      <c r="AH2731">
        <v>16.281568478451302</v>
      </c>
      <c r="AI2731">
        <v>93.892364009324496</v>
      </c>
      <c r="AJ2731">
        <v>92.4958186595657</v>
      </c>
      <c r="AK2731">
        <v>16.334706505924199</v>
      </c>
      <c r="AL2731">
        <v>80.046510196478707</v>
      </c>
      <c r="AM2731">
        <v>90.924825028943005</v>
      </c>
      <c r="AN2731">
        <v>1.00000001807072</v>
      </c>
    </row>
    <row r="2732" spans="1:40" x14ac:dyDescent="0.25">
      <c r="A2732" t="str">
        <f>"20190312164041526"</f>
        <v>20190312164041526</v>
      </c>
      <c r="B2732" t="str">
        <f>"1552380041518971"</f>
        <v>1552380041518971</v>
      </c>
      <c r="C2732" t="s">
        <v>40</v>
      </c>
      <c r="D2732">
        <v>5.6038860000000001</v>
      </c>
      <c r="E2732">
        <v>0.49818699999999999</v>
      </c>
      <c r="F2732" t="s">
        <v>48</v>
      </c>
      <c r="G2732">
        <v>-455.08069999999998</v>
      </c>
      <c r="H2732" s="1">
        <v>1.162912E-6</v>
      </c>
      <c r="I2732">
        <v>284.70800000000003</v>
      </c>
      <c r="J2732">
        <v>-437.26429999999999</v>
      </c>
      <c r="K2732">
        <v>1.1088849999999999</v>
      </c>
      <c r="L2732">
        <v>285.21809999999999</v>
      </c>
      <c r="M2732">
        <v>-0.99982669999999996</v>
      </c>
      <c r="N2732">
        <v>0</v>
      </c>
      <c r="O2732">
        <v>1.1606150000000001E-2</v>
      </c>
      <c r="P2732">
        <v>-0.98726000000000003</v>
      </c>
      <c r="Q2732">
        <v>0.15904260000000001</v>
      </c>
      <c r="R2732">
        <v>-4.8305010000000001E-3</v>
      </c>
      <c r="S2732">
        <v>-3.0677490000000001</v>
      </c>
      <c r="T2732">
        <v>-0.18592539999999999</v>
      </c>
      <c r="U2732">
        <v>-8.4533689999999995E-2</v>
      </c>
      <c r="V2732">
        <v>-1.5788380000000001E-2</v>
      </c>
      <c r="W2732">
        <v>0.17344279999999901</v>
      </c>
      <c r="X2732">
        <v>0.98471739999999996</v>
      </c>
      <c r="Y2732">
        <v>-3.9053379999999999E-2</v>
      </c>
      <c r="Z2732">
        <v>-1.884855E-3</v>
      </c>
      <c r="AA2732">
        <v>0.99923530000000005</v>
      </c>
      <c r="AB2732">
        <v>44</v>
      </c>
      <c r="AC2732">
        <v>-17.816399999999899</v>
      </c>
      <c r="AD2732">
        <v>-1.1088838370880001</v>
      </c>
      <c r="AE2732">
        <v>-0.51010000000002198</v>
      </c>
      <c r="AF2732">
        <v>-0.71410335887947796</v>
      </c>
      <c r="AG2732">
        <v>-1.1088838370880001</v>
      </c>
      <c r="AH2732">
        <v>17.740612316935099</v>
      </c>
      <c r="AI2732">
        <v>93.573755295055193</v>
      </c>
      <c r="AJ2732">
        <v>92.305051911998703</v>
      </c>
      <c r="AK2732">
        <v>17.789572573592299</v>
      </c>
      <c r="AL2732">
        <v>80.011948763087204</v>
      </c>
      <c r="AM2732">
        <v>90.918568144921494</v>
      </c>
      <c r="AN2732">
        <v>1.00000001783881</v>
      </c>
    </row>
    <row r="2733" spans="1:40" x14ac:dyDescent="0.25">
      <c r="A2733" t="str">
        <f>"20190312164041547"</f>
        <v>20190312164041547</v>
      </c>
      <c r="B2733" t="str">
        <f>"1552380041538491"</f>
        <v>1552380041538491</v>
      </c>
      <c r="C2733" t="s">
        <v>40</v>
      </c>
      <c r="D2733">
        <v>5.6243629999999998</v>
      </c>
      <c r="E2733">
        <v>0.49956469999999997</v>
      </c>
      <c r="F2733" t="s">
        <v>48</v>
      </c>
      <c r="G2733">
        <v>-456.02190000000002</v>
      </c>
      <c r="H2733" s="1">
        <v>1.659408E-6</v>
      </c>
      <c r="I2733">
        <v>284.80770000000001</v>
      </c>
      <c r="J2733">
        <v>-437.67230000000001</v>
      </c>
      <c r="K2733">
        <v>1.1089340000000001</v>
      </c>
      <c r="L2733">
        <v>285.2235</v>
      </c>
      <c r="M2733">
        <v>-0.99981719999999996</v>
      </c>
      <c r="N2733">
        <v>0</v>
      </c>
      <c r="O2733">
        <v>1.240657E-2</v>
      </c>
      <c r="P2733">
        <v>-0.98726550000000002</v>
      </c>
      <c r="Q2733">
        <v>0.15900110000000001</v>
      </c>
      <c r="R2733">
        <v>-5.0591569999999999E-3</v>
      </c>
      <c r="S2733">
        <v>-3.067596</v>
      </c>
      <c r="T2733">
        <v>-0.1813449</v>
      </c>
      <c r="U2733">
        <v>-6.7108150000000005E-2</v>
      </c>
      <c r="V2733">
        <v>-1.6825280000000001E-2</v>
      </c>
      <c r="W2733">
        <v>0.17339959999999999</v>
      </c>
      <c r="X2733">
        <v>0.98470780000000002</v>
      </c>
      <c r="Y2733">
        <v>-3.4193149999999999E-2</v>
      </c>
      <c r="Z2733">
        <v>-1.7424750000000001E-3</v>
      </c>
      <c r="AA2733">
        <v>0.99941369999999896</v>
      </c>
      <c r="AB2733">
        <v>44</v>
      </c>
      <c r="AC2733">
        <v>-18.349599999999999</v>
      </c>
      <c r="AD2733">
        <v>-1.108932340592</v>
      </c>
      <c r="AE2733">
        <v>-0.41579999999999001</v>
      </c>
      <c r="AF2733">
        <v>-0.64110741953436201</v>
      </c>
      <c r="AG2733">
        <v>-1.108932340592</v>
      </c>
      <c r="AH2733">
        <v>18.276313380587801</v>
      </c>
      <c r="AI2733">
        <v>93.470088795145202</v>
      </c>
      <c r="AJ2733">
        <v>92.009031748192001</v>
      </c>
      <c r="AK2733">
        <v>18.321145718672899</v>
      </c>
      <c r="AL2733">
        <v>80.0144616541982</v>
      </c>
      <c r="AM2733">
        <v>90.978893164336</v>
      </c>
      <c r="AN2733">
        <v>0.999999981354039</v>
      </c>
    </row>
    <row r="2734" spans="1:40" x14ac:dyDescent="0.25">
      <c r="A2734" t="str">
        <f>"20190312164041569"</f>
        <v>20190312164041569</v>
      </c>
      <c r="B2734" t="str">
        <f>"1552380041558987"</f>
        <v>1552380041558987</v>
      </c>
      <c r="C2734" t="s">
        <v>40</v>
      </c>
      <c r="D2734">
        <v>6.5121880000000001</v>
      </c>
      <c r="E2734">
        <v>0.50055209999999895</v>
      </c>
      <c r="F2734" t="s">
        <v>48</v>
      </c>
      <c r="G2734">
        <v>-457.00650000000002</v>
      </c>
      <c r="H2734" s="1">
        <v>2.1806809999999998E-6</v>
      </c>
      <c r="I2734">
        <v>284.86869999999999</v>
      </c>
      <c r="J2734">
        <v>-438.12</v>
      </c>
      <c r="K2734">
        <v>1.1089899999999999</v>
      </c>
      <c r="L2734">
        <v>285.22969999999998</v>
      </c>
      <c r="M2734">
        <v>-0.99980659999999999</v>
      </c>
      <c r="N2734">
        <v>0</v>
      </c>
      <c r="O2734">
        <v>1.322539E-2</v>
      </c>
      <c r="P2734">
        <v>-0.98713709999999999</v>
      </c>
      <c r="Q2734">
        <v>0.159789299999999</v>
      </c>
      <c r="R2734">
        <v>-5.2756819999999899E-3</v>
      </c>
      <c r="S2734">
        <v>-3.0667420000000001</v>
      </c>
      <c r="T2734">
        <v>-0.1758962</v>
      </c>
      <c r="U2734">
        <v>-5.6274409999999997E-2</v>
      </c>
      <c r="V2734">
        <v>-1.786749E-2</v>
      </c>
      <c r="W2734">
        <v>0.1741828</v>
      </c>
      <c r="X2734">
        <v>0.98455119999999896</v>
      </c>
      <c r="Y2734">
        <v>-3.1496290000000003E-2</v>
      </c>
      <c r="Z2734">
        <v>-1.6603900000000001E-3</v>
      </c>
      <c r="AA2734">
        <v>0.99950249999999996</v>
      </c>
      <c r="AB2734">
        <v>44</v>
      </c>
      <c r="AC2734">
        <v>-18.886500000000002</v>
      </c>
      <c r="AD2734">
        <v>-1.1089878193189999</v>
      </c>
      <c r="AE2734">
        <v>-0.36099999999999</v>
      </c>
      <c r="AF2734">
        <v>-0.60867833536137395</v>
      </c>
      <c r="AG2734">
        <v>-1.1089878193189999</v>
      </c>
      <c r="AH2734">
        <v>18.815224267996399</v>
      </c>
      <c r="AI2734">
        <v>93.371407395742295</v>
      </c>
      <c r="AJ2734">
        <v>91.852890025753794</v>
      </c>
      <c r="AK2734">
        <v>18.857704196278402</v>
      </c>
      <c r="AL2734">
        <v>79.968894163983606</v>
      </c>
      <c r="AM2734">
        <v>91.039681230258594</v>
      </c>
      <c r="AN2734">
        <v>0.999999980218089</v>
      </c>
    </row>
    <row r="2735" spans="1:40" x14ac:dyDescent="0.25">
      <c r="A2735" t="str">
        <f>"20190312164041591"</f>
        <v>20190312164041591</v>
      </c>
      <c r="B2735" t="str">
        <f>"1552380041578509"</f>
        <v>1552380041578509</v>
      </c>
      <c r="C2735" t="s">
        <v>40</v>
      </c>
      <c r="D2735">
        <v>5.6037330000000001</v>
      </c>
      <c r="E2735">
        <v>0.50110969999999999</v>
      </c>
      <c r="F2735" t="s">
        <v>48</v>
      </c>
      <c r="G2735">
        <v>-458.32209999999998</v>
      </c>
      <c r="H2735" s="1">
        <v>2.8789559999999999E-6</v>
      </c>
      <c r="I2735">
        <v>284.91120000000001</v>
      </c>
      <c r="J2735">
        <v>-438.55220000000003</v>
      </c>
      <c r="K2735">
        <v>1.1090549999999999</v>
      </c>
      <c r="L2735">
        <v>285.23599999999999</v>
      </c>
      <c r="M2735">
        <v>-0.99979689999999999</v>
      </c>
      <c r="N2735">
        <v>0</v>
      </c>
      <c r="O2735">
        <v>1.395036E-2</v>
      </c>
      <c r="P2735">
        <v>-0.98695860000000002</v>
      </c>
      <c r="Q2735">
        <v>0.16089339999999999</v>
      </c>
      <c r="R2735">
        <v>-5.1441500000000001E-3</v>
      </c>
      <c r="S2735">
        <v>-3.066071</v>
      </c>
      <c r="T2735">
        <v>-0.1683104</v>
      </c>
      <c r="U2735">
        <v>-4.8339840000000002E-2</v>
      </c>
      <c r="V2735">
        <v>-1.8469920000000001E-2</v>
      </c>
      <c r="W2735">
        <v>0.17528050000000001</v>
      </c>
      <c r="X2735">
        <v>0.98434529999999998</v>
      </c>
      <c r="Y2735">
        <v>-2.964704E-2</v>
      </c>
      <c r="Z2735">
        <v>-1.578325E-3</v>
      </c>
      <c r="AA2735">
        <v>0.99955919999999998</v>
      </c>
      <c r="AB2735">
        <v>44</v>
      </c>
      <c r="AC2735">
        <v>-19.7698999999999</v>
      </c>
      <c r="AD2735">
        <v>-1.1090521210440001</v>
      </c>
      <c r="AE2735">
        <v>-0.32479999999998199</v>
      </c>
      <c r="AF2735">
        <v>-0.59871115751913095</v>
      </c>
      <c r="AG2735">
        <v>-1.1090521210440001</v>
      </c>
      <c r="AH2735">
        <v>19.701460694435401</v>
      </c>
      <c r="AI2735">
        <v>93.220460867545896</v>
      </c>
      <c r="AJ2735">
        <v>91.740635835632006</v>
      </c>
      <c r="AK2735">
        <v>19.741732577251501</v>
      </c>
      <c r="AL2735">
        <v>79.905018429922293</v>
      </c>
      <c r="AM2735">
        <v>91.074952352519603</v>
      </c>
      <c r="AN2735">
        <v>1.0000000306285699</v>
      </c>
    </row>
    <row r="2736" spans="1:40" x14ac:dyDescent="0.25">
      <c r="A2736" t="str">
        <f>"20190312164041614"</f>
        <v>20190312164041614</v>
      </c>
      <c r="B2736" t="str">
        <f>"1552380041608763"</f>
        <v>1552380041608763</v>
      </c>
      <c r="C2736" t="s">
        <v>40</v>
      </c>
      <c r="D2736">
        <v>5.6406080000000003</v>
      </c>
      <c r="E2736">
        <v>0.50189019999999995</v>
      </c>
      <c r="F2736" t="s">
        <v>48</v>
      </c>
      <c r="G2736">
        <v>-459.7998</v>
      </c>
      <c r="H2736" s="1">
        <v>3.664145E-6</v>
      </c>
      <c r="I2736">
        <v>284.93709999999999</v>
      </c>
      <c r="J2736">
        <v>-439.00490000000002</v>
      </c>
      <c r="K2736">
        <v>1.1091329999999999</v>
      </c>
      <c r="L2736">
        <v>285.24290000000002</v>
      </c>
      <c r="M2736">
        <v>-0.99978719999999999</v>
      </c>
      <c r="N2736">
        <v>0</v>
      </c>
      <c r="O2736">
        <v>1.463593E-2</v>
      </c>
      <c r="P2736">
        <v>-0.98695259999999996</v>
      </c>
      <c r="Q2736">
        <v>0.16095029999999999</v>
      </c>
      <c r="R2736">
        <v>-4.486093E-3</v>
      </c>
      <c r="S2736">
        <v>-3.0655209999999999</v>
      </c>
      <c r="T2736">
        <v>-0.16001009999999999</v>
      </c>
      <c r="U2736">
        <v>-4.3121340000000001E-2</v>
      </c>
      <c r="V2736">
        <v>-1.8517160000000001E-2</v>
      </c>
      <c r="W2736">
        <v>0.17533029999999999</v>
      </c>
      <c r="X2736">
        <v>0.98433550000000003</v>
      </c>
      <c r="Y2736">
        <v>-2.8640789999999999E-2</v>
      </c>
      <c r="Z2736">
        <v>-1.5104020000000001E-3</v>
      </c>
      <c r="AA2736">
        <v>0.99958860000000005</v>
      </c>
      <c r="AB2736">
        <v>44</v>
      </c>
      <c r="AC2736">
        <v>-20.794899999999899</v>
      </c>
      <c r="AD2736">
        <v>-1.1091293358549901</v>
      </c>
      <c r="AE2736">
        <v>-0.30580000000003299</v>
      </c>
      <c r="AF2736">
        <v>-0.60842164640989904</v>
      </c>
      <c r="AG2736">
        <v>-1.1091293358549901</v>
      </c>
      <c r="AH2736">
        <v>20.729238378892301</v>
      </c>
      <c r="AI2736">
        <v>93.061405953862106</v>
      </c>
      <c r="AJ2736">
        <v>91.681199603268396</v>
      </c>
      <c r="AK2736">
        <v>20.767803652587201</v>
      </c>
      <c r="AL2736">
        <v>79.902119783169994</v>
      </c>
      <c r="AM2736">
        <v>91.077711807623601</v>
      </c>
      <c r="AN2736">
        <v>0.99999998793640199</v>
      </c>
    </row>
    <row r="2737" spans="1:40" x14ac:dyDescent="0.25">
      <c r="A2737" t="str">
        <f>"20190312164041636"</f>
        <v>20190312164041636</v>
      </c>
      <c r="B2737" t="str">
        <f>"1552380041629264"</f>
        <v>1552380041629264</v>
      </c>
      <c r="C2737" t="s">
        <v>40</v>
      </c>
      <c r="D2737">
        <v>5.8681960000000002</v>
      </c>
      <c r="E2737">
        <v>0.50232489999999996</v>
      </c>
      <c r="F2737" t="s">
        <v>48</v>
      </c>
      <c r="G2737">
        <v>-460.31189999999998</v>
      </c>
      <c r="H2737" s="1">
        <v>-1.387536E-6</v>
      </c>
      <c r="I2737">
        <v>284.99919999999997</v>
      </c>
      <c r="J2737">
        <v>-439.43360000000001</v>
      </c>
      <c r="K2737">
        <v>1.1092029999999999</v>
      </c>
      <c r="L2737">
        <v>285.24959999999999</v>
      </c>
      <c r="M2737">
        <v>-0.99977859999999996</v>
      </c>
      <c r="N2737">
        <v>0</v>
      </c>
      <c r="O2737">
        <v>1.520992E-2</v>
      </c>
      <c r="P2737">
        <v>-0.98707259999999997</v>
      </c>
      <c r="Q2737">
        <v>0.16022</v>
      </c>
      <c r="R2737">
        <v>-4.1639110000000002E-3</v>
      </c>
      <c r="S2737">
        <v>-3.0654910000000002</v>
      </c>
      <c r="T2737">
        <v>-0.15957360000000001</v>
      </c>
      <c r="U2737">
        <v>-3.5064699999999997E-2</v>
      </c>
      <c r="V2737">
        <v>-1.8795639999999999E-2</v>
      </c>
      <c r="W2737">
        <v>0.17459549999999999</v>
      </c>
      <c r="X2737">
        <v>0.98446080000000002</v>
      </c>
      <c r="Y2737">
        <v>-2.6590389999999998E-2</v>
      </c>
      <c r="Z2737">
        <v>-1.482854E-3</v>
      </c>
      <c r="AA2737">
        <v>0.99964529999999996</v>
      </c>
      <c r="AB2737">
        <v>44</v>
      </c>
      <c r="AC2737">
        <v>-20.8782999999999</v>
      </c>
      <c r="AD2737">
        <v>-1.109204387536</v>
      </c>
      <c r="AE2737">
        <v>-0.250400000000013</v>
      </c>
      <c r="AF2737">
        <v>-0.56636354626122998</v>
      </c>
      <c r="AG2737">
        <v>-1.109204387536</v>
      </c>
      <c r="AH2737">
        <v>20.8133383173578</v>
      </c>
      <c r="AI2737">
        <v>93.049449126336796</v>
      </c>
      <c r="AJ2737">
        <v>91.558723279415702</v>
      </c>
      <c r="AK2737">
        <v>20.850567233355001</v>
      </c>
      <c r="AL2737">
        <v>79.944880077712696</v>
      </c>
      <c r="AM2737">
        <v>91.093776433973204</v>
      </c>
      <c r="AN2737">
        <v>0.99999996571994898</v>
      </c>
    </row>
    <row r="2738" spans="1:40" x14ac:dyDescent="0.25">
      <c r="A2738" t="str">
        <f>"20190312164041658"</f>
        <v>20190312164041658</v>
      </c>
      <c r="B2738" t="str">
        <f>"1552380041648779"</f>
        <v>1552380041648779</v>
      </c>
      <c r="C2738" t="s">
        <v>40</v>
      </c>
      <c r="D2738">
        <v>5.7137409999999997</v>
      </c>
      <c r="E2738">
        <v>0.50259160000000003</v>
      </c>
      <c r="F2738" t="s">
        <v>48</v>
      </c>
      <c r="G2738">
        <v>-460.62479999999999</v>
      </c>
      <c r="H2738" s="1">
        <v>-1.222854E-6</v>
      </c>
      <c r="I2738">
        <v>285.0412</v>
      </c>
      <c r="J2738">
        <v>-439.86700000000002</v>
      </c>
      <c r="K2738">
        <v>1.109283</v>
      </c>
      <c r="L2738">
        <v>285.25659999999999</v>
      </c>
      <c r="M2738">
        <v>-0.99977090000000002</v>
      </c>
      <c r="N2738">
        <v>0</v>
      </c>
      <c r="O2738">
        <v>1.5713560000000001E-2</v>
      </c>
      <c r="P2738">
        <v>-0.98711499999999996</v>
      </c>
      <c r="Q2738">
        <v>0.1599489</v>
      </c>
      <c r="R2738">
        <v>-4.5402389999999997E-3</v>
      </c>
      <c r="S2738">
        <v>-3.0652469999999998</v>
      </c>
      <c r="T2738">
        <v>-0.1604429</v>
      </c>
      <c r="U2738">
        <v>-3.015137E-2</v>
      </c>
      <c r="V2738">
        <v>-1.9704019999999999E-2</v>
      </c>
      <c r="W2738">
        <v>0.174319899999999</v>
      </c>
      <c r="X2738">
        <v>0.98449189999999998</v>
      </c>
      <c r="Y2738">
        <v>-2.5492879999999999E-2</v>
      </c>
      <c r="Z2738">
        <v>-1.4886929999999999E-3</v>
      </c>
      <c r="AA2738">
        <v>0.9996739</v>
      </c>
      <c r="AB2738">
        <v>44</v>
      </c>
      <c r="AC2738">
        <v>-20.7578</v>
      </c>
      <c r="AD2738">
        <v>-1.1092842228540001</v>
      </c>
      <c r="AE2738">
        <v>-0.21539999999998799</v>
      </c>
      <c r="AF2738">
        <v>-0.54004471402619103</v>
      </c>
      <c r="AG2738">
        <v>-1.1092842228540001</v>
      </c>
      <c r="AH2738">
        <v>20.692764140544998</v>
      </c>
      <c r="AI2738">
        <v>93.067495189733805</v>
      </c>
      <c r="AJ2738">
        <v>91.494979617278602</v>
      </c>
      <c r="AK2738">
        <v>20.729511512730902</v>
      </c>
      <c r="AL2738">
        <v>79.960916954008098</v>
      </c>
      <c r="AM2738">
        <v>91.1465878765665</v>
      </c>
      <c r="AN2738">
        <v>0.99999998855288996</v>
      </c>
    </row>
    <row r="2739" spans="1:40" x14ac:dyDescent="0.25">
      <c r="A2739" t="str">
        <f>"20190312164041680"</f>
        <v>20190312164041680</v>
      </c>
      <c r="B2739" t="str">
        <f>"1552380041668299"</f>
        <v>1552380041668299</v>
      </c>
      <c r="C2739" t="s">
        <v>40</v>
      </c>
      <c r="D2739">
        <v>5.6350379999999998</v>
      </c>
      <c r="E2739">
        <v>0.50282380000000004</v>
      </c>
      <c r="F2739" t="s">
        <v>48</v>
      </c>
      <c r="G2739">
        <v>-461.21780000000001</v>
      </c>
      <c r="H2739" s="1">
        <v>-9.082358E-7</v>
      </c>
      <c r="I2739">
        <v>285.0625</v>
      </c>
      <c r="J2739">
        <v>-440.30160000000001</v>
      </c>
      <c r="K2739">
        <v>1.109364</v>
      </c>
      <c r="L2739">
        <v>285.26389999999998</v>
      </c>
      <c r="M2739">
        <v>-0.99976410000000004</v>
      </c>
      <c r="N2739">
        <v>0</v>
      </c>
      <c r="O2739">
        <v>1.6134880000000001E-2</v>
      </c>
      <c r="P2739">
        <v>-0.98717310000000003</v>
      </c>
      <c r="Q2739">
        <v>0.1595818</v>
      </c>
      <c r="R2739">
        <v>-4.7998110000000002E-3</v>
      </c>
      <c r="S2739">
        <v>-3.06488</v>
      </c>
      <c r="T2739">
        <v>-0.15923660000000001</v>
      </c>
      <c r="U2739">
        <v>-2.786255E-2</v>
      </c>
      <c r="V2739">
        <v>-2.0416110000000001E-2</v>
      </c>
      <c r="W2739">
        <v>0.17394799999999999</v>
      </c>
      <c r="X2739">
        <v>0.9845431</v>
      </c>
      <c r="Y2739">
        <v>-2.5169560000000001E-2</v>
      </c>
      <c r="Z2739">
        <v>-1.491177E-3</v>
      </c>
      <c r="AA2739">
        <v>0.99968210000000002</v>
      </c>
      <c r="AB2739">
        <v>44</v>
      </c>
      <c r="AC2739">
        <v>-20.9162</v>
      </c>
      <c r="AD2739">
        <v>-1.1093649082357999</v>
      </c>
      <c r="AE2739">
        <v>-0.20139999999997801</v>
      </c>
      <c r="AF2739">
        <v>-0.53737828105279795</v>
      </c>
      <c r="AG2739">
        <v>-1.1093649082357999</v>
      </c>
      <c r="AH2739">
        <v>20.8515748644935</v>
      </c>
      <c r="AI2739">
        <v>93.044423233299298</v>
      </c>
      <c r="AJ2739">
        <v>91.476276678455307</v>
      </c>
      <c r="AK2739">
        <v>20.8879783666622</v>
      </c>
      <c r="AL2739">
        <v>79.982555160705303</v>
      </c>
      <c r="AM2739">
        <v>91.187951357379006</v>
      </c>
      <c r="AN2739">
        <v>0.99999992000456694</v>
      </c>
    </row>
    <row r="2740" spans="1:40" x14ac:dyDescent="0.25">
      <c r="A2740" t="str">
        <f>"20190312164041703"</f>
        <v>20190312164041703</v>
      </c>
      <c r="B2740" t="str">
        <f>"1552380041698555"</f>
        <v>1552380041698555</v>
      </c>
      <c r="C2740" t="s">
        <v>40</v>
      </c>
      <c r="D2740">
        <v>5.6557019999999998</v>
      </c>
      <c r="E2740">
        <v>0.50289319999999904</v>
      </c>
      <c r="F2740" t="s">
        <v>48</v>
      </c>
      <c r="G2740">
        <v>-461.57389999999998</v>
      </c>
      <c r="H2740" s="1">
        <v>-7.1962469999999998E-7</v>
      </c>
      <c r="I2740">
        <v>285.08269999999999</v>
      </c>
      <c r="J2740">
        <v>-440.75279999999998</v>
      </c>
      <c r="K2740">
        <v>1.109443</v>
      </c>
      <c r="L2740">
        <v>285.2715</v>
      </c>
      <c r="M2740">
        <v>-0.99975820000000004</v>
      </c>
      <c r="N2740">
        <v>0</v>
      </c>
      <c r="O2740">
        <v>1.6504990000000001E-2</v>
      </c>
      <c r="P2740">
        <v>-0.98714089999999999</v>
      </c>
      <c r="Q2740">
        <v>0.15979399999999999</v>
      </c>
      <c r="R2740">
        <v>-4.3554459999999998E-3</v>
      </c>
      <c r="S2740">
        <v>-3.0647280000000001</v>
      </c>
      <c r="T2740">
        <v>-0.15982739999999901</v>
      </c>
      <c r="U2740">
        <v>-2.6092529999999999E-2</v>
      </c>
      <c r="V2740">
        <v>-2.0370760000000002E-2</v>
      </c>
      <c r="W2740">
        <v>0.17415269999999999</v>
      </c>
      <c r="X2740">
        <v>0.98450789999999999</v>
      </c>
      <c r="Y2740">
        <v>-2.4962129999999999E-2</v>
      </c>
      <c r="Z2740">
        <v>-1.510663E-3</v>
      </c>
      <c r="AA2740">
        <v>0.99968729999999995</v>
      </c>
      <c r="AB2740">
        <v>44</v>
      </c>
      <c r="AC2740">
        <v>-20.821100000000001</v>
      </c>
      <c r="AD2740">
        <v>-1.1094437196247</v>
      </c>
      <c r="AE2740">
        <v>-0.18880000000001401</v>
      </c>
      <c r="AF2740">
        <v>-0.53095521779643196</v>
      </c>
      <c r="AG2740">
        <v>-1.1094437196247</v>
      </c>
      <c r="AH2740">
        <v>20.7562195561046</v>
      </c>
      <c r="AI2740">
        <v>93.058614829833203</v>
      </c>
      <c r="AJ2740">
        <v>91.465337174588399</v>
      </c>
      <c r="AK2740">
        <v>20.792629200549399</v>
      </c>
      <c r="AL2740">
        <v>79.970645410844</v>
      </c>
      <c r="AM2740">
        <v>91.185355699936196</v>
      </c>
      <c r="AN2740">
        <v>0.99999996797133806</v>
      </c>
    </row>
    <row r="2741" spans="1:40" x14ac:dyDescent="0.25">
      <c r="A2741" t="str">
        <f>"20190312164041725"</f>
        <v>20190312164041725</v>
      </c>
      <c r="B2741" t="str">
        <f>"1552380041719051"</f>
        <v>1552380041719051</v>
      </c>
      <c r="C2741" t="s">
        <v>40</v>
      </c>
      <c r="D2741">
        <v>5.6743169999999896</v>
      </c>
      <c r="E2741">
        <v>0.50755519999999998</v>
      </c>
      <c r="F2741" t="s">
        <v>48</v>
      </c>
      <c r="G2741">
        <v>-462.36540000000002</v>
      </c>
      <c r="H2741" s="1">
        <v>-2.9944020000000002E-7</v>
      </c>
      <c r="I2741">
        <v>285.10660000000001</v>
      </c>
      <c r="J2741">
        <v>-441.2</v>
      </c>
      <c r="K2741">
        <v>1.109526</v>
      </c>
      <c r="L2741">
        <v>285.27910000000003</v>
      </c>
      <c r="M2741">
        <v>-0.99975309999999995</v>
      </c>
      <c r="N2741">
        <v>0</v>
      </c>
      <c r="O2741">
        <v>1.6811550000000001E-2</v>
      </c>
      <c r="P2741">
        <v>-0.98703529999999995</v>
      </c>
      <c r="Q2741">
        <v>0.160439</v>
      </c>
      <c r="R2741">
        <v>-4.5623180000000001E-3</v>
      </c>
      <c r="S2741">
        <v>-3.0644529999999999</v>
      </c>
      <c r="T2741">
        <v>-0.15730769999999999</v>
      </c>
      <c r="U2741">
        <v>-2.3376460000000002E-2</v>
      </c>
      <c r="V2741">
        <v>-2.0909629999999998E-2</v>
      </c>
      <c r="W2741">
        <v>0.1747899</v>
      </c>
      <c r="X2741">
        <v>0.98438369999999997</v>
      </c>
      <c r="Y2741">
        <v>-2.4385560000000001E-2</v>
      </c>
      <c r="Z2741">
        <v>-1.4879540000000001E-3</v>
      </c>
      <c r="AA2741">
        <v>0.99970150000000002</v>
      </c>
      <c r="AB2741">
        <v>44</v>
      </c>
      <c r="AC2741">
        <v>-21.165400000000002</v>
      </c>
      <c r="AD2741">
        <v>-1.1095262994402</v>
      </c>
      <c r="AE2741">
        <v>-0.172500000000013</v>
      </c>
      <c r="AF2741">
        <v>-0.52688854988344003</v>
      </c>
      <c r="AG2741">
        <v>-1.1095262994402</v>
      </c>
      <c r="AH2741">
        <v>21.1015240163686</v>
      </c>
      <c r="AI2741">
        <v>93.008926412134599</v>
      </c>
      <c r="AJ2741">
        <v>91.430333596472593</v>
      </c>
      <c r="AK2741">
        <v>21.137241446473698</v>
      </c>
      <c r="AL2741">
        <v>79.933568130206794</v>
      </c>
      <c r="AM2741">
        <v>91.216856208471896</v>
      </c>
      <c r="AN2741">
        <v>0.99999999529721795</v>
      </c>
    </row>
    <row r="2742" spans="1:40" x14ac:dyDescent="0.25">
      <c r="A2742" t="str">
        <f>"20190312164041747"</f>
        <v>20190312164041747</v>
      </c>
      <c r="B2742" t="str">
        <f>"1552380041738571"</f>
        <v>1552380041738571</v>
      </c>
      <c r="C2742" t="s">
        <v>40</v>
      </c>
      <c r="D2742">
        <v>6.0997909999999997</v>
      </c>
      <c r="E2742">
        <v>0.50426870000000001</v>
      </c>
      <c r="F2742" t="s">
        <v>42</v>
      </c>
      <c r="G2742">
        <v>-442.1628</v>
      </c>
      <c r="H2742">
        <v>1.0246740000000001</v>
      </c>
      <c r="I2742">
        <v>285.28210000000001</v>
      </c>
      <c r="J2742">
        <v>-441.61869999999999</v>
      </c>
      <c r="K2742">
        <v>1.1095930000000001</v>
      </c>
      <c r="L2742">
        <v>285.28640000000001</v>
      </c>
      <c r="M2742">
        <v>-0.99974909999999995</v>
      </c>
      <c r="N2742">
        <v>0</v>
      </c>
      <c r="O2742">
        <v>1.705139E-2</v>
      </c>
      <c r="P2742">
        <v>-0.9869116</v>
      </c>
      <c r="Q2742">
        <v>0.16117379999999901</v>
      </c>
      <c r="R2742">
        <v>-5.3618549999999996E-3</v>
      </c>
      <c r="S2742">
        <v>-3.0836790000000001</v>
      </c>
      <c r="T2742">
        <v>-0.2719857</v>
      </c>
      <c r="U2742">
        <v>8.1176759999999903E-3</v>
      </c>
      <c r="V2742">
        <v>-2.1969430000000002E-2</v>
      </c>
      <c r="W2742">
        <v>0.17551849999999999</v>
      </c>
      <c r="X2742">
        <v>0.98423099999999997</v>
      </c>
      <c r="Y2742">
        <v>-1.4299350000000001E-2</v>
      </c>
      <c r="Z2742">
        <v>-2.1305310000000002E-3</v>
      </c>
      <c r="AA2742">
        <v>0.99989550000000005</v>
      </c>
      <c r="AB2742">
        <v>44</v>
      </c>
      <c r="AC2742">
        <v>-0.54410000000001402</v>
      </c>
      <c r="AD2742">
        <v>-8.4918999999999897E-2</v>
      </c>
      <c r="AE2742">
        <v>-4.3000000000006297E-3</v>
      </c>
      <c r="AF2742">
        <v>-1.3255157995462501E-2</v>
      </c>
      <c r="AG2742">
        <v>-8.4918999999999897E-2</v>
      </c>
      <c r="AH2742">
        <v>0.53101361098153499</v>
      </c>
      <c r="AI2742">
        <v>99.082952149077201</v>
      </c>
      <c r="AJ2742">
        <v>91.429919896755607</v>
      </c>
      <c r="AK2742">
        <v>0.537924149692253</v>
      </c>
      <c r="AL2742">
        <v>79.891167304523194</v>
      </c>
      <c r="AM2742">
        <v>91.278710610910593</v>
      </c>
      <c r="AN2742">
        <v>1.0000000305288801</v>
      </c>
    </row>
    <row r="2743" spans="1:40" x14ac:dyDescent="0.25">
      <c r="A2743" t="str">
        <f>"20190312164041761"</f>
        <v>20190312164041761</v>
      </c>
      <c r="B2743" t="str">
        <f>"1552380041759067"</f>
        <v>1552380041759067</v>
      </c>
      <c r="C2743" t="s">
        <v>40</v>
      </c>
      <c r="D2743">
        <v>6.2926250000000001</v>
      </c>
      <c r="E2743">
        <v>0.50500029999999996</v>
      </c>
      <c r="F2743" t="s">
        <v>48</v>
      </c>
      <c r="G2743">
        <v>-466.10469999999998</v>
      </c>
      <c r="H2743" s="1">
        <v>1.6868450000000001E-6</v>
      </c>
      <c r="I2743">
        <v>285.18790000000001</v>
      </c>
      <c r="J2743">
        <v>-441.91079999999999</v>
      </c>
      <c r="K2743">
        <v>1.1096349999999999</v>
      </c>
      <c r="L2743">
        <v>285.29149999999998</v>
      </c>
      <c r="M2743">
        <v>-0.99974669999999999</v>
      </c>
      <c r="N2743">
        <v>0</v>
      </c>
      <c r="O2743">
        <v>1.7197469999999999E-2</v>
      </c>
      <c r="P2743">
        <v>-0.98687049999999998</v>
      </c>
      <c r="Q2743">
        <v>0.16140360000000001</v>
      </c>
      <c r="R2743">
        <v>-5.9879769999999898E-3</v>
      </c>
      <c r="S2743">
        <v>-3.0624389999999999</v>
      </c>
      <c r="T2743">
        <v>-0.1387756</v>
      </c>
      <c r="U2743">
        <v>-1.2329100000000001E-2</v>
      </c>
      <c r="V2743">
        <v>-2.2756479999999999E-2</v>
      </c>
      <c r="W2743">
        <v>0.17574389999999901</v>
      </c>
      <c r="X2743">
        <v>0.98417290000000002</v>
      </c>
      <c r="Y2743">
        <v>-2.1185039999999999E-2</v>
      </c>
      <c r="Z2743">
        <v>-1.258723E-3</v>
      </c>
      <c r="AA2743">
        <v>0.99977479999999996</v>
      </c>
      <c r="AB2743">
        <v>44</v>
      </c>
      <c r="AC2743">
        <v>-24.1938999999999</v>
      </c>
      <c r="AD2743">
        <v>-1.109633313155</v>
      </c>
      <c r="AE2743">
        <v>-0.10359999999997099</v>
      </c>
      <c r="AF2743">
        <v>-0.51861151151694695</v>
      </c>
      <c r="AG2743">
        <v>-1.109633313155</v>
      </c>
      <c r="AH2743">
        <v>24.137766017763798</v>
      </c>
      <c r="AI2743">
        <v>92.631475402366206</v>
      </c>
      <c r="AJ2743">
        <v>91.230838005960507</v>
      </c>
      <c r="AK2743">
        <v>24.168822733386399</v>
      </c>
      <c r="AL2743">
        <v>79.878048984914201</v>
      </c>
      <c r="AM2743">
        <v>91.324582264374399</v>
      </c>
      <c r="AN2743">
        <v>1.0000000364318</v>
      </c>
    </row>
    <row r="2744" spans="1:40" x14ac:dyDescent="0.25">
      <c r="A2744" t="str">
        <f>"20190312164041780"</f>
        <v>20190312164041780</v>
      </c>
      <c r="B2744" t="str">
        <f>"1552380041768828"</f>
        <v>1552380041768828</v>
      </c>
      <c r="C2744" t="s">
        <v>40</v>
      </c>
      <c r="D2744">
        <v>5.7115910000000003</v>
      </c>
      <c r="E2744">
        <v>0.50498120000000002</v>
      </c>
      <c r="F2744" t="s">
        <v>48</v>
      </c>
      <c r="G2744">
        <v>-466.30399999999997</v>
      </c>
      <c r="H2744" s="1">
        <v>1.791151E-6</v>
      </c>
      <c r="I2744">
        <v>285.22829999999999</v>
      </c>
      <c r="J2744">
        <v>-442.27569999999997</v>
      </c>
      <c r="K2744">
        <v>1.109683</v>
      </c>
      <c r="L2744">
        <v>285.29790000000003</v>
      </c>
      <c r="M2744">
        <v>-0.99974399999999997</v>
      </c>
      <c r="N2744">
        <v>0</v>
      </c>
      <c r="O2744">
        <v>1.7358479999999999E-2</v>
      </c>
      <c r="P2744">
        <v>-0.98685120000000004</v>
      </c>
      <c r="Q2744">
        <v>0.16144049999999999</v>
      </c>
      <c r="R2744">
        <v>-7.861336E-3</v>
      </c>
      <c r="S2744">
        <v>-3.0626220000000002</v>
      </c>
      <c r="T2744">
        <v>-0.13931689999999999</v>
      </c>
      <c r="U2744">
        <v>-7.9345700000000002E-3</v>
      </c>
      <c r="V2744">
        <v>-2.4808489999999999E-2</v>
      </c>
      <c r="W2744">
        <v>0.17577670000000001</v>
      </c>
      <c r="X2744">
        <v>0.98411740000000003</v>
      </c>
      <c r="Y2744">
        <v>-1.991209E-2</v>
      </c>
      <c r="Z2744">
        <v>-1.2419359999999999E-3</v>
      </c>
      <c r="AA2744">
        <v>0.99980100000000005</v>
      </c>
      <c r="AB2744">
        <v>44</v>
      </c>
      <c r="AC2744">
        <v>-24.028300000000002</v>
      </c>
      <c r="AD2744">
        <v>-1.109681208849</v>
      </c>
      <c r="AE2744">
        <v>-6.9600000000036702E-2</v>
      </c>
      <c r="AF2744">
        <v>-0.48569233037099202</v>
      </c>
      <c r="AG2744">
        <v>-1.109681208849</v>
      </c>
      <c r="AH2744">
        <v>23.972342809439599</v>
      </c>
      <c r="AI2744">
        <v>92.649790162442201</v>
      </c>
      <c r="AJ2744">
        <v>91.160683964779906</v>
      </c>
      <c r="AK2744">
        <v>24.002927096467701</v>
      </c>
      <c r="AL2744">
        <v>79.876139421220998</v>
      </c>
      <c r="AM2744">
        <v>91.444056155674005</v>
      </c>
      <c r="AN2744">
        <v>0.99999998321086403</v>
      </c>
    </row>
    <row r="2745" spans="1:40" x14ac:dyDescent="0.25">
      <c r="A2745" t="str">
        <f>"20190312164041803"</f>
        <v>20190312164041803</v>
      </c>
      <c r="B2745" t="str">
        <f>"1552380041799087"</f>
        <v>1552380041799087</v>
      </c>
      <c r="C2745" t="s">
        <v>40</v>
      </c>
      <c r="D2745">
        <v>5.691535</v>
      </c>
      <c r="E2745">
        <v>0.50484090000000004</v>
      </c>
      <c r="F2745" t="s">
        <v>48</v>
      </c>
      <c r="G2745">
        <v>-466.45069999999998</v>
      </c>
      <c r="H2745" s="1">
        <v>1.870601E-6</v>
      </c>
      <c r="I2745">
        <v>285.19580000000002</v>
      </c>
      <c r="J2745">
        <v>-442.71969999999999</v>
      </c>
      <c r="K2745">
        <v>1.1097379999999999</v>
      </c>
      <c r="L2745">
        <v>285.30579999999998</v>
      </c>
      <c r="M2745">
        <v>-0.99974099999999999</v>
      </c>
      <c r="N2745">
        <v>0</v>
      </c>
      <c r="O2745">
        <v>1.753064E-2</v>
      </c>
      <c r="P2745">
        <v>-0.98691320000000005</v>
      </c>
      <c r="Q2745">
        <v>0.1609592</v>
      </c>
      <c r="R2745">
        <v>-9.7421399999999998E-3</v>
      </c>
      <c r="S2745">
        <v>-3.0628660000000001</v>
      </c>
      <c r="T2745">
        <v>-0.14059199999999999</v>
      </c>
      <c r="U2745">
        <v>-1.293945E-2</v>
      </c>
      <c r="V2745">
        <v>-2.6881180000000001E-2</v>
      </c>
      <c r="W2745">
        <v>0.1752918</v>
      </c>
      <c r="X2745">
        <v>0.98414950000000001</v>
      </c>
      <c r="Y2745">
        <v>-2.1714939999999999E-2</v>
      </c>
      <c r="Z2745">
        <v>-1.302444E-3</v>
      </c>
      <c r="AA2745">
        <v>0.99976339999999997</v>
      </c>
      <c r="AB2745">
        <v>44</v>
      </c>
      <c r="AC2745">
        <v>-23.730999999999899</v>
      </c>
      <c r="AD2745">
        <v>-1.10973612939899</v>
      </c>
      <c r="AE2745">
        <v>-0.10999999999995599</v>
      </c>
      <c r="AF2745">
        <v>-0.52489870662061999</v>
      </c>
      <c r="AG2745">
        <v>-1.10973612939899</v>
      </c>
      <c r="AH2745">
        <v>23.6736555969653</v>
      </c>
      <c r="AI2745">
        <v>92.683197618079404</v>
      </c>
      <c r="AJ2745">
        <v>91.270169433281097</v>
      </c>
      <c r="AK2745">
        <v>23.705463552793798</v>
      </c>
      <c r="AL2745">
        <v>79.904360755384502</v>
      </c>
      <c r="AM2745">
        <v>91.564594923089004</v>
      </c>
      <c r="AN2745">
        <v>1.0000000256678401</v>
      </c>
    </row>
    <row r="2746" spans="1:40" x14ac:dyDescent="0.25">
      <c r="A2746" t="str">
        <f>"20190312164041817"</f>
        <v>20190312164041817</v>
      </c>
      <c r="B2746" t="str">
        <f>"1552380041808844"</f>
        <v>1552380041808844</v>
      </c>
      <c r="C2746" t="s">
        <v>40</v>
      </c>
      <c r="D2746">
        <v>6.5152130000000001</v>
      </c>
      <c r="E2746">
        <v>0.50381860000000001</v>
      </c>
      <c r="F2746" t="s">
        <v>48</v>
      </c>
      <c r="G2746">
        <v>-466.51920000000001</v>
      </c>
      <c r="H2746" s="1">
        <v>1.9088919999999998E-6</v>
      </c>
      <c r="I2746">
        <v>285.15429999999998</v>
      </c>
      <c r="J2746">
        <v>-443.00069999999999</v>
      </c>
      <c r="K2746">
        <v>1.1097669999999999</v>
      </c>
      <c r="L2746">
        <v>285.3109</v>
      </c>
      <c r="M2746">
        <v>-0.99973920000000005</v>
      </c>
      <c r="N2746">
        <v>0</v>
      </c>
      <c r="O2746">
        <v>1.7631440000000002E-2</v>
      </c>
      <c r="P2746">
        <v>-0.98693730000000002</v>
      </c>
      <c r="Q2746">
        <v>0.160742</v>
      </c>
      <c r="R2746">
        <v>-1.0809890000000001E-2</v>
      </c>
      <c r="S2746">
        <v>-3.062897</v>
      </c>
      <c r="T2746">
        <v>-0.14281859999999999</v>
      </c>
      <c r="U2746">
        <v>-1.9500730000000001E-2</v>
      </c>
      <c r="V2746">
        <v>-2.8061579999999999E-2</v>
      </c>
      <c r="W2746">
        <v>0.17507159999999999</v>
      </c>
      <c r="X2746">
        <v>0.98415569999999997</v>
      </c>
      <c r="Y2746">
        <v>-2.39534E-2</v>
      </c>
      <c r="Z2746">
        <v>-1.3798879999999999E-3</v>
      </c>
      <c r="AA2746">
        <v>0.99971209999999999</v>
      </c>
      <c r="AB2746">
        <v>44</v>
      </c>
      <c r="AC2746">
        <v>-23.5185</v>
      </c>
      <c r="AD2746">
        <v>-1.1097650911079999</v>
      </c>
      <c r="AE2746">
        <v>-0.156600000000025</v>
      </c>
      <c r="AF2746">
        <v>-0.57001521655444498</v>
      </c>
      <c r="AG2746">
        <v>-1.1097650911079999</v>
      </c>
      <c r="AH2746">
        <v>23.459848536190201</v>
      </c>
      <c r="AI2746">
        <v>92.707552497494206</v>
      </c>
      <c r="AJ2746">
        <v>91.391869234031702</v>
      </c>
      <c r="AK2746">
        <v>23.4929987282495</v>
      </c>
      <c r="AL2746">
        <v>79.917174981495606</v>
      </c>
      <c r="AM2746">
        <v>91.6332523301609</v>
      </c>
      <c r="AN2746">
        <v>0.99999997962057297</v>
      </c>
    </row>
    <row r="2747" spans="1:40" x14ac:dyDescent="0.25">
      <c r="A2747" t="str">
        <f>"20190312164041837"</f>
        <v>20190312164041837</v>
      </c>
      <c r="B2747" t="str">
        <f>"1552380041828363"</f>
        <v>1552380041828363</v>
      </c>
      <c r="C2747" t="s">
        <v>40</v>
      </c>
      <c r="D2747">
        <v>5.6662369999999997</v>
      </c>
      <c r="E2747">
        <v>0.47161629999999899</v>
      </c>
      <c r="F2747" t="s">
        <v>48</v>
      </c>
      <c r="G2747">
        <v>-464.16550000000001</v>
      </c>
      <c r="H2747" s="1">
        <v>6.5919409999999996E-7</v>
      </c>
      <c r="I2747">
        <v>285.08969999999999</v>
      </c>
      <c r="J2747">
        <v>-443.37349999999998</v>
      </c>
      <c r="K2747">
        <v>1.109802</v>
      </c>
      <c r="L2747">
        <v>285.31760000000003</v>
      </c>
      <c r="M2747">
        <v>-0.99973710000000005</v>
      </c>
      <c r="N2747">
        <v>0</v>
      </c>
      <c r="O2747">
        <v>1.775235E-2</v>
      </c>
      <c r="P2747">
        <v>-0.98702730000000005</v>
      </c>
      <c r="Q2747">
        <v>0.16007179999999999</v>
      </c>
      <c r="R2747">
        <v>-1.24171E-2</v>
      </c>
      <c r="S2747">
        <v>-3.0655209999999999</v>
      </c>
      <c r="T2747">
        <v>-0.1607392</v>
      </c>
      <c r="U2747">
        <v>-3.2043460000000003E-2</v>
      </c>
      <c r="V2747">
        <v>-2.9804310000000001E-2</v>
      </c>
      <c r="W2747">
        <v>0.17439879999999999</v>
      </c>
      <c r="X2747">
        <v>0.98422399999999999</v>
      </c>
      <c r="Y2747">
        <v>-2.8140849999999999E-2</v>
      </c>
      <c r="Z2747">
        <v>-1.6675049999999999E-3</v>
      </c>
      <c r="AA2747">
        <v>0.99960260000000001</v>
      </c>
      <c r="AB2747">
        <v>44</v>
      </c>
      <c r="AC2747">
        <v>-20.792000000000002</v>
      </c>
      <c r="AD2747">
        <v>-1.1098013408059</v>
      </c>
      <c r="AE2747">
        <v>-0.22790000000003299</v>
      </c>
      <c r="AF2747">
        <v>-0.59531394305193097</v>
      </c>
      <c r="AG2747">
        <v>-1.1098013408059</v>
      </c>
      <c r="AH2747">
        <v>20.7256356164912</v>
      </c>
      <c r="AI2747">
        <v>93.063844415568497</v>
      </c>
      <c r="AJ2747">
        <v>91.645286120083895</v>
      </c>
      <c r="AK2747">
        <v>20.763863547384801</v>
      </c>
      <c r="AL2747">
        <v>79.956326720650594</v>
      </c>
      <c r="AM2747">
        <v>91.734503004514494</v>
      </c>
      <c r="AN2747">
        <v>1.000000060256</v>
      </c>
    </row>
    <row r="2748" spans="1:40" x14ac:dyDescent="0.25">
      <c r="A2748" t="str">
        <f>"20190312164041850"</f>
        <v>20190312164041850</v>
      </c>
      <c r="B2748" t="str">
        <f>"1552380041839099"</f>
        <v>1552380041839099</v>
      </c>
      <c r="C2748" t="s">
        <v>40</v>
      </c>
      <c r="D2748">
        <v>5.924404</v>
      </c>
      <c r="E2748">
        <v>0.47144989999999998</v>
      </c>
      <c r="F2748" t="s">
        <v>48</v>
      </c>
      <c r="G2748">
        <v>-459.38830000000002</v>
      </c>
      <c r="H2748" s="1">
        <v>3.4960679999999998E-6</v>
      </c>
      <c r="I2748">
        <v>283.77319999999997</v>
      </c>
      <c r="J2748">
        <v>-443.64780000000002</v>
      </c>
      <c r="K2748">
        <v>1.109828</v>
      </c>
      <c r="L2748">
        <v>285.32260000000002</v>
      </c>
      <c r="M2748">
        <v>-0.9997357</v>
      </c>
      <c r="N2748">
        <v>0</v>
      </c>
      <c r="O2748">
        <v>1.7827260000000001E-2</v>
      </c>
      <c r="P2748">
        <v>-0.98714159999999995</v>
      </c>
      <c r="Q2748">
        <v>0.15935439999999901</v>
      </c>
      <c r="R2748">
        <v>-1.2548520000000001E-2</v>
      </c>
      <c r="S2748">
        <v>-3.0702210000000001</v>
      </c>
      <c r="T2748">
        <v>-0.2127607</v>
      </c>
      <c r="U2748">
        <v>-0.2960815</v>
      </c>
      <c r="V2748">
        <v>-3.0023589999999999E-2</v>
      </c>
      <c r="W2748">
        <v>0.1736799</v>
      </c>
      <c r="X2748">
        <v>0.98434440000000001</v>
      </c>
      <c r="Y2748">
        <v>-0.11341080000000001</v>
      </c>
      <c r="Z2748">
        <v>-5.1472410000000003E-3</v>
      </c>
      <c r="AA2748">
        <v>0.9935349</v>
      </c>
      <c r="AB2748">
        <v>44</v>
      </c>
      <c r="AC2748">
        <v>-15.7404999999999</v>
      </c>
      <c r="AD2748">
        <v>-1.1098245039320001</v>
      </c>
      <c r="AE2748">
        <v>-1.5494000000000401</v>
      </c>
      <c r="AF2748">
        <v>-1.8208282237472</v>
      </c>
      <c r="AG2748">
        <v>-1.1098245039320001</v>
      </c>
      <c r="AH2748">
        <v>15.6334007502702</v>
      </c>
      <c r="AI2748">
        <v>94.033474795622595</v>
      </c>
      <c r="AJ2748">
        <v>96.643329771472096</v>
      </c>
      <c r="AK2748">
        <v>15.778160376560701</v>
      </c>
      <c r="AL2748">
        <v>79.998154508510396</v>
      </c>
      <c r="AM2748">
        <v>91.747042842644703</v>
      </c>
      <c r="AN2748">
        <v>1.0000000107159199</v>
      </c>
    </row>
    <row r="2749" spans="1:40" x14ac:dyDescent="0.25">
      <c r="A2749" t="str">
        <f>"20190312164041864"</f>
        <v>20190312164041864</v>
      </c>
      <c r="B2749" t="str">
        <f>"1552380041858619"</f>
        <v>1552380041858619</v>
      </c>
      <c r="C2749" t="s">
        <v>40</v>
      </c>
      <c r="D2749">
        <v>5.7662599999999999</v>
      </c>
      <c r="E2749">
        <v>0.47117979999999998</v>
      </c>
      <c r="F2749" t="s">
        <v>48</v>
      </c>
      <c r="G2749">
        <v>-458.46660000000003</v>
      </c>
      <c r="H2749" s="1">
        <v>3.0007829999999999E-6</v>
      </c>
      <c r="I2749">
        <v>283.88330000000002</v>
      </c>
      <c r="J2749">
        <v>-443.90179999999998</v>
      </c>
      <c r="K2749">
        <v>1.1098440000000001</v>
      </c>
      <c r="L2749">
        <v>285.32709999999997</v>
      </c>
      <c r="M2749">
        <v>-0.99973480000000003</v>
      </c>
      <c r="N2749">
        <v>0</v>
      </c>
      <c r="O2749">
        <v>1.788764E-2</v>
      </c>
      <c r="P2749">
        <v>-0.9872263</v>
      </c>
      <c r="Q2749">
        <v>0.158767299999999</v>
      </c>
      <c r="R2749">
        <v>-1.332362E-2</v>
      </c>
      <c r="S2749">
        <v>-3.0724179999999999</v>
      </c>
      <c r="T2749">
        <v>-0.23010149999999999</v>
      </c>
      <c r="U2749">
        <v>-0.29840090000000002</v>
      </c>
      <c r="V2749">
        <v>-3.08703E-2</v>
      </c>
      <c r="W2749">
        <v>0.17309050000000001</v>
      </c>
      <c r="X2749">
        <v>0.98442200000000002</v>
      </c>
      <c r="Y2749">
        <v>-0.1140916</v>
      </c>
      <c r="Z2749">
        <v>-5.5913919999999997E-3</v>
      </c>
      <c r="AA2749">
        <v>0.99345450000000002</v>
      </c>
      <c r="AB2749">
        <v>44</v>
      </c>
      <c r="AC2749">
        <v>-14.5648</v>
      </c>
      <c r="AD2749">
        <v>-1.109840999217</v>
      </c>
      <c r="AE2749">
        <v>-1.44379999999995</v>
      </c>
      <c r="AF2749">
        <v>-1.69438359789293</v>
      </c>
      <c r="AG2749">
        <v>-1.109840999217</v>
      </c>
      <c r="AH2749">
        <v>14.4535329041497</v>
      </c>
      <c r="AI2749">
        <v>94.361196043483702</v>
      </c>
      <c r="AJ2749">
        <v>96.686250285617007</v>
      </c>
      <c r="AK2749">
        <v>14.5947694819647</v>
      </c>
      <c r="AL2749">
        <v>80.032443731152796</v>
      </c>
      <c r="AM2749">
        <v>91.796138715626</v>
      </c>
      <c r="AN2749">
        <v>0.99999998534817003</v>
      </c>
    </row>
    <row r="2750" spans="1:40" x14ac:dyDescent="0.25">
      <c r="A2750" t="str">
        <f>"20190312164041882"</f>
        <v>20190312164041882</v>
      </c>
      <c r="B2750" t="str">
        <f>"1552380041879116"</f>
        <v>1552380041879116</v>
      </c>
      <c r="C2750" t="s">
        <v>40</v>
      </c>
      <c r="D2750">
        <v>5.8245950000000004</v>
      </c>
      <c r="E2750">
        <v>0.47125070000000002</v>
      </c>
      <c r="F2750" t="s">
        <v>48</v>
      </c>
      <c r="G2750">
        <v>-459.17219999999998</v>
      </c>
      <c r="H2750" s="1">
        <v>3.379008E-6</v>
      </c>
      <c r="I2750">
        <v>283.82060000000001</v>
      </c>
      <c r="J2750">
        <v>-444.25670000000002</v>
      </c>
      <c r="K2750">
        <v>1.109874</v>
      </c>
      <c r="L2750">
        <v>285.33359999999999</v>
      </c>
      <c r="M2750">
        <v>-0.99973350000000005</v>
      </c>
      <c r="N2750">
        <v>0</v>
      </c>
      <c r="O2750">
        <v>1.7955539999999999E-2</v>
      </c>
      <c r="P2750">
        <v>-0.98729009999999995</v>
      </c>
      <c r="Q2750">
        <v>0.158303799999999</v>
      </c>
      <c r="R2750">
        <v>-1.4077279999999999E-2</v>
      </c>
      <c r="S2750">
        <v>-3.0706180000000001</v>
      </c>
      <c r="T2750">
        <v>-0.22316929999999999</v>
      </c>
      <c r="U2750">
        <v>-0.302948</v>
      </c>
      <c r="V2750">
        <v>-3.1708E-2</v>
      </c>
      <c r="W2750">
        <v>0.17262369999999999</v>
      </c>
      <c r="X2750">
        <v>0.9844773</v>
      </c>
      <c r="Y2750">
        <v>-0.11568920000000001</v>
      </c>
      <c r="Z2750">
        <v>-5.4889179999999997E-3</v>
      </c>
      <c r="AA2750">
        <v>0.99327030000000005</v>
      </c>
      <c r="AB2750">
        <v>44</v>
      </c>
      <c r="AC2750">
        <v>-14.9154999999999</v>
      </c>
      <c r="AD2750">
        <v>-1.109870620992</v>
      </c>
      <c r="AE2750">
        <v>-1.5129999999999699</v>
      </c>
      <c r="AF2750">
        <v>-1.7708946304117801</v>
      </c>
      <c r="AG2750">
        <v>-1.109870620992</v>
      </c>
      <c r="AH2750">
        <v>14.8047871267043</v>
      </c>
      <c r="AI2750">
        <v>94.257039598803999</v>
      </c>
      <c r="AJ2750">
        <v>96.821103066227195</v>
      </c>
      <c r="AK2750">
        <v>14.9515752499324</v>
      </c>
      <c r="AL2750">
        <v>80.059597770982805</v>
      </c>
      <c r="AM2750">
        <v>91.844742148510306</v>
      </c>
      <c r="AN2750">
        <v>0.99999994664048797</v>
      </c>
    </row>
    <row r="2751" spans="1:40" x14ac:dyDescent="0.25">
      <c r="A2751" t="str">
        <f>"20190312164041895"</f>
        <v>20190312164041895</v>
      </c>
      <c r="B2751" t="str">
        <f>"1552380041888875"</f>
        <v>1552380041888875</v>
      </c>
      <c r="C2751" t="s">
        <v>40</v>
      </c>
      <c r="D2751">
        <v>5.8931769999999997</v>
      </c>
      <c r="E2751">
        <v>0.47115230000000002</v>
      </c>
      <c r="F2751" t="s">
        <v>48</v>
      </c>
      <c r="G2751">
        <v>-458.67079999999999</v>
      </c>
      <c r="H2751" s="1">
        <v>3.1086869999999998E-6</v>
      </c>
      <c r="I2751">
        <v>283.89999999999998</v>
      </c>
      <c r="J2751">
        <v>-444.53680000000003</v>
      </c>
      <c r="K2751">
        <v>1.109899</v>
      </c>
      <c r="L2751">
        <v>285.33859999999999</v>
      </c>
      <c r="M2751">
        <v>-0.99973279999999998</v>
      </c>
      <c r="N2751">
        <v>0</v>
      </c>
      <c r="O2751">
        <v>1.799806E-2</v>
      </c>
      <c r="P2751">
        <v>-0.98724230000000002</v>
      </c>
      <c r="Q2751">
        <v>0.15856509999999999</v>
      </c>
      <c r="R2751">
        <v>-1.4479399999999899E-2</v>
      </c>
      <c r="S2751">
        <v>-3.0722049999999999</v>
      </c>
      <c r="T2751">
        <v>-0.23655590000000001</v>
      </c>
      <c r="U2751">
        <v>-0.30554199999999998</v>
      </c>
      <c r="V2751">
        <v>-3.2161879999999997E-2</v>
      </c>
      <c r="W2751">
        <v>0.17288010000000001</v>
      </c>
      <c r="X2751">
        <v>0.9844176</v>
      </c>
      <c r="Y2751">
        <v>-0.11646670000000001</v>
      </c>
      <c r="Z2751">
        <v>-5.8470869999999999E-3</v>
      </c>
      <c r="AA2751">
        <v>0.99317739999999999</v>
      </c>
      <c r="AB2751">
        <v>44</v>
      </c>
      <c r="AC2751">
        <v>-14.133999999999901</v>
      </c>
      <c r="AD2751">
        <v>-1.1098958913129999</v>
      </c>
      <c r="AE2751">
        <v>-1.4386000000000001</v>
      </c>
      <c r="AF2751">
        <v>-1.68250956626339</v>
      </c>
      <c r="AG2751">
        <v>-1.1098958913129999</v>
      </c>
      <c r="AH2751">
        <v>14.0202468825397</v>
      </c>
      <c r="AI2751">
        <v>94.494199418876704</v>
      </c>
      <c r="AJ2751">
        <v>96.8430954627988</v>
      </c>
      <c r="AK2751">
        <v>14.164393032441801</v>
      </c>
      <c r="AL2751">
        <v>80.044683060588596</v>
      </c>
      <c r="AM2751">
        <v>91.871243222948294</v>
      </c>
      <c r="AN2751">
        <v>0.99999996334545105</v>
      </c>
    </row>
    <row r="2752" spans="1:40" x14ac:dyDescent="0.25">
      <c r="A2752" t="str">
        <f>"20190312164041916"</f>
        <v>20190312164041916</v>
      </c>
      <c r="B2752" t="str">
        <f>"1552380041908395"</f>
        <v>1552380041908395</v>
      </c>
      <c r="C2752" t="s">
        <v>40</v>
      </c>
      <c r="D2752">
        <v>5.5478759999999996</v>
      </c>
      <c r="E2752">
        <v>0.47178209999999998</v>
      </c>
      <c r="F2752" t="s">
        <v>48</v>
      </c>
      <c r="G2752">
        <v>-458.78960000000001</v>
      </c>
      <c r="H2752" s="1">
        <v>3.171436E-6</v>
      </c>
      <c r="I2752">
        <v>283.911</v>
      </c>
      <c r="J2752">
        <v>-444.90589999999997</v>
      </c>
      <c r="K2752">
        <v>1.109928</v>
      </c>
      <c r="L2752">
        <v>285.34530000000001</v>
      </c>
      <c r="M2752">
        <v>-0.99973210000000001</v>
      </c>
      <c r="N2752">
        <v>0</v>
      </c>
      <c r="O2752">
        <v>1.8036420000000001E-2</v>
      </c>
      <c r="P2752">
        <v>-0.98730329999999999</v>
      </c>
      <c r="Q2752">
        <v>0.15807109999999999</v>
      </c>
      <c r="R2752">
        <v>-1.568087E-2</v>
      </c>
      <c r="S2752">
        <v>-3.0727229999999999</v>
      </c>
      <c r="T2752">
        <v>-0.2392794</v>
      </c>
      <c r="U2752">
        <v>-0.30776979999999998</v>
      </c>
      <c r="V2752">
        <v>-3.3416729999999999E-2</v>
      </c>
      <c r="W2752">
        <v>0.17238229999999999</v>
      </c>
      <c r="X2752">
        <v>0.98446319999999998</v>
      </c>
      <c r="Y2752">
        <v>-0.11719</v>
      </c>
      <c r="Z2752">
        <v>-5.9440309999999998E-3</v>
      </c>
      <c r="AA2752">
        <v>0.99309170000000002</v>
      </c>
      <c r="AB2752">
        <v>44</v>
      </c>
      <c r="AC2752">
        <v>-13.883699999999999</v>
      </c>
      <c r="AD2752">
        <v>-1.109924828564</v>
      </c>
      <c r="AE2752">
        <v>-1.4342999999999999</v>
      </c>
      <c r="AF2752">
        <v>-1.6739199832866001</v>
      </c>
      <c r="AG2752">
        <v>-1.109924828564</v>
      </c>
      <c r="AH2752">
        <v>13.768501849094999</v>
      </c>
      <c r="AI2752">
        <v>94.575293031432395</v>
      </c>
      <c r="AJ2752">
        <v>96.931775532580602</v>
      </c>
      <c r="AK2752">
        <v>13.914222378704601</v>
      </c>
      <c r="AL2752">
        <v>80.073640645704302</v>
      </c>
      <c r="AM2752">
        <v>91.944107968492901</v>
      </c>
      <c r="AN2752">
        <v>1.0000000636757</v>
      </c>
    </row>
    <row r="2753" spans="1:40" x14ac:dyDescent="0.25">
      <c r="A2753" t="str">
        <f>"20190312164041937"</f>
        <v>20190312164041937</v>
      </c>
      <c r="B2753" t="str">
        <f>"1552380041928891"</f>
        <v>1552380041928891</v>
      </c>
      <c r="C2753" t="s">
        <v>40</v>
      </c>
      <c r="D2753">
        <v>5.6579899999999999</v>
      </c>
      <c r="E2753">
        <v>0.47217819999999999</v>
      </c>
      <c r="F2753" t="s">
        <v>48</v>
      </c>
      <c r="G2753">
        <v>-459.86739999999998</v>
      </c>
      <c r="H2753" s="1">
        <v>3.7473000000000001E-6</v>
      </c>
      <c r="I2753">
        <v>283.85770000000002</v>
      </c>
      <c r="J2753">
        <v>-445.34269999999998</v>
      </c>
      <c r="K2753">
        <v>1.109974</v>
      </c>
      <c r="L2753">
        <v>285.35320000000002</v>
      </c>
      <c r="M2753">
        <v>-0.99973219999999996</v>
      </c>
      <c r="N2753">
        <v>0</v>
      </c>
      <c r="O2753">
        <v>1.803592E-2</v>
      </c>
      <c r="P2753">
        <v>-0.98740919999999999</v>
      </c>
      <c r="Q2753">
        <v>0.15739129999999901</v>
      </c>
      <c r="R2753">
        <v>-1.584493E-2</v>
      </c>
      <c r="S2753">
        <v>-3.0701900000000002</v>
      </c>
      <c r="T2753">
        <v>-0.2277633</v>
      </c>
      <c r="U2753">
        <v>-0.30526730000000002</v>
      </c>
      <c r="V2753">
        <v>-3.3602479999999997E-2</v>
      </c>
      <c r="W2753">
        <v>0.17169690000000001</v>
      </c>
      <c r="X2753">
        <v>0.98457660000000002</v>
      </c>
      <c r="Y2753">
        <v>-0.1165085</v>
      </c>
      <c r="Z2753">
        <v>-5.6383930000000002E-3</v>
      </c>
      <c r="AA2753">
        <v>0.99317370000000005</v>
      </c>
      <c r="AB2753">
        <v>44</v>
      </c>
      <c r="AC2753">
        <v>-14.5246999999999</v>
      </c>
      <c r="AD2753">
        <v>-1.1099702526999999</v>
      </c>
      <c r="AE2753">
        <v>-1.4954999999999901</v>
      </c>
      <c r="AF2753">
        <v>-1.7471543167026999</v>
      </c>
      <c r="AG2753">
        <v>-1.1099702526999999</v>
      </c>
      <c r="AH2753">
        <v>14.412078594256901</v>
      </c>
      <c r="AI2753">
        <v>94.372151408064198</v>
      </c>
      <c r="AJ2753">
        <v>96.912150580757796</v>
      </c>
      <c r="AK2753">
        <v>14.559965369989399</v>
      </c>
      <c r="AL2753">
        <v>80.113505086610601</v>
      </c>
      <c r="AM2753">
        <v>91.954681127172705</v>
      </c>
      <c r="AN2753">
        <v>1.0000000166996601</v>
      </c>
    </row>
    <row r="2754" spans="1:40" x14ac:dyDescent="0.25">
      <c r="A2754" t="str">
        <f>"20190312164041960"</f>
        <v>20190312164041960</v>
      </c>
      <c r="B2754" t="str">
        <f>"1552380041948411"</f>
        <v>1552380041948411</v>
      </c>
      <c r="C2754" t="s">
        <v>40</v>
      </c>
      <c r="D2754">
        <v>5.6876680000000004</v>
      </c>
      <c r="E2754">
        <v>0.47246650000000001</v>
      </c>
      <c r="F2754" t="s">
        <v>48</v>
      </c>
      <c r="G2754">
        <v>-460.92700000000002</v>
      </c>
      <c r="H2754" s="1">
        <v>-1.008615E-6</v>
      </c>
      <c r="I2754">
        <v>283.8186</v>
      </c>
      <c r="J2754">
        <v>-445.76690000000002</v>
      </c>
      <c r="K2754">
        <v>1.110033</v>
      </c>
      <c r="L2754">
        <v>285.36079999999998</v>
      </c>
      <c r="M2754">
        <v>-0.9997336</v>
      </c>
      <c r="N2754">
        <v>0</v>
      </c>
      <c r="O2754">
        <v>1.7961599999999901E-2</v>
      </c>
      <c r="P2754">
        <v>-0.98758550000000001</v>
      </c>
      <c r="Q2754">
        <v>0.1562558</v>
      </c>
      <c r="R2754">
        <v>-1.610437E-2</v>
      </c>
      <c r="S2754">
        <v>-3.0682070000000001</v>
      </c>
      <c r="T2754">
        <v>-0.2185298</v>
      </c>
      <c r="U2754">
        <v>-0.302124</v>
      </c>
      <c r="V2754">
        <v>-3.3816310000000002E-2</v>
      </c>
      <c r="W2754">
        <v>0.17055670000000001</v>
      </c>
      <c r="X2754">
        <v>0.98476739999999996</v>
      </c>
      <c r="Y2754">
        <v>-0.1155215</v>
      </c>
      <c r="Z2754">
        <v>-5.3738409999999999E-3</v>
      </c>
      <c r="AA2754">
        <v>0.99329040000000002</v>
      </c>
      <c r="AB2754">
        <v>44</v>
      </c>
      <c r="AC2754">
        <v>-15.1600999999999</v>
      </c>
      <c r="AD2754">
        <v>-1.110034008615</v>
      </c>
      <c r="AE2754">
        <v>-1.54219999999997</v>
      </c>
      <c r="AF2754">
        <v>-1.8047030037232401</v>
      </c>
      <c r="AG2754">
        <v>-1.110034008615</v>
      </c>
      <c r="AH2754">
        <v>15.0500892414831</v>
      </c>
      <c r="AI2754">
        <v>94.188370895604194</v>
      </c>
      <c r="AJ2754">
        <v>96.837865592376801</v>
      </c>
      <c r="AK2754">
        <v>15.1984971167722</v>
      </c>
      <c r="AL2754">
        <v>80.179811477219005</v>
      </c>
      <c r="AM2754">
        <v>91.966729204320998</v>
      </c>
      <c r="AN2754">
        <v>0.99999998141983204</v>
      </c>
    </row>
    <row r="2755" spans="1:40" x14ac:dyDescent="0.25">
      <c r="A2755" t="str">
        <f>"20190312164041982"</f>
        <v>20190312164041982</v>
      </c>
      <c r="B2755" t="str">
        <f>"1552380041968908"</f>
        <v>1552380041968908</v>
      </c>
      <c r="C2755" t="s">
        <v>40</v>
      </c>
      <c r="D2755">
        <v>5.7601659999999999</v>
      </c>
      <c r="E2755">
        <v>0.4727788</v>
      </c>
      <c r="F2755" t="s">
        <v>48</v>
      </c>
      <c r="G2755">
        <v>-461.85050000000001</v>
      </c>
      <c r="H2755" s="1">
        <v>-5.1592000000000003E-7</v>
      </c>
      <c r="I2755">
        <v>283.78949999999998</v>
      </c>
      <c r="J2755">
        <v>-446.21440000000001</v>
      </c>
      <c r="K2755">
        <v>1.110112</v>
      </c>
      <c r="L2755">
        <v>285.36869999999999</v>
      </c>
      <c r="M2755">
        <v>-0.99973639999999997</v>
      </c>
      <c r="N2755">
        <v>0</v>
      </c>
      <c r="O2755">
        <v>1.7804110000000001E-2</v>
      </c>
      <c r="P2755">
        <v>-0.98761339999999997</v>
      </c>
      <c r="Q2755">
        <v>0.15596689999999999</v>
      </c>
      <c r="R2755">
        <v>-1.7152870000000001E-2</v>
      </c>
      <c r="S2755">
        <v>-3.0663450000000001</v>
      </c>
      <c r="T2755">
        <v>-0.21162829999999999</v>
      </c>
      <c r="U2755">
        <v>-0.29956050000000001</v>
      </c>
      <c r="V2755">
        <v>-3.4740350000000003E-2</v>
      </c>
      <c r="W2755">
        <v>0.170259299999999</v>
      </c>
      <c r="X2755">
        <v>0.98478670000000001</v>
      </c>
      <c r="Y2755">
        <v>-0.1146242</v>
      </c>
      <c r="Z2755">
        <v>-5.1661880000000004E-3</v>
      </c>
      <c r="AA2755">
        <v>0.99339549999999999</v>
      </c>
      <c r="AB2755">
        <v>44</v>
      </c>
      <c r="AC2755">
        <v>-15.636100000000001</v>
      </c>
      <c r="AD2755">
        <v>-1.11011251592</v>
      </c>
      <c r="AE2755">
        <v>-1.5792000000000099</v>
      </c>
      <c r="AF2755">
        <v>-1.84814415298006</v>
      </c>
      <c r="AG2755">
        <v>-1.11011251592</v>
      </c>
      <c r="AH2755">
        <v>15.5280225541073</v>
      </c>
      <c r="AI2755">
        <v>94.0606078223976</v>
      </c>
      <c r="AJ2755">
        <v>96.787410257329199</v>
      </c>
      <c r="AK2755">
        <v>15.676972636611399</v>
      </c>
      <c r="AL2755">
        <v>80.197104186397098</v>
      </c>
      <c r="AM2755">
        <v>92.020387110122797</v>
      </c>
      <c r="AN2755">
        <v>0.99999998282575098</v>
      </c>
    </row>
    <row r="2756" spans="1:40" x14ac:dyDescent="0.25">
      <c r="A2756" t="str">
        <f>"20190312164042005"</f>
        <v>20190312164042005</v>
      </c>
      <c r="B2756" t="str">
        <f>"1552380041999163"</f>
        <v>1552380041999163</v>
      </c>
      <c r="C2756" t="s">
        <v>40</v>
      </c>
      <c r="D2756">
        <v>5.8113169999999998</v>
      </c>
      <c r="E2756">
        <v>0.47277350000000001</v>
      </c>
      <c r="F2756" t="s">
        <v>48</v>
      </c>
      <c r="G2756">
        <v>-462.7851</v>
      </c>
      <c r="H2756" s="1">
        <v>-1.7111490000000001E-8</v>
      </c>
      <c r="I2756">
        <v>283.7561</v>
      </c>
      <c r="J2756">
        <v>-446.64729999999997</v>
      </c>
      <c r="K2756">
        <v>1.110193</v>
      </c>
      <c r="L2756">
        <v>285.37630000000001</v>
      </c>
      <c r="M2756">
        <v>-0.99974019999999997</v>
      </c>
      <c r="N2756">
        <v>0</v>
      </c>
      <c r="O2756">
        <v>1.7589469999999999E-2</v>
      </c>
      <c r="P2756">
        <v>-0.9874733</v>
      </c>
      <c r="Q2756">
        <v>0.15673139999999999</v>
      </c>
      <c r="R2756">
        <v>-1.821484E-2</v>
      </c>
      <c r="S2756">
        <v>-3.06488</v>
      </c>
      <c r="T2756">
        <v>-0.20532449999999999</v>
      </c>
      <c r="U2756">
        <v>-0.29827880000000001</v>
      </c>
      <c r="V2756">
        <v>-3.5617969999999999E-2</v>
      </c>
      <c r="W2756">
        <v>0.17101250000000001</v>
      </c>
      <c r="X2756">
        <v>0.98462490000000003</v>
      </c>
      <c r="Y2756">
        <v>-0.114065</v>
      </c>
      <c r="Z2756">
        <v>-4.9821290000000001E-3</v>
      </c>
      <c r="AA2756">
        <v>0.99346080000000003</v>
      </c>
      <c r="AB2756">
        <v>44</v>
      </c>
      <c r="AC2756">
        <v>-16.137799999999999</v>
      </c>
      <c r="AD2756">
        <v>-1.11019301711149</v>
      </c>
      <c r="AE2756">
        <v>-1.6202000000000101</v>
      </c>
      <c r="AF2756">
        <v>-1.89495572212334</v>
      </c>
      <c r="AG2756">
        <v>-1.11019301711149</v>
      </c>
      <c r="AH2756">
        <v>16.031685498546899</v>
      </c>
      <c r="AI2756">
        <v>93.9341038972494</v>
      </c>
      <c r="AJ2756">
        <v>96.741120483257404</v>
      </c>
      <c r="AK2756">
        <v>16.1814191481579</v>
      </c>
      <c r="AL2756">
        <v>80.153307386703105</v>
      </c>
      <c r="AM2756">
        <v>92.0717228416447</v>
      </c>
      <c r="AN2756">
        <v>1.0000000543215799</v>
      </c>
    </row>
    <row r="2757" spans="1:40" x14ac:dyDescent="0.25">
      <c r="A2757" t="str">
        <f>"20190312164042019"</f>
        <v>20190312164042019</v>
      </c>
      <c r="B2757" t="str">
        <f>"1552380042008924"</f>
        <v>1552380042008924</v>
      </c>
      <c r="C2757" t="s">
        <v>40</v>
      </c>
      <c r="D2757">
        <v>5.8674330000000001</v>
      </c>
      <c r="E2757">
        <v>0.47298899999999999</v>
      </c>
      <c r="F2757" t="s">
        <v>48</v>
      </c>
      <c r="G2757">
        <v>-463.20139999999998</v>
      </c>
      <c r="H2757" s="1">
        <v>2.0453439999999999E-7</v>
      </c>
      <c r="I2757">
        <v>283.75349999999997</v>
      </c>
      <c r="J2757">
        <v>-446.9375</v>
      </c>
      <c r="K2757">
        <v>1.1102449999999999</v>
      </c>
      <c r="L2757">
        <v>285.38130000000001</v>
      </c>
      <c r="M2757">
        <v>-0.9997433</v>
      </c>
      <c r="N2757">
        <v>0</v>
      </c>
      <c r="O2757">
        <v>1.7418079999999999E-2</v>
      </c>
      <c r="P2757">
        <v>-0.98730479999999998</v>
      </c>
      <c r="Q2757">
        <v>0.157717</v>
      </c>
      <c r="R2757">
        <v>-1.8829760000000001E-2</v>
      </c>
      <c r="S2757">
        <v>-3.0651860000000002</v>
      </c>
      <c r="T2757">
        <v>-0.20556530000000001</v>
      </c>
      <c r="U2757">
        <v>-0.30047610000000002</v>
      </c>
      <c r="V2757">
        <v>-3.6079840000000002E-2</v>
      </c>
      <c r="W2757">
        <v>0.17199010000000001</v>
      </c>
      <c r="X2757">
        <v>0.98443780000000003</v>
      </c>
      <c r="Y2757">
        <v>-0.1145892</v>
      </c>
      <c r="Z2757">
        <v>-4.993351E-3</v>
      </c>
      <c r="AA2757">
        <v>0.99340039999999996</v>
      </c>
      <c r="AB2757">
        <v>43</v>
      </c>
      <c r="AC2757">
        <v>-16.2638999999999</v>
      </c>
      <c r="AD2757">
        <v>-1.1102447954656001</v>
      </c>
      <c r="AE2757">
        <v>-1.6278000000000299</v>
      </c>
      <c r="AF2757">
        <v>-1.9020927680562401</v>
      </c>
      <c r="AG2757">
        <v>-1.1102447954656001</v>
      </c>
      <c r="AH2757">
        <v>16.158523735647499</v>
      </c>
      <c r="AI2757">
        <v>93.903720099315507</v>
      </c>
      <c r="AJ2757">
        <v>96.713648910182798</v>
      </c>
      <c r="AK2757">
        <v>16.307927204879</v>
      </c>
      <c r="AL2757">
        <v>80.096452781638703</v>
      </c>
      <c r="AM2757">
        <v>92.098962182097907</v>
      </c>
      <c r="AN2757">
        <v>1.00000006571063</v>
      </c>
    </row>
    <row r="2758" spans="1:40" x14ac:dyDescent="0.25">
      <c r="A2758" t="str">
        <f>"20190312164042038"</f>
        <v>20190312164042038</v>
      </c>
      <c r="B2758" t="str">
        <f>"1552380042028444"</f>
        <v>1552380042028444</v>
      </c>
      <c r="C2758" t="s">
        <v>40</v>
      </c>
      <c r="D2758">
        <v>5.702547</v>
      </c>
      <c r="E2758">
        <v>0.47271930000000001</v>
      </c>
      <c r="F2758" t="s">
        <v>48</v>
      </c>
      <c r="G2758">
        <v>-463.71159999999998</v>
      </c>
      <c r="H2758" s="1">
        <v>4.7671879999999998E-7</v>
      </c>
      <c r="I2758">
        <v>283.73899999999998</v>
      </c>
      <c r="J2758">
        <v>-447.2946</v>
      </c>
      <c r="K2758">
        <v>1.110306</v>
      </c>
      <c r="L2758">
        <v>285.38729999999998</v>
      </c>
      <c r="M2758">
        <v>-0.99974750000000001</v>
      </c>
      <c r="N2758">
        <v>0</v>
      </c>
      <c r="O2758">
        <v>1.7174910000000002E-2</v>
      </c>
      <c r="P2758">
        <v>-0.98701130000000004</v>
      </c>
      <c r="Q2758">
        <v>0.15944159999999999</v>
      </c>
      <c r="R2758">
        <v>-1.967464E-2</v>
      </c>
      <c r="S2758">
        <v>-3.0652469999999998</v>
      </c>
      <c r="T2758">
        <v>-0.2028819</v>
      </c>
      <c r="U2758">
        <v>-0.30010989999999999</v>
      </c>
      <c r="V2758">
        <v>-3.6701869999999998E-2</v>
      </c>
      <c r="W2758">
        <v>0.17370339999999901</v>
      </c>
      <c r="X2758">
        <v>0.98411389999999999</v>
      </c>
      <c r="Y2758">
        <v>-0.11423700000000001</v>
      </c>
      <c r="Z2758">
        <v>-4.9005819999999997E-3</v>
      </c>
      <c r="AA2758">
        <v>0.99344149999999998</v>
      </c>
      <c r="AB2758">
        <v>43</v>
      </c>
      <c r="AC2758">
        <v>-16.416999999999899</v>
      </c>
      <c r="AD2758">
        <v>-1.1103055232812</v>
      </c>
      <c r="AE2758">
        <v>-1.6482999999999399</v>
      </c>
      <c r="AF2758">
        <v>-1.92134637050837</v>
      </c>
      <c r="AG2758">
        <v>-1.1103055232812</v>
      </c>
      <c r="AH2758">
        <v>16.312397131187801</v>
      </c>
      <c r="AI2758">
        <v>93.867188475144502</v>
      </c>
      <c r="AJ2758">
        <v>96.717599926211093</v>
      </c>
      <c r="AK2758">
        <v>16.462644088847899</v>
      </c>
      <c r="AL2758">
        <v>79.996787504157993</v>
      </c>
      <c r="AM2758">
        <v>92.135817947512507</v>
      </c>
      <c r="AN2758">
        <v>1.00000003330313</v>
      </c>
    </row>
    <row r="2759" spans="1:40" x14ac:dyDescent="0.25">
      <c r="A2759" t="str">
        <f>"20190312164042059"</f>
        <v>20190312164042059</v>
      </c>
      <c r="B2759" t="str">
        <f>"1552380042048940"</f>
        <v>1552380042048940</v>
      </c>
      <c r="C2759" t="s">
        <v>40</v>
      </c>
      <c r="D2759">
        <v>5.6565190000000003</v>
      </c>
      <c r="E2759">
        <v>0.47256609999999999</v>
      </c>
      <c r="F2759" t="s">
        <v>48</v>
      </c>
      <c r="G2759">
        <v>-464.12970000000001</v>
      </c>
      <c r="H2759" s="1">
        <v>7.0001739999999998E-7</v>
      </c>
      <c r="I2759">
        <v>283.72000000000003</v>
      </c>
      <c r="J2759">
        <v>-447.71809999999999</v>
      </c>
      <c r="K2759">
        <v>1.110355</v>
      </c>
      <c r="L2759">
        <v>285.39429999999999</v>
      </c>
      <c r="M2759">
        <v>-0.99975309999999995</v>
      </c>
      <c r="N2759">
        <v>0</v>
      </c>
      <c r="O2759">
        <v>1.6849099999999999E-2</v>
      </c>
      <c r="P2759">
        <v>-0.98668999999999996</v>
      </c>
      <c r="Q2759">
        <v>0.16117210000000001</v>
      </c>
      <c r="R2759">
        <v>-2.1594220000000001E-2</v>
      </c>
      <c r="S2759">
        <v>-3.0661010000000002</v>
      </c>
      <c r="T2759">
        <v>-0.20221420000000001</v>
      </c>
      <c r="U2759">
        <v>-0.30364989999999997</v>
      </c>
      <c r="V2759">
        <v>-3.8315009999999997E-2</v>
      </c>
      <c r="W2759">
        <v>0.17542089999999999</v>
      </c>
      <c r="X2759">
        <v>0.9837477</v>
      </c>
      <c r="Y2759">
        <v>-0.1150234</v>
      </c>
      <c r="Z2759">
        <v>-4.8872849999999999E-3</v>
      </c>
      <c r="AA2759">
        <v>0.99335070000000003</v>
      </c>
      <c r="AB2759">
        <v>43</v>
      </c>
      <c r="AC2759">
        <v>-16.4116</v>
      </c>
      <c r="AD2759">
        <v>-1.1103542999825999</v>
      </c>
      <c r="AE2759">
        <v>-1.6742999999999499</v>
      </c>
      <c r="AF2759">
        <v>-1.9418150245669901</v>
      </c>
      <c r="AG2759">
        <v>-1.1103542999825999</v>
      </c>
      <c r="AH2759">
        <v>16.3071803639439</v>
      </c>
      <c r="AI2759">
        <v>93.868008951484398</v>
      </c>
      <c r="AJ2759">
        <v>96.790651453497205</v>
      </c>
      <c r="AK2759">
        <v>16.459880427370098</v>
      </c>
      <c r="AL2759">
        <v>79.896847544243798</v>
      </c>
      <c r="AM2759">
        <v>92.2304289289021</v>
      </c>
      <c r="AN2759">
        <v>1.00000003470169</v>
      </c>
    </row>
    <row r="2760" spans="1:40" x14ac:dyDescent="0.25">
      <c r="A2760" t="str">
        <f>"20190312164042074"</f>
        <v>20190312164042074</v>
      </c>
      <c r="B2760" t="str">
        <f>"1552380042068459"</f>
        <v>1552380042068459</v>
      </c>
      <c r="C2760" t="s">
        <v>40</v>
      </c>
      <c r="D2760">
        <v>5.6590689999999997</v>
      </c>
      <c r="E2760">
        <v>0.4724853</v>
      </c>
      <c r="F2760" t="s">
        <v>48</v>
      </c>
      <c r="G2760">
        <v>-464.92469999999997</v>
      </c>
      <c r="H2760" s="1">
        <v>1.126056E-6</v>
      </c>
      <c r="I2760">
        <v>283.65219999999999</v>
      </c>
      <c r="J2760">
        <v>-447.98939999999999</v>
      </c>
      <c r="K2760">
        <v>1.110382</v>
      </c>
      <c r="L2760">
        <v>285.39870000000002</v>
      </c>
      <c r="M2760">
        <v>-0.99975689999999995</v>
      </c>
      <c r="N2760">
        <v>0</v>
      </c>
      <c r="O2760">
        <v>1.6626330000000002E-2</v>
      </c>
      <c r="P2760">
        <v>-0.98654319999999895</v>
      </c>
      <c r="Q2760">
        <v>0.16198499999999999</v>
      </c>
      <c r="R2760">
        <v>-2.2214830000000001E-2</v>
      </c>
      <c r="S2760">
        <v>-3.0660099999999999</v>
      </c>
      <c r="T2760">
        <v>-0.1978511</v>
      </c>
      <c r="U2760">
        <v>-0.3104248</v>
      </c>
      <c r="V2760">
        <v>-3.8724960000000003E-2</v>
      </c>
      <c r="W2760">
        <v>0.1762273</v>
      </c>
      <c r="X2760">
        <v>0.9835874</v>
      </c>
      <c r="Y2760">
        <v>-0.1169866</v>
      </c>
      <c r="Z2760">
        <v>-4.8304589999999996E-3</v>
      </c>
      <c r="AA2760">
        <v>0.9931217</v>
      </c>
      <c r="AB2760">
        <v>43</v>
      </c>
      <c r="AC2760">
        <v>-16.935299999999899</v>
      </c>
      <c r="AD2760">
        <v>-1.110380873944</v>
      </c>
      <c r="AE2760">
        <v>-1.7465000000000199</v>
      </c>
      <c r="AF2760">
        <v>-2.0192706420948099</v>
      </c>
      <c r="AG2760">
        <v>-1.110380873944</v>
      </c>
      <c r="AH2760">
        <v>16.8323185541778</v>
      </c>
      <c r="AI2760">
        <v>93.747382438969197</v>
      </c>
      <c r="AJ2760">
        <v>96.840734597144206</v>
      </c>
      <c r="AK2760">
        <v>16.989330402360299</v>
      </c>
      <c r="AL2760">
        <v>79.849911975564893</v>
      </c>
      <c r="AM2760">
        <v>92.254635838784594</v>
      </c>
      <c r="AN2760">
        <v>0.999999928615523</v>
      </c>
    </row>
    <row r="2761" spans="1:40" x14ac:dyDescent="0.25">
      <c r="A2761" t="str">
        <f>"20190312164042094"</f>
        <v>20190312164042094</v>
      </c>
      <c r="B2761" t="str">
        <f>"1552380042088959"</f>
        <v>1552380042088959</v>
      </c>
      <c r="C2761" t="s">
        <v>40</v>
      </c>
      <c r="D2761">
        <v>5.6690339999999999</v>
      </c>
      <c r="E2761">
        <v>0.47242099999999998</v>
      </c>
      <c r="F2761" t="s">
        <v>48</v>
      </c>
      <c r="G2761">
        <v>-465.4495</v>
      </c>
      <c r="H2761" s="1">
        <v>1.406791E-6</v>
      </c>
      <c r="I2761">
        <v>283.61779999999999</v>
      </c>
      <c r="J2761">
        <v>-448.38139999999999</v>
      </c>
      <c r="K2761">
        <v>1.110417</v>
      </c>
      <c r="L2761">
        <v>285.4049</v>
      </c>
      <c r="M2761">
        <v>-0.9997625</v>
      </c>
      <c r="N2761">
        <v>0</v>
      </c>
      <c r="O2761">
        <v>1.6291420000000001E-2</v>
      </c>
      <c r="P2761">
        <v>-0.9863596</v>
      </c>
      <c r="Q2761">
        <v>0.16285629999999901</v>
      </c>
      <c r="R2761">
        <v>-2.393006E-2</v>
      </c>
      <c r="S2761">
        <v>-3.065887</v>
      </c>
      <c r="T2761">
        <v>-0.1949766</v>
      </c>
      <c r="U2761">
        <v>-0.31271359999999998</v>
      </c>
      <c r="V2761">
        <v>-4.0120490000000002E-2</v>
      </c>
      <c r="W2761">
        <v>0.177089</v>
      </c>
      <c r="X2761">
        <v>0.98337669999999999</v>
      </c>
      <c r="Y2761">
        <v>-0.1173994</v>
      </c>
      <c r="Z2761">
        <v>-4.752282E-3</v>
      </c>
      <c r="AA2761">
        <v>0.9930734</v>
      </c>
      <c r="AB2761">
        <v>43</v>
      </c>
      <c r="AC2761">
        <v>-17.068100000000001</v>
      </c>
      <c r="AD2761">
        <v>-1.1104155932089901</v>
      </c>
      <c r="AE2761">
        <v>-1.7870999999999999</v>
      </c>
      <c r="AF2761">
        <v>-2.0563463196278202</v>
      </c>
      <c r="AG2761">
        <v>-1.1104155932089901</v>
      </c>
      <c r="AH2761">
        <v>16.965687693660801</v>
      </c>
      <c r="AI2761">
        <v>93.717575320631795</v>
      </c>
      <c r="AJ2761">
        <v>96.910892051430295</v>
      </c>
      <c r="AK2761">
        <v>17.125890981047402</v>
      </c>
      <c r="AL2761">
        <v>79.799751512514504</v>
      </c>
      <c r="AM2761">
        <v>92.336297555859105</v>
      </c>
      <c r="AN2761">
        <v>0.99999995087086302</v>
      </c>
    </row>
    <row r="2762" spans="1:40" x14ac:dyDescent="0.25">
      <c r="A2762" t="str">
        <f>"20190312164042109"</f>
        <v>20190312164042109</v>
      </c>
      <c r="B2762" t="str">
        <f>"1552380042098715"</f>
        <v>1552380042098715</v>
      </c>
      <c r="C2762" t="s">
        <v>40</v>
      </c>
      <c r="D2762">
        <v>6.0198210000000003</v>
      </c>
      <c r="E2762">
        <v>0.47235959999999999</v>
      </c>
      <c r="F2762" t="s">
        <v>48</v>
      </c>
      <c r="G2762">
        <v>-466.41120000000001</v>
      </c>
      <c r="H2762" s="1">
        <v>1.9223140000000002E-6</v>
      </c>
      <c r="I2762">
        <v>283.53230000000002</v>
      </c>
      <c r="J2762">
        <v>-448.66480000000001</v>
      </c>
      <c r="K2762">
        <v>1.110439</v>
      </c>
      <c r="L2762">
        <v>285.40940000000001</v>
      </c>
      <c r="M2762">
        <v>-0.99976640000000006</v>
      </c>
      <c r="N2762">
        <v>0</v>
      </c>
      <c r="O2762">
        <v>1.6042959999999998E-2</v>
      </c>
      <c r="P2762">
        <v>-0.98628099999999996</v>
      </c>
      <c r="Q2762">
        <v>0.1632226</v>
      </c>
      <c r="R2762">
        <v>-2.466751E-2</v>
      </c>
      <c r="S2762">
        <v>-3.0649410000000001</v>
      </c>
      <c r="T2762">
        <v>-0.18876299999999999</v>
      </c>
      <c r="U2762">
        <v>-0.31832890000000003</v>
      </c>
      <c r="V2762">
        <v>-4.0620469999999999E-2</v>
      </c>
      <c r="W2762">
        <v>0.17745030000000001</v>
      </c>
      <c r="X2762">
        <v>0.98329109999999997</v>
      </c>
      <c r="Y2762">
        <v>-0.1189979</v>
      </c>
      <c r="Z2762">
        <v>-4.6359010000000004E-3</v>
      </c>
      <c r="AA2762">
        <v>0.99288370000000004</v>
      </c>
      <c r="AB2762">
        <v>43</v>
      </c>
      <c r="AC2762">
        <v>-17.746399999999898</v>
      </c>
      <c r="AD2762">
        <v>-1.110437077686</v>
      </c>
      <c r="AE2762">
        <v>-1.87709999999998</v>
      </c>
      <c r="AF2762">
        <v>-2.1532556164533099</v>
      </c>
      <c r="AG2762">
        <v>-1.110437077686</v>
      </c>
      <c r="AH2762">
        <v>17.645674154677302</v>
      </c>
      <c r="AI2762">
        <v>93.574413343552195</v>
      </c>
      <c r="AJ2762">
        <v>96.957257896474005</v>
      </c>
      <c r="AK2762">
        <v>17.811215473019601</v>
      </c>
      <c r="AL2762">
        <v>79.778718020029501</v>
      </c>
      <c r="AM2762">
        <v>92.365585222517694</v>
      </c>
      <c r="AN2762">
        <v>1.0000000094461601</v>
      </c>
    </row>
    <row r="2763" spans="1:40" x14ac:dyDescent="0.25">
      <c r="A2763" t="str">
        <f>"20190312164042127"</f>
        <v>20190312164042127</v>
      </c>
      <c r="B2763" t="str">
        <f>"1552380042119212"</f>
        <v>1552380042119212</v>
      </c>
      <c r="C2763" t="s">
        <v>40</v>
      </c>
      <c r="D2763">
        <v>5.7380909999999998</v>
      </c>
      <c r="E2763">
        <v>0.47242289999999998</v>
      </c>
      <c r="F2763" t="s">
        <v>48</v>
      </c>
      <c r="G2763">
        <v>-466.94479999999999</v>
      </c>
      <c r="H2763" s="1">
        <v>2.2078829999999998E-6</v>
      </c>
      <c r="I2763">
        <v>283.49509999999998</v>
      </c>
      <c r="J2763">
        <v>-449.03219999999999</v>
      </c>
      <c r="K2763">
        <v>1.11046</v>
      </c>
      <c r="L2763">
        <v>285.41500000000002</v>
      </c>
      <c r="M2763">
        <v>-0.99977169999999904</v>
      </c>
      <c r="N2763">
        <v>0</v>
      </c>
      <c r="O2763">
        <v>1.5717620000000002E-2</v>
      </c>
      <c r="P2763">
        <v>-0.98614380000000001</v>
      </c>
      <c r="Q2763">
        <v>0.163824</v>
      </c>
      <c r="R2763">
        <v>-2.6126179999999999E-2</v>
      </c>
      <c r="S2763">
        <v>-3.0644840000000002</v>
      </c>
      <c r="T2763">
        <v>-0.18615570000000001</v>
      </c>
      <c r="U2763">
        <v>-0.32092290000000001</v>
      </c>
      <c r="V2763">
        <v>-4.1765089999999998E-2</v>
      </c>
      <c r="W2763">
        <v>0.17804449999999999</v>
      </c>
      <c r="X2763">
        <v>0.98313569999999995</v>
      </c>
      <c r="Y2763">
        <v>-0.119528</v>
      </c>
      <c r="Z2763">
        <v>-4.5688049999999996E-3</v>
      </c>
      <c r="AA2763">
        <v>0.99282029999999999</v>
      </c>
      <c r="AB2763">
        <v>43</v>
      </c>
      <c r="AC2763">
        <v>-17.912599999999902</v>
      </c>
      <c r="AD2763">
        <v>-1.110457792117</v>
      </c>
      <c r="AE2763">
        <v>-1.9199000000000399</v>
      </c>
      <c r="AF2763">
        <v>-2.1929037904576401</v>
      </c>
      <c r="AG2763">
        <v>-1.110457792117</v>
      </c>
      <c r="AH2763">
        <v>17.8125287233417</v>
      </c>
      <c r="AI2763">
        <v>93.540620571625695</v>
      </c>
      <c r="AJ2763">
        <v>97.018379333488298</v>
      </c>
      <c r="AK2763">
        <v>17.981327066213701</v>
      </c>
      <c r="AL2763">
        <v>79.744121718594201</v>
      </c>
      <c r="AM2763">
        <v>92.432548665065497</v>
      </c>
      <c r="AN2763">
        <v>0.99999998566872295</v>
      </c>
    </row>
    <row r="2764" spans="1:40" x14ac:dyDescent="0.25">
      <c r="A2764" t="str">
        <f>"20190312164042150"</f>
        <v>20190312164042150</v>
      </c>
      <c r="B2764" t="str">
        <f>"1552380042138731"</f>
        <v>1552380042138731</v>
      </c>
      <c r="C2764" t="s">
        <v>40</v>
      </c>
      <c r="D2764">
        <v>5.6105939999999999</v>
      </c>
      <c r="E2764">
        <v>0.47222239999999999</v>
      </c>
      <c r="F2764" t="s">
        <v>48</v>
      </c>
      <c r="G2764">
        <v>-467.5111</v>
      </c>
      <c r="H2764" s="1">
        <v>2.5108379999999999E-6</v>
      </c>
      <c r="I2764">
        <v>283.45850000000002</v>
      </c>
      <c r="J2764">
        <v>-449.4633</v>
      </c>
      <c r="K2764">
        <v>1.1104969999999901</v>
      </c>
      <c r="L2764">
        <v>285.42149999999998</v>
      </c>
      <c r="M2764">
        <v>-0.99977740000000004</v>
      </c>
      <c r="N2764">
        <v>0</v>
      </c>
      <c r="O2764">
        <v>1.5335710000000001E-2</v>
      </c>
      <c r="P2764">
        <v>-0.98593839999999999</v>
      </c>
      <c r="Q2764">
        <v>0.16459079999999901</v>
      </c>
      <c r="R2764">
        <v>-2.8903939999999999E-2</v>
      </c>
      <c r="S2764">
        <v>-3.0641780000000001</v>
      </c>
      <c r="T2764">
        <v>-0.18413650000000001</v>
      </c>
      <c r="U2764">
        <v>-0.32443240000000001</v>
      </c>
      <c r="V2764">
        <v>-4.4174329999999998E-2</v>
      </c>
      <c r="W2764">
        <v>0.17882190000000001</v>
      </c>
      <c r="X2764">
        <v>0.98288929999999997</v>
      </c>
      <c r="Y2764">
        <v>-0.1202882</v>
      </c>
      <c r="Z2764">
        <v>-4.5193999999999998E-3</v>
      </c>
      <c r="AA2764">
        <v>0.99272870000000002</v>
      </c>
      <c r="AB2764">
        <v>43</v>
      </c>
      <c r="AC2764">
        <v>-18.047799999999899</v>
      </c>
      <c r="AD2764">
        <v>-1.1104944891620001</v>
      </c>
      <c r="AE2764">
        <v>-1.9629999999999601</v>
      </c>
      <c r="AF2764">
        <v>-2.2312252700472799</v>
      </c>
      <c r="AG2764">
        <v>-1.1104944891620001</v>
      </c>
      <c r="AH2764">
        <v>17.9484112357467</v>
      </c>
      <c r="AI2764">
        <v>93.513484966705903</v>
      </c>
      <c r="AJ2764">
        <v>97.086270357194095</v>
      </c>
      <c r="AK2764">
        <v>18.1206244402238</v>
      </c>
      <c r="AL2764">
        <v>79.698853765073594</v>
      </c>
      <c r="AM2764">
        <v>92.5733321205946</v>
      </c>
      <c r="AN2764">
        <v>1.0000000097025199</v>
      </c>
    </row>
    <row r="2765" spans="1:40" x14ac:dyDescent="0.25">
      <c r="A2765" t="str">
        <f>"20190312164042172"</f>
        <v>20190312164042172</v>
      </c>
      <c r="B2765" t="str">
        <f>"1552380042168988"</f>
        <v>1552380042168988</v>
      </c>
      <c r="C2765" t="s">
        <v>40</v>
      </c>
      <c r="D2765">
        <v>5.8412829999999998</v>
      </c>
      <c r="E2765">
        <v>0.47218919999999998</v>
      </c>
      <c r="F2765" t="s">
        <v>48</v>
      </c>
      <c r="G2765">
        <v>-467.87079999999997</v>
      </c>
      <c r="H2765" s="1">
        <v>2.7041800000000002E-6</v>
      </c>
      <c r="I2765">
        <v>283.41469999999998</v>
      </c>
      <c r="J2765">
        <v>-449.89359999999999</v>
      </c>
      <c r="K2765">
        <v>1.1105430000000001</v>
      </c>
      <c r="L2765">
        <v>285.42779999999999</v>
      </c>
      <c r="M2765">
        <v>-0.99978180000000005</v>
      </c>
      <c r="N2765">
        <v>0</v>
      </c>
      <c r="O2765">
        <v>1.4962799999999899E-2</v>
      </c>
      <c r="P2765">
        <v>-0.98580559999999995</v>
      </c>
      <c r="Q2765">
        <v>0.16503090000000001</v>
      </c>
      <c r="R2765">
        <v>-3.0865750000000001E-2</v>
      </c>
      <c r="S2765">
        <v>-3.063812</v>
      </c>
      <c r="T2765">
        <v>-0.1848351</v>
      </c>
      <c r="U2765">
        <v>-0.3340149</v>
      </c>
      <c r="V2765">
        <v>-4.5776909999999997E-2</v>
      </c>
      <c r="W2765">
        <v>0.17934919999999999</v>
      </c>
      <c r="X2765">
        <v>0.98271989999999998</v>
      </c>
      <c r="Y2765">
        <v>-0.1229934</v>
      </c>
      <c r="Z2765">
        <v>-4.5951719999999998E-3</v>
      </c>
      <c r="AA2765">
        <v>0.99239679999999997</v>
      </c>
      <c r="AB2765">
        <v>43</v>
      </c>
      <c r="AC2765">
        <v>-17.9771999999999</v>
      </c>
      <c r="AD2765">
        <v>-1.1105402958199999</v>
      </c>
      <c r="AE2765">
        <v>-2.0131000000000001</v>
      </c>
      <c r="AF2765">
        <v>-2.2733245251614802</v>
      </c>
      <c r="AG2765">
        <v>-1.1105402958199999</v>
      </c>
      <c r="AH2765">
        <v>17.877683359239299</v>
      </c>
      <c r="AI2765">
        <v>93.526255572697295</v>
      </c>
      <c r="AJ2765">
        <v>97.246833347622001</v>
      </c>
      <c r="AK2765">
        <v>18.055826384814502</v>
      </c>
      <c r="AL2765">
        <v>79.668145478497706</v>
      </c>
      <c r="AM2765">
        <v>92.667015440658304</v>
      </c>
      <c r="AN2765">
        <v>1.0000000314428901</v>
      </c>
    </row>
    <row r="2766" spans="1:40" x14ac:dyDescent="0.25">
      <c r="A2766" t="str">
        <f>"20190312164042195"</f>
        <v>20190312164042195</v>
      </c>
      <c r="B2766" t="str">
        <f>"1552380042188508"</f>
        <v>1552380042188508</v>
      </c>
      <c r="C2766" t="s">
        <v>40</v>
      </c>
      <c r="D2766">
        <v>5.634239</v>
      </c>
      <c r="E2766">
        <v>0.4721129</v>
      </c>
      <c r="F2766" t="s">
        <v>48</v>
      </c>
      <c r="G2766">
        <v>-468.66449999999998</v>
      </c>
      <c r="H2766" s="1">
        <v>3.129513E-6</v>
      </c>
      <c r="I2766">
        <v>283.34739999999999</v>
      </c>
      <c r="J2766">
        <v>-450.3313</v>
      </c>
      <c r="K2766">
        <v>1.1106180000000001</v>
      </c>
      <c r="L2766">
        <v>285.43400000000003</v>
      </c>
      <c r="M2766">
        <v>-0.99978389999999995</v>
      </c>
      <c r="N2766">
        <v>0</v>
      </c>
      <c r="O2766">
        <v>1.4587269999999999E-2</v>
      </c>
      <c r="P2766">
        <v>-0.9856722</v>
      </c>
      <c r="Q2766">
        <v>0.16554189999999999</v>
      </c>
      <c r="R2766">
        <v>-3.234049E-2</v>
      </c>
      <c r="S2766">
        <v>-3.062897</v>
      </c>
      <c r="T2766">
        <v>-0.1812098</v>
      </c>
      <c r="U2766">
        <v>-0.33947749999999999</v>
      </c>
      <c r="V2766">
        <v>-4.6887720000000001E-2</v>
      </c>
      <c r="W2766">
        <v>0.18007110000000001</v>
      </c>
      <c r="X2766">
        <v>0.98253550000000001</v>
      </c>
      <c r="Y2766">
        <v>-0.12440909999999999</v>
      </c>
      <c r="Z2766">
        <v>-4.5256810000000001E-3</v>
      </c>
      <c r="AA2766">
        <v>0.99222069999999996</v>
      </c>
      <c r="AB2766">
        <v>43</v>
      </c>
      <c r="AC2766">
        <v>-18.333199999999898</v>
      </c>
      <c r="AD2766">
        <v>-1.110614870487</v>
      </c>
      <c r="AE2766">
        <v>-2.08660000000003</v>
      </c>
      <c r="AF2766">
        <v>-2.34534158942694</v>
      </c>
      <c r="AG2766">
        <v>-1.110614870487</v>
      </c>
      <c r="AH2766">
        <v>18.234744464340999</v>
      </c>
      <c r="AI2766">
        <v>93.456974070120694</v>
      </c>
      <c r="AJ2766">
        <v>97.329109571896893</v>
      </c>
      <c r="AK2766">
        <v>18.418468944009899</v>
      </c>
      <c r="AL2766">
        <v>79.6260991517089</v>
      </c>
      <c r="AM2766">
        <v>92.732147534383799</v>
      </c>
      <c r="AN2766">
        <v>1.0000000340511199</v>
      </c>
    </row>
    <row r="2767" spans="1:40" x14ac:dyDescent="0.25">
      <c r="A2767" t="str">
        <f>"20190312164042216"</f>
        <v>20190312164042216</v>
      </c>
      <c r="B2767" t="str">
        <f>"1552380042209004"</f>
        <v>1552380042209004</v>
      </c>
      <c r="C2767" t="s">
        <v>40</v>
      </c>
      <c r="D2767">
        <v>5.4147699999999999</v>
      </c>
      <c r="E2767">
        <v>0.4718019</v>
      </c>
      <c r="F2767" t="s">
        <v>48</v>
      </c>
      <c r="G2767">
        <v>-469.4599</v>
      </c>
      <c r="H2767" s="1">
        <v>3.5555519999999998E-6</v>
      </c>
      <c r="I2767">
        <v>283.28379999999999</v>
      </c>
      <c r="J2767">
        <v>-450.73610000000002</v>
      </c>
      <c r="K2767">
        <v>1.1107199999999999</v>
      </c>
      <c r="L2767">
        <v>285.43959999999998</v>
      </c>
      <c r="M2767">
        <v>-0.99978370000000005</v>
      </c>
      <c r="N2767">
        <v>0</v>
      </c>
      <c r="O2767">
        <v>1.4234170000000001E-2</v>
      </c>
      <c r="P2767">
        <v>-0.9855294</v>
      </c>
      <c r="Q2767">
        <v>0.16618069999999999</v>
      </c>
      <c r="R2767">
        <v>-3.3402380000000002E-2</v>
      </c>
      <c r="S2767">
        <v>-3.0621339999999999</v>
      </c>
      <c r="T2767">
        <v>-0.17778840000000001</v>
      </c>
      <c r="U2767">
        <v>-0.34420780000000001</v>
      </c>
      <c r="V2767">
        <v>-4.7603769999999997E-2</v>
      </c>
      <c r="W2767">
        <v>0.1810522</v>
      </c>
      <c r="X2767">
        <v>0.98232070000000005</v>
      </c>
      <c r="Y2767">
        <v>-0.125607</v>
      </c>
      <c r="Z2767">
        <v>-4.4553120000000003E-3</v>
      </c>
      <c r="AA2767">
        <v>0.99207009999999995</v>
      </c>
      <c r="AB2767">
        <v>43</v>
      </c>
      <c r="AC2767">
        <v>-18.723799999999901</v>
      </c>
      <c r="AD2767">
        <v>-1.110716444448</v>
      </c>
      <c r="AE2767">
        <v>-2.1558000000000002</v>
      </c>
      <c r="AF2767">
        <v>-2.41374711054178</v>
      </c>
      <c r="AG2767">
        <v>-1.110716444448</v>
      </c>
      <c r="AH2767">
        <v>18.626524026763601</v>
      </c>
      <c r="AI2767">
        <v>93.3843269974614</v>
      </c>
      <c r="AJ2767">
        <v>97.383616021506398</v>
      </c>
      <c r="AK2767">
        <v>18.8150807453281</v>
      </c>
      <c r="AL2767">
        <v>79.568946400943105</v>
      </c>
      <c r="AM2767">
        <v>92.774412684521593</v>
      </c>
      <c r="AN2767">
        <v>0.99999998784577104</v>
      </c>
    </row>
    <row r="2768" spans="1:40" x14ac:dyDescent="0.25">
      <c r="A2768" t="str">
        <f>"20190312164042239"</f>
        <v>20190312164042239</v>
      </c>
      <c r="B2768" t="str">
        <f>"1552380042228529"</f>
        <v>1552380042228529</v>
      </c>
      <c r="C2768" t="s">
        <v>40</v>
      </c>
      <c r="D2768">
        <v>5.4880000000000004</v>
      </c>
      <c r="E2768">
        <v>0.454567</v>
      </c>
      <c r="F2768" t="s">
        <v>46</v>
      </c>
      <c r="G2768">
        <v>-470.24520000000001</v>
      </c>
      <c r="H2768" s="1">
        <v>6.3823249999999999E-6</v>
      </c>
      <c r="I2768">
        <v>283.20870000000002</v>
      </c>
      <c r="J2768">
        <v>-451.1617</v>
      </c>
      <c r="K2768">
        <v>1.11084</v>
      </c>
      <c r="L2768">
        <v>285.44529999999997</v>
      </c>
      <c r="M2768">
        <v>-0.99978140000000004</v>
      </c>
      <c r="N2768">
        <v>0</v>
      </c>
      <c r="O2768">
        <v>1.385522E-2</v>
      </c>
      <c r="P2768">
        <v>-0.98544779999999998</v>
      </c>
      <c r="Q2768">
        <v>0.16641059999999999</v>
      </c>
      <c r="R2768">
        <v>-3.4644469999999997E-2</v>
      </c>
      <c r="S2768">
        <v>-3.0615839999999999</v>
      </c>
      <c r="T2768">
        <v>-0.17430519999999999</v>
      </c>
      <c r="U2768">
        <v>-0.35009770000000001</v>
      </c>
      <c r="V2768">
        <v>-4.8474139999999999E-2</v>
      </c>
      <c r="W2768">
        <v>0.1817645</v>
      </c>
      <c r="X2768">
        <v>0.98214659999999998</v>
      </c>
      <c r="Y2768">
        <v>-0.12714220000000001</v>
      </c>
      <c r="Z2768">
        <v>-4.3905080000000004E-3</v>
      </c>
      <c r="AA2768">
        <v>0.99187479999999995</v>
      </c>
      <c r="AB2768">
        <v>43</v>
      </c>
      <c r="AC2768">
        <v>-19.083500000000001</v>
      </c>
      <c r="AD2768">
        <v>-1.110833617675</v>
      </c>
      <c r="AE2768">
        <v>-2.23659999999995</v>
      </c>
      <c r="AF2768">
        <v>-2.49249288845775</v>
      </c>
      <c r="AG2768">
        <v>-1.110833617675</v>
      </c>
      <c r="AH2768">
        <v>18.987212709779399</v>
      </c>
      <c r="AI2768">
        <v>93.3198155148864</v>
      </c>
      <c r="AJ2768">
        <v>97.478579851293901</v>
      </c>
      <c r="AK2768">
        <v>19.182302223966101</v>
      </c>
      <c r="AL2768">
        <v>79.527446268163004</v>
      </c>
      <c r="AM2768">
        <v>92.825557568437802</v>
      </c>
      <c r="AN2768">
        <v>1.0000000098002699</v>
      </c>
    </row>
    <row r="2769" spans="1:40" x14ac:dyDescent="0.25">
      <c r="A2769" t="str">
        <f>"20190312164042260"</f>
        <v>20190312164042260</v>
      </c>
      <c r="B2769" t="str">
        <f>"1552380042249020"</f>
        <v>1552380042249020</v>
      </c>
      <c r="C2769" t="s">
        <v>40</v>
      </c>
      <c r="D2769">
        <v>5.404083</v>
      </c>
      <c r="E2769">
        <v>0.44692349999999997</v>
      </c>
      <c r="F2769" t="s">
        <v>46</v>
      </c>
      <c r="G2769">
        <v>-470.5378</v>
      </c>
      <c r="H2769" s="1">
        <v>6.1761489999999999E-6</v>
      </c>
      <c r="I2769">
        <v>282.33449999999999</v>
      </c>
      <c r="J2769">
        <v>-451.58519999999999</v>
      </c>
      <c r="K2769">
        <v>1.1109579999999999</v>
      </c>
      <c r="L2769">
        <v>285.45089999999999</v>
      </c>
      <c r="M2769">
        <v>-0.99977819999999995</v>
      </c>
      <c r="N2769">
        <v>0</v>
      </c>
      <c r="O2769">
        <v>1.347431E-2</v>
      </c>
      <c r="P2769">
        <v>-0.98534880000000002</v>
      </c>
      <c r="Q2769">
        <v>0.16673399999999999</v>
      </c>
      <c r="R2769">
        <v>-3.589022E-2</v>
      </c>
      <c r="S2769">
        <v>-3.0566710000000001</v>
      </c>
      <c r="T2769">
        <v>-0.1752397</v>
      </c>
      <c r="U2769">
        <v>-0.4907532</v>
      </c>
      <c r="V2769">
        <v>-4.93462E-2</v>
      </c>
      <c r="W2769">
        <v>0.18261359999999999</v>
      </c>
      <c r="X2769">
        <v>0.98194559999999997</v>
      </c>
      <c r="Y2769">
        <v>-0.17151640000000001</v>
      </c>
      <c r="Z2769">
        <v>-5.6485659999999998E-3</v>
      </c>
      <c r="AA2769">
        <v>0.98516510000000002</v>
      </c>
      <c r="AB2769">
        <v>43</v>
      </c>
      <c r="AC2769">
        <v>-18.9526</v>
      </c>
      <c r="AD2769">
        <v>-1.1109518238510001</v>
      </c>
      <c r="AE2769">
        <v>-3.1163999999999898</v>
      </c>
      <c r="AF2769">
        <v>-3.3602817143141701</v>
      </c>
      <c r="AG2769">
        <v>-1.1109518238510001</v>
      </c>
      <c r="AH2769">
        <v>18.845832614359601</v>
      </c>
      <c r="AI2769">
        <v>93.321387555768993</v>
      </c>
      <c r="AJ2769">
        <v>100.10980537024101</v>
      </c>
      <c r="AK2769">
        <v>19.175273507382698</v>
      </c>
      <c r="AL2769">
        <v>79.477967887826594</v>
      </c>
      <c r="AM2769">
        <v>92.876893115276502</v>
      </c>
      <c r="AN2769">
        <v>0.99999996785937895</v>
      </c>
    </row>
    <row r="2770" spans="1:40" x14ac:dyDescent="0.25">
      <c r="A2770" t="str">
        <f>"20190312164042284"</f>
        <v>20190312164042284</v>
      </c>
      <c r="B2770" t="str">
        <f>"1552380042279276"</f>
        <v>1552380042279276</v>
      </c>
      <c r="C2770" t="s">
        <v>40</v>
      </c>
      <c r="D2770">
        <v>5.4685670000000002</v>
      </c>
      <c r="E2770">
        <v>0.45359749999999999</v>
      </c>
      <c r="F2770" t="s">
        <v>48</v>
      </c>
      <c r="G2770">
        <v>-463.26249999999999</v>
      </c>
      <c r="H2770" s="1">
        <v>2.5574329999999999E-7</v>
      </c>
      <c r="I2770">
        <v>283.32600000000002</v>
      </c>
      <c r="J2770">
        <v>-452.02480000000003</v>
      </c>
      <c r="K2770">
        <v>1.1110610000000001</v>
      </c>
      <c r="L2770">
        <v>285.45639999999997</v>
      </c>
      <c r="M2770">
        <v>-0.9997743</v>
      </c>
      <c r="N2770">
        <v>0</v>
      </c>
      <c r="O2770">
        <v>1.308285E-2</v>
      </c>
      <c r="P2770">
        <v>-0.98509480000000005</v>
      </c>
      <c r="Q2770">
        <v>0.167956299999999</v>
      </c>
      <c r="R2770">
        <v>-3.7132890000000002E-2</v>
      </c>
      <c r="S2770">
        <v>-3.0737299999999999</v>
      </c>
      <c r="T2770">
        <v>-0.29242899999999999</v>
      </c>
      <c r="U2770">
        <v>-0.55929569999999995</v>
      </c>
      <c r="V2770">
        <v>-5.0205510000000002E-2</v>
      </c>
      <c r="W2770">
        <v>0.18436810000000001</v>
      </c>
      <c r="X2770">
        <v>0.9815741</v>
      </c>
      <c r="Y2770">
        <v>-0.19098580000000001</v>
      </c>
      <c r="Z2770">
        <v>-1.022356E-2</v>
      </c>
      <c r="AA2770">
        <v>0.98153950000000001</v>
      </c>
      <c r="AB2770">
        <v>43</v>
      </c>
      <c r="AC2770">
        <v>-11.237699999999901</v>
      </c>
      <c r="AD2770">
        <v>-1.1110607442567</v>
      </c>
      <c r="AE2770">
        <v>-2.1303999999999998</v>
      </c>
      <c r="AF2770">
        <v>-2.2559720823707998</v>
      </c>
      <c r="AG2770">
        <v>-1.1110607442567</v>
      </c>
      <c r="AH2770">
        <v>11.1040845547817</v>
      </c>
      <c r="AI2770">
        <v>95.600264370125402</v>
      </c>
      <c r="AJ2770">
        <v>101.48424559451</v>
      </c>
      <c r="AK2770">
        <v>11.385278205367101</v>
      </c>
      <c r="AL2770">
        <v>79.375705991445798</v>
      </c>
      <c r="AM2770">
        <v>92.928010517920399</v>
      </c>
      <c r="AN2770">
        <v>0.999999951661388</v>
      </c>
    </row>
    <row r="2771" spans="1:40" x14ac:dyDescent="0.25">
      <c r="A2771" t="str">
        <f>"20190312164042305"</f>
        <v>20190312164042305</v>
      </c>
      <c r="B2771" t="str">
        <f>"1552380042298795"</f>
        <v>1552380042298795</v>
      </c>
      <c r="C2771" t="s">
        <v>40</v>
      </c>
      <c r="D2771">
        <v>5.323429</v>
      </c>
      <c r="E2771">
        <v>0.4549686</v>
      </c>
      <c r="F2771" t="s">
        <v>48</v>
      </c>
      <c r="G2771">
        <v>-469.33499999999998</v>
      </c>
      <c r="H2771" s="1">
        <v>3.5192690000000001E-6</v>
      </c>
      <c r="I2771">
        <v>282.5926</v>
      </c>
      <c r="J2771">
        <v>-452.43779999999998</v>
      </c>
      <c r="K2771">
        <v>1.1111329999999999</v>
      </c>
      <c r="L2771">
        <v>285.4615</v>
      </c>
      <c r="M2771">
        <v>-0.99977059999999995</v>
      </c>
      <c r="N2771">
        <v>0</v>
      </c>
      <c r="O2771">
        <v>1.271866E-2</v>
      </c>
      <c r="P2771">
        <v>-0.98482639999999999</v>
      </c>
      <c r="Q2771">
        <v>0.16926279999999999</v>
      </c>
      <c r="R2771">
        <v>-3.83053E-2</v>
      </c>
      <c r="S2771">
        <v>-3.0598139999999998</v>
      </c>
      <c r="T2771">
        <v>-0.19639490000000001</v>
      </c>
      <c r="U2771">
        <v>-0.50622559999999905</v>
      </c>
      <c r="V2771">
        <v>-5.102023E-2</v>
      </c>
      <c r="W2771">
        <v>0.18615110000000001</v>
      </c>
      <c r="X2771">
        <v>0.98119559999999995</v>
      </c>
      <c r="Y2771">
        <v>-0.17538419999999999</v>
      </c>
      <c r="Z2771">
        <v>-6.3952490000000004E-3</v>
      </c>
      <c r="AA2771">
        <v>0.98447929999999995</v>
      </c>
      <c r="AB2771">
        <v>42</v>
      </c>
      <c r="AC2771">
        <v>-16.897199999999899</v>
      </c>
      <c r="AD2771">
        <v>-1.1111294807309999</v>
      </c>
      <c r="AE2771">
        <v>-2.8688999999999898</v>
      </c>
      <c r="AF2771">
        <v>-3.0707034312436599</v>
      </c>
      <c r="AG2771">
        <v>-1.1111294807309999</v>
      </c>
      <c r="AH2771">
        <v>16.7887759640623</v>
      </c>
      <c r="AI2771">
        <v>93.724863965293295</v>
      </c>
      <c r="AJ2771">
        <v>100.364955062295</v>
      </c>
      <c r="AK2771">
        <v>17.103415642995898</v>
      </c>
      <c r="AL2771">
        <v>79.271749118806994</v>
      </c>
      <c r="AM2771">
        <v>92.976586419659597</v>
      </c>
      <c r="AN2771">
        <v>1.00000005067991</v>
      </c>
    </row>
    <row r="2772" spans="1:40" x14ac:dyDescent="0.25">
      <c r="A2772" t="str">
        <f>"20190312164042329"</f>
        <v>20190312164042329</v>
      </c>
      <c r="B2772" t="str">
        <f>"1552380042319292"</f>
        <v>1552380042319292</v>
      </c>
      <c r="C2772" t="s">
        <v>40</v>
      </c>
      <c r="D2772">
        <v>5.4954929999999997</v>
      </c>
      <c r="E2772">
        <v>0.45526719999999998</v>
      </c>
      <c r="F2772" t="s">
        <v>46</v>
      </c>
      <c r="G2772">
        <v>-472.1857</v>
      </c>
      <c r="H2772" s="1">
        <v>5.4374279999999997E-6</v>
      </c>
      <c r="I2772">
        <v>282.24369999999999</v>
      </c>
      <c r="J2772">
        <v>-452.86169999999998</v>
      </c>
      <c r="K2772">
        <v>1.1111960000000001</v>
      </c>
      <c r="L2772">
        <v>285.4665</v>
      </c>
      <c r="M2772">
        <v>-0.99976699999999996</v>
      </c>
      <c r="N2772">
        <v>0</v>
      </c>
      <c r="O2772">
        <v>1.234612E-2</v>
      </c>
      <c r="P2772">
        <v>-0.98478659999999996</v>
      </c>
      <c r="Q2772">
        <v>0.16915820000000001</v>
      </c>
      <c r="R2772">
        <v>-3.9761129999999999E-2</v>
      </c>
      <c r="S2772">
        <v>-3.0563959999999999</v>
      </c>
      <c r="T2772">
        <v>-0.1719704</v>
      </c>
      <c r="U2772">
        <v>-0.49801640000000003</v>
      </c>
      <c r="V2772">
        <v>-5.2110490000000002E-2</v>
      </c>
      <c r="W2772">
        <v>0.18650849999999999</v>
      </c>
      <c r="X2772">
        <v>0.98107029999999995</v>
      </c>
      <c r="Y2772">
        <v>-0.17271120000000001</v>
      </c>
      <c r="Z2772">
        <v>-5.5131349999999997E-3</v>
      </c>
      <c r="AA2772">
        <v>0.98495710000000003</v>
      </c>
      <c r="AB2772">
        <v>42</v>
      </c>
      <c r="AC2772">
        <v>-19.324000000000002</v>
      </c>
      <c r="AD2772">
        <v>-1.11119056257199</v>
      </c>
      <c r="AE2772">
        <v>-3.2227999999999999</v>
      </c>
      <c r="AF2772">
        <v>-3.45006881331236</v>
      </c>
      <c r="AG2772">
        <v>-1.11119056257199</v>
      </c>
      <c r="AH2772">
        <v>19.220895352925101</v>
      </c>
      <c r="AI2772">
        <v>93.256744023983799</v>
      </c>
      <c r="AJ2772">
        <v>100.17598595342</v>
      </c>
      <c r="AK2772">
        <v>19.5596660874116</v>
      </c>
      <c r="AL2772">
        <v>79.250905270991893</v>
      </c>
      <c r="AM2772">
        <v>93.040463075410798</v>
      </c>
      <c r="AN2772">
        <v>0.99999992864118703</v>
      </c>
    </row>
    <row r="2773" spans="1:40" x14ac:dyDescent="0.25">
      <c r="A2773" t="str">
        <f>"20190312164042351"</f>
        <v>20190312164042351</v>
      </c>
      <c r="B2773" t="str">
        <f>"1552380042348571"</f>
        <v>1552380042348571</v>
      </c>
      <c r="C2773" t="s">
        <v>40</v>
      </c>
      <c r="D2773">
        <v>5.5004910000000002</v>
      </c>
      <c r="E2773">
        <v>0.45548749999999999</v>
      </c>
      <c r="F2773" t="s">
        <v>46</v>
      </c>
      <c r="G2773">
        <v>-473.55309999999997</v>
      </c>
      <c r="H2773" s="1">
        <v>4.8165829999999999E-6</v>
      </c>
      <c r="I2773">
        <v>282.07850000000002</v>
      </c>
      <c r="J2773">
        <v>-453.28390000000002</v>
      </c>
      <c r="K2773">
        <v>1.111229</v>
      </c>
      <c r="L2773">
        <v>285.47129999999999</v>
      </c>
      <c r="M2773">
        <v>-0.99976390000000004</v>
      </c>
      <c r="N2773">
        <v>0</v>
      </c>
      <c r="O2773">
        <v>1.1970389999999999E-2</v>
      </c>
      <c r="P2773">
        <v>-0.98491850000000003</v>
      </c>
      <c r="Q2773">
        <v>0.168019</v>
      </c>
      <c r="R2773">
        <v>-4.1300049999999998E-2</v>
      </c>
      <c r="S2773">
        <v>-3.0543819999999999</v>
      </c>
      <c r="T2773">
        <v>-0.1640296</v>
      </c>
      <c r="U2773">
        <v>-0.50012209999999901</v>
      </c>
      <c r="V2773">
        <v>-5.3280790000000001E-2</v>
      </c>
      <c r="W2773">
        <v>0.18579129999999999</v>
      </c>
      <c r="X2773">
        <v>0.9811436</v>
      </c>
      <c r="Y2773">
        <v>-0.1731309</v>
      </c>
      <c r="Z2773">
        <v>-5.2532119999999898E-3</v>
      </c>
      <c r="AA2773">
        <v>0.9848848</v>
      </c>
      <c r="AB2773">
        <v>42</v>
      </c>
      <c r="AC2773">
        <v>-20.269199999999898</v>
      </c>
      <c r="AD2773">
        <v>-1.111224183417</v>
      </c>
      <c r="AE2773">
        <v>-3.3927999999999598</v>
      </c>
      <c r="AF2773">
        <v>-3.6246297240686101</v>
      </c>
      <c r="AG2773">
        <v>-1.111224183417</v>
      </c>
      <c r="AH2773">
        <v>20.1681622871148</v>
      </c>
      <c r="AI2773">
        <v>93.104058994105102</v>
      </c>
      <c r="AJ2773">
        <v>100.18845452926899</v>
      </c>
      <c r="AK2773">
        <v>20.521392005948599</v>
      </c>
      <c r="AL2773">
        <v>79.292729673690701</v>
      </c>
      <c r="AM2773">
        <v>93.108381706552095</v>
      </c>
      <c r="AN2773">
        <v>1.00000000677983</v>
      </c>
    </row>
    <row r="2774" spans="1:40" x14ac:dyDescent="0.25">
      <c r="A2774" t="str">
        <f>"20190312164042372"</f>
        <v>20190312164042372</v>
      </c>
      <c r="B2774" t="str">
        <f>"1552380042369071"</f>
        <v>1552380042369071</v>
      </c>
      <c r="C2774" t="s">
        <v>40</v>
      </c>
      <c r="D2774">
        <v>5.6025239999999998</v>
      </c>
      <c r="E2774">
        <v>0.45567089999999999</v>
      </c>
      <c r="F2774" t="s">
        <v>46</v>
      </c>
      <c r="G2774">
        <v>-474.19310000000002</v>
      </c>
      <c r="H2774" s="1">
        <v>4.5278339999999998E-6</v>
      </c>
      <c r="I2774">
        <v>282.02170000000001</v>
      </c>
      <c r="J2774">
        <v>-453.69490000000002</v>
      </c>
      <c r="K2774">
        <v>1.111246</v>
      </c>
      <c r="L2774">
        <v>285.47579999999999</v>
      </c>
      <c r="M2774">
        <v>-0.99976160000000003</v>
      </c>
      <c r="N2774">
        <v>0</v>
      </c>
      <c r="O2774">
        <v>1.159487E-2</v>
      </c>
      <c r="P2774">
        <v>-0.98506050000000001</v>
      </c>
      <c r="Q2774">
        <v>0.1667362</v>
      </c>
      <c r="R2774">
        <v>-4.3070990000000003E-2</v>
      </c>
      <c r="S2774">
        <v>-3.0524900000000001</v>
      </c>
      <c r="T2774">
        <v>-0.16222600000000001</v>
      </c>
      <c r="U2774">
        <v>-0.50360109999999902</v>
      </c>
      <c r="V2774">
        <v>-5.4682740000000001E-2</v>
      </c>
      <c r="W2774">
        <v>0.18486720000000001</v>
      </c>
      <c r="X2774">
        <v>0.98124100000000003</v>
      </c>
      <c r="Y2774">
        <v>-0.17395620000000001</v>
      </c>
      <c r="Z2774">
        <v>-5.2001759999999999E-3</v>
      </c>
      <c r="AA2774">
        <v>0.9847397</v>
      </c>
      <c r="AB2774">
        <v>42</v>
      </c>
      <c r="AC2774">
        <v>-20.498200000000001</v>
      </c>
      <c r="AD2774">
        <v>-1.111241472166</v>
      </c>
      <c r="AE2774">
        <v>-3.45409999999998</v>
      </c>
      <c r="AF2774">
        <v>-3.68106278960214</v>
      </c>
      <c r="AG2774">
        <v>-1.111241472166</v>
      </c>
      <c r="AH2774">
        <v>20.398470975786701</v>
      </c>
      <c r="AI2774">
        <v>93.068733701563403</v>
      </c>
      <c r="AJ2774">
        <v>100.229377414425</v>
      </c>
      <c r="AK2774">
        <v>20.757714205096502</v>
      </c>
      <c r="AL2774">
        <v>79.346609943375597</v>
      </c>
      <c r="AM2774">
        <v>93.189688203310894</v>
      </c>
      <c r="AN2774">
        <v>0.99999999188537303</v>
      </c>
    </row>
    <row r="2775" spans="1:40" x14ac:dyDescent="0.25">
      <c r="A2775" t="str">
        <f>"20190312164042395"</f>
        <v>20190312164042395</v>
      </c>
      <c r="B2775" t="str">
        <f>"1552380042388588"</f>
        <v>1552380042388588</v>
      </c>
      <c r="C2775" t="s">
        <v>40</v>
      </c>
      <c r="D2775">
        <v>5.3823189999999999</v>
      </c>
      <c r="E2775">
        <v>0.44836419999999999</v>
      </c>
      <c r="F2775" t="s">
        <v>46</v>
      </c>
      <c r="G2775">
        <v>-474.327</v>
      </c>
      <c r="H2775" s="1">
        <v>4.4702540000000002E-6</v>
      </c>
      <c r="I2775">
        <v>282.04239999999999</v>
      </c>
      <c r="J2775">
        <v>-454.11430000000001</v>
      </c>
      <c r="K2775">
        <v>1.1112649999999999</v>
      </c>
      <c r="L2775">
        <v>285.4803</v>
      </c>
      <c r="M2775">
        <v>-0.99976030000000005</v>
      </c>
      <c r="N2775">
        <v>0</v>
      </c>
      <c r="O2775">
        <v>1.119654E-2</v>
      </c>
      <c r="P2775">
        <v>-0.98508899999999999</v>
      </c>
      <c r="Q2775">
        <v>0.16597619999999999</v>
      </c>
      <c r="R2775">
        <v>-4.5295540000000002E-2</v>
      </c>
      <c r="S2775">
        <v>-3.0511780000000002</v>
      </c>
      <c r="T2775">
        <v>-0.1643357</v>
      </c>
      <c r="U2775">
        <v>-0.50775150000000002</v>
      </c>
      <c r="V2775">
        <v>-5.6516499999999997E-2</v>
      </c>
      <c r="W2775">
        <v>0.18441779999999999</v>
      </c>
      <c r="X2775">
        <v>0.98122169999999997</v>
      </c>
      <c r="Y2775">
        <v>-0.1749279</v>
      </c>
      <c r="Z2775">
        <v>-5.2740340000000004E-3</v>
      </c>
      <c r="AA2775">
        <v>0.98456710000000003</v>
      </c>
      <c r="AB2775">
        <v>42</v>
      </c>
      <c r="AC2775">
        <v>-20.212699999999899</v>
      </c>
      <c r="AD2775">
        <v>-1.1112605297460001</v>
      </c>
      <c r="AE2775">
        <v>-3.4379000000000102</v>
      </c>
      <c r="AF2775">
        <v>-3.6533047250534301</v>
      </c>
      <c r="AG2775">
        <v>-1.1112605297460001</v>
      </c>
      <c r="AH2775">
        <v>20.113846050285801</v>
      </c>
      <c r="AI2775">
        <v>93.111488010680901</v>
      </c>
      <c r="AJ2775">
        <v>100.294483212316</v>
      </c>
      <c r="AK2775">
        <v>20.473112570238701</v>
      </c>
      <c r="AL2775">
        <v>79.372809575437202</v>
      </c>
      <c r="AM2775">
        <v>93.296485522426394</v>
      </c>
      <c r="AN2775">
        <v>1.00000003213998</v>
      </c>
    </row>
    <row r="2776" spans="1:40" x14ac:dyDescent="0.25">
      <c r="A2776" t="str">
        <f>"20190312164042417"</f>
        <v>20190312164042417</v>
      </c>
      <c r="B2776" t="str">
        <f>"1552380042409084"</f>
        <v>1552380042409084</v>
      </c>
      <c r="C2776" t="s">
        <v>40</v>
      </c>
      <c r="D2776">
        <v>5.4180830000000002</v>
      </c>
      <c r="E2776">
        <v>0.44952930000000002</v>
      </c>
      <c r="F2776" t="s">
        <v>48</v>
      </c>
      <c r="G2776">
        <v>-469.31720000000001</v>
      </c>
      <c r="H2776" s="1">
        <v>3.508447E-6</v>
      </c>
      <c r="I2776">
        <v>282.62439999999998</v>
      </c>
      <c r="J2776">
        <v>-454.51729999999998</v>
      </c>
      <c r="K2776">
        <v>1.1112850000000001</v>
      </c>
      <c r="L2776">
        <v>285.48439999999999</v>
      </c>
      <c r="M2776">
        <v>-0.99975930000000002</v>
      </c>
      <c r="N2776">
        <v>0</v>
      </c>
      <c r="O2776">
        <v>1.079369E-2</v>
      </c>
      <c r="P2776">
        <v>-0.9851145</v>
      </c>
      <c r="Q2776">
        <v>0.16531019999999999</v>
      </c>
      <c r="R2776">
        <v>-4.7141059999999999E-2</v>
      </c>
      <c r="S2776">
        <v>-3.0566409999999999</v>
      </c>
      <c r="T2776">
        <v>-0.2234266</v>
      </c>
      <c r="U2776">
        <v>-0.57418819999999904</v>
      </c>
      <c r="V2776">
        <v>-5.7968859999999997E-2</v>
      </c>
      <c r="W2776">
        <v>0.18402550000000001</v>
      </c>
      <c r="X2776">
        <v>0.98121060000000004</v>
      </c>
      <c r="Y2776">
        <v>-0.1946898</v>
      </c>
      <c r="Z2776">
        <v>-7.8260689999999997E-3</v>
      </c>
      <c r="AA2776">
        <v>0.98083359999999997</v>
      </c>
      <c r="AB2776">
        <v>42</v>
      </c>
      <c r="AC2776">
        <v>-14.799899999999999</v>
      </c>
      <c r="AD2776">
        <v>-1.111281491553</v>
      </c>
      <c r="AE2776">
        <v>-2.8600000000000101</v>
      </c>
      <c r="AF2776">
        <v>-3.00328484336965</v>
      </c>
      <c r="AG2776">
        <v>-1.111281491553</v>
      </c>
      <c r="AH2776">
        <v>14.688329323350899</v>
      </c>
      <c r="AI2776">
        <v>94.239232062279996</v>
      </c>
      <c r="AJ2776">
        <v>101.55583938889001</v>
      </c>
      <c r="AK2776">
        <v>15.033352411059001</v>
      </c>
      <c r="AL2776">
        <v>79.395677845731797</v>
      </c>
      <c r="AM2776">
        <v>93.381042641861498</v>
      </c>
      <c r="AN2776">
        <v>1.0000000074661499</v>
      </c>
    </row>
    <row r="2777" spans="1:40" x14ac:dyDescent="0.25">
      <c r="A2777" t="str">
        <f>"20190312164042440"</f>
        <v>20190312164042440</v>
      </c>
      <c r="B2777" t="str">
        <f>"1552380042428603"</f>
        <v>1552380042428603</v>
      </c>
      <c r="C2777" t="s">
        <v>40</v>
      </c>
      <c r="D2777">
        <v>5.6495850000000001</v>
      </c>
      <c r="E2777">
        <v>0.45119759999999998</v>
      </c>
      <c r="F2777" t="s">
        <v>46</v>
      </c>
      <c r="G2777">
        <v>-470.40699999999998</v>
      </c>
      <c r="H2777" s="1">
        <v>6.2501999999999999E-6</v>
      </c>
      <c r="I2777">
        <v>282.5181</v>
      </c>
      <c r="J2777">
        <v>-454.92910000000001</v>
      </c>
      <c r="K2777">
        <v>1.111316</v>
      </c>
      <c r="L2777">
        <v>285.48840000000001</v>
      </c>
      <c r="M2777">
        <v>-0.99975899999999995</v>
      </c>
      <c r="N2777">
        <v>0</v>
      </c>
      <c r="O2777">
        <v>1.0343410000000001E-2</v>
      </c>
      <c r="P2777">
        <v>-0.98531550000000001</v>
      </c>
      <c r="Q2777">
        <v>0.16366429999999901</v>
      </c>
      <c r="R2777">
        <v>-4.8657890000000002E-2</v>
      </c>
      <c r="S2777">
        <v>-3.0538940000000001</v>
      </c>
      <c r="T2777">
        <v>-0.21358060000000001</v>
      </c>
      <c r="U2777">
        <v>-0.57009889999999996</v>
      </c>
      <c r="V2777">
        <v>-5.9052019999999997E-2</v>
      </c>
      <c r="W2777">
        <v>0.18264320000000001</v>
      </c>
      <c r="X2777">
        <v>0.98140419999999995</v>
      </c>
      <c r="Y2777">
        <v>-0.19318830000000001</v>
      </c>
      <c r="Z2777">
        <v>-7.40634E-3</v>
      </c>
      <c r="AA2777">
        <v>0.98113379999999994</v>
      </c>
      <c r="AB2777">
        <v>42</v>
      </c>
      <c r="AC2777">
        <v>-15.477899999999901</v>
      </c>
      <c r="AD2777">
        <v>-1.1113097498</v>
      </c>
      <c r="AE2777">
        <v>-2.9702999999999999</v>
      </c>
      <c r="AF2777">
        <v>-3.1147783565525202</v>
      </c>
      <c r="AG2777">
        <v>-1.1113097498</v>
      </c>
      <c r="AH2777">
        <v>15.3699221843662</v>
      </c>
      <c r="AI2777">
        <v>94.0534144403574</v>
      </c>
      <c r="AJ2777">
        <v>101.456079676505</v>
      </c>
      <c r="AK2777">
        <v>15.721684436596499</v>
      </c>
      <c r="AL2777">
        <v>79.476242643545504</v>
      </c>
      <c r="AM2777">
        <v>93.443389664331406</v>
      </c>
      <c r="AN2777">
        <v>0.99999994167497797</v>
      </c>
    </row>
    <row r="2778" spans="1:40" x14ac:dyDescent="0.25">
      <c r="A2778" t="str">
        <f>"20190312164042462"</f>
        <v>20190312164042462</v>
      </c>
      <c r="B2778" t="str">
        <f>"1552380042458860"</f>
        <v>1552380042458860</v>
      </c>
      <c r="C2778" t="s">
        <v>40</v>
      </c>
      <c r="D2778">
        <v>5.487285</v>
      </c>
      <c r="E2778">
        <v>0.45186009999999999</v>
      </c>
      <c r="F2778" t="s">
        <v>46</v>
      </c>
      <c r="G2778">
        <v>-471.30259999999998</v>
      </c>
      <c r="H2778" s="1">
        <v>5.8493710000000001E-6</v>
      </c>
      <c r="I2778">
        <v>282.47620000000001</v>
      </c>
      <c r="J2778">
        <v>-455.34300000000002</v>
      </c>
      <c r="K2778">
        <v>1.1113679999999999</v>
      </c>
      <c r="L2778">
        <v>285.49220000000003</v>
      </c>
      <c r="M2778">
        <v>-0.99975910000000001</v>
      </c>
      <c r="N2778">
        <v>0</v>
      </c>
      <c r="O2778">
        <v>9.8338479999999992E-3</v>
      </c>
      <c r="P2778">
        <v>-0.98556849999999996</v>
      </c>
      <c r="Q2778">
        <v>0.16167190000000001</v>
      </c>
      <c r="R2778">
        <v>-5.0169390000000001E-2</v>
      </c>
      <c r="S2778">
        <v>-3.051361</v>
      </c>
      <c r="T2778">
        <v>-0.20710310000000001</v>
      </c>
      <c r="U2778">
        <v>-0.56134030000000001</v>
      </c>
      <c r="V2778">
        <v>-6.0079239999999999E-2</v>
      </c>
      <c r="W2778">
        <v>0.180897</v>
      </c>
      <c r="X2778">
        <v>0.98166529999999996</v>
      </c>
      <c r="Y2778">
        <v>-0.19014729999999999</v>
      </c>
      <c r="Z2778">
        <v>-7.0534289999999999E-3</v>
      </c>
      <c r="AA2778">
        <v>0.9817302</v>
      </c>
      <c r="AB2778">
        <v>41</v>
      </c>
      <c r="AC2778">
        <v>-15.959599999999901</v>
      </c>
      <c r="AD2778">
        <v>-1.1113621506289999</v>
      </c>
      <c r="AE2778">
        <v>-3.01600000000002</v>
      </c>
      <c r="AF2778">
        <v>-3.1580427723689999</v>
      </c>
      <c r="AG2778">
        <v>-1.1113621506289999</v>
      </c>
      <c r="AH2778">
        <v>15.854931192579301</v>
      </c>
      <c r="AI2778">
        <v>93.932624749669202</v>
      </c>
      <c r="AJ2778">
        <v>101.26494997062601</v>
      </c>
      <c r="AK2778">
        <v>16.204542668751401</v>
      </c>
      <c r="AL2778">
        <v>79.577988135950406</v>
      </c>
      <c r="AM2778">
        <v>93.502210687931793</v>
      </c>
      <c r="AN2778">
        <v>1.0000000004560301</v>
      </c>
    </row>
    <row r="2779" spans="1:40" x14ac:dyDescent="0.25">
      <c r="A2779" t="str">
        <f>"20190312164042485"</f>
        <v>20190312164042485</v>
      </c>
      <c r="B2779" t="str">
        <f>"1552380042478380"</f>
        <v>1552380042478380</v>
      </c>
      <c r="C2779" t="s">
        <v>40</v>
      </c>
      <c r="D2779">
        <v>5.5613780000000004</v>
      </c>
      <c r="E2779">
        <v>0.45139049999999997</v>
      </c>
      <c r="F2779" t="s">
        <v>46</v>
      </c>
      <c r="G2779">
        <v>-471.53530000000001</v>
      </c>
      <c r="H2779" s="1">
        <v>5.7494670000000003E-6</v>
      </c>
      <c r="I2779">
        <v>282.51400000000001</v>
      </c>
      <c r="J2779">
        <v>-455.76600000000002</v>
      </c>
      <c r="K2779">
        <v>1.111426</v>
      </c>
      <c r="L2779">
        <v>285.49579999999997</v>
      </c>
      <c r="M2779">
        <v>-0.99976019999999999</v>
      </c>
      <c r="N2779">
        <v>0</v>
      </c>
      <c r="O2779">
        <v>9.2508650000000005E-3</v>
      </c>
      <c r="P2779">
        <v>-0.98557479999999997</v>
      </c>
      <c r="Q2779">
        <v>0.16104579999999999</v>
      </c>
      <c r="R2779">
        <v>-5.202727E-2</v>
      </c>
      <c r="S2779">
        <v>-3.0497130000000001</v>
      </c>
      <c r="T2779">
        <v>-0.20931710000000001</v>
      </c>
      <c r="U2779">
        <v>-0.56091309999999905</v>
      </c>
      <c r="V2779">
        <v>-6.1383720000000003E-2</v>
      </c>
      <c r="W2779">
        <v>0.18049270000000001</v>
      </c>
      <c r="X2779">
        <v>0.98165899999999995</v>
      </c>
      <c r="Y2779">
        <v>-0.1895289</v>
      </c>
      <c r="Z2779">
        <v>-7.0718530000000003E-3</v>
      </c>
      <c r="AA2779">
        <v>0.98184970000000005</v>
      </c>
      <c r="AB2779">
        <v>41</v>
      </c>
      <c r="AC2779">
        <v>-15.769299999999999</v>
      </c>
      <c r="AD2779">
        <v>-1.111420250533</v>
      </c>
      <c r="AE2779">
        <v>-2.9817999999999598</v>
      </c>
      <c r="AF2779">
        <v>-3.1126526324880501</v>
      </c>
      <c r="AG2779">
        <v>-1.111420250533</v>
      </c>
      <c r="AH2779">
        <v>15.665902370267</v>
      </c>
      <c r="AI2779">
        <v>93.980507672267095</v>
      </c>
      <c r="AJ2779">
        <v>101.237724296046</v>
      </c>
      <c r="AK2779">
        <v>16.010757585403798</v>
      </c>
      <c r="AL2779">
        <v>79.601540338130405</v>
      </c>
      <c r="AM2779">
        <v>93.578080436271307</v>
      </c>
      <c r="AN2779">
        <v>0.99999998405766399</v>
      </c>
    </row>
    <row r="2780" spans="1:40" x14ac:dyDescent="0.25">
      <c r="A2780" t="str">
        <f>"20190312164042506"</f>
        <v>20190312164042506</v>
      </c>
      <c r="B2780" t="str">
        <f>"1552380042498875"</f>
        <v>1552380042498875</v>
      </c>
      <c r="C2780" t="s">
        <v>40</v>
      </c>
      <c r="D2780">
        <v>5.6611419999999999</v>
      </c>
      <c r="E2780">
        <v>0.45106269999999998</v>
      </c>
      <c r="F2780" t="s">
        <v>46</v>
      </c>
      <c r="G2780">
        <v>-470.9932</v>
      </c>
      <c r="H2780" s="1">
        <v>6.001599E-6</v>
      </c>
      <c r="I2780">
        <v>282.64800000000002</v>
      </c>
      <c r="J2780">
        <v>-456.16</v>
      </c>
      <c r="K2780">
        <v>1.1114999999999999</v>
      </c>
      <c r="L2780">
        <v>285.49880000000002</v>
      </c>
      <c r="M2780">
        <v>-0.99976180000000003</v>
      </c>
      <c r="N2780">
        <v>0</v>
      </c>
      <c r="O2780">
        <v>8.6293559999999995E-3</v>
      </c>
      <c r="P2780">
        <v>-0.98532489999999995</v>
      </c>
      <c r="Q2780">
        <v>0.1621908</v>
      </c>
      <c r="R2780">
        <v>-5.3190979999999999E-2</v>
      </c>
      <c r="S2780">
        <v>-3.0501710000000002</v>
      </c>
      <c r="T2780">
        <v>-0.22262970000000001</v>
      </c>
      <c r="U2780">
        <v>-0.57043459999999901</v>
      </c>
      <c r="V2780">
        <v>-6.196049E-2</v>
      </c>
      <c r="W2780">
        <v>0.18181610000000001</v>
      </c>
      <c r="X2780">
        <v>0.98137850000000004</v>
      </c>
      <c r="Y2780">
        <v>-0.19179189999999999</v>
      </c>
      <c r="Z2780">
        <v>-7.5541080000000004E-3</v>
      </c>
      <c r="AA2780">
        <v>0.98140660000000002</v>
      </c>
      <c r="AB2780">
        <v>41</v>
      </c>
      <c r="AC2780">
        <v>-14.8331999999999</v>
      </c>
      <c r="AD2780">
        <v>-1.1114939984009999</v>
      </c>
      <c r="AE2780">
        <v>-2.85080000000004</v>
      </c>
      <c r="AF2780">
        <v>-2.9626778381802898</v>
      </c>
      <c r="AG2780">
        <v>-1.1114939984009999</v>
      </c>
      <c r="AH2780">
        <v>14.728289454438199</v>
      </c>
      <c r="AI2780">
        <v>94.231296652202701</v>
      </c>
      <c r="AJ2780">
        <v>101.37358248926699</v>
      </c>
      <c r="AK2780">
        <v>15.064374833860199</v>
      </c>
      <c r="AL2780">
        <v>79.524439375996195</v>
      </c>
      <c r="AM2780">
        <v>93.612641552541504</v>
      </c>
      <c r="AN2780">
        <v>0.99999997840124899</v>
      </c>
    </row>
    <row r="2781" spans="1:40" x14ac:dyDescent="0.25">
      <c r="A2781" t="str">
        <f>"20190312164042530"</f>
        <v>20190312164042530</v>
      </c>
      <c r="B2781" t="str">
        <f>"1552380042519372"</f>
        <v>1552380042519372</v>
      </c>
      <c r="C2781" t="s">
        <v>40</v>
      </c>
      <c r="D2781">
        <v>5.5770780000000002</v>
      </c>
      <c r="E2781">
        <v>0.45027050000000002</v>
      </c>
      <c r="F2781" t="s">
        <v>46</v>
      </c>
      <c r="G2781">
        <v>-471.71319999999997</v>
      </c>
      <c r="H2781" s="1">
        <v>5.6748149999999996E-6</v>
      </c>
      <c r="I2781">
        <v>282.56209999999999</v>
      </c>
      <c r="J2781">
        <v>-456.57220000000001</v>
      </c>
      <c r="K2781">
        <v>1.111602</v>
      </c>
      <c r="L2781">
        <v>285.5016</v>
      </c>
      <c r="M2781">
        <v>-0.99976419999999999</v>
      </c>
      <c r="N2781">
        <v>0</v>
      </c>
      <c r="O2781">
        <v>7.8633179999999993E-3</v>
      </c>
      <c r="P2781">
        <v>-0.98520229999999998</v>
      </c>
      <c r="Q2781">
        <v>0.1625229</v>
      </c>
      <c r="R2781">
        <v>-5.4428079999999997E-2</v>
      </c>
      <c r="S2781">
        <v>-3.0494379999999999</v>
      </c>
      <c r="T2781">
        <v>-0.21792539999999999</v>
      </c>
      <c r="U2781">
        <v>-0.57577509999999998</v>
      </c>
      <c r="V2781">
        <v>-6.24800999999999E-2</v>
      </c>
      <c r="W2781">
        <v>0.18231639999999999</v>
      </c>
      <c r="X2781">
        <v>0.98125269999999998</v>
      </c>
      <c r="Y2781">
        <v>-0.19276360000000001</v>
      </c>
      <c r="Z2781">
        <v>-7.3755969999999898E-3</v>
      </c>
      <c r="AA2781">
        <v>0.98121749999999996</v>
      </c>
      <c r="AB2781">
        <v>41</v>
      </c>
      <c r="AC2781">
        <v>-15.140999999999901</v>
      </c>
      <c r="AD2781">
        <v>-1.1115963251850001</v>
      </c>
      <c r="AE2781">
        <v>-2.9394999999999998</v>
      </c>
      <c r="AF2781">
        <v>-3.0426877104085799</v>
      </c>
      <c r="AG2781">
        <v>-1.1115963251850001</v>
      </c>
      <c r="AH2781">
        <v>15.0392959273141</v>
      </c>
      <c r="AI2781">
        <v>94.143554631201596</v>
      </c>
      <c r="AJ2781">
        <v>101.437459661387</v>
      </c>
      <c r="AK2781">
        <v>15.384213235735</v>
      </c>
      <c r="AL2781">
        <v>79.4952867179978</v>
      </c>
      <c r="AM2781">
        <v>93.643322235370803</v>
      </c>
      <c r="AN2781">
        <v>0.99999994693112804</v>
      </c>
    </row>
    <row r="2782" spans="1:40" x14ac:dyDescent="0.25">
      <c r="A2782" t="str">
        <f>"20190312164042552"</f>
        <v>20190312164042552</v>
      </c>
      <c r="B2782" t="str">
        <f>"1552380042548652"</f>
        <v>1552380042548652</v>
      </c>
      <c r="C2782" t="s">
        <v>40</v>
      </c>
      <c r="D2782">
        <v>5.501112</v>
      </c>
      <c r="E2782">
        <v>0.44998569999999999</v>
      </c>
      <c r="F2782" t="s">
        <v>46</v>
      </c>
      <c r="G2782">
        <v>-471.83530000000002</v>
      </c>
      <c r="H2782" s="1">
        <v>5.6208529999999996E-6</v>
      </c>
      <c r="I2782">
        <v>282.56439999999998</v>
      </c>
      <c r="J2782">
        <v>-456.97379999999998</v>
      </c>
      <c r="K2782">
        <v>1.111723</v>
      </c>
      <c r="L2782">
        <v>285.50389999999999</v>
      </c>
      <c r="M2782">
        <v>-0.99976750000000003</v>
      </c>
      <c r="N2782">
        <v>0</v>
      </c>
      <c r="O2782">
        <v>6.9693929999999999E-3</v>
      </c>
      <c r="P2782">
        <v>-0.9852417</v>
      </c>
      <c r="Q2782">
        <v>0.161777799999999</v>
      </c>
      <c r="R2782">
        <v>-5.5921430000000001E-2</v>
      </c>
      <c r="S2782">
        <v>-3.049255</v>
      </c>
      <c r="T2782">
        <v>-0.22207440000000001</v>
      </c>
      <c r="U2782">
        <v>-0.58679199999999998</v>
      </c>
      <c r="V2782">
        <v>-6.3140249999999995E-2</v>
      </c>
      <c r="W2782">
        <v>0.18172840000000001</v>
      </c>
      <c r="X2782">
        <v>0.98131950000000001</v>
      </c>
      <c r="Y2782">
        <v>-0.19529450000000001</v>
      </c>
      <c r="Z2782">
        <v>-7.5403369999999898E-3</v>
      </c>
      <c r="AA2782">
        <v>0.98071560000000002</v>
      </c>
      <c r="AB2782">
        <v>41</v>
      </c>
      <c r="AC2782">
        <v>-14.861499999999999</v>
      </c>
      <c r="AD2782">
        <v>-1.1117173791470001</v>
      </c>
      <c r="AE2782">
        <v>-2.9394999999999998</v>
      </c>
      <c r="AF2782">
        <v>-3.0267264406363199</v>
      </c>
      <c r="AG2782">
        <v>-1.1117173791470001</v>
      </c>
      <c r="AH2782">
        <v>14.7611572316336</v>
      </c>
      <c r="AI2782">
        <v>94.219562431950706</v>
      </c>
      <c r="AJ2782">
        <v>101.587693488692</v>
      </c>
      <c r="AK2782">
        <v>15.1092273559753</v>
      </c>
      <c r="AL2782">
        <v>79.529548851339101</v>
      </c>
      <c r="AM2782">
        <v>93.681461461807899</v>
      </c>
      <c r="AN2782">
        <v>0.99999993180843305</v>
      </c>
    </row>
    <row r="2783" spans="1:40" x14ac:dyDescent="0.25">
      <c r="A2783" t="str">
        <f>"20190312164042575"</f>
        <v>20190312164042575</v>
      </c>
      <c r="B2783" t="str">
        <f>"1552380042569151"</f>
        <v>1552380042569151</v>
      </c>
      <c r="C2783" t="s">
        <v>40</v>
      </c>
      <c r="D2783">
        <v>5.4310669999999996</v>
      </c>
      <c r="E2783">
        <v>0.45041310000000001</v>
      </c>
      <c r="F2783" t="s">
        <v>46</v>
      </c>
      <c r="G2783">
        <v>-472.3605</v>
      </c>
      <c r="H2783" s="1">
        <v>5.3828999999999997E-6</v>
      </c>
      <c r="I2783">
        <v>282.5068</v>
      </c>
      <c r="J2783">
        <v>-457.38569999999999</v>
      </c>
      <c r="K2783">
        <v>1.1118760000000001</v>
      </c>
      <c r="L2783">
        <v>285.50569999999999</v>
      </c>
      <c r="M2783">
        <v>-0.99977079999999996</v>
      </c>
      <c r="N2783">
        <v>0</v>
      </c>
      <c r="O2783">
        <v>5.8745809999999898E-3</v>
      </c>
      <c r="P2783">
        <v>-0.98530189999999995</v>
      </c>
      <c r="Q2783">
        <v>0.1608483</v>
      </c>
      <c r="R2783">
        <v>-5.751742E-2</v>
      </c>
      <c r="S2783">
        <v>-3.0473940000000002</v>
      </c>
      <c r="T2783">
        <v>-0.2201804</v>
      </c>
      <c r="U2783">
        <v>-0.59359740000000005</v>
      </c>
      <c r="V2783">
        <v>-6.3718540000000004E-2</v>
      </c>
      <c r="W2783">
        <v>0.1809519</v>
      </c>
      <c r="X2783">
        <v>0.98142569999999996</v>
      </c>
      <c r="Y2783">
        <v>-0.19645090000000001</v>
      </c>
      <c r="Z2783">
        <v>-7.4421330000000001E-3</v>
      </c>
      <c r="AA2783">
        <v>0.98048539999999995</v>
      </c>
      <c r="AB2783">
        <v>41</v>
      </c>
      <c r="AC2783">
        <v>-14.9748</v>
      </c>
      <c r="AD2783">
        <v>-1.1118706170999999</v>
      </c>
      <c r="AE2783">
        <v>-2.9988999999999901</v>
      </c>
      <c r="AF2783">
        <v>-3.0705623278754</v>
      </c>
      <c r="AG2783">
        <v>-1.1118706170999999</v>
      </c>
      <c r="AH2783">
        <v>14.8780607160363</v>
      </c>
      <c r="AI2783">
        <v>94.186001521219893</v>
      </c>
      <c r="AJ2783">
        <v>101.66108893637499</v>
      </c>
      <c r="AK2783">
        <v>15.232245400747701</v>
      </c>
      <c r="AL2783">
        <v>79.574790059083298</v>
      </c>
      <c r="AM2783">
        <v>93.714684410206502</v>
      </c>
      <c r="AN2783">
        <v>1.00000002353691</v>
      </c>
    </row>
    <row r="2784" spans="1:40" x14ac:dyDescent="0.25">
      <c r="A2784" t="str">
        <f>"20190312164042596"</f>
        <v>20190312164042596</v>
      </c>
      <c r="B2784" t="str">
        <f>"1552380042588668"</f>
        <v>1552380042588668</v>
      </c>
      <c r="C2784" t="s">
        <v>40</v>
      </c>
      <c r="D2784">
        <v>5.450914</v>
      </c>
      <c r="E2784">
        <v>0.44987339999999998</v>
      </c>
      <c r="F2784" t="s">
        <v>46</v>
      </c>
      <c r="G2784">
        <v>-472.93400000000003</v>
      </c>
      <c r="H2784" s="1">
        <v>5.1249919999999998E-6</v>
      </c>
      <c r="I2784">
        <v>282.46550000000002</v>
      </c>
      <c r="J2784">
        <v>-457.77260000000001</v>
      </c>
      <c r="K2784">
        <v>1.1120570000000001</v>
      </c>
      <c r="L2784">
        <v>285.5068</v>
      </c>
      <c r="M2784">
        <v>-0.9997741</v>
      </c>
      <c r="N2784">
        <v>0</v>
      </c>
      <c r="O2784">
        <v>4.6574479999999998E-3</v>
      </c>
      <c r="P2784">
        <v>-0.98511400000000005</v>
      </c>
      <c r="Q2784">
        <v>0.16130839999999999</v>
      </c>
      <c r="R2784">
        <v>-5.9416660000000003E-2</v>
      </c>
      <c r="S2784">
        <v>-3.045563</v>
      </c>
      <c r="T2784">
        <v>-0.21779100000000001</v>
      </c>
      <c r="U2784">
        <v>-0.59551999999999905</v>
      </c>
      <c r="V2784">
        <v>-6.4488799999999999E-2</v>
      </c>
      <c r="W2784">
        <v>0.1815329</v>
      </c>
      <c r="X2784">
        <v>0.98126800000000003</v>
      </c>
      <c r="Y2784">
        <v>-0.19597890000000001</v>
      </c>
      <c r="Z2784">
        <v>-7.2626089999999997E-3</v>
      </c>
      <c r="AA2784">
        <v>0.98058120000000004</v>
      </c>
      <c r="AB2784">
        <v>40</v>
      </c>
      <c r="AC2784">
        <v>-15.1614</v>
      </c>
      <c r="AD2784">
        <v>-1.112051875008</v>
      </c>
      <c r="AE2784">
        <v>-3.0412999999999699</v>
      </c>
      <c r="AF2784">
        <v>-3.0958844396824601</v>
      </c>
      <c r="AG2784">
        <v>-1.112051875008</v>
      </c>
      <c r="AH2784">
        <v>15.069133754488499</v>
      </c>
      <c r="AI2784">
        <v>94.134542702814898</v>
      </c>
      <c r="AJ2784">
        <v>101.60961524271001</v>
      </c>
      <c r="AK2784">
        <v>15.4240057036829</v>
      </c>
      <c r="AL2784">
        <v>79.540939765391201</v>
      </c>
      <c r="AM2784">
        <v>93.760063722477796</v>
      </c>
      <c r="AN2784">
        <v>0.99999994346592302</v>
      </c>
    </row>
    <row r="2785" spans="1:40" x14ac:dyDescent="0.25">
      <c r="A2785" t="str">
        <f>"20190312164042618"</f>
        <v>20190312164042618</v>
      </c>
      <c r="B2785" t="str">
        <f>"1552380042609164"</f>
        <v>1552380042609164</v>
      </c>
      <c r="C2785" t="s">
        <v>40</v>
      </c>
      <c r="D2785">
        <v>5.5845900000000004</v>
      </c>
      <c r="E2785">
        <v>0.44952559999999903</v>
      </c>
      <c r="F2785" t="s">
        <v>46</v>
      </c>
      <c r="G2785">
        <v>-473.2953</v>
      </c>
      <c r="H2785" s="1">
        <v>4.9609579999999997E-6</v>
      </c>
      <c r="I2785">
        <v>282.4221</v>
      </c>
      <c r="J2785">
        <v>-458.16379999999998</v>
      </c>
      <c r="K2785">
        <v>1.11226</v>
      </c>
      <c r="L2785">
        <v>285.50729999999999</v>
      </c>
      <c r="M2785">
        <v>-0.99977680000000002</v>
      </c>
      <c r="N2785">
        <v>0</v>
      </c>
      <c r="O2785">
        <v>3.2298790000000002E-3</v>
      </c>
      <c r="P2785">
        <v>-0.98458730000000005</v>
      </c>
      <c r="Q2785">
        <v>0.1636262</v>
      </c>
      <c r="R2785">
        <v>-6.176326E-2</v>
      </c>
      <c r="S2785">
        <v>-3.0445250000000001</v>
      </c>
      <c r="T2785">
        <v>-0.21811059999999999</v>
      </c>
      <c r="U2785">
        <v>-0.60501099999999997</v>
      </c>
      <c r="V2785">
        <v>-6.5513039999999995E-2</v>
      </c>
      <c r="W2785">
        <v>0.18394769999999999</v>
      </c>
      <c r="X2785">
        <v>0.98075040000000002</v>
      </c>
      <c r="Y2785">
        <v>-0.19758210000000001</v>
      </c>
      <c r="Z2785">
        <v>-7.2291100000000004E-3</v>
      </c>
      <c r="AA2785">
        <v>0.98025969999999996</v>
      </c>
      <c r="AB2785">
        <v>40</v>
      </c>
      <c r="AC2785">
        <v>-15.131500000000001</v>
      </c>
      <c r="AD2785">
        <v>-1.1122550390420001</v>
      </c>
      <c r="AE2785">
        <v>-3.08519999999998</v>
      </c>
      <c r="AF2785">
        <v>-3.1178934973966999</v>
      </c>
      <c r="AG2785">
        <v>-1.1122550390420001</v>
      </c>
      <c r="AH2785">
        <v>15.0434167996162</v>
      </c>
      <c r="AI2785">
        <v>94.140858191469704</v>
      </c>
      <c r="AJ2785">
        <v>101.70931847063601</v>
      </c>
      <c r="AK2785">
        <v>15.4033360068511</v>
      </c>
      <c r="AL2785">
        <v>79.400213127482601</v>
      </c>
      <c r="AM2785">
        <v>93.821617196857105</v>
      </c>
      <c r="AN2785">
        <v>1.0000000309227399</v>
      </c>
    </row>
    <row r="2786" spans="1:40" x14ac:dyDescent="0.25">
      <c r="A2786" t="str">
        <f>"20190312164042640"</f>
        <v>20190312164042640</v>
      </c>
      <c r="B2786" t="str">
        <f>"1552380042628684"</f>
        <v>1552380042628684</v>
      </c>
      <c r="C2786" t="s">
        <v>40</v>
      </c>
      <c r="D2786">
        <v>5.6157309999999896</v>
      </c>
      <c r="E2786">
        <v>0.44923960000000002</v>
      </c>
      <c r="F2786" t="s">
        <v>46</v>
      </c>
      <c r="G2786">
        <v>-474.09640000000002</v>
      </c>
      <c r="H2786" s="1">
        <v>4.5939719999999996E-6</v>
      </c>
      <c r="I2786">
        <v>282.28809999999999</v>
      </c>
      <c r="J2786">
        <v>-458.5634</v>
      </c>
      <c r="K2786">
        <v>1.1124700000000001</v>
      </c>
      <c r="L2786">
        <v>285.50700000000001</v>
      </c>
      <c r="M2786">
        <v>-0.9997781</v>
      </c>
      <c r="N2786">
        <v>0</v>
      </c>
      <c r="O2786">
        <v>1.5555289999999999E-3</v>
      </c>
      <c r="P2786">
        <v>-0.9841356</v>
      </c>
      <c r="Q2786">
        <v>0.1653558</v>
      </c>
      <c r="R2786">
        <v>-6.4302979999999996E-2</v>
      </c>
      <c r="S2786">
        <v>-3.0437319999999999</v>
      </c>
      <c r="T2786">
        <v>-0.212482</v>
      </c>
      <c r="U2786">
        <v>-0.61499019999999904</v>
      </c>
      <c r="V2786">
        <v>-6.6492579999999996E-2</v>
      </c>
      <c r="W2786">
        <v>0.1857617</v>
      </c>
      <c r="X2786">
        <v>0.98034239999999995</v>
      </c>
      <c r="Y2786">
        <v>-0.1991048</v>
      </c>
      <c r="Z2786">
        <v>-6.9794949999999996E-3</v>
      </c>
      <c r="AA2786">
        <v>0.97995330000000003</v>
      </c>
      <c r="AB2786">
        <v>40</v>
      </c>
      <c r="AC2786">
        <v>-15.532999999999999</v>
      </c>
      <c r="AD2786">
        <v>-1.1124654060279999</v>
      </c>
      <c r="AE2786">
        <v>-3.2189000000000099</v>
      </c>
      <c r="AF2786">
        <v>-3.22719167452661</v>
      </c>
      <c r="AG2786">
        <v>-1.1124654060279999</v>
      </c>
      <c r="AH2786">
        <v>15.4519779420144</v>
      </c>
      <c r="AI2786">
        <v>94.031220081728506</v>
      </c>
      <c r="AJ2786">
        <v>101.79682115161999</v>
      </c>
      <c r="AK2786">
        <v>15.8245368875124</v>
      </c>
      <c r="AL2786">
        <v>79.294455025346593</v>
      </c>
      <c r="AM2786">
        <v>93.880193516294696</v>
      </c>
      <c r="AN2786">
        <v>0.99999994680985105</v>
      </c>
    </row>
    <row r="2787" spans="1:40" x14ac:dyDescent="0.25">
      <c r="A2787" t="str">
        <f>"20190312164042663"</f>
        <v>20190312164042663</v>
      </c>
      <c r="B2787" t="str">
        <f>"1552380042658943"</f>
        <v>1552380042658943</v>
      </c>
      <c r="C2787" t="s">
        <v>40</v>
      </c>
      <c r="D2787">
        <v>5.5983029999999996</v>
      </c>
      <c r="E2787">
        <v>0.44915110000000003</v>
      </c>
      <c r="F2787" t="s">
        <v>46</v>
      </c>
      <c r="G2787">
        <v>-474.6671</v>
      </c>
      <c r="H2787" s="1">
        <v>4.3329560000000003E-6</v>
      </c>
      <c r="I2787">
        <v>282.19720000000001</v>
      </c>
      <c r="J2787">
        <v>-458.9658</v>
      </c>
      <c r="K2787">
        <v>1.1126689999999999</v>
      </c>
      <c r="L2787">
        <v>285.50580000000002</v>
      </c>
      <c r="M2787">
        <v>-0.99977680000000002</v>
      </c>
      <c r="N2787">
        <v>0</v>
      </c>
      <c r="O2787">
        <v>-3.0302200000000001E-4</v>
      </c>
      <c r="P2787">
        <v>-0.98396589999999995</v>
      </c>
      <c r="Q2787">
        <v>0.16554820000000001</v>
      </c>
      <c r="R2787">
        <v>-6.6369689999999995E-2</v>
      </c>
      <c r="S2787">
        <v>-3.0428470000000001</v>
      </c>
      <c r="T2787">
        <v>-0.210204</v>
      </c>
      <c r="U2787">
        <v>-0.62539669999999903</v>
      </c>
      <c r="V2787">
        <v>-6.6807399999999906E-2</v>
      </c>
      <c r="W2787">
        <v>0.18603629999999999</v>
      </c>
      <c r="X2787">
        <v>0.98026899999999995</v>
      </c>
      <c r="Y2787">
        <v>-0.2005671</v>
      </c>
      <c r="Z2787">
        <v>-6.8274619999999899E-3</v>
      </c>
      <c r="AA2787">
        <v>0.97965619999999998</v>
      </c>
      <c r="AB2787">
        <v>40</v>
      </c>
      <c r="AC2787">
        <v>-15.7013</v>
      </c>
      <c r="AD2787">
        <v>-1.1126646670439999</v>
      </c>
      <c r="AE2787">
        <v>-3.30860000000001</v>
      </c>
      <c r="AF2787">
        <v>-3.2880311976374901</v>
      </c>
      <c r="AG2787">
        <v>-1.1126646670439999</v>
      </c>
      <c r="AH2787">
        <v>15.627162430048999</v>
      </c>
      <c r="AI2787">
        <v>93.985649038706498</v>
      </c>
      <c r="AJ2787">
        <v>101.881995273697</v>
      </c>
      <c r="AK2787">
        <v>16.0080410242184</v>
      </c>
      <c r="AL2787">
        <v>79.278443312943097</v>
      </c>
      <c r="AM2787">
        <v>93.898799420071001</v>
      </c>
      <c r="AN2787">
        <v>1.0000000229867201</v>
      </c>
    </row>
    <row r="2788" spans="1:40" x14ac:dyDescent="0.25">
      <c r="A2788" t="str">
        <f>"20190312164042685"</f>
        <v>20190312164042685</v>
      </c>
      <c r="B2788" t="str">
        <f>"1552380042678460"</f>
        <v>1552380042678460</v>
      </c>
      <c r="C2788" t="s">
        <v>40</v>
      </c>
      <c r="D2788">
        <v>5.6259199999999998</v>
      </c>
      <c r="E2788">
        <v>0.44872000000000001</v>
      </c>
      <c r="F2788" t="s">
        <v>46</v>
      </c>
      <c r="G2788">
        <v>-475.17039999999997</v>
      </c>
      <c r="H2788" s="1">
        <v>4.1043400000000001E-6</v>
      </c>
      <c r="I2788">
        <v>282.13529999999997</v>
      </c>
      <c r="J2788">
        <v>-459.34949999999998</v>
      </c>
      <c r="K2788">
        <v>1.112827</v>
      </c>
      <c r="L2788">
        <v>285.50369999999998</v>
      </c>
      <c r="M2788">
        <v>-0.99977249999999995</v>
      </c>
      <c r="N2788">
        <v>0</v>
      </c>
      <c r="O2788">
        <v>-2.2197060000000001E-3</v>
      </c>
      <c r="P2788">
        <v>-0.98365899999999995</v>
      </c>
      <c r="Q2788">
        <v>0.16610820000000001</v>
      </c>
      <c r="R2788">
        <v>-6.9452689999999997E-2</v>
      </c>
      <c r="S2788">
        <v>-3.0413209999999999</v>
      </c>
      <c r="T2788">
        <v>-0.2088274</v>
      </c>
      <c r="U2788">
        <v>-0.63256840000000003</v>
      </c>
      <c r="V2788">
        <v>-6.8072450000000007E-2</v>
      </c>
      <c r="W2788">
        <v>0.18665709999999999</v>
      </c>
      <c r="X2788">
        <v>0.98006389999999999</v>
      </c>
      <c r="Y2788">
        <v>-0.20101050000000001</v>
      </c>
      <c r="Z2788">
        <v>-6.6695369999999997E-3</v>
      </c>
      <c r="AA2788">
        <v>0.97956639999999995</v>
      </c>
      <c r="AB2788">
        <v>40</v>
      </c>
      <c r="AC2788">
        <v>-15.8208999999999</v>
      </c>
      <c r="AD2788">
        <v>-1.1128228956599999</v>
      </c>
      <c r="AE2788">
        <v>-3.3683999999999998</v>
      </c>
      <c r="AF2788">
        <v>-3.3175640218150999</v>
      </c>
      <c r="AG2788">
        <v>-1.1128228956599999</v>
      </c>
      <c r="AH2788">
        <v>15.7537769472166</v>
      </c>
      <c r="AI2788">
        <v>93.954132607316396</v>
      </c>
      <c r="AJ2788">
        <v>101.89206886155399</v>
      </c>
      <c r="AK2788">
        <v>16.1377226998917</v>
      </c>
      <c r="AL2788">
        <v>79.242239595274597</v>
      </c>
      <c r="AM2788">
        <v>93.973220693749994</v>
      </c>
      <c r="AN2788">
        <v>0.99999998975631099</v>
      </c>
    </row>
    <row r="2789" spans="1:40" x14ac:dyDescent="0.25">
      <c r="A2789" t="str">
        <f>"20190312164042707"</f>
        <v>20190312164042707</v>
      </c>
      <c r="B2789" t="str">
        <f>"1552380042698956"</f>
        <v>1552380042698956</v>
      </c>
      <c r="C2789" t="s">
        <v>40</v>
      </c>
      <c r="D2789">
        <v>5.5129590000000004</v>
      </c>
      <c r="E2789">
        <v>0.44898690000000002</v>
      </c>
      <c r="F2789" t="s">
        <v>46</v>
      </c>
      <c r="G2789">
        <v>-475.31849999999997</v>
      </c>
      <c r="H2789" s="1">
        <v>4.0370389999999997E-6</v>
      </c>
      <c r="I2789">
        <v>282.11649999999997</v>
      </c>
      <c r="J2789">
        <v>-459.74180000000001</v>
      </c>
      <c r="K2789">
        <v>1.1129789999999999</v>
      </c>
      <c r="L2789">
        <v>285.50080000000003</v>
      </c>
      <c r="M2789">
        <v>-0.99976370000000003</v>
      </c>
      <c r="N2789">
        <v>0</v>
      </c>
      <c r="O2789">
        <v>-4.3084569999999999E-3</v>
      </c>
      <c r="P2789">
        <v>-0.98325750000000001</v>
      </c>
      <c r="Q2789">
        <v>0.166993</v>
      </c>
      <c r="R2789">
        <v>-7.2925829999999997E-2</v>
      </c>
      <c r="S2789">
        <v>-3.0400700000000001</v>
      </c>
      <c r="T2789">
        <v>-0.21185119999999999</v>
      </c>
      <c r="U2789">
        <v>-0.64483639999999998</v>
      </c>
      <c r="V2789">
        <v>-6.9554699999999997E-2</v>
      </c>
      <c r="W2789">
        <v>0.18759580000000001</v>
      </c>
      <c r="X2789">
        <v>0.9797806</v>
      </c>
      <c r="Y2789">
        <v>-0.20281779999999999</v>
      </c>
      <c r="Z2789">
        <v>-6.6842530000000002E-3</v>
      </c>
      <c r="AA2789">
        <v>0.97919369999999994</v>
      </c>
      <c r="AB2789">
        <v>39</v>
      </c>
      <c r="AC2789">
        <v>-15.576699999999899</v>
      </c>
      <c r="AD2789">
        <v>-1.112974962961</v>
      </c>
      <c r="AE2789">
        <v>-3.3843000000000498</v>
      </c>
      <c r="AF2789">
        <v>-3.3010486770605101</v>
      </c>
      <c r="AG2789">
        <v>-1.112974962961</v>
      </c>
      <c r="AH2789">
        <v>15.515499353076301</v>
      </c>
      <c r="AI2789">
        <v>94.013448732504003</v>
      </c>
      <c r="AJ2789">
        <v>102.011049501122</v>
      </c>
      <c r="AK2789">
        <v>15.901772096587599</v>
      </c>
      <c r="AL2789">
        <v>79.187489384778402</v>
      </c>
      <c r="AM2789">
        <v>94.060619641092501</v>
      </c>
      <c r="AN2789">
        <v>1.00000003230304</v>
      </c>
    </row>
    <row r="2790" spans="1:40" x14ac:dyDescent="0.25">
      <c r="A2790" t="str">
        <f>"20190312164042722"</f>
        <v>20190312164042722</v>
      </c>
      <c r="B2790" t="str">
        <f>"1552380042718476"</f>
        <v>1552380042718476</v>
      </c>
      <c r="C2790" t="s">
        <v>40</v>
      </c>
      <c r="D2790">
        <v>5.652539</v>
      </c>
      <c r="E2790">
        <v>0.44938499999999998</v>
      </c>
      <c r="F2790" t="s">
        <v>46</v>
      </c>
      <c r="G2790">
        <v>-475.84390000000002</v>
      </c>
      <c r="H2790" s="1">
        <v>3.797298E-6</v>
      </c>
      <c r="I2790">
        <v>282.03919999999999</v>
      </c>
      <c r="J2790">
        <v>-459.98880000000003</v>
      </c>
      <c r="K2790">
        <v>1.113065</v>
      </c>
      <c r="L2790">
        <v>285.49860000000001</v>
      </c>
      <c r="M2790">
        <v>-0.99975570000000002</v>
      </c>
      <c r="N2790">
        <v>0</v>
      </c>
      <c r="O2790">
        <v>-5.6775310000000004E-3</v>
      </c>
      <c r="P2790">
        <v>-0.98295829999999995</v>
      </c>
      <c r="Q2790">
        <v>0.16782259999999999</v>
      </c>
      <c r="R2790">
        <v>-7.5027369999999996E-2</v>
      </c>
      <c r="S2790">
        <v>-3.0382690000000001</v>
      </c>
      <c r="T2790">
        <v>-0.21000469999999999</v>
      </c>
      <c r="U2790">
        <v>-0.65316770000000002</v>
      </c>
      <c r="V2790">
        <v>-7.0348750000000002E-2</v>
      </c>
      <c r="W2790">
        <v>0.18845890000000001</v>
      </c>
      <c r="X2790">
        <v>0.97955820000000005</v>
      </c>
      <c r="Y2790">
        <v>-0.2041703</v>
      </c>
      <c r="Z2790">
        <v>-6.5807969999999898E-3</v>
      </c>
      <c r="AA2790">
        <v>0.97891320000000004</v>
      </c>
      <c r="AB2790">
        <v>39</v>
      </c>
      <c r="AC2790">
        <v>-15.855099999999901</v>
      </c>
      <c r="AD2790">
        <v>-1.1130612027019999</v>
      </c>
      <c r="AE2790">
        <v>-3.4594000000000098</v>
      </c>
      <c r="AF2790">
        <v>-3.3535295865113901</v>
      </c>
      <c r="AG2790">
        <v>-1.1130612027019999</v>
      </c>
      <c r="AH2790">
        <v>15.800159777597599</v>
      </c>
      <c r="AI2790">
        <v>93.942084359685893</v>
      </c>
      <c r="AJ2790">
        <v>101.98300502645699</v>
      </c>
      <c r="AK2790">
        <v>16.190432820841401</v>
      </c>
      <c r="AL2790">
        <v>79.137138827918903</v>
      </c>
      <c r="AM2790">
        <v>94.107747967158105</v>
      </c>
      <c r="AN2790">
        <v>0.99999998540150603</v>
      </c>
    </row>
    <row r="2791" spans="1:40" x14ac:dyDescent="0.25">
      <c r="A2791" t="str">
        <f>"20190312164042737"</f>
        <v>20190312164042737</v>
      </c>
      <c r="B2791" t="str">
        <f>"1552380042729212"</f>
        <v>1552380042729212</v>
      </c>
      <c r="C2791" t="s">
        <v>40</v>
      </c>
      <c r="D2791">
        <v>5.9660679999999999</v>
      </c>
      <c r="E2791">
        <v>0.4674082</v>
      </c>
      <c r="F2791" t="s">
        <v>46</v>
      </c>
      <c r="G2791">
        <v>-476.21080000000001</v>
      </c>
      <c r="H2791" s="1">
        <v>3.6304809999999999E-6</v>
      </c>
      <c r="I2791">
        <v>281.99259999999998</v>
      </c>
      <c r="J2791">
        <v>-460.25130000000001</v>
      </c>
      <c r="K2791">
        <v>1.113154</v>
      </c>
      <c r="L2791">
        <v>285.4957</v>
      </c>
      <c r="M2791">
        <v>-0.99974479999999999</v>
      </c>
      <c r="N2791">
        <v>0</v>
      </c>
      <c r="O2791">
        <v>-7.1751319999999999E-3</v>
      </c>
      <c r="P2791">
        <v>-0.98268940000000005</v>
      </c>
      <c r="Q2791">
        <v>0.1682592</v>
      </c>
      <c r="R2791">
        <v>-7.7528479999999997E-2</v>
      </c>
      <c r="S2791">
        <v>-3.037445</v>
      </c>
      <c r="T2791">
        <v>-0.20841180000000001</v>
      </c>
      <c r="U2791">
        <v>-0.65646359999999904</v>
      </c>
      <c r="V2791">
        <v>-7.1415480000000003E-2</v>
      </c>
      <c r="W2791">
        <v>0.1889314</v>
      </c>
      <c r="X2791">
        <v>0.97938999999999998</v>
      </c>
      <c r="Y2791">
        <v>-0.20378460000000001</v>
      </c>
      <c r="Z2791">
        <v>-6.4174690000000003E-3</v>
      </c>
      <c r="AA2791">
        <v>0.9789947</v>
      </c>
      <c r="AB2791">
        <v>39</v>
      </c>
      <c r="AC2791">
        <v>-15.959499999999901</v>
      </c>
      <c r="AD2791">
        <v>-1.1131503695189999</v>
      </c>
      <c r="AE2791">
        <v>-3.5031000000000101</v>
      </c>
      <c r="AF2791">
        <v>-3.3728179534203102</v>
      </c>
      <c r="AG2791">
        <v>-1.1131503695189999</v>
      </c>
      <c r="AH2791">
        <v>15.910386173040299</v>
      </c>
      <c r="AI2791">
        <v>93.915376147742293</v>
      </c>
      <c r="AJ2791">
        <v>101.968852550514</v>
      </c>
      <c r="AK2791">
        <v>16.302005792765101</v>
      </c>
      <c r="AL2791">
        <v>79.109571594603807</v>
      </c>
      <c r="AM2791">
        <v>94.170531135482094</v>
      </c>
      <c r="AN2791">
        <v>1.00000000839479</v>
      </c>
    </row>
    <row r="2792" spans="1:40" x14ac:dyDescent="0.25">
      <c r="A2792" t="str">
        <f>"20190312164042754"</f>
        <v>20190312164042754</v>
      </c>
      <c r="B2792" t="str">
        <f>"1552380042748732"</f>
        <v>1552380042748732</v>
      </c>
      <c r="C2792" t="s">
        <v>40</v>
      </c>
      <c r="D2792">
        <v>5.6475429999999998</v>
      </c>
      <c r="E2792">
        <v>0.46666570000000002</v>
      </c>
      <c r="F2792" t="s">
        <v>46</v>
      </c>
      <c r="G2792">
        <v>-478.6259</v>
      </c>
      <c r="H2792" s="1">
        <v>2.5914989999999999E-6</v>
      </c>
      <c r="I2792">
        <v>282.35829999999999</v>
      </c>
      <c r="J2792">
        <v>-460.53300000000002</v>
      </c>
      <c r="K2792">
        <v>1.113243</v>
      </c>
      <c r="L2792">
        <v>285.49209999999999</v>
      </c>
      <c r="M2792">
        <v>-0.99973020000000001</v>
      </c>
      <c r="N2792">
        <v>0</v>
      </c>
      <c r="O2792">
        <v>-8.8349769999999904E-3</v>
      </c>
      <c r="P2792">
        <v>-0.98217730000000003</v>
      </c>
      <c r="Q2792">
        <v>0.1693317</v>
      </c>
      <c r="R2792">
        <v>-8.1574750000000001E-2</v>
      </c>
      <c r="S2792">
        <v>-3.0434269999999999</v>
      </c>
      <c r="T2792">
        <v>-0.18437400000000001</v>
      </c>
      <c r="U2792">
        <v>-0.51965329999999998</v>
      </c>
      <c r="V2792">
        <v>-7.3873099999999997E-2</v>
      </c>
      <c r="W2792">
        <v>0.190027</v>
      </c>
      <c r="X2792">
        <v>0.97899570000000002</v>
      </c>
      <c r="Y2792">
        <v>-0.15932479999999999</v>
      </c>
      <c r="Z2792">
        <v>-4.2561379999999996E-3</v>
      </c>
      <c r="AA2792">
        <v>0.98721709999999996</v>
      </c>
      <c r="AB2792">
        <v>39</v>
      </c>
      <c r="AC2792">
        <v>-18.092899999999901</v>
      </c>
      <c r="AD2792">
        <v>-1.1132404085009999</v>
      </c>
      <c r="AE2792">
        <v>-3.1337999999999999</v>
      </c>
      <c r="AF2792">
        <v>-2.9629000488885699</v>
      </c>
      <c r="AG2792">
        <v>-1.1132404085009999</v>
      </c>
      <c r="AH2792">
        <v>18.0535300288774</v>
      </c>
      <c r="AI2792">
        <v>93.482113521796293</v>
      </c>
      <c r="AJ2792">
        <v>99.320154200311094</v>
      </c>
      <c r="AK2792">
        <v>18.328885056391201</v>
      </c>
      <c r="AL2792">
        <v>79.045640531071896</v>
      </c>
      <c r="AM2792">
        <v>94.315249591575693</v>
      </c>
      <c r="AN2792">
        <v>1.0000000381255401</v>
      </c>
    </row>
    <row r="2793" spans="1:40" x14ac:dyDescent="0.25">
      <c r="A2793" t="str">
        <f>"20190312164042776"</f>
        <v>20190312164042776</v>
      </c>
      <c r="B2793" t="str">
        <f>"1552380042769228"</f>
        <v>1552380042769228</v>
      </c>
      <c r="C2793" t="s">
        <v>40</v>
      </c>
      <c r="D2793">
        <v>5.7041329999999997</v>
      </c>
      <c r="E2793">
        <v>0.46589269999999999</v>
      </c>
      <c r="F2793" t="s">
        <v>46</v>
      </c>
      <c r="G2793">
        <v>-478.66890000000001</v>
      </c>
      <c r="H2793" s="1">
        <v>2.565791E-6</v>
      </c>
      <c r="I2793">
        <v>282.28269999999998</v>
      </c>
      <c r="J2793">
        <v>-460.91090000000003</v>
      </c>
      <c r="K2793">
        <v>1.113359</v>
      </c>
      <c r="L2793">
        <v>285.48649999999998</v>
      </c>
      <c r="M2793">
        <v>-0.99970570000000003</v>
      </c>
      <c r="N2793">
        <v>0</v>
      </c>
      <c r="O2793">
        <v>-1.1123869999999999E-2</v>
      </c>
      <c r="P2793">
        <v>-0.98183010000000004</v>
      </c>
      <c r="Q2793">
        <v>0.16876350000000001</v>
      </c>
      <c r="R2793">
        <v>-8.676818E-2</v>
      </c>
      <c r="S2793">
        <v>-3.0419309999999999</v>
      </c>
      <c r="T2793">
        <v>-0.18672320000000001</v>
      </c>
      <c r="U2793">
        <v>-0.53829959999999999</v>
      </c>
      <c r="V2793">
        <v>-7.6860910000000005E-2</v>
      </c>
      <c r="W2793">
        <v>0.18949930000000001</v>
      </c>
      <c r="X2793">
        <v>0.97886790000000001</v>
      </c>
      <c r="Y2793">
        <v>-0.163008399999999</v>
      </c>
      <c r="Z2793">
        <v>-4.282943E-3</v>
      </c>
      <c r="AA2793">
        <v>0.98661540000000003</v>
      </c>
      <c r="AB2793">
        <v>39</v>
      </c>
      <c r="AC2793">
        <v>-17.7579999999999</v>
      </c>
      <c r="AD2793">
        <v>-1.1133564342090001</v>
      </c>
      <c r="AE2793">
        <v>-3.2038000000000002</v>
      </c>
      <c r="AF2793">
        <v>-2.9946179176270098</v>
      </c>
      <c r="AG2793">
        <v>-1.1133564342090001</v>
      </c>
      <c r="AH2793">
        <v>17.7250704359721</v>
      </c>
      <c r="AI2793">
        <v>93.544077194468102</v>
      </c>
      <c r="AJ2793">
        <v>99.589461556703696</v>
      </c>
      <c r="AK2793">
        <v>18.010702956362898</v>
      </c>
      <c r="AL2793">
        <v>79.0764343538209</v>
      </c>
      <c r="AM2793">
        <v>94.489664687223296</v>
      </c>
      <c r="AN2793">
        <v>0.99999997491846304</v>
      </c>
    </row>
    <row r="2794" spans="1:40" x14ac:dyDescent="0.25">
      <c r="A2794" t="str">
        <f>"20190312164042798"</f>
        <v>20190312164042798</v>
      </c>
      <c r="B2794" t="str">
        <f>"1552380042788748"</f>
        <v>1552380042788748</v>
      </c>
      <c r="C2794" t="s">
        <v>40</v>
      </c>
      <c r="D2794">
        <v>5.6964350000000001</v>
      </c>
      <c r="E2794">
        <v>0.46633239999999998</v>
      </c>
      <c r="F2794" t="s">
        <v>46</v>
      </c>
      <c r="G2794">
        <v>-476.95710000000003</v>
      </c>
      <c r="H2794" s="1">
        <v>3.3455660000000001E-6</v>
      </c>
      <c r="I2794">
        <v>282.51870000000002</v>
      </c>
      <c r="J2794">
        <v>-461.30059999999997</v>
      </c>
      <c r="K2794">
        <v>1.1134679999999999</v>
      </c>
      <c r="L2794">
        <v>285.47969999999998</v>
      </c>
      <c r="M2794">
        <v>-0.99967360000000005</v>
      </c>
      <c r="N2794">
        <v>0</v>
      </c>
      <c r="O2794">
        <v>-1.356474E-2</v>
      </c>
      <c r="P2794">
        <v>-0.98144370000000003</v>
      </c>
      <c r="Q2794">
        <v>0.16775960000000001</v>
      </c>
      <c r="R2794">
        <v>-9.287078E-2</v>
      </c>
      <c r="S2794">
        <v>-3.0421140000000002</v>
      </c>
      <c r="T2794">
        <v>-0.2110755</v>
      </c>
      <c r="U2794">
        <v>-0.56265259999999995</v>
      </c>
      <c r="V2794">
        <v>-8.0605800000000005E-2</v>
      </c>
      <c r="W2794">
        <v>0.18854270000000001</v>
      </c>
      <c r="X2794">
        <v>0.97875140000000005</v>
      </c>
      <c r="Y2794">
        <v>-0.1681523</v>
      </c>
      <c r="Z2794">
        <v>-4.8456719999999997E-3</v>
      </c>
      <c r="AA2794">
        <v>0.98574910000000004</v>
      </c>
      <c r="AB2794">
        <v>39</v>
      </c>
      <c r="AC2794">
        <v>-15.656499999999999</v>
      </c>
      <c r="AD2794">
        <v>-1.1134646544339999</v>
      </c>
      <c r="AE2794">
        <v>-2.9609999999999501</v>
      </c>
      <c r="AF2794">
        <v>-2.7349461166675302</v>
      </c>
      <c r="AG2794">
        <v>-1.1134646544339999</v>
      </c>
      <c r="AH2794">
        <v>15.6189635017641</v>
      </c>
      <c r="AI2794">
        <v>94.016765929586299</v>
      </c>
      <c r="AJ2794">
        <v>99.932038247380902</v>
      </c>
      <c r="AK2794">
        <v>15.895652068008699</v>
      </c>
      <c r="AL2794">
        <v>79.132249669060997</v>
      </c>
      <c r="AM2794">
        <v>94.7080117677407</v>
      </c>
      <c r="AN2794">
        <v>0.99999997385944395</v>
      </c>
    </row>
    <row r="2795" spans="1:40" x14ac:dyDescent="0.25">
      <c r="A2795" t="str">
        <f>"20190312164042819"</f>
        <v>20190312164042819</v>
      </c>
      <c r="B2795" t="str">
        <f>"1552380042809244"</f>
        <v>1552380042809244</v>
      </c>
      <c r="C2795" t="s">
        <v>40</v>
      </c>
      <c r="D2795">
        <v>5.7605019999999998</v>
      </c>
      <c r="E2795">
        <v>0.4668716</v>
      </c>
      <c r="F2795" t="s">
        <v>46</v>
      </c>
      <c r="G2795">
        <v>-475.29219999999998</v>
      </c>
      <c r="H2795" s="1">
        <v>4.1103719999999997E-6</v>
      </c>
      <c r="I2795">
        <v>282.82209999999998</v>
      </c>
      <c r="J2795">
        <v>-461.6671</v>
      </c>
      <c r="K2795">
        <v>1.113567</v>
      </c>
      <c r="L2795">
        <v>285.47239999999999</v>
      </c>
      <c r="M2795">
        <v>-0.99963670000000004</v>
      </c>
      <c r="N2795">
        <v>0</v>
      </c>
      <c r="O2795">
        <v>-1.595247E-2</v>
      </c>
      <c r="P2795">
        <v>-0.9809485</v>
      </c>
      <c r="Q2795">
        <v>0.1666464</v>
      </c>
      <c r="R2795">
        <v>-9.9847069999999996E-2</v>
      </c>
      <c r="S2795">
        <v>-3.0434570000000001</v>
      </c>
      <c r="T2795">
        <v>-0.24220050000000001</v>
      </c>
      <c r="U2795">
        <v>-0.57809449999999996</v>
      </c>
      <c r="V2795">
        <v>-8.5274859999999994E-2</v>
      </c>
      <c r="W2795">
        <v>0.18746740000000001</v>
      </c>
      <c r="X2795">
        <v>0.9785623</v>
      </c>
      <c r="Y2795">
        <v>-0.17043929999999999</v>
      </c>
      <c r="Z2795">
        <v>-5.4553029999999999E-3</v>
      </c>
      <c r="AA2795">
        <v>0.98535309999999998</v>
      </c>
      <c r="AB2795">
        <v>38</v>
      </c>
      <c r="AC2795">
        <v>-13.6250999999999</v>
      </c>
      <c r="AD2795">
        <v>-1.1135628896280001</v>
      </c>
      <c r="AE2795">
        <v>-2.6503000000000099</v>
      </c>
      <c r="AF2795">
        <v>-2.41700127793395</v>
      </c>
      <c r="AG2795">
        <v>-1.1135628896280001</v>
      </c>
      <c r="AH2795">
        <v>13.5782634794065</v>
      </c>
      <c r="AI2795">
        <v>94.616133074360704</v>
      </c>
      <c r="AJ2795">
        <v>100.093227685762</v>
      </c>
      <c r="AK2795">
        <v>13.8365876068803</v>
      </c>
      <c r="AL2795">
        <v>79.194978701848498</v>
      </c>
      <c r="AM2795">
        <v>94.980345110489907</v>
      </c>
      <c r="AN2795">
        <v>1.00000000139603</v>
      </c>
    </row>
    <row r="2796" spans="1:40" x14ac:dyDescent="0.25">
      <c r="A2796" t="str">
        <f>"20190312164042835"</f>
        <v>20190312164042835</v>
      </c>
      <c r="B2796" t="str">
        <f>"1552380042828764"</f>
        <v>1552380042828764</v>
      </c>
      <c r="C2796" t="s">
        <v>40</v>
      </c>
      <c r="D2796">
        <v>5.7214390000000002</v>
      </c>
      <c r="E2796">
        <v>0.4669334</v>
      </c>
      <c r="F2796" t="s">
        <v>46</v>
      </c>
      <c r="G2796">
        <v>-475.89749999999998</v>
      </c>
      <c r="H2796" s="1">
        <v>3.8303270000000001E-6</v>
      </c>
      <c r="I2796">
        <v>282.6891</v>
      </c>
      <c r="J2796">
        <v>-461.94619999999998</v>
      </c>
      <c r="K2796">
        <v>1.1136349999999999</v>
      </c>
      <c r="L2796">
        <v>285.46609999999998</v>
      </c>
      <c r="M2796">
        <v>-0.99960360000000004</v>
      </c>
      <c r="N2796">
        <v>0</v>
      </c>
      <c r="O2796">
        <v>-1.782036E-2</v>
      </c>
      <c r="P2796">
        <v>-0.98048709999999994</v>
      </c>
      <c r="Q2796">
        <v>0.16672899999999999</v>
      </c>
      <c r="R2796">
        <v>-0.1041487</v>
      </c>
      <c r="S2796">
        <v>-3.0381469999999999</v>
      </c>
      <c r="T2796">
        <v>-0.2377416</v>
      </c>
      <c r="U2796">
        <v>-0.59420779999999995</v>
      </c>
      <c r="V2796">
        <v>-8.7776989999999999E-2</v>
      </c>
      <c r="W2796">
        <v>0.18757979999999999</v>
      </c>
      <c r="X2796">
        <v>0.97831950000000001</v>
      </c>
      <c r="Y2796">
        <v>-0.17396249999999999</v>
      </c>
      <c r="Z2796">
        <v>-5.3535689999999999E-3</v>
      </c>
      <c r="AA2796">
        <v>0.98473770000000005</v>
      </c>
      <c r="AB2796">
        <v>38</v>
      </c>
      <c r="AC2796">
        <v>-13.9513</v>
      </c>
      <c r="AD2796">
        <v>-1.1136311696729999</v>
      </c>
      <c r="AE2796">
        <v>-2.7769999999999802</v>
      </c>
      <c r="AF2796">
        <v>-2.51248393158318</v>
      </c>
      <c r="AG2796">
        <v>-1.1136311696729999</v>
      </c>
      <c r="AH2796">
        <v>13.913309958462699</v>
      </c>
      <c r="AI2796">
        <v>94.503702800217795</v>
      </c>
      <c r="AJ2796">
        <v>100.23623256008599</v>
      </c>
      <c r="AK2796">
        <v>14.1821346732003</v>
      </c>
      <c r="AL2796">
        <v>79.188422470948694</v>
      </c>
      <c r="AM2796">
        <v>95.126975995353604</v>
      </c>
      <c r="AN2796">
        <v>1.0000000127108699</v>
      </c>
    </row>
    <row r="2797" spans="1:40" x14ac:dyDescent="0.25">
      <c r="A2797" t="str">
        <f>"20190312164042854"</f>
        <v>20190312164042854</v>
      </c>
      <c r="B2797" t="str">
        <f>"1552380042849259"</f>
        <v>1552380042849259</v>
      </c>
      <c r="C2797" t="s">
        <v>40</v>
      </c>
      <c r="D2797">
        <v>5.7729330000000001</v>
      </c>
      <c r="E2797">
        <v>0.46697939999999999</v>
      </c>
      <c r="F2797" t="s">
        <v>46</v>
      </c>
      <c r="G2797">
        <v>-476.84390000000002</v>
      </c>
      <c r="H2797" s="1">
        <v>3.3931850000000002E-6</v>
      </c>
      <c r="I2797">
        <v>282.48930000000001</v>
      </c>
      <c r="J2797">
        <v>-462.25240000000002</v>
      </c>
      <c r="K2797">
        <v>1.1137170000000001</v>
      </c>
      <c r="L2797">
        <v>285.45850000000002</v>
      </c>
      <c r="M2797">
        <v>-0.99956230000000001</v>
      </c>
      <c r="N2797">
        <v>0</v>
      </c>
      <c r="O2797">
        <v>-1.9930690000000001E-2</v>
      </c>
      <c r="P2797">
        <v>-0.97954770000000002</v>
      </c>
      <c r="Q2797">
        <v>0.16748929999999901</v>
      </c>
      <c r="R2797">
        <v>-0.11150640000000001</v>
      </c>
      <c r="S2797">
        <v>-3.0338750000000001</v>
      </c>
      <c r="T2797">
        <v>-0.2267884</v>
      </c>
      <c r="U2797">
        <v>-0.6062012</v>
      </c>
      <c r="V2797">
        <v>-9.3113909999999994E-2</v>
      </c>
      <c r="W2797">
        <v>0.18834409999999999</v>
      </c>
      <c r="X2797">
        <v>0.97767899999999996</v>
      </c>
      <c r="Y2797">
        <v>-0.1759317</v>
      </c>
      <c r="Z2797">
        <v>-5.0296289999999999E-3</v>
      </c>
      <c r="AA2797">
        <v>0.98438950000000003</v>
      </c>
      <c r="AB2797">
        <v>38</v>
      </c>
      <c r="AC2797">
        <v>-14.5914999999999</v>
      </c>
      <c r="AD2797">
        <v>-1.113713606815</v>
      </c>
      <c r="AE2797">
        <v>-2.9691999999999998</v>
      </c>
      <c r="AF2797">
        <v>-2.6628257531345501</v>
      </c>
      <c r="AG2797">
        <v>-1.113713606815</v>
      </c>
      <c r="AH2797">
        <v>14.5663078918708</v>
      </c>
      <c r="AI2797">
        <v>94.301219998086495</v>
      </c>
      <c r="AJ2797">
        <v>100.35968935546801</v>
      </c>
      <c r="AK2797">
        <v>14.8495227058091</v>
      </c>
      <c r="AL2797">
        <v>79.143836082512095</v>
      </c>
      <c r="AM2797">
        <v>95.440426364794902</v>
      </c>
      <c r="AN2797">
        <v>0.99999996364064803</v>
      </c>
    </row>
    <row r="2798" spans="1:40" x14ac:dyDescent="0.25">
      <c r="A2798" t="str">
        <f>"20190312164042875"</f>
        <v>20190312164042875</v>
      </c>
      <c r="B2798" t="str">
        <f>"1552380042868780"</f>
        <v>1552380042868780</v>
      </c>
      <c r="C2798" t="s">
        <v>40</v>
      </c>
      <c r="D2798">
        <v>5.7729860000000004</v>
      </c>
      <c r="E2798">
        <v>0.46724979999999999</v>
      </c>
      <c r="F2798" t="s">
        <v>46</v>
      </c>
      <c r="G2798">
        <v>-477.76089999999999</v>
      </c>
      <c r="H2798" s="1">
        <v>2.9645780000000002E-6</v>
      </c>
      <c r="I2798">
        <v>282.238</v>
      </c>
      <c r="J2798">
        <v>-462.61930000000001</v>
      </c>
      <c r="K2798">
        <v>1.113836</v>
      </c>
      <c r="L2798">
        <v>285.44850000000002</v>
      </c>
      <c r="M2798">
        <v>-0.99950439999999996</v>
      </c>
      <c r="N2798">
        <v>0</v>
      </c>
      <c r="O2798">
        <v>-2.2580610000000001E-2</v>
      </c>
      <c r="P2798">
        <v>-0.97832359999999896</v>
      </c>
      <c r="Q2798">
        <v>0.1684581</v>
      </c>
      <c r="R2798">
        <v>-0.1204365</v>
      </c>
      <c r="S2798">
        <v>-3.0282589999999998</v>
      </c>
      <c r="T2798">
        <v>-0.21746989999999999</v>
      </c>
      <c r="U2798">
        <v>-0.62884519999999899</v>
      </c>
      <c r="V2798">
        <v>-9.951778E-2</v>
      </c>
      <c r="W2798">
        <v>0.1893041</v>
      </c>
      <c r="X2798">
        <v>0.97686240000000002</v>
      </c>
      <c r="Y2798">
        <v>-0.18076519999999999</v>
      </c>
      <c r="Z2798">
        <v>-4.81235E-3</v>
      </c>
      <c r="AA2798">
        <v>0.98351449999999996</v>
      </c>
      <c r="AB2798">
        <v>38</v>
      </c>
      <c r="AC2798">
        <v>-15.141599999999899</v>
      </c>
      <c r="AD2798">
        <v>-1.1138330354220001</v>
      </c>
      <c r="AE2798">
        <v>-3.2105000000000201</v>
      </c>
      <c r="AF2798">
        <v>-2.8529185392487402</v>
      </c>
      <c r="AG2798">
        <v>-1.1138330354220001</v>
      </c>
      <c r="AH2798">
        <v>15.1318904895877</v>
      </c>
      <c r="AI2798">
        <v>94.137224472929802</v>
      </c>
      <c r="AJ2798">
        <v>100.67703244353</v>
      </c>
      <c r="AK2798">
        <v>15.438713612580001</v>
      </c>
      <c r="AL2798">
        <v>79.087824821349997</v>
      </c>
      <c r="AM2798">
        <v>95.8169347303254</v>
      </c>
      <c r="AN2798">
        <v>0.99999998967334902</v>
      </c>
    </row>
    <row r="2799" spans="1:40" x14ac:dyDescent="0.25">
      <c r="A2799" t="str">
        <f>"20190312164042898"</f>
        <v>20190312164042898</v>
      </c>
      <c r="B2799" t="str">
        <f>"1552380042889276"</f>
        <v>1552380042889276</v>
      </c>
      <c r="C2799" t="s">
        <v>40</v>
      </c>
      <c r="D2799">
        <v>5.7100689999999998</v>
      </c>
      <c r="E2799">
        <v>0.4673175</v>
      </c>
      <c r="F2799" t="s">
        <v>46</v>
      </c>
      <c r="G2799">
        <v>-478.71859999999998</v>
      </c>
      <c r="H2799" s="1">
        <v>2.5164379999999999E-6</v>
      </c>
      <c r="I2799">
        <v>281.97019999999998</v>
      </c>
      <c r="J2799">
        <v>-462.98989999999998</v>
      </c>
      <c r="K2799">
        <v>1.1139840000000001</v>
      </c>
      <c r="L2799">
        <v>285.43729999999999</v>
      </c>
      <c r="M2799">
        <v>-0.99943409999999999</v>
      </c>
      <c r="N2799">
        <v>0</v>
      </c>
      <c r="O2799">
        <v>-2.5437689999999999E-2</v>
      </c>
      <c r="P2799">
        <v>-0.97710439999999998</v>
      </c>
      <c r="Q2799">
        <v>0.16851479999999999</v>
      </c>
      <c r="R2799">
        <v>-0.12988339999999901</v>
      </c>
      <c r="S2799">
        <v>-3.0220950000000002</v>
      </c>
      <c r="T2799">
        <v>-0.20908360000000001</v>
      </c>
      <c r="U2799">
        <v>-0.65292359999999905</v>
      </c>
      <c r="V2799">
        <v>-0.10624790000000001</v>
      </c>
      <c r="W2799">
        <v>0.1893359</v>
      </c>
      <c r="X2799">
        <v>0.97614719999999999</v>
      </c>
      <c r="Y2799">
        <v>-0.18587329999999999</v>
      </c>
      <c r="Z2799">
        <v>-4.6122259999999997E-3</v>
      </c>
      <c r="AA2799">
        <v>0.98256290000000002</v>
      </c>
      <c r="AB2799">
        <v>38</v>
      </c>
      <c r="AC2799">
        <v>-15.7287</v>
      </c>
      <c r="AD2799">
        <v>-1.1139814835619899</v>
      </c>
      <c r="AE2799">
        <v>-3.4671000000000101</v>
      </c>
      <c r="AF2799">
        <v>-3.05118283610991</v>
      </c>
      <c r="AG2799">
        <v>-1.1139814835619899</v>
      </c>
      <c r="AH2799">
        <v>15.7365452398149</v>
      </c>
      <c r="AI2799">
        <v>93.975390583111306</v>
      </c>
      <c r="AJ2799">
        <v>100.97301216625701</v>
      </c>
      <c r="AK2799">
        <v>16.068277055423</v>
      </c>
      <c r="AL2799">
        <v>79.0859696783576</v>
      </c>
      <c r="AM2799">
        <v>96.211856005482304</v>
      </c>
      <c r="AN2799">
        <v>1.0000000276755201</v>
      </c>
    </row>
    <row r="2800" spans="1:40" x14ac:dyDescent="0.25">
      <c r="A2800" t="str">
        <f>"20190312164042920"</f>
        <v>20190312164042920</v>
      </c>
      <c r="B2800" t="str">
        <f>"1552380042908796"</f>
        <v>1552380042908796</v>
      </c>
      <c r="C2800" t="s">
        <v>40</v>
      </c>
      <c r="D2800">
        <v>5.9209050000000003</v>
      </c>
      <c r="E2800">
        <v>0.46765129999999999</v>
      </c>
      <c r="F2800" t="s">
        <v>46</v>
      </c>
      <c r="G2800">
        <v>-478.95690000000002</v>
      </c>
      <c r="H2800" s="1">
        <v>2.3993519999999998E-6</v>
      </c>
      <c r="I2800">
        <v>281.8399</v>
      </c>
      <c r="J2800">
        <v>-463.35590000000002</v>
      </c>
      <c r="K2800">
        <v>1.114169</v>
      </c>
      <c r="L2800">
        <v>285.4248</v>
      </c>
      <c r="M2800">
        <v>-0.99935019999999997</v>
      </c>
      <c r="N2800">
        <v>0</v>
      </c>
      <c r="O2800">
        <v>-2.8503939999999998E-2</v>
      </c>
      <c r="P2800">
        <v>-0.97591519999999998</v>
      </c>
      <c r="Q2800">
        <v>0.16723080000000001</v>
      </c>
      <c r="R2800">
        <v>-0.14008499999999999</v>
      </c>
      <c r="S2800">
        <v>-3.0162659999999999</v>
      </c>
      <c r="T2800">
        <v>-0.21043729999999999</v>
      </c>
      <c r="U2800">
        <v>-0.67956539999999999</v>
      </c>
      <c r="V2800">
        <v>-0.1135408</v>
      </c>
      <c r="W2800">
        <v>0.18800459999999999</v>
      </c>
      <c r="X2800">
        <v>0.97558330000000004</v>
      </c>
      <c r="Y2800">
        <v>-0.1915114</v>
      </c>
      <c r="Z2800">
        <v>-4.6297650000000001E-3</v>
      </c>
      <c r="AA2800">
        <v>0.98147949999999995</v>
      </c>
      <c r="AB2800">
        <v>38</v>
      </c>
      <c r="AC2800">
        <v>-15.601000000000001</v>
      </c>
      <c r="AD2800">
        <v>-1.114166600648</v>
      </c>
      <c r="AE2800">
        <v>-3.5849000000000002</v>
      </c>
      <c r="AF2800">
        <v>-3.12351260148264</v>
      </c>
      <c r="AG2800">
        <v>-1.114166600648</v>
      </c>
      <c r="AH2800">
        <v>15.6211897491341</v>
      </c>
      <c r="AI2800">
        <v>94.000729976338405</v>
      </c>
      <c r="AJ2800">
        <v>101.307374325899</v>
      </c>
      <c r="AK2800">
        <v>15.969322695846399</v>
      </c>
      <c r="AL2800">
        <v>79.163642315447007</v>
      </c>
      <c r="AM2800">
        <v>96.638360247873706</v>
      </c>
      <c r="AN2800">
        <v>1.00000000906234</v>
      </c>
    </row>
    <row r="2801" spans="1:40" x14ac:dyDescent="0.25">
      <c r="A2801" t="str">
        <f>"20190312164042936"</f>
        <v>20190312164042936</v>
      </c>
      <c r="B2801" t="str">
        <f>"1552380042929292"</f>
        <v>1552380042929292</v>
      </c>
      <c r="C2801" t="s">
        <v>40</v>
      </c>
      <c r="D2801">
        <v>5.637289</v>
      </c>
      <c r="E2801">
        <v>0.46817989999999998</v>
      </c>
      <c r="F2801" t="s">
        <v>46</v>
      </c>
      <c r="G2801">
        <v>-478.89150000000001</v>
      </c>
      <c r="H2801" s="1">
        <v>2.4221059999999998E-6</v>
      </c>
      <c r="I2801">
        <v>281.76799999999997</v>
      </c>
      <c r="J2801">
        <v>-463.61829999999998</v>
      </c>
      <c r="K2801">
        <v>1.1143299999999901</v>
      </c>
      <c r="L2801">
        <v>285.41500000000002</v>
      </c>
      <c r="M2801">
        <v>-0.99927909999999998</v>
      </c>
      <c r="N2801">
        <v>0</v>
      </c>
      <c r="O2801">
        <v>-3.0863519999999998E-2</v>
      </c>
      <c r="P2801">
        <v>-0.97520240000000002</v>
      </c>
      <c r="Q2801">
        <v>0.166354799999999</v>
      </c>
      <c r="R2801">
        <v>-0.1459683</v>
      </c>
      <c r="S2801">
        <v>-3.0093380000000001</v>
      </c>
      <c r="T2801">
        <v>-0.21582100000000001</v>
      </c>
      <c r="U2801">
        <v>-0.70834350000000001</v>
      </c>
      <c r="V2801">
        <v>-0.11719010000000001</v>
      </c>
      <c r="W2801">
        <v>0.1870964</v>
      </c>
      <c r="X2801">
        <v>0.97532629999999998</v>
      </c>
      <c r="Y2801">
        <v>-0.1985538</v>
      </c>
      <c r="Z2801">
        <v>-4.8359839999999998E-3</v>
      </c>
      <c r="AA2801">
        <v>0.980078</v>
      </c>
      <c r="AB2801">
        <v>37</v>
      </c>
      <c r="AC2801">
        <v>-15.273199999999999</v>
      </c>
      <c r="AD2801">
        <v>-1.1143275778939901</v>
      </c>
      <c r="AE2801">
        <v>-3.6470000000000402</v>
      </c>
      <c r="AF2801">
        <v>-3.1578589149398599</v>
      </c>
      <c r="AG2801">
        <v>-1.1143275778939901</v>
      </c>
      <c r="AH2801">
        <v>15.3014495106266</v>
      </c>
      <c r="AI2801">
        <v>94.079539351872796</v>
      </c>
      <c r="AJ2801">
        <v>101.66079014665</v>
      </c>
      <c r="AK2801">
        <v>15.663593329877299</v>
      </c>
      <c r="AL2801">
        <v>79.216618165445595</v>
      </c>
      <c r="AM2801">
        <v>96.851514618664794</v>
      </c>
      <c r="AN2801">
        <v>0.99999998695132997</v>
      </c>
    </row>
    <row r="2802" spans="1:40" x14ac:dyDescent="0.25">
      <c r="A2802" t="str">
        <f>"20190312164042954"</f>
        <v>20190312164042954</v>
      </c>
      <c r="B2802" t="str">
        <f>"1552380042948812"</f>
        <v>1552380042948812</v>
      </c>
      <c r="C2802" t="s">
        <v>40</v>
      </c>
      <c r="D2802">
        <v>6.0409639999999998</v>
      </c>
      <c r="E2802">
        <v>0.46876509999999999</v>
      </c>
      <c r="F2802" t="s">
        <v>46</v>
      </c>
      <c r="G2802">
        <v>-479.23230000000001</v>
      </c>
      <c r="H2802" s="1">
        <v>2.2615619999999999E-6</v>
      </c>
      <c r="I2802">
        <v>281.66039999999998</v>
      </c>
      <c r="J2802">
        <v>-463.92450000000002</v>
      </c>
      <c r="K2802">
        <v>1.1145130000000001</v>
      </c>
      <c r="L2802">
        <v>285.40260000000001</v>
      </c>
      <c r="M2802">
        <v>-0.99918359999999995</v>
      </c>
      <c r="N2802">
        <v>0</v>
      </c>
      <c r="O2802">
        <v>-3.3782E-2</v>
      </c>
      <c r="P2802">
        <v>-0.97376030000000002</v>
      </c>
      <c r="Q2802">
        <v>0.1653655</v>
      </c>
      <c r="R2802">
        <v>-0.15634990000000001</v>
      </c>
      <c r="S2802">
        <v>-3.0047299999999999</v>
      </c>
      <c r="T2802">
        <v>-0.2144394</v>
      </c>
      <c r="U2802">
        <v>-0.72253420000000002</v>
      </c>
      <c r="V2802">
        <v>-0.12482650000000001</v>
      </c>
      <c r="W2802">
        <v>0.186026</v>
      </c>
      <c r="X2802">
        <v>0.97458330000000004</v>
      </c>
      <c r="Y2802">
        <v>-0.2004138</v>
      </c>
      <c r="Z2802">
        <v>-4.6703819999999998E-3</v>
      </c>
      <c r="AA2802">
        <v>0.97970020000000002</v>
      </c>
      <c r="AB2802">
        <v>37</v>
      </c>
      <c r="AC2802">
        <v>-15.307799999999901</v>
      </c>
      <c r="AD2802">
        <v>-1.114510738438</v>
      </c>
      <c r="AE2802">
        <v>-3.74220000000002</v>
      </c>
      <c r="AF2802">
        <v>-3.20676800815931</v>
      </c>
      <c r="AG2802">
        <v>-1.114510738438</v>
      </c>
      <c r="AH2802">
        <v>15.3487357063328</v>
      </c>
      <c r="AI2802">
        <v>94.065621661620796</v>
      </c>
      <c r="AJ2802">
        <v>101.80089441155999</v>
      </c>
      <c r="AK2802">
        <v>15.719706836550801</v>
      </c>
      <c r="AL2802">
        <v>79.279043349943095</v>
      </c>
      <c r="AM2802">
        <v>97.298814254423704</v>
      </c>
      <c r="AN2802">
        <v>0.99999996820856896</v>
      </c>
    </row>
    <row r="2803" spans="1:40" x14ac:dyDescent="0.25">
      <c r="A2803" t="str">
        <f>"20190312164042976"</f>
        <v>20190312164042976</v>
      </c>
      <c r="B2803" t="str">
        <f>"1552380042969308"</f>
        <v>1552380042969308</v>
      </c>
      <c r="C2803" t="s">
        <v>40</v>
      </c>
      <c r="D2803">
        <v>5.6079929999999996</v>
      </c>
      <c r="E2803">
        <v>0.46847660000000002</v>
      </c>
      <c r="F2803" t="s">
        <v>46</v>
      </c>
      <c r="G2803">
        <v>-479.5883</v>
      </c>
      <c r="H2803" s="1">
        <v>2.0887259999999999E-6</v>
      </c>
      <c r="I2803">
        <v>281.48910000000001</v>
      </c>
      <c r="J2803">
        <v>-464.29050000000001</v>
      </c>
      <c r="K2803">
        <v>1.1147560000000001</v>
      </c>
      <c r="L2803">
        <v>285.38639999999998</v>
      </c>
      <c r="M2803">
        <v>-0.99904850000000001</v>
      </c>
      <c r="N2803">
        <v>0</v>
      </c>
      <c r="O2803">
        <v>-3.7539299999999998E-2</v>
      </c>
      <c r="P2803">
        <v>-0.97187699999999999</v>
      </c>
      <c r="Q2803">
        <v>0.16601070000000001</v>
      </c>
      <c r="R2803">
        <v>-0.16702020000000001</v>
      </c>
      <c r="S2803">
        <v>-2.9968569999999999</v>
      </c>
      <c r="T2803">
        <v>-0.21323339999999999</v>
      </c>
      <c r="U2803">
        <v>-0.74874879999999999</v>
      </c>
      <c r="V2803">
        <v>-0.13198869999999999</v>
      </c>
      <c r="W2803">
        <v>0.18656710000000001</v>
      </c>
      <c r="X2803">
        <v>0.9735357</v>
      </c>
      <c r="Y2803">
        <v>-0.20539560000000001</v>
      </c>
      <c r="Z2803">
        <v>-4.5633330000000001E-3</v>
      </c>
      <c r="AA2803">
        <v>0.97866839999999999</v>
      </c>
      <c r="AB2803">
        <v>37</v>
      </c>
      <c r="AC2803">
        <v>-15.297799999999899</v>
      </c>
      <c r="AD2803">
        <v>-1.1147539112739999</v>
      </c>
      <c r="AE2803">
        <v>-3.8972999999999698</v>
      </c>
      <c r="AF2803">
        <v>-3.30366785042991</v>
      </c>
      <c r="AG2803">
        <v>-1.1147539112739999</v>
      </c>
      <c r="AH2803">
        <v>15.356774564476799</v>
      </c>
      <c r="AI2803">
        <v>94.059291035417303</v>
      </c>
      <c r="AJ2803">
        <v>102.140874311579</v>
      </c>
      <c r="AK2803">
        <v>15.7476164092483</v>
      </c>
      <c r="AL2803">
        <v>79.247488849931997</v>
      </c>
      <c r="AM2803">
        <v>97.720893015749596</v>
      </c>
      <c r="AN2803">
        <v>1.0000000294522899</v>
      </c>
    </row>
    <row r="2804" spans="1:40" x14ac:dyDescent="0.25">
      <c r="A2804" t="str">
        <f>"20190312164042999"</f>
        <v>20190312164042999</v>
      </c>
      <c r="B2804" t="str">
        <f>"1552380042988828"</f>
        <v>1552380042988828</v>
      </c>
      <c r="C2804" t="s">
        <v>40</v>
      </c>
      <c r="D2804">
        <v>5.6313690000000003</v>
      </c>
      <c r="E2804">
        <v>0.4653853</v>
      </c>
      <c r="F2804" t="s">
        <v>46</v>
      </c>
      <c r="G2804">
        <v>-480.08179999999999</v>
      </c>
      <c r="H2804" s="1">
        <v>1.9258339999999999E-6</v>
      </c>
      <c r="I2804">
        <v>281.24849999999998</v>
      </c>
      <c r="J2804">
        <v>-464.64640000000003</v>
      </c>
      <c r="K2804">
        <v>1.1150040000000001</v>
      </c>
      <c r="L2804">
        <v>285.36900000000003</v>
      </c>
      <c r="M2804">
        <v>-0.99888920000000003</v>
      </c>
      <c r="N2804">
        <v>0</v>
      </c>
      <c r="O2804">
        <v>-4.1538890000000002E-2</v>
      </c>
      <c r="P2804">
        <v>-0.97004840000000003</v>
      </c>
      <c r="Q2804">
        <v>0.166270899999999</v>
      </c>
      <c r="R2804">
        <v>-0.177088</v>
      </c>
      <c r="S2804">
        <v>-2.9883120000000001</v>
      </c>
      <c r="T2804">
        <v>-0.21095320000000001</v>
      </c>
      <c r="U2804">
        <v>-0.78305049999999998</v>
      </c>
      <c r="V2804">
        <v>-0.138324</v>
      </c>
      <c r="W2804">
        <v>0.18671470000000001</v>
      </c>
      <c r="X2804">
        <v>0.97262740000000003</v>
      </c>
      <c r="Y2804">
        <v>-0.2126712</v>
      </c>
      <c r="Z2804">
        <v>-4.4966779999999996E-3</v>
      </c>
      <c r="AA2804">
        <v>0.97711349999999997</v>
      </c>
      <c r="AB2804">
        <v>37</v>
      </c>
      <c r="AC2804">
        <v>-15.4353999999999</v>
      </c>
      <c r="AD2804">
        <v>-1.1150020741660001</v>
      </c>
      <c r="AE2804">
        <v>-4.1205000000000496</v>
      </c>
      <c r="AF2804">
        <v>-3.4587659887147</v>
      </c>
      <c r="AG2804">
        <v>-1.1150020741660001</v>
      </c>
      <c r="AH2804">
        <v>15.5176873949703</v>
      </c>
      <c r="AI2804">
        <v>94.011734307395798</v>
      </c>
      <c r="AJ2804">
        <v>102.56536364755</v>
      </c>
      <c r="AK2804">
        <v>15.937531611830799</v>
      </c>
      <c r="AL2804">
        <v>79.238880234841901</v>
      </c>
      <c r="AM2804">
        <v>98.094146487295703</v>
      </c>
      <c r="AN2804">
        <v>0.99999998370142396</v>
      </c>
    </row>
    <row r="2805" spans="1:40" x14ac:dyDescent="0.25">
      <c r="A2805" t="str">
        <f>"20190312164043021"</f>
        <v>20190312164043021</v>
      </c>
      <c r="B2805" t="str">
        <f>"1552380043009324"</f>
        <v>1552380043009324</v>
      </c>
      <c r="C2805" t="s">
        <v>40</v>
      </c>
      <c r="D2805">
        <v>6.0232239999999999</v>
      </c>
      <c r="E2805">
        <v>0.4637174</v>
      </c>
      <c r="F2805" t="s">
        <v>46</v>
      </c>
      <c r="G2805">
        <v>-479.91300000000001</v>
      </c>
      <c r="H2805" s="1">
        <v>1.9087649999999999E-6</v>
      </c>
      <c r="I2805">
        <v>281.07799999999997</v>
      </c>
      <c r="J2805">
        <v>-465.00760000000002</v>
      </c>
      <c r="K2805">
        <v>1.1152820000000001</v>
      </c>
      <c r="L2805">
        <v>285.3494</v>
      </c>
      <c r="M2805">
        <v>-0.99869330000000001</v>
      </c>
      <c r="N2805">
        <v>0</v>
      </c>
      <c r="O2805">
        <v>-4.5987809999999997E-2</v>
      </c>
      <c r="P2805">
        <v>-0.96828639999999999</v>
      </c>
      <c r="Q2805">
        <v>0.16451170000000001</v>
      </c>
      <c r="R2805">
        <v>-0.18803610000000001</v>
      </c>
      <c r="S2805">
        <v>-2.9771420000000002</v>
      </c>
      <c r="T2805">
        <v>-0.21743670000000001</v>
      </c>
      <c r="U2805">
        <v>-0.83679199999999998</v>
      </c>
      <c r="V2805">
        <v>-0.14509920000000001</v>
      </c>
      <c r="W2805">
        <v>0.18482460000000001</v>
      </c>
      <c r="X2805">
        <v>0.97200109999999995</v>
      </c>
      <c r="Y2805">
        <v>-0.22557540000000001</v>
      </c>
      <c r="Z2805">
        <v>-4.7852620000000002E-3</v>
      </c>
      <c r="AA2805">
        <v>0.97421400000000002</v>
      </c>
      <c r="AB2805">
        <v>37</v>
      </c>
      <c r="AC2805">
        <v>-14.905399999999901</v>
      </c>
      <c r="AD2805">
        <v>-1.1152800912349901</v>
      </c>
      <c r="AE2805">
        <v>-4.2714000000000203</v>
      </c>
      <c r="AF2805">
        <v>-3.5628085173492701</v>
      </c>
      <c r="AG2805">
        <v>-1.1152800912349901</v>
      </c>
      <c r="AH2805">
        <v>15.0084535172125</v>
      </c>
      <c r="AI2805">
        <v>94.135339511953902</v>
      </c>
      <c r="AJ2805">
        <v>103.354077863461</v>
      </c>
      <c r="AK2805">
        <v>15.4658052228628</v>
      </c>
      <c r="AL2805">
        <v>79.349093893647293</v>
      </c>
      <c r="AM2805">
        <v>98.490351337137398</v>
      </c>
      <c r="AN2805">
        <v>1.0000000245034999</v>
      </c>
    </row>
    <row r="2806" spans="1:40" x14ac:dyDescent="0.25">
      <c r="A2806" t="str">
        <f>"20190312164043043"</f>
        <v>20190312164043043</v>
      </c>
      <c r="B2806" t="str">
        <f>"1552380043038604"</f>
        <v>1552380043038604</v>
      </c>
      <c r="C2806" t="s">
        <v>40</v>
      </c>
      <c r="D2806">
        <v>5.6825979999999996</v>
      </c>
      <c r="E2806">
        <v>0.46149220000000002</v>
      </c>
      <c r="F2806" t="s">
        <v>46</v>
      </c>
      <c r="G2806">
        <v>-479.9126</v>
      </c>
      <c r="H2806" s="1">
        <v>1.8951470000000001E-6</v>
      </c>
      <c r="I2806">
        <v>280.92020000000002</v>
      </c>
      <c r="J2806">
        <v>-465.36880000000002</v>
      </c>
      <c r="K2806">
        <v>1.115556</v>
      </c>
      <c r="L2806">
        <v>285.32780000000002</v>
      </c>
      <c r="M2806">
        <v>-0.99846120000000005</v>
      </c>
      <c r="N2806">
        <v>0</v>
      </c>
      <c r="O2806">
        <v>-5.0761460000000001E-2</v>
      </c>
      <c r="P2806">
        <v>-0.96642030000000001</v>
      </c>
      <c r="Q2806">
        <v>0.16217509999999999</v>
      </c>
      <c r="R2806">
        <v>-0.1993277</v>
      </c>
      <c r="S2806">
        <v>-2.964874</v>
      </c>
      <c r="T2806">
        <v>-0.22184909999999999</v>
      </c>
      <c r="U2806">
        <v>-0.88104249999999995</v>
      </c>
      <c r="V2806">
        <v>-0.15190339999999999</v>
      </c>
      <c r="W2806">
        <v>0.18234919999999999</v>
      </c>
      <c r="X2806">
        <v>0.97142890000000004</v>
      </c>
      <c r="Y2806">
        <v>-0.23533899999999999</v>
      </c>
      <c r="Z2806">
        <v>-4.9012270000000002E-3</v>
      </c>
      <c r="AA2806">
        <v>0.97190100000000001</v>
      </c>
      <c r="AB2806">
        <v>37</v>
      </c>
      <c r="AC2806">
        <v>-14.5437999999999</v>
      </c>
      <c r="AD2806">
        <v>-1.115554104853</v>
      </c>
      <c r="AE2806">
        <v>-4.4076000000000004</v>
      </c>
      <c r="AF2806">
        <v>-3.6438316473076702</v>
      </c>
      <c r="AG2806">
        <v>-1.115554104853</v>
      </c>
      <c r="AH2806">
        <v>14.669785235000701</v>
      </c>
      <c r="AI2806">
        <v>94.220874493120405</v>
      </c>
      <c r="AJ2806">
        <v>103.949404259647</v>
      </c>
      <c r="AK2806">
        <v>15.156667472628</v>
      </c>
      <c r="AL2806">
        <v>79.493375841497397</v>
      </c>
      <c r="AM2806">
        <v>98.887431857826698</v>
      </c>
      <c r="AN2806">
        <v>0.99999999071370405</v>
      </c>
    </row>
    <row r="2807" spans="1:40" x14ac:dyDescent="0.25">
      <c r="A2807" t="str">
        <f>"20190312164043065"</f>
        <v>20190312164043065</v>
      </c>
      <c r="B2807" t="str">
        <f>"1552380043059104"</f>
        <v>1552380043059104</v>
      </c>
      <c r="C2807" t="s">
        <v>40</v>
      </c>
      <c r="D2807">
        <v>5.7152699999999896</v>
      </c>
      <c r="E2807">
        <v>0.46042169999999999</v>
      </c>
      <c r="F2807" t="s">
        <v>46</v>
      </c>
      <c r="G2807">
        <v>-479.6343</v>
      </c>
      <c r="H2807" s="1">
        <v>2.0100869999999999E-6</v>
      </c>
      <c r="I2807">
        <v>280.82319999999999</v>
      </c>
      <c r="J2807">
        <v>-465.73329999999999</v>
      </c>
      <c r="K2807">
        <v>1.1158239999999999</v>
      </c>
      <c r="L2807">
        <v>285.3039</v>
      </c>
      <c r="M2807">
        <v>-0.99818499999999999</v>
      </c>
      <c r="N2807">
        <v>0</v>
      </c>
      <c r="O2807">
        <v>-5.5914220000000001E-2</v>
      </c>
      <c r="P2807">
        <v>-0.9644218</v>
      </c>
      <c r="Q2807">
        <v>0.16041069999999999</v>
      </c>
      <c r="R2807">
        <v>-0.21014099999999999</v>
      </c>
      <c r="S2807">
        <v>-2.950806</v>
      </c>
      <c r="T2807">
        <v>-0.23075039999999999</v>
      </c>
      <c r="U2807">
        <v>-0.93176270000000005</v>
      </c>
      <c r="V2807">
        <v>-0.15787590000000001</v>
      </c>
      <c r="W2807">
        <v>0.18044250000000001</v>
      </c>
      <c r="X2807">
        <v>0.97083249999999999</v>
      </c>
      <c r="Y2807">
        <v>-0.2467791</v>
      </c>
      <c r="Z2807">
        <v>-5.1535900000000004E-3</v>
      </c>
      <c r="AA2807">
        <v>0.96905799999999997</v>
      </c>
      <c r="AB2807">
        <v>36</v>
      </c>
      <c r="AC2807">
        <v>-13.901</v>
      </c>
      <c r="AD2807">
        <v>-1.115821989913</v>
      </c>
      <c r="AE2807">
        <v>-4.4807000000000103</v>
      </c>
      <c r="AF2807">
        <v>-3.67478000127953</v>
      </c>
      <c r="AG2807">
        <v>-1.115821989913</v>
      </c>
      <c r="AH2807">
        <v>14.047846126053001</v>
      </c>
      <c r="AI2807">
        <v>94.3942241938081</v>
      </c>
      <c r="AJ2807">
        <v>104.659529975702</v>
      </c>
      <c r="AK2807">
        <v>14.563346028720099</v>
      </c>
      <c r="AL2807">
        <v>79.604464970739798</v>
      </c>
      <c r="AM2807">
        <v>99.236534061671307</v>
      </c>
      <c r="AN2807">
        <v>1.0000000193316501</v>
      </c>
    </row>
    <row r="2808" spans="1:40" x14ac:dyDescent="0.25">
      <c r="A2808" t="str">
        <f>"20190312164043080"</f>
        <v>20190312164043080</v>
      </c>
      <c r="B2808" t="str">
        <f>"1552380043068861"</f>
        <v>1552380043068861</v>
      </c>
      <c r="C2808" t="s">
        <v>40</v>
      </c>
      <c r="D2808">
        <v>5.6179579999999998</v>
      </c>
      <c r="E2808">
        <v>0.45999200000000001</v>
      </c>
      <c r="F2808" t="s">
        <v>46</v>
      </c>
      <c r="G2808">
        <v>-479.4896</v>
      </c>
      <c r="H2808" s="1">
        <v>2.0682299999999999E-6</v>
      </c>
      <c r="I2808">
        <v>280.75420000000003</v>
      </c>
      <c r="J2808">
        <v>-465.96839999999997</v>
      </c>
      <c r="K2808">
        <v>1.115998</v>
      </c>
      <c r="L2808">
        <v>285.28750000000002</v>
      </c>
      <c r="M2808">
        <v>-0.99798310000000001</v>
      </c>
      <c r="N2808">
        <v>0</v>
      </c>
      <c r="O2808">
        <v>-5.9403289999999997E-2</v>
      </c>
      <c r="P2808">
        <v>-0.96308959999999999</v>
      </c>
      <c r="Q2808">
        <v>0.15986029999999901</v>
      </c>
      <c r="R2808">
        <v>-0.21657299999999999</v>
      </c>
      <c r="S2808">
        <v>-2.9385680000000001</v>
      </c>
      <c r="T2808">
        <v>-0.2383583</v>
      </c>
      <c r="U2808">
        <v>-0.97189329999999996</v>
      </c>
      <c r="V2808">
        <v>-0.1610367</v>
      </c>
      <c r="W2808">
        <v>0.17979999999999999</v>
      </c>
      <c r="X2808">
        <v>0.97043250000000003</v>
      </c>
      <c r="Y2808">
        <v>-0.25646010000000002</v>
      </c>
      <c r="Z2808">
        <v>-5.4417449999999996E-3</v>
      </c>
      <c r="AA2808">
        <v>0.9665395</v>
      </c>
      <c r="AB2808">
        <v>36</v>
      </c>
      <c r="AC2808">
        <v>-13.5212</v>
      </c>
      <c r="AD2808">
        <v>-1.1159959317699999</v>
      </c>
      <c r="AE2808">
        <v>-4.5332999999999899</v>
      </c>
      <c r="AF2808">
        <v>-3.6992315855396098</v>
      </c>
      <c r="AG2808">
        <v>-1.1159959317699999</v>
      </c>
      <c r="AH2808">
        <v>13.682877835538299</v>
      </c>
      <c r="AI2808">
        <v>94.501884553818201</v>
      </c>
      <c r="AJ2808">
        <v>105.128520266328</v>
      </c>
      <c r="AK2808">
        <v>14.2179783058439</v>
      </c>
      <c r="AL2808">
        <v>79.641889910139994</v>
      </c>
      <c r="AM2808">
        <v>99.421987678048694</v>
      </c>
      <c r="AN2808">
        <v>1.0000000479015601</v>
      </c>
    </row>
    <row r="2809" spans="1:40" x14ac:dyDescent="0.25">
      <c r="A2809" t="str">
        <f>"20190312164043099"</f>
        <v>20190312164043099</v>
      </c>
      <c r="B2809" t="str">
        <f>"1552380043089357"</f>
        <v>1552380043089357</v>
      </c>
      <c r="C2809" t="s">
        <v>40</v>
      </c>
      <c r="D2809">
        <v>5.6261320000000001</v>
      </c>
      <c r="E2809">
        <v>0.45945649999999899</v>
      </c>
      <c r="F2809" t="s">
        <v>46</v>
      </c>
      <c r="G2809">
        <v>-479.37389999999999</v>
      </c>
      <c r="H2809" s="1">
        <v>2.118365E-6</v>
      </c>
      <c r="I2809">
        <v>280.74090000000001</v>
      </c>
      <c r="J2809">
        <v>-466.25850000000003</v>
      </c>
      <c r="K2809">
        <v>1.116214</v>
      </c>
      <c r="L2809">
        <v>285.26580000000001</v>
      </c>
      <c r="M2809">
        <v>-0.99770289999999995</v>
      </c>
      <c r="N2809">
        <v>0</v>
      </c>
      <c r="O2809">
        <v>-6.3931450000000001E-2</v>
      </c>
      <c r="P2809">
        <v>-0.96073410000000004</v>
      </c>
      <c r="Q2809">
        <v>0.16021270000000001</v>
      </c>
      <c r="R2809">
        <v>-0.22654279999999999</v>
      </c>
      <c r="S2809">
        <v>-2.931854</v>
      </c>
      <c r="T2809">
        <v>-0.24407329999999999</v>
      </c>
      <c r="U2809">
        <v>-0.99435419999999997</v>
      </c>
      <c r="V2809">
        <v>-0.16681279999999901</v>
      </c>
      <c r="W2809">
        <v>0.1799848</v>
      </c>
      <c r="X2809">
        <v>0.96942200000000001</v>
      </c>
      <c r="Y2809">
        <v>-0.25936559999999997</v>
      </c>
      <c r="Z2809">
        <v>-5.3311909999999999E-3</v>
      </c>
      <c r="AA2809">
        <v>0.96576450000000003</v>
      </c>
      <c r="AB2809">
        <v>36</v>
      </c>
      <c r="AC2809">
        <v>-13.1153999999999</v>
      </c>
      <c r="AD2809">
        <v>-1.116211881635</v>
      </c>
      <c r="AE2809">
        <v>-4.5248999999999997</v>
      </c>
      <c r="AF2809">
        <v>-3.65329492267831</v>
      </c>
      <c r="AG2809">
        <v>-1.116211881635</v>
      </c>
      <c r="AH2809">
        <v>13.291877296829499</v>
      </c>
      <c r="AI2809">
        <v>94.629376049953706</v>
      </c>
      <c r="AJ2809">
        <v>105.36835079411701</v>
      </c>
      <c r="AK2809">
        <v>13.8299130449451</v>
      </c>
      <c r="AL2809">
        <v>79.631125825498401</v>
      </c>
      <c r="AM2809">
        <v>99.763526758894898</v>
      </c>
      <c r="AN2809">
        <v>1.00000002627943</v>
      </c>
    </row>
    <row r="2810" spans="1:40" x14ac:dyDescent="0.25">
      <c r="A2810" t="str">
        <f>"20190312164043111"</f>
        <v>20190312164043111</v>
      </c>
      <c r="B2810" t="str">
        <f>"1552380043108876"</f>
        <v>1552380043108876</v>
      </c>
      <c r="C2810" t="s">
        <v>40</v>
      </c>
      <c r="D2810">
        <v>5.7370700000000001</v>
      </c>
      <c r="E2810">
        <v>0.4593103</v>
      </c>
      <c r="F2810" t="s">
        <v>46</v>
      </c>
      <c r="G2810">
        <v>-479.70960000000002</v>
      </c>
      <c r="H2810" s="1">
        <v>1.951649E-6</v>
      </c>
      <c r="I2810">
        <v>280.5367</v>
      </c>
      <c r="J2810">
        <v>-466.4683</v>
      </c>
      <c r="K2810">
        <v>1.1163670000000001</v>
      </c>
      <c r="L2810">
        <v>285.24900000000002</v>
      </c>
      <c r="M2810">
        <v>-0.99747649999999999</v>
      </c>
      <c r="N2810">
        <v>0</v>
      </c>
      <c r="O2810">
        <v>-6.7375569999999996E-2</v>
      </c>
      <c r="P2810">
        <v>-0.95920559999999999</v>
      </c>
      <c r="Q2810">
        <v>0.16086120000000001</v>
      </c>
      <c r="R2810">
        <v>-0.2324833</v>
      </c>
      <c r="S2810">
        <v>-2.920868</v>
      </c>
      <c r="T2810">
        <v>-0.24238170000000001</v>
      </c>
      <c r="U2810">
        <v>-1.0269170000000001</v>
      </c>
      <c r="V2810">
        <v>-0.16955780000000001</v>
      </c>
      <c r="W2810">
        <v>0.1805157</v>
      </c>
      <c r="X2810">
        <v>0.96884689999999996</v>
      </c>
      <c r="Y2810">
        <v>-0.26673909999999901</v>
      </c>
      <c r="Z2810">
        <v>-5.3256950000000001E-3</v>
      </c>
      <c r="AA2810">
        <v>0.96375409999999995</v>
      </c>
      <c r="AB2810">
        <v>36</v>
      </c>
      <c r="AC2810">
        <v>-13.241300000000001</v>
      </c>
      <c r="AD2810">
        <v>-1.1163650483509999</v>
      </c>
      <c r="AE2810">
        <v>-4.7123000000000204</v>
      </c>
      <c r="AF2810">
        <v>-3.7853412065165699</v>
      </c>
      <c r="AG2810">
        <v>-1.1163650483509999</v>
      </c>
      <c r="AH2810">
        <v>13.443951743416299</v>
      </c>
      <c r="AI2810">
        <v>94.569964147567404</v>
      </c>
      <c r="AJ2810">
        <v>105.725341633056</v>
      </c>
      <c r="AK2810">
        <v>14.011242537699401</v>
      </c>
      <c r="AL2810">
        <v>79.600201121929501</v>
      </c>
      <c r="AM2810">
        <v>99.9267959313121</v>
      </c>
      <c r="AN2810">
        <v>1.0000000405634599</v>
      </c>
    </row>
    <row r="2811" spans="1:40" x14ac:dyDescent="0.25">
      <c r="A2811" t="str">
        <f>"20190312164043124"</f>
        <v>20190312164043124</v>
      </c>
      <c r="B2811" t="str">
        <f>"1552380043118638"</f>
        <v>1552380043118638</v>
      </c>
      <c r="C2811" t="s">
        <v>40</v>
      </c>
      <c r="D2811">
        <v>5.8089550000000001</v>
      </c>
      <c r="E2811">
        <v>0.45917730000000001</v>
      </c>
      <c r="F2811" t="s">
        <v>46</v>
      </c>
      <c r="G2811">
        <v>-480.15039999999999</v>
      </c>
      <c r="H2811" s="1">
        <v>1.859057E-6</v>
      </c>
      <c r="I2811">
        <v>280.34550000000002</v>
      </c>
      <c r="J2811">
        <v>-466.66050000000001</v>
      </c>
      <c r="K2811">
        <v>1.116503</v>
      </c>
      <c r="L2811">
        <v>285.23289999999997</v>
      </c>
      <c r="M2811">
        <v>-0.99725379999999997</v>
      </c>
      <c r="N2811">
        <v>0</v>
      </c>
      <c r="O2811">
        <v>-7.0599549999999997E-2</v>
      </c>
      <c r="P2811">
        <v>-0.95680480000000001</v>
      </c>
      <c r="Q2811">
        <v>0.1620491</v>
      </c>
      <c r="R2811">
        <v>-0.2413824</v>
      </c>
      <c r="S2811">
        <v>-2.914307</v>
      </c>
      <c r="T2811">
        <v>-0.23778769999999999</v>
      </c>
      <c r="U2811">
        <v>-1.0444639999999901</v>
      </c>
      <c r="V2811">
        <v>-0.1755342</v>
      </c>
      <c r="W2811">
        <v>0.1815329</v>
      </c>
      <c r="X2811">
        <v>0.9675916</v>
      </c>
      <c r="Y2811">
        <v>-0.26947769999999999</v>
      </c>
      <c r="Z2811">
        <v>-5.0866740000000002E-3</v>
      </c>
      <c r="AA2811">
        <v>0.96299319999999999</v>
      </c>
      <c r="AB2811">
        <v>36</v>
      </c>
      <c r="AC2811">
        <v>-13.489899999999899</v>
      </c>
      <c r="AD2811">
        <v>-1.1165011409429999</v>
      </c>
      <c r="AE2811">
        <v>-4.8873999999999498</v>
      </c>
      <c r="AF2811">
        <v>-3.89896967708551</v>
      </c>
      <c r="AG2811">
        <v>-1.1165011409429999</v>
      </c>
      <c r="AH2811">
        <v>13.718288174388499</v>
      </c>
      <c r="AI2811">
        <v>94.476395818966694</v>
      </c>
      <c r="AJ2811">
        <v>105.866047003471</v>
      </c>
      <c r="AK2811">
        <v>14.305242737406701</v>
      </c>
      <c r="AL2811">
        <v>79.540940117655694</v>
      </c>
      <c r="AM2811">
        <v>100.28240150047</v>
      </c>
      <c r="AN2811">
        <v>0.99999997677130403</v>
      </c>
    </row>
    <row r="2812" spans="1:40" x14ac:dyDescent="0.25">
      <c r="A2812" t="str">
        <f>"20190312164043155"</f>
        <v>20190312164043155</v>
      </c>
      <c r="B2812" t="str">
        <f>"1552380043148893"</f>
        <v>1552380043148893</v>
      </c>
      <c r="C2812" t="s">
        <v>40</v>
      </c>
      <c r="D2812">
        <v>5.7298619999999998</v>
      </c>
      <c r="E2812">
        <v>0.45910109999999899</v>
      </c>
      <c r="F2812" t="s">
        <v>46</v>
      </c>
      <c r="G2812">
        <v>-480.5222</v>
      </c>
      <c r="H2812" s="1">
        <v>1.905806E-6</v>
      </c>
      <c r="I2812">
        <v>280.1259</v>
      </c>
      <c r="J2812">
        <v>-467.15190000000001</v>
      </c>
      <c r="K2812">
        <v>1.1168370000000001</v>
      </c>
      <c r="L2812">
        <v>285.18880000000001</v>
      </c>
      <c r="M2812">
        <v>-0.99660749999999998</v>
      </c>
      <c r="N2812">
        <v>0</v>
      </c>
      <c r="O2812">
        <v>-7.9213469999999994E-2</v>
      </c>
      <c r="P2812">
        <v>-0.95189690000000005</v>
      </c>
      <c r="Q2812">
        <v>0.1648908</v>
      </c>
      <c r="R2812">
        <v>-0.25827119999999998</v>
      </c>
      <c r="S2812">
        <v>-2.9050600000000002</v>
      </c>
      <c r="T2812">
        <v>-0.23399010000000001</v>
      </c>
      <c r="U2812">
        <v>-1.0703129999999901</v>
      </c>
      <c r="V2812">
        <v>-0.1845405</v>
      </c>
      <c r="W2812">
        <v>0.18402830000000001</v>
      </c>
      <c r="X2812">
        <v>0.96544209999999997</v>
      </c>
      <c r="Y2812">
        <v>-0.2697387</v>
      </c>
      <c r="Z2812">
        <v>-4.3588000000000003E-3</v>
      </c>
      <c r="AA2812">
        <v>0.96292370000000005</v>
      </c>
      <c r="AB2812">
        <v>36</v>
      </c>
      <c r="AC2812">
        <v>-13.370299999999901</v>
      </c>
      <c r="AD2812">
        <v>-1.116835094194</v>
      </c>
      <c r="AE2812">
        <v>-5.0629000000000097</v>
      </c>
      <c r="AF2812">
        <v>-3.96342426400075</v>
      </c>
      <c r="AG2812">
        <v>-1.116835094194</v>
      </c>
      <c r="AH2812">
        <v>13.646140698395399</v>
      </c>
      <c r="AI2812">
        <v>94.493904499056498</v>
      </c>
      <c r="AJ2812">
        <v>106.195562349694</v>
      </c>
      <c r="AK2812">
        <v>14.253883978919401</v>
      </c>
      <c r="AL2812">
        <v>79.395514870642202</v>
      </c>
      <c r="AM2812">
        <v>100.821332913118</v>
      </c>
      <c r="AN2812">
        <v>1.0000000298967699</v>
      </c>
    </row>
    <row r="2813" spans="1:40" x14ac:dyDescent="0.25">
      <c r="A2813" t="str">
        <f>"20190312164043178"</f>
        <v>20190312164043178</v>
      </c>
      <c r="B2813" t="str">
        <f>"1552380043168413"</f>
        <v>1552380043168413</v>
      </c>
      <c r="C2813" t="s">
        <v>40</v>
      </c>
      <c r="D2813">
        <v>5.7663789999999997</v>
      </c>
      <c r="E2813">
        <v>0.4589877</v>
      </c>
      <c r="F2813" t="s">
        <v>46</v>
      </c>
      <c r="G2813">
        <v>-481.61070000000001</v>
      </c>
      <c r="H2813" s="1">
        <v>2.0413459999999998E-6</v>
      </c>
      <c r="I2813">
        <v>279.5795</v>
      </c>
      <c r="J2813">
        <v>-467.49680000000001</v>
      </c>
      <c r="K2813">
        <v>1.1170370000000001</v>
      </c>
      <c r="L2813">
        <v>285.15499999999997</v>
      </c>
      <c r="M2813">
        <v>-0.9960833</v>
      </c>
      <c r="N2813">
        <v>0</v>
      </c>
      <c r="O2813">
        <v>-8.5561460000000006E-2</v>
      </c>
      <c r="P2813">
        <v>-0.94842000000000004</v>
      </c>
      <c r="Q2813">
        <v>0.16488139999999901</v>
      </c>
      <c r="R2813">
        <v>-0.27076460000000002</v>
      </c>
      <c r="S2813">
        <v>-2.8864139999999998</v>
      </c>
      <c r="T2813">
        <v>-0.22295300000000001</v>
      </c>
      <c r="U2813">
        <v>-1.1197809999999999</v>
      </c>
      <c r="V2813">
        <v>-0.191193</v>
      </c>
      <c r="W2813">
        <v>0.18377060000000001</v>
      </c>
      <c r="X2813">
        <v>0.96419580000000005</v>
      </c>
      <c r="Y2813">
        <v>-0.28006940000000002</v>
      </c>
      <c r="Z2813">
        <v>-4.0843329999999999E-3</v>
      </c>
      <c r="AA2813">
        <v>0.95997109999999997</v>
      </c>
      <c r="AB2813">
        <v>36</v>
      </c>
      <c r="AC2813">
        <v>-14.113899999999999</v>
      </c>
      <c r="AD2813">
        <v>-1.117034958654</v>
      </c>
      <c r="AE2813">
        <v>-5.5754999999999697</v>
      </c>
      <c r="AF2813">
        <v>-4.3237105122410799</v>
      </c>
      <c r="AG2813">
        <v>-1.117034958654</v>
      </c>
      <c r="AH2813">
        <v>14.460930239302099</v>
      </c>
      <c r="AI2813">
        <v>94.232618685103702</v>
      </c>
      <c r="AJ2813">
        <v>106.64627339763101</v>
      </c>
      <c r="AK2813">
        <v>15.1347528251531</v>
      </c>
      <c r="AL2813">
        <v>79.410535524671502</v>
      </c>
      <c r="AM2813">
        <v>101.215843588382</v>
      </c>
      <c r="AN2813">
        <v>0.99999996870549901</v>
      </c>
    </row>
    <row r="2814" spans="1:40" x14ac:dyDescent="0.25">
      <c r="A2814" t="str">
        <f>"20190312164043199"</f>
        <v>20190312164043199</v>
      </c>
      <c r="B2814" t="str">
        <f>"1552380043188909"</f>
        <v>1552380043188909</v>
      </c>
      <c r="C2814" t="s">
        <v>40</v>
      </c>
      <c r="D2814">
        <v>5.7442739999999999</v>
      </c>
      <c r="E2814">
        <v>0.45881640000000001</v>
      </c>
      <c r="F2814" t="s">
        <v>46</v>
      </c>
      <c r="G2814">
        <v>-481.90649999999999</v>
      </c>
      <c r="H2814" s="1">
        <v>2.0122520000000001E-6</v>
      </c>
      <c r="I2814">
        <v>279.34879999999998</v>
      </c>
      <c r="J2814">
        <v>-467.83580000000001</v>
      </c>
      <c r="K2814">
        <v>1.1172059999999999</v>
      </c>
      <c r="L2814">
        <v>285.11919999999998</v>
      </c>
      <c r="M2814">
        <v>-0.99550740000000004</v>
      </c>
      <c r="N2814">
        <v>0</v>
      </c>
      <c r="O2814">
        <v>-9.2033019999999993E-2</v>
      </c>
      <c r="P2814">
        <v>-0.94522479999999998</v>
      </c>
      <c r="Q2814">
        <v>0.16239879999999901</v>
      </c>
      <c r="R2814">
        <v>-0.2831554</v>
      </c>
      <c r="S2814">
        <v>-2.8715519999999999</v>
      </c>
      <c r="T2814">
        <v>-0.2226022</v>
      </c>
      <c r="U2814">
        <v>-1.157043</v>
      </c>
      <c r="V2814">
        <v>-0.1975703</v>
      </c>
      <c r="W2814">
        <v>0.1810485</v>
      </c>
      <c r="X2814">
        <v>0.96342490000000003</v>
      </c>
      <c r="Y2814">
        <v>-0.28626560000000001</v>
      </c>
      <c r="Z2814">
        <v>-3.8431289999999998E-3</v>
      </c>
      <c r="AA2814">
        <v>0.95814259999999996</v>
      </c>
      <c r="AB2814">
        <v>35</v>
      </c>
      <c r="AC2814">
        <v>-14.070699999999899</v>
      </c>
      <c r="AD2814">
        <v>-1.117203987748</v>
      </c>
      <c r="AE2814">
        <v>-5.7703999999999898</v>
      </c>
      <c r="AF2814">
        <v>-4.4267190351864496</v>
      </c>
      <c r="AG2814">
        <v>-1.117203987748</v>
      </c>
      <c r="AH2814">
        <v>14.464095085550101</v>
      </c>
      <c r="AI2814">
        <v>94.224094974974093</v>
      </c>
      <c r="AJ2814">
        <v>107.01666764382701</v>
      </c>
      <c r="AK2814">
        <v>15.167532192501</v>
      </c>
      <c r="AL2814">
        <v>79.569162722585602</v>
      </c>
      <c r="AM2814">
        <v>101.589018255908</v>
      </c>
      <c r="AN2814">
        <v>1.0000000603671699</v>
      </c>
    </row>
    <row r="2815" spans="1:40" x14ac:dyDescent="0.25">
      <c r="A2815" t="str">
        <f>"20190312164043222"</f>
        <v>20190312164043222</v>
      </c>
      <c r="B2815" t="str">
        <f>"1552380043219165"</f>
        <v>1552380043219165</v>
      </c>
      <c r="C2815" t="s">
        <v>40</v>
      </c>
      <c r="D2815">
        <v>6.0968439999999999</v>
      </c>
      <c r="E2815">
        <v>0.45886339999999998</v>
      </c>
      <c r="F2815" t="s">
        <v>46</v>
      </c>
      <c r="G2815">
        <v>-481.59010000000001</v>
      </c>
      <c r="H2815" s="1">
        <v>1.961361E-6</v>
      </c>
      <c r="I2815">
        <v>279.36360000000002</v>
      </c>
      <c r="J2815">
        <v>-468.17899999999997</v>
      </c>
      <c r="K2815">
        <v>1.1173420000000001</v>
      </c>
      <c r="L2815">
        <v>285.08049999999997</v>
      </c>
      <c r="M2815">
        <v>-0.99485990000000002</v>
      </c>
      <c r="N2815">
        <v>0</v>
      </c>
      <c r="O2815">
        <v>-9.8803039999999995E-2</v>
      </c>
      <c r="P2815">
        <v>-0.94216809999999995</v>
      </c>
      <c r="Q2815">
        <v>0.157995</v>
      </c>
      <c r="R2815">
        <v>-0.2955623</v>
      </c>
      <c r="S2815">
        <v>-2.8557429999999999</v>
      </c>
      <c r="T2815">
        <v>-0.23196020000000001</v>
      </c>
      <c r="U2815">
        <v>-1.1950069999999999</v>
      </c>
      <c r="V2815">
        <v>-0.20363829999999999</v>
      </c>
      <c r="W2815">
        <v>0.17639349999999901</v>
      </c>
      <c r="X2815">
        <v>0.96302480000000001</v>
      </c>
      <c r="Y2815">
        <v>-0.29242780000000002</v>
      </c>
      <c r="Z2815">
        <v>-3.7356329999999999E-3</v>
      </c>
      <c r="AA2815">
        <v>0.95628029999999997</v>
      </c>
      <c r="AB2815">
        <v>35</v>
      </c>
      <c r="AC2815">
        <v>-13.4110999999999</v>
      </c>
      <c r="AD2815">
        <v>-1.117340038639</v>
      </c>
      <c r="AE2815">
        <v>-5.7168999999999501</v>
      </c>
      <c r="AF2815">
        <v>-4.3380486990078602</v>
      </c>
      <c r="AG2815">
        <v>-1.117340038639</v>
      </c>
      <c r="AH2815">
        <v>13.829201482588701</v>
      </c>
      <c r="AI2815">
        <v>94.408313766008007</v>
      </c>
      <c r="AJ2815">
        <v>107.41599312714899</v>
      </c>
      <c r="AK2815">
        <v>14.5366409091971</v>
      </c>
      <c r="AL2815">
        <v>79.840238546675195</v>
      </c>
      <c r="AM2815">
        <v>101.939707625105</v>
      </c>
      <c r="AN2815">
        <v>0.99999999474209</v>
      </c>
    </row>
    <row r="2816" spans="1:40" x14ac:dyDescent="0.25">
      <c r="A2816" t="str">
        <f>"20190312164043244"</f>
        <v>20190312164043244</v>
      </c>
      <c r="B2816" t="str">
        <f>"1552380043238684"</f>
        <v>1552380043238684</v>
      </c>
      <c r="C2816" t="s">
        <v>40</v>
      </c>
      <c r="D2816">
        <v>5.711589</v>
      </c>
      <c r="E2816">
        <v>0.459032</v>
      </c>
      <c r="F2816" t="s">
        <v>46</v>
      </c>
      <c r="G2816">
        <v>-481.1105</v>
      </c>
      <c r="H2816" s="1">
        <v>1.9141809999999999E-6</v>
      </c>
      <c r="I2816">
        <v>279.4708</v>
      </c>
      <c r="J2816">
        <v>-468.52199999999999</v>
      </c>
      <c r="K2816">
        <v>1.117459</v>
      </c>
      <c r="L2816">
        <v>285.03930000000003</v>
      </c>
      <c r="M2816">
        <v>-0.99414880000000005</v>
      </c>
      <c r="N2816">
        <v>0</v>
      </c>
      <c r="O2816">
        <v>-0.1057404</v>
      </c>
      <c r="P2816">
        <v>-0.93887200000000004</v>
      </c>
      <c r="Q2816">
        <v>0.15468560000000001</v>
      </c>
      <c r="R2816">
        <v>-0.30755840000000001</v>
      </c>
      <c r="S2816">
        <v>-2.838959</v>
      </c>
      <c r="T2816">
        <v>-0.24529860000000001</v>
      </c>
      <c r="U2816">
        <v>-1.2315370000000001</v>
      </c>
      <c r="V2816">
        <v>-0.20917669999999999</v>
      </c>
      <c r="W2816">
        <v>0.1728219</v>
      </c>
      <c r="X2816">
        <v>0.96248520000000004</v>
      </c>
      <c r="Y2816">
        <v>-0.29810740000000002</v>
      </c>
      <c r="Z2816">
        <v>-3.6328749999999998E-3</v>
      </c>
      <c r="AA2816">
        <v>0.95452539999999997</v>
      </c>
      <c r="AB2816">
        <v>35</v>
      </c>
      <c r="AC2816">
        <v>-12.5885</v>
      </c>
      <c r="AD2816">
        <v>-1.1174570858190001</v>
      </c>
      <c r="AE2816">
        <v>-5.5685000000000198</v>
      </c>
      <c r="AF2816">
        <v>-4.1782931026789099</v>
      </c>
      <c r="AG2816">
        <v>-1.1174570858190001</v>
      </c>
      <c r="AH2816">
        <v>13.0210384893441</v>
      </c>
      <c r="AI2816">
        <v>94.671564407202197</v>
      </c>
      <c r="AJ2816">
        <v>107.790804780811</v>
      </c>
      <c r="AK2816">
        <v>13.720578957592201</v>
      </c>
      <c r="AL2816">
        <v>80.048069310731407</v>
      </c>
      <c r="AM2816">
        <v>102.26140785734199</v>
      </c>
      <c r="AN2816">
        <v>1.0000000305807599</v>
      </c>
    </row>
    <row r="2817" spans="1:40" x14ac:dyDescent="0.25">
      <c r="A2817" t="str">
        <f>"20190312164043266"</f>
        <v>20190312164043266</v>
      </c>
      <c r="B2817" t="str">
        <f>"1552380043259184"</f>
        <v>1552380043259184</v>
      </c>
      <c r="C2817" t="s">
        <v>40</v>
      </c>
      <c r="D2817">
        <v>5.749187</v>
      </c>
      <c r="E2817">
        <v>0.45917479999999999</v>
      </c>
      <c r="F2817" t="s">
        <v>46</v>
      </c>
      <c r="G2817">
        <v>-480.86849999999998</v>
      </c>
      <c r="H2817" s="1">
        <v>1.8838179999999999E-6</v>
      </c>
      <c r="I2817">
        <v>279.50630000000001</v>
      </c>
      <c r="J2817">
        <v>-468.85939999999999</v>
      </c>
      <c r="K2817">
        <v>1.11757</v>
      </c>
      <c r="L2817">
        <v>284.99619999999999</v>
      </c>
      <c r="M2817">
        <v>-0.99338199999999999</v>
      </c>
      <c r="N2817">
        <v>0</v>
      </c>
      <c r="O2817">
        <v>-0.1127364</v>
      </c>
      <c r="P2817">
        <v>-0.93535990000000002</v>
      </c>
      <c r="Q2817">
        <v>0.15310480000000001</v>
      </c>
      <c r="R2817">
        <v>-0.3188433</v>
      </c>
      <c r="S2817">
        <v>-2.8229679999999999</v>
      </c>
      <c r="T2817">
        <v>-0.25550149999999999</v>
      </c>
      <c r="U2817">
        <v>-1.2650760000000001</v>
      </c>
      <c r="V2817">
        <v>-0.2140078</v>
      </c>
      <c r="W2817">
        <v>0.17098239999999901</v>
      </c>
      <c r="X2817">
        <v>0.96175129999999998</v>
      </c>
      <c r="Y2817">
        <v>-0.30279840000000002</v>
      </c>
      <c r="Z2817">
        <v>-3.4044040000000002E-3</v>
      </c>
      <c r="AA2817">
        <v>0.95304860000000002</v>
      </c>
      <c r="AB2817">
        <v>35</v>
      </c>
      <c r="AC2817">
        <v>-12.009099999999901</v>
      </c>
      <c r="AD2817">
        <v>-1.1175681161819999</v>
      </c>
      <c r="AE2817">
        <v>-5.4898999999999702</v>
      </c>
      <c r="AF2817">
        <v>-4.0715297709994998</v>
      </c>
      <c r="AG2817">
        <v>-1.1175681161819999</v>
      </c>
      <c r="AH2817">
        <v>12.4622950826185</v>
      </c>
      <c r="AI2817">
        <v>94.872227927761202</v>
      </c>
      <c r="AJ2817">
        <v>108.09262202931301</v>
      </c>
      <c r="AK2817">
        <v>13.158081619168399</v>
      </c>
      <c r="AL2817">
        <v>80.1550566464811</v>
      </c>
      <c r="AM2817">
        <v>102.545002804506</v>
      </c>
      <c r="AN2817">
        <v>0.999999941311143</v>
      </c>
    </row>
    <row r="2818" spans="1:40" x14ac:dyDescent="0.25">
      <c r="A2818" t="str">
        <f>"20190312164043288"</f>
        <v>20190312164043288</v>
      </c>
      <c r="B2818" t="str">
        <f>"1552380043278700"</f>
        <v>1552380043278700</v>
      </c>
      <c r="C2818" t="s">
        <v>40</v>
      </c>
      <c r="D2818">
        <v>5.7282820000000001</v>
      </c>
      <c r="E2818">
        <v>0.45931090000000002</v>
      </c>
      <c r="F2818" t="s">
        <v>46</v>
      </c>
      <c r="G2818">
        <v>-480.81819999999999</v>
      </c>
      <c r="H2818" s="1">
        <v>1.8628209999999999E-6</v>
      </c>
      <c r="I2818">
        <v>279.47219999999999</v>
      </c>
      <c r="J2818">
        <v>-469.19310000000002</v>
      </c>
      <c r="K2818">
        <v>1.117686</v>
      </c>
      <c r="L2818">
        <v>284.9511</v>
      </c>
      <c r="M2818">
        <v>-0.99255150000000003</v>
      </c>
      <c r="N2818">
        <v>0</v>
      </c>
      <c r="O2818">
        <v>-0.11985</v>
      </c>
      <c r="P2818">
        <v>-0.9315388</v>
      </c>
      <c r="Q2818">
        <v>0.15286629999999901</v>
      </c>
      <c r="R2818">
        <v>-0.32995069999999999</v>
      </c>
      <c r="S2818">
        <v>-2.8081049999999999</v>
      </c>
      <c r="T2818">
        <v>-0.26242259999999901</v>
      </c>
      <c r="U2818">
        <v>-1.2971189999999999</v>
      </c>
      <c r="V2818">
        <v>-0.21862110000000001</v>
      </c>
      <c r="W2818">
        <v>0.17047029999999999</v>
      </c>
      <c r="X2818">
        <v>0.9608042</v>
      </c>
      <c r="Y2818">
        <v>-0.30682619999999999</v>
      </c>
      <c r="Z2818">
        <v>-3.0652000000000001E-3</v>
      </c>
      <c r="AA2818">
        <v>0.95176059999999996</v>
      </c>
      <c r="AB2818">
        <v>35</v>
      </c>
      <c r="AC2818">
        <v>-11.6250999999999</v>
      </c>
      <c r="AD2818">
        <v>-1.1176841371789901</v>
      </c>
      <c r="AE2818">
        <v>-5.4789000000000003</v>
      </c>
      <c r="AF2818">
        <v>-4.0154171175509799</v>
      </c>
      <c r="AG2818">
        <v>-1.1176841371789901</v>
      </c>
      <c r="AH2818">
        <v>12.1065002203751</v>
      </c>
      <c r="AI2818">
        <v>95.0078598662422</v>
      </c>
      <c r="AJ2818">
        <v>108.349365326941</v>
      </c>
      <c r="AK2818">
        <v>12.803911122948501</v>
      </c>
      <c r="AL2818">
        <v>80.184835686151104</v>
      </c>
      <c r="AM2818">
        <v>102.81881037167901</v>
      </c>
      <c r="AN2818">
        <v>1.0000000096424699</v>
      </c>
    </row>
    <row r="2819" spans="1:40" x14ac:dyDescent="0.25">
      <c r="A2819" t="str">
        <f>"20190312164043310"</f>
        <v>20190312164043310</v>
      </c>
      <c r="B2819" t="str">
        <f>"1552380043299200"</f>
        <v>1552380043299200</v>
      </c>
      <c r="C2819" t="s">
        <v>40</v>
      </c>
      <c r="D2819">
        <v>5.7797219999999996</v>
      </c>
      <c r="E2819">
        <v>0.45951720000000001</v>
      </c>
      <c r="F2819" t="s">
        <v>46</v>
      </c>
      <c r="G2819">
        <v>-480.94850000000002</v>
      </c>
      <c r="H2819" s="1">
        <v>1.8474709999999999E-6</v>
      </c>
      <c r="I2819">
        <v>279.36340000000001</v>
      </c>
      <c r="J2819">
        <v>-469.53489999999999</v>
      </c>
      <c r="K2819">
        <v>1.117815</v>
      </c>
      <c r="L2819">
        <v>284.90210000000002</v>
      </c>
      <c r="M2819">
        <v>-0.99161849999999996</v>
      </c>
      <c r="N2819">
        <v>0</v>
      </c>
      <c r="O2819">
        <v>-0.12736159999999999</v>
      </c>
      <c r="P2819">
        <v>-0.92733779999999999</v>
      </c>
      <c r="Q2819">
        <v>0.15316299999999999</v>
      </c>
      <c r="R2819">
        <v>-0.34144669999999999</v>
      </c>
      <c r="S2819">
        <v>-2.7937319999999999</v>
      </c>
      <c r="T2819">
        <v>-0.265623</v>
      </c>
      <c r="U2819">
        <v>-1.327942</v>
      </c>
      <c r="V2819">
        <v>-0.2233164</v>
      </c>
      <c r="W2819">
        <v>0.17046700000000001</v>
      </c>
      <c r="X2819">
        <v>0.95972429999999997</v>
      </c>
      <c r="Y2819">
        <v>-0.31008190000000002</v>
      </c>
      <c r="Z2819">
        <v>-2.5948780000000001E-3</v>
      </c>
      <c r="AA2819">
        <v>0.9507063</v>
      </c>
      <c r="AB2819">
        <v>35</v>
      </c>
      <c r="AC2819">
        <v>-11.413600000000001</v>
      </c>
      <c r="AD2819">
        <v>-1.117813152529</v>
      </c>
      <c r="AE2819">
        <v>-5.5387000000000004</v>
      </c>
      <c r="AF2819">
        <v>-4.00845660349332</v>
      </c>
      <c r="AG2819">
        <v>-1.117813152529</v>
      </c>
      <c r="AH2819">
        <v>11.9335463667274</v>
      </c>
      <c r="AI2819">
        <v>95.074238425624202</v>
      </c>
      <c r="AJ2819">
        <v>108.567106722117</v>
      </c>
      <c r="AK2819">
        <v>12.6383052452807</v>
      </c>
      <c r="AL2819">
        <v>80.185027200717101</v>
      </c>
      <c r="AM2819">
        <v>103.09895564326899</v>
      </c>
      <c r="AN2819">
        <v>0.99999997230422399</v>
      </c>
    </row>
    <row r="2820" spans="1:40" x14ac:dyDescent="0.25">
      <c r="A2820" t="str">
        <f>"20190312164043333"</f>
        <v>20190312164043333</v>
      </c>
      <c r="B2820" t="str">
        <f>"1552380043328480"</f>
        <v>1552380043328480</v>
      </c>
      <c r="C2820" t="s">
        <v>40</v>
      </c>
      <c r="D2820">
        <v>5.6587899999999998</v>
      </c>
      <c r="E2820">
        <v>0.45894669999999999</v>
      </c>
      <c r="F2820" t="s">
        <v>46</v>
      </c>
      <c r="G2820">
        <v>-481.2396</v>
      </c>
      <c r="H2820" s="1">
        <v>1.834486E-6</v>
      </c>
      <c r="I2820">
        <v>279.18060000000003</v>
      </c>
      <c r="J2820">
        <v>-469.87099999999998</v>
      </c>
      <c r="K2820">
        <v>1.117972</v>
      </c>
      <c r="L2820">
        <v>284.85120000000001</v>
      </c>
      <c r="M2820">
        <v>-0.99061120000000003</v>
      </c>
      <c r="N2820">
        <v>0</v>
      </c>
      <c r="O2820">
        <v>-0.1349911</v>
      </c>
      <c r="P2820">
        <v>-0.92247299999999999</v>
      </c>
      <c r="Q2820">
        <v>0.15459919999999999</v>
      </c>
      <c r="R2820">
        <v>-0.353755599999999</v>
      </c>
      <c r="S2820">
        <v>-2.7787480000000002</v>
      </c>
      <c r="T2820">
        <v>-0.26537319999999998</v>
      </c>
      <c r="U2820">
        <v>-1.3583069999999999</v>
      </c>
      <c r="V2820">
        <v>-0.22883819999999999</v>
      </c>
      <c r="W2820">
        <v>0.171575799999999</v>
      </c>
      <c r="X2820">
        <v>0.95822479999999999</v>
      </c>
      <c r="Y2820">
        <v>-0.31318659999999998</v>
      </c>
      <c r="Z2820">
        <v>-2.0675559999999999E-3</v>
      </c>
      <c r="AA2820">
        <v>0.94968940000000002</v>
      </c>
      <c r="AB2820">
        <v>34</v>
      </c>
      <c r="AC2820">
        <v>-11.368600000000001</v>
      </c>
      <c r="AD2820">
        <v>-1.117970165514</v>
      </c>
      <c r="AE2820">
        <v>-5.6705999999999701</v>
      </c>
      <c r="AF2820">
        <v>-4.0522733514483296</v>
      </c>
      <c r="AG2820">
        <v>-1.117970165514</v>
      </c>
      <c r="AH2820">
        <v>11.9377081335063</v>
      </c>
      <c r="AI2820">
        <v>95.067754700571399</v>
      </c>
      <c r="AJ2820">
        <v>108.749860064193</v>
      </c>
      <c r="AK2820">
        <v>12.6562100206429</v>
      </c>
      <c r="AL2820">
        <v>80.120547676653402</v>
      </c>
      <c r="AM2820">
        <v>103.431503869664</v>
      </c>
      <c r="AN2820">
        <v>0.99999997212995895</v>
      </c>
    </row>
    <row r="2821" spans="1:40" x14ac:dyDescent="0.25">
      <c r="A2821" t="str">
        <f>"20190312164043356"</f>
        <v>20190312164043356</v>
      </c>
      <c r="B2821" t="str">
        <f>"1552380043348972"</f>
        <v>1552380043348972</v>
      </c>
      <c r="C2821" t="s">
        <v>40</v>
      </c>
      <c r="D2821">
        <v>5.7351489999999998</v>
      </c>
      <c r="E2821">
        <v>0.41880970000000001</v>
      </c>
      <c r="F2821" t="s">
        <v>46</v>
      </c>
      <c r="G2821">
        <v>-481.74360000000001</v>
      </c>
      <c r="H2821" s="1">
        <v>1.8035890000000001E-6</v>
      </c>
      <c r="I2821">
        <v>278.84030000000001</v>
      </c>
      <c r="J2821">
        <v>-470.20949999999999</v>
      </c>
      <c r="K2821">
        <v>1.1181559999999999</v>
      </c>
      <c r="L2821">
        <v>284.79700000000003</v>
      </c>
      <c r="M2821">
        <v>-0.98949710000000002</v>
      </c>
      <c r="N2821">
        <v>0</v>
      </c>
      <c r="O2821">
        <v>-0.1429462</v>
      </c>
      <c r="P2821">
        <v>-0.91758360000000005</v>
      </c>
      <c r="Q2821">
        <v>0.1562683</v>
      </c>
      <c r="R2821">
        <v>-0.36554229999999999</v>
      </c>
      <c r="S2821">
        <v>-2.7598569999999998</v>
      </c>
      <c r="T2821">
        <v>-0.25987919999999998</v>
      </c>
      <c r="U2821">
        <v>-1.397278</v>
      </c>
      <c r="V2821">
        <v>-0.23357130000000001</v>
      </c>
      <c r="W2821">
        <v>0.17291909999999999</v>
      </c>
      <c r="X2821">
        <v>0.95684029999999998</v>
      </c>
      <c r="Y2821">
        <v>-0.31888030000000001</v>
      </c>
      <c r="Z2821">
        <v>-1.5978749999999999E-3</v>
      </c>
      <c r="AA2821">
        <v>0.94779369999999996</v>
      </c>
      <c r="AB2821">
        <v>34</v>
      </c>
      <c r="AC2821">
        <v>-11.5341</v>
      </c>
      <c r="AD2821">
        <v>-1.118154196411</v>
      </c>
      <c r="AE2821">
        <v>-5.9567000000000103</v>
      </c>
      <c r="AF2821">
        <v>-4.2150897196063903</v>
      </c>
      <c r="AG2821">
        <v>-1.118154196411</v>
      </c>
      <c r="AH2821">
        <v>12.1769361506568</v>
      </c>
      <c r="AI2821">
        <v>94.959355631379097</v>
      </c>
      <c r="AJ2821">
        <v>109.093477028153</v>
      </c>
      <c r="AK2821">
        <v>12.9342577741614</v>
      </c>
      <c r="AL2821">
        <v>80.042414358909994</v>
      </c>
      <c r="AM2821">
        <v>103.718016374028</v>
      </c>
      <c r="AN2821">
        <v>0.99999996351629405</v>
      </c>
    </row>
    <row r="2822" spans="1:40" x14ac:dyDescent="0.25">
      <c r="A2822" t="str">
        <f>"20190312164043379"</f>
        <v>20190312164043379</v>
      </c>
      <c r="B2822" t="str">
        <f>"1552380043368493"</f>
        <v>1552380043368493</v>
      </c>
      <c r="C2822" t="s">
        <v>40</v>
      </c>
      <c r="D2822">
        <v>5.8012370000000004</v>
      </c>
      <c r="E2822">
        <v>0.41847390000000001</v>
      </c>
      <c r="F2822" t="s">
        <v>46</v>
      </c>
      <c r="G2822">
        <v>-484.04090000000002</v>
      </c>
      <c r="H2822" s="1">
        <v>1.4284740000000001E-6</v>
      </c>
      <c r="I2822">
        <v>275.67110000000002</v>
      </c>
      <c r="J2822">
        <v>-470.53989999999999</v>
      </c>
      <c r="K2822">
        <v>1.1183459999999901</v>
      </c>
      <c r="L2822">
        <v>284.74110000000002</v>
      </c>
      <c r="M2822">
        <v>-0.98830320000000005</v>
      </c>
      <c r="N2822">
        <v>0</v>
      </c>
      <c r="O2822">
        <v>-0.1509953</v>
      </c>
      <c r="P2822">
        <v>-0.91222650000000005</v>
      </c>
      <c r="Q2822">
        <v>0.157356</v>
      </c>
      <c r="R2822">
        <v>-0.37826179999999998</v>
      </c>
      <c r="S2822">
        <v>-2.6174620000000002</v>
      </c>
      <c r="T2822">
        <v>-0.21159929999999999</v>
      </c>
      <c r="U2822">
        <v>-1.72699</v>
      </c>
      <c r="V2822">
        <v>-0.23922779999999999</v>
      </c>
      <c r="W2822">
        <v>0.17365929999999999</v>
      </c>
      <c r="X2822">
        <v>0.95530749999999998</v>
      </c>
      <c r="Y2822">
        <v>-0.41774919999999999</v>
      </c>
      <c r="Z2822">
        <v>-4.4044820000000004E-3</v>
      </c>
      <c r="AA2822">
        <v>0.90855169999999996</v>
      </c>
      <c r="AB2822">
        <v>34</v>
      </c>
      <c r="AC2822">
        <v>-13.500999999999999</v>
      </c>
      <c r="AD2822">
        <v>-1.1183445715260001</v>
      </c>
      <c r="AE2822">
        <v>-9.0699999999999896</v>
      </c>
      <c r="AF2822">
        <v>-6.8943114122010103</v>
      </c>
      <c r="AG2822">
        <v>-1.1183445715260001</v>
      </c>
      <c r="AH2822">
        <v>14.6467269324457</v>
      </c>
      <c r="AI2822">
        <v>93.951936538486606</v>
      </c>
      <c r="AJ2822">
        <v>115.206676835557</v>
      </c>
      <c r="AK2822">
        <v>16.226793714800799</v>
      </c>
      <c r="AL2822">
        <v>79.999352462899907</v>
      </c>
      <c r="AM2822">
        <v>104.05887274801</v>
      </c>
      <c r="AN2822">
        <v>0.99999995616278903</v>
      </c>
    </row>
    <row r="2823" spans="1:40" x14ac:dyDescent="0.25">
      <c r="A2823" t="str">
        <f>"20190312164043400"</f>
        <v>20190312164043400</v>
      </c>
      <c r="B2823" t="str">
        <f>"1552380043388989"</f>
        <v>1552380043388989</v>
      </c>
      <c r="C2823" t="s">
        <v>40</v>
      </c>
      <c r="D2823">
        <v>5.7703949999999997</v>
      </c>
      <c r="E2823">
        <v>0.4196145</v>
      </c>
      <c r="F2823" t="s">
        <v>42</v>
      </c>
      <c r="G2823">
        <v>-471.46480000000003</v>
      </c>
      <c r="H2823">
        <v>1.040818</v>
      </c>
      <c r="I2823">
        <v>284.1121</v>
      </c>
      <c r="J2823">
        <v>-470.86020000000002</v>
      </c>
      <c r="K2823">
        <v>1.1185259999999999</v>
      </c>
      <c r="L2823">
        <v>284.68380000000002</v>
      </c>
      <c r="M2823">
        <v>-0.98703719999999995</v>
      </c>
      <c r="N2823">
        <v>0</v>
      </c>
      <c r="O2823">
        <v>-0.1590742</v>
      </c>
      <c r="P2823">
        <v>-0.90652560000000004</v>
      </c>
      <c r="Q2823">
        <v>0.15771109999999999</v>
      </c>
      <c r="R2823">
        <v>-0.39158480000000001</v>
      </c>
      <c r="S2823">
        <v>-2.5944210000000001</v>
      </c>
      <c r="T2823">
        <v>-0.21749250000000001</v>
      </c>
      <c r="U2823">
        <v>-1.7648009999999901</v>
      </c>
      <c r="V2823">
        <v>-0.24551890000000001</v>
      </c>
      <c r="W2823">
        <v>0.173666299999999</v>
      </c>
      <c r="X2823">
        <v>0.95370880000000002</v>
      </c>
      <c r="Y2823">
        <v>-0.42309649999999999</v>
      </c>
      <c r="Z2823">
        <v>-4.1566499999999996E-3</v>
      </c>
      <c r="AA2823">
        <v>0.90607510000000002</v>
      </c>
      <c r="AB2823">
        <v>34</v>
      </c>
      <c r="AC2823">
        <v>-0.60460000000000402</v>
      </c>
      <c r="AD2823">
        <v>-7.7708000000000096E-2</v>
      </c>
      <c r="AE2823">
        <v>-0.57170000000002097</v>
      </c>
      <c r="AF2823">
        <v>-0.46417074756591298</v>
      </c>
      <c r="AG2823">
        <v>-7.7708000000000096E-2</v>
      </c>
      <c r="AH2823">
        <v>0.68191398018028904</v>
      </c>
      <c r="AI2823">
        <v>95.381544529803904</v>
      </c>
      <c r="AJ2823">
        <v>124.242653690742</v>
      </c>
      <c r="AK2823">
        <v>0.82855276990981197</v>
      </c>
      <c r="AL2823">
        <v>79.998945592617503</v>
      </c>
      <c r="AM2823">
        <v>104.436521728494</v>
      </c>
      <c r="AN2823">
        <v>0.99999999460516997</v>
      </c>
    </row>
    <row r="2824" spans="1:40" x14ac:dyDescent="0.25">
      <c r="A2824" t="str">
        <f>"20190312164043423"</f>
        <v>20190312164043423</v>
      </c>
      <c r="B2824" t="str">
        <f>"1552380043419245"</f>
        <v>1552380043419245</v>
      </c>
      <c r="C2824" t="s">
        <v>40</v>
      </c>
      <c r="D2824">
        <v>5.7200490000000004</v>
      </c>
      <c r="E2824">
        <v>0.41999829999999999</v>
      </c>
      <c r="F2824" t="s">
        <v>42</v>
      </c>
      <c r="G2824">
        <v>-471.75580000000002</v>
      </c>
      <c r="H2824">
        <v>1.037317</v>
      </c>
      <c r="I2824">
        <v>284.0607</v>
      </c>
      <c r="J2824">
        <v>-471.18790000000001</v>
      </c>
      <c r="K2824">
        <v>1.118687</v>
      </c>
      <c r="L2824">
        <v>284.62209999999999</v>
      </c>
      <c r="M2824">
        <v>-0.98563080000000003</v>
      </c>
      <c r="N2824">
        <v>0</v>
      </c>
      <c r="O2824">
        <v>-0.16757949999999999</v>
      </c>
      <c r="P2824">
        <v>-0.90034899999999995</v>
      </c>
      <c r="Q2824">
        <v>0.15726660000000001</v>
      </c>
      <c r="R2824">
        <v>-0.40575749999999999</v>
      </c>
      <c r="S2824">
        <v>-2.5755620000000001</v>
      </c>
      <c r="T2824">
        <v>-0.2335132</v>
      </c>
      <c r="U2824">
        <v>-1.792786</v>
      </c>
      <c r="V2824">
        <v>-0.25232300000000002</v>
      </c>
      <c r="W2824">
        <v>0.172875</v>
      </c>
      <c r="X2824">
        <v>0.95207529999999996</v>
      </c>
      <c r="Y2824">
        <v>-0.4249503</v>
      </c>
      <c r="Z2824">
        <v>-3.8848429999999998E-3</v>
      </c>
      <c r="AA2824">
        <v>0.90520829999999997</v>
      </c>
      <c r="AB2824">
        <v>34</v>
      </c>
      <c r="AC2824">
        <v>-0.56790000000000795</v>
      </c>
      <c r="AD2824">
        <v>-8.1369999999999901E-2</v>
      </c>
      <c r="AE2824">
        <v>-0.56139999999999102</v>
      </c>
      <c r="AF2824">
        <v>-0.45355830872582298</v>
      </c>
      <c r="AG2824">
        <v>-8.1369999999999901E-2</v>
      </c>
      <c r="AH2824">
        <v>0.64724531623360604</v>
      </c>
      <c r="AI2824">
        <v>95.878195247914206</v>
      </c>
      <c r="AJ2824">
        <v>125.020918670301</v>
      </c>
      <c r="AK2824">
        <v>0.79452043126691796</v>
      </c>
      <c r="AL2824">
        <v>80.044980299850096</v>
      </c>
      <c r="AM2824">
        <v>104.843522922953</v>
      </c>
      <c r="AN2824">
        <v>1.00000001941204</v>
      </c>
    </row>
    <row r="2825" spans="1:40" x14ac:dyDescent="0.25">
      <c r="A2825" t="str">
        <f>"20190312164043445"</f>
        <v>20190312164043445</v>
      </c>
      <c r="B2825" t="str">
        <f>"1552380043438764"</f>
        <v>1552380043438764</v>
      </c>
      <c r="C2825" t="s">
        <v>40</v>
      </c>
      <c r="D2825">
        <v>5.7278529999999996</v>
      </c>
      <c r="E2825">
        <v>0.42140529999999998</v>
      </c>
      <c r="F2825" t="s">
        <v>42</v>
      </c>
      <c r="G2825">
        <v>-472.04539999999997</v>
      </c>
      <c r="H2825">
        <v>1.0369090000000001</v>
      </c>
      <c r="I2825">
        <v>284.00740000000002</v>
      </c>
      <c r="J2825">
        <v>-471.51650000000001</v>
      </c>
      <c r="K2825">
        <v>1.118824</v>
      </c>
      <c r="L2825">
        <v>284.55700000000002</v>
      </c>
      <c r="M2825">
        <v>-0.98410390000000003</v>
      </c>
      <c r="N2825">
        <v>0</v>
      </c>
      <c r="O2825">
        <v>-0.17633480000000001</v>
      </c>
      <c r="P2825">
        <v>-0.89424899999999996</v>
      </c>
      <c r="Q2825">
        <v>0.1567451</v>
      </c>
      <c r="R2825">
        <v>-0.41922549999999997</v>
      </c>
      <c r="S2825">
        <v>-2.550751</v>
      </c>
      <c r="T2825">
        <v>-0.2432551</v>
      </c>
      <c r="U2825">
        <v>-1.82785</v>
      </c>
      <c r="V2825">
        <v>-0.25819999999999999</v>
      </c>
      <c r="W2825">
        <v>0.17204410000000001</v>
      </c>
      <c r="X2825">
        <v>0.95064899999999997</v>
      </c>
      <c r="Y2825">
        <v>-0.42924279999999998</v>
      </c>
      <c r="Z2825">
        <v>-3.5321939999999998E-3</v>
      </c>
      <c r="AA2825">
        <v>0.90318229999999999</v>
      </c>
      <c r="AB2825">
        <v>34</v>
      </c>
      <c r="AC2825">
        <v>-0.52889999999996395</v>
      </c>
      <c r="AD2825">
        <v>-8.1914999999999905E-2</v>
      </c>
      <c r="AE2825">
        <v>-0.54959999999999798</v>
      </c>
      <c r="AF2825">
        <v>-0.44259515742378103</v>
      </c>
      <c r="AG2825">
        <v>-8.1914999999999905E-2</v>
      </c>
      <c r="AH2825">
        <v>0.61050258963566095</v>
      </c>
      <c r="AI2825">
        <v>96.199854067891096</v>
      </c>
      <c r="AJ2825">
        <v>125.940929514432</v>
      </c>
      <c r="AK2825">
        <v>0.75849453033745096</v>
      </c>
      <c r="AL2825">
        <v>80.093311003014406</v>
      </c>
      <c r="AM2825">
        <v>105.195194476138</v>
      </c>
      <c r="AN2825">
        <v>0.99999996677290404</v>
      </c>
    </row>
    <row r="2826" spans="1:40" x14ac:dyDescent="0.25">
      <c r="A2826" t="str">
        <f>"20190312164043467"</f>
        <v>20190312164043467</v>
      </c>
      <c r="B2826" t="str">
        <f>"1552380043459264"</f>
        <v>1552380043459264</v>
      </c>
      <c r="C2826" t="s">
        <v>40</v>
      </c>
      <c r="D2826">
        <v>5.7599769999999904</v>
      </c>
      <c r="E2826">
        <v>0.42134709999999997</v>
      </c>
      <c r="F2826" t="s">
        <v>42</v>
      </c>
      <c r="G2826">
        <v>-472.33530000000002</v>
      </c>
      <c r="H2826">
        <v>1.036519</v>
      </c>
      <c r="I2826">
        <v>283.95650000000001</v>
      </c>
      <c r="J2826">
        <v>-471.83249999999998</v>
      </c>
      <c r="K2826">
        <v>1.118935</v>
      </c>
      <c r="L2826">
        <v>284.4914</v>
      </c>
      <c r="M2826">
        <v>-0.98252340000000005</v>
      </c>
      <c r="N2826">
        <v>0</v>
      </c>
      <c r="O2826">
        <v>-0.18494679999999999</v>
      </c>
      <c r="P2826">
        <v>-0.88861270000000003</v>
      </c>
      <c r="Q2826">
        <v>0.15546450000000001</v>
      </c>
      <c r="R2826">
        <v>-0.43150699999999997</v>
      </c>
      <c r="S2826">
        <v>-2.5294189999999999</v>
      </c>
      <c r="T2826">
        <v>-0.25423600000000002</v>
      </c>
      <c r="U2826">
        <v>-1.855591</v>
      </c>
      <c r="V2826">
        <v>-0.26297130000000002</v>
      </c>
      <c r="W2826">
        <v>0.17050409999999999</v>
      </c>
      <c r="X2826">
        <v>0.94961799999999996</v>
      </c>
      <c r="Y2826">
        <v>-0.43135319999999999</v>
      </c>
      <c r="Z2826">
        <v>-3.064116E-3</v>
      </c>
      <c r="AA2826">
        <v>0.90217789999999998</v>
      </c>
      <c r="AB2826">
        <v>33</v>
      </c>
      <c r="AC2826">
        <v>-0.502800000000036</v>
      </c>
      <c r="AD2826">
        <v>-8.2416000000000003E-2</v>
      </c>
      <c r="AE2826">
        <v>-0.53489999999999305</v>
      </c>
      <c r="AF2826">
        <v>-0.42727109351690001</v>
      </c>
      <c r="AG2826">
        <v>-8.2416000000000003E-2</v>
      </c>
      <c r="AH2826">
        <v>0.58569022977225904</v>
      </c>
      <c r="AI2826">
        <v>96.485577817682397</v>
      </c>
      <c r="AJ2826">
        <v>126.11139400683901</v>
      </c>
      <c r="AK2826">
        <v>0.72964788059844998</v>
      </c>
      <c r="AL2826">
        <v>80.182869717647094</v>
      </c>
      <c r="AM2826">
        <v>105.47864721774801</v>
      </c>
      <c r="AN2826">
        <v>0.99999994933224801</v>
      </c>
    </row>
    <row r="2827" spans="1:40" x14ac:dyDescent="0.25">
      <c r="A2827" t="str">
        <f>"20190312164043489"</f>
        <v>20190312164043489</v>
      </c>
      <c r="B2827" t="str">
        <f>"1552380043478780"</f>
        <v>1552380043478780</v>
      </c>
      <c r="C2827" t="s">
        <v>40</v>
      </c>
      <c r="D2827">
        <v>5.7053779999999996</v>
      </c>
      <c r="E2827">
        <v>0.42211739999999998</v>
      </c>
      <c r="F2827" t="s">
        <v>42</v>
      </c>
      <c r="G2827">
        <v>-472.6207</v>
      </c>
      <c r="H2827">
        <v>1.0360560000000001</v>
      </c>
      <c r="I2827">
        <v>283.8965</v>
      </c>
      <c r="J2827">
        <v>-472.14940000000001</v>
      </c>
      <c r="K2827">
        <v>1.1190249999999999</v>
      </c>
      <c r="L2827">
        <v>284.42259999999999</v>
      </c>
      <c r="M2827">
        <v>-0.98082480000000005</v>
      </c>
      <c r="N2827">
        <v>0</v>
      </c>
      <c r="O2827">
        <v>-0.1937605</v>
      </c>
      <c r="P2827">
        <v>-0.88237540000000003</v>
      </c>
      <c r="Q2827">
        <v>0.1531988</v>
      </c>
      <c r="R2827">
        <v>-0.44490960000000002</v>
      </c>
      <c r="S2827">
        <v>-2.5041500000000001</v>
      </c>
      <c r="T2827">
        <v>-0.26329269999999999</v>
      </c>
      <c r="U2827">
        <v>-1.8902890000000001</v>
      </c>
      <c r="V2827">
        <v>-0.26875890000000002</v>
      </c>
      <c r="W2827">
        <v>0.1679715</v>
      </c>
      <c r="X2827">
        <v>0.94844830000000002</v>
      </c>
      <c r="Y2827">
        <v>-0.43554999999999999</v>
      </c>
      <c r="Z2827">
        <v>-2.6029239999999999E-3</v>
      </c>
      <c r="AA2827">
        <v>0.90016079999999998</v>
      </c>
      <c r="AB2827">
        <v>33</v>
      </c>
      <c r="AC2827">
        <v>-0.47129999999998501</v>
      </c>
      <c r="AD2827">
        <v>-8.2969000000000001E-2</v>
      </c>
      <c r="AE2827">
        <v>-0.52609999999998502</v>
      </c>
      <c r="AF2827">
        <v>-0.41900458172512001</v>
      </c>
      <c r="AG2827">
        <v>-8.2969000000000001E-2</v>
      </c>
      <c r="AH2827">
        <v>0.55664364371733499</v>
      </c>
      <c r="AI2827">
        <v>96.791106702731994</v>
      </c>
      <c r="AJ2827">
        <v>126.970019042966</v>
      </c>
      <c r="AK2827">
        <v>0.70164153280614405</v>
      </c>
      <c r="AL2827">
        <v>80.330101077652401</v>
      </c>
      <c r="AM2827">
        <v>105.82097678071</v>
      </c>
      <c r="AN2827">
        <v>0.99999997445717403</v>
      </c>
    </row>
    <row r="2828" spans="1:40" x14ac:dyDescent="0.25">
      <c r="A2828" t="str">
        <f>"20190312164043511"</f>
        <v>20190312164043511</v>
      </c>
      <c r="B2828" t="str">
        <f>"1552380043509038"</f>
        <v>1552380043509038</v>
      </c>
      <c r="C2828" t="s">
        <v>40</v>
      </c>
      <c r="D2828">
        <v>5.7250300000000003</v>
      </c>
      <c r="E2828">
        <v>0.42342289999999999</v>
      </c>
      <c r="F2828" t="s">
        <v>42</v>
      </c>
      <c r="G2828">
        <v>-472.90640000000002</v>
      </c>
      <c r="H2828">
        <v>1.0381400000000001</v>
      </c>
      <c r="I2828">
        <v>283.83629999999999</v>
      </c>
      <c r="J2828">
        <v>-472.4683</v>
      </c>
      <c r="K2828">
        <v>1.119103</v>
      </c>
      <c r="L2828">
        <v>284.35019999999997</v>
      </c>
      <c r="M2828">
        <v>-0.97899990000000003</v>
      </c>
      <c r="N2828">
        <v>0</v>
      </c>
      <c r="O2828">
        <v>-0.20278750000000001</v>
      </c>
      <c r="P2828">
        <v>-0.87580139999999995</v>
      </c>
      <c r="Q2828">
        <v>0.15026320000000001</v>
      </c>
      <c r="R2828">
        <v>-0.45868690000000001</v>
      </c>
      <c r="S2828">
        <v>-2.477875</v>
      </c>
      <c r="T2828">
        <v>-0.26476139999999998</v>
      </c>
      <c r="U2828">
        <v>-1.9198</v>
      </c>
      <c r="V2828">
        <v>-0.27478390000000003</v>
      </c>
      <c r="W2828">
        <v>0.16476250000000001</v>
      </c>
      <c r="X2828">
        <v>0.94728409999999996</v>
      </c>
      <c r="Y2828">
        <v>-0.4385753</v>
      </c>
      <c r="Z2828">
        <v>-1.9693950000000001E-3</v>
      </c>
      <c r="AA2828">
        <v>0.8986923</v>
      </c>
      <c r="AB2828">
        <v>33</v>
      </c>
      <c r="AC2828">
        <v>-0.43810000000001897</v>
      </c>
      <c r="AD2828">
        <v>-8.0962999999999896E-2</v>
      </c>
      <c r="AE2828">
        <v>-0.51389999999997804</v>
      </c>
      <c r="AF2828">
        <v>-0.40848560521478799</v>
      </c>
      <c r="AG2828">
        <v>-8.0962999999999896E-2</v>
      </c>
      <c r="AH2828">
        <v>0.52567258190200306</v>
      </c>
      <c r="AI2828">
        <v>96.934029062110199</v>
      </c>
      <c r="AJ2828">
        <v>127.849789910203</v>
      </c>
      <c r="AK2828">
        <v>0.67063191125997701</v>
      </c>
      <c r="AL2828">
        <v>80.516562294690203</v>
      </c>
      <c r="AM2828">
        <v>106.176148687119</v>
      </c>
      <c r="AN2828">
        <v>1.0000000196091301</v>
      </c>
    </row>
    <row r="2829" spans="1:40" x14ac:dyDescent="0.25">
      <c r="A2829" t="str">
        <f>"20190312164043534"</f>
        <v>20190312164043534</v>
      </c>
      <c r="B2829" t="str">
        <f>"1552380043528560"</f>
        <v>1552380043528560</v>
      </c>
      <c r="C2829" t="s">
        <v>40</v>
      </c>
      <c r="D2829">
        <v>5.8003390000000001</v>
      </c>
      <c r="E2829">
        <v>0.42416350000000003</v>
      </c>
      <c r="F2829" t="s">
        <v>42</v>
      </c>
      <c r="G2829">
        <v>-473.22179999999997</v>
      </c>
      <c r="H2829">
        <v>1.036095</v>
      </c>
      <c r="I2829">
        <v>283.7518</v>
      </c>
      <c r="J2829">
        <v>-472.78579999999999</v>
      </c>
      <c r="K2829">
        <v>1.1191580000000001</v>
      </c>
      <c r="L2829">
        <v>284.2749</v>
      </c>
      <c r="M2829">
        <v>-0.97706360000000003</v>
      </c>
      <c r="N2829">
        <v>0</v>
      </c>
      <c r="O2829">
        <v>-0.2119297</v>
      </c>
      <c r="P2829">
        <v>-0.86863659999999998</v>
      </c>
      <c r="Q2829">
        <v>0.14750260000000001</v>
      </c>
      <c r="R2829">
        <v>-0.47298400000000002</v>
      </c>
      <c r="S2829">
        <v>-2.4520870000000001</v>
      </c>
      <c r="T2829">
        <v>-0.27014270000000001</v>
      </c>
      <c r="U2829">
        <v>-1.9470209999999999</v>
      </c>
      <c r="V2829">
        <v>-0.28135510000000002</v>
      </c>
      <c r="W2829">
        <v>0.161689</v>
      </c>
      <c r="X2829">
        <v>0.94588369999999999</v>
      </c>
      <c r="Y2829">
        <v>-0.4408726</v>
      </c>
      <c r="Z2829">
        <v>-1.298815E-3</v>
      </c>
      <c r="AA2829">
        <v>0.89756879999999994</v>
      </c>
      <c r="AB2829">
        <v>33</v>
      </c>
      <c r="AC2829">
        <v>-0.43599999999997802</v>
      </c>
      <c r="AD2829">
        <v>-8.3063000000000095E-2</v>
      </c>
      <c r="AE2829">
        <v>-0.52309999999999901</v>
      </c>
      <c r="AF2829">
        <v>-0.41265168397771801</v>
      </c>
      <c r="AG2829">
        <v>-8.3063000000000095E-2</v>
      </c>
      <c r="AH2829">
        <v>0.529104177870382</v>
      </c>
      <c r="AI2829">
        <v>97.056802163487106</v>
      </c>
      <c r="AJ2829">
        <v>127.95089301802</v>
      </c>
      <c r="AK2829">
        <v>0.67611545263996098</v>
      </c>
      <c r="AL2829">
        <v>80.695054565125801</v>
      </c>
      <c r="AM2829">
        <v>106.565220688281</v>
      </c>
      <c r="AN2829">
        <v>0.99999999947134999</v>
      </c>
    </row>
    <row r="2830" spans="1:40" x14ac:dyDescent="0.25">
      <c r="A2830" t="str">
        <f>"20190312164043557"</f>
        <v>20190312164043557</v>
      </c>
      <c r="B2830" t="str">
        <f>"1552380043549053"</f>
        <v>1552380043549053</v>
      </c>
      <c r="C2830" t="s">
        <v>40</v>
      </c>
      <c r="D2830">
        <v>5.733695</v>
      </c>
      <c r="E2830">
        <v>0.42453449999999998</v>
      </c>
      <c r="F2830" t="s">
        <v>42</v>
      </c>
      <c r="G2830">
        <v>-473.53750000000002</v>
      </c>
      <c r="H2830">
        <v>1.033555</v>
      </c>
      <c r="I2830">
        <v>283.66120000000001</v>
      </c>
      <c r="J2830">
        <v>-473.10750000000002</v>
      </c>
      <c r="K2830">
        <v>1.1192169999999999</v>
      </c>
      <c r="L2830">
        <v>284.19529999999997</v>
      </c>
      <c r="M2830">
        <v>-0.97498169999999995</v>
      </c>
      <c r="N2830">
        <v>0</v>
      </c>
      <c r="O2830">
        <v>-0.2213215</v>
      </c>
      <c r="P2830">
        <v>-0.86084400000000005</v>
      </c>
      <c r="Q2830">
        <v>0.1458962</v>
      </c>
      <c r="R2830">
        <v>-0.48750650000000001</v>
      </c>
      <c r="S2830">
        <v>-2.4226990000000002</v>
      </c>
      <c r="T2830">
        <v>-0.27583099999999999</v>
      </c>
      <c r="U2830">
        <v>-1.9794620000000001</v>
      </c>
      <c r="V2830">
        <v>-0.28809269999999998</v>
      </c>
      <c r="W2830">
        <v>0.15973780000000001</v>
      </c>
      <c r="X2830">
        <v>0.94418559999999996</v>
      </c>
      <c r="Y2830">
        <v>-0.44474750000000002</v>
      </c>
      <c r="Z2830">
        <v>-6.533992E-4</v>
      </c>
      <c r="AA2830">
        <v>0.8956558</v>
      </c>
      <c r="AB2830">
        <v>33</v>
      </c>
      <c r="AC2830">
        <v>-0.43000000000000599</v>
      </c>
      <c r="AD2830">
        <v>-8.5661999999999905E-2</v>
      </c>
      <c r="AE2830">
        <v>-0.53409999999996605</v>
      </c>
      <c r="AF2830">
        <v>-0.41911914719269699</v>
      </c>
      <c r="AG2830">
        <v>-8.5661999999999905E-2</v>
      </c>
      <c r="AH2830">
        <v>0.52930384419837595</v>
      </c>
      <c r="AI2830">
        <v>97.230996599692901</v>
      </c>
      <c r="AJ2830">
        <v>128.373269959411</v>
      </c>
      <c r="AK2830">
        <v>0.68055962065840503</v>
      </c>
      <c r="AL2830">
        <v>80.808322544223003</v>
      </c>
      <c r="AM2830">
        <v>106.96815088109901</v>
      </c>
      <c r="AN2830">
        <v>1.00000000789474</v>
      </c>
    </row>
    <row r="2831" spans="1:40" x14ac:dyDescent="0.25">
      <c r="A2831" t="str">
        <f>"20190312164043579"</f>
        <v>20190312164043579</v>
      </c>
      <c r="B2831" t="str">
        <f>"1552380043568573"</f>
        <v>1552380043568573</v>
      </c>
      <c r="C2831" t="s">
        <v>40</v>
      </c>
      <c r="D2831">
        <v>5.8011860000000004</v>
      </c>
      <c r="E2831">
        <v>0.425095</v>
      </c>
      <c r="F2831" t="s">
        <v>46</v>
      </c>
      <c r="G2831">
        <v>-482.42849999999999</v>
      </c>
      <c r="H2831" s="1">
        <v>1.4027590000000001E-6</v>
      </c>
      <c r="I2831">
        <v>276.33710000000002</v>
      </c>
      <c r="J2831">
        <v>-473.41410000000002</v>
      </c>
      <c r="K2831">
        <v>1.1192610000000001</v>
      </c>
      <c r="L2831">
        <v>284.11610000000002</v>
      </c>
      <c r="M2831">
        <v>-0.97287820000000003</v>
      </c>
      <c r="N2831">
        <v>0</v>
      </c>
      <c r="O2831">
        <v>-0.23040579999999999</v>
      </c>
      <c r="P2831">
        <v>-0.85346580000000005</v>
      </c>
      <c r="Q2831">
        <v>0.14491760000000001</v>
      </c>
      <c r="R2831">
        <v>-0.50059529999999997</v>
      </c>
      <c r="S2831">
        <v>-2.3916930000000001</v>
      </c>
      <c r="T2831">
        <v>-0.28718399999999999</v>
      </c>
      <c r="U2831">
        <v>-2.0163570000000002</v>
      </c>
      <c r="V2831">
        <v>-0.29368230000000001</v>
      </c>
      <c r="W2831">
        <v>0.1584286</v>
      </c>
      <c r="X2831">
        <v>0.94268289999999999</v>
      </c>
      <c r="Y2831">
        <v>-0.45012619999999998</v>
      </c>
      <c r="Z2831" s="1">
        <v>-8.5579230000000004E-5</v>
      </c>
      <c r="AA2831">
        <v>0.89296500000000001</v>
      </c>
      <c r="AB2831">
        <v>33</v>
      </c>
      <c r="AC2831">
        <v>-9.0143999999999593</v>
      </c>
      <c r="AD2831">
        <v>-1.119259597241</v>
      </c>
      <c r="AE2831">
        <v>-7.7789999999999901</v>
      </c>
      <c r="AF2831">
        <v>-5.44410048451725</v>
      </c>
      <c r="AG2831">
        <v>-1.119259597241</v>
      </c>
      <c r="AH2831">
        <v>10.4719318185826</v>
      </c>
      <c r="AI2831">
        <v>95.417285201919398</v>
      </c>
      <c r="AJ2831">
        <v>117.468815001222</v>
      </c>
      <c r="AK2831">
        <v>11.855476715197</v>
      </c>
      <c r="AL2831">
        <v>80.884301530417204</v>
      </c>
      <c r="AM2831">
        <v>107.30383794952699</v>
      </c>
      <c r="AN2831">
        <v>0.99999998229182896</v>
      </c>
    </row>
    <row r="2832" spans="1:40" x14ac:dyDescent="0.25">
      <c r="A2832" t="str">
        <f>"20190312164043601"</f>
        <v>20190312164043601</v>
      </c>
      <c r="B2832" t="str">
        <f>"1552380043598829"</f>
        <v>1552380043598829</v>
      </c>
      <c r="C2832" t="s">
        <v>40</v>
      </c>
      <c r="D2832">
        <v>5.7187700000000001</v>
      </c>
      <c r="E2832">
        <v>0.42636030000000003</v>
      </c>
      <c r="F2832" t="s">
        <v>42</v>
      </c>
      <c r="G2832">
        <v>-474.25099999999998</v>
      </c>
      <c r="H2832">
        <v>1.0153540000000001</v>
      </c>
      <c r="I2832">
        <v>283.39030000000002</v>
      </c>
      <c r="J2832">
        <v>-473.71940000000001</v>
      </c>
      <c r="K2832">
        <v>1.119292</v>
      </c>
      <c r="L2832">
        <v>284.03399999999999</v>
      </c>
      <c r="M2832">
        <v>-0.97066399999999997</v>
      </c>
      <c r="N2832">
        <v>0</v>
      </c>
      <c r="O2832">
        <v>-0.23957609999999999</v>
      </c>
      <c r="P2832">
        <v>-0.84597319999999998</v>
      </c>
      <c r="Q2832">
        <v>0.14355770000000001</v>
      </c>
      <c r="R2832">
        <v>-0.51353760000000004</v>
      </c>
      <c r="S2832">
        <v>-2.3626710000000002</v>
      </c>
      <c r="T2832">
        <v>-0.29333199999999998</v>
      </c>
      <c r="U2832">
        <v>-2.0496219999999998</v>
      </c>
      <c r="V2832">
        <v>-0.2990949</v>
      </c>
      <c r="W2832">
        <v>0.1567287</v>
      </c>
      <c r="X2832">
        <v>0.9412642</v>
      </c>
      <c r="Y2832">
        <v>-0.45427790000000001</v>
      </c>
      <c r="Z2832">
        <v>5.9672070000000004E-4</v>
      </c>
      <c r="AA2832">
        <v>0.89085979999999998</v>
      </c>
      <c r="AB2832">
        <v>33</v>
      </c>
      <c r="AC2832">
        <v>-0.53159999999996899</v>
      </c>
      <c r="AD2832">
        <v>-0.103937999999999</v>
      </c>
      <c r="AE2832">
        <v>-0.64369999999996697</v>
      </c>
      <c r="AF2832">
        <v>-0.48996617592059899</v>
      </c>
      <c r="AG2832">
        <v>-0.103937999999999</v>
      </c>
      <c r="AH2832">
        <v>0.66012677514600004</v>
      </c>
      <c r="AI2832">
        <v>97.205742380229495</v>
      </c>
      <c r="AJ2832">
        <v>126.58392859891801</v>
      </c>
      <c r="AK2832">
        <v>0.828635819075493</v>
      </c>
      <c r="AL2832">
        <v>80.9829307551596</v>
      </c>
      <c r="AM2832">
        <v>107.62810798459201</v>
      </c>
      <c r="AN2832">
        <v>0.99999996940566904</v>
      </c>
    </row>
    <row r="2833" spans="1:40" x14ac:dyDescent="0.25">
      <c r="A2833" t="str">
        <f>"20190312164043624"</f>
        <v>20190312164043624</v>
      </c>
      <c r="B2833" t="str">
        <f>"1552380043619328"</f>
        <v>1552380043619328</v>
      </c>
      <c r="C2833" t="s">
        <v>40</v>
      </c>
      <c r="D2833">
        <v>5.7859220000000002</v>
      </c>
      <c r="E2833">
        <v>0.43853910000000002</v>
      </c>
      <c r="F2833" t="s">
        <v>42</v>
      </c>
      <c r="G2833">
        <v>-474.52600000000001</v>
      </c>
      <c r="H2833">
        <v>1.0151410000000001</v>
      </c>
      <c r="I2833">
        <v>283.31779999999998</v>
      </c>
      <c r="J2833">
        <v>-474.03489999999999</v>
      </c>
      <c r="K2833">
        <v>1.1193059999999999</v>
      </c>
      <c r="L2833">
        <v>283.94569999999999</v>
      </c>
      <c r="M2833">
        <v>-0.96825280000000002</v>
      </c>
      <c r="N2833">
        <v>0</v>
      </c>
      <c r="O2833">
        <v>-0.24915680000000001</v>
      </c>
      <c r="P2833">
        <v>-0.83758719999999998</v>
      </c>
      <c r="Q2833">
        <v>0.14244949999999901</v>
      </c>
      <c r="R2833">
        <v>-0.52740529999999997</v>
      </c>
      <c r="S2833">
        <v>-2.3373110000000001</v>
      </c>
      <c r="T2833">
        <v>-0.30178339999999998</v>
      </c>
      <c r="U2833">
        <v>-2.075806</v>
      </c>
      <c r="V2833">
        <v>-0.30525760000000002</v>
      </c>
      <c r="W2833">
        <v>0.1552606</v>
      </c>
      <c r="X2833">
        <v>0.93952749999999996</v>
      </c>
      <c r="Y2833">
        <v>-0.45582790000000001</v>
      </c>
      <c r="Z2833">
        <v>1.5071479999999901E-3</v>
      </c>
      <c r="AA2833">
        <v>0.89006669999999999</v>
      </c>
      <c r="AB2833">
        <v>33</v>
      </c>
      <c r="AC2833">
        <v>-0.49110000000001702</v>
      </c>
      <c r="AD2833">
        <v>-0.10416499999999899</v>
      </c>
      <c r="AE2833">
        <v>-0.627900000000011</v>
      </c>
      <c r="AF2833">
        <v>-0.47754962995398498</v>
      </c>
      <c r="AG2833">
        <v>-0.10416499999999899</v>
      </c>
      <c r="AH2833">
        <v>0.62147140601117801</v>
      </c>
      <c r="AI2833">
        <v>97.570480485815196</v>
      </c>
      <c r="AJ2833">
        <v>127.539313185807</v>
      </c>
      <c r="AK2833">
        <v>0.79065207568417795</v>
      </c>
      <c r="AL2833">
        <v>81.068089401757604</v>
      </c>
      <c r="AM2833">
        <v>107.999261407285</v>
      </c>
      <c r="AN2833">
        <v>0.99999998976318405</v>
      </c>
    </row>
    <row r="2834" spans="1:40" x14ac:dyDescent="0.25">
      <c r="A2834" t="str">
        <f>"20190312164043645"</f>
        <v>20190312164043645</v>
      </c>
      <c r="B2834" t="str">
        <f>"1552380043638845"</f>
        <v>1552380043638845</v>
      </c>
      <c r="C2834" t="s">
        <v>40</v>
      </c>
      <c r="D2834">
        <v>5.7381270000000004</v>
      </c>
      <c r="E2834">
        <v>0.43861060000000002</v>
      </c>
      <c r="F2834" t="s">
        <v>42</v>
      </c>
      <c r="G2834">
        <v>-474.81479999999999</v>
      </c>
      <c r="H2834">
        <v>1.0090110000000001</v>
      </c>
      <c r="I2834">
        <v>283.27359999999999</v>
      </c>
      <c r="J2834">
        <v>-474.33550000000002</v>
      </c>
      <c r="K2834">
        <v>1.1193139999999999</v>
      </c>
      <c r="L2834">
        <v>283.85840000000002</v>
      </c>
      <c r="M2834">
        <v>-0.96583370000000002</v>
      </c>
      <c r="N2834">
        <v>0</v>
      </c>
      <c r="O2834">
        <v>-0.25838929999999999</v>
      </c>
      <c r="P2834">
        <v>-0.83071240000000002</v>
      </c>
      <c r="Q2834">
        <v>0.14223520000000001</v>
      </c>
      <c r="R2834">
        <v>-0.53822510000000001</v>
      </c>
      <c r="S2834">
        <v>-2.3586119999999999</v>
      </c>
      <c r="T2834">
        <v>-0.33354699999999998</v>
      </c>
      <c r="U2834">
        <v>-2.0325319999999998</v>
      </c>
      <c r="V2834">
        <v>-0.30847999999999998</v>
      </c>
      <c r="W2834">
        <v>0.15477869999999999</v>
      </c>
      <c r="X2834">
        <v>0.938554</v>
      </c>
      <c r="Y2834">
        <v>-0.4338668</v>
      </c>
      <c r="Z2834">
        <v>4.0553489999999998E-3</v>
      </c>
      <c r="AA2834">
        <v>0.90096790000000004</v>
      </c>
      <c r="AB2834">
        <v>32</v>
      </c>
      <c r="AC2834">
        <v>-0.47929999999996598</v>
      </c>
      <c r="AD2834">
        <v>-0.110302999999999</v>
      </c>
      <c r="AE2834">
        <v>-0.58480000000002896</v>
      </c>
      <c r="AF2834">
        <v>-0.43187118694722698</v>
      </c>
      <c r="AG2834">
        <v>-0.110302999999999</v>
      </c>
      <c r="AH2834">
        <v>0.60135563258227198</v>
      </c>
      <c r="AI2834">
        <v>98.473852970546304</v>
      </c>
      <c r="AJ2834">
        <v>125.68449772098801</v>
      </c>
      <c r="AK2834">
        <v>0.74853728748982895</v>
      </c>
      <c r="AL2834">
        <v>81.096038044565304</v>
      </c>
      <c r="AM2834">
        <v>108.19444360918099</v>
      </c>
      <c r="AN2834">
        <v>0.99999998364484399</v>
      </c>
    </row>
    <row r="2835" spans="1:40" x14ac:dyDescent="0.25">
      <c r="A2835" t="str">
        <f>"20190312164043668"</f>
        <v>20190312164043668</v>
      </c>
      <c r="B2835" t="str">
        <f>"1552380043659342"</f>
        <v>1552380043659342</v>
      </c>
      <c r="C2835" t="s">
        <v>40</v>
      </c>
      <c r="D2835">
        <v>5.8072749999999997</v>
      </c>
      <c r="E2835">
        <v>0.4385886</v>
      </c>
      <c r="F2835" t="s">
        <v>42</v>
      </c>
      <c r="G2835">
        <v>-475.08629999999999</v>
      </c>
      <c r="H2835">
        <v>1.0097989999999999</v>
      </c>
      <c r="I2835">
        <v>283.19499999999999</v>
      </c>
      <c r="J2835">
        <v>-474.63569999999999</v>
      </c>
      <c r="K2835">
        <v>1.119316</v>
      </c>
      <c r="L2835">
        <v>283.76819999999998</v>
      </c>
      <c r="M2835">
        <v>-0.96329430000000005</v>
      </c>
      <c r="N2835">
        <v>0</v>
      </c>
      <c r="O2835">
        <v>-0.26771309999999998</v>
      </c>
      <c r="P2835">
        <v>-0.82212479999999999</v>
      </c>
      <c r="Q2835">
        <v>0.1413644</v>
      </c>
      <c r="R2835">
        <v>-0.55147729999999995</v>
      </c>
      <c r="S2835">
        <v>-2.3331599999999999</v>
      </c>
      <c r="T2835">
        <v>-0.34029979999999999</v>
      </c>
      <c r="U2835">
        <v>-2.0627749999999998</v>
      </c>
      <c r="V2835">
        <v>-0.31442300000000001</v>
      </c>
      <c r="W2835">
        <v>0.1535608</v>
      </c>
      <c r="X2835">
        <v>0.93678030000000001</v>
      </c>
      <c r="Y2835">
        <v>-0.43658780000000003</v>
      </c>
      <c r="Z2835">
        <v>5.04821E-3</v>
      </c>
      <c r="AA2835">
        <v>0.89964750000000004</v>
      </c>
      <c r="AB2835">
        <v>32</v>
      </c>
      <c r="AC2835">
        <v>-0.45060000000000799</v>
      </c>
      <c r="AD2835">
        <v>-0.109517</v>
      </c>
      <c r="AE2835">
        <v>-0.57319999999998505</v>
      </c>
      <c r="AF2835">
        <v>-0.422090517827725</v>
      </c>
      <c r="AG2835">
        <v>-0.109517</v>
      </c>
      <c r="AH2835">
        <v>0.57466366156706705</v>
      </c>
      <c r="AI2835">
        <v>98.732148585520605</v>
      </c>
      <c r="AJ2835">
        <v>126.297285959923</v>
      </c>
      <c r="AK2835">
        <v>0.72138249386490205</v>
      </c>
      <c r="AL2835">
        <v>81.166663414385397</v>
      </c>
      <c r="AM2835">
        <v>108.553925680712</v>
      </c>
      <c r="AN2835">
        <v>1.00000003634686</v>
      </c>
    </row>
    <row r="2836" spans="1:40" x14ac:dyDescent="0.25">
      <c r="A2836" t="str">
        <f>"20190312164043678"</f>
        <v>20190312164043678</v>
      </c>
      <c r="B2836" t="str">
        <f>"1552380043669101"</f>
        <v>1552380043669101</v>
      </c>
      <c r="C2836" t="s">
        <v>40</v>
      </c>
      <c r="D2836">
        <v>5.7703939999999996</v>
      </c>
      <c r="E2836">
        <v>0.43933830000000001</v>
      </c>
      <c r="F2836" t="s">
        <v>42</v>
      </c>
      <c r="G2836">
        <v>-475.35480000000001</v>
      </c>
      <c r="H2836">
        <v>1.008068</v>
      </c>
      <c r="I2836">
        <v>283.11130000000003</v>
      </c>
      <c r="J2836">
        <v>-474.7867</v>
      </c>
      <c r="K2836">
        <v>1.119321</v>
      </c>
      <c r="L2836">
        <v>283.7217</v>
      </c>
      <c r="M2836">
        <v>-0.96197140000000003</v>
      </c>
      <c r="N2836">
        <v>0</v>
      </c>
      <c r="O2836">
        <v>-0.27243469999999997</v>
      </c>
      <c r="P2836">
        <v>-0.81808930000000002</v>
      </c>
      <c r="Q2836">
        <v>0.14097499999999999</v>
      </c>
      <c r="R2836">
        <v>-0.55754490000000001</v>
      </c>
      <c r="S2836">
        <v>-2.3008120000000001</v>
      </c>
      <c r="T2836">
        <v>-0.3559042</v>
      </c>
      <c r="U2836">
        <v>-2.1011660000000001</v>
      </c>
      <c r="V2836">
        <v>-0.31674439999999998</v>
      </c>
      <c r="W2836">
        <v>0.15301189999999901</v>
      </c>
      <c r="X2836">
        <v>0.93608780000000003</v>
      </c>
      <c r="Y2836">
        <v>-0.44651239999999998</v>
      </c>
      <c r="Z2836">
        <v>5.2092129999999999E-3</v>
      </c>
      <c r="AA2836">
        <v>0.89476230000000001</v>
      </c>
      <c r="AB2836">
        <v>32</v>
      </c>
      <c r="AC2836">
        <v>-0.56810000000001504</v>
      </c>
      <c r="AD2836">
        <v>-0.111253</v>
      </c>
      <c r="AE2836">
        <v>-0.61039999999996997</v>
      </c>
      <c r="AF2836">
        <v>-0.42493746293096801</v>
      </c>
      <c r="AG2836">
        <v>-0.111253</v>
      </c>
      <c r="AH2836">
        <v>0.70046062269748299</v>
      </c>
      <c r="AI2836">
        <v>97.733116328537307</v>
      </c>
      <c r="AJ2836">
        <v>121.24327523612</v>
      </c>
      <c r="AK2836">
        <v>0.826797533475369</v>
      </c>
      <c r="AL2836">
        <v>81.198488981913798</v>
      </c>
      <c r="AM2836">
        <v>108.69429735454599</v>
      </c>
      <c r="AN2836">
        <v>1.0000000128908999</v>
      </c>
    </row>
    <row r="2837" spans="1:40" x14ac:dyDescent="0.25">
      <c r="A2837" t="str">
        <f>"20190312164043690"</f>
        <v>20190312164043690</v>
      </c>
      <c r="B2837" t="str">
        <f>"1552380043678861"</f>
        <v>1552380043678861</v>
      </c>
      <c r="C2837" t="s">
        <v>40</v>
      </c>
      <c r="D2837">
        <v>5.7898059999999996</v>
      </c>
      <c r="E2837">
        <v>0.43995960000000001</v>
      </c>
      <c r="F2837" t="s">
        <v>42</v>
      </c>
      <c r="G2837">
        <v>-475.59469999999999</v>
      </c>
      <c r="H2837">
        <v>0.99468820000000002</v>
      </c>
      <c r="I2837">
        <v>282.97550000000001</v>
      </c>
      <c r="J2837">
        <v>-474.93810000000002</v>
      </c>
      <c r="K2837">
        <v>1.1193299999999999</v>
      </c>
      <c r="L2837">
        <v>283.6739</v>
      </c>
      <c r="M2837">
        <v>-0.96061010000000002</v>
      </c>
      <c r="N2837">
        <v>0</v>
      </c>
      <c r="O2837">
        <v>-0.27720339999999999</v>
      </c>
      <c r="P2837">
        <v>-0.81405070000000002</v>
      </c>
      <c r="Q2837">
        <v>0.1401136</v>
      </c>
      <c r="R2837">
        <v>-0.56364019999999904</v>
      </c>
      <c r="S2837">
        <v>-2.2877200000000002</v>
      </c>
      <c r="T2837">
        <v>-0.35290310000000003</v>
      </c>
      <c r="U2837">
        <v>-2.113159</v>
      </c>
      <c r="V2837">
        <v>-0.31904660000000001</v>
      </c>
      <c r="W2837">
        <v>0.1519935</v>
      </c>
      <c r="X2837">
        <v>0.93547170000000002</v>
      </c>
      <c r="Y2837">
        <v>-0.4471965</v>
      </c>
      <c r="Z2837">
        <v>5.699221E-3</v>
      </c>
      <c r="AA2837">
        <v>0.89441759999999904</v>
      </c>
      <c r="AB2837">
        <v>32</v>
      </c>
      <c r="AC2837">
        <v>-0.65659999999996899</v>
      </c>
      <c r="AD2837">
        <v>-0.1246418</v>
      </c>
      <c r="AE2837">
        <v>-0.69839999999999203</v>
      </c>
      <c r="AF2837">
        <v>-0.48084324576606002</v>
      </c>
      <c r="AG2837">
        <v>-0.1246418</v>
      </c>
      <c r="AH2837">
        <v>0.81078685225719005</v>
      </c>
      <c r="AI2837">
        <v>97.532249542258995</v>
      </c>
      <c r="AJ2837">
        <v>120.67037935070999</v>
      </c>
      <c r="AK2837">
        <v>0.95085284092713396</v>
      </c>
      <c r="AL2837">
        <v>81.257529744901106</v>
      </c>
      <c r="AM2837">
        <v>108.832160790231</v>
      </c>
      <c r="AN2837">
        <v>1.0000000292573401</v>
      </c>
    </row>
    <row r="2838" spans="1:40" x14ac:dyDescent="0.25">
      <c r="A2838" t="str">
        <f>"20190312164043713"</f>
        <v>20190312164043713</v>
      </c>
      <c r="B2838" t="str">
        <f>"1552380043709117"</f>
        <v>1552380043709117</v>
      </c>
      <c r="C2838" t="s">
        <v>40</v>
      </c>
      <c r="D2838">
        <v>5.7146109999999997</v>
      </c>
      <c r="E2838">
        <v>0.44347490000000001</v>
      </c>
      <c r="F2838" t="s">
        <v>42</v>
      </c>
      <c r="G2838">
        <v>-475.6259</v>
      </c>
      <c r="H2838">
        <v>1.012176</v>
      </c>
      <c r="I2838">
        <v>283.03070000000002</v>
      </c>
      <c r="J2838">
        <v>-475.24529999999999</v>
      </c>
      <c r="K2838">
        <v>1.119345</v>
      </c>
      <c r="L2838">
        <v>283.57470000000001</v>
      </c>
      <c r="M2838">
        <v>-0.95774939999999997</v>
      </c>
      <c r="N2838">
        <v>0</v>
      </c>
      <c r="O2838">
        <v>-0.28694309999999901</v>
      </c>
      <c r="P2838">
        <v>-0.80651149999999905</v>
      </c>
      <c r="Q2838">
        <v>0.1380132</v>
      </c>
      <c r="R2838">
        <v>-0.57488409999999901</v>
      </c>
      <c r="S2838">
        <v>-2.2738040000000002</v>
      </c>
      <c r="T2838">
        <v>-0.3542593</v>
      </c>
      <c r="U2838">
        <v>-2.1265559999999999</v>
      </c>
      <c r="V2838">
        <v>-0.3224052</v>
      </c>
      <c r="W2838">
        <v>0.14960119999999999</v>
      </c>
      <c r="X2838">
        <v>0.93470549999999997</v>
      </c>
      <c r="Y2838">
        <v>-0.4437237</v>
      </c>
      <c r="Z2838">
        <v>7.12665E-3</v>
      </c>
      <c r="AA2838">
        <v>0.89613529999999997</v>
      </c>
      <c r="AB2838">
        <v>32</v>
      </c>
      <c r="AC2838">
        <v>-0.38060000000001498</v>
      </c>
      <c r="AD2838">
        <v>-0.107169</v>
      </c>
      <c r="AE2838">
        <v>-0.54399999999998205</v>
      </c>
      <c r="AF2838">
        <v>-0.40142392358859202</v>
      </c>
      <c r="AG2838">
        <v>-0.107169</v>
      </c>
      <c r="AH2838">
        <v>0.50749223405112598</v>
      </c>
      <c r="AI2838">
        <v>99.404183556418701</v>
      </c>
      <c r="AJ2838">
        <v>128.34382788658499</v>
      </c>
      <c r="AK2838">
        <v>0.65587706821664604</v>
      </c>
      <c r="AL2838">
        <v>81.396183786320506</v>
      </c>
      <c r="AM2838">
        <v>109.030698532036</v>
      </c>
      <c r="AN2838">
        <v>1.00000000187936</v>
      </c>
    </row>
    <row r="2839" spans="1:40" x14ac:dyDescent="0.25">
      <c r="A2839" t="str">
        <f>"20190312164043724"</f>
        <v>20190312164043724</v>
      </c>
      <c r="B2839" t="str">
        <f>"1552380043718878"</f>
        <v>1552380043718878</v>
      </c>
      <c r="C2839" t="s">
        <v>40</v>
      </c>
      <c r="D2839">
        <v>5.7217229999999999</v>
      </c>
      <c r="E2839">
        <v>0.44456839999999997</v>
      </c>
      <c r="F2839" t="s">
        <v>42</v>
      </c>
      <c r="G2839">
        <v>-475.95870000000002</v>
      </c>
      <c r="H2839">
        <v>1.013261</v>
      </c>
      <c r="I2839">
        <v>282.8999</v>
      </c>
      <c r="J2839">
        <v>-475.39479999999998</v>
      </c>
      <c r="K2839">
        <v>1.119353</v>
      </c>
      <c r="L2839">
        <v>283.52510000000001</v>
      </c>
      <c r="M2839">
        <v>-0.95630729999999997</v>
      </c>
      <c r="N2839">
        <v>0</v>
      </c>
      <c r="O2839">
        <v>-0.29172019999999999</v>
      </c>
      <c r="P2839">
        <v>-0.80267860000000002</v>
      </c>
      <c r="Q2839">
        <v>0.13698099999999999</v>
      </c>
      <c r="R2839">
        <v>-0.58046900000000001</v>
      </c>
      <c r="S2839">
        <v>-2.2561339999999999</v>
      </c>
      <c r="T2839">
        <v>-0.33545819999999998</v>
      </c>
      <c r="U2839">
        <v>-2.133759</v>
      </c>
      <c r="V2839">
        <v>-0.3241658</v>
      </c>
      <c r="W2839">
        <v>0.14841770000000001</v>
      </c>
      <c r="X2839">
        <v>0.93428520000000004</v>
      </c>
      <c r="Y2839">
        <v>-0.44437159999999898</v>
      </c>
      <c r="Z2839">
        <v>7.2794330000000001E-3</v>
      </c>
      <c r="AA2839">
        <v>0.89581299999999997</v>
      </c>
      <c r="AB2839">
        <v>32</v>
      </c>
      <c r="AC2839">
        <v>-0.56390000000004603</v>
      </c>
      <c r="AD2839">
        <v>-0.10609200000000001</v>
      </c>
      <c r="AE2839">
        <v>-0.62520000000000597</v>
      </c>
      <c r="AF2839">
        <v>-0.426688612120452</v>
      </c>
      <c r="AG2839">
        <v>-0.10609200000000001</v>
      </c>
      <c r="AH2839">
        <v>0.71049917725907996</v>
      </c>
      <c r="AI2839">
        <v>97.294772536620201</v>
      </c>
      <c r="AJ2839">
        <v>120.986823094069</v>
      </c>
      <c r="AK2839">
        <v>0.83554040301059496</v>
      </c>
      <c r="AL2839">
        <v>81.464759410295997</v>
      </c>
      <c r="AM2839">
        <v>109.13506837308699</v>
      </c>
      <c r="AN2839">
        <v>1.00000005725098</v>
      </c>
    </row>
    <row r="2840" spans="1:40" x14ac:dyDescent="0.25">
      <c r="A2840" t="str">
        <f>"20190312164043735"</f>
        <v>20190312164043735</v>
      </c>
      <c r="B2840" t="str">
        <f>"1552380043728637"</f>
        <v>1552380043728637</v>
      </c>
      <c r="C2840" t="s">
        <v>40</v>
      </c>
      <c r="D2840">
        <v>5.8852209999999996</v>
      </c>
      <c r="E2840">
        <v>0.44456839999999997</v>
      </c>
      <c r="F2840" t="s">
        <v>42</v>
      </c>
      <c r="G2840">
        <v>-476.1354</v>
      </c>
      <c r="H2840">
        <v>1.0100359999999999</v>
      </c>
      <c r="I2840">
        <v>282.81849999999997</v>
      </c>
      <c r="J2840">
        <v>-475.54820000000001</v>
      </c>
      <c r="K2840">
        <v>1.1193569999999999</v>
      </c>
      <c r="L2840">
        <v>283.47340000000003</v>
      </c>
      <c r="M2840">
        <v>-0.95479400000000003</v>
      </c>
      <c r="N2840">
        <v>0</v>
      </c>
      <c r="O2840">
        <v>-0.2966414</v>
      </c>
      <c r="P2840">
        <v>-0.79895229999999995</v>
      </c>
      <c r="Q2840">
        <v>0.1361193</v>
      </c>
      <c r="R2840">
        <v>-0.58578739999999996</v>
      </c>
      <c r="S2840">
        <v>-2.2447810000000001</v>
      </c>
      <c r="T2840">
        <v>-0.33130799999999999</v>
      </c>
      <c r="U2840">
        <v>-2.142334</v>
      </c>
      <c r="V2840">
        <v>-0.32550829999999997</v>
      </c>
      <c r="W2840">
        <v>0.14741029999999999</v>
      </c>
      <c r="X2840">
        <v>0.93397779999999997</v>
      </c>
      <c r="Y2840">
        <v>-0.44385770000000002</v>
      </c>
      <c r="Z2840">
        <v>7.7876990000000004E-3</v>
      </c>
      <c r="AA2840">
        <v>0.89606339999999995</v>
      </c>
      <c r="AB2840">
        <v>32</v>
      </c>
      <c r="AC2840">
        <v>-0.58719999999999495</v>
      </c>
      <c r="AD2840">
        <v>-0.109320999999999</v>
      </c>
      <c r="AE2840">
        <v>-0.65490000000005399</v>
      </c>
      <c r="AF2840">
        <v>-0.44432736399775502</v>
      </c>
      <c r="AG2840">
        <v>-0.109320999999999</v>
      </c>
      <c r="AH2840">
        <v>0.74358019473848302</v>
      </c>
      <c r="AI2840">
        <v>97.192960456737495</v>
      </c>
      <c r="AJ2840">
        <v>120.86048613435401</v>
      </c>
      <c r="AK2840">
        <v>0.87309185853810001</v>
      </c>
      <c r="AL2840">
        <v>81.523120572867398</v>
      </c>
      <c r="AM2840">
        <v>109.214377863091</v>
      </c>
      <c r="AN2840">
        <v>0.99999999040390997</v>
      </c>
    </row>
    <row r="2841" spans="1:40" x14ac:dyDescent="0.25">
      <c r="A2841" t="str">
        <f>"20190312164043747"</f>
        <v>20190312164043747</v>
      </c>
      <c r="B2841" t="str">
        <f>"1552380043739373"</f>
        <v>1552380043739373</v>
      </c>
      <c r="C2841" t="s">
        <v>40</v>
      </c>
      <c r="D2841">
        <v>6.2383170000000003</v>
      </c>
      <c r="E2841">
        <v>0.45908189999999999</v>
      </c>
      <c r="F2841" t="s">
        <v>46</v>
      </c>
      <c r="G2841">
        <v>-483.02640000000002</v>
      </c>
      <c r="H2841" s="1">
        <v>1.4389290000000001E-6</v>
      </c>
      <c r="I2841">
        <v>276.2414</v>
      </c>
      <c r="J2841">
        <v>-475.69490000000002</v>
      </c>
      <c r="K2841">
        <v>1.1193610000000001</v>
      </c>
      <c r="L2841">
        <v>283.42290000000003</v>
      </c>
      <c r="M2841">
        <v>-0.95330910000000002</v>
      </c>
      <c r="N2841">
        <v>0</v>
      </c>
      <c r="O2841">
        <v>-0.3013865</v>
      </c>
      <c r="P2841">
        <v>-0.7951838</v>
      </c>
      <c r="Q2841">
        <v>0.13496089999999999</v>
      </c>
      <c r="R2841">
        <v>-0.59115899999999999</v>
      </c>
      <c r="S2841">
        <v>-2.2303470000000001</v>
      </c>
      <c r="T2841">
        <v>-0.33383990000000002</v>
      </c>
      <c r="U2841">
        <v>-2.1569210000000001</v>
      </c>
      <c r="V2841">
        <v>-0.32708409999999999</v>
      </c>
      <c r="W2841">
        <v>0.14610239999999999</v>
      </c>
      <c r="X2841">
        <v>0.93363269999999998</v>
      </c>
      <c r="Y2841">
        <v>-0.44533060000000002</v>
      </c>
      <c r="Z2841">
        <v>8.3052779999999993E-3</v>
      </c>
      <c r="AA2841">
        <v>0.89532769999999995</v>
      </c>
      <c r="AB2841">
        <v>32</v>
      </c>
      <c r="AC2841">
        <v>-7.3315000000000001</v>
      </c>
      <c r="AD2841">
        <v>-1.1193595610709901</v>
      </c>
      <c r="AE2841">
        <v>-7.1815000000000202</v>
      </c>
      <c r="AF2841">
        <v>-4.5829081816475199</v>
      </c>
      <c r="AG2841">
        <v>-1.1193595610709901</v>
      </c>
      <c r="AH2841">
        <v>9.0476446206231298</v>
      </c>
      <c r="AI2841">
        <v>96.298087484628496</v>
      </c>
      <c r="AJ2841">
        <v>116.86360580673499</v>
      </c>
      <c r="AK2841">
        <v>10.2037192439552</v>
      </c>
      <c r="AL2841">
        <v>81.598877799806104</v>
      </c>
      <c r="AM2841">
        <v>109.307137721914</v>
      </c>
      <c r="AN2841">
        <v>0.99999996913392897</v>
      </c>
    </row>
    <row r="2842" spans="1:40" x14ac:dyDescent="0.25">
      <c r="A2842" t="str">
        <f>"20190312164043759"</f>
        <v>20190312164043759</v>
      </c>
      <c r="B2842" t="str">
        <f>"1552380043749133"</f>
        <v>1552380043749133</v>
      </c>
      <c r="C2842" t="s">
        <v>40</v>
      </c>
      <c r="D2842">
        <v>5.8353570000000001</v>
      </c>
      <c r="E2842">
        <v>0.45845010000000003</v>
      </c>
      <c r="F2842" t="s">
        <v>42</v>
      </c>
      <c r="G2842">
        <v>-476.48070000000001</v>
      </c>
      <c r="H2842">
        <v>1.0291729999999999</v>
      </c>
      <c r="I2842">
        <v>282.70609999999999</v>
      </c>
      <c r="J2842">
        <v>-475.86509999999998</v>
      </c>
      <c r="K2842">
        <v>1.1193569999999999</v>
      </c>
      <c r="L2842">
        <v>283.36360000000002</v>
      </c>
      <c r="M2842">
        <v>-0.95155250000000002</v>
      </c>
      <c r="N2842">
        <v>0</v>
      </c>
      <c r="O2842">
        <v>-0.30689450000000001</v>
      </c>
      <c r="P2842">
        <v>-0.79108459999999903</v>
      </c>
      <c r="Q2842">
        <v>0.134288299999999</v>
      </c>
      <c r="R2842">
        <v>-0.59678489999999995</v>
      </c>
      <c r="S2842">
        <v>-2.2747799999999998</v>
      </c>
      <c r="T2842">
        <v>-0.26109159999999998</v>
      </c>
      <c r="U2842">
        <v>-2.0745239999999998</v>
      </c>
      <c r="V2842">
        <v>-0.328268</v>
      </c>
      <c r="W2842">
        <v>0.1452726</v>
      </c>
      <c r="X2842">
        <v>0.93334660000000003</v>
      </c>
      <c r="Y2842">
        <v>-0.41411779999999998</v>
      </c>
      <c r="Z2842">
        <v>8.5179209999999995E-3</v>
      </c>
      <c r="AA2842">
        <v>0.91018350000000003</v>
      </c>
      <c r="AB2842">
        <v>32</v>
      </c>
      <c r="AC2842">
        <v>-0.61560000000002801</v>
      </c>
      <c r="AD2842">
        <v>-9.0184E-2</v>
      </c>
      <c r="AE2842">
        <v>-0.65750000000002695</v>
      </c>
      <c r="AF2842">
        <v>-0.43246537420016201</v>
      </c>
      <c r="AG2842">
        <v>-9.0184E-2</v>
      </c>
      <c r="AH2842">
        <v>0.77988357022009502</v>
      </c>
      <c r="AI2842">
        <v>95.774677248476095</v>
      </c>
      <c r="AJ2842">
        <v>119.009488511657</v>
      </c>
      <c r="AK2842">
        <v>0.89631347018625596</v>
      </c>
      <c r="AL2842">
        <v>81.646934345927605</v>
      </c>
      <c r="AM2842">
        <v>109.37731964181</v>
      </c>
      <c r="AN2842">
        <v>0.999999941933158</v>
      </c>
    </row>
    <row r="2843" spans="1:40" x14ac:dyDescent="0.25">
      <c r="A2843" t="str">
        <f>"20190312164043781"</f>
        <v>20190312164043781</v>
      </c>
      <c r="B2843" t="str">
        <f>"1552380043768652"</f>
        <v>1552380043768652</v>
      </c>
      <c r="C2843" t="s">
        <v>40</v>
      </c>
      <c r="D2843">
        <v>5.7744869999999997</v>
      </c>
      <c r="E2843">
        <v>0.4436158</v>
      </c>
      <c r="F2843" t="s">
        <v>42</v>
      </c>
      <c r="G2843">
        <v>-476.65719999999999</v>
      </c>
      <c r="H2843">
        <v>1.0312809999999999</v>
      </c>
      <c r="I2843">
        <v>282.62860000000001</v>
      </c>
      <c r="J2843">
        <v>-476.14429999999999</v>
      </c>
      <c r="K2843">
        <v>1.1193550000000001</v>
      </c>
      <c r="L2843">
        <v>283.26350000000002</v>
      </c>
      <c r="M2843">
        <v>-0.94856560000000001</v>
      </c>
      <c r="N2843">
        <v>0</v>
      </c>
      <c r="O2843">
        <v>-0.3160174</v>
      </c>
      <c r="P2843">
        <v>-0.7844257</v>
      </c>
      <c r="Q2843">
        <v>0.13295460000000001</v>
      </c>
      <c r="R2843">
        <v>-0.60580480000000003</v>
      </c>
      <c r="S2843">
        <v>-2.2554319999999999</v>
      </c>
      <c r="T2843">
        <v>-0.25075520000000001</v>
      </c>
      <c r="U2843">
        <v>-2.0935359999999998</v>
      </c>
      <c r="V2843">
        <v>-0.3299069</v>
      </c>
      <c r="W2843">
        <v>0.1436858</v>
      </c>
      <c r="X2843">
        <v>0.93301440000000002</v>
      </c>
      <c r="Y2843">
        <v>-0.41344890000000001</v>
      </c>
      <c r="Z2843">
        <v>9.0099370000000008E-3</v>
      </c>
      <c r="AA2843">
        <v>0.91048280000000004</v>
      </c>
      <c r="AB2843">
        <v>32</v>
      </c>
      <c r="AC2843">
        <v>-0.51290000000000102</v>
      </c>
      <c r="AD2843">
        <v>-8.8073999999999902E-2</v>
      </c>
      <c r="AE2843">
        <v>-0.63490000000001601</v>
      </c>
      <c r="AF2843">
        <v>-0.43517015238001899</v>
      </c>
      <c r="AG2843">
        <v>-8.8073999999999902E-2</v>
      </c>
      <c r="AH2843">
        <v>0.679370391417641</v>
      </c>
      <c r="AI2843">
        <v>96.230044570771895</v>
      </c>
      <c r="AJ2843">
        <v>122.64156024810799</v>
      </c>
      <c r="AK2843">
        <v>0.81158746893567002</v>
      </c>
      <c r="AL2843">
        <v>81.738815994268506</v>
      </c>
      <c r="AM2843">
        <v>109.47321275058199</v>
      </c>
      <c r="AN2843">
        <v>1.0000000211983</v>
      </c>
    </row>
    <row r="2844" spans="1:40" x14ac:dyDescent="0.25">
      <c r="A2844" t="str">
        <f>"20190312164043795"</f>
        <v>20190312164043795</v>
      </c>
      <c r="B2844" t="str">
        <f>"1552380043789151"</f>
        <v>1552380043789151</v>
      </c>
      <c r="C2844" t="s">
        <v>40</v>
      </c>
      <c r="D2844">
        <v>5.5786429999999996</v>
      </c>
      <c r="E2844">
        <v>0.44568200000000002</v>
      </c>
      <c r="F2844" t="s">
        <v>42</v>
      </c>
      <c r="G2844">
        <v>-476.89440000000002</v>
      </c>
      <c r="H2844">
        <v>1.013331</v>
      </c>
      <c r="I2844">
        <v>282.49509999999998</v>
      </c>
      <c r="J2844">
        <v>-476.3347</v>
      </c>
      <c r="K2844">
        <v>1.119353</v>
      </c>
      <c r="L2844">
        <v>283.19349999999997</v>
      </c>
      <c r="M2844">
        <v>-0.94646010000000003</v>
      </c>
      <c r="N2844">
        <v>0</v>
      </c>
      <c r="O2844">
        <v>-0.32227679999999997</v>
      </c>
      <c r="P2844">
        <v>-0.78004719999999905</v>
      </c>
      <c r="Q2844">
        <v>0.13277169999999999</v>
      </c>
      <c r="R2844">
        <v>-0.61147269999999998</v>
      </c>
      <c r="S2844">
        <v>-2.1641539999999999</v>
      </c>
      <c r="T2844">
        <v>-0.30589809999999901</v>
      </c>
      <c r="U2844">
        <v>-2.21698</v>
      </c>
      <c r="V2844">
        <v>-0.33049519999999999</v>
      </c>
      <c r="W2844">
        <v>0.14334229999999901</v>
      </c>
      <c r="X2844">
        <v>0.93285899999999999</v>
      </c>
      <c r="Y2844">
        <v>-0.45160030000000001</v>
      </c>
      <c r="Z2844">
        <v>9.4954449999999999E-3</v>
      </c>
      <c r="AA2844">
        <v>0.89216980000000001</v>
      </c>
      <c r="AB2844">
        <v>32</v>
      </c>
      <c r="AC2844">
        <v>-0.55970000000001996</v>
      </c>
      <c r="AD2844">
        <v>-0.10602200000000001</v>
      </c>
      <c r="AE2844">
        <v>-0.69839999999999203</v>
      </c>
      <c r="AF2844">
        <v>-0.47406134933357502</v>
      </c>
      <c r="AG2844">
        <v>-0.10602200000000001</v>
      </c>
      <c r="AH2844">
        <v>0.74449692512485399</v>
      </c>
      <c r="AI2844">
        <v>96.849694911761006</v>
      </c>
      <c r="AJ2844">
        <v>122.487106436098</v>
      </c>
      <c r="AK2844">
        <v>0.88896034722384198</v>
      </c>
      <c r="AL2844">
        <v>81.758702807785994</v>
      </c>
      <c r="AM2844">
        <v>109.50832251307</v>
      </c>
      <c r="AN2844">
        <v>1.00000000303666</v>
      </c>
    </row>
    <row r="2845" spans="1:40" x14ac:dyDescent="0.25">
      <c r="A2845" t="str">
        <f>"20190312164043807"</f>
        <v>20190312164043807</v>
      </c>
      <c r="B2845" t="str">
        <f>"1552380043798910"</f>
        <v>1552380043798910</v>
      </c>
      <c r="C2845" t="s">
        <v>40</v>
      </c>
      <c r="D2845">
        <v>5.5945320000000001</v>
      </c>
      <c r="E2845">
        <v>0.44720100000000002</v>
      </c>
      <c r="F2845" t="s">
        <v>46</v>
      </c>
      <c r="G2845">
        <v>-485.03399999999999</v>
      </c>
      <c r="H2845" s="1">
        <v>1.195736E-6</v>
      </c>
      <c r="I2845">
        <v>274.23430000000002</v>
      </c>
      <c r="J2845">
        <v>-476.50150000000002</v>
      </c>
      <c r="K2845">
        <v>1.1193489999999999</v>
      </c>
      <c r="L2845">
        <v>283.13080000000002</v>
      </c>
      <c r="M2845">
        <v>-0.94456560000000001</v>
      </c>
      <c r="N2845">
        <v>0</v>
      </c>
      <c r="O2845">
        <v>-0.327795</v>
      </c>
      <c r="P2845">
        <v>-0.7760901</v>
      </c>
      <c r="Q2845">
        <v>0.1318098</v>
      </c>
      <c r="R2845">
        <v>-0.61669350000000001</v>
      </c>
      <c r="S2845">
        <v>-2.154083</v>
      </c>
      <c r="T2845">
        <v>-0.27716780000000002</v>
      </c>
      <c r="U2845">
        <v>-2.218445</v>
      </c>
      <c r="V2845">
        <v>-0.33124209999999998</v>
      </c>
      <c r="W2845">
        <v>0.1422341</v>
      </c>
      <c r="X2845">
        <v>0.93276369999999997</v>
      </c>
      <c r="Y2845">
        <v>-0.44890669999999999</v>
      </c>
      <c r="Z2845">
        <v>9.2926880000000003E-3</v>
      </c>
      <c r="AA2845">
        <v>0.8935303</v>
      </c>
      <c r="AB2845">
        <v>32</v>
      </c>
      <c r="AC2845">
        <v>-8.5324999999999704</v>
      </c>
      <c r="AD2845">
        <v>-1.1193478042639999</v>
      </c>
      <c r="AE2845">
        <v>-8.8964999999999996</v>
      </c>
      <c r="AF2845">
        <v>-5.5615294112248499</v>
      </c>
      <c r="AG2845">
        <v>-1.1193478042639999</v>
      </c>
      <c r="AH2845">
        <v>10.8878573090395</v>
      </c>
      <c r="AI2845">
        <v>95.231097554481295</v>
      </c>
      <c r="AJ2845">
        <v>117.057994852674</v>
      </c>
      <c r="AK2845">
        <v>12.2771733587514</v>
      </c>
      <c r="AL2845">
        <v>81.822855273724002</v>
      </c>
      <c r="AM2845">
        <v>109.550916527499</v>
      </c>
      <c r="AN2845">
        <v>0.99999999402645501</v>
      </c>
    </row>
    <row r="2846" spans="1:40" x14ac:dyDescent="0.25">
      <c r="A2846" t="str">
        <f>"20190312164043820"</f>
        <v>20190312164043820</v>
      </c>
      <c r="B2846" t="str">
        <f>"1552380043808670"</f>
        <v>1552380043808670</v>
      </c>
      <c r="C2846" t="s">
        <v>40</v>
      </c>
      <c r="D2846">
        <v>5.6978229999999996</v>
      </c>
      <c r="E2846">
        <v>0.4486348</v>
      </c>
      <c r="F2846" t="s">
        <v>42</v>
      </c>
      <c r="G2846">
        <v>-477.17509999999999</v>
      </c>
      <c r="H2846">
        <v>1.030721</v>
      </c>
      <c r="I2846">
        <v>282.43349999999998</v>
      </c>
      <c r="J2846">
        <v>-476.6617</v>
      </c>
      <c r="K2846">
        <v>1.119345</v>
      </c>
      <c r="L2846">
        <v>283.06990000000002</v>
      </c>
      <c r="M2846">
        <v>-0.9427084</v>
      </c>
      <c r="N2846">
        <v>0</v>
      </c>
      <c r="O2846">
        <v>-0.33310519999999999</v>
      </c>
      <c r="P2846">
        <v>-0.77217860000000005</v>
      </c>
      <c r="Q2846">
        <v>0.1314794</v>
      </c>
      <c r="R2846">
        <v>-0.62165429999999999</v>
      </c>
      <c r="S2846">
        <v>-2.1466669999999999</v>
      </c>
      <c r="T2846">
        <v>-0.28240749999999998</v>
      </c>
      <c r="U2846">
        <v>-2.2234799999999999</v>
      </c>
      <c r="V2846">
        <v>-0.3319492</v>
      </c>
      <c r="W2846">
        <v>0.1417631</v>
      </c>
      <c r="X2846">
        <v>0.93258399999999997</v>
      </c>
      <c r="Y2846">
        <v>-0.44644</v>
      </c>
      <c r="Z2846">
        <v>1.012177E-2</v>
      </c>
      <c r="AA2846">
        <v>0.89475629999999995</v>
      </c>
      <c r="AB2846">
        <v>32</v>
      </c>
      <c r="AC2846">
        <v>-0.51339999999998998</v>
      </c>
      <c r="AD2846">
        <v>-8.8623999999999994E-2</v>
      </c>
      <c r="AE2846">
        <v>-0.63640000000003705</v>
      </c>
      <c r="AF2846">
        <v>-0.42401560361229901</v>
      </c>
      <c r="AG2846">
        <v>-8.8623999999999994E-2</v>
      </c>
      <c r="AH2846">
        <v>0.68801118520322302</v>
      </c>
      <c r="AI2846">
        <v>96.258008632054597</v>
      </c>
      <c r="AJ2846">
        <v>121.645184747957</v>
      </c>
      <c r="AK2846">
        <v>0.81302080935695997</v>
      </c>
      <c r="AL2846">
        <v>81.850117747019297</v>
      </c>
      <c r="AM2846">
        <v>109.59296470775899</v>
      </c>
      <c r="AN2846">
        <v>0.99999998247912403</v>
      </c>
    </row>
    <row r="2847" spans="1:40" x14ac:dyDescent="0.25">
      <c r="A2847" t="str">
        <f>"20190312164043834"</f>
        <v>20190312164043834</v>
      </c>
      <c r="B2847" t="str">
        <f>"1552380043829166"</f>
        <v>1552380043829166</v>
      </c>
      <c r="C2847" t="s">
        <v>40</v>
      </c>
      <c r="D2847">
        <v>5.8268849999999999</v>
      </c>
      <c r="E2847">
        <v>0.45079069999999999</v>
      </c>
      <c r="F2847" t="s">
        <v>42</v>
      </c>
      <c r="G2847">
        <v>-477.40719999999999</v>
      </c>
      <c r="H2847">
        <v>1.0235810000000001</v>
      </c>
      <c r="I2847">
        <v>282.29329999999999</v>
      </c>
      <c r="J2847">
        <v>-476.83550000000002</v>
      </c>
      <c r="K2847">
        <v>1.1193420000000001</v>
      </c>
      <c r="L2847">
        <v>283.00229999999999</v>
      </c>
      <c r="M2847">
        <v>-0.94064210000000004</v>
      </c>
      <c r="N2847">
        <v>0</v>
      </c>
      <c r="O2847">
        <v>-0.33890290000000001</v>
      </c>
      <c r="P2847">
        <v>-0.76783469999999998</v>
      </c>
      <c r="Q2847">
        <v>0.1313926</v>
      </c>
      <c r="R2847">
        <v>-0.62702950000000002</v>
      </c>
      <c r="S2847">
        <v>-2.1385800000000001</v>
      </c>
      <c r="T2847">
        <v>-0.27469209999999999</v>
      </c>
      <c r="U2847">
        <v>-2.2275999999999998</v>
      </c>
      <c r="V2847">
        <v>-0.3327156</v>
      </c>
      <c r="W2847">
        <v>0.14152519999999999</v>
      </c>
      <c r="X2847">
        <v>0.93234700000000004</v>
      </c>
      <c r="Y2847">
        <v>-0.44350030000000001</v>
      </c>
      <c r="Z2847">
        <v>1.0557199999999999E-2</v>
      </c>
      <c r="AA2847">
        <v>0.89621200000000001</v>
      </c>
      <c r="AB2847">
        <v>32</v>
      </c>
      <c r="AC2847">
        <v>-0.57169999999996401</v>
      </c>
      <c r="AD2847">
        <v>-9.5761000000000193E-2</v>
      </c>
      <c r="AE2847">
        <v>-0.70900000000000296</v>
      </c>
      <c r="AF2847">
        <v>-0.46806986967944397</v>
      </c>
      <c r="AG2847">
        <v>-9.5761000000000193E-2</v>
      </c>
      <c r="AH2847">
        <v>0.76966996141369304</v>
      </c>
      <c r="AI2847">
        <v>96.067979376612399</v>
      </c>
      <c r="AJ2847">
        <v>121.305608490133</v>
      </c>
      <c r="AK2847">
        <v>0.90589812977248596</v>
      </c>
      <c r="AL2847">
        <v>81.863887308469202</v>
      </c>
      <c r="AM2847">
        <v>109.63935414906101</v>
      </c>
      <c r="AN2847">
        <v>0.99999999056370004</v>
      </c>
    </row>
    <row r="2848" spans="1:40" x14ac:dyDescent="0.25">
      <c r="A2848" t="str">
        <f>"20190312164043847"</f>
        <v>20190312164043847</v>
      </c>
      <c r="B2848" t="str">
        <f>"1552380043838925"</f>
        <v>1552380043838925</v>
      </c>
      <c r="C2848" t="s">
        <v>40</v>
      </c>
      <c r="D2848">
        <v>5.713419</v>
      </c>
      <c r="E2848">
        <v>0.45165110000000003</v>
      </c>
      <c r="F2848" t="s">
        <v>46</v>
      </c>
      <c r="G2848">
        <v>-486.0727</v>
      </c>
      <c r="H2848" s="1">
        <v>9.7434389999999993E-7</v>
      </c>
      <c r="I2848">
        <v>273.34739999999999</v>
      </c>
      <c r="J2848">
        <v>-477.00779999999997</v>
      </c>
      <c r="K2848">
        <v>1.119337</v>
      </c>
      <c r="L2848">
        <v>282.93400000000003</v>
      </c>
      <c r="M2848">
        <v>-0.93854360000000003</v>
      </c>
      <c r="N2848">
        <v>0</v>
      </c>
      <c r="O2848">
        <v>-0.34467910000000002</v>
      </c>
      <c r="P2848">
        <v>-0.76308860000000001</v>
      </c>
      <c r="Q2848">
        <v>0.1309758</v>
      </c>
      <c r="R2848">
        <v>-0.63288310000000003</v>
      </c>
      <c r="S2848">
        <v>-2.1317750000000002</v>
      </c>
      <c r="T2848">
        <v>-0.25832460000000002</v>
      </c>
      <c r="U2848">
        <v>-2.22818</v>
      </c>
      <c r="V2848">
        <v>-0.3340862</v>
      </c>
      <c r="W2848">
        <v>0.14093800000000001</v>
      </c>
      <c r="X2848">
        <v>0.93194580000000005</v>
      </c>
      <c r="Y2848">
        <v>-0.43960900000000003</v>
      </c>
      <c r="Z2848">
        <v>1.064766E-2</v>
      </c>
      <c r="AA2848">
        <v>0.89812610000000004</v>
      </c>
      <c r="AB2848">
        <v>32</v>
      </c>
      <c r="AC2848">
        <v>-9.0649000000000193</v>
      </c>
      <c r="AD2848">
        <v>-1.1193360256561</v>
      </c>
      <c r="AE2848">
        <v>-9.5866000000000309</v>
      </c>
      <c r="AF2848">
        <v>-5.8319605888498298</v>
      </c>
      <c r="AG2848">
        <v>-1.1193360256561</v>
      </c>
      <c r="AH2848">
        <v>11.7296426770538</v>
      </c>
      <c r="AI2848">
        <v>94.883998302570504</v>
      </c>
      <c r="AJ2848">
        <v>116.436495422753</v>
      </c>
      <c r="AK2848">
        <v>13.1472124338047</v>
      </c>
      <c r="AL2848">
        <v>81.897872449633297</v>
      </c>
      <c r="AM2848">
        <v>109.721864960909</v>
      </c>
      <c r="AN2848">
        <v>1.0000000415060299</v>
      </c>
    </row>
    <row r="2849" spans="1:40" x14ac:dyDescent="0.25">
      <c r="A2849" t="str">
        <f>"20190312164043859"</f>
        <v>20190312164043859</v>
      </c>
      <c r="B2849" t="str">
        <f>"1552380043848685"</f>
        <v>1552380043848685</v>
      </c>
      <c r="C2849" t="s">
        <v>40</v>
      </c>
      <c r="D2849">
        <v>5.7995710000000003</v>
      </c>
      <c r="E2849">
        <v>0.45244459999999997</v>
      </c>
      <c r="F2849" t="s">
        <v>42</v>
      </c>
      <c r="G2849">
        <v>-477.68220000000002</v>
      </c>
      <c r="H2849">
        <v>1.040001</v>
      </c>
      <c r="I2849">
        <v>282.22129999999999</v>
      </c>
      <c r="J2849">
        <v>-477.1671</v>
      </c>
      <c r="K2849">
        <v>1.119335</v>
      </c>
      <c r="L2849">
        <v>282.87009999999998</v>
      </c>
      <c r="M2849">
        <v>-0.93656309999999998</v>
      </c>
      <c r="N2849">
        <v>0</v>
      </c>
      <c r="O2849">
        <v>-0.3500315</v>
      </c>
      <c r="P2849">
        <v>-0.75911779999999995</v>
      </c>
      <c r="Q2849">
        <v>0.13067129999999999</v>
      </c>
      <c r="R2849">
        <v>-0.63770360000000004</v>
      </c>
      <c r="S2849">
        <v>-2.11734</v>
      </c>
      <c r="T2849">
        <v>-0.24906539999999999</v>
      </c>
      <c r="U2849">
        <v>-2.2387999999999999</v>
      </c>
      <c r="V2849">
        <v>-0.33464739999999998</v>
      </c>
      <c r="W2849">
        <v>0.14049320000000001</v>
      </c>
      <c r="X2849">
        <v>0.93181159999999996</v>
      </c>
      <c r="Y2849">
        <v>-0.43970090000000001</v>
      </c>
      <c r="Z2849">
        <v>1.073959E-2</v>
      </c>
      <c r="AA2849">
        <v>0.89808009999999905</v>
      </c>
      <c r="AB2849">
        <v>32</v>
      </c>
      <c r="AC2849">
        <v>-0.51510000000001799</v>
      </c>
      <c r="AD2849">
        <v>-7.9334000000000002E-2</v>
      </c>
      <c r="AE2849">
        <v>-0.64879999999999405</v>
      </c>
      <c r="AF2849">
        <v>-0.423526680889794</v>
      </c>
      <c r="AG2849">
        <v>-7.9334000000000002E-2</v>
      </c>
      <c r="AH2849">
        <v>0.70319123039429499</v>
      </c>
      <c r="AI2849">
        <v>95.520174372849795</v>
      </c>
      <c r="AJ2849">
        <v>121.060232793616</v>
      </c>
      <c r="AK2849">
        <v>0.82471003357844996</v>
      </c>
      <c r="AL2849">
        <v>81.9236137213706</v>
      </c>
      <c r="AM2849">
        <v>109.75505716677</v>
      </c>
      <c r="AN2849">
        <v>1.0000000397337701</v>
      </c>
    </row>
    <row r="2850" spans="1:40" x14ac:dyDescent="0.25">
      <c r="A2850" t="str">
        <f>"20190312164043871"</f>
        <v>20190312164043871</v>
      </c>
      <c r="B2850" t="str">
        <f>"1552380043858445"</f>
        <v>1552380043858445</v>
      </c>
      <c r="C2850" t="s">
        <v>40</v>
      </c>
      <c r="D2850">
        <v>5.925395</v>
      </c>
      <c r="E2850">
        <v>0.45301370000000002</v>
      </c>
      <c r="F2850" t="s">
        <v>42</v>
      </c>
      <c r="G2850">
        <v>-477.91039999999998</v>
      </c>
      <c r="H2850">
        <v>1.0336590000000001</v>
      </c>
      <c r="I2850">
        <v>282.07670000000002</v>
      </c>
      <c r="J2850">
        <v>-477.3152</v>
      </c>
      <c r="K2850">
        <v>1.1193340000000001</v>
      </c>
      <c r="L2850">
        <v>282.80919999999998</v>
      </c>
      <c r="M2850">
        <v>-0.9346759</v>
      </c>
      <c r="N2850">
        <v>0</v>
      </c>
      <c r="O2850">
        <v>-0.35504530000000001</v>
      </c>
      <c r="P2850">
        <v>-0.7552759</v>
      </c>
      <c r="Q2850">
        <v>0.13072020000000001</v>
      </c>
      <c r="R2850">
        <v>-0.64223869999999905</v>
      </c>
      <c r="S2850">
        <v>-2.1059570000000001</v>
      </c>
      <c r="T2850">
        <v>-0.24271860000000001</v>
      </c>
      <c r="U2850">
        <v>-2.247223</v>
      </c>
      <c r="V2850">
        <v>-0.33524409999999999</v>
      </c>
      <c r="W2850">
        <v>0.1404078</v>
      </c>
      <c r="X2850">
        <v>0.93160989999999999</v>
      </c>
      <c r="Y2850">
        <v>-0.43901820000000003</v>
      </c>
      <c r="Z2850">
        <v>1.0930769999999999E-2</v>
      </c>
      <c r="AA2850">
        <v>0.89841170000000004</v>
      </c>
      <c r="AB2850">
        <v>32</v>
      </c>
      <c r="AC2850">
        <v>-0.59519999999997697</v>
      </c>
      <c r="AD2850">
        <v>-8.5674999999999904E-2</v>
      </c>
      <c r="AE2850">
        <v>-0.73249999999995896</v>
      </c>
      <c r="AF2850">
        <v>-0.469534892816867</v>
      </c>
      <c r="AG2850">
        <v>-8.5674999999999904E-2</v>
      </c>
      <c r="AH2850">
        <v>0.80984895897238995</v>
      </c>
      <c r="AI2850">
        <v>95.229228190455601</v>
      </c>
      <c r="AJ2850">
        <v>120.104335266722</v>
      </c>
      <c r="AK2850">
        <v>0.94003114711492997</v>
      </c>
      <c r="AL2850">
        <v>81.928555293251193</v>
      </c>
      <c r="AM2850">
        <v>109.791500575909</v>
      </c>
      <c r="AN2850">
        <v>0.99999998133182899</v>
      </c>
    </row>
    <row r="2851" spans="1:40" x14ac:dyDescent="0.25">
      <c r="A2851" t="str">
        <f>"20190312164043883"</f>
        <v>20190312164043883</v>
      </c>
      <c r="B2851" t="str">
        <f>"1552380043878941"</f>
        <v>1552380043878941</v>
      </c>
      <c r="C2851" t="s">
        <v>40</v>
      </c>
      <c r="D2851">
        <v>5.7081559999999998</v>
      </c>
      <c r="E2851">
        <v>0.45391039999999999</v>
      </c>
      <c r="F2851" t="s">
        <v>42</v>
      </c>
      <c r="G2851">
        <v>-477.98860000000002</v>
      </c>
      <c r="H2851">
        <v>1.04336299999999</v>
      </c>
      <c r="I2851">
        <v>282.0838</v>
      </c>
      <c r="J2851">
        <v>-477.45530000000002</v>
      </c>
      <c r="K2851">
        <v>1.11934</v>
      </c>
      <c r="L2851">
        <v>282.75110000000001</v>
      </c>
      <c r="M2851">
        <v>-0.93286020000000003</v>
      </c>
      <c r="N2851">
        <v>0</v>
      </c>
      <c r="O2851">
        <v>-0.35979450000000002</v>
      </c>
      <c r="P2851">
        <v>-0.75155969999999905</v>
      </c>
      <c r="Q2851">
        <v>0.13028100000000001</v>
      </c>
      <c r="R2851">
        <v>-0.64667229999999998</v>
      </c>
      <c r="S2851">
        <v>-2.0944210000000001</v>
      </c>
      <c r="T2851">
        <v>-0.2362949</v>
      </c>
      <c r="U2851">
        <v>-2.2561650000000002</v>
      </c>
      <c r="V2851">
        <v>-0.33595649999999999</v>
      </c>
      <c r="W2851">
        <v>0.13983599999999999</v>
      </c>
      <c r="X2851">
        <v>0.93143929999999997</v>
      </c>
      <c r="Y2851">
        <v>-0.43871729999999998</v>
      </c>
      <c r="Z2851">
        <v>1.10557E-2</v>
      </c>
      <c r="AA2851">
        <v>0.8985571</v>
      </c>
      <c r="AB2851">
        <v>32</v>
      </c>
      <c r="AC2851">
        <v>-0.533299999999997</v>
      </c>
      <c r="AD2851">
        <v>-7.59770000000001E-2</v>
      </c>
      <c r="AE2851">
        <v>-0.667300000000011</v>
      </c>
      <c r="AF2851">
        <v>-0.42730771892123498</v>
      </c>
      <c r="AG2851">
        <v>-7.59770000000001E-2</v>
      </c>
      <c r="AH2851">
        <v>0.73191314309294697</v>
      </c>
      <c r="AI2851">
        <v>95.122664098422604</v>
      </c>
      <c r="AJ2851">
        <v>120.27736508397101</v>
      </c>
      <c r="AK2851">
        <v>0.85091788100313503</v>
      </c>
      <c r="AL2851">
        <v>81.961643798998097</v>
      </c>
      <c r="AM2851">
        <v>109.833630668035</v>
      </c>
      <c r="AN2851">
        <v>1.0000000231863599</v>
      </c>
    </row>
    <row r="2852" spans="1:40" x14ac:dyDescent="0.25">
      <c r="A2852" t="str">
        <f>"20190312164043894"</f>
        <v>20190312164043894</v>
      </c>
      <c r="B2852" t="str">
        <f>"1552380043888702"</f>
        <v>1552380043888702</v>
      </c>
      <c r="C2852" t="s">
        <v>40</v>
      </c>
      <c r="D2852">
        <v>5.7262300000000002</v>
      </c>
      <c r="E2852">
        <v>0.45399010000000001</v>
      </c>
      <c r="F2852" t="s">
        <v>42</v>
      </c>
      <c r="G2852">
        <v>-478.16800000000001</v>
      </c>
      <c r="H2852">
        <v>1.0394950000000001</v>
      </c>
      <c r="I2852">
        <v>281.97739999999999</v>
      </c>
      <c r="J2852">
        <v>-477.61810000000003</v>
      </c>
      <c r="K2852">
        <v>1.119343</v>
      </c>
      <c r="L2852">
        <v>282.6825</v>
      </c>
      <c r="M2852">
        <v>-0.93070410000000003</v>
      </c>
      <c r="N2852">
        <v>0</v>
      </c>
      <c r="O2852">
        <v>-0.36534250000000001</v>
      </c>
      <c r="P2852">
        <v>-0.74722330000000003</v>
      </c>
      <c r="Q2852">
        <v>0.13046640000000001</v>
      </c>
      <c r="R2852">
        <v>-0.65164129999999998</v>
      </c>
      <c r="S2852">
        <v>-2.084686</v>
      </c>
      <c r="T2852">
        <v>-0.23354710000000001</v>
      </c>
      <c r="U2852">
        <v>-2.2632750000000001</v>
      </c>
      <c r="V2852">
        <v>-0.33660830000000003</v>
      </c>
      <c r="W2852">
        <v>0.13986670000000001</v>
      </c>
      <c r="X2852">
        <v>0.93119929999999995</v>
      </c>
      <c r="Y2852">
        <v>-0.43688690000000002</v>
      </c>
      <c r="Z2852">
        <v>1.1466209999999999E-2</v>
      </c>
      <c r="AA2852">
        <v>0.8994434</v>
      </c>
      <c r="AB2852">
        <v>31</v>
      </c>
      <c r="AC2852">
        <v>-0.54989999999997896</v>
      </c>
      <c r="AD2852">
        <v>-7.9847999999999905E-2</v>
      </c>
      <c r="AE2852">
        <v>-0.70510000000001505</v>
      </c>
      <c r="AF2852">
        <v>-0.451806562580717</v>
      </c>
      <c r="AG2852">
        <v>-7.9847999999999905E-2</v>
      </c>
      <c r="AH2852">
        <v>0.763430650949391</v>
      </c>
      <c r="AI2852">
        <v>95.143311537024402</v>
      </c>
      <c r="AJ2852">
        <v>120.617508154858</v>
      </c>
      <c r="AK2852">
        <v>0.89069143473147505</v>
      </c>
      <c r="AL2852">
        <v>81.959867082857599</v>
      </c>
      <c r="AM2852">
        <v>109.873821434443</v>
      </c>
      <c r="AN2852">
        <v>0.99999998885913399</v>
      </c>
    </row>
    <row r="2853" spans="1:40" x14ac:dyDescent="0.25">
      <c r="A2853" t="str">
        <f>"20190312164043906"</f>
        <v>20190312164043906</v>
      </c>
      <c r="B2853" t="str">
        <f>"1552380043899437"</f>
        <v>1552380043899437</v>
      </c>
      <c r="C2853" t="s">
        <v>40</v>
      </c>
      <c r="D2853">
        <v>5.8332930000000003</v>
      </c>
      <c r="E2853">
        <v>0.45448440000000001</v>
      </c>
      <c r="F2853" t="s">
        <v>46</v>
      </c>
      <c r="G2853">
        <v>-487.14299999999997</v>
      </c>
      <c r="H2853" s="1">
        <v>6.6560069999999897E-7</v>
      </c>
      <c r="I2853">
        <v>272.2054</v>
      </c>
      <c r="J2853">
        <v>-477.75830000000002</v>
      </c>
      <c r="K2853">
        <v>1.119346</v>
      </c>
      <c r="L2853">
        <v>282.62220000000002</v>
      </c>
      <c r="M2853">
        <v>-0.92880649999999998</v>
      </c>
      <c r="N2853">
        <v>0</v>
      </c>
      <c r="O2853">
        <v>-0.37014520000000001</v>
      </c>
      <c r="P2853">
        <v>-0.74335830000000003</v>
      </c>
      <c r="Q2853">
        <v>0.13042309999999999</v>
      </c>
      <c r="R2853">
        <v>-0.65605570000000002</v>
      </c>
      <c r="S2853">
        <v>-2.070862</v>
      </c>
      <c r="T2853">
        <v>-0.24336189999999999</v>
      </c>
      <c r="U2853">
        <v>-2.277863</v>
      </c>
      <c r="V2853">
        <v>-0.3373158</v>
      </c>
      <c r="W2853">
        <v>0.13968539999999999</v>
      </c>
      <c r="X2853">
        <v>0.93097050000000003</v>
      </c>
      <c r="Y2853">
        <v>-0.43808920000000001</v>
      </c>
      <c r="Z2853">
        <v>1.2302779999999999E-2</v>
      </c>
      <c r="AA2853">
        <v>0.89884730000000002</v>
      </c>
      <c r="AB2853">
        <v>31</v>
      </c>
      <c r="AC2853">
        <v>-9.3847000000000094</v>
      </c>
      <c r="AD2853">
        <v>-1.1193453343993001</v>
      </c>
      <c r="AE2853">
        <v>-10.4168</v>
      </c>
      <c r="AF2853">
        <v>-6.1631729954963896</v>
      </c>
      <c r="AG2853">
        <v>-1.1193453343993001</v>
      </c>
      <c r="AH2853">
        <v>12.494618924304101</v>
      </c>
      <c r="AI2853">
        <v>94.593480365631194</v>
      </c>
      <c r="AJ2853">
        <v>116.25556517403299</v>
      </c>
      <c r="AK2853">
        <v>13.9768786720653</v>
      </c>
      <c r="AL2853">
        <v>81.970358012080894</v>
      </c>
      <c r="AM2853">
        <v>109.91682205327299</v>
      </c>
      <c r="AN2853">
        <v>1.0000000158865201</v>
      </c>
    </row>
    <row r="2854" spans="1:40" x14ac:dyDescent="0.25">
      <c r="A2854" t="str">
        <f>"20190312164043917"</f>
        <v>20190312164043917</v>
      </c>
      <c r="B2854" t="str">
        <f>"1552380043909197"</f>
        <v>1552380043909197</v>
      </c>
      <c r="C2854" t="s">
        <v>40</v>
      </c>
      <c r="D2854">
        <v>5.8356620000000001</v>
      </c>
      <c r="E2854">
        <v>0.45512780000000003</v>
      </c>
      <c r="F2854" t="s">
        <v>42</v>
      </c>
      <c r="G2854">
        <v>-478.42689999999999</v>
      </c>
      <c r="H2854">
        <v>1.039234</v>
      </c>
      <c r="I2854">
        <v>281.87959999999998</v>
      </c>
      <c r="J2854">
        <v>-477.90780000000001</v>
      </c>
      <c r="K2854">
        <v>1.1193519999999999</v>
      </c>
      <c r="L2854">
        <v>282.5575</v>
      </c>
      <c r="M2854">
        <v>-0.92675039999999997</v>
      </c>
      <c r="N2854">
        <v>0</v>
      </c>
      <c r="O2854">
        <v>-0.37526920000000002</v>
      </c>
      <c r="P2854">
        <v>-0.73943110000000001</v>
      </c>
      <c r="Q2854">
        <v>0.13056599999999999</v>
      </c>
      <c r="R2854">
        <v>-0.660450599999999</v>
      </c>
      <c r="S2854">
        <v>-2.0602109999999998</v>
      </c>
      <c r="T2854">
        <v>-0.24687210000000001</v>
      </c>
      <c r="U2854">
        <v>-2.2875369999999999</v>
      </c>
      <c r="V2854">
        <v>-0.33771060000000003</v>
      </c>
      <c r="W2854">
        <v>0.1396906</v>
      </c>
      <c r="X2854">
        <v>0.9308265</v>
      </c>
      <c r="Y2854">
        <v>-0.43733539999999999</v>
      </c>
      <c r="Z2854">
        <v>1.2960340000000001E-2</v>
      </c>
      <c r="AA2854">
        <v>0.89920509999999998</v>
      </c>
      <c r="AB2854">
        <v>31</v>
      </c>
      <c r="AC2854">
        <v>-0.51909999999998002</v>
      </c>
      <c r="AD2854">
        <v>-8.0118000000000106E-2</v>
      </c>
      <c r="AE2854">
        <v>-0.67790000000002204</v>
      </c>
      <c r="AF2854">
        <v>-0.42972465733329002</v>
      </c>
      <c r="AG2854">
        <v>-8.0118000000000106E-2</v>
      </c>
      <c r="AH2854">
        <v>0.72916372336844104</v>
      </c>
      <c r="AI2854">
        <v>95.407543722156802</v>
      </c>
      <c r="AJ2854">
        <v>120.512505675196</v>
      </c>
      <c r="AK2854">
        <v>0.85015405105236197</v>
      </c>
      <c r="AL2854">
        <v>81.970056535597905</v>
      </c>
      <c r="AM2854">
        <v>109.94113849103699</v>
      </c>
      <c r="AN2854">
        <v>0.99999994309148299</v>
      </c>
    </row>
    <row r="2855" spans="1:40" x14ac:dyDescent="0.25">
      <c r="A2855" t="str">
        <f>"20190312164043928"</f>
        <v>20190312164043928</v>
      </c>
      <c r="B2855" t="str">
        <f>"1552380043918957"</f>
        <v>1552380043918957</v>
      </c>
      <c r="C2855" t="s">
        <v>40</v>
      </c>
      <c r="D2855">
        <v>5.6769210000000001</v>
      </c>
      <c r="E2855">
        <v>0.45547330000000003</v>
      </c>
      <c r="F2855" t="s">
        <v>46</v>
      </c>
      <c r="G2855">
        <v>-487.1275</v>
      </c>
      <c r="H2855" s="1">
        <v>6.7205469999999904E-7</v>
      </c>
      <c r="I2855">
        <v>272.2276</v>
      </c>
      <c r="J2855">
        <v>-478.04719999999998</v>
      </c>
      <c r="K2855">
        <v>1.1193569999999999</v>
      </c>
      <c r="L2855">
        <v>282.49560000000002</v>
      </c>
      <c r="M2855">
        <v>-0.92478510000000003</v>
      </c>
      <c r="N2855">
        <v>0</v>
      </c>
      <c r="O2855">
        <v>-0.38009140000000002</v>
      </c>
      <c r="P2855">
        <v>-0.73546180000000005</v>
      </c>
      <c r="Q2855">
        <v>0.13052549999999999</v>
      </c>
      <c r="R2855">
        <v>-0.66487529999999995</v>
      </c>
      <c r="S2855">
        <v>-2.0498050000000001</v>
      </c>
      <c r="T2855">
        <v>-0.24886369999999999</v>
      </c>
      <c r="U2855">
        <v>-2.2966310000000001</v>
      </c>
      <c r="V2855">
        <v>-0.3384508</v>
      </c>
      <c r="W2855">
        <v>0.13951639999999901</v>
      </c>
      <c r="X2855">
        <v>0.93058379999999996</v>
      </c>
      <c r="Y2855">
        <v>-0.43669970000000002</v>
      </c>
      <c r="Z2855">
        <v>1.351864E-2</v>
      </c>
      <c r="AA2855">
        <v>0.89950569999999896</v>
      </c>
      <c r="AB2855">
        <v>31</v>
      </c>
      <c r="AC2855">
        <v>-9.0803000000000207</v>
      </c>
      <c r="AD2855">
        <v>-1.1193563279453</v>
      </c>
      <c r="AE2855">
        <v>-10.268000000000001</v>
      </c>
      <c r="AF2855">
        <v>-6.0052179389600298</v>
      </c>
      <c r="AG2855">
        <v>-1.1193563279453</v>
      </c>
      <c r="AH2855">
        <v>12.2204729270236</v>
      </c>
      <c r="AI2855">
        <v>94.6995644102781</v>
      </c>
      <c r="AJ2855">
        <v>116.169794630658</v>
      </c>
      <c r="AK2855">
        <v>13.6621945398034</v>
      </c>
      <c r="AL2855">
        <v>81.980136539393598</v>
      </c>
      <c r="AM2855">
        <v>109.986189261714</v>
      </c>
      <c r="AN2855">
        <v>0.99999998935601897</v>
      </c>
    </row>
    <row r="2856" spans="1:40" x14ac:dyDescent="0.25">
      <c r="A2856" t="str">
        <f>"20190312164043941"</f>
        <v>20190312164043941</v>
      </c>
      <c r="B2856" t="str">
        <f>"1552380043938477"</f>
        <v>1552380043938477</v>
      </c>
      <c r="C2856" t="s">
        <v>40</v>
      </c>
      <c r="D2856">
        <v>5.6585970000000003</v>
      </c>
      <c r="E2856">
        <v>0.45599859999999998</v>
      </c>
      <c r="F2856" t="s">
        <v>42</v>
      </c>
      <c r="G2856">
        <v>-478.69569999999999</v>
      </c>
      <c r="H2856">
        <v>1.0401389999999999</v>
      </c>
      <c r="I2856">
        <v>281.76170000000002</v>
      </c>
      <c r="J2856">
        <v>-478.20440000000002</v>
      </c>
      <c r="K2856">
        <v>1.119367</v>
      </c>
      <c r="L2856">
        <v>282.42520000000002</v>
      </c>
      <c r="M2856">
        <v>-0.92253059999999998</v>
      </c>
      <c r="N2856">
        <v>0</v>
      </c>
      <c r="O2856">
        <v>-0.38553609999999999</v>
      </c>
      <c r="P2856">
        <v>-0.73113760000000005</v>
      </c>
      <c r="Q2856">
        <v>0.13020889999999999</v>
      </c>
      <c r="R2856">
        <v>-0.66968939999999999</v>
      </c>
      <c r="S2856">
        <v>-2.0376280000000002</v>
      </c>
      <c r="T2856">
        <v>-0.24890509999999999</v>
      </c>
      <c r="U2856">
        <v>-2.307007</v>
      </c>
      <c r="V2856">
        <v>-0.3390533</v>
      </c>
      <c r="W2856">
        <v>0.1390574</v>
      </c>
      <c r="X2856">
        <v>0.93043319999999996</v>
      </c>
      <c r="Y2856">
        <v>-0.43608780000000003</v>
      </c>
      <c r="Z2856">
        <v>1.403021E-2</v>
      </c>
      <c r="AA2856">
        <v>0.89979469999999995</v>
      </c>
      <c r="AB2856">
        <v>31</v>
      </c>
      <c r="AC2856">
        <v>-0.49129999999996699</v>
      </c>
      <c r="AD2856">
        <v>-7.9228000000000007E-2</v>
      </c>
      <c r="AE2856">
        <v>-0.66349999999999898</v>
      </c>
      <c r="AF2856">
        <v>-0.41889076043034401</v>
      </c>
      <c r="AG2856">
        <v>-7.9228000000000007E-2</v>
      </c>
      <c r="AH2856">
        <v>0.70267747548600601</v>
      </c>
      <c r="AI2856">
        <v>95.531754044727194</v>
      </c>
      <c r="AJ2856">
        <v>120.800656734889</v>
      </c>
      <c r="AK2856">
        <v>0.82188939627744195</v>
      </c>
      <c r="AL2856">
        <v>82.006694432978094</v>
      </c>
      <c r="AM2856">
        <v>110.02192743243999</v>
      </c>
      <c r="AN2856">
        <v>1.0000000201989401</v>
      </c>
    </row>
    <row r="2857" spans="1:40" x14ac:dyDescent="0.25">
      <c r="A2857" t="str">
        <f>"20190312164043954"</f>
        <v>20190312164043954</v>
      </c>
      <c r="B2857" t="str">
        <f>"1552380043949214"</f>
        <v>1552380043949214</v>
      </c>
      <c r="C2857" t="s">
        <v>40</v>
      </c>
      <c r="D2857">
        <v>5.7820140000000002</v>
      </c>
      <c r="E2857">
        <v>0.45630569999999998</v>
      </c>
      <c r="F2857" t="s">
        <v>42</v>
      </c>
      <c r="G2857">
        <v>-478.904</v>
      </c>
      <c r="H2857">
        <v>1.0302739999999999</v>
      </c>
      <c r="I2857">
        <v>281.62470000000002</v>
      </c>
      <c r="J2857">
        <v>-478.36250000000001</v>
      </c>
      <c r="K2857">
        <v>1.11937999999999</v>
      </c>
      <c r="L2857">
        <v>282.35309999999998</v>
      </c>
      <c r="M2857">
        <v>-0.92020930000000001</v>
      </c>
      <c r="N2857">
        <v>0</v>
      </c>
      <c r="O2857">
        <v>-0.39104889999999998</v>
      </c>
      <c r="P2857">
        <v>-0.72687599999999997</v>
      </c>
      <c r="Q2857">
        <v>0.13009009999999999</v>
      </c>
      <c r="R2857">
        <v>-0.67433549999999998</v>
      </c>
      <c r="S2857">
        <v>-2.0260009999999999</v>
      </c>
      <c r="T2857">
        <v>-0.25802399999999998</v>
      </c>
      <c r="U2857">
        <v>-2.317993</v>
      </c>
      <c r="V2857">
        <v>-0.33941310000000002</v>
      </c>
      <c r="W2857">
        <v>0.13880709999999999</v>
      </c>
      <c r="X2857">
        <v>0.93033929999999998</v>
      </c>
      <c r="Y2857">
        <v>-0.4353803</v>
      </c>
      <c r="Z2857">
        <v>1.507701E-2</v>
      </c>
      <c r="AA2857">
        <v>0.90012039999999904</v>
      </c>
      <c r="AB2857">
        <v>31</v>
      </c>
      <c r="AC2857">
        <v>-0.54149999999998499</v>
      </c>
      <c r="AD2857">
        <v>-8.9105999999999894E-2</v>
      </c>
      <c r="AE2857">
        <v>-0.72839999999996496</v>
      </c>
      <c r="AF2857">
        <v>-0.45421740154651702</v>
      </c>
      <c r="AG2857">
        <v>-8.9105999999999894E-2</v>
      </c>
      <c r="AH2857">
        <v>0.77577204641710595</v>
      </c>
      <c r="AI2857">
        <v>95.660713108072798</v>
      </c>
      <c r="AJ2857">
        <v>120.34913081434701</v>
      </c>
      <c r="AK2857">
        <v>0.90336902487624304</v>
      </c>
      <c r="AL2857">
        <v>82.021175352521496</v>
      </c>
      <c r="AM2857">
        <v>110.043345888993</v>
      </c>
      <c r="AN2857">
        <v>0.99999993829325295</v>
      </c>
    </row>
    <row r="2858" spans="1:40" x14ac:dyDescent="0.25">
      <c r="A2858" t="str">
        <f>"20190312164043970"</f>
        <v>20190312164043970</v>
      </c>
      <c r="B2858" t="str">
        <f>"1552380043958973"</f>
        <v>1552380043958973</v>
      </c>
      <c r="C2858" t="s">
        <v>40</v>
      </c>
      <c r="D2858">
        <v>5.8523430000000003</v>
      </c>
      <c r="E2858">
        <v>0.45658939999999998</v>
      </c>
      <c r="F2858" t="s">
        <v>46</v>
      </c>
      <c r="G2858">
        <v>-487.07889999999998</v>
      </c>
      <c r="H2858" s="1">
        <v>6.8057730000000002E-7</v>
      </c>
      <c r="I2858">
        <v>272.26389999999998</v>
      </c>
      <c r="J2858">
        <v>-478.5675</v>
      </c>
      <c r="K2858">
        <v>1.119399</v>
      </c>
      <c r="L2858">
        <v>282.25779999999997</v>
      </c>
      <c r="M2858">
        <v>-0.91712289999999996</v>
      </c>
      <c r="N2858">
        <v>0</v>
      </c>
      <c r="O2858">
        <v>-0.39823930000000002</v>
      </c>
      <c r="P2858">
        <v>-0.72095940000000003</v>
      </c>
      <c r="Q2858">
        <v>0.1289826</v>
      </c>
      <c r="R2858">
        <v>-0.68086800000000003</v>
      </c>
      <c r="S2858">
        <v>-2.012451</v>
      </c>
      <c r="T2858">
        <v>-0.25844400000000001</v>
      </c>
      <c r="U2858">
        <v>-2.3294069999999998</v>
      </c>
      <c r="V2858">
        <v>-0.34043639999999997</v>
      </c>
      <c r="W2858">
        <v>0.1375217</v>
      </c>
      <c r="X2858">
        <v>0.93015639999999999</v>
      </c>
      <c r="Y2858">
        <v>-0.43353960000000002</v>
      </c>
      <c r="Z2858">
        <v>1.584698E-2</v>
      </c>
      <c r="AA2858">
        <v>0.90099510000000005</v>
      </c>
      <c r="AB2858">
        <v>31</v>
      </c>
      <c r="AC2858">
        <v>-8.5113999999999805</v>
      </c>
      <c r="AD2858">
        <v>-1.1193983194227</v>
      </c>
      <c r="AE2858">
        <v>-9.9938999999999893</v>
      </c>
      <c r="AF2858">
        <v>-5.73519737203506</v>
      </c>
      <c r="AG2858">
        <v>-1.1193983194227</v>
      </c>
      <c r="AH2858">
        <v>11.7025828538182</v>
      </c>
      <c r="AI2858">
        <v>94.909292475967305</v>
      </c>
      <c r="AJ2858">
        <v>116.108532595559</v>
      </c>
      <c r="AK2858">
        <v>13.080366468268499</v>
      </c>
      <c r="AL2858">
        <v>82.095537377126703</v>
      </c>
      <c r="AM2858">
        <v>110.102580025599</v>
      </c>
      <c r="AN2858">
        <v>1.0000000444384001</v>
      </c>
    </row>
    <row r="2859" spans="1:40" x14ac:dyDescent="0.25">
      <c r="A2859" t="str">
        <f>"20190312164043987"</f>
        <v>20190312164043987</v>
      </c>
      <c r="B2859" t="str">
        <f>"1552380043978493"</f>
        <v>1552380043978493</v>
      </c>
      <c r="C2859" t="s">
        <v>40</v>
      </c>
      <c r="D2859">
        <v>5.6783769999999896</v>
      </c>
      <c r="E2859">
        <v>0.45715729999999999</v>
      </c>
      <c r="F2859" t="s">
        <v>42</v>
      </c>
      <c r="G2859">
        <v>-479.21080000000001</v>
      </c>
      <c r="H2859">
        <v>1.034988</v>
      </c>
      <c r="I2859">
        <v>281.50020000000001</v>
      </c>
      <c r="J2859">
        <v>-478.77319999999997</v>
      </c>
      <c r="K2859">
        <v>1.1194219999999999</v>
      </c>
      <c r="L2859">
        <v>282.16019999999997</v>
      </c>
      <c r="M2859">
        <v>-0.91393599999999997</v>
      </c>
      <c r="N2859">
        <v>0</v>
      </c>
      <c r="O2859">
        <v>-0.4055048</v>
      </c>
      <c r="P2859">
        <v>-0.71570069999999997</v>
      </c>
      <c r="Q2859">
        <v>0.12898660000000001</v>
      </c>
      <c r="R2859">
        <v>-0.68639259999999902</v>
      </c>
      <c r="S2859">
        <v>-1.9920960000000001</v>
      </c>
      <c r="T2859">
        <v>-0.26136300000000001</v>
      </c>
      <c r="U2859">
        <v>-2.3462830000000001</v>
      </c>
      <c r="V2859">
        <v>-0.34021879999999999</v>
      </c>
      <c r="W2859">
        <v>0.13738610000000001</v>
      </c>
      <c r="X2859">
        <v>0.93025599999999997</v>
      </c>
      <c r="Y2859">
        <v>-0.43414330000000001</v>
      </c>
      <c r="Z2859">
        <v>1.6677290000000001E-2</v>
      </c>
      <c r="AA2859">
        <v>0.90068939999999997</v>
      </c>
      <c r="AB2859">
        <v>31</v>
      </c>
      <c r="AC2859">
        <v>-0.43760000000003102</v>
      </c>
      <c r="AD2859">
        <v>-8.4433999999999898E-2</v>
      </c>
      <c r="AE2859">
        <v>-0.65999999999996795</v>
      </c>
      <c r="AF2859">
        <v>-0.42102353865094</v>
      </c>
      <c r="AG2859">
        <v>-8.4433999999999898E-2</v>
      </c>
      <c r="AH2859">
        <v>0.66016228789074904</v>
      </c>
      <c r="AI2859">
        <v>96.154718646118397</v>
      </c>
      <c r="AJ2859">
        <v>122.52800516862401</v>
      </c>
      <c r="AK2859">
        <v>0.78753042278207097</v>
      </c>
      <c r="AL2859">
        <v>82.103380774582604</v>
      </c>
      <c r="AM2859">
        <v>110.088779752615</v>
      </c>
      <c r="AN2859">
        <v>0.99999999894132496</v>
      </c>
    </row>
    <row r="2860" spans="1:40" x14ac:dyDescent="0.25">
      <c r="A2860" t="str">
        <f>"20190312164044005"</f>
        <v>20190312164044005</v>
      </c>
      <c r="B2860" t="str">
        <f>"1552380043998989"</f>
        <v>1552380043998989</v>
      </c>
      <c r="C2860" t="s">
        <v>40</v>
      </c>
      <c r="D2860">
        <v>5.9115500000000001</v>
      </c>
      <c r="E2860">
        <v>0.45773180000000002</v>
      </c>
      <c r="F2860" t="s">
        <v>42</v>
      </c>
      <c r="G2860">
        <v>-479.4067</v>
      </c>
      <c r="H2860">
        <v>1.034124</v>
      </c>
      <c r="I2860">
        <v>281.4042</v>
      </c>
      <c r="J2860">
        <v>-478.99860000000001</v>
      </c>
      <c r="K2860">
        <v>1.1194470000000001</v>
      </c>
      <c r="L2860">
        <v>282.05099999999999</v>
      </c>
      <c r="M2860">
        <v>-0.91033920000000002</v>
      </c>
      <c r="N2860">
        <v>0</v>
      </c>
      <c r="O2860">
        <v>-0.41352139999999998</v>
      </c>
      <c r="P2860">
        <v>-0.70928259999999999</v>
      </c>
      <c r="Q2860">
        <v>0.1281881</v>
      </c>
      <c r="R2860">
        <v>-0.69317099999999998</v>
      </c>
      <c r="S2860">
        <v>-1.9771730000000001</v>
      </c>
      <c r="T2860">
        <v>-0.26621850000000002</v>
      </c>
      <c r="U2860">
        <v>-2.3591310000000001</v>
      </c>
      <c r="V2860">
        <v>-0.34083010000000002</v>
      </c>
      <c r="W2860">
        <v>0.1364216</v>
      </c>
      <c r="X2860">
        <v>0.93017419999999995</v>
      </c>
      <c r="Y2860">
        <v>-0.43201289999999998</v>
      </c>
      <c r="Z2860">
        <v>1.7844949999999998E-2</v>
      </c>
      <c r="AA2860">
        <v>0.90169080000000001</v>
      </c>
      <c r="AB2860">
        <v>31</v>
      </c>
      <c r="AC2860">
        <v>-0.40809999999999003</v>
      </c>
      <c r="AD2860">
        <v>-8.5322999999999802E-2</v>
      </c>
      <c r="AE2860">
        <v>-0.64679999999998405</v>
      </c>
      <c r="AF2860">
        <v>-0.41494399804955401</v>
      </c>
      <c r="AG2860">
        <v>-8.5322999999999802E-2</v>
      </c>
      <c r="AH2860">
        <v>0.63120891457094097</v>
      </c>
      <c r="AI2860">
        <v>96.444434279344804</v>
      </c>
      <c r="AJ2860">
        <v>123.32011170873</v>
      </c>
      <c r="AK2860">
        <v>0.76018631247883806</v>
      </c>
      <c r="AL2860">
        <v>82.159168043095903</v>
      </c>
      <c r="AM2860">
        <v>110.123609227792</v>
      </c>
      <c r="AN2860">
        <v>1.0000000261791</v>
      </c>
    </row>
    <row r="2861" spans="1:40" x14ac:dyDescent="0.25">
      <c r="A2861" t="str">
        <f>"20190312164044017"</f>
        <v>20190312164044017</v>
      </c>
      <c r="B2861" t="str">
        <f>"1552380044008751"</f>
        <v>1552380044008751</v>
      </c>
      <c r="C2861" t="s">
        <v>40</v>
      </c>
      <c r="D2861">
        <v>5.7778650000000003</v>
      </c>
      <c r="E2861">
        <v>0.45802110000000001</v>
      </c>
      <c r="F2861" t="s">
        <v>42</v>
      </c>
      <c r="G2861">
        <v>-479.6404</v>
      </c>
      <c r="H2861">
        <v>1.031585</v>
      </c>
      <c r="I2861">
        <v>281.27210000000002</v>
      </c>
      <c r="J2861">
        <v>-479.15559999999999</v>
      </c>
      <c r="K2861">
        <v>1.119467</v>
      </c>
      <c r="L2861">
        <v>281.97370000000001</v>
      </c>
      <c r="M2861">
        <v>-0.90777200000000002</v>
      </c>
      <c r="N2861">
        <v>0</v>
      </c>
      <c r="O2861">
        <v>-0.41913040000000001</v>
      </c>
      <c r="P2861">
        <v>-0.70491280000000001</v>
      </c>
      <c r="Q2861">
        <v>0.12792799999999999</v>
      </c>
      <c r="R2861">
        <v>-0.69766240000000002</v>
      </c>
      <c r="S2861">
        <v>-1.9567870000000001</v>
      </c>
      <c r="T2861">
        <v>-0.2678777</v>
      </c>
      <c r="U2861">
        <v>-2.3751829999999998</v>
      </c>
      <c r="V2861">
        <v>-0.34098220000000001</v>
      </c>
      <c r="W2861">
        <v>0.13605729999999999</v>
      </c>
      <c r="X2861">
        <v>0.93017179999999999</v>
      </c>
      <c r="Y2861">
        <v>-0.43405549999999998</v>
      </c>
      <c r="Z2861">
        <v>1.840338E-2</v>
      </c>
      <c r="AA2861">
        <v>0.90069809999999995</v>
      </c>
      <c r="AB2861">
        <v>31</v>
      </c>
      <c r="AC2861">
        <v>-0.484800000000007</v>
      </c>
      <c r="AD2861">
        <v>-8.7882000000000002E-2</v>
      </c>
      <c r="AE2861">
        <v>-0.70159999999998401</v>
      </c>
      <c r="AF2861">
        <v>-0.429201202672643</v>
      </c>
      <c r="AG2861">
        <v>-8.7882000000000002E-2</v>
      </c>
      <c r="AH2861">
        <v>0.72653702413263599</v>
      </c>
      <c r="AI2861">
        <v>95.945638346727094</v>
      </c>
      <c r="AJ2861">
        <v>120.57243841616599</v>
      </c>
      <c r="AK2861">
        <v>0.84840613254216302</v>
      </c>
      <c r="AL2861">
        <v>82.180237247338695</v>
      </c>
      <c r="AM2861">
        <v>110.131916465476</v>
      </c>
      <c r="AN2861">
        <v>1.0000000135576801</v>
      </c>
    </row>
    <row r="2862" spans="1:40" x14ac:dyDescent="0.25">
      <c r="A2862" t="str">
        <f>"20190312164044029"</f>
        <v>20190312164044029</v>
      </c>
      <c r="B2862" t="str">
        <f>"1552380044019486"</f>
        <v>1552380044019486</v>
      </c>
      <c r="C2862" t="s">
        <v>40</v>
      </c>
      <c r="D2862">
        <v>5.8066449999999996</v>
      </c>
      <c r="E2862">
        <v>0.45832580000000001</v>
      </c>
      <c r="F2862" t="s">
        <v>46</v>
      </c>
      <c r="G2862">
        <v>-487.20569999999998</v>
      </c>
      <c r="H2862" s="1">
        <v>6.2917379999999998E-7</v>
      </c>
      <c r="I2862">
        <v>272.08670000000001</v>
      </c>
      <c r="J2862">
        <v>-479.29360000000003</v>
      </c>
      <c r="K2862">
        <v>1.119486</v>
      </c>
      <c r="L2862">
        <v>281.90410000000003</v>
      </c>
      <c r="M2862">
        <v>-0.90545920000000002</v>
      </c>
      <c r="N2862">
        <v>0</v>
      </c>
      <c r="O2862">
        <v>-0.42410609999999999</v>
      </c>
      <c r="P2862">
        <v>-0.70118899999999995</v>
      </c>
      <c r="Q2862">
        <v>0.12716269999999999</v>
      </c>
      <c r="R2862">
        <v>-0.70154359999999905</v>
      </c>
      <c r="S2862">
        <v>-1.942993</v>
      </c>
      <c r="T2862">
        <v>-0.27019969999999999</v>
      </c>
      <c r="U2862">
        <v>-2.3863829999999999</v>
      </c>
      <c r="V2862">
        <v>-0.34094530000000001</v>
      </c>
      <c r="W2862">
        <v>0.1352131</v>
      </c>
      <c r="X2862">
        <v>0.93030840000000004</v>
      </c>
      <c r="Y2862">
        <v>-0.4343244</v>
      </c>
      <c r="Z2862">
        <v>1.9032230000000001E-2</v>
      </c>
      <c r="AA2862">
        <v>0.90055540000000001</v>
      </c>
      <c r="AB2862">
        <v>31</v>
      </c>
      <c r="AC2862">
        <v>-7.91209999999995</v>
      </c>
      <c r="AD2862">
        <v>-1.1194853708262</v>
      </c>
      <c r="AE2862">
        <v>-9.8174000000000099</v>
      </c>
      <c r="AF2862">
        <v>-5.4911672324236402</v>
      </c>
      <c r="AG2862">
        <v>-1.1194853708262</v>
      </c>
      <c r="AH2862">
        <v>11.2406666119645</v>
      </c>
      <c r="AI2862">
        <v>95.113532484589399</v>
      </c>
      <c r="AJ2862">
        <v>116.03592719016299</v>
      </c>
      <c r="AK2862">
        <v>12.5602050521188</v>
      </c>
      <c r="AL2862">
        <v>82.229057391252098</v>
      </c>
      <c r="AM2862">
        <v>110.127194276016</v>
      </c>
      <c r="AN2862">
        <v>0.99999999955712904</v>
      </c>
    </row>
    <row r="2863" spans="1:40" x14ac:dyDescent="0.25">
      <c r="A2863" t="str">
        <f>"20190312164044041"</f>
        <v>20190312164044041</v>
      </c>
      <c r="B2863" t="str">
        <f>"1552380044039005"</f>
        <v>1552380044039005</v>
      </c>
      <c r="C2863" t="s">
        <v>40</v>
      </c>
      <c r="D2863">
        <v>5.7805609999999996</v>
      </c>
      <c r="E2863">
        <v>0.45887169999999999</v>
      </c>
      <c r="F2863" t="s">
        <v>42</v>
      </c>
      <c r="G2863">
        <v>-479.91989999999998</v>
      </c>
      <c r="H2863">
        <v>1.0305409999999999</v>
      </c>
      <c r="I2863">
        <v>281.1275</v>
      </c>
      <c r="J2863">
        <v>-479.44380000000001</v>
      </c>
      <c r="K2863">
        <v>1.119507</v>
      </c>
      <c r="L2863">
        <v>281.82780000000002</v>
      </c>
      <c r="M2863">
        <v>-0.90289980000000003</v>
      </c>
      <c r="N2863">
        <v>0</v>
      </c>
      <c r="O2863">
        <v>-0.42953069999999999</v>
      </c>
      <c r="P2863">
        <v>-0.69708959999999998</v>
      </c>
      <c r="Q2863">
        <v>0.126141899999999</v>
      </c>
      <c r="R2863">
        <v>-0.70580080000000001</v>
      </c>
      <c r="S2863">
        <v>-1.9314880000000001</v>
      </c>
      <c r="T2863">
        <v>-0.274304299999999</v>
      </c>
      <c r="U2863">
        <v>-2.3954469999999999</v>
      </c>
      <c r="V2863">
        <v>-0.34093580000000001</v>
      </c>
      <c r="W2863">
        <v>0.13410749999999999</v>
      </c>
      <c r="X2863">
        <v>0.93047190000000002</v>
      </c>
      <c r="Y2863">
        <v>-0.43322369999999999</v>
      </c>
      <c r="Z2863">
        <v>1.990718E-2</v>
      </c>
      <c r="AA2863">
        <v>0.90106649999999999</v>
      </c>
      <c r="AB2863">
        <v>31</v>
      </c>
      <c r="AC2863">
        <v>-0.47609999999997399</v>
      </c>
      <c r="AD2863">
        <v>-8.8966000000000101E-2</v>
      </c>
      <c r="AE2863">
        <v>-0.70030000000002701</v>
      </c>
      <c r="AF2863">
        <v>-0.42318908746880401</v>
      </c>
      <c r="AG2863">
        <v>-8.8966000000000101E-2</v>
      </c>
      <c r="AH2863">
        <v>0.72279366277177504</v>
      </c>
      <c r="AI2863">
        <v>96.063192785833493</v>
      </c>
      <c r="AJ2863">
        <v>120.348583308933</v>
      </c>
      <c r="AK2863">
        <v>0.84227942623081897</v>
      </c>
      <c r="AL2863">
        <v>82.292985876170206</v>
      </c>
      <c r="AM2863">
        <v>110.123425632611</v>
      </c>
      <c r="AN2863">
        <v>0.99999999898374903</v>
      </c>
    </row>
    <row r="2864" spans="1:40" x14ac:dyDescent="0.25">
      <c r="A2864" t="str">
        <f>"20190312164044051"</f>
        <v>20190312164044051</v>
      </c>
      <c r="B2864" t="str">
        <f>"1552380044048766"</f>
        <v>1552380044048766</v>
      </c>
      <c r="C2864" t="s">
        <v>40</v>
      </c>
      <c r="D2864">
        <v>5.8668480000000001</v>
      </c>
      <c r="E2864">
        <v>0.4592677</v>
      </c>
      <c r="F2864" t="s">
        <v>42</v>
      </c>
      <c r="G2864">
        <v>-480.10419999999999</v>
      </c>
      <c r="H2864">
        <v>1.0230170000000001</v>
      </c>
      <c r="I2864">
        <v>281.00130000000001</v>
      </c>
      <c r="J2864">
        <v>-479.57799999999997</v>
      </c>
      <c r="K2864">
        <v>1.1195269999999999</v>
      </c>
      <c r="L2864">
        <v>281.75839999999999</v>
      </c>
      <c r="M2864">
        <v>-0.90056389999999997</v>
      </c>
      <c r="N2864">
        <v>0</v>
      </c>
      <c r="O2864">
        <v>-0.43440889999999999</v>
      </c>
      <c r="P2864">
        <v>-0.6931484</v>
      </c>
      <c r="Q2864">
        <v>0.12525749999999999</v>
      </c>
      <c r="R2864">
        <v>-0.70982789999999996</v>
      </c>
      <c r="S2864">
        <v>-1.919861</v>
      </c>
      <c r="T2864">
        <v>-0.28053270000000002</v>
      </c>
      <c r="U2864">
        <v>-2.40448</v>
      </c>
      <c r="V2864">
        <v>-0.3412134</v>
      </c>
      <c r="W2864">
        <v>0.1331425</v>
      </c>
      <c r="X2864">
        <v>0.93050869999999997</v>
      </c>
      <c r="Y2864">
        <v>-0.43267260000000002</v>
      </c>
      <c r="Z2864">
        <v>2.0876840000000001E-2</v>
      </c>
      <c r="AA2864">
        <v>0.90130940000000004</v>
      </c>
      <c r="AB2864">
        <v>31</v>
      </c>
      <c r="AC2864">
        <v>-0.52619999999996003</v>
      </c>
      <c r="AD2864">
        <v>-9.6509999999999804E-2</v>
      </c>
      <c r="AE2864">
        <v>-0.75709999999997901</v>
      </c>
      <c r="AF2864">
        <v>-0.44838018845772099</v>
      </c>
      <c r="AG2864">
        <v>-9.6509999999999804E-2</v>
      </c>
      <c r="AH2864">
        <v>0.79417595236764804</v>
      </c>
      <c r="AI2864">
        <v>96.040634860480907</v>
      </c>
      <c r="AJ2864">
        <v>119.448440649871</v>
      </c>
      <c r="AK2864">
        <v>0.91710109411146201</v>
      </c>
      <c r="AL2864">
        <v>82.348776456189995</v>
      </c>
      <c r="AM2864">
        <v>110.13776220996699</v>
      </c>
      <c r="AN2864">
        <v>0.99999997521074901</v>
      </c>
    </row>
    <row r="2865" spans="1:40" x14ac:dyDescent="0.25">
      <c r="A2865" t="str">
        <f>"20190312164044071"</f>
        <v>20190312164044071</v>
      </c>
      <c r="B2865" t="str">
        <f>"1552380044058525"</f>
        <v>1552380044058525</v>
      </c>
      <c r="C2865" t="s">
        <v>40</v>
      </c>
      <c r="D2865">
        <v>5.7488279999999996</v>
      </c>
      <c r="E2865">
        <v>0.45958199999999999</v>
      </c>
      <c r="F2865" t="s">
        <v>46</v>
      </c>
      <c r="G2865">
        <v>-487.11290000000002</v>
      </c>
      <c r="H2865" s="1">
        <v>6.7068659999999998E-7</v>
      </c>
      <c r="I2865">
        <v>272.22739999999999</v>
      </c>
      <c r="J2865">
        <v>-479.79809999999998</v>
      </c>
      <c r="K2865">
        <v>1.1195539999999999</v>
      </c>
      <c r="L2865">
        <v>281.64260000000002</v>
      </c>
      <c r="M2865">
        <v>-0.89663809999999999</v>
      </c>
      <c r="N2865">
        <v>0</v>
      </c>
      <c r="O2865">
        <v>-0.44245859999999898</v>
      </c>
      <c r="P2865">
        <v>-0.6870598</v>
      </c>
      <c r="Q2865">
        <v>0.12333180000000001</v>
      </c>
      <c r="R2865">
        <v>-0.71605750000000001</v>
      </c>
      <c r="S2865">
        <v>-1.9079280000000001</v>
      </c>
      <c r="T2865">
        <v>-0.28347610000000001</v>
      </c>
      <c r="U2865">
        <v>-2.4133610000000001</v>
      </c>
      <c r="V2865">
        <v>-0.34109590000000001</v>
      </c>
      <c r="W2865">
        <v>0.13110910000000001</v>
      </c>
      <c r="X2865">
        <v>0.93084049999999996</v>
      </c>
      <c r="Y2865">
        <v>-0.4289869</v>
      </c>
      <c r="Z2865">
        <v>2.2096569999999999E-2</v>
      </c>
      <c r="AA2865">
        <v>0.90304039999999997</v>
      </c>
      <c r="AB2865">
        <v>31</v>
      </c>
      <c r="AC2865">
        <v>-7.3148000000000399</v>
      </c>
      <c r="AD2865">
        <v>-1.1195533293133999</v>
      </c>
      <c r="AE2865">
        <v>-9.41520000000002</v>
      </c>
      <c r="AF2865">
        <v>-5.1607313492302396</v>
      </c>
      <c r="AG2865">
        <v>-1.1195533293133999</v>
      </c>
      <c r="AH2865">
        <v>10.632267490333099</v>
      </c>
      <c r="AI2865">
        <v>95.411391932627296</v>
      </c>
      <c r="AJ2865">
        <v>115.89118921798</v>
      </c>
      <c r="AK2865">
        <v>11.871464092608701</v>
      </c>
      <c r="AL2865">
        <v>82.466312519770298</v>
      </c>
      <c r="AM2865">
        <v>110.124784501015</v>
      </c>
      <c r="AN2865">
        <v>1.0000000227699299</v>
      </c>
    </row>
    <row r="2866" spans="1:40" x14ac:dyDescent="0.25">
      <c r="A2866" t="str">
        <f>"20190312164044081"</f>
        <v>20190312164044081</v>
      </c>
      <c r="B2866" t="str">
        <f>"1552380044079022"</f>
        <v>1552380044079022</v>
      </c>
      <c r="C2866" t="s">
        <v>40</v>
      </c>
      <c r="D2866">
        <v>5.7052930000000002</v>
      </c>
      <c r="E2866">
        <v>0.46023599999999998</v>
      </c>
      <c r="F2866" t="s">
        <v>42</v>
      </c>
      <c r="G2866">
        <v>-480.42570000000001</v>
      </c>
      <c r="H2866">
        <v>1.023255</v>
      </c>
      <c r="I2866">
        <v>280.83519999999999</v>
      </c>
      <c r="J2866">
        <v>-479.93459999999999</v>
      </c>
      <c r="K2866">
        <v>1.119575</v>
      </c>
      <c r="L2866">
        <v>281.56959999999998</v>
      </c>
      <c r="M2866">
        <v>-0.89414629999999995</v>
      </c>
      <c r="N2866">
        <v>0</v>
      </c>
      <c r="O2866">
        <v>-0.44747429999999999</v>
      </c>
      <c r="P2866">
        <v>-0.68308400000000002</v>
      </c>
      <c r="Q2866">
        <v>0.122407</v>
      </c>
      <c r="R2866">
        <v>-0.72000889999999995</v>
      </c>
      <c r="S2866">
        <v>-1.8872679999999999</v>
      </c>
      <c r="T2866">
        <v>-0.289618599999999</v>
      </c>
      <c r="U2866">
        <v>-2.4286189999999999</v>
      </c>
      <c r="V2866">
        <v>-0.34116489999999999</v>
      </c>
      <c r="W2866">
        <v>0.13011629999999999</v>
      </c>
      <c r="X2866">
        <v>0.93095450000000002</v>
      </c>
      <c r="Y2866">
        <v>-0.43146830000000003</v>
      </c>
      <c r="Z2866">
        <v>2.29806E-2</v>
      </c>
      <c r="AA2866">
        <v>0.90183530000000001</v>
      </c>
      <c r="AB2866">
        <v>31</v>
      </c>
      <c r="AC2866">
        <v>-0.49110000000001702</v>
      </c>
      <c r="AD2866">
        <v>-9.6319999999999906E-2</v>
      </c>
      <c r="AE2866">
        <v>-0.73439999999999295</v>
      </c>
      <c r="AF2866">
        <v>-0.43183232351798001</v>
      </c>
      <c r="AG2866">
        <v>-9.6319999999999906E-2</v>
      </c>
      <c r="AH2866">
        <v>0.75882408424842196</v>
      </c>
      <c r="AI2866">
        <v>96.295430755796303</v>
      </c>
      <c r="AJ2866">
        <v>119.643379402628</v>
      </c>
      <c r="AK2866">
        <v>0.87839096584060605</v>
      </c>
      <c r="AL2866">
        <v>82.523687183436905</v>
      </c>
      <c r="AM2866">
        <v>110.126261753276</v>
      </c>
      <c r="AN2866">
        <v>1.0000000107939699</v>
      </c>
    </row>
    <row r="2867" spans="1:40" x14ac:dyDescent="0.25">
      <c r="A2867" t="str">
        <f>"20190312164044094"</f>
        <v>20190312164044094</v>
      </c>
      <c r="B2867" t="str">
        <f>"1552380044088781"</f>
        <v>1552380044088781</v>
      </c>
      <c r="C2867" t="s">
        <v>40</v>
      </c>
      <c r="D2867">
        <v>6.0606390000000001</v>
      </c>
      <c r="E2867">
        <v>0.46057300000000001</v>
      </c>
      <c r="F2867" t="s">
        <v>42</v>
      </c>
      <c r="G2867">
        <v>-480.57459999999998</v>
      </c>
      <c r="H2867">
        <v>1.0192600000000001</v>
      </c>
      <c r="I2867">
        <v>280.73910000000001</v>
      </c>
      <c r="J2867">
        <v>-480.08339999999998</v>
      </c>
      <c r="K2867">
        <v>1.1196060000000001</v>
      </c>
      <c r="L2867">
        <v>281.48880000000003</v>
      </c>
      <c r="M2867">
        <v>-0.89137119999999903</v>
      </c>
      <c r="N2867">
        <v>0</v>
      </c>
      <c r="O2867">
        <v>-0.45297920000000003</v>
      </c>
      <c r="P2867">
        <v>-0.67868099999999998</v>
      </c>
      <c r="Q2867">
        <v>0.1218293</v>
      </c>
      <c r="R2867">
        <v>-0.72425850000000003</v>
      </c>
      <c r="S2867">
        <v>-1.876862</v>
      </c>
      <c r="T2867">
        <v>-0.29416530000000002</v>
      </c>
      <c r="U2867">
        <v>-2.436035</v>
      </c>
      <c r="V2867">
        <v>-0.3411843</v>
      </c>
      <c r="W2867">
        <v>0.1294691</v>
      </c>
      <c r="X2867">
        <v>0.93103760000000002</v>
      </c>
      <c r="Y2867">
        <v>-0.4296741</v>
      </c>
      <c r="Z2867">
        <v>2.4017E-2</v>
      </c>
      <c r="AA2867">
        <v>0.90266449999999998</v>
      </c>
      <c r="AB2867">
        <v>31</v>
      </c>
      <c r="AC2867">
        <v>-0.49119999999999198</v>
      </c>
      <c r="AD2867">
        <v>-0.10034599999999901</v>
      </c>
      <c r="AE2867">
        <v>-0.74970000000001802</v>
      </c>
      <c r="AF2867">
        <v>-0.44029825267330602</v>
      </c>
      <c r="AG2867">
        <v>-0.10034599999999901</v>
      </c>
      <c r="AH2867">
        <v>0.76791845327821995</v>
      </c>
      <c r="AI2867">
        <v>96.467495805947195</v>
      </c>
      <c r="AJ2867">
        <v>119.828488816728</v>
      </c>
      <c r="AK2867">
        <v>0.89085948494045897</v>
      </c>
      <c r="AL2867">
        <v>82.561085228469906</v>
      </c>
      <c r="AM2867">
        <v>110.125662060755</v>
      </c>
      <c r="AN2867">
        <v>0.99999999351752999</v>
      </c>
    </row>
    <row r="2868" spans="1:40" x14ac:dyDescent="0.25">
      <c r="A2868" t="str">
        <f>"20190312164044105"</f>
        <v>20190312164044105</v>
      </c>
      <c r="B2868" t="str">
        <f>"1552380044098542"</f>
        <v>1552380044098542</v>
      </c>
      <c r="C2868" t="s">
        <v>40</v>
      </c>
      <c r="D2868">
        <v>5.6458709999999996</v>
      </c>
      <c r="E2868">
        <v>0.4609259</v>
      </c>
      <c r="F2868" t="s">
        <v>46</v>
      </c>
      <c r="G2868">
        <v>-487.17290000000003</v>
      </c>
      <c r="H2868" s="1">
        <v>6.6079389999999999E-7</v>
      </c>
      <c r="I2868">
        <v>272.18439999999998</v>
      </c>
      <c r="J2868">
        <v>-480.21010000000001</v>
      </c>
      <c r="K2868">
        <v>1.1196280000000001</v>
      </c>
      <c r="L2868">
        <v>281.41890000000001</v>
      </c>
      <c r="M2868">
        <v>-0.88895919999999895</v>
      </c>
      <c r="N2868">
        <v>0</v>
      </c>
      <c r="O2868">
        <v>-0.45769569999999998</v>
      </c>
      <c r="P2868">
        <v>-0.67505879999999996</v>
      </c>
      <c r="Q2868">
        <v>0.12126199999999999</v>
      </c>
      <c r="R2868">
        <v>-0.72773019999999999</v>
      </c>
      <c r="S2868">
        <v>-1.8633729999999999</v>
      </c>
      <c r="T2868">
        <v>-0.29427340000000002</v>
      </c>
      <c r="U2868">
        <v>-2.445557</v>
      </c>
      <c r="V2868">
        <v>-0.3409758</v>
      </c>
      <c r="W2868">
        <v>0.1288511</v>
      </c>
      <c r="X2868">
        <v>0.93119969999999996</v>
      </c>
      <c r="Y2868">
        <v>-0.4297494</v>
      </c>
      <c r="Z2868">
        <v>2.4528999999999999E-2</v>
      </c>
      <c r="AA2868">
        <v>0.90261499999999995</v>
      </c>
      <c r="AB2868">
        <v>31</v>
      </c>
      <c r="AC2868">
        <v>-6.9628000000000103</v>
      </c>
      <c r="AD2868">
        <v>-1.1196273392061</v>
      </c>
      <c r="AE2868">
        <v>-9.2345000000000201</v>
      </c>
      <c r="AF2868">
        <v>-4.9762810148283103</v>
      </c>
      <c r="AG2868">
        <v>-1.1196273392061</v>
      </c>
      <c r="AH2868">
        <v>10.3208953333527</v>
      </c>
      <c r="AI2868">
        <v>95.581015256458997</v>
      </c>
      <c r="AJ2868">
        <v>115.741316667547</v>
      </c>
      <c r="AK2868">
        <v>11.512507050997099</v>
      </c>
      <c r="AL2868">
        <v>82.596793105744297</v>
      </c>
      <c r="AM2868">
        <v>110.111128472391</v>
      </c>
      <c r="AN2868">
        <v>0.99999999171846898</v>
      </c>
    </row>
    <row r="2869" spans="1:40" x14ac:dyDescent="0.25">
      <c r="A2869" t="str">
        <f>"20190312164044116"</f>
        <v>20190312164044116</v>
      </c>
      <c r="B2869" t="str">
        <f>"1552380044109277"</f>
        <v>1552380044109277</v>
      </c>
      <c r="C2869" t="s">
        <v>40</v>
      </c>
      <c r="D2869">
        <v>6.1088610000000001</v>
      </c>
      <c r="E2869">
        <v>0.46121069999999997</v>
      </c>
      <c r="F2869" t="s">
        <v>42</v>
      </c>
      <c r="G2869">
        <v>-480.81700000000001</v>
      </c>
      <c r="H2869">
        <v>1.0230509999999999</v>
      </c>
      <c r="I2869">
        <v>280.61500000000001</v>
      </c>
      <c r="J2869">
        <v>-480.34350000000001</v>
      </c>
      <c r="K2869">
        <v>1.119653</v>
      </c>
      <c r="L2869">
        <v>281.34469999999999</v>
      </c>
      <c r="M2869">
        <v>-0.88637940000000004</v>
      </c>
      <c r="N2869">
        <v>0</v>
      </c>
      <c r="O2869">
        <v>-0.46267340000000001</v>
      </c>
      <c r="P2869">
        <v>-0.67110559999999997</v>
      </c>
      <c r="Q2869">
        <v>0.1210272</v>
      </c>
      <c r="R2869">
        <v>-0.73141650000000002</v>
      </c>
      <c r="S2869">
        <v>-1.8520810000000001</v>
      </c>
      <c r="T2869">
        <v>-0.29472300000000001</v>
      </c>
      <c r="U2869">
        <v>-2.453522</v>
      </c>
      <c r="V2869">
        <v>-0.34083770000000002</v>
      </c>
      <c r="W2869">
        <v>0.12856119999999999</v>
      </c>
      <c r="X2869">
        <v>0.93129030000000002</v>
      </c>
      <c r="Y2869">
        <v>-0.42876170000000002</v>
      </c>
      <c r="Z2869">
        <v>2.5150100000000002E-2</v>
      </c>
      <c r="AA2869">
        <v>0.90306750000000002</v>
      </c>
      <c r="AB2869">
        <v>31</v>
      </c>
      <c r="AC2869">
        <v>-0.47349999999994402</v>
      </c>
      <c r="AD2869">
        <v>-9.6601999999999993E-2</v>
      </c>
      <c r="AE2869">
        <v>-0.72969999999997903</v>
      </c>
      <c r="AF2869">
        <v>-0.422560411628081</v>
      </c>
      <c r="AG2869">
        <v>-9.6601999999999993E-2</v>
      </c>
      <c r="AH2869">
        <v>0.74818635858418503</v>
      </c>
      <c r="AI2869">
        <v>96.414469767584805</v>
      </c>
      <c r="AJ2869">
        <v>119.456876213173</v>
      </c>
      <c r="AK2869">
        <v>0.86468033113443499</v>
      </c>
      <c r="AL2869">
        <v>82.613542309509697</v>
      </c>
      <c r="AM2869">
        <v>110.101836379652</v>
      </c>
      <c r="AN2869">
        <v>0.99999997138040897</v>
      </c>
    </row>
    <row r="2870" spans="1:40" x14ac:dyDescent="0.25">
      <c r="A2870" t="str">
        <f>"20190312164044126"</f>
        <v>20190312164044126</v>
      </c>
      <c r="B2870" t="str">
        <f>"1552380044119037"</f>
        <v>1552380044119037</v>
      </c>
      <c r="C2870" t="s">
        <v>40</v>
      </c>
      <c r="D2870">
        <v>5.6518249999999997</v>
      </c>
      <c r="E2870">
        <v>0.46152700000000002</v>
      </c>
      <c r="F2870" t="s">
        <v>46</v>
      </c>
      <c r="G2870">
        <v>-487.33960000000002</v>
      </c>
      <c r="H2870" s="1">
        <v>6.0362619999999904E-7</v>
      </c>
      <c r="I2870">
        <v>271.98079999999999</v>
      </c>
      <c r="J2870">
        <v>-480.4708</v>
      </c>
      <c r="K2870">
        <v>1.1196820000000001</v>
      </c>
      <c r="L2870">
        <v>281.2724</v>
      </c>
      <c r="M2870">
        <v>-0.88386169999999997</v>
      </c>
      <c r="N2870">
        <v>0</v>
      </c>
      <c r="O2870">
        <v>-0.4674663</v>
      </c>
      <c r="P2870">
        <v>-0.66726569999999996</v>
      </c>
      <c r="Q2870">
        <v>0.12085990000000001</v>
      </c>
      <c r="R2870">
        <v>-0.73494899999999996</v>
      </c>
      <c r="S2870">
        <v>-1.839691</v>
      </c>
      <c r="T2870">
        <v>-0.29442239999999997</v>
      </c>
      <c r="U2870">
        <v>-2.4623110000000001</v>
      </c>
      <c r="V2870">
        <v>-0.34070220000000001</v>
      </c>
      <c r="W2870">
        <v>0.12834319999999999</v>
      </c>
      <c r="X2870">
        <v>0.93137000000000003</v>
      </c>
      <c r="Y2870">
        <v>-0.42834929999999899</v>
      </c>
      <c r="Z2870">
        <v>2.5659910000000001E-2</v>
      </c>
      <c r="AA2870">
        <v>0.90324879999999996</v>
      </c>
      <c r="AB2870">
        <v>31</v>
      </c>
      <c r="AC2870">
        <v>-6.8688000000000198</v>
      </c>
      <c r="AD2870">
        <v>-1.1196813963737999</v>
      </c>
      <c r="AE2870">
        <v>-9.2916000000000096</v>
      </c>
      <c r="AF2870">
        <v>-4.9556831626448199</v>
      </c>
      <c r="AG2870">
        <v>-1.1196813963737999</v>
      </c>
      <c r="AH2870">
        <v>10.319057830646001</v>
      </c>
      <c r="AI2870">
        <v>95.586412292194495</v>
      </c>
      <c r="AJ2870">
        <v>115.65244623964701</v>
      </c>
      <c r="AK2870">
        <v>11.501975332529801</v>
      </c>
      <c r="AL2870">
        <v>82.626137500601899</v>
      </c>
      <c r="AM2870">
        <v>110.09290239766</v>
      </c>
      <c r="AN2870">
        <v>1.00000002148553</v>
      </c>
    </row>
    <row r="2871" spans="1:40" x14ac:dyDescent="0.25">
      <c r="A2871" t="str">
        <f>"20190312164044139"</f>
        <v>20190312164044139</v>
      </c>
      <c r="B2871" t="str">
        <f>"1552380044128798"</f>
        <v>1552380044128798</v>
      </c>
      <c r="C2871" t="s">
        <v>40</v>
      </c>
      <c r="D2871">
        <v>5.6537759999999997</v>
      </c>
      <c r="E2871">
        <v>0.46182240000000002</v>
      </c>
      <c r="F2871" t="s">
        <v>42</v>
      </c>
      <c r="G2871">
        <v>-481.07319999999999</v>
      </c>
      <c r="H2871">
        <v>1.0228269999999999</v>
      </c>
      <c r="I2871">
        <v>280.45839999999998</v>
      </c>
      <c r="J2871">
        <v>-480.60930000000002</v>
      </c>
      <c r="K2871">
        <v>1.119713</v>
      </c>
      <c r="L2871">
        <v>281.19319999999999</v>
      </c>
      <c r="M2871">
        <v>-0.88107990000000003</v>
      </c>
      <c r="N2871">
        <v>0</v>
      </c>
      <c r="O2871">
        <v>-0.47268969999999999</v>
      </c>
      <c r="P2871">
        <v>-0.66292949999999995</v>
      </c>
      <c r="Q2871">
        <v>0.12085659999999999</v>
      </c>
      <c r="R2871">
        <v>-0.7388633</v>
      </c>
      <c r="S2871">
        <v>-1.8281559999999999</v>
      </c>
      <c r="T2871">
        <v>-0.29390100000000002</v>
      </c>
      <c r="U2871">
        <v>-2.470459</v>
      </c>
      <c r="V2871">
        <v>-0.34068009999999999</v>
      </c>
      <c r="W2871">
        <v>0.1282817</v>
      </c>
      <c r="X2871">
        <v>0.93138650000000001</v>
      </c>
      <c r="Y2871">
        <v>-0.4271721</v>
      </c>
      <c r="Z2871">
        <v>2.6232539999999999E-2</v>
      </c>
      <c r="AA2871">
        <v>0.90378970000000003</v>
      </c>
      <c r="AB2871">
        <v>31</v>
      </c>
      <c r="AC2871">
        <v>-0.46389999999996601</v>
      </c>
      <c r="AD2871">
        <v>-9.6885999999999806E-2</v>
      </c>
      <c r="AE2871">
        <v>-0.734800000000007</v>
      </c>
      <c r="AF2871">
        <v>-0.42293558322157299</v>
      </c>
      <c r="AG2871">
        <v>-9.6885999999999806E-2</v>
      </c>
      <c r="AH2871">
        <v>0.74688037478189695</v>
      </c>
      <c r="AI2871">
        <v>96.440246036480303</v>
      </c>
      <c r="AJ2871">
        <v>119.52155484715</v>
      </c>
      <c r="AK2871">
        <v>0.86376599770152995</v>
      </c>
      <c r="AL2871">
        <v>82.629690170367795</v>
      </c>
      <c r="AM2871">
        <v>110.091375836135</v>
      </c>
      <c r="AN2871">
        <v>0.99999996873657404</v>
      </c>
    </row>
    <row r="2872" spans="1:40" x14ac:dyDescent="0.25">
      <c r="A2872" t="str">
        <f>"20190312164044150"</f>
        <v>20190312164044150</v>
      </c>
      <c r="B2872" t="str">
        <f>"1552380044138558"</f>
        <v>1552380044138558</v>
      </c>
      <c r="C2872" t="s">
        <v>40</v>
      </c>
      <c r="D2872">
        <v>5.6533910000000001</v>
      </c>
      <c r="E2872">
        <v>0.46212239999999999</v>
      </c>
      <c r="F2872" t="s">
        <v>42</v>
      </c>
      <c r="G2872">
        <v>-481.25310000000002</v>
      </c>
      <c r="H2872">
        <v>1.0157259999999999</v>
      </c>
      <c r="I2872">
        <v>280.31369999999998</v>
      </c>
      <c r="J2872">
        <v>-480.75069999999999</v>
      </c>
      <c r="K2872">
        <v>1.1197490000000001</v>
      </c>
      <c r="L2872">
        <v>281.11070000000001</v>
      </c>
      <c r="M2872">
        <v>-0.87816289999999997</v>
      </c>
      <c r="N2872">
        <v>0</v>
      </c>
      <c r="O2872">
        <v>-0.47808780000000001</v>
      </c>
      <c r="P2872">
        <v>-0.65827690000000005</v>
      </c>
      <c r="Q2872">
        <v>0.1205531</v>
      </c>
      <c r="R2872">
        <v>-0.74306019999999995</v>
      </c>
      <c r="S2872">
        <v>-1.8151550000000001</v>
      </c>
      <c r="T2872">
        <v>-0.29318329999999998</v>
      </c>
      <c r="U2872">
        <v>-2.4796450000000001</v>
      </c>
      <c r="V2872">
        <v>-0.34086109999999997</v>
      </c>
      <c r="W2872">
        <v>0.12791520000000001</v>
      </c>
      <c r="X2872">
        <v>0.9313707</v>
      </c>
      <c r="Y2872">
        <v>-0.42632520000000002</v>
      </c>
      <c r="Z2872">
        <v>2.6788039999999999E-2</v>
      </c>
      <c r="AA2872">
        <v>0.90417329999999996</v>
      </c>
      <c r="AB2872">
        <v>31</v>
      </c>
      <c r="AC2872">
        <v>-0.50240000000002205</v>
      </c>
      <c r="AD2872">
        <v>-0.10402299999999901</v>
      </c>
      <c r="AE2872">
        <v>-0.79700000000002502</v>
      </c>
      <c r="AF2872">
        <v>-0.45422732795816201</v>
      </c>
      <c r="AG2872">
        <v>-0.10402299999999901</v>
      </c>
      <c r="AH2872">
        <v>0.81242854047949797</v>
      </c>
      <c r="AI2872">
        <v>96.376814334558503</v>
      </c>
      <c r="AJ2872">
        <v>119.209476711804</v>
      </c>
      <c r="AK2872">
        <v>0.936580687062604</v>
      </c>
      <c r="AL2872">
        <v>82.650863627230294</v>
      </c>
      <c r="AM2872">
        <v>110.10150950852</v>
      </c>
      <c r="AN2872">
        <v>0.99999998435136905</v>
      </c>
    </row>
    <row r="2873" spans="1:40" x14ac:dyDescent="0.25">
      <c r="A2873" t="str">
        <f>"20190312164044164"</f>
        <v>20190312164044164</v>
      </c>
      <c r="B2873" t="str">
        <f>"1552380044159053"</f>
        <v>1552380044159053</v>
      </c>
      <c r="C2873" t="s">
        <v>40</v>
      </c>
      <c r="D2873">
        <v>5.6592859999999998</v>
      </c>
      <c r="E2873">
        <v>0.46264349999999999</v>
      </c>
      <c r="F2873" t="s">
        <v>46</v>
      </c>
      <c r="G2873">
        <v>-487.62490000000003</v>
      </c>
      <c r="H2873" s="1">
        <v>4.9608049999999999E-7</v>
      </c>
      <c r="I2873">
        <v>271.60500000000002</v>
      </c>
      <c r="J2873">
        <v>-480.90859999999998</v>
      </c>
      <c r="K2873">
        <v>1.1197839999999999</v>
      </c>
      <c r="L2873">
        <v>281.01740000000001</v>
      </c>
      <c r="M2873">
        <v>-0.87484169999999895</v>
      </c>
      <c r="N2873">
        <v>0</v>
      </c>
      <c r="O2873">
        <v>-0.48413919999999999</v>
      </c>
      <c r="P2873">
        <v>-0.65336359999999905</v>
      </c>
      <c r="Q2873">
        <v>0.1207718</v>
      </c>
      <c r="R2873">
        <v>-0.74734880000000004</v>
      </c>
      <c r="S2873">
        <v>-1.8005679999999999</v>
      </c>
      <c r="T2873">
        <v>-0.2932978</v>
      </c>
      <c r="U2873">
        <v>-2.4898380000000002</v>
      </c>
      <c r="V2873">
        <v>-0.34055819999999998</v>
      </c>
      <c r="W2873">
        <v>0.1280751</v>
      </c>
      <c r="X2873">
        <v>0.9314595</v>
      </c>
      <c r="Y2873">
        <v>-0.42533929999999998</v>
      </c>
      <c r="Z2873">
        <v>2.7495410000000001E-2</v>
      </c>
      <c r="AA2873">
        <v>0.90461619999999998</v>
      </c>
      <c r="AB2873">
        <v>31</v>
      </c>
      <c r="AC2873">
        <v>-6.7163000000000403</v>
      </c>
      <c r="AD2873">
        <v>-1.1197835039194901</v>
      </c>
      <c r="AE2873">
        <v>-9.4123999999999892</v>
      </c>
      <c r="AF2873">
        <v>-4.9370847412393299</v>
      </c>
      <c r="AG2873">
        <v>-1.1197835039194901</v>
      </c>
      <c r="AH2873">
        <v>10.337028913596299</v>
      </c>
      <c r="AI2873">
        <v>95.582956901557196</v>
      </c>
      <c r="AJ2873">
        <v>115.52968131362999</v>
      </c>
      <c r="AK2873">
        <v>11.510121093991801</v>
      </c>
      <c r="AL2873">
        <v>82.641625866962201</v>
      </c>
      <c r="AM2873">
        <v>110.08331331026901</v>
      </c>
      <c r="AN2873">
        <v>0.99999995948374898</v>
      </c>
    </row>
    <row r="2874" spans="1:40" x14ac:dyDescent="0.25">
      <c r="A2874" t="str">
        <f>"20190312164044178"</f>
        <v>20190312164044178</v>
      </c>
      <c r="B2874" t="str">
        <f>"1552380044168813"</f>
        <v>1552380044168813</v>
      </c>
      <c r="C2874" t="s">
        <v>40</v>
      </c>
      <c r="D2874">
        <v>6.0578989999999999</v>
      </c>
      <c r="E2874">
        <v>0.46293709999999999</v>
      </c>
      <c r="F2874" t="s">
        <v>42</v>
      </c>
      <c r="G2874">
        <v>-481.49869999999999</v>
      </c>
      <c r="H2874">
        <v>1.023525</v>
      </c>
      <c r="I2874">
        <v>280.1925</v>
      </c>
      <c r="J2874">
        <v>-481.07170000000002</v>
      </c>
      <c r="K2874">
        <v>1.1198250000000001</v>
      </c>
      <c r="L2874">
        <v>280.91969999999998</v>
      </c>
      <c r="M2874">
        <v>-0.87133179999999999</v>
      </c>
      <c r="N2874">
        <v>0</v>
      </c>
      <c r="O2874">
        <v>-0.49042940000000002</v>
      </c>
      <c r="P2874">
        <v>-0.64813889999999996</v>
      </c>
      <c r="Q2874">
        <v>0.12058439999999999</v>
      </c>
      <c r="R2874">
        <v>-0.75191439999999998</v>
      </c>
      <c r="S2874">
        <v>-1.7871090000000001</v>
      </c>
      <c r="T2874">
        <v>-0.2914969</v>
      </c>
      <c r="U2874">
        <v>-2.4989319999999999</v>
      </c>
      <c r="V2874">
        <v>-0.34037580000000001</v>
      </c>
      <c r="W2874">
        <v>0.12782160000000001</v>
      </c>
      <c r="X2874">
        <v>0.93156110000000003</v>
      </c>
      <c r="Y2874">
        <v>-0.42362470000000002</v>
      </c>
      <c r="Z2874">
        <v>2.8082530000000001E-2</v>
      </c>
      <c r="AA2874">
        <v>0.90540240000000005</v>
      </c>
      <c r="AB2874">
        <v>31</v>
      </c>
      <c r="AC2874">
        <v>-0.42699999999996402</v>
      </c>
      <c r="AD2874">
        <v>-9.6299999999999997E-2</v>
      </c>
      <c r="AE2874">
        <v>-0.72719999999998197</v>
      </c>
      <c r="AF2874">
        <v>-0.41881276819440599</v>
      </c>
      <c r="AG2874">
        <v>-9.6299999999999997E-2</v>
      </c>
      <c r="AH2874">
        <v>0.719412202572842</v>
      </c>
      <c r="AI2874">
        <v>96.598864912767894</v>
      </c>
      <c r="AJ2874">
        <v>120.206238251971</v>
      </c>
      <c r="AK2874">
        <v>0.83799268613357802</v>
      </c>
      <c r="AL2874">
        <v>82.656271494169701</v>
      </c>
      <c r="AM2874">
        <v>110.071401377269</v>
      </c>
      <c r="AN2874">
        <v>1.0000000648427001</v>
      </c>
    </row>
    <row r="2875" spans="1:40" x14ac:dyDescent="0.25">
      <c r="A2875" t="str">
        <f>"20190312164044195"</f>
        <v>20190312164044195</v>
      </c>
      <c r="B2875" t="str">
        <f>"1552380044189310"</f>
        <v>1552380044189310</v>
      </c>
      <c r="C2875" t="s">
        <v>40</v>
      </c>
      <c r="D2875">
        <v>5.7355619999999998</v>
      </c>
      <c r="E2875">
        <v>0.46346769999999998</v>
      </c>
      <c r="F2875" t="s">
        <v>42</v>
      </c>
      <c r="G2875">
        <v>-481.70190000000002</v>
      </c>
      <c r="H2875">
        <v>1.016214</v>
      </c>
      <c r="I2875">
        <v>280.0265</v>
      </c>
      <c r="J2875">
        <v>-481.26060000000001</v>
      </c>
      <c r="K2875">
        <v>1.1198779999999999</v>
      </c>
      <c r="L2875">
        <v>280.80399999999997</v>
      </c>
      <c r="M2875">
        <v>-0.86714009999999997</v>
      </c>
      <c r="N2875">
        <v>0</v>
      </c>
      <c r="O2875">
        <v>-0.497805</v>
      </c>
      <c r="P2875">
        <v>-0.64180719999999902</v>
      </c>
      <c r="Q2875">
        <v>0.1204644</v>
      </c>
      <c r="R2875">
        <v>-0.75734590000000002</v>
      </c>
      <c r="S2875">
        <v>-1.771088</v>
      </c>
      <c r="T2875">
        <v>-0.29116649999999999</v>
      </c>
      <c r="U2875">
        <v>-2.5098880000000001</v>
      </c>
      <c r="V2875">
        <v>-0.34032000000000001</v>
      </c>
      <c r="W2875">
        <v>0.12761729999999999</v>
      </c>
      <c r="X2875">
        <v>0.93160949999999998</v>
      </c>
      <c r="Y2875">
        <v>-0.42168810000000001</v>
      </c>
      <c r="Z2875">
        <v>2.8930600000000001E-2</v>
      </c>
      <c r="AA2875">
        <v>0.90627930000000001</v>
      </c>
      <c r="AB2875">
        <v>31</v>
      </c>
      <c r="AC2875">
        <v>-0.44130000000001202</v>
      </c>
      <c r="AD2875">
        <v>-0.10366400000000001</v>
      </c>
      <c r="AE2875">
        <v>-0.77750000000003106</v>
      </c>
      <c r="AF2875">
        <v>-0.448547892744242</v>
      </c>
      <c r="AG2875">
        <v>-0.10366400000000001</v>
      </c>
      <c r="AH2875">
        <v>0.75959864160133295</v>
      </c>
      <c r="AI2875">
        <v>96.702268732141107</v>
      </c>
      <c r="AJ2875">
        <v>120.562124524898</v>
      </c>
      <c r="AK2875">
        <v>0.88821817888618404</v>
      </c>
      <c r="AL2875">
        <v>82.668073708289597</v>
      </c>
      <c r="AM2875">
        <v>110.06741413720199</v>
      </c>
      <c r="AN2875">
        <v>1.0000000690747599</v>
      </c>
    </row>
    <row r="2876" spans="1:40" x14ac:dyDescent="0.25">
      <c r="A2876" t="str">
        <f>"20190312164044209"</f>
        <v>20190312164044209</v>
      </c>
      <c r="B2876" t="str">
        <f>"1552380044199070"</f>
        <v>1552380044199070</v>
      </c>
      <c r="C2876" t="s">
        <v>40</v>
      </c>
      <c r="D2876">
        <v>5.6527289999999999</v>
      </c>
      <c r="E2876">
        <v>0.46373229999999999</v>
      </c>
      <c r="F2876" t="s">
        <v>46</v>
      </c>
      <c r="G2876">
        <v>-488.01819999999998</v>
      </c>
      <c r="H2876" s="1">
        <v>3.4649609999999997E-7</v>
      </c>
      <c r="I2876">
        <v>271.08319999999998</v>
      </c>
      <c r="J2876">
        <v>-481.42779999999999</v>
      </c>
      <c r="K2876">
        <v>1.1199269999999999</v>
      </c>
      <c r="L2876">
        <v>280.6995</v>
      </c>
      <c r="M2876">
        <v>-0.8633248</v>
      </c>
      <c r="N2876">
        <v>0</v>
      </c>
      <c r="O2876">
        <v>-0.50439339999999999</v>
      </c>
      <c r="P2876">
        <v>-0.63616799999999996</v>
      </c>
      <c r="Q2876">
        <v>0.12074500000000001</v>
      </c>
      <c r="R2876">
        <v>-0.76204419999999995</v>
      </c>
      <c r="S2876">
        <v>-1.7530520000000001</v>
      </c>
      <c r="T2876">
        <v>-0.29051729999999998</v>
      </c>
      <c r="U2876">
        <v>-2.5217589999999999</v>
      </c>
      <c r="V2876">
        <v>-0.34012540000000002</v>
      </c>
      <c r="W2876">
        <v>0.12782869999999999</v>
      </c>
      <c r="X2876">
        <v>0.93165149999999997</v>
      </c>
      <c r="Y2876">
        <v>-0.4211744</v>
      </c>
      <c r="Z2876">
        <v>2.959707E-2</v>
      </c>
      <c r="AA2876">
        <v>0.90649659999999999</v>
      </c>
      <c r="AB2876">
        <v>31</v>
      </c>
      <c r="AC2876">
        <v>-6.5903999999999803</v>
      </c>
      <c r="AD2876">
        <v>-1.1199266535038901</v>
      </c>
      <c r="AE2876">
        <v>-9.6163000000000203</v>
      </c>
      <c r="AF2876">
        <v>-4.9329527088744296</v>
      </c>
      <c r="AG2876">
        <v>-1.1199266535038901</v>
      </c>
      <c r="AH2876">
        <v>10.445018254534499</v>
      </c>
      <c r="AI2876">
        <v>95.537659785263301</v>
      </c>
      <c r="AJ2876">
        <v>115.280336994438</v>
      </c>
      <c r="AK2876">
        <v>11.6054583914113</v>
      </c>
      <c r="AL2876">
        <v>82.655860783134997</v>
      </c>
      <c r="AM2876">
        <v>110.05602212296699</v>
      </c>
      <c r="AN2876">
        <v>0.99999999086055003</v>
      </c>
    </row>
    <row r="2877" spans="1:40" x14ac:dyDescent="0.25">
      <c r="A2877" t="str">
        <f>"20190312164044227"</f>
        <v>20190312164044227</v>
      </c>
      <c r="B2877" t="str">
        <f>"1552380044218589"</f>
        <v>1552380044218589</v>
      </c>
      <c r="C2877" t="s">
        <v>40</v>
      </c>
      <c r="D2877">
        <v>5.7090120000000004</v>
      </c>
      <c r="E2877">
        <v>0.46412300000000001</v>
      </c>
      <c r="F2877" t="s">
        <v>46</v>
      </c>
      <c r="G2877">
        <v>-488.14760000000001</v>
      </c>
      <c r="H2877" s="1">
        <v>2.8901280000000001E-7</v>
      </c>
      <c r="I2877">
        <v>270.88810000000001</v>
      </c>
      <c r="J2877">
        <v>-481.63490000000002</v>
      </c>
      <c r="K2877">
        <v>1.1200019999999999</v>
      </c>
      <c r="L2877">
        <v>280.5677</v>
      </c>
      <c r="M2877">
        <v>-0.85845969999999905</v>
      </c>
      <c r="N2877">
        <v>0</v>
      </c>
      <c r="O2877">
        <v>-0.5126309</v>
      </c>
      <c r="P2877">
        <v>-0.62940109999999905</v>
      </c>
      <c r="Q2877">
        <v>0.1214075</v>
      </c>
      <c r="R2877">
        <v>-0.767538099999999</v>
      </c>
      <c r="S2877">
        <v>-1.7354130000000001</v>
      </c>
      <c r="T2877">
        <v>-0.2892267</v>
      </c>
      <c r="U2877">
        <v>-2.5338440000000002</v>
      </c>
      <c r="V2877">
        <v>-0.33940029999999999</v>
      </c>
      <c r="W2877">
        <v>0.12842029999999999</v>
      </c>
      <c r="X2877">
        <v>0.93183459999999996</v>
      </c>
      <c r="Y2877">
        <v>-0.4188383</v>
      </c>
      <c r="Z2877">
        <v>3.044966E-2</v>
      </c>
      <c r="AA2877">
        <v>0.90755019999999997</v>
      </c>
      <c r="AB2877">
        <v>31</v>
      </c>
      <c r="AC2877">
        <v>-6.5126999999999899</v>
      </c>
      <c r="AD2877">
        <v>-1.1200017109872</v>
      </c>
      <c r="AE2877">
        <v>-9.67959999999999</v>
      </c>
      <c r="AF2877">
        <v>-4.9261727593465903</v>
      </c>
      <c r="AG2877">
        <v>-1.1200017109872</v>
      </c>
      <c r="AH2877">
        <v>10.457924869377299</v>
      </c>
      <c r="AI2877">
        <v>95.533848045447499</v>
      </c>
      <c r="AJ2877">
        <v>115.22263334717999</v>
      </c>
      <c r="AK2877">
        <v>11.6142057180456</v>
      </c>
      <c r="AL2877">
        <v>82.621683194343902</v>
      </c>
      <c r="AM2877">
        <v>110.01304274464501</v>
      </c>
      <c r="AN2877">
        <v>1.00000002942466</v>
      </c>
    </row>
    <row r="2878" spans="1:40" x14ac:dyDescent="0.25">
      <c r="A2878" t="str">
        <f>"20190312164044240"</f>
        <v>20190312164044240</v>
      </c>
      <c r="B2878" t="str">
        <f>"1552380044229325"</f>
        <v>1552380044229325</v>
      </c>
      <c r="C2878" t="s">
        <v>40</v>
      </c>
      <c r="D2878">
        <v>5.8001129999999996</v>
      </c>
      <c r="E2878">
        <v>0.46412300000000001</v>
      </c>
      <c r="F2878" t="s">
        <v>42</v>
      </c>
      <c r="G2878">
        <v>-482.22289999999998</v>
      </c>
      <c r="H2878">
        <v>1.021801</v>
      </c>
      <c r="I2878">
        <v>279.69409999999999</v>
      </c>
      <c r="J2878">
        <v>-481.76889999999997</v>
      </c>
      <c r="K2878">
        <v>1.120047</v>
      </c>
      <c r="L2878">
        <v>280.48129999999998</v>
      </c>
      <c r="M2878">
        <v>-0.85523139999999997</v>
      </c>
      <c r="N2878">
        <v>0</v>
      </c>
      <c r="O2878">
        <v>-0.5179996</v>
      </c>
      <c r="P2878">
        <v>-0.62468919999999994</v>
      </c>
      <c r="Q2878">
        <v>0.12210799999999999</v>
      </c>
      <c r="R2878">
        <v>-0.77126740000000005</v>
      </c>
      <c r="S2878">
        <v>-1.7150270000000001</v>
      </c>
      <c r="T2878">
        <v>-0.28639730000000002</v>
      </c>
      <c r="U2878">
        <v>-2.547577</v>
      </c>
      <c r="V2878">
        <v>-0.33920470000000003</v>
      </c>
      <c r="W2878">
        <v>0.12906429999999999</v>
      </c>
      <c r="X2878">
        <v>0.9318168</v>
      </c>
      <c r="Y2878">
        <v>-0.42041970000000001</v>
      </c>
      <c r="Z2878">
        <v>3.064648E-2</v>
      </c>
      <c r="AA2878">
        <v>0.90681210000000001</v>
      </c>
      <c r="AB2878">
        <v>31</v>
      </c>
      <c r="AC2878">
        <v>-0.45400000000000701</v>
      </c>
      <c r="AD2878">
        <v>-9.8246E-2</v>
      </c>
      <c r="AE2878">
        <v>-0.78719999999998402</v>
      </c>
      <c r="AF2878">
        <v>-0.43306056604535598</v>
      </c>
      <c r="AG2878">
        <v>-9.8246E-2</v>
      </c>
      <c r="AH2878">
        <v>0.78694796098974795</v>
      </c>
      <c r="AI2878">
        <v>96.242002518498495</v>
      </c>
      <c r="AJ2878">
        <v>118.824162210447</v>
      </c>
      <c r="AK2878">
        <v>0.90359328444021003</v>
      </c>
      <c r="AL2878">
        <v>82.584474741528794</v>
      </c>
      <c r="AM2878">
        <v>110.002775591212</v>
      </c>
      <c r="AN2878">
        <v>0.99999998539940904</v>
      </c>
    </row>
    <row r="2879" spans="1:40" x14ac:dyDescent="0.25">
      <c r="A2879" t="str">
        <f>"20190312164044250"</f>
        <v>20190312164044250</v>
      </c>
      <c r="B2879" t="str">
        <f>"1552380044239086"</f>
        <v>1552380044239086</v>
      </c>
      <c r="C2879" t="s">
        <v>40</v>
      </c>
      <c r="D2879">
        <v>5.6626370000000001</v>
      </c>
      <c r="E2879">
        <v>0.47897519999999999</v>
      </c>
      <c r="F2879" t="s">
        <v>42</v>
      </c>
      <c r="G2879">
        <v>-482.36509999999998</v>
      </c>
      <c r="H2879">
        <v>1.0204</v>
      </c>
      <c r="I2879">
        <v>279.58440000000002</v>
      </c>
      <c r="J2879">
        <v>-481.90030000000002</v>
      </c>
      <c r="K2879">
        <v>1.120093</v>
      </c>
      <c r="L2879">
        <v>280.3947</v>
      </c>
      <c r="M2879">
        <v>-0.85196949999999905</v>
      </c>
      <c r="N2879">
        <v>0</v>
      </c>
      <c r="O2879">
        <v>-0.52334809999999998</v>
      </c>
      <c r="P2879">
        <v>-0.6200637</v>
      </c>
      <c r="Q2879">
        <v>0.12276819999999999</v>
      </c>
      <c r="R2879">
        <v>-0.77488679999999999</v>
      </c>
      <c r="S2879">
        <v>-1.6996770000000001</v>
      </c>
      <c r="T2879">
        <v>-0.2840955</v>
      </c>
      <c r="U2879">
        <v>-2.558014</v>
      </c>
      <c r="V2879">
        <v>-0.3388833</v>
      </c>
      <c r="W2879">
        <v>0.12966430000000001</v>
      </c>
      <c r="X2879">
        <v>0.93185039999999997</v>
      </c>
      <c r="Y2879">
        <v>-0.42022920000000002</v>
      </c>
      <c r="Z2879">
        <v>3.0968079999999999E-2</v>
      </c>
      <c r="AA2879">
        <v>0.90688939999999996</v>
      </c>
      <c r="AB2879">
        <v>31</v>
      </c>
      <c r="AC2879">
        <v>-0.46479999999996802</v>
      </c>
      <c r="AD2879">
        <v>-9.9693000000000004E-2</v>
      </c>
      <c r="AE2879">
        <v>-0.81029999999998303</v>
      </c>
      <c r="AF2879">
        <v>-0.44212015401177002</v>
      </c>
      <c r="AG2879">
        <v>-9.9693000000000004E-2</v>
      </c>
      <c r="AH2879">
        <v>0.81093280504301002</v>
      </c>
      <c r="AI2879">
        <v>96.160468502888804</v>
      </c>
      <c r="AJ2879">
        <v>118.599195870792</v>
      </c>
      <c r="AK2879">
        <v>0.92898920291213105</v>
      </c>
      <c r="AL2879">
        <v>82.549805651787693</v>
      </c>
      <c r="AM2879">
        <v>109.984660128347</v>
      </c>
      <c r="AN2879">
        <v>0.99999994484676802</v>
      </c>
    </row>
    <row r="2880" spans="1:40" x14ac:dyDescent="0.25">
      <c r="A2880" t="str">
        <f>"20190312164044262"</f>
        <v>20190312164044262</v>
      </c>
      <c r="B2880" t="str">
        <f>"1552380044258605"</f>
        <v>1552380044258605</v>
      </c>
      <c r="C2880" t="s">
        <v>40</v>
      </c>
      <c r="D2880">
        <v>5.7726610000000003</v>
      </c>
      <c r="E2880">
        <v>0.48411490000000001</v>
      </c>
      <c r="F2880" t="s">
        <v>46</v>
      </c>
      <c r="G2880">
        <v>-488.69420000000002</v>
      </c>
      <c r="H2880" s="1">
        <v>3.2620510000000002E-7</v>
      </c>
      <c r="I2880">
        <v>270.8562</v>
      </c>
      <c r="J2880">
        <v>-482.02820000000003</v>
      </c>
      <c r="K2880">
        <v>1.1201380000000001</v>
      </c>
      <c r="L2880">
        <v>280.30959999999999</v>
      </c>
      <c r="M2880">
        <v>-0.84873889999999996</v>
      </c>
      <c r="N2880">
        <v>0</v>
      </c>
      <c r="O2880">
        <v>-0.52857229999999999</v>
      </c>
      <c r="P2880">
        <v>-0.61547019999999997</v>
      </c>
      <c r="Q2880">
        <v>0.1232303</v>
      </c>
      <c r="R2880">
        <v>-0.77846740000000003</v>
      </c>
      <c r="S2880">
        <v>-1.777496</v>
      </c>
      <c r="T2880">
        <v>-0.2930548</v>
      </c>
      <c r="U2880">
        <v>-2.4956049999999999</v>
      </c>
      <c r="V2880">
        <v>-0.33863389999999999</v>
      </c>
      <c r="W2880">
        <v>0.13006389999999901</v>
      </c>
      <c r="X2880">
        <v>0.93188539999999997</v>
      </c>
      <c r="Y2880">
        <v>-0.38508710000000002</v>
      </c>
      <c r="Z2880">
        <v>3.4202780000000002E-2</v>
      </c>
      <c r="AA2880">
        <v>0.92224620000000002</v>
      </c>
      <c r="AB2880">
        <v>31</v>
      </c>
      <c r="AC2880">
        <v>-6.6659999999999897</v>
      </c>
      <c r="AD2880">
        <v>-1.12013767379489</v>
      </c>
      <c r="AE2880">
        <v>-9.4533999999999807</v>
      </c>
      <c r="AF2880">
        <v>-4.4587647791250902</v>
      </c>
      <c r="AG2880">
        <v>-1.12013767379489</v>
      </c>
      <c r="AH2880">
        <v>10.5568550532531</v>
      </c>
      <c r="AI2880">
        <v>95.582623698747796</v>
      </c>
      <c r="AJ2880">
        <v>112.897119680191</v>
      </c>
      <c r="AK2880">
        <v>11.514446594570501</v>
      </c>
      <c r="AL2880">
        <v>82.526714888695295</v>
      </c>
      <c r="AM2880">
        <v>109.97042473138301</v>
      </c>
      <c r="AN2880">
        <v>0.99999996752278897</v>
      </c>
    </row>
    <row r="2881" spans="1:40" x14ac:dyDescent="0.25">
      <c r="A2881" t="str">
        <f>"20190312164044274"</f>
        <v>20190312164044274</v>
      </c>
      <c r="B2881" t="str">
        <f>"1552380044269342"</f>
        <v>1552380044269342</v>
      </c>
      <c r="C2881" t="s">
        <v>40</v>
      </c>
      <c r="D2881">
        <v>5.4898179999999996</v>
      </c>
      <c r="E2881">
        <v>0.4867456</v>
      </c>
      <c r="F2881" t="s">
        <v>46</v>
      </c>
      <c r="G2881">
        <v>-488.5487</v>
      </c>
      <c r="H2881" s="1">
        <v>4.7080930000000002E-7</v>
      </c>
      <c r="I2881">
        <v>271.30169999999998</v>
      </c>
      <c r="J2881">
        <v>-482.16590000000002</v>
      </c>
      <c r="K2881">
        <v>1.120185</v>
      </c>
      <c r="L2881">
        <v>280.21660000000003</v>
      </c>
      <c r="M2881">
        <v>-0.84518199999999999</v>
      </c>
      <c r="N2881">
        <v>0</v>
      </c>
      <c r="O2881">
        <v>-0.53424229999999995</v>
      </c>
      <c r="P2881">
        <v>-0.61046449999999997</v>
      </c>
      <c r="Q2881">
        <v>0.1236767</v>
      </c>
      <c r="R2881">
        <v>-0.78232840000000003</v>
      </c>
      <c r="S2881">
        <v>-1.7967219999999999</v>
      </c>
      <c r="T2881">
        <v>-0.3086547</v>
      </c>
      <c r="U2881">
        <v>-2.4821170000000001</v>
      </c>
      <c r="V2881">
        <v>-0.33834069999999999</v>
      </c>
      <c r="W2881">
        <v>0.13044020000000001</v>
      </c>
      <c r="X2881">
        <v>0.93193939999999997</v>
      </c>
      <c r="Y2881">
        <v>-0.37191020000000002</v>
      </c>
      <c r="Z2881">
        <v>3.7276339999999998E-2</v>
      </c>
      <c r="AA2881">
        <v>0.92752000000000001</v>
      </c>
      <c r="AB2881">
        <v>31</v>
      </c>
      <c r="AC2881">
        <v>-6.3827999999999703</v>
      </c>
      <c r="AD2881">
        <v>-1.1201845291907</v>
      </c>
      <c r="AE2881">
        <v>-8.9149000000000402</v>
      </c>
      <c r="AF2881">
        <v>-4.0826573295185904</v>
      </c>
      <c r="AG2881">
        <v>-1.1201845291907</v>
      </c>
      <c r="AH2881">
        <v>10.0536865742723</v>
      </c>
      <c r="AI2881">
        <v>95.893941490375894</v>
      </c>
      <c r="AJ2881">
        <v>112.10136273265201</v>
      </c>
      <c r="AK2881">
        <v>10.9086900214193</v>
      </c>
      <c r="AL2881">
        <v>82.504969931236204</v>
      </c>
      <c r="AM2881">
        <v>109.953433890356</v>
      </c>
      <c r="AN2881">
        <v>1.0000000601624399</v>
      </c>
    </row>
    <row r="2882" spans="1:40" x14ac:dyDescent="0.25">
      <c r="A2882" t="str">
        <f>"20190312164044285"</f>
        <v>20190312164044285</v>
      </c>
      <c r="B2882" t="str">
        <f>"1552380044279101"</f>
        <v>1552380044279101</v>
      </c>
      <c r="C2882" t="s">
        <v>40</v>
      </c>
      <c r="D2882">
        <v>5.6096620000000001</v>
      </c>
      <c r="E2882">
        <v>0.48859469999999999</v>
      </c>
      <c r="F2882" t="s">
        <v>46</v>
      </c>
      <c r="G2882">
        <v>-488.97910000000002</v>
      </c>
      <c r="H2882" s="1">
        <v>3.3652390000000001E-7</v>
      </c>
      <c r="I2882">
        <v>270.81389999999999</v>
      </c>
      <c r="J2882">
        <v>-482.28750000000002</v>
      </c>
      <c r="K2882">
        <v>1.1202289999999999</v>
      </c>
      <c r="L2882">
        <v>280.13310000000001</v>
      </c>
      <c r="M2882">
        <v>-0.84196510000000002</v>
      </c>
      <c r="N2882">
        <v>0</v>
      </c>
      <c r="O2882">
        <v>-0.53929839999999996</v>
      </c>
      <c r="P2882">
        <v>-0.60577950000000003</v>
      </c>
      <c r="Q2882">
        <v>0.123836</v>
      </c>
      <c r="R2882">
        <v>-0.78593649999999904</v>
      </c>
      <c r="S2882">
        <v>-1.7966</v>
      </c>
      <c r="T2882">
        <v>-0.29538759999999997</v>
      </c>
      <c r="U2882">
        <v>-2.4794619999999998</v>
      </c>
      <c r="V2882">
        <v>-0.33832099999999998</v>
      </c>
      <c r="W2882">
        <v>0.13053190000000001</v>
      </c>
      <c r="X2882">
        <v>0.93193360000000003</v>
      </c>
      <c r="Y2882">
        <v>-0.36589280000000002</v>
      </c>
      <c r="Z2882">
        <v>3.6526780000000002E-2</v>
      </c>
      <c r="AA2882">
        <v>0.92993990000000004</v>
      </c>
      <c r="AB2882">
        <v>31</v>
      </c>
      <c r="AC2882">
        <v>-6.6915999999999896</v>
      </c>
      <c r="AD2882">
        <v>-1.1202286634761001</v>
      </c>
      <c r="AE2882">
        <v>-9.3192000000000199</v>
      </c>
      <c r="AF2882">
        <v>-4.1981806086122599</v>
      </c>
      <c r="AG2882">
        <v>-1.1202286634761001</v>
      </c>
      <c r="AH2882">
        <v>10.560582197574099</v>
      </c>
      <c r="AI2882">
        <v>95.629636171394694</v>
      </c>
      <c r="AJ2882">
        <v>111.679456819783</v>
      </c>
      <c r="AK2882">
        <v>11.4195240282912</v>
      </c>
      <c r="AL2882">
        <v>82.499669809668902</v>
      </c>
      <c r="AM2882">
        <v>109.952478148157</v>
      </c>
      <c r="AN2882">
        <v>0.99999995538378394</v>
      </c>
    </row>
    <row r="2883" spans="1:40" x14ac:dyDescent="0.25">
      <c r="A2883" t="str">
        <f>"20190312164044296"</f>
        <v>20190312164044296</v>
      </c>
      <c r="B2883" t="str">
        <f>"1552380044288863"</f>
        <v>1552380044288863</v>
      </c>
      <c r="C2883" t="s">
        <v>40</v>
      </c>
      <c r="D2883">
        <v>5.5302870000000004</v>
      </c>
      <c r="E2883">
        <v>0.4898827</v>
      </c>
      <c r="F2883" t="s">
        <v>46</v>
      </c>
      <c r="G2883">
        <v>-489.32049999999998</v>
      </c>
      <c r="H2883" s="1">
        <v>2.2099190000000001E-7</v>
      </c>
      <c r="I2883">
        <v>270.40140000000002</v>
      </c>
      <c r="J2883">
        <v>-482.41059999999999</v>
      </c>
      <c r="K2883">
        <v>1.1202810000000001</v>
      </c>
      <c r="L2883">
        <v>280.04790000000003</v>
      </c>
      <c r="M2883">
        <v>-0.838655699999999</v>
      </c>
      <c r="N2883">
        <v>0</v>
      </c>
      <c r="O2883">
        <v>-0.54443199999999903</v>
      </c>
      <c r="P2883">
        <v>-0.60120209999999996</v>
      </c>
      <c r="Q2883">
        <v>0.1238361</v>
      </c>
      <c r="R2883">
        <v>-0.78944349999999996</v>
      </c>
      <c r="S2883">
        <v>-1.7925720000000001</v>
      </c>
      <c r="T2883">
        <v>-0.28552280000000002</v>
      </c>
      <c r="U2883">
        <v>-2.4804080000000002</v>
      </c>
      <c r="V2883">
        <v>-0.33805879999999999</v>
      </c>
      <c r="W2883">
        <v>0.13047139999999999</v>
      </c>
      <c r="X2883">
        <v>0.93203720000000001</v>
      </c>
      <c r="Y2883">
        <v>-0.36136109999999999</v>
      </c>
      <c r="Z2883">
        <v>3.6064180000000001E-2</v>
      </c>
      <c r="AA2883">
        <v>0.93172820000000001</v>
      </c>
      <c r="AB2883">
        <v>31</v>
      </c>
      <c r="AC2883">
        <v>-6.9098999999999897</v>
      </c>
      <c r="AD2883">
        <v>-1.1202807790081</v>
      </c>
      <c r="AE2883">
        <v>-9.6464999999999996</v>
      </c>
      <c r="AF2883">
        <v>-4.2904210841117196</v>
      </c>
      <c r="AG2883">
        <v>-1.1202807790081</v>
      </c>
      <c r="AH2883">
        <v>10.950665486941199</v>
      </c>
      <c r="AI2883">
        <v>95.441156114806105</v>
      </c>
      <c r="AJ2883">
        <v>111.395020695082</v>
      </c>
      <c r="AK2883">
        <v>11.814390238589899</v>
      </c>
      <c r="AL2883">
        <v>82.503165990971397</v>
      </c>
      <c r="AM2883">
        <v>109.936192169637</v>
      </c>
      <c r="AN2883">
        <v>0.99999994032961803</v>
      </c>
    </row>
    <row r="2884" spans="1:40" x14ac:dyDescent="0.25">
      <c r="A2884" t="str">
        <f>"20190312164044307"</f>
        <v>20190312164044307</v>
      </c>
      <c r="B2884" t="str">
        <f>"1552380044298622"</f>
        <v>1552380044298622</v>
      </c>
      <c r="C2884" t="s">
        <v>40</v>
      </c>
      <c r="D2884">
        <v>5.6700480000000004</v>
      </c>
      <c r="E2884">
        <v>0.49102889999999999</v>
      </c>
      <c r="F2884" t="s">
        <v>46</v>
      </c>
      <c r="G2884">
        <v>-489.64240000000001</v>
      </c>
      <c r="H2884" s="1">
        <v>1.052863E-7</v>
      </c>
      <c r="I2884">
        <v>269.99329999999998</v>
      </c>
      <c r="J2884">
        <v>-482.5283</v>
      </c>
      <c r="K2884">
        <v>1.120325</v>
      </c>
      <c r="L2884">
        <v>279.96460000000002</v>
      </c>
      <c r="M2884">
        <v>-0.83540409999999898</v>
      </c>
      <c r="N2884">
        <v>0</v>
      </c>
      <c r="O2884">
        <v>-0.54940849999999997</v>
      </c>
      <c r="P2884">
        <v>-0.59678580000000003</v>
      </c>
      <c r="Q2884">
        <v>0.1237071</v>
      </c>
      <c r="R2884">
        <v>-0.79280719999999905</v>
      </c>
      <c r="S2884">
        <v>-1.786133</v>
      </c>
      <c r="T2884">
        <v>-0.27669359999999998</v>
      </c>
      <c r="U2884">
        <v>-2.4833370000000001</v>
      </c>
      <c r="V2884">
        <v>-0.33774880000000002</v>
      </c>
      <c r="W2884">
        <v>0.13028799999999999</v>
      </c>
      <c r="X2884">
        <v>0.93217530000000004</v>
      </c>
      <c r="Y2884">
        <v>-0.35792210000000002</v>
      </c>
      <c r="Z2884">
        <v>3.5617830000000003E-2</v>
      </c>
      <c r="AA2884">
        <v>0.93307189999999995</v>
      </c>
      <c r="AB2884">
        <v>31</v>
      </c>
      <c r="AC2884">
        <v>-7.1140999999999996</v>
      </c>
      <c r="AD2884">
        <v>-1.1203248947136999</v>
      </c>
      <c r="AE2884">
        <v>-9.9713000000000402</v>
      </c>
      <c r="AF2884">
        <v>-4.3853856370826803</v>
      </c>
      <c r="AG2884">
        <v>-1.1203248947136999</v>
      </c>
      <c r="AH2884">
        <v>11.3281300739425</v>
      </c>
      <c r="AI2884">
        <v>95.269363790220595</v>
      </c>
      <c r="AJ2884">
        <v>111.16259273686801</v>
      </c>
      <c r="AK2884">
        <v>12.1989042961984</v>
      </c>
      <c r="AL2884">
        <v>82.5137649723018</v>
      </c>
      <c r="AM2884">
        <v>109.91663017265699</v>
      </c>
      <c r="AN2884">
        <v>1.00000000238776</v>
      </c>
    </row>
    <row r="2885" spans="1:40" x14ac:dyDescent="0.25">
      <c r="A2885" t="str">
        <f>"20190312164044319"</f>
        <v>20190312164044319</v>
      </c>
      <c r="B2885" t="str">
        <f>"1552380044309358"</f>
        <v>1552380044309358</v>
      </c>
      <c r="C2885" t="s">
        <v>40</v>
      </c>
      <c r="D2885">
        <v>5.7271910000000004</v>
      </c>
      <c r="E2885">
        <v>0.49204930000000002</v>
      </c>
      <c r="F2885" t="s">
        <v>46</v>
      </c>
      <c r="G2885">
        <v>-489.84160000000003</v>
      </c>
      <c r="H2885" s="1">
        <v>3.0909839999999999E-8</v>
      </c>
      <c r="I2885">
        <v>269.73289999999997</v>
      </c>
      <c r="J2885">
        <v>-482.65109999999999</v>
      </c>
      <c r="K2885">
        <v>1.1203689999999999</v>
      </c>
      <c r="L2885">
        <v>279.87729999999999</v>
      </c>
      <c r="M2885">
        <v>-0.83196349999999997</v>
      </c>
      <c r="N2885">
        <v>0</v>
      </c>
      <c r="O2885">
        <v>-0.55460549999999997</v>
      </c>
      <c r="P2885">
        <v>-0.59214369999999905</v>
      </c>
      <c r="Q2885">
        <v>0.1237509</v>
      </c>
      <c r="R2885">
        <v>-0.79627389999999998</v>
      </c>
      <c r="S2885">
        <v>-1.778259</v>
      </c>
      <c r="T2885">
        <v>-0.2724123</v>
      </c>
      <c r="U2885">
        <v>-2.4878849999999999</v>
      </c>
      <c r="V2885">
        <v>-0.33739469999999999</v>
      </c>
      <c r="W2885">
        <v>0.13027520000000001</v>
      </c>
      <c r="X2885">
        <v>0.9323053</v>
      </c>
      <c r="Y2885">
        <v>-0.35486820000000002</v>
      </c>
      <c r="Z2885">
        <v>3.5722579999999997E-2</v>
      </c>
      <c r="AA2885">
        <v>0.93423369999999994</v>
      </c>
      <c r="AB2885">
        <v>30</v>
      </c>
      <c r="AC2885">
        <v>-7.1905000000000401</v>
      </c>
      <c r="AD2885">
        <v>-1.1203689690901599</v>
      </c>
      <c r="AE2885">
        <v>-10.144399999999999</v>
      </c>
      <c r="AF2885">
        <v>-4.4165788769153496</v>
      </c>
      <c r="AG2885">
        <v>-1.1203689690901599</v>
      </c>
      <c r="AH2885">
        <v>11.5163259609847</v>
      </c>
      <c r="AI2885">
        <v>95.190190765874604</v>
      </c>
      <c r="AJ2885">
        <v>110.98211319024</v>
      </c>
      <c r="AK2885">
        <v>12.3849569737874</v>
      </c>
      <c r="AL2885">
        <v>82.514504583420205</v>
      </c>
      <c r="AM2885">
        <v>109.894832102967</v>
      </c>
      <c r="AN2885">
        <v>0.99999999186560995</v>
      </c>
    </row>
    <row r="2886" spans="1:40" x14ac:dyDescent="0.25">
      <c r="A2886" t="str">
        <f>"20190312164044330"</f>
        <v>20190312164044330</v>
      </c>
      <c r="B2886" t="str">
        <f>"1552380044319118"</f>
        <v>1552380044319118</v>
      </c>
      <c r="C2886" t="s">
        <v>40</v>
      </c>
      <c r="D2886">
        <v>5.4213239999999896</v>
      </c>
      <c r="E2886">
        <v>0.49289719999999998</v>
      </c>
      <c r="F2886" t="s">
        <v>41</v>
      </c>
      <c r="G2886">
        <v>-490.03879999999998</v>
      </c>
      <c r="H2886" s="1">
        <v>-4.2514690000000001E-6</v>
      </c>
      <c r="I2886">
        <v>269.47539999999998</v>
      </c>
      <c r="J2886">
        <v>-482.7792</v>
      </c>
      <c r="K2886">
        <v>1.120414</v>
      </c>
      <c r="L2886">
        <v>279.78429999999997</v>
      </c>
      <c r="M2886">
        <v>-0.82826939999999905</v>
      </c>
      <c r="N2886">
        <v>0</v>
      </c>
      <c r="O2886">
        <v>-0.56010839999999995</v>
      </c>
      <c r="P2886">
        <v>-0.58731650000000002</v>
      </c>
      <c r="Q2886">
        <v>0.1237236</v>
      </c>
      <c r="R2886">
        <v>-0.79984489999999997</v>
      </c>
      <c r="S2886">
        <v>-1.7703549999999999</v>
      </c>
      <c r="T2886">
        <v>-0.26848349999999999</v>
      </c>
      <c r="U2886">
        <v>-2.4927060000000001</v>
      </c>
      <c r="V2886">
        <v>-0.336872</v>
      </c>
      <c r="W2886">
        <v>0.13019149999999999</v>
      </c>
      <c r="X2886">
        <v>0.93250599999999995</v>
      </c>
      <c r="Y2886">
        <v>-0.35149979999999997</v>
      </c>
      <c r="Z2886">
        <v>3.5893389999999997E-2</v>
      </c>
      <c r="AA2886">
        <v>0.93549959999999999</v>
      </c>
      <c r="AB2886">
        <v>30</v>
      </c>
      <c r="AC2886">
        <v>-7.2595999999999696</v>
      </c>
      <c r="AD2886">
        <v>-1.120418251469</v>
      </c>
      <c r="AE2886">
        <v>-10.3088999999999</v>
      </c>
      <c r="AF2886">
        <v>-4.4378954657668901</v>
      </c>
      <c r="AG2886">
        <v>-1.120418251469</v>
      </c>
      <c r="AH2886">
        <v>11.6961125637681</v>
      </c>
      <c r="AI2886">
        <v>95.117958692733097</v>
      </c>
      <c r="AJ2886">
        <v>110.77841691152</v>
      </c>
      <c r="AK2886">
        <v>12.559828913151399</v>
      </c>
      <c r="AL2886">
        <v>82.519341536793206</v>
      </c>
      <c r="AM2886">
        <v>109.862482488878</v>
      </c>
      <c r="AN2886">
        <v>1.00000000554612</v>
      </c>
    </row>
    <row r="2887" spans="1:40" x14ac:dyDescent="0.25">
      <c r="A2887" t="str">
        <f>"20190312164044341"</f>
        <v>20190312164044341</v>
      </c>
      <c r="B2887" t="str">
        <f>"1552380044338639"</f>
        <v>1552380044338639</v>
      </c>
      <c r="C2887" t="s">
        <v>40</v>
      </c>
      <c r="D2887">
        <v>5.6792490000000004</v>
      </c>
      <c r="E2887">
        <v>0.49413980000000002</v>
      </c>
      <c r="F2887" t="s">
        <v>41</v>
      </c>
      <c r="G2887">
        <v>-490.18799999999999</v>
      </c>
      <c r="H2887" s="1">
        <v>-4.2011089999999999E-6</v>
      </c>
      <c r="I2887">
        <v>269.2654</v>
      </c>
      <c r="J2887">
        <v>-482.89699999999999</v>
      </c>
      <c r="K2887">
        <v>1.1204540000000001</v>
      </c>
      <c r="L2887">
        <v>279.69799999999998</v>
      </c>
      <c r="M2887">
        <v>-0.82481550000000003</v>
      </c>
      <c r="N2887">
        <v>0</v>
      </c>
      <c r="O2887">
        <v>-0.5651832</v>
      </c>
      <c r="P2887">
        <v>-0.5824724</v>
      </c>
      <c r="Q2887">
        <v>0.1235826</v>
      </c>
      <c r="R2887">
        <v>-0.80340089999999997</v>
      </c>
      <c r="S2887">
        <v>-1.760345</v>
      </c>
      <c r="T2887">
        <v>-0.2662157</v>
      </c>
      <c r="U2887">
        <v>-2.4993289999999999</v>
      </c>
      <c r="V2887">
        <v>-0.33681139999999998</v>
      </c>
      <c r="W2887">
        <v>0.12998489999999999</v>
      </c>
      <c r="X2887">
        <v>0.93255670000000002</v>
      </c>
      <c r="Y2887">
        <v>-0.34943210000000002</v>
      </c>
      <c r="Z2887">
        <v>3.6172610000000001E-2</v>
      </c>
      <c r="AA2887">
        <v>0.93626319999999996</v>
      </c>
      <c r="AB2887">
        <v>30</v>
      </c>
      <c r="AC2887">
        <v>-7.2910000000000501</v>
      </c>
      <c r="AD2887">
        <v>-1.1204582011090001</v>
      </c>
      <c r="AE2887">
        <v>-10.4325999999999</v>
      </c>
      <c r="AF2887">
        <v>-4.4502859808033</v>
      </c>
      <c r="AG2887">
        <v>-1.1204582011090001</v>
      </c>
      <c r="AH2887">
        <v>11.819932907885001</v>
      </c>
      <c r="AI2887">
        <v>95.069684031784504</v>
      </c>
      <c r="AJ2887">
        <v>110.631700824397</v>
      </c>
      <c r="AK2887">
        <v>12.6795617368374</v>
      </c>
      <c r="AL2887">
        <v>82.531280224003297</v>
      </c>
      <c r="AM2887">
        <v>109.858193552606</v>
      </c>
      <c r="AN2887">
        <v>0.99999999605642997</v>
      </c>
    </row>
    <row r="2888" spans="1:40" x14ac:dyDescent="0.25">
      <c r="A2888" t="str">
        <f>"20190312164044352"</f>
        <v>20190312164044352</v>
      </c>
      <c r="B2888" t="str">
        <f>"1552380044349373"</f>
        <v>1552380044349373</v>
      </c>
      <c r="C2888" t="s">
        <v>40</v>
      </c>
      <c r="D2888">
        <v>5.6187870000000002</v>
      </c>
      <c r="E2888">
        <v>0.49479450000000003</v>
      </c>
      <c r="F2888" t="s">
        <v>41</v>
      </c>
      <c r="G2888">
        <v>-490.3528</v>
      </c>
      <c r="H2888" s="1">
        <v>-4.1524259999999997E-6</v>
      </c>
      <c r="I2888">
        <v>269.04969999999997</v>
      </c>
      <c r="J2888">
        <v>-483.017</v>
      </c>
      <c r="K2888">
        <v>1.120493</v>
      </c>
      <c r="L2888">
        <v>279.6087</v>
      </c>
      <c r="M2888">
        <v>-0.82122050000000002</v>
      </c>
      <c r="N2888">
        <v>0</v>
      </c>
      <c r="O2888">
        <v>-0.57039510000000004</v>
      </c>
      <c r="P2888">
        <v>-0.57769999999999999</v>
      </c>
      <c r="Q2888">
        <v>0.1236082</v>
      </c>
      <c r="R2888">
        <v>-0.80683559999999999</v>
      </c>
      <c r="S2888">
        <v>-1.7530209999999999</v>
      </c>
      <c r="T2888">
        <v>-0.26344669999999998</v>
      </c>
      <c r="U2888">
        <v>-2.5036619999999998</v>
      </c>
      <c r="V2888">
        <v>-0.33644550000000001</v>
      </c>
      <c r="W2888">
        <v>0.12995229999999999</v>
      </c>
      <c r="X2888">
        <v>0.93269329999999995</v>
      </c>
      <c r="Y2888">
        <v>-0.34610649999999998</v>
      </c>
      <c r="Z2888">
        <v>3.6438680000000001E-2</v>
      </c>
      <c r="AA2888">
        <v>0.93748739999999997</v>
      </c>
      <c r="AB2888">
        <v>30</v>
      </c>
      <c r="AC2888">
        <v>-7.3357999999999999</v>
      </c>
      <c r="AD2888">
        <v>-1.1204971524259999</v>
      </c>
      <c r="AE2888">
        <v>-10.558999999999999</v>
      </c>
      <c r="AF2888">
        <v>-4.4536895219505004</v>
      </c>
      <c r="AG2888">
        <v>-1.1204971524259999</v>
      </c>
      <c r="AH2888">
        <v>11.957775073850801</v>
      </c>
      <c r="AI2888">
        <v>95.018361949274194</v>
      </c>
      <c r="AJ2888">
        <v>110.427914718992</v>
      </c>
      <c r="AK2888">
        <v>12.8093422525645</v>
      </c>
      <c r="AL2888">
        <v>82.533163949029202</v>
      </c>
      <c r="AM2888">
        <v>109.835625639855</v>
      </c>
      <c r="AN2888">
        <v>0.999999983305214</v>
      </c>
    </row>
    <row r="2889" spans="1:40" x14ac:dyDescent="0.25">
      <c r="A2889" t="str">
        <f>"20190312164044373"</f>
        <v>20190312164044373</v>
      </c>
      <c r="B2889" t="str">
        <f>"1552380044368849"</f>
        <v>1552380044368849</v>
      </c>
      <c r="C2889" t="s">
        <v>40</v>
      </c>
      <c r="D2889">
        <v>5.5315099999999999</v>
      </c>
      <c r="E2889">
        <v>0.4958689</v>
      </c>
      <c r="F2889" t="s">
        <v>41</v>
      </c>
      <c r="G2889">
        <v>-490.44330000000002</v>
      </c>
      <c r="H2889" s="1">
        <v>-4.1170669999999997E-6</v>
      </c>
      <c r="I2889">
        <v>268.91120000000001</v>
      </c>
      <c r="J2889">
        <v>-483.23809999999997</v>
      </c>
      <c r="K2889">
        <v>1.1205700000000001</v>
      </c>
      <c r="L2889">
        <v>279.44110000000001</v>
      </c>
      <c r="M2889">
        <v>-0.81441030000000003</v>
      </c>
      <c r="N2889">
        <v>0</v>
      </c>
      <c r="O2889">
        <v>-0.5800786</v>
      </c>
      <c r="P2889">
        <v>-0.568859</v>
      </c>
      <c r="Q2889">
        <v>0.12326620000000001</v>
      </c>
      <c r="R2889">
        <v>-0.81314519999999901</v>
      </c>
      <c r="S2889">
        <v>-1.7428889999999999</v>
      </c>
      <c r="T2889">
        <v>-0.26297160000000003</v>
      </c>
      <c r="U2889">
        <v>-2.5106199999999999</v>
      </c>
      <c r="V2889">
        <v>-0.33564129999999998</v>
      </c>
      <c r="W2889">
        <v>0.12951070000000001</v>
      </c>
      <c r="X2889">
        <v>0.9330444</v>
      </c>
      <c r="Y2889">
        <v>-0.33879710000000002</v>
      </c>
      <c r="Z2889">
        <v>3.758939E-2</v>
      </c>
      <c r="AA2889">
        <v>0.94010830000000001</v>
      </c>
      <c r="AB2889">
        <v>30</v>
      </c>
      <c r="AC2889">
        <v>-7.2052000000000396</v>
      </c>
      <c r="AD2889">
        <v>-1.1205741170670001</v>
      </c>
      <c r="AE2889">
        <v>-10.5298999999999</v>
      </c>
      <c r="AF2889">
        <v>-4.3629615153967896</v>
      </c>
      <c r="AG2889">
        <v>-1.1205741170670001</v>
      </c>
      <c r="AH2889">
        <v>11.885943625328499</v>
      </c>
      <c r="AI2889">
        <v>95.057680047380202</v>
      </c>
      <c r="AJ2889">
        <v>110.156621183132</v>
      </c>
      <c r="AK2889">
        <v>12.710891998642801</v>
      </c>
      <c r="AL2889">
        <v>82.5586813703665</v>
      </c>
      <c r="AM2889">
        <v>109.785030011918</v>
      </c>
      <c r="AN2889">
        <v>0.99999997802576901</v>
      </c>
    </row>
    <row r="2890" spans="1:40" x14ac:dyDescent="0.25">
      <c r="A2890" t="str">
        <f>"20190312164044386"</f>
        <v>20190312164044386</v>
      </c>
      <c r="B2890" t="str">
        <f>"1552380044378609"</f>
        <v>1552380044378609</v>
      </c>
      <c r="C2890" t="s">
        <v>40</v>
      </c>
      <c r="D2890">
        <v>5.4477880000000001</v>
      </c>
      <c r="E2890">
        <v>0.49620039999999999</v>
      </c>
      <c r="F2890" t="s">
        <v>41</v>
      </c>
      <c r="G2890">
        <v>-490.60980000000001</v>
      </c>
      <c r="H2890" s="1">
        <v>-4.0413169999999996E-6</v>
      </c>
      <c r="I2890">
        <v>268.63130000000001</v>
      </c>
      <c r="J2890">
        <v>-483.36660000000001</v>
      </c>
      <c r="K2890">
        <v>1.1206130000000001</v>
      </c>
      <c r="L2890">
        <v>279.34160000000003</v>
      </c>
      <c r="M2890">
        <v>-0.81033269999999902</v>
      </c>
      <c r="N2890">
        <v>0</v>
      </c>
      <c r="O2890">
        <v>-0.58576240000000002</v>
      </c>
      <c r="P2890">
        <v>-0.56362330000000005</v>
      </c>
      <c r="Q2890">
        <v>0.1231704</v>
      </c>
      <c r="R2890">
        <v>-0.81679760000000001</v>
      </c>
      <c r="S2890">
        <v>-1.72161899999999</v>
      </c>
      <c r="T2890">
        <v>-0.261704299999999</v>
      </c>
      <c r="U2890">
        <v>-2.5245669999999998</v>
      </c>
      <c r="V2890">
        <v>-0.33513130000000002</v>
      </c>
      <c r="W2890">
        <v>0.1293617</v>
      </c>
      <c r="X2890">
        <v>0.93324839999999998</v>
      </c>
      <c r="Y2890">
        <v>-0.34004289999999998</v>
      </c>
      <c r="Z2890">
        <v>3.7914700000000003E-2</v>
      </c>
      <c r="AA2890">
        <v>0.93964530000000002</v>
      </c>
      <c r="AB2890">
        <v>30</v>
      </c>
      <c r="AC2890">
        <v>-7.2431999999999999</v>
      </c>
      <c r="AD2890">
        <v>-1.12061704131699</v>
      </c>
      <c r="AE2890">
        <v>-10.7103</v>
      </c>
      <c r="AF2890">
        <v>-4.4035731143424597</v>
      </c>
      <c r="AG2890">
        <v>-1.12061704131699</v>
      </c>
      <c r="AH2890">
        <v>12.054022973218</v>
      </c>
      <c r="AI2890">
        <v>94.990508564585397</v>
      </c>
      <c r="AJ2890">
        <v>110.068248928518</v>
      </c>
      <c r="AK2890">
        <v>12.8820304519713</v>
      </c>
      <c r="AL2890">
        <v>82.567291082642996</v>
      </c>
      <c r="AM2890">
        <v>109.75331116316499</v>
      </c>
      <c r="AN2890">
        <v>1.00000000688456</v>
      </c>
    </row>
    <row r="2891" spans="1:40" x14ac:dyDescent="0.25">
      <c r="A2891" t="str">
        <f>"20190312164044400"</f>
        <v>20190312164044400</v>
      </c>
      <c r="B2891" t="str">
        <f>"1552380044389346"</f>
        <v>1552380044389346</v>
      </c>
      <c r="C2891" t="s">
        <v>40</v>
      </c>
      <c r="D2891">
        <v>5.542224</v>
      </c>
      <c r="E2891">
        <v>0.4965909</v>
      </c>
      <c r="F2891" t="s">
        <v>41</v>
      </c>
      <c r="G2891">
        <v>-490.6961</v>
      </c>
      <c r="H2891" s="1">
        <v>-3.9899550000000002E-6</v>
      </c>
      <c r="I2891">
        <v>268.4581</v>
      </c>
      <c r="J2891">
        <v>-483.5077</v>
      </c>
      <c r="K2891">
        <v>1.1206579999999999</v>
      </c>
      <c r="L2891">
        <v>279.23099999999999</v>
      </c>
      <c r="M2891">
        <v>-0.80576689999999995</v>
      </c>
      <c r="N2891">
        <v>0</v>
      </c>
      <c r="O2891">
        <v>-0.59202809999999995</v>
      </c>
      <c r="P2891">
        <v>-0.55794719999999998</v>
      </c>
      <c r="Q2891">
        <v>0.1230348</v>
      </c>
      <c r="R2891">
        <v>-0.82070549999999998</v>
      </c>
      <c r="S2891">
        <v>-1.706879</v>
      </c>
      <c r="T2891">
        <v>-0.26096609999999998</v>
      </c>
      <c r="U2891">
        <v>-2.5345149999999999</v>
      </c>
      <c r="V2891">
        <v>-0.33439180000000002</v>
      </c>
      <c r="W2891">
        <v>0.1291755</v>
      </c>
      <c r="X2891">
        <v>0.93353949999999997</v>
      </c>
      <c r="Y2891">
        <v>-0.33823500000000001</v>
      </c>
      <c r="Z2891">
        <v>3.8478070000000003E-2</v>
      </c>
      <c r="AA2891">
        <v>0.94027470000000002</v>
      </c>
      <c r="AB2891">
        <v>30</v>
      </c>
      <c r="AC2891">
        <v>-7.1883999999999997</v>
      </c>
      <c r="AD2891">
        <v>-1.1206619899550001</v>
      </c>
      <c r="AE2891">
        <v>-10.7728999999999</v>
      </c>
      <c r="AF2891">
        <v>-4.3923596635703497</v>
      </c>
      <c r="AG2891">
        <v>-1.1206619899550001</v>
      </c>
      <c r="AH2891">
        <v>12.081051716779999</v>
      </c>
      <c r="AI2891">
        <v>94.982381342547001</v>
      </c>
      <c r="AJ2891">
        <v>109.979964693173</v>
      </c>
      <c r="AK2891">
        <v>12.9035079452606</v>
      </c>
      <c r="AL2891">
        <v>82.578050461145395</v>
      </c>
      <c r="AM2891">
        <v>109.70741264441</v>
      </c>
      <c r="AN2891">
        <v>1.0000000918838601</v>
      </c>
    </row>
    <row r="2892" spans="1:40" x14ac:dyDescent="0.25">
      <c r="A2892" t="str">
        <f>"20190312164044417"</f>
        <v>20190312164044417</v>
      </c>
      <c r="B2892" t="str">
        <f>"1552380044408864"</f>
        <v>1552380044408864</v>
      </c>
      <c r="C2892" t="s">
        <v>40</v>
      </c>
      <c r="D2892">
        <v>5.5690160000000004</v>
      </c>
      <c r="E2892">
        <v>0.50498149999999997</v>
      </c>
      <c r="F2892" t="s">
        <v>41</v>
      </c>
      <c r="G2892">
        <v>-490.77300000000002</v>
      </c>
      <c r="H2892" s="1">
        <v>-3.9428900000000001E-6</v>
      </c>
      <c r="I2892">
        <v>268.30070000000001</v>
      </c>
      <c r="J2892">
        <v>-483.7</v>
      </c>
      <c r="K2892">
        <v>1.1207129999999901</v>
      </c>
      <c r="L2892">
        <v>279.077</v>
      </c>
      <c r="M2892">
        <v>-0.7993654</v>
      </c>
      <c r="N2892">
        <v>0</v>
      </c>
      <c r="O2892">
        <v>-0.60064450000000003</v>
      </c>
      <c r="P2892">
        <v>-0.550015699999999</v>
      </c>
      <c r="Q2892">
        <v>0.1224679</v>
      </c>
      <c r="R2892">
        <v>-0.82612619999999903</v>
      </c>
      <c r="S2892">
        <v>-1.6914370000000001</v>
      </c>
      <c r="T2892">
        <v>-0.2609013</v>
      </c>
      <c r="U2892">
        <v>-2.5446780000000002</v>
      </c>
      <c r="V2892">
        <v>-0.33343309999999998</v>
      </c>
      <c r="W2892">
        <v>0.12854560000000001</v>
      </c>
      <c r="X2892">
        <v>0.93396920000000005</v>
      </c>
      <c r="Y2892">
        <v>-0.3338467</v>
      </c>
      <c r="Z2892">
        <v>3.946181E-2</v>
      </c>
      <c r="AA2892">
        <v>0.941801</v>
      </c>
      <c r="AB2892">
        <v>30</v>
      </c>
      <c r="AC2892">
        <v>-7.0730000000000297</v>
      </c>
      <c r="AD2892">
        <v>-1.1207169428899999</v>
      </c>
      <c r="AE2892">
        <v>-10.7762999999999</v>
      </c>
      <c r="AF2892">
        <v>-4.3336106642445804</v>
      </c>
      <c r="AG2892">
        <v>-1.1207169428899999</v>
      </c>
      <c r="AH2892">
        <v>12.0371082571465</v>
      </c>
      <c r="AI2892">
        <v>95.006381388743605</v>
      </c>
      <c r="AJ2892">
        <v>109.799936930374</v>
      </c>
      <c r="AK2892">
        <v>12.8424360247423</v>
      </c>
      <c r="AL2892">
        <v>82.614444074591106</v>
      </c>
      <c r="AM2892">
        <v>109.646896207765</v>
      </c>
      <c r="AN2892">
        <v>1.0000000350017999</v>
      </c>
    </row>
    <row r="2893" spans="1:40" x14ac:dyDescent="0.25">
      <c r="A2893" t="str">
        <f>"20190312164044429"</f>
        <v>20190312164044429</v>
      </c>
      <c r="B2893" t="str">
        <f>"1552380044418625"</f>
        <v>1552380044418625</v>
      </c>
      <c r="C2893" t="s">
        <v>40</v>
      </c>
      <c r="D2893">
        <v>5.6146449999999897</v>
      </c>
      <c r="E2893">
        <v>0.50585590000000002</v>
      </c>
      <c r="F2893" t="s">
        <v>46</v>
      </c>
      <c r="G2893">
        <v>-488.99400000000003</v>
      </c>
      <c r="H2893" s="1">
        <v>5.1484390000000004E-7</v>
      </c>
      <c r="I2893">
        <v>271.31459999999998</v>
      </c>
      <c r="J2893">
        <v>-483.81380000000001</v>
      </c>
      <c r="K2893">
        <v>1.120741</v>
      </c>
      <c r="L2893">
        <v>278.98360000000002</v>
      </c>
      <c r="M2893">
        <v>-0.7954658</v>
      </c>
      <c r="N2893">
        <v>0</v>
      </c>
      <c r="O2893">
        <v>-0.60580009999999995</v>
      </c>
      <c r="P2893">
        <v>-0.54523650000000001</v>
      </c>
      <c r="Q2893">
        <v>0.1219306</v>
      </c>
      <c r="R2893">
        <v>-0.82936779999999999</v>
      </c>
      <c r="S2893">
        <v>-1.728729</v>
      </c>
      <c r="T2893">
        <v>-0.3659598</v>
      </c>
      <c r="U2893">
        <v>-2.5347599999999999</v>
      </c>
      <c r="V2893">
        <v>-0.33284619999999998</v>
      </c>
      <c r="W2893">
        <v>0.1279776</v>
      </c>
      <c r="X2893">
        <v>0.93425650000000005</v>
      </c>
      <c r="Y2893">
        <v>-0.31713859999999999</v>
      </c>
      <c r="Z2893">
        <v>5.6540720000000003E-2</v>
      </c>
      <c r="AA2893">
        <v>0.94669230000000004</v>
      </c>
      <c r="AB2893">
        <v>30</v>
      </c>
      <c r="AC2893">
        <v>-5.1802000000000099</v>
      </c>
      <c r="AD2893">
        <v>-1.1207404851561</v>
      </c>
      <c r="AE2893">
        <v>-7.6690000000000396</v>
      </c>
      <c r="AF2893">
        <v>-2.9197977844935998</v>
      </c>
      <c r="AG2893">
        <v>-1.1207404851561</v>
      </c>
      <c r="AH2893">
        <v>8.6408851421279795</v>
      </c>
      <c r="AI2893">
        <v>97.005195261650798</v>
      </c>
      <c r="AJ2893">
        <v>108.670365071617</v>
      </c>
      <c r="AK2893">
        <v>9.1894599611103303</v>
      </c>
      <c r="AL2893">
        <v>82.647259104729102</v>
      </c>
      <c r="AM2893">
        <v>109.609383938362</v>
      </c>
      <c r="AN2893">
        <v>1.0000000333742201</v>
      </c>
    </row>
    <row r="2894" spans="1:40" x14ac:dyDescent="0.25">
      <c r="A2894" t="str">
        <f>"20190312164044442"</f>
        <v>20190312164044442</v>
      </c>
      <c r="B2894" t="str">
        <f>"1552380044439121"</f>
        <v>1552380044439121</v>
      </c>
      <c r="C2894" t="s">
        <v>40</v>
      </c>
      <c r="D2894">
        <v>5.5587859999999996</v>
      </c>
      <c r="E2894">
        <v>0.50596929999999996</v>
      </c>
      <c r="F2894" t="s">
        <v>46</v>
      </c>
      <c r="G2894">
        <v>-488.97410000000002</v>
      </c>
      <c r="H2894" s="1">
        <v>5.2892930000000001E-7</v>
      </c>
      <c r="I2894">
        <v>271.35939999999999</v>
      </c>
      <c r="J2894">
        <v>-483.9495</v>
      </c>
      <c r="K2894">
        <v>1.1207720000000001</v>
      </c>
      <c r="L2894">
        <v>278.87139999999999</v>
      </c>
      <c r="M2894">
        <v>-0.79074759999999999</v>
      </c>
      <c r="N2894">
        <v>0</v>
      </c>
      <c r="O2894">
        <v>-0.61194659999999901</v>
      </c>
      <c r="P2894">
        <v>-0.53937979999999996</v>
      </c>
      <c r="Q2894">
        <v>0.1221593</v>
      </c>
      <c r="R2894">
        <v>-0.83315499999999998</v>
      </c>
      <c r="S2894">
        <v>-1.720032</v>
      </c>
      <c r="T2894">
        <v>-0.37356869999999998</v>
      </c>
      <c r="U2894">
        <v>-2.5413209999999999</v>
      </c>
      <c r="V2894">
        <v>-0.33217799999999997</v>
      </c>
      <c r="W2894">
        <v>0.12816920000000001</v>
      </c>
      <c r="X2894">
        <v>0.93446799999999997</v>
      </c>
      <c r="Y2894">
        <v>-0.3132414</v>
      </c>
      <c r="Z2894">
        <v>5.8731810000000002E-2</v>
      </c>
      <c r="AA2894">
        <v>0.94785569999999997</v>
      </c>
      <c r="AB2894">
        <v>30</v>
      </c>
      <c r="AC2894">
        <v>-5.0246000000000199</v>
      </c>
      <c r="AD2894">
        <v>-1.1207714710707</v>
      </c>
      <c r="AE2894">
        <v>-7.5119999999999996</v>
      </c>
      <c r="AF2894">
        <v>-2.8222482835446798</v>
      </c>
      <c r="AG2894">
        <v>-1.1207714710707</v>
      </c>
      <c r="AH2894">
        <v>8.4413384870009605</v>
      </c>
      <c r="AI2894">
        <v>97.176934886076296</v>
      </c>
      <c r="AJ2894">
        <v>108.486667126523</v>
      </c>
      <c r="AK2894">
        <v>8.9709202157003194</v>
      </c>
      <c r="AL2894">
        <v>82.636189868761093</v>
      </c>
      <c r="AM2894">
        <v>109.56891869643501</v>
      </c>
      <c r="AN2894">
        <v>1.00000000526832</v>
      </c>
    </row>
    <row r="2895" spans="1:40" x14ac:dyDescent="0.25">
      <c r="A2895" t="str">
        <f>"20190312164044453"</f>
        <v>20190312164044453</v>
      </c>
      <c r="B2895" t="str">
        <f>"1552380044448881"</f>
        <v>1552380044448881</v>
      </c>
      <c r="C2895" t="s">
        <v>40</v>
      </c>
      <c r="D2895">
        <v>5.6486260000000001</v>
      </c>
      <c r="E2895">
        <v>0.50631759999999904</v>
      </c>
      <c r="F2895" t="s">
        <v>46</v>
      </c>
      <c r="G2895">
        <v>-489.3227</v>
      </c>
      <c r="H2895" s="1">
        <v>3.686088E-7</v>
      </c>
      <c r="I2895">
        <v>270.8184</v>
      </c>
      <c r="J2895">
        <v>-484.06560000000002</v>
      </c>
      <c r="K2895">
        <v>1.120798</v>
      </c>
      <c r="L2895">
        <v>278.77379999999999</v>
      </c>
      <c r="M2895">
        <v>-0.78662710000000002</v>
      </c>
      <c r="N2895">
        <v>0</v>
      </c>
      <c r="O2895">
        <v>-0.61723490000000003</v>
      </c>
      <c r="P2895">
        <v>-0.53424099999999997</v>
      </c>
      <c r="Q2895">
        <v>0.1221376</v>
      </c>
      <c r="R2895">
        <v>-0.83646229999999999</v>
      </c>
      <c r="S2895">
        <v>-1.7020569999999999</v>
      </c>
      <c r="T2895">
        <v>-0.35502139999999999</v>
      </c>
      <c r="U2895">
        <v>-2.5509029999999999</v>
      </c>
      <c r="V2895">
        <v>-0.33167489999999999</v>
      </c>
      <c r="W2895">
        <v>0.1281167</v>
      </c>
      <c r="X2895">
        <v>0.93465390000000004</v>
      </c>
      <c r="Y2895">
        <v>-0.3130308</v>
      </c>
      <c r="Z2895">
        <v>5.6575699999999902E-2</v>
      </c>
      <c r="AA2895">
        <v>0.94805640000000002</v>
      </c>
      <c r="AB2895">
        <v>30</v>
      </c>
      <c r="AC2895">
        <v>-5.2570999999999799</v>
      </c>
      <c r="AD2895">
        <v>-1.1207976313912</v>
      </c>
      <c r="AE2895">
        <v>-7.9553999999999903</v>
      </c>
      <c r="AF2895">
        <v>-2.97236270887249</v>
      </c>
      <c r="AG2895">
        <v>-1.1207976313912</v>
      </c>
      <c r="AH2895">
        <v>8.9235249134580599</v>
      </c>
      <c r="AI2895">
        <v>96.795522525312904</v>
      </c>
      <c r="AJ2895">
        <v>108.422549216647</v>
      </c>
      <c r="AK2895">
        <v>9.4720865855805307</v>
      </c>
      <c r="AL2895">
        <v>82.639223014730703</v>
      </c>
      <c r="AM2895">
        <v>109.537935292909</v>
      </c>
      <c r="AN2895">
        <v>1.0000000204470501</v>
      </c>
    </row>
    <row r="2896" spans="1:40" x14ac:dyDescent="0.25">
      <c r="A2896" t="str">
        <f>"20190312164044464"</f>
        <v>20190312164044464</v>
      </c>
      <c r="B2896" t="str">
        <f>"1552380044458686"</f>
        <v>1552380044458686</v>
      </c>
      <c r="C2896" t="s">
        <v>40</v>
      </c>
      <c r="D2896">
        <v>5.4583459999999997</v>
      </c>
      <c r="E2896">
        <v>0.50653110000000001</v>
      </c>
      <c r="F2896" t="s">
        <v>46</v>
      </c>
      <c r="G2896">
        <v>-489.3417</v>
      </c>
      <c r="H2896" s="1">
        <v>3.543553E-7</v>
      </c>
      <c r="I2896">
        <v>270.77330000000001</v>
      </c>
      <c r="J2896">
        <v>-484.17099999999999</v>
      </c>
      <c r="K2896">
        <v>1.1208209999999901</v>
      </c>
      <c r="L2896">
        <v>278.68389999999999</v>
      </c>
      <c r="M2896">
        <v>-0.78282019999999997</v>
      </c>
      <c r="N2896">
        <v>0</v>
      </c>
      <c r="O2896">
        <v>-0.62205619999999995</v>
      </c>
      <c r="P2896">
        <v>-0.52974869999999996</v>
      </c>
      <c r="Q2896">
        <v>0.12230290000000001</v>
      </c>
      <c r="R2896">
        <v>-0.83929039999999999</v>
      </c>
      <c r="S2896">
        <v>-1.6885380000000001</v>
      </c>
      <c r="T2896">
        <v>-0.35869309999999899</v>
      </c>
      <c r="U2896">
        <v>-2.560425</v>
      </c>
      <c r="V2896">
        <v>-0.3309357</v>
      </c>
      <c r="W2896">
        <v>0.12826609999999999</v>
      </c>
      <c r="X2896">
        <v>0.93489540000000004</v>
      </c>
      <c r="Y2896">
        <v>-0.31235359999999901</v>
      </c>
      <c r="Z2896">
        <v>5.7811099999999997E-2</v>
      </c>
      <c r="AA2896">
        <v>0.94820519999999997</v>
      </c>
      <c r="AB2896">
        <v>30</v>
      </c>
      <c r="AC2896">
        <v>-5.1707000000000098</v>
      </c>
      <c r="AD2896">
        <v>-1.1208206456447001</v>
      </c>
      <c r="AE2896">
        <v>-7.9105999999999801</v>
      </c>
      <c r="AF2896">
        <v>-2.9351819310104901</v>
      </c>
      <c r="AG2896">
        <v>-1.1208206456447001</v>
      </c>
      <c r="AH2896">
        <v>8.8452242397312801</v>
      </c>
      <c r="AI2896">
        <v>96.857799319106206</v>
      </c>
      <c r="AJ2896">
        <v>108.357807993894</v>
      </c>
      <c r="AK2896">
        <v>9.3866673393150393</v>
      </c>
      <c r="AL2896">
        <v>82.630591805808194</v>
      </c>
      <c r="AM2896">
        <v>109.49302243856999</v>
      </c>
      <c r="AN2896">
        <v>1.0000000194424199</v>
      </c>
    </row>
    <row r="2897" spans="1:40" x14ac:dyDescent="0.25">
      <c r="A2897" t="str">
        <f>"20190312164044474"</f>
        <v>20190312164044474</v>
      </c>
      <c r="B2897" t="str">
        <f>"1552380044469421"</f>
        <v>1552380044469421</v>
      </c>
      <c r="C2897" t="s">
        <v>40</v>
      </c>
      <c r="D2897">
        <v>5.6747959999999997</v>
      </c>
      <c r="E2897">
        <v>0.50653110000000001</v>
      </c>
      <c r="F2897" t="s">
        <v>46</v>
      </c>
      <c r="G2897">
        <v>-489.32709999999997</v>
      </c>
      <c r="H2897" s="1">
        <v>3.570052E-7</v>
      </c>
      <c r="I2897">
        <v>270.78449999999998</v>
      </c>
      <c r="J2897">
        <v>-484.274</v>
      </c>
      <c r="K2897">
        <v>1.1208419999999999</v>
      </c>
      <c r="L2897">
        <v>278.59519999999998</v>
      </c>
      <c r="M2897">
        <v>-0.77904770000000001</v>
      </c>
      <c r="N2897">
        <v>0</v>
      </c>
      <c r="O2897">
        <v>-0.62677490000000002</v>
      </c>
      <c r="P2897">
        <v>-0.52517999999999998</v>
      </c>
      <c r="Q2897">
        <v>0.12228459999999999</v>
      </c>
      <c r="R2897">
        <v>-0.84215960000000001</v>
      </c>
      <c r="S2897">
        <v>-1.6769099999999999</v>
      </c>
      <c r="T2897">
        <v>-0.36452410000000002</v>
      </c>
      <c r="U2897">
        <v>-2.5691220000000001</v>
      </c>
      <c r="V2897">
        <v>-0.33037499999999997</v>
      </c>
      <c r="W2897">
        <v>0.1282297</v>
      </c>
      <c r="X2897">
        <v>0.9350986</v>
      </c>
      <c r="Y2897">
        <v>-0.31115930000000003</v>
      </c>
      <c r="Z2897">
        <v>5.9412060000000003E-2</v>
      </c>
      <c r="AA2897">
        <v>0.94849879999999998</v>
      </c>
      <c r="AB2897">
        <v>30</v>
      </c>
      <c r="AC2897">
        <v>-5.0530999999999704</v>
      </c>
      <c r="AD2897">
        <v>-1.1208416429948</v>
      </c>
      <c r="AE2897">
        <v>-7.81069999999999</v>
      </c>
      <c r="AF2897">
        <v>-2.8763437943885202</v>
      </c>
      <c r="AG2897">
        <v>-1.1208416429948</v>
      </c>
      <c r="AH2897">
        <v>8.70681340827689</v>
      </c>
      <c r="AI2897">
        <v>96.968934938965404</v>
      </c>
      <c r="AJ2897">
        <v>108.281256914574</v>
      </c>
      <c r="AK2897">
        <v>9.2378698485494404</v>
      </c>
      <c r="AL2897">
        <v>82.632694180109397</v>
      </c>
      <c r="AM2897">
        <v>109.458568625786</v>
      </c>
      <c r="AN2897">
        <v>0.99999994415452298</v>
      </c>
    </row>
    <row r="2898" spans="1:40" x14ac:dyDescent="0.25">
      <c r="A2898" t="str">
        <f>"20190312164044485"</f>
        <v>20190312164044485</v>
      </c>
      <c r="B2898" t="str">
        <f>"1552380044479181"</f>
        <v>1552380044479181</v>
      </c>
      <c r="C2898" t="s">
        <v>40</v>
      </c>
      <c r="D2898">
        <v>5.6432989999999998</v>
      </c>
      <c r="E2898">
        <v>0.50720690000000002</v>
      </c>
      <c r="F2898" t="s">
        <v>46</v>
      </c>
      <c r="G2898">
        <v>-489.38560000000001</v>
      </c>
      <c r="H2898" s="1">
        <v>3.2113579999999999E-7</v>
      </c>
      <c r="I2898">
        <v>270.66829999999999</v>
      </c>
      <c r="J2898">
        <v>-484.38</v>
      </c>
      <c r="K2898">
        <v>1.120857</v>
      </c>
      <c r="L2898">
        <v>278.50240000000002</v>
      </c>
      <c r="M2898">
        <v>-0.77509989999999995</v>
      </c>
      <c r="N2898">
        <v>0</v>
      </c>
      <c r="O2898">
        <v>-0.63165090000000002</v>
      </c>
      <c r="P2898">
        <v>-0.52055699999999905</v>
      </c>
      <c r="Q2898">
        <v>0.12209730000000001</v>
      </c>
      <c r="R2898">
        <v>-0.84505200000000003</v>
      </c>
      <c r="S2898">
        <v>-1.66262799999999</v>
      </c>
      <c r="T2898">
        <v>-0.3645737</v>
      </c>
      <c r="U2898">
        <v>-2.5783390000000002</v>
      </c>
      <c r="V2898">
        <v>-0.32965309999999998</v>
      </c>
      <c r="W2898">
        <v>0.12803149999999999</v>
      </c>
      <c r="X2898">
        <v>0.93538049999999995</v>
      </c>
      <c r="Y2898">
        <v>-0.31047550000000002</v>
      </c>
      <c r="Z2898">
        <v>6.0104289999999998E-2</v>
      </c>
      <c r="AA2898">
        <v>0.9486793</v>
      </c>
      <c r="AB2898">
        <v>30</v>
      </c>
      <c r="AC2898">
        <v>-5.00560000000001</v>
      </c>
      <c r="AD2898">
        <v>-1.1208566788642</v>
      </c>
      <c r="AE2898">
        <v>-7.8341000000000296</v>
      </c>
      <c r="AF2898">
        <v>-2.8690595741732201</v>
      </c>
      <c r="AG2898">
        <v>-1.1208566788642</v>
      </c>
      <c r="AH2898">
        <v>8.7028015067830609</v>
      </c>
      <c r="AI2898">
        <v>96.973615423249697</v>
      </c>
      <c r="AJ2898">
        <v>108.24587906654</v>
      </c>
      <c r="AK2898">
        <v>9.23182412100528</v>
      </c>
      <c r="AL2898">
        <v>82.644144670828297</v>
      </c>
      <c r="AM2898">
        <v>109.41382047139599</v>
      </c>
      <c r="AN2898">
        <v>0.99999995555605403</v>
      </c>
    </row>
    <row r="2899" spans="1:40" x14ac:dyDescent="0.25">
      <c r="A2899" t="str">
        <f>"20190312164044496"</f>
        <v>20190312164044496</v>
      </c>
      <c r="B2899" t="str">
        <f>"1552380044488942"</f>
        <v>1552380044488942</v>
      </c>
      <c r="C2899" t="s">
        <v>40</v>
      </c>
      <c r="D2899">
        <v>5.680053</v>
      </c>
      <c r="E2899">
        <v>0.50701859999999999</v>
      </c>
      <c r="F2899" t="s">
        <v>46</v>
      </c>
      <c r="G2899">
        <v>-489.4042</v>
      </c>
      <c r="H2899" s="1">
        <v>3.1451859999999898E-7</v>
      </c>
      <c r="I2899">
        <v>270.64499999999998</v>
      </c>
      <c r="J2899">
        <v>-484.49579999999997</v>
      </c>
      <c r="K2899">
        <v>1.1208720000000001</v>
      </c>
      <c r="L2899">
        <v>278.40019999999998</v>
      </c>
      <c r="M2899">
        <v>-0.77072700000000005</v>
      </c>
      <c r="N2899">
        <v>0</v>
      </c>
      <c r="O2899">
        <v>-0.63697979999999998</v>
      </c>
      <c r="P2899">
        <v>-0.51517930000000001</v>
      </c>
      <c r="Q2899">
        <v>0.12158679999999999</v>
      </c>
      <c r="R2899">
        <v>-0.84841469999999897</v>
      </c>
      <c r="S2899">
        <v>-1.6529849999999999</v>
      </c>
      <c r="T2899">
        <v>-0.36876619999999999</v>
      </c>
      <c r="U2899">
        <v>-2.5851440000000001</v>
      </c>
      <c r="V2899">
        <v>-0.32919399999999999</v>
      </c>
      <c r="W2899">
        <v>0.12750239999999999</v>
      </c>
      <c r="X2899">
        <v>0.93561450000000002</v>
      </c>
      <c r="Y2899">
        <v>-0.30763160000000001</v>
      </c>
      <c r="Z2899">
        <v>6.163834E-2</v>
      </c>
      <c r="AA2899">
        <v>0.94950699999999999</v>
      </c>
      <c r="AB2899">
        <v>30</v>
      </c>
      <c r="AC2899">
        <v>-4.9084000000000199</v>
      </c>
      <c r="AD2899">
        <v>-1.12087168548139</v>
      </c>
      <c r="AE2899">
        <v>-7.7552000000000003</v>
      </c>
      <c r="AF2899">
        <v>-2.80903164197154</v>
      </c>
      <c r="AG2899">
        <v>-1.12087168548139</v>
      </c>
      <c r="AH2899">
        <v>8.5957704364012102</v>
      </c>
      <c r="AI2899">
        <v>97.065633831857994</v>
      </c>
      <c r="AJ2899">
        <v>108.096993623728</v>
      </c>
      <c r="AK2899">
        <v>9.1123148264434093</v>
      </c>
      <c r="AL2899">
        <v>82.674710869723995</v>
      </c>
      <c r="AM2899">
        <v>109.38431435957899</v>
      </c>
      <c r="AN2899">
        <v>1.0000000221259999</v>
      </c>
    </row>
    <row r="2900" spans="1:40" x14ac:dyDescent="0.25">
      <c r="A2900" t="str">
        <f>"20190312164044507"</f>
        <v>20190312164044507</v>
      </c>
      <c r="B2900" t="str">
        <f>"1552380044498702"</f>
        <v>1552380044498702</v>
      </c>
      <c r="C2900" t="s">
        <v>40</v>
      </c>
      <c r="D2900">
        <v>5.5706300000000004</v>
      </c>
      <c r="E2900">
        <v>0.50744100000000003</v>
      </c>
      <c r="F2900" t="s">
        <v>46</v>
      </c>
      <c r="G2900">
        <v>-489.50330000000002</v>
      </c>
      <c r="H2900" s="1">
        <v>2.53184E-7</v>
      </c>
      <c r="I2900">
        <v>270.44659999999999</v>
      </c>
      <c r="J2900">
        <v>-484.60599999999999</v>
      </c>
      <c r="K2900">
        <v>1.120881</v>
      </c>
      <c r="L2900">
        <v>278.30090000000001</v>
      </c>
      <c r="M2900">
        <v>-0.76648309999999997</v>
      </c>
      <c r="N2900">
        <v>0</v>
      </c>
      <c r="O2900">
        <v>-0.64208069999999995</v>
      </c>
      <c r="P2900">
        <v>-0.50999119999999998</v>
      </c>
      <c r="Q2900">
        <v>0.1206257</v>
      </c>
      <c r="R2900">
        <v>-0.85167999999999899</v>
      </c>
      <c r="S2900">
        <v>-1.6343989999999999</v>
      </c>
      <c r="T2900">
        <v>-0.3658401</v>
      </c>
      <c r="U2900">
        <v>-2.5959780000000001</v>
      </c>
      <c r="V2900">
        <v>-0.3287794</v>
      </c>
      <c r="W2900">
        <v>0.12652749999999999</v>
      </c>
      <c r="X2900">
        <v>0.93589259999999996</v>
      </c>
      <c r="Y2900">
        <v>-0.30796950000000001</v>
      </c>
      <c r="Z2900">
        <v>6.1836729999999999E-2</v>
      </c>
      <c r="AA2900">
        <v>0.94938460000000002</v>
      </c>
      <c r="AB2900">
        <v>30</v>
      </c>
      <c r="AC2900">
        <v>-4.8973000000000297</v>
      </c>
      <c r="AD2900">
        <v>-1.120880746816</v>
      </c>
      <c r="AE2900">
        <v>-7.8543000000000198</v>
      </c>
      <c r="AF2900">
        <v>-2.8344988867277299</v>
      </c>
      <c r="AG2900">
        <v>-1.120880746816</v>
      </c>
      <c r="AH2900">
        <v>8.6706779513737509</v>
      </c>
      <c r="AI2900">
        <v>97.005024359777906</v>
      </c>
      <c r="AJ2900">
        <v>108.10289244574901</v>
      </c>
      <c r="AK2900">
        <v>9.1908331354607107</v>
      </c>
      <c r="AL2900">
        <v>82.731024683136496</v>
      </c>
      <c r="AM2900">
        <v>109.356393179999</v>
      </c>
      <c r="AN2900">
        <v>1.0000000304276799</v>
      </c>
    </row>
    <row r="2901" spans="1:40" x14ac:dyDescent="0.25">
      <c r="A2901" t="str">
        <f>"20190312164044519"</f>
        <v>20190312164044519</v>
      </c>
      <c r="B2901" t="str">
        <f>"1552380044509437"</f>
        <v>1552380044509437</v>
      </c>
      <c r="C2901" t="s">
        <v>40</v>
      </c>
      <c r="D2901">
        <v>5.5757059999999896</v>
      </c>
      <c r="E2901">
        <v>0.50793429999999995</v>
      </c>
      <c r="F2901" t="s">
        <v>46</v>
      </c>
      <c r="G2901">
        <v>-489.55840000000001</v>
      </c>
      <c r="H2901" s="1">
        <v>2.223794E-7</v>
      </c>
      <c r="I2901">
        <v>270.34559999999999</v>
      </c>
      <c r="J2901">
        <v>-484.7201</v>
      </c>
      <c r="K2901">
        <v>1.120889</v>
      </c>
      <c r="L2901">
        <v>278.19740000000002</v>
      </c>
      <c r="M2901">
        <v>-0.76203669999999901</v>
      </c>
      <c r="N2901">
        <v>0</v>
      </c>
      <c r="O2901">
        <v>-0.64735200000000004</v>
      </c>
      <c r="P2901">
        <v>-0.50415859999999901</v>
      </c>
      <c r="Q2901">
        <v>0.1196276</v>
      </c>
      <c r="R2901">
        <v>-0.85528590000000004</v>
      </c>
      <c r="S2901">
        <v>-1.620941</v>
      </c>
      <c r="T2901">
        <v>-0.36686649999999998</v>
      </c>
      <c r="U2901">
        <v>-2.60379</v>
      </c>
      <c r="V2901">
        <v>-0.32880599999999999</v>
      </c>
      <c r="W2901">
        <v>0.12550249999999999</v>
      </c>
      <c r="X2901">
        <v>0.9360212</v>
      </c>
      <c r="Y2901">
        <v>-0.30625829999999998</v>
      </c>
      <c r="Z2901">
        <v>6.2811580000000006E-2</v>
      </c>
      <c r="AA2901">
        <v>0.949874</v>
      </c>
      <c r="AB2901">
        <v>30</v>
      </c>
      <c r="AC2901">
        <v>-4.8383000000000003</v>
      </c>
      <c r="AD2901">
        <v>-1.1208887776206</v>
      </c>
      <c r="AE2901">
        <v>-7.8518000000000203</v>
      </c>
      <c r="AF2901">
        <v>-2.8101051843913898</v>
      </c>
      <c r="AG2901">
        <v>-1.1208887776206</v>
      </c>
      <c r="AH2901">
        <v>8.6432072958679402</v>
      </c>
      <c r="AI2901">
        <v>97.030772913671498</v>
      </c>
      <c r="AJ2901">
        <v>108.010533684265</v>
      </c>
      <c r="AK2901">
        <v>9.1574076658453993</v>
      </c>
      <c r="AL2901">
        <v>82.790224379567704</v>
      </c>
      <c r="AM2901">
        <v>109.355380944751</v>
      </c>
      <c r="AN2901">
        <v>0.99999997499584403</v>
      </c>
    </row>
    <row r="2902" spans="1:40" x14ac:dyDescent="0.25">
      <c r="A2902" t="str">
        <f>"20190312164044531"</f>
        <v>20190312164044531</v>
      </c>
      <c r="B2902" t="str">
        <f>"1552380044519198"</f>
        <v>1552380044519198</v>
      </c>
      <c r="C2902" t="s">
        <v>40</v>
      </c>
      <c r="D2902">
        <v>5.6416839999999997</v>
      </c>
      <c r="E2902">
        <v>0.50837330000000003</v>
      </c>
      <c r="F2902" t="s">
        <v>46</v>
      </c>
      <c r="G2902">
        <v>-489.59390000000002</v>
      </c>
      <c r="H2902" s="1">
        <v>1.98985E-7</v>
      </c>
      <c r="I2902">
        <v>270.27050000000003</v>
      </c>
      <c r="J2902">
        <v>-484.83359999999999</v>
      </c>
      <c r="K2902">
        <v>1.1208940000000001</v>
      </c>
      <c r="L2902">
        <v>278.0924</v>
      </c>
      <c r="M2902">
        <v>-0.75752759999999997</v>
      </c>
      <c r="N2902">
        <v>0</v>
      </c>
      <c r="O2902">
        <v>-0.65262299999999995</v>
      </c>
      <c r="P2902">
        <v>-0.49860579999999999</v>
      </c>
      <c r="Q2902">
        <v>0.11863509999999999</v>
      </c>
      <c r="R2902">
        <v>-0.85867249999999995</v>
      </c>
      <c r="S2902">
        <v>-1.6062320000000001</v>
      </c>
      <c r="T2902">
        <v>-0.3694093</v>
      </c>
      <c r="U2902">
        <v>-2.612457</v>
      </c>
      <c r="V2902">
        <v>-0.32845859999999999</v>
      </c>
      <c r="W2902">
        <v>0.1244995</v>
      </c>
      <c r="X2902">
        <v>0.93627709999999997</v>
      </c>
      <c r="Y2902">
        <v>-0.30498779999999998</v>
      </c>
      <c r="Z2902">
        <v>6.4026699999999895E-2</v>
      </c>
      <c r="AA2902">
        <v>0.95020159999999998</v>
      </c>
      <c r="AB2902">
        <v>30</v>
      </c>
      <c r="AC2902">
        <v>-4.7603000000000204</v>
      </c>
      <c r="AD2902">
        <v>-1.120893801015</v>
      </c>
      <c r="AE2902">
        <v>-7.8218999999999701</v>
      </c>
      <c r="AF2902">
        <v>-2.7773362236011101</v>
      </c>
      <c r="AG2902">
        <v>-1.120893801015</v>
      </c>
      <c r="AH2902">
        <v>8.5832131615819591</v>
      </c>
      <c r="AI2902">
        <v>97.082629078822094</v>
      </c>
      <c r="AJ2902">
        <v>107.9304233781</v>
      </c>
      <c r="AK2902">
        <v>9.0907396612835996</v>
      </c>
      <c r="AL2902">
        <v>82.848146482030103</v>
      </c>
      <c r="AM2902">
        <v>109.331556641821</v>
      </c>
      <c r="AN2902">
        <v>0.99999999269930995</v>
      </c>
    </row>
    <row r="2903" spans="1:40" x14ac:dyDescent="0.25">
      <c r="A2903" t="str">
        <f>"20190312164044543"</f>
        <v>20190312164044543</v>
      </c>
      <c r="B2903" t="str">
        <f>"1552380044538718"</f>
        <v>1552380044538718</v>
      </c>
      <c r="C2903" t="s">
        <v>40</v>
      </c>
      <c r="D2903">
        <v>5.5962750000000003</v>
      </c>
      <c r="E2903">
        <v>0.50916470000000003</v>
      </c>
      <c r="F2903" t="s">
        <v>46</v>
      </c>
      <c r="G2903">
        <v>-489.5915</v>
      </c>
      <c r="H2903" s="1">
        <v>1.9400790000000001E-7</v>
      </c>
      <c r="I2903">
        <v>270.25700000000001</v>
      </c>
      <c r="J2903">
        <v>-484.94850000000002</v>
      </c>
      <c r="K2903">
        <v>1.1208940000000001</v>
      </c>
      <c r="L2903">
        <v>277.98489999999998</v>
      </c>
      <c r="M2903">
        <v>-0.75289680000000003</v>
      </c>
      <c r="N2903">
        <v>0</v>
      </c>
      <c r="O2903">
        <v>-0.6579602</v>
      </c>
      <c r="P2903">
        <v>-0.49296109999999999</v>
      </c>
      <c r="Q2903">
        <v>0.1178231</v>
      </c>
      <c r="R2903">
        <v>-0.86203660000000004</v>
      </c>
      <c r="S2903">
        <v>-1.591736</v>
      </c>
      <c r="T2903">
        <v>-0.37498949999999998</v>
      </c>
      <c r="U2903">
        <v>-2.6212770000000001</v>
      </c>
      <c r="V2903">
        <v>-0.328049599999999</v>
      </c>
      <c r="W2903">
        <v>0.12368</v>
      </c>
      <c r="X2903">
        <v>0.9365291</v>
      </c>
      <c r="Y2903">
        <v>-0.3035872</v>
      </c>
      <c r="Z2903">
        <v>6.5788379999999994E-2</v>
      </c>
      <c r="AA2903">
        <v>0.95052969999999903</v>
      </c>
      <c r="AB2903">
        <v>30</v>
      </c>
      <c r="AC2903">
        <v>-4.6429999999999696</v>
      </c>
      <c r="AD2903">
        <v>-1.1208938059921001</v>
      </c>
      <c r="AE2903">
        <v>-7.7278999999999698</v>
      </c>
      <c r="AF2903">
        <v>-2.7216547778767199</v>
      </c>
      <c r="AG2903">
        <v>-1.1208938059921001</v>
      </c>
      <c r="AH2903">
        <v>8.4507256249822706</v>
      </c>
      <c r="AI2903">
        <v>97.195669158075702</v>
      </c>
      <c r="AJ2903">
        <v>107.851759797922</v>
      </c>
      <c r="AK2903">
        <v>8.9486630980824593</v>
      </c>
      <c r="AL2903">
        <v>82.895466294977496</v>
      </c>
      <c r="AM2903">
        <v>109.30445618183801</v>
      </c>
      <c r="AN2903">
        <v>1.0000000188034801</v>
      </c>
    </row>
    <row r="2904" spans="1:40" x14ac:dyDescent="0.25">
      <c r="A2904" t="str">
        <f>"20190312164044554"</f>
        <v>20190312164044554</v>
      </c>
      <c r="B2904" t="str">
        <f>"1552380044548478"</f>
        <v>1552380044548478</v>
      </c>
      <c r="C2904" t="s">
        <v>40</v>
      </c>
      <c r="D2904">
        <v>5.5881129999999999</v>
      </c>
      <c r="E2904">
        <v>0.50931629999999894</v>
      </c>
      <c r="F2904" t="s">
        <v>46</v>
      </c>
      <c r="G2904">
        <v>-489.60570000000001</v>
      </c>
      <c r="H2904" s="1">
        <v>1.8671270000000001E-7</v>
      </c>
      <c r="I2904">
        <v>270.23289999999997</v>
      </c>
      <c r="J2904">
        <v>-485.05439999999999</v>
      </c>
      <c r="K2904">
        <v>1.1208959999999999</v>
      </c>
      <c r="L2904">
        <v>277.88459999999998</v>
      </c>
      <c r="M2904">
        <v>-0.74856699999999998</v>
      </c>
      <c r="N2904">
        <v>0</v>
      </c>
      <c r="O2904">
        <v>-0.66288249999999904</v>
      </c>
      <c r="P2904">
        <v>-0.4876067</v>
      </c>
      <c r="Q2904">
        <v>0.1171711</v>
      </c>
      <c r="R2904">
        <v>-0.86516550000000003</v>
      </c>
      <c r="S2904">
        <v>-1.579315</v>
      </c>
      <c r="T2904">
        <v>-0.38011729999999999</v>
      </c>
      <c r="U2904">
        <v>-2.628876</v>
      </c>
      <c r="V2904">
        <v>-0.32776630000000001</v>
      </c>
      <c r="W2904">
        <v>0.1230209</v>
      </c>
      <c r="X2904">
        <v>0.93671510000000002</v>
      </c>
      <c r="Y2904">
        <v>-0.30192229999999998</v>
      </c>
      <c r="Z2904">
        <v>6.7446679999999995E-2</v>
      </c>
      <c r="AA2904">
        <v>0.9509436</v>
      </c>
      <c r="AB2904">
        <v>30</v>
      </c>
      <c r="AC2904">
        <v>-4.5513000000000199</v>
      </c>
      <c r="AD2904">
        <v>-1.1208958132872999</v>
      </c>
      <c r="AE2904">
        <v>-7.6516999999999999</v>
      </c>
      <c r="AF2904">
        <v>-2.6688462486299702</v>
      </c>
      <c r="AG2904">
        <v>-1.1208958132872999</v>
      </c>
      <c r="AH2904">
        <v>8.3478019721822498</v>
      </c>
      <c r="AI2904">
        <v>97.288392220911405</v>
      </c>
      <c r="AJ2904">
        <v>107.72941416778799</v>
      </c>
      <c r="AK2904">
        <v>8.8354369156166292</v>
      </c>
      <c r="AL2904">
        <v>82.933520664384702</v>
      </c>
      <c r="AM2904">
        <v>109.285469622642</v>
      </c>
      <c r="AN2904">
        <v>1.0000000339102499</v>
      </c>
    </row>
    <row r="2905" spans="1:40" x14ac:dyDescent="0.25">
      <c r="A2905" t="str">
        <f>"20190312164044567"</f>
        <v>20190312164044567</v>
      </c>
      <c r="B2905" t="str">
        <f>"1552380044558745"</f>
        <v>1552380044558745</v>
      </c>
      <c r="C2905" t="s">
        <v>40</v>
      </c>
      <c r="D2905">
        <v>5.6197359999999996</v>
      </c>
      <c r="E2905">
        <v>0.50966509999999998</v>
      </c>
      <c r="F2905" t="s">
        <v>46</v>
      </c>
      <c r="G2905">
        <v>-489.65960000000001</v>
      </c>
      <c r="H2905" s="1">
        <v>1.4948569999999999E-7</v>
      </c>
      <c r="I2905">
        <v>270.11399999999998</v>
      </c>
      <c r="J2905">
        <v>-485.17189999999999</v>
      </c>
      <c r="K2905">
        <v>1.1208979999999999</v>
      </c>
      <c r="L2905">
        <v>277.77120000000002</v>
      </c>
      <c r="M2905">
        <v>-0.7436798</v>
      </c>
      <c r="N2905">
        <v>0</v>
      </c>
      <c r="O2905">
        <v>-0.66836119999999899</v>
      </c>
      <c r="P2905">
        <v>-0.48155320000000001</v>
      </c>
      <c r="Q2905">
        <v>0.116895899999999</v>
      </c>
      <c r="R2905">
        <v>-0.86858619999999898</v>
      </c>
      <c r="S2905">
        <v>-1.563385</v>
      </c>
      <c r="T2905">
        <v>-0.38052190000000002</v>
      </c>
      <c r="U2905">
        <v>-2.6379389999999998</v>
      </c>
      <c r="V2905">
        <v>-0.32744990000000002</v>
      </c>
      <c r="W2905">
        <v>0.12273969999999999</v>
      </c>
      <c r="X2905">
        <v>0.93686259999999999</v>
      </c>
      <c r="Y2905">
        <v>-0.3006373</v>
      </c>
      <c r="Z2905">
        <v>6.8356479999999997E-2</v>
      </c>
      <c r="AA2905">
        <v>0.95128579999999996</v>
      </c>
      <c r="AB2905">
        <v>30</v>
      </c>
      <c r="AC2905">
        <v>-4.48770000000001</v>
      </c>
      <c r="AD2905">
        <v>-1.1208978505142999</v>
      </c>
      <c r="AE2905">
        <v>-7.65719999999998</v>
      </c>
      <c r="AF2905">
        <v>-2.6530985462545802</v>
      </c>
      <c r="AG2905">
        <v>-1.1208978505142999</v>
      </c>
      <c r="AH2905">
        <v>8.3234171381434798</v>
      </c>
      <c r="AI2905">
        <v>97.311528755121898</v>
      </c>
      <c r="AJ2905">
        <v>107.679739300389</v>
      </c>
      <c r="AK2905">
        <v>8.8076453574702001</v>
      </c>
      <c r="AL2905">
        <v>82.9497550387308</v>
      </c>
      <c r="AM2905">
        <v>109.265415690403</v>
      </c>
      <c r="AN2905">
        <v>1.0000000011224299</v>
      </c>
    </row>
    <row r="2906" spans="1:40" x14ac:dyDescent="0.25">
      <c r="A2906" t="str">
        <f>"20190312164044582"</f>
        <v>20190312164044582</v>
      </c>
      <c r="B2906" t="str">
        <f>"1552380044569480"</f>
        <v>1552380044569480</v>
      </c>
      <c r="C2906" t="s">
        <v>40</v>
      </c>
      <c r="D2906">
        <v>5.5737350000000001</v>
      </c>
      <c r="E2906">
        <v>0.51005639999999997</v>
      </c>
      <c r="F2906" t="s">
        <v>46</v>
      </c>
      <c r="G2906">
        <v>-489.79239999999999</v>
      </c>
      <c r="H2906" s="1">
        <v>7.2461369999999995E-8</v>
      </c>
      <c r="I2906">
        <v>269.86279999999999</v>
      </c>
      <c r="J2906">
        <v>-485.30939999999998</v>
      </c>
      <c r="K2906">
        <v>1.1209</v>
      </c>
      <c r="L2906">
        <v>277.637</v>
      </c>
      <c r="M2906">
        <v>-0.73787150000000001</v>
      </c>
      <c r="N2906">
        <v>0</v>
      </c>
      <c r="O2906">
        <v>-0.67476829999999999</v>
      </c>
      <c r="P2906">
        <v>-0.47427079999999999</v>
      </c>
      <c r="Q2906">
        <v>0.1168999</v>
      </c>
      <c r="R2906">
        <v>-0.87258369999999996</v>
      </c>
      <c r="S2906">
        <v>-1.5465089999999999</v>
      </c>
      <c r="T2906">
        <v>-0.37516890000000003</v>
      </c>
      <c r="U2906">
        <v>-2.646973</v>
      </c>
      <c r="V2906">
        <v>-0.32718429999999998</v>
      </c>
      <c r="W2906">
        <v>0.1227345</v>
      </c>
      <c r="X2906">
        <v>0.93695609999999996</v>
      </c>
      <c r="Y2906">
        <v>-0.29831469999999999</v>
      </c>
      <c r="Z2906">
        <v>6.8420480000000006E-2</v>
      </c>
      <c r="AA2906">
        <v>0.95201210000000003</v>
      </c>
      <c r="AB2906">
        <v>30</v>
      </c>
      <c r="AC2906">
        <v>-4.4829999999999997</v>
      </c>
      <c r="AD2906">
        <v>-1.12089992753863</v>
      </c>
      <c r="AE2906">
        <v>-7.7742000000000004</v>
      </c>
      <c r="AF2906">
        <v>-2.67003612640374</v>
      </c>
      <c r="AG2906">
        <v>-1.12089992753863</v>
      </c>
      <c r="AH2906">
        <v>8.4232506749295997</v>
      </c>
      <c r="AI2906">
        <v>97.229454242430805</v>
      </c>
      <c r="AJ2906">
        <v>107.58778474555299</v>
      </c>
      <c r="AK2906">
        <v>8.9071129720330298</v>
      </c>
      <c r="AL2906">
        <v>82.950055440523201</v>
      </c>
      <c r="AM2906">
        <v>109.249159654011</v>
      </c>
      <c r="AN2906">
        <v>1.0000000284919699</v>
      </c>
    </row>
    <row r="2907" spans="1:40" x14ac:dyDescent="0.25">
      <c r="A2907" t="str">
        <f>"20190312164044596"</f>
        <v>20190312164044596</v>
      </c>
      <c r="B2907" t="str">
        <f>"1552380044589000"</f>
        <v>1552380044589000</v>
      </c>
      <c r="C2907" t="s">
        <v>40</v>
      </c>
      <c r="D2907">
        <v>5.5780120000000002</v>
      </c>
      <c r="E2907">
        <v>0.51054160000000004</v>
      </c>
      <c r="F2907" t="s">
        <v>46</v>
      </c>
      <c r="G2907">
        <v>-489.87689999999998</v>
      </c>
      <c r="H2907" s="1">
        <v>1.6464779999999899E-8</v>
      </c>
      <c r="I2907">
        <v>269.6832</v>
      </c>
      <c r="J2907">
        <v>-485.46260000000001</v>
      </c>
      <c r="K2907">
        <v>1.1209020000000001</v>
      </c>
      <c r="L2907">
        <v>277.4846</v>
      </c>
      <c r="M2907">
        <v>-0.73127069999999905</v>
      </c>
      <c r="N2907">
        <v>0</v>
      </c>
      <c r="O2907">
        <v>-0.68191659999999998</v>
      </c>
      <c r="P2907">
        <v>-0.46664240000000001</v>
      </c>
      <c r="Q2907">
        <v>0.1170411</v>
      </c>
      <c r="R2907">
        <v>-0.876668</v>
      </c>
      <c r="S2907">
        <v>-1.5266420000000001</v>
      </c>
      <c r="T2907">
        <v>-0.37465080000000001</v>
      </c>
      <c r="U2907">
        <v>-2.6584780000000001</v>
      </c>
      <c r="V2907">
        <v>-0.32622659999999998</v>
      </c>
      <c r="W2907">
        <v>0.1228902</v>
      </c>
      <c r="X2907">
        <v>0.93726960000000004</v>
      </c>
      <c r="Y2907">
        <v>-0.29618889999999998</v>
      </c>
      <c r="Z2907">
        <v>6.9416969999999995E-2</v>
      </c>
      <c r="AA2907">
        <v>0.95260350000000005</v>
      </c>
      <c r="AB2907">
        <v>30</v>
      </c>
      <c r="AC2907">
        <v>-4.4142999999999599</v>
      </c>
      <c r="AD2907">
        <v>-1.1209019835352201</v>
      </c>
      <c r="AE2907">
        <v>-7.8014000000000001</v>
      </c>
      <c r="AF2907">
        <v>-2.6535700881962998</v>
      </c>
      <c r="AG2907">
        <v>-1.1209019835352201</v>
      </c>
      <c r="AH2907">
        <v>8.4173241223212401</v>
      </c>
      <c r="AI2907">
        <v>97.238069594723001</v>
      </c>
      <c r="AJ2907">
        <v>107.497510948871</v>
      </c>
      <c r="AK2907">
        <v>8.8965836617138798</v>
      </c>
      <c r="AL2907">
        <v>82.941066589014099</v>
      </c>
      <c r="AM2907">
        <v>109.190992550088</v>
      </c>
      <c r="AN2907">
        <v>1.0000000494438701</v>
      </c>
    </row>
    <row r="2908" spans="1:40" x14ac:dyDescent="0.25">
      <c r="A2908" t="str">
        <f>"20190312164044610"</f>
        <v>20190312164044610</v>
      </c>
      <c r="B2908" t="str">
        <f>"1552380044598760"</f>
        <v>1552380044598760</v>
      </c>
      <c r="C2908" t="s">
        <v>40</v>
      </c>
      <c r="D2908">
        <v>5.6137699999999997</v>
      </c>
      <c r="E2908">
        <v>0.51108240000000005</v>
      </c>
      <c r="F2908" t="s">
        <v>41</v>
      </c>
      <c r="G2908">
        <v>-490.10050000000001</v>
      </c>
      <c r="H2908" s="1">
        <v>-4.1765489999999996E-6</v>
      </c>
      <c r="I2908">
        <v>269.26249999999999</v>
      </c>
      <c r="J2908">
        <v>-485.57960000000003</v>
      </c>
      <c r="K2908">
        <v>1.1208979999999999</v>
      </c>
      <c r="L2908">
        <v>277.3655</v>
      </c>
      <c r="M2908">
        <v>-0.72612399999999999</v>
      </c>
      <c r="N2908">
        <v>0</v>
      </c>
      <c r="O2908">
        <v>-0.68739469999999903</v>
      </c>
      <c r="P2908">
        <v>-0.46049649999999998</v>
      </c>
      <c r="Q2908">
        <v>0.1171188</v>
      </c>
      <c r="R2908">
        <v>-0.879901499999999</v>
      </c>
      <c r="S2908">
        <v>-1.5056149999999999</v>
      </c>
      <c r="T2908">
        <v>-0.36389050000000001</v>
      </c>
      <c r="U2908">
        <v>-2.6692200000000001</v>
      </c>
      <c r="V2908">
        <v>-0.32573190000000002</v>
      </c>
      <c r="W2908">
        <v>0.1229735</v>
      </c>
      <c r="X2908">
        <v>0.9374306</v>
      </c>
      <c r="Y2908">
        <v>-0.29627320000000001</v>
      </c>
      <c r="Z2908">
        <v>6.8201070000000003E-2</v>
      </c>
      <c r="AA2908">
        <v>0.95266510000000004</v>
      </c>
      <c r="AB2908">
        <v>30</v>
      </c>
      <c r="AC2908">
        <v>-4.5208999999999797</v>
      </c>
      <c r="AD2908">
        <v>-1.1209021765489999</v>
      </c>
      <c r="AE2908">
        <v>-8.1029999999999998</v>
      </c>
      <c r="AF2908">
        <v>-2.7365284523133302</v>
      </c>
      <c r="AG2908">
        <v>-1.1209021765489999</v>
      </c>
      <c r="AH2908">
        <v>8.7263777444370394</v>
      </c>
      <c r="AI2908">
        <v>96.987586800790496</v>
      </c>
      <c r="AJ2908">
        <v>107.411044514303</v>
      </c>
      <c r="AK2908">
        <v>9.2138308101635307</v>
      </c>
      <c r="AL2908">
        <v>82.936256604243596</v>
      </c>
      <c r="AM2908">
        <v>109.160963244008</v>
      </c>
      <c r="AN2908">
        <v>0.99999994109810797</v>
      </c>
    </row>
    <row r="2909" spans="1:40" x14ac:dyDescent="0.25">
      <c r="A2909" t="str">
        <f>"20190312164044622"</f>
        <v>20190312164044622</v>
      </c>
      <c r="B2909" t="str">
        <f>"1552380044619256"</f>
        <v>1552380044619256</v>
      </c>
      <c r="C2909" t="s">
        <v>40</v>
      </c>
      <c r="D2909">
        <v>5.7706780000000002</v>
      </c>
      <c r="E2909">
        <v>0.51102499999999995</v>
      </c>
      <c r="F2909" t="s">
        <v>41</v>
      </c>
      <c r="G2909">
        <v>-490.17309999999998</v>
      </c>
      <c r="H2909" s="1">
        <v>-4.1309770000000003E-6</v>
      </c>
      <c r="I2909">
        <v>269.11110000000002</v>
      </c>
      <c r="J2909">
        <v>-485.68830000000003</v>
      </c>
      <c r="K2909">
        <v>1.1208940000000001</v>
      </c>
      <c r="L2909">
        <v>277.25380000000001</v>
      </c>
      <c r="M2909">
        <v>-0.72127739999999996</v>
      </c>
      <c r="N2909">
        <v>0</v>
      </c>
      <c r="O2909">
        <v>-0.692478699999999</v>
      </c>
      <c r="P2909">
        <v>-0.45474100000000001</v>
      </c>
      <c r="Q2909">
        <v>0.1168626</v>
      </c>
      <c r="R2909">
        <v>-0.88292359999999903</v>
      </c>
      <c r="S2909">
        <v>-1.4902949999999999</v>
      </c>
      <c r="T2909">
        <v>-0.36365809999999998</v>
      </c>
      <c r="U2909">
        <v>-2.6779790000000001</v>
      </c>
      <c r="V2909">
        <v>-0.32528390000000001</v>
      </c>
      <c r="W2909">
        <v>0.1227241</v>
      </c>
      <c r="X2909">
        <v>0.93761890000000003</v>
      </c>
      <c r="Y2909">
        <v>-0.29507050000000001</v>
      </c>
      <c r="Z2909">
        <v>6.8894430000000006E-2</v>
      </c>
      <c r="AA2909">
        <v>0.95298839999999996</v>
      </c>
      <c r="AB2909">
        <v>30</v>
      </c>
      <c r="AC2909">
        <v>-4.4847999999999502</v>
      </c>
      <c r="AD2909">
        <v>-1.1208981309770001</v>
      </c>
      <c r="AE2909">
        <v>-8.1426999999999907</v>
      </c>
      <c r="AF2909">
        <v>-2.72817353685797</v>
      </c>
      <c r="AG2909">
        <v>-1.1208981309770001</v>
      </c>
      <c r="AH2909">
        <v>8.7472850452168007</v>
      </c>
      <c r="AI2909">
        <v>96.974377828725295</v>
      </c>
      <c r="AJ2909">
        <v>107.32207550191301</v>
      </c>
      <c r="AK2909">
        <v>9.2311613099064296</v>
      </c>
      <c r="AL2909">
        <v>82.950655731556196</v>
      </c>
      <c r="AM2909">
        <v>109.132963980269</v>
      </c>
      <c r="AN2909">
        <v>1.00000001097861</v>
      </c>
    </row>
    <row r="2910" spans="1:40" x14ac:dyDescent="0.25">
      <c r="A2910" t="str">
        <f>"20190312164044632"</f>
        <v>20190312164044632</v>
      </c>
      <c r="B2910" t="str">
        <f>"1552380044629016"</f>
        <v>1552380044629016</v>
      </c>
      <c r="C2910" t="s">
        <v>40</v>
      </c>
      <c r="D2910">
        <v>5.6099519999999998</v>
      </c>
      <c r="E2910">
        <v>0.48999229999999999</v>
      </c>
      <c r="F2910" t="s">
        <v>41</v>
      </c>
      <c r="G2910">
        <v>-490.21570000000003</v>
      </c>
      <c r="H2910" s="1">
        <v>-4.0873889999999999E-6</v>
      </c>
      <c r="I2910">
        <v>268.98320000000001</v>
      </c>
      <c r="J2910">
        <v>-485.78910000000002</v>
      </c>
      <c r="K2910">
        <v>1.1208880000000001</v>
      </c>
      <c r="L2910">
        <v>277.14870000000002</v>
      </c>
      <c r="M2910">
        <v>-0.716721099999999</v>
      </c>
      <c r="N2910">
        <v>0</v>
      </c>
      <c r="O2910">
        <v>-0.69719370000000003</v>
      </c>
      <c r="P2910">
        <v>-0.44930870000000001</v>
      </c>
      <c r="Q2910">
        <v>0.116554</v>
      </c>
      <c r="R2910">
        <v>-0.88574120000000001</v>
      </c>
      <c r="S2910">
        <v>-1.4714969999999901</v>
      </c>
      <c r="T2910">
        <v>-0.36431669999999999</v>
      </c>
      <c r="U2910">
        <v>-2.6881409999999999</v>
      </c>
      <c r="V2910">
        <v>-0.32491510000000001</v>
      </c>
      <c r="W2910">
        <v>0.1224213</v>
      </c>
      <c r="X2910">
        <v>0.93778629999999996</v>
      </c>
      <c r="Y2910">
        <v>-0.29547210000000002</v>
      </c>
      <c r="Z2910">
        <v>6.9641010000000003E-2</v>
      </c>
      <c r="AA2910">
        <v>0.95280980000000004</v>
      </c>
      <c r="AB2910">
        <v>30</v>
      </c>
      <c r="AC2910">
        <v>-4.4265999999999996</v>
      </c>
      <c r="AD2910">
        <v>-1.12089208738899</v>
      </c>
      <c r="AE2910">
        <v>-8.1654999999999998</v>
      </c>
      <c r="AF2910">
        <v>-2.7267973609211298</v>
      </c>
      <c r="AG2910">
        <v>-1.12089208738899</v>
      </c>
      <c r="AH2910">
        <v>8.7393250212732596</v>
      </c>
      <c r="AI2910">
        <v>96.980381605015197</v>
      </c>
      <c r="AJ2910">
        <v>107.3286862376</v>
      </c>
      <c r="AK2910">
        <v>9.2232111949445592</v>
      </c>
      <c r="AL2910">
        <v>82.968136423348597</v>
      </c>
      <c r="AM2910">
        <v>109.10968175692</v>
      </c>
      <c r="AN2910">
        <v>0.99999997068469404</v>
      </c>
    </row>
    <row r="2911" spans="1:40" x14ac:dyDescent="0.25">
      <c r="A2911" t="str">
        <f>"20190312164044643"</f>
        <v>20190312164044643</v>
      </c>
      <c r="B2911" t="str">
        <f>"1552380044638776"</f>
        <v>1552380044638776</v>
      </c>
      <c r="C2911" t="s">
        <v>40</v>
      </c>
      <c r="D2911">
        <v>5.6805019999999997</v>
      </c>
      <c r="E2911">
        <v>0.4855757</v>
      </c>
      <c r="F2911" t="s">
        <v>41</v>
      </c>
      <c r="G2911">
        <v>-491.6123</v>
      </c>
      <c r="H2911" s="1">
        <v>-2.6633789999999998E-6</v>
      </c>
      <c r="I2911">
        <v>264.79750000000001</v>
      </c>
      <c r="J2911">
        <v>-485.8854</v>
      </c>
      <c r="K2911">
        <v>1.120881</v>
      </c>
      <c r="L2911">
        <v>277.04680000000002</v>
      </c>
      <c r="M2911">
        <v>-0.71229929999999997</v>
      </c>
      <c r="N2911">
        <v>0</v>
      </c>
      <c r="O2911">
        <v>-0.70171079999999997</v>
      </c>
      <c r="P2911">
        <v>-0.44420199999999999</v>
      </c>
      <c r="Q2911">
        <v>0.1162974</v>
      </c>
      <c r="R2911">
        <v>-0.88834659999999999</v>
      </c>
      <c r="S2911">
        <v>-1.3012079999999999</v>
      </c>
      <c r="T2911">
        <v>-0.25046469999999998</v>
      </c>
      <c r="U2911">
        <v>-2.7598880000000001</v>
      </c>
      <c r="V2911">
        <v>-0.32440039999999998</v>
      </c>
      <c r="W2911">
        <v>0.1221766</v>
      </c>
      <c r="X2911">
        <v>0.93799639999999995</v>
      </c>
      <c r="Y2911">
        <v>-0.34564919999999999</v>
      </c>
      <c r="Z2911">
        <v>4.7057870000000002E-2</v>
      </c>
      <c r="AA2911">
        <v>0.93718310000000005</v>
      </c>
      <c r="AB2911">
        <v>30</v>
      </c>
      <c r="AC2911">
        <v>-5.7268999999999997</v>
      </c>
      <c r="AD2911">
        <v>-1.120883663379</v>
      </c>
      <c r="AE2911">
        <v>-12.2493</v>
      </c>
      <c r="AF2911">
        <v>-4.6749620921053801</v>
      </c>
      <c r="AG2911">
        <v>-1.120883663379</v>
      </c>
      <c r="AH2911">
        <v>12.589692889943599</v>
      </c>
      <c r="AI2911">
        <v>94.771038178992299</v>
      </c>
      <c r="AJ2911">
        <v>110.371597733244</v>
      </c>
      <c r="AK2911">
        <v>13.476350314997999</v>
      </c>
      <c r="AL2911">
        <v>82.982262905731005</v>
      </c>
      <c r="AM2911">
        <v>109.077635715753</v>
      </c>
      <c r="AN2911">
        <v>0.99999999376033999</v>
      </c>
    </row>
    <row r="2912" spans="1:40" x14ac:dyDescent="0.25">
      <c r="A2912" t="str">
        <f>"20190312164044655"</f>
        <v>20190312164044655</v>
      </c>
      <c r="B2912" t="str">
        <f>"1552380044648536"</f>
        <v>1552380044648536</v>
      </c>
      <c r="C2912" t="s">
        <v>40</v>
      </c>
      <c r="D2912">
        <v>5.6087629999999997</v>
      </c>
      <c r="E2912">
        <v>0.48258669999999998</v>
      </c>
      <c r="F2912" t="s">
        <v>41</v>
      </c>
      <c r="G2912">
        <v>-491.59410000000003</v>
      </c>
      <c r="H2912" s="1">
        <v>-2.4745950000000001E-6</v>
      </c>
      <c r="I2912">
        <v>264.36880000000002</v>
      </c>
      <c r="J2912">
        <v>-485.99189999999999</v>
      </c>
      <c r="K2912">
        <v>1.120873</v>
      </c>
      <c r="L2912">
        <v>276.93310000000002</v>
      </c>
      <c r="M2912">
        <v>-0.7073547</v>
      </c>
      <c r="N2912">
        <v>0</v>
      </c>
      <c r="O2912">
        <v>-0.70669499999999996</v>
      </c>
      <c r="P2912">
        <v>-0.43815749999999998</v>
      </c>
      <c r="Q2912">
        <v>0.11622109999999999</v>
      </c>
      <c r="R2912">
        <v>-0.89135339999999996</v>
      </c>
      <c r="S2912">
        <v>-1.252991</v>
      </c>
      <c r="T2912">
        <v>-0.2460232</v>
      </c>
      <c r="U2912">
        <v>-2.782715</v>
      </c>
      <c r="V2912">
        <v>-0.3241887</v>
      </c>
      <c r="W2912">
        <v>0.1221028</v>
      </c>
      <c r="X2912">
        <v>0.9380792</v>
      </c>
      <c r="Y2912">
        <v>-0.35539910000000002</v>
      </c>
      <c r="Z2912">
        <v>4.6384599999999998E-2</v>
      </c>
      <c r="AA2912">
        <v>0.93356309999999998</v>
      </c>
      <c r="AB2912">
        <v>30</v>
      </c>
      <c r="AC2912">
        <v>-5.60220000000003</v>
      </c>
      <c r="AD2912">
        <v>-1.120875474595</v>
      </c>
      <c r="AE2912">
        <v>-12.564299999999999</v>
      </c>
      <c r="AF2912">
        <v>-4.8964342166411399</v>
      </c>
      <c r="AG2912">
        <v>-1.120875474595</v>
      </c>
      <c r="AH2912">
        <v>12.758655495259999</v>
      </c>
      <c r="AI2912">
        <v>94.688878076587301</v>
      </c>
      <c r="AJ2912">
        <v>110.995480115302</v>
      </c>
      <c r="AK2912">
        <v>13.711845970334201</v>
      </c>
      <c r="AL2912">
        <v>82.986523249060198</v>
      </c>
      <c r="AM2912">
        <v>109.064523681061</v>
      </c>
      <c r="AN2912">
        <v>0.99999999622408497</v>
      </c>
    </row>
    <row r="2913" spans="1:40" x14ac:dyDescent="0.25">
      <c r="A2913" t="str">
        <f>"20190312164044666"</f>
        <v>20190312164044666</v>
      </c>
      <c r="B2913" t="str">
        <f>"1552380044658804"</f>
        <v>1552380044658804</v>
      </c>
      <c r="C2913" t="s">
        <v>40</v>
      </c>
      <c r="D2913">
        <v>5.6097530000000004</v>
      </c>
      <c r="E2913">
        <v>0.4806511</v>
      </c>
      <c r="F2913" t="s">
        <v>41</v>
      </c>
      <c r="G2913">
        <v>-491.3938</v>
      </c>
      <c r="H2913" s="1">
        <v>-2.457416E-6</v>
      </c>
      <c r="I2913">
        <v>264.45299999999997</v>
      </c>
      <c r="J2913">
        <v>-486.08550000000002</v>
      </c>
      <c r="K2913">
        <v>1.1208629999999999</v>
      </c>
      <c r="L2913">
        <v>276.83109999999999</v>
      </c>
      <c r="M2913">
        <v>-0.70292940000000004</v>
      </c>
      <c r="N2913">
        <v>0</v>
      </c>
      <c r="O2913">
        <v>-0.71109719999999998</v>
      </c>
      <c r="P2913">
        <v>-0.4328921</v>
      </c>
      <c r="Q2913">
        <v>0.11617810000000001</v>
      </c>
      <c r="R2913">
        <v>-0.89392839999999996</v>
      </c>
      <c r="S2913">
        <v>-1.212952</v>
      </c>
      <c r="T2913">
        <v>-0.2516835</v>
      </c>
      <c r="U2913">
        <v>-2.8023069999999999</v>
      </c>
      <c r="V2913">
        <v>-0.32386670000000001</v>
      </c>
      <c r="W2913">
        <v>0.1220668</v>
      </c>
      <c r="X2913">
        <v>0.93819509999999995</v>
      </c>
      <c r="Y2913">
        <v>-0.3631915</v>
      </c>
      <c r="Z2913">
        <v>4.7597760000000003E-2</v>
      </c>
      <c r="AA2913">
        <v>0.93049789999999999</v>
      </c>
      <c r="AB2913">
        <v>30</v>
      </c>
      <c r="AC2913">
        <v>-5.3082999999999698</v>
      </c>
      <c r="AD2913">
        <v>-1.120865457416</v>
      </c>
      <c r="AE2913">
        <v>-12.3781</v>
      </c>
      <c r="AF2913">
        <v>-4.8928942468038503</v>
      </c>
      <c r="AG2913">
        <v>-1.120865457416</v>
      </c>
      <c r="AH2913">
        <v>12.448621641020299</v>
      </c>
      <c r="AI2913">
        <v>94.790126933636202</v>
      </c>
      <c r="AJ2913">
        <v>111.45716273805</v>
      </c>
      <c r="AK2913">
        <v>13.422553193983401</v>
      </c>
      <c r="AL2913">
        <v>82.988601429475295</v>
      </c>
      <c r="AM2913">
        <v>109.04476960137001</v>
      </c>
      <c r="AN2913">
        <v>0.99999999434756903</v>
      </c>
    </row>
    <row r="2914" spans="1:40" x14ac:dyDescent="0.25">
      <c r="A2914" t="str">
        <f>"20190312164044676"</f>
        <v>20190312164044676</v>
      </c>
      <c r="B2914" t="str">
        <f>"1552380044668564"</f>
        <v>1552380044668564</v>
      </c>
      <c r="C2914" t="s">
        <v>40</v>
      </c>
      <c r="D2914">
        <v>5.5530229999999996</v>
      </c>
      <c r="E2914">
        <v>0.47952119999999998</v>
      </c>
      <c r="F2914" t="s">
        <v>41</v>
      </c>
      <c r="G2914">
        <v>-491.2808</v>
      </c>
      <c r="H2914" s="1">
        <v>-2.4288369999999999E-6</v>
      </c>
      <c r="I2914">
        <v>264.45639999999997</v>
      </c>
      <c r="J2914">
        <v>-486.17950000000002</v>
      </c>
      <c r="K2914">
        <v>1.1208549999999999</v>
      </c>
      <c r="L2914">
        <v>276.72829999999999</v>
      </c>
      <c r="M2914">
        <v>-0.69845089999999999</v>
      </c>
      <c r="N2914">
        <v>0</v>
      </c>
      <c r="O2914">
        <v>-0.71549659999999904</v>
      </c>
      <c r="P2914">
        <v>-0.42761389999999999</v>
      </c>
      <c r="Q2914">
        <v>0.11599520000000001</v>
      </c>
      <c r="R2914">
        <v>-0.89648839999999996</v>
      </c>
      <c r="S2914">
        <v>-1.1824650000000001</v>
      </c>
      <c r="T2914">
        <v>-0.25511339999999999</v>
      </c>
      <c r="U2914">
        <v>-2.8165279999999999</v>
      </c>
      <c r="V2914">
        <v>-0.32351760000000002</v>
      </c>
      <c r="W2914">
        <v>0.1218926</v>
      </c>
      <c r="X2914">
        <v>0.93833820000000001</v>
      </c>
      <c r="Y2914">
        <v>-0.36759530000000001</v>
      </c>
      <c r="Z2914">
        <v>4.851871E-2</v>
      </c>
      <c r="AA2914">
        <v>0.92871930000000003</v>
      </c>
      <c r="AB2914">
        <v>30</v>
      </c>
      <c r="AC2914">
        <v>-5.1012999999999797</v>
      </c>
      <c r="AD2914">
        <v>-1.1208574288369999</v>
      </c>
      <c r="AE2914">
        <v>-12.2719</v>
      </c>
      <c r="AF2914">
        <v>-4.8871627160633198</v>
      </c>
      <c r="AG2914">
        <v>-1.1208574288369999</v>
      </c>
      <c r="AH2914">
        <v>12.257746360477899</v>
      </c>
      <c r="AI2914">
        <v>94.854971449539093</v>
      </c>
      <c r="AJ2914">
        <v>111.737166872279</v>
      </c>
      <c r="AK2914">
        <v>13.243603234273801</v>
      </c>
      <c r="AL2914">
        <v>82.998657560425599</v>
      </c>
      <c r="AM2914">
        <v>109.02302493161601</v>
      </c>
      <c r="AN2914">
        <v>1.00000001051188</v>
      </c>
    </row>
    <row r="2915" spans="1:40" x14ac:dyDescent="0.25">
      <c r="A2915" t="str">
        <f>"20190312164044687"</f>
        <v>20190312164044687</v>
      </c>
      <c r="B2915" t="str">
        <f>"1552380044679299"</f>
        <v>1552380044679299</v>
      </c>
      <c r="C2915" t="s">
        <v>40</v>
      </c>
      <c r="D2915">
        <v>5.6063070000000002</v>
      </c>
      <c r="E2915">
        <v>0.47878599999999999</v>
      </c>
      <c r="F2915" t="s">
        <v>41</v>
      </c>
      <c r="G2915">
        <v>-491.2296</v>
      </c>
      <c r="H2915" s="1">
        <v>-2.3854029999999999E-6</v>
      </c>
      <c r="I2915">
        <v>264.38690000000003</v>
      </c>
      <c r="J2915">
        <v>-486.27</v>
      </c>
      <c r="K2915">
        <v>1.1208469999999999</v>
      </c>
      <c r="L2915">
        <v>276.62720000000002</v>
      </c>
      <c r="M2915">
        <v>-0.69405899999999998</v>
      </c>
      <c r="N2915">
        <v>0</v>
      </c>
      <c r="O2915">
        <v>-0.7197578</v>
      </c>
      <c r="P2915">
        <v>-0.42249910000000002</v>
      </c>
      <c r="Q2915">
        <v>0.1156234</v>
      </c>
      <c r="R2915">
        <v>-0.89895840000000005</v>
      </c>
      <c r="S2915">
        <v>-1.1571039999999999</v>
      </c>
      <c r="T2915">
        <v>-0.25681660000000001</v>
      </c>
      <c r="U2915">
        <v>-2.827728</v>
      </c>
      <c r="V2915">
        <v>-0.32314179999999998</v>
      </c>
      <c r="W2915">
        <v>0.121532</v>
      </c>
      <c r="X2915">
        <v>0.93851450000000003</v>
      </c>
      <c r="Y2915">
        <v>-0.37033739999999998</v>
      </c>
      <c r="Z2915">
        <v>4.916856E-2</v>
      </c>
      <c r="AA2915">
        <v>0.92759510000000001</v>
      </c>
      <c r="AB2915">
        <v>30</v>
      </c>
      <c r="AC2915">
        <v>-4.9596000000000204</v>
      </c>
      <c r="AD2915">
        <v>-1.1208493854029999</v>
      </c>
      <c r="AE2915">
        <v>-12.2402999999999</v>
      </c>
      <c r="AF2915">
        <v>-4.8911191807094303</v>
      </c>
      <c r="AG2915">
        <v>-1.1208493854029999</v>
      </c>
      <c r="AH2915">
        <v>12.166092653700501</v>
      </c>
      <c r="AI2915">
        <v>94.885746943076299</v>
      </c>
      <c r="AJ2915">
        <v>111.901545849128</v>
      </c>
      <c r="AK2915">
        <v>13.160287255340901</v>
      </c>
      <c r="AL2915">
        <v>83.019473509118797</v>
      </c>
      <c r="AM2915">
        <v>108.999199993842</v>
      </c>
      <c r="AN2915">
        <v>1.00000005832074</v>
      </c>
    </row>
    <row r="2916" spans="1:40" x14ac:dyDescent="0.25">
      <c r="A2916" t="str">
        <f>"20190312164044697"</f>
        <v>20190312164044697</v>
      </c>
      <c r="B2916" t="str">
        <f>"1552380044689060"</f>
        <v>1552380044689060</v>
      </c>
      <c r="C2916" t="s">
        <v>40</v>
      </c>
      <c r="D2916">
        <v>5.748875</v>
      </c>
      <c r="E2916">
        <v>0.47834120000000002</v>
      </c>
      <c r="F2916" t="s">
        <v>41</v>
      </c>
      <c r="G2916">
        <v>-491.19389999999999</v>
      </c>
      <c r="H2916" s="1">
        <v>-2.3502930000000002E-6</v>
      </c>
      <c r="I2916">
        <v>264.3272</v>
      </c>
      <c r="J2916">
        <v>-486.36579999999998</v>
      </c>
      <c r="K2916">
        <v>1.120843</v>
      </c>
      <c r="L2916">
        <v>276.5197</v>
      </c>
      <c r="M2916">
        <v>-0.68936759999999997</v>
      </c>
      <c r="N2916">
        <v>0</v>
      </c>
      <c r="O2916">
        <v>-0.72425260000000002</v>
      </c>
      <c r="P2916">
        <v>-0.41731049999999997</v>
      </c>
      <c r="Q2916">
        <v>0.1151823</v>
      </c>
      <c r="R2916">
        <v>-0.90143499999999999</v>
      </c>
      <c r="S2916">
        <v>-1.1356200000000001</v>
      </c>
      <c r="T2916">
        <v>-0.25850279999999998</v>
      </c>
      <c r="U2916">
        <v>-2.8367610000000001</v>
      </c>
      <c r="V2916">
        <v>-0.32247730000000002</v>
      </c>
      <c r="W2916">
        <v>0.1211117</v>
      </c>
      <c r="X2916">
        <v>0.93879729999999995</v>
      </c>
      <c r="Y2916">
        <v>-0.37138860000000001</v>
      </c>
      <c r="Z2916">
        <v>4.990501E-2</v>
      </c>
      <c r="AA2916">
        <v>0.9271353</v>
      </c>
      <c r="AB2916">
        <v>30</v>
      </c>
      <c r="AC2916">
        <v>-4.8281000000000001</v>
      </c>
      <c r="AD2916">
        <v>-1.120845350293</v>
      </c>
      <c r="AE2916">
        <v>-12.1924999999999</v>
      </c>
      <c r="AF2916">
        <v>-4.8733146556938598</v>
      </c>
      <c r="AG2916">
        <v>-1.120845350293</v>
      </c>
      <c r="AH2916">
        <v>12.0719960657354</v>
      </c>
      <c r="AI2916">
        <v>94.920809223550293</v>
      </c>
      <c r="AJ2916">
        <v>111.983316977501</v>
      </c>
      <c r="AK2916">
        <v>13.066697327320499</v>
      </c>
      <c r="AL2916">
        <v>83.043733805861194</v>
      </c>
      <c r="AM2916">
        <v>108.957619923096</v>
      </c>
      <c r="AN2916">
        <v>1.0000000116897301</v>
      </c>
    </row>
    <row r="2917" spans="1:40" x14ac:dyDescent="0.25">
      <c r="A2917" t="str">
        <f>"20190312164044708"</f>
        <v>20190312164044708</v>
      </c>
      <c r="B2917" t="str">
        <f>"1552380044698820"</f>
        <v>1552380044698820</v>
      </c>
      <c r="C2917" t="s">
        <v>40</v>
      </c>
      <c r="D2917">
        <v>5.7143319999999997</v>
      </c>
      <c r="E2917">
        <v>0.47810399999999997</v>
      </c>
      <c r="F2917" t="s">
        <v>41</v>
      </c>
      <c r="G2917">
        <v>-491.11520000000002</v>
      </c>
      <c r="H2917" s="1">
        <v>-2.3620309999999998E-6</v>
      </c>
      <c r="I2917">
        <v>264.40339999999998</v>
      </c>
      <c r="J2917">
        <v>-486.46050000000002</v>
      </c>
      <c r="K2917">
        <v>1.1208290000000001</v>
      </c>
      <c r="L2917">
        <v>276.411</v>
      </c>
      <c r="M2917">
        <v>-0.68464480000000005</v>
      </c>
      <c r="N2917">
        <v>0</v>
      </c>
      <c r="O2917">
        <v>-0.72871889999999995</v>
      </c>
      <c r="P2917">
        <v>-0.41176210000000002</v>
      </c>
      <c r="Q2917">
        <v>0.1149345</v>
      </c>
      <c r="R2917">
        <v>-0.90401480000000001</v>
      </c>
      <c r="S2917">
        <v>-1.115326</v>
      </c>
      <c r="T2917">
        <v>-0.2632139</v>
      </c>
      <c r="U2917">
        <v>-2.8453369999999998</v>
      </c>
      <c r="V2917">
        <v>-0.32215719999999998</v>
      </c>
      <c r="W2917">
        <v>0.1208745</v>
      </c>
      <c r="X2917">
        <v>0.93893780000000004</v>
      </c>
      <c r="Y2917">
        <v>-0.37206040000000001</v>
      </c>
      <c r="Z2917">
        <v>5.1239979999999997E-2</v>
      </c>
      <c r="AA2917">
        <v>0.92679319999999998</v>
      </c>
      <c r="AB2917">
        <v>30</v>
      </c>
      <c r="AC2917">
        <v>-4.6546999999999903</v>
      </c>
      <c r="AD2917">
        <v>-1.120831362031</v>
      </c>
      <c r="AE2917">
        <v>-12.0076</v>
      </c>
      <c r="AF2917">
        <v>-4.7932216264244598</v>
      </c>
      <c r="AG2917">
        <v>-1.120831362031</v>
      </c>
      <c r="AH2917">
        <v>11.848605505948001</v>
      </c>
      <c r="AI2917">
        <v>95.011579457966405</v>
      </c>
      <c r="AJ2917">
        <v>112.025246624088</v>
      </c>
      <c r="AK2917">
        <v>12.8304594203682</v>
      </c>
      <c r="AL2917">
        <v>83.057425210849502</v>
      </c>
      <c r="AM2917">
        <v>108.937511693652</v>
      </c>
      <c r="AN2917">
        <v>1.0000000492654599</v>
      </c>
    </row>
    <row r="2918" spans="1:40" x14ac:dyDescent="0.25">
      <c r="A2918" t="str">
        <f>"20190312164044720"</f>
        <v>20190312164044720</v>
      </c>
      <c r="B2918" t="str">
        <f>"1552380044709556"</f>
        <v>1552380044709556</v>
      </c>
      <c r="C2918" t="s">
        <v>40</v>
      </c>
      <c r="D2918">
        <v>5.5465710000000001</v>
      </c>
      <c r="E2918">
        <v>0.47796250000000001</v>
      </c>
      <c r="F2918" t="s">
        <v>41</v>
      </c>
      <c r="G2918">
        <v>-491.07170000000002</v>
      </c>
      <c r="H2918" s="1">
        <v>-2.3512820000000002E-6</v>
      </c>
      <c r="I2918">
        <v>264.40530000000001</v>
      </c>
      <c r="J2918">
        <v>-486.55099999999999</v>
      </c>
      <c r="K2918">
        <v>1.120819</v>
      </c>
      <c r="L2918">
        <v>276.30669999999998</v>
      </c>
      <c r="M2918">
        <v>-0.68009149999999996</v>
      </c>
      <c r="N2918">
        <v>0</v>
      </c>
      <c r="O2918">
        <v>-0.73297019999999902</v>
      </c>
      <c r="P2918">
        <v>-0.40675139999999999</v>
      </c>
      <c r="Q2918">
        <v>0.11438520000000001</v>
      </c>
      <c r="R2918">
        <v>-0.90634950000000003</v>
      </c>
      <c r="S2918">
        <v>-1.0958859999999999</v>
      </c>
      <c r="T2918">
        <v>-0.2663741</v>
      </c>
      <c r="U2918">
        <v>-2.8532410000000001</v>
      </c>
      <c r="V2918">
        <v>-0.32153409999999999</v>
      </c>
      <c r="W2918">
        <v>0.1203458</v>
      </c>
      <c r="X2918">
        <v>0.93921920000000003</v>
      </c>
      <c r="Y2918">
        <v>-0.37265910000000002</v>
      </c>
      <c r="Z2918">
        <v>5.2271190000000002E-2</v>
      </c>
      <c r="AA2918">
        <v>0.92649499999999996</v>
      </c>
      <c r="AB2918">
        <v>30</v>
      </c>
      <c r="AC2918">
        <v>-4.5207000000000299</v>
      </c>
      <c r="AD2918">
        <v>-1.120821351282</v>
      </c>
      <c r="AE2918">
        <v>-11.901399999999899</v>
      </c>
      <c r="AF2918">
        <v>-4.7442813195773796</v>
      </c>
      <c r="AG2918">
        <v>-1.120821351282</v>
      </c>
      <c r="AH2918">
        <v>11.708470251079101</v>
      </c>
      <c r="AI2918">
        <v>95.070044198031695</v>
      </c>
      <c r="AJ2918">
        <v>112.057829763915</v>
      </c>
      <c r="AK2918">
        <v>12.682772621204901</v>
      </c>
      <c r="AL2918">
        <v>83.0879398889996</v>
      </c>
      <c r="AM2918">
        <v>108.89822502442</v>
      </c>
      <c r="AN2918">
        <v>0.99999999734454503</v>
      </c>
    </row>
    <row r="2919" spans="1:40" x14ac:dyDescent="0.25">
      <c r="A2919" t="str">
        <f>"20190312164044732"</f>
        <v>20190312164044732</v>
      </c>
      <c r="B2919" t="str">
        <f>"1552380044719315"</f>
        <v>1552380044719315</v>
      </c>
      <c r="C2919" t="s">
        <v>40</v>
      </c>
      <c r="D2919">
        <v>5.603612</v>
      </c>
      <c r="E2919">
        <v>0.47786200000000001</v>
      </c>
      <c r="F2919" t="s">
        <v>41</v>
      </c>
      <c r="G2919">
        <v>-491.03500000000003</v>
      </c>
      <c r="H2919" s="1">
        <v>-2.344579E-6</v>
      </c>
      <c r="I2919">
        <v>264.41250000000002</v>
      </c>
      <c r="J2919">
        <v>-486.65260000000001</v>
      </c>
      <c r="K2919">
        <v>1.1208129999999901</v>
      </c>
      <c r="L2919">
        <v>276.18729999999999</v>
      </c>
      <c r="M2919">
        <v>-0.67489080000000001</v>
      </c>
      <c r="N2919">
        <v>0</v>
      </c>
      <c r="O2919">
        <v>-0.73776169999999996</v>
      </c>
      <c r="P2919">
        <v>-0.4013912</v>
      </c>
      <c r="Q2919">
        <v>0.1138728</v>
      </c>
      <c r="R2919">
        <v>-0.90880050000000001</v>
      </c>
      <c r="S2919">
        <v>-1.078247</v>
      </c>
      <c r="T2919">
        <v>-0.26952090000000001</v>
      </c>
      <c r="U2919">
        <v>-2.8601679999999998</v>
      </c>
      <c r="V2919">
        <v>-0.32046459999999999</v>
      </c>
      <c r="W2919">
        <v>0.11986860000000001</v>
      </c>
      <c r="X2919">
        <v>0.93964559999999997</v>
      </c>
      <c r="Y2919">
        <v>-0.37186229999999998</v>
      </c>
      <c r="Z2919">
        <v>5.3416680000000001E-2</v>
      </c>
      <c r="AA2919">
        <v>0.92674979999999996</v>
      </c>
      <c r="AB2919">
        <v>30</v>
      </c>
      <c r="AC2919">
        <v>-4.3824000000000103</v>
      </c>
      <c r="AD2919">
        <v>-1.1208153445789999</v>
      </c>
      <c r="AE2919">
        <v>-11.7747999999999</v>
      </c>
      <c r="AF2919">
        <v>-4.6768598470134402</v>
      </c>
      <c r="AG2919">
        <v>-1.1208153445789999</v>
      </c>
      <c r="AH2919">
        <v>11.5540274297678</v>
      </c>
      <c r="AI2919">
        <v>95.138172839664904</v>
      </c>
      <c r="AJ2919">
        <v>112.037205643197</v>
      </c>
      <c r="AK2919">
        <v>12.514982817130701</v>
      </c>
      <c r="AL2919">
        <v>83.115480460217498</v>
      </c>
      <c r="AM2919">
        <v>108.831858927935</v>
      </c>
      <c r="AN2919">
        <v>0.99999994735923803</v>
      </c>
    </row>
    <row r="2920" spans="1:40" x14ac:dyDescent="0.25">
      <c r="A2920" t="str">
        <f>"20190312164044742"</f>
        <v>20190312164044742</v>
      </c>
      <c r="B2920" t="str">
        <f>"1552380044729075"</f>
        <v>1552380044729075</v>
      </c>
      <c r="C2920" t="s">
        <v>40</v>
      </c>
      <c r="D2920">
        <v>5.5595910000000002</v>
      </c>
      <c r="E2920">
        <v>0.47778219999999999</v>
      </c>
      <c r="F2920" t="s">
        <v>41</v>
      </c>
      <c r="G2920">
        <v>-491.01299999999998</v>
      </c>
      <c r="H2920" s="1">
        <v>-2.329504E-6</v>
      </c>
      <c r="I2920">
        <v>264.39100000000002</v>
      </c>
      <c r="J2920">
        <v>-486.7448</v>
      </c>
      <c r="K2920">
        <v>1.120803</v>
      </c>
      <c r="L2920">
        <v>276.07769999999999</v>
      </c>
      <c r="M2920">
        <v>-0.67010950000000002</v>
      </c>
      <c r="N2920">
        <v>0</v>
      </c>
      <c r="O2920">
        <v>-0.74210759999999998</v>
      </c>
      <c r="P2920">
        <v>-0.396372</v>
      </c>
      <c r="Q2920">
        <v>0.1135552</v>
      </c>
      <c r="R2920">
        <v>-0.91104070000000004</v>
      </c>
      <c r="S2920">
        <v>-1.059814</v>
      </c>
      <c r="T2920">
        <v>-0.27241739999999998</v>
      </c>
      <c r="U2920">
        <v>-2.8671259999999998</v>
      </c>
      <c r="V2920">
        <v>-0.31959029999999999</v>
      </c>
      <c r="W2920">
        <v>0.1195803</v>
      </c>
      <c r="X2920">
        <v>0.93998009999999999</v>
      </c>
      <c r="Y2920">
        <v>-0.37185649999999998</v>
      </c>
      <c r="Z2920">
        <v>5.4453380000000003E-2</v>
      </c>
      <c r="AA2920">
        <v>0.92669170000000001</v>
      </c>
      <c r="AB2920">
        <v>30</v>
      </c>
      <c r="AC2920">
        <v>-4.2682000000000304</v>
      </c>
      <c r="AD2920">
        <v>-1.1208053295039999</v>
      </c>
      <c r="AE2920">
        <v>-11.6867</v>
      </c>
      <c r="AF2920">
        <v>-4.6268923090332397</v>
      </c>
      <c r="AG2920">
        <v>-1.1208053295039999</v>
      </c>
      <c r="AH2920">
        <v>11.441424823086701</v>
      </c>
      <c r="AI2920">
        <v>95.189108319415894</v>
      </c>
      <c r="AJ2920">
        <v>112.01832242491599</v>
      </c>
      <c r="AK2920">
        <v>12.392358089095801</v>
      </c>
      <c r="AL2920">
        <v>83.132118860069696</v>
      </c>
      <c r="AM2920">
        <v>108.777872914152</v>
      </c>
      <c r="AN2920">
        <v>0.99999999819909502</v>
      </c>
    </row>
    <row r="2921" spans="1:40" x14ac:dyDescent="0.25">
      <c r="A2921" t="str">
        <f>"20190312164044753"</f>
        <v>20190312164044753</v>
      </c>
      <c r="B2921" t="str">
        <f>"1552380044748596"</f>
        <v>1552380044748596</v>
      </c>
      <c r="C2921" t="s">
        <v>40</v>
      </c>
      <c r="D2921">
        <v>5.5970129999999996</v>
      </c>
      <c r="E2921">
        <v>0.47839409999999999</v>
      </c>
      <c r="F2921" t="s">
        <v>41</v>
      </c>
      <c r="G2921">
        <v>-490.99239999999998</v>
      </c>
      <c r="H2921" s="1">
        <v>-2.3163709999999998E-6</v>
      </c>
      <c r="I2921">
        <v>264.37310000000002</v>
      </c>
      <c r="J2921">
        <v>-486.83730000000003</v>
      </c>
      <c r="K2921">
        <v>1.1207910000000001</v>
      </c>
      <c r="L2921">
        <v>275.96620000000001</v>
      </c>
      <c r="M2921">
        <v>-0.66524259999999902</v>
      </c>
      <c r="N2921">
        <v>0</v>
      </c>
      <c r="O2921">
        <v>-0.74647339999999995</v>
      </c>
      <c r="P2921">
        <v>-0.3915343</v>
      </c>
      <c r="Q2921">
        <v>0.1135071</v>
      </c>
      <c r="R2921">
        <v>-0.91313580000000005</v>
      </c>
      <c r="S2921">
        <v>-1.042816</v>
      </c>
      <c r="T2921">
        <v>-0.27516420000000003</v>
      </c>
      <c r="U2921">
        <v>-2.873535</v>
      </c>
      <c r="V2921">
        <v>-0.31842740000000003</v>
      </c>
      <c r="W2921">
        <v>0.11957039999999999</v>
      </c>
      <c r="X2921">
        <v>0.94037599999999999</v>
      </c>
      <c r="Y2921">
        <v>-0.37131320000000001</v>
      </c>
      <c r="Z2921">
        <v>5.5489150000000001E-2</v>
      </c>
      <c r="AA2921">
        <v>0.92684809999999995</v>
      </c>
      <c r="AB2921">
        <v>30</v>
      </c>
      <c r="AC2921">
        <v>-4.1550999999999396</v>
      </c>
      <c r="AD2921">
        <v>-1.120793316371</v>
      </c>
      <c r="AE2921">
        <v>-11.5930999999999</v>
      </c>
      <c r="AF2921">
        <v>-4.5732041037364297</v>
      </c>
      <c r="AG2921">
        <v>-1.120793316371</v>
      </c>
      <c r="AH2921">
        <v>11.325596875115201</v>
      </c>
      <c r="AI2921">
        <v>95.242922693119596</v>
      </c>
      <c r="AJ2921">
        <v>111.988543459133</v>
      </c>
      <c r="AK2921">
        <v>12.2653788367939</v>
      </c>
      <c r="AL2921">
        <v>83.132690582897098</v>
      </c>
      <c r="AM2921">
        <v>108.706979675177</v>
      </c>
      <c r="AN2921">
        <v>1.0000000555014501</v>
      </c>
    </row>
    <row r="2922" spans="1:40" x14ac:dyDescent="0.25">
      <c r="A2922" t="str">
        <f>"20190312164044776"</f>
        <v>20190312164044776</v>
      </c>
      <c r="B2922" t="str">
        <f>"1552380044769091"</f>
        <v>1552380044769091</v>
      </c>
      <c r="C2922" t="s">
        <v>40</v>
      </c>
      <c r="D2922">
        <v>5.5432090000000001</v>
      </c>
      <c r="E2922">
        <v>0.47846319999999998</v>
      </c>
      <c r="F2922" t="s">
        <v>41</v>
      </c>
      <c r="G2922">
        <v>-490.87200000000001</v>
      </c>
      <c r="H2922" s="1">
        <v>-2.4292E-6</v>
      </c>
      <c r="I2922">
        <v>264.71080000000001</v>
      </c>
      <c r="J2922">
        <v>-487.02499999999998</v>
      </c>
      <c r="K2922">
        <v>1.1207670000000001</v>
      </c>
      <c r="L2922">
        <v>275.73570000000001</v>
      </c>
      <c r="M2922">
        <v>-0.65516919999999901</v>
      </c>
      <c r="N2922">
        <v>0</v>
      </c>
      <c r="O2922">
        <v>-0.75533059999999996</v>
      </c>
      <c r="P2922">
        <v>-0.38152700000000001</v>
      </c>
      <c r="Q2922">
        <v>0.1133067</v>
      </c>
      <c r="R2922">
        <v>-0.91738719999999996</v>
      </c>
      <c r="S2922">
        <v>-1.03186</v>
      </c>
      <c r="T2922">
        <v>-0.28664020000000001</v>
      </c>
      <c r="U2922">
        <v>-2.8785400000000001</v>
      </c>
      <c r="V2922">
        <v>-0.3160944</v>
      </c>
      <c r="W2922">
        <v>0.11944920000000001</v>
      </c>
      <c r="X2922">
        <v>0.94117810000000002</v>
      </c>
      <c r="Y2922">
        <v>-0.36255959999999998</v>
      </c>
      <c r="Z2922">
        <v>5.9074010000000003E-2</v>
      </c>
      <c r="AA2922">
        <v>0.93008639999999998</v>
      </c>
      <c r="AB2922">
        <v>30</v>
      </c>
      <c r="AC2922">
        <v>-3.8469999999999702</v>
      </c>
      <c r="AD2922">
        <v>-1.1207694291999999</v>
      </c>
      <c r="AE2922">
        <v>-11.024900000000001</v>
      </c>
      <c r="AF2922">
        <v>-4.2784962667289204</v>
      </c>
      <c r="AG2922">
        <v>-1.1207694291999999</v>
      </c>
      <c r="AH2922">
        <v>10.7500858400466</v>
      </c>
      <c r="AI2922">
        <v>95.532795478209394</v>
      </c>
      <c r="AJ2922">
        <v>111.70238121604</v>
      </c>
      <c r="AK2922">
        <v>11.624370950129499</v>
      </c>
      <c r="AL2922">
        <v>83.139684566650104</v>
      </c>
      <c r="AM2922">
        <v>108.56461114511499</v>
      </c>
      <c r="AN2922">
        <v>0.99999999850580501</v>
      </c>
    </row>
    <row r="2923" spans="1:40" x14ac:dyDescent="0.25">
      <c r="A2923" t="str">
        <f>"20190312164044790"</f>
        <v>20190312164044790</v>
      </c>
      <c r="B2923" t="str">
        <f>"1552380044778852"</f>
        <v>1552380044778852</v>
      </c>
      <c r="C2923" t="s">
        <v>40</v>
      </c>
      <c r="D2923">
        <v>5.6004569999999996</v>
      </c>
      <c r="E2923">
        <v>0.47858640000000002</v>
      </c>
      <c r="F2923" t="s">
        <v>41</v>
      </c>
      <c r="G2923">
        <v>-490.92509999999999</v>
      </c>
      <c r="H2923" s="1">
        <v>-2.3422639999999999E-6</v>
      </c>
      <c r="I2923">
        <v>264.47519999999997</v>
      </c>
      <c r="J2923">
        <v>-487.13279999999997</v>
      </c>
      <c r="K2923">
        <v>1.120752</v>
      </c>
      <c r="L2923">
        <v>275.59969999999998</v>
      </c>
      <c r="M2923">
        <v>-0.64923569999999997</v>
      </c>
      <c r="N2923">
        <v>0</v>
      </c>
      <c r="O2923">
        <v>-0.76043640000000001</v>
      </c>
      <c r="P2923">
        <v>-0.37560250000000001</v>
      </c>
      <c r="Q2923">
        <v>0.1134971</v>
      </c>
      <c r="R2923">
        <v>-0.91980499999999998</v>
      </c>
      <c r="S2923">
        <v>-1.000793</v>
      </c>
      <c r="T2923">
        <v>-0.2875955</v>
      </c>
      <c r="U2923">
        <v>-2.8894959999999998</v>
      </c>
      <c r="V2923">
        <v>-0.31477949999999999</v>
      </c>
      <c r="W2923">
        <v>0.1196854</v>
      </c>
      <c r="X2923">
        <v>0.94158869999999895</v>
      </c>
      <c r="Y2923">
        <v>-0.36529060000000002</v>
      </c>
      <c r="Z2923">
        <v>5.9758760000000001E-2</v>
      </c>
      <c r="AA2923">
        <v>0.92897339999999995</v>
      </c>
      <c r="AB2923">
        <v>30</v>
      </c>
      <c r="AC2923">
        <v>-3.7923000000000102</v>
      </c>
      <c r="AD2923">
        <v>-1.1207543422640001</v>
      </c>
      <c r="AE2923">
        <v>-11.124499999999999</v>
      </c>
      <c r="AF2923">
        <v>-4.3000168462939001</v>
      </c>
      <c r="AG2923">
        <v>-1.1207543422640001</v>
      </c>
      <c r="AH2923">
        <v>10.8243969215084</v>
      </c>
      <c r="AI2923">
        <v>95.496367316662997</v>
      </c>
      <c r="AJ2923">
        <v>111.665565370037</v>
      </c>
      <c r="AK2923">
        <v>11.701017215972101</v>
      </c>
      <c r="AL2923">
        <v>83.126053555537496</v>
      </c>
      <c r="AM2923">
        <v>108.485131847566</v>
      </c>
      <c r="AN2923">
        <v>1.0000000042805399</v>
      </c>
    </row>
    <row r="2924" spans="1:40" x14ac:dyDescent="0.25">
      <c r="A2924" t="str">
        <f>"20190312164044803"</f>
        <v>20190312164044803</v>
      </c>
      <c r="B2924" t="str">
        <f>"1552380044799347"</f>
        <v>1552380044799347</v>
      </c>
      <c r="C2924" t="s">
        <v>40</v>
      </c>
      <c r="D2924">
        <v>5.604921</v>
      </c>
      <c r="E2924">
        <v>0.47880780000000001</v>
      </c>
      <c r="F2924" t="s">
        <v>41</v>
      </c>
      <c r="G2924">
        <v>-490.95420000000001</v>
      </c>
      <c r="H2924" s="1">
        <v>-2.289191E-6</v>
      </c>
      <c r="I2924">
        <v>264.33350000000002</v>
      </c>
      <c r="J2924">
        <v>-487.23880000000003</v>
      </c>
      <c r="K2924">
        <v>1.1207389999999999</v>
      </c>
      <c r="L2924">
        <v>275.46449999999999</v>
      </c>
      <c r="M2924">
        <v>-0.6433219</v>
      </c>
      <c r="N2924">
        <v>0</v>
      </c>
      <c r="O2924">
        <v>-0.76544630000000002</v>
      </c>
      <c r="P2924">
        <v>-0.36995359999999999</v>
      </c>
      <c r="Q2924">
        <v>0.11357</v>
      </c>
      <c r="R2924">
        <v>-0.92208270000000003</v>
      </c>
      <c r="S2924">
        <v>-0.98226930000000001</v>
      </c>
      <c r="T2924">
        <v>-0.2880875</v>
      </c>
      <c r="U2924">
        <v>-2.895966</v>
      </c>
      <c r="V2924">
        <v>-0.31324560000000001</v>
      </c>
      <c r="W2924">
        <v>0.1198109</v>
      </c>
      <c r="X2924">
        <v>0.94208420000000004</v>
      </c>
      <c r="Y2924">
        <v>-0.36404829999999999</v>
      </c>
      <c r="Z2924">
        <v>6.0474010000000002E-2</v>
      </c>
      <c r="AA2924">
        <v>0.92941470000000004</v>
      </c>
      <c r="AB2924">
        <v>30</v>
      </c>
      <c r="AC2924">
        <v>-3.7153999999999798</v>
      </c>
      <c r="AD2924">
        <v>-1.120741289191</v>
      </c>
      <c r="AE2924">
        <v>-11.130999999999901</v>
      </c>
      <c r="AF2924">
        <v>-4.27834609659857</v>
      </c>
      <c r="AG2924">
        <v>-1.120741289191</v>
      </c>
      <c r="AH2924">
        <v>10.812999071960499</v>
      </c>
      <c r="AI2924">
        <v>95.5050327606845</v>
      </c>
      <c r="AJ2924">
        <v>111.587067041168</v>
      </c>
      <c r="AK2924">
        <v>11.6825192184647</v>
      </c>
      <c r="AL2924">
        <v>83.118811126399194</v>
      </c>
      <c r="AM2924">
        <v>108.392108827738</v>
      </c>
      <c r="AN2924">
        <v>1.0000000487839</v>
      </c>
    </row>
    <row r="2925" spans="1:40" x14ac:dyDescent="0.25">
      <c r="A2925" t="str">
        <f>"20190312164044816"</f>
        <v>20190312164044816</v>
      </c>
      <c r="B2925" t="str">
        <f>"1552380044809107"</f>
        <v>1552380044809107</v>
      </c>
      <c r="C2925" t="s">
        <v>40</v>
      </c>
      <c r="D2925">
        <v>5.6054909999999998</v>
      </c>
      <c r="E2925">
        <v>0.47900320000000002</v>
      </c>
      <c r="F2925" t="s">
        <v>41</v>
      </c>
      <c r="G2925">
        <v>-490.97730000000001</v>
      </c>
      <c r="H2925" s="1">
        <v>-2.2508390000000001E-6</v>
      </c>
      <c r="I2925">
        <v>264.22969999999998</v>
      </c>
      <c r="J2925">
        <v>-487.35320000000002</v>
      </c>
      <c r="K2925">
        <v>1.1207229999999999</v>
      </c>
      <c r="L2925">
        <v>275.31630000000001</v>
      </c>
      <c r="M2925">
        <v>-0.63683940000000006</v>
      </c>
      <c r="N2925">
        <v>0</v>
      </c>
      <c r="O2925">
        <v>-0.77084799999999998</v>
      </c>
      <c r="P2925">
        <v>-0.36345620000000001</v>
      </c>
      <c r="Q2925">
        <v>0.113695</v>
      </c>
      <c r="R2925">
        <v>-0.92464789999999997</v>
      </c>
      <c r="S2925">
        <v>-0.96560670000000004</v>
      </c>
      <c r="T2925">
        <v>-0.28947289999999998</v>
      </c>
      <c r="U2925">
        <v>-2.9017940000000002</v>
      </c>
      <c r="V2925">
        <v>-0.31190980000000001</v>
      </c>
      <c r="W2925">
        <v>0.1199846</v>
      </c>
      <c r="X2925">
        <v>0.94250509999999998</v>
      </c>
      <c r="Y2925">
        <v>-0.36157129999999998</v>
      </c>
      <c r="Z2925">
        <v>6.146459E-2</v>
      </c>
      <c r="AA2925">
        <v>0.93031629999999998</v>
      </c>
      <c r="AB2925">
        <v>30</v>
      </c>
      <c r="AC2925">
        <v>-3.6240999999999901</v>
      </c>
      <c r="AD2925">
        <v>-1.120725250839</v>
      </c>
      <c r="AE2925">
        <v>-11.086600000000001</v>
      </c>
      <c r="AF2925">
        <v>-4.2282058815538299</v>
      </c>
      <c r="AG2925">
        <v>-1.120725250839</v>
      </c>
      <c r="AH2925">
        <v>10.755993207566901</v>
      </c>
      <c r="AI2925">
        <v>95.538765472227098</v>
      </c>
      <c r="AJ2925">
        <v>111.459904727254</v>
      </c>
      <c r="AK2925">
        <v>11.6114228217691</v>
      </c>
      <c r="AL2925">
        <v>83.108785820177502</v>
      </c>
      <c r="AM2925">
        <v>108.311289745831</v>
      </c>
      <c r="AN2925">
        <v>0.99999994554960303</v>
      </c>
    </row>
    <row r="2926" spans="1:40" x14ac:dyDescent="0.25">
      <c r="A2926" t="str">
        <f>"20190312164044831"</f>
        <v>20190312164044831</v>
      </c>
      <c r="B2926" t="str">
        <f>"1552380044818868"</f>
        <v>1552380044818868</v>
      </c>
      <c r="C2926" t="s">
        <v>40</v>
      </c>
      <c r="D2926">
        <v>5.6002390000000002</v>
      </c>
      <c r="E2926">
        <v>0.47913990000000001</v>
      </c>
      <c r="F2926" t="s">
        <v>41</v>
      </c>
      <c r="G2926">
        <v>-491.01990000000001</v>
      </c>
      <c r="H2926" s="1">
        <v>-2.1826620000000001E-6</v>
      </c>
      <c r="I2926">
        <v>264.0444</v>
      </c>
      <c r="J2926">
        <v>-487.46120000000002</v>
      </c>
      <c r="K2926">
        <v>1.1207049999999901</v>
      </c>
      <c r="L2926">
        <v>275.173</v>
      </c>
      <c r="M2926">
        <v>-0.63058549999999902</v>
      </c>
      <c r="N2926">
        <v>0</v>
      </c>
      <c r="O2926">
        <v>-0.77597249999999995</v>
      </c>
      <c r="P2926">
        <v>-0.35917070000000001</v>
      </c>
      <c r="Q2926">
        <v>0.114014</v>
      </c>
      <c r="R2926">
        <v>-0.92628189999999999</v>
      </c>
      <c r="S2926">
        <v>-0.94601440000000003</v>
      </c>
      <c r="T2926">
        <v>-0.28914990000000002</v>
      </c>
      <c r="U2926">
        <v>-2.9081730000000001</v>
      </c>
      <c r="V2926">
        <v>-0.3086236</v>
      </c>
      <c r="W2926">
        <v>0.12041300000000001</v>
      </c>
      <c r="X2926">
        <v>0.94353180000000003</v>
      </c>
      <c r="Y2926">
        <v>-0.3603095</v>
      </c>
      <c r="Z2926">
        <v>6.2031259999999998E-2</v>
      </c>
      <c r="AA2926">
        <v>0.93076809999999999</v>
      </c>
      <c r="AB2926">
        <v>30</v>
      </c>
      <c r="AC2926">
        <v>-3.55869999999998</v>
      </c>
      <c r="AD2926">
        <v>-1.1207071826620001</v>
      </c>
      <c r="AE2926">
        <v>-11.1286</v>
      </c>
      <c r="AF2926">
        <v>-4.2177607904323304</v>
      </c>
      <c r="AG2926">
        <v>-1.1207071826620001</v>
      </c>
      <c r="AH2926">
        <v>10.7815980097871</v>
      </c>
      <c r="AI2926">
        <v>95.529156388553105</v>
      </c>
      <c r="AJ2926">
        <v>111.365435669646</v>
      </c>
      <c r="AK2926">
        <v>11.6313518698053</v>
      </c>
      <c r="AL2926">
        <v>83.084061686010401</v>
      </c>
      <c r="AM2926">
        <v>108.112610659737</v>
      </c>
      <c r="AN2926">
        <v>1.00000003732859</v>
      </c>
    </row>
    <row r="2927" spans="1:40" x14ac:dyDescent="0.25">
      <c r="A2927" t="str">
        <f>"20190312164044842"</f>
        <v>20190312164044842</v>
      </c>
      <c r="B2927" t="str">
        <f>"1552380044839363"</f>
        <v>1552380044839363</v>
      </c>
      <c r="C2927" t="s">
        <v>40</v>
      </c>
      <c r="D2927">
        <v>5.6594129999999998</v>
      </c>
      <c r="E2927">
        <v>0.47938720000000001</v>
      </c>
      <c r="F2927" t="s">
        <v>41</v>
      </c>
      <c r="G2927">
        <v>-491.07979999999998</v>
      </c>
      <c r="H2927" s="1">
        <v>-2.1207930000000001E-6</v>
      </c>
      <c r="I2927">
        <v>263.863</v>
      </c>
      <c r="J2927">
        <v>-487.54849999999999</v>
      </c>
      <c r="K2927">
        <v>1.1206879999999999</v>
      </c>
      <c r="L2927">
        <v>275.05610000000001</v>
      </c>
      <c r="M2927">
        <v>-0.62547619999999904</v>
      </c>
      <c r="N2927">
        <v>0</v>
      </c>
      <c r="O2927">
        <v>-0.78009689999999998</v>
      </c>
      <c r="P2927">
        <v>-0.35478470000000001</v>
      </c>
      <c r="Q2927">
        <v>0.11423560000000001</v>
      </c>
      <c r="R2927">
        <v>-0.92794319999999997</v>
      </c>
      <c r="S2927">
        <v>-0.93197629999999998</v>
      </c>
      <c r="T2927">
        <v>-0.28864250000000002</v>
      </c>
      <c r="U2927">
        <v>-2.9129330000000002</v>
      </c>
      <c r="V2927">
        <v>-0.30687189999999998</v>
      </c>
      <c r="W2927">
        <v>0.1206956</v>
      </c>
      <c r="X2927">
        <v>0.94406690000000004</v>
      </c>
      <c r="Y2927">
        <v>-0.35870109999999999</v>
      </c>
      <c r="Z2927">
        <v>6.2447740000000002E-2</v>
      </c>
      <c r="AA2927">
        <v>0.93136129999999995</v>
      </c>
      <c r="AB2927">
        <v>30</v>
      </c>
      <c r="AC2927">
        <v>-3.5312999999999799</v>
      </c>
      <c r="AD2927">
        <v>-1.120690120793</v>
      </c>
      <c r="AE2927">
        <v>-11.193099999999999</v>
      </c>
      <c r="AF2927">
        <v>-4.2083777102411002</v>
      </c>
      <c r="AG2927">
        <v>-1.120690120793</v>
      </c>
      <c r="AH2927">
        <v>10.8428396162883</v>
      </c>
      <c r="AI2927">
        <v>95.5037228712592</v>
      </c>
      <c r="AJ2927">
        <v>111.21248040563199</v>
      </c>
      <c r="AK2927">
        <v>11.6847576031105</v>
      </c>
      <c r="AL2927">
        <v>83.067751037815796</v>
      </c>
      <c r="AM2927">
        <v>108.006914827145</v>
      </c>
      <c r="AN2927">
        <v>1.00000005127228</v>
      </c>
    </row>
    <row r="2928" spans="1:40" x14ac:dyDescent="0.25">
      <c r="A2928" t="str">
        <f>"20190312164044854"</f>
        <v>20190312164044854</v>
      </c>
      <c r="B2928" t="str">
        <f>"1552380044849124"</f>
        <v>1552380044849124</v>
      </c>
      <c r="C2928" t="s">
        <v>40</v>
      </c>
      <c r="D2928">
        <v>5.660158</v>
      </c>
      <c r="E2928">
        <v>0.47953259999999998</v>
      </c>
      <c r="F2928" t="s">
        <v>41</v>
      </c>
      <c r="G2928">
        <v>-491.10289999999998</v>
      </c>
      <c r="H2928" s="1">
        <v>-2.091338E-6</v>
      </c>
      <c r="I2928">
        <v>263.77999999999997</v>
      </c>
      <c r="J2928">
        <v>-487.63720000000001</v>
      </c>
      <c r="K2928">
        <v>1.1206689999999999</v>
      </c>
      <c r="L2928">
        <v>274.93549999999999</v>
      </c>
      <c r="M2928">
        <v>-0.62020949999999997</v>
      </c>
      <c r="N2928">
        <v>0</v>
      </c>
      <c r="O2928">
        <v>-0.78429040000000005</v>
      </c>
      <c r="P2928">
        <v>-0.3504292</v>
      </c>
      <c r="Q2928">
        <v>0.114833</v>
      </c>
      <c r="R2928">
        <v>-0.92952259999999998</v>
      </c>
      <c r="S2928">
        <v>-0.91952509999999998</v>
      </c>
      <c r="T2928">
        <v>-0.28992180000000001</v>
      </c>
      <c r="U2928">
        <v>-2.9171140000000002</v>
      </c>
      <c r="V2928">
        <v>-0.30490240000000002</v>
      </c>
      <c r="W2928">
        <v>0.1213621</v>
      </c>
      <c r="X2928">
        <v>0.9446194</v>
      </c>
      <c r="Y2928">
        <v>-0.35643019999999997</v>
      </c>
      <c r="Z2928">
        <v>6.327911E-2</v>
      </c>
      <c r="AA2928">
        <v>0.93217660000000002</v>
      </c>
      <c r="AB2928">
        <v>30</v>
      </c>
      <c r="AC2928">
        <v>-3.4656999999999698</v>
      </c>
      <c r="AD2928">
        <v>-1.120671091338</v>
      </c>
      <c r="AE2928">
        <v>-11.1555</v>
      </c>
      <c r="AF2928">
        <v>-4.1627991636492396</v>
      </c>
      <c r="AG2928">
        <v>-1.120671091338</v>
      </c>
      <c r="AH2928">
        <v>10.800454096500401</v>
      </c>
      <c r="AI2928">
        <v>95.530079588623906</v>
      </c>
      <c r="AJ2928">
        <v>111.07806753032099</v>
      </c>
      <c r="AK2928">
        <v>11.6290416312976</v>
      </c>
      <c r="AL2928">
        <v>83.029280399360005</v>
      </c>
      <c r="AM2928">
        <v>107.888940014482</v>
      </c>
      <c r="AN2928">
        <v>1.00000002184926</v>
      </c>
    </row>
    <row r="2929" spans="1:40" x14ac:dyDescent="0.25">
      <c r="A2929" t="str">
        <f>"20190312164044866"</f>
        <v>20190312164044866</v>
      </c>
      <c r="B2929" t="str">
        <f>"1552380044859393"</f>
        <v>1552380044859393</v>
      </c>
      <c r="C2929" t="s">
        <v>40</v>
      </c>
      <c r="D2929">
        <v>5.6605460000000001</v>
      </c>
      <c r="E2929">
        <v>0.47968189999999999</v>
      </c>
      <c r="F2929" t="s">
        <v>41</v>
      </c>
      <c r="G2929">
        <v>-491.15280000000001</v>
      </c>
      <c r="H2929" s="1">
        <v>-2.0292800000000001E-6</v>
      </c>
      <c r="I2929">
        <v>263.6044</v>
      </c>
      <c r="J2929">
        <v>-487.7294</v>
      </c>
      <c r="K2929">
        <v>1.1206449999999999</v>
      </c>
      <c r="L2929">
        <v>274.80799999999999</v>
      </c>
      <c r="M2929">
        <v>-0.61465700000000001</v>
      </c>
      <c r="N2929">
        <v>0</v>
      </c>
      <c r="O2929">
        <v>-0.78864990000000001</v>
      </c>
      <c r="P2929">
        <v>-0.34577400000000003</v>
      </c>
      <c r="Q2929">
        <v>0.1154196</v>
      </c>
      <c r="R2929">
        <v>-0.93119229999999997</v>
      </c>
      <c r="S2929">
        <v>-0.90640259999999995</v>
      </c>
      <c r="T2929">
        <v>-0.28893580000000002</v>
      </c>
      <c r="U2929">
        <v>-2.9214169999999999</v>
      </c>
      <c r="V2929">
        <v>-0.30291960000000001</v>
      </c>
      <c r="W2929">
        <v>0.1220195</v>
      </c>
      <c r="X2929">
        <v>0.94517249999999997</v>
      </c>
      <c r="Y2929">
        <v>-0.35404740000000001</v>
      </c>
      <c r="Z2929">
        <v>6.3643459999999999E-2</v>
      </c>
      <c r="AA2929">
        <v>0.93305950000000004</v>
      </c>
      <c r="AB2929">
        <v>30</v>
      </c>
      <c r="AC2929">
        <v>-3.4234000000000102</v>
      </c>
      <c r="AD2929">
        <v>-1.1206470292799999</v>
      </c>
      <c r="AE2929">
        <v>-11.2035999999999</v>
      </c>
      <c r="AF2929">
        <v>-4.1490181022974904</v>
      </c>
      <c r="AG2929">
        <v>-1.1206470292799999</v>
      </c>
      <c r="AH2929">
        <v>10.841970749938101</v>
      </c>
      <c r="AI2929">
        <v>95.513952402781797</v>
      </c>
      <c r="AJ2929">
        <v>110.940907639568</v>
      </c>
      <c r="AK2929">
        <v>11.662698260691601</v>
      </c>
      <c r="AL2929">
        <v>82.991332313066493</v>
      </c>
      <c r="AM2929">
        <v>107.77020466923101</v>
      </c>
      <c r="AN2929">
        <v>1.00000004860032</v>
      </c>
    </row>
    <row r="2930" spans="1:40" x14ac:dyDescent="0.25">
      <c r="A2930" t="str">
        <f>"20190312164044877"</f>
        <v>20190312164044877</v>
      </c>
      <c r="B2930" t="str">
        <f>"1552380044869155"</f>
        <v>1552380044869155</v>
      </c>
      <c r="C2930" t="s">
        <v>40</v>
      </c>
      <c r="D2930">
        <v>5.7159469999999999</v>
      </c>
      <c r="E2930">
        <v>0.47986030000000002</v>
      </c>
      <c r="F2930" t="s">
        <v>41</v>
      </c>
      <c r="G2930">
        <v>-491.1977</v>
      </c>
      <c r="H2930" s="1">
        <v>-1.973108E-6</v>
      </c>
      <c r="I2930">
        <v>263.44560000000001</v>
      </c>
      <c r="J2930">
        <v>-487.81959999999998</v>
      </c>
      <c r="K2930">
        <v>1.120619</v>
      </c>
      <c r="L2930">
        <v>274.6823</v>
      </c>
      <c r="M2930">
        <v>-0.6091645</v>
      </c>
      <c r="N2930">
        <v>0</v>
      </c>
      <c r="O2930">
        <v>-0.7929001</v>
      </c>
      <c r="P2930">
        <v>-0.34123969999999998</v>
      </c>
      <c r="Q2930">
        <v>0.1159044</v>
      </c>
      <c r="R2930">
        <v>-0.93280339999999995</v>
      </c>
      <c r="S2930">
        <v>-0.89309689999999997</v>
      </c>
      <c r="T2930">
        <v>-0.28856920000000003</v>
      </c>
      <c r="U2930">
        <v>-2.9258419999999998</v>
      </c>
      <c r="V2930">
        <v>-0.3009173</v>
      </c>
      <c r="W2930">
        <v>0.1225765</v>
      </c>
      <c r="X2930">
        <v>0.94573980000000002</v>
      </c>
      <c r="Y2930">
        <v>-0.35183500000000001</v>
      </c>
      <c r="Z2930">
        <v>6.4119700000000002E-2</v>
      </c>
      <c r="AA2930">
        <v>0.93386340000000001</v>
      </c>
      <c r="AB2930">
        <v>30</v>
      </c>
      <c r="AC2930">
        <v>-3.3781000000000101</v>
      </c>
      <c r="AD2930">
        <v>-1.1206209731079999</v>
      </c>
      <c r="AE2930">
        <v>-11.2366999999999</v>
      </c>
      <c r="AF2930">
        <v>-4.1293128656100597</v>
      </c>
      <c r="AG2930">
        <v>-1.1206209731079999</v>
      </c>
      <c r="AH2930">
        <v>10.8695045707228</v>
      </c>
      <c r="AI2930">
        <v>95.505008631763502</v>
      </c>
      <c r="AJ2930">
        <v>110.801729312395</v>
      </c>
      <c r="AK2930">
        <v>11.681316095390301</v>
      </c>
      <c r="AL2930">
        <v>82.959176807679697</v>
      </c>
      <c r="AM2930">
        <v>107.650129221155</v>
      </c>
      <c r="AN2930">
        <v>0.99999999454778998</v>
      </c>
    </row>
    <row r="2931" spans="1:40" x14ac:dyDescent="0.25">
      <c r="A2931" t="str">
        <f>"20190312164044890"</f>
        <v>20190312164044890</v>
      </c>
      <c r="B2931" t="str">
        <f>"1552380044878913"</f>
        <v>1552380044878913</v>
      </c>
      <c r="C2931" t="s">
        <v>40</v>
      </c>
      <c r="D2931">
        <v>5.656396</v>
      </c>
      <c r="E2931">
        <v>0.48002080000000003</v>
      </c>
      <c r="F2931" t="s">
        <v>41</v>
      </c>
      <c r="G2931">
        <v>-491.24189999999999</v>
      </c>
      <c r="H2931" s="1">
        <v>-1.9184109999999998E-6</v>
      </c>
      <c r="I2931">
        <v>263.29079999999999</v>
      </c>
      <c r="J2931">
        <v>-487.90969999999999</v>
      </c>
      <c r="K2931">
        <v>1.1205879999999999</v>
      </c>
      <c r="L2931">
        <v>274.55360000000002</v>
      </c>
      <c r="M2931">
        <v>-0.60358610000000001</v>
      </c>
      <c r="N2931">
        <v>0</v>
      </c>
      <c r="O2931">
        <v>-0.79715509999999901</v>
      </c>
      <c r="P2931">
        <v>-0.33635369999999998</v>
      </c>
      <c r="Q2931">
        <v>0.1160428</v>
      </c>
      <c r="R2931">
        <v>-0.93455920000000003</v>
      </c>
      <c r="S2931">
        <v>-0.88021849999999902</v>
      </c>
      <c r="T2931">
        <v>-0.28822759999999997</v>
      </c>
      <c r="U2931">
        <v>-2.929932</v>
      </c>
      <c r="V2931">
        <v>-0.29921130000000001</v>
      </c>
      <c r="W2931">
        <v>0.1227819</v>
      </c>
      <c r="X2931">
        <v>0.94625429999999999</v>
      </c>
      <c r="Y2931">
        <v>-0.34939890000000001</v>
      </c>
      <c r="Z2931">
        <v>6.4610310000000004E-2</v>
      </c>
      <c r="AA2931">
        <v>0.93474380000000001</v>
      </c>
      <c r="AB2931">
        <v>30</v>
      </c>
      <c r="AC2931">
        <v>-3.3321999999999998</v>
      </c>
      <c r="AD2931">
        <v>-1.120589918411</v>
      </c>
      <c r="AE2931">
        <v>-11.2628</v>
      </c>
      <c r="AF2931">
        <v>-4.1048960275804296</v>
      </c>
      <c r="AG2931">
        <v>-1.120589918411</v>
      </c>
      <c r="AH2931">
        <v>10.8915786142596</v>
      </c>
      <c r="AI2931">
        <v>95.499214437560894</v>
      </c>
      <c r="AJ2931">
        <v>110.650781537925</v>
      </c>
      <c r="AK2931">
        <v>11.6932620715131</v>
      </c>
      <c r="AL2931">
        <v>82.947318711712001</v>
      </c>
      <c r="AM2931">
        <v>107.54726758397901</v>
      </c>
      <c r="AN2931">
        <v>0.99999999864189504</v>
      </c>
    </row>
    <row r="2932" spans="1:40" x14ac:dyDescent="0.25">
      <c r="A2932" t="str">
        <f>"20190312164044901"</f>
        <v>20190312164044901</v>
      </c>
      <c r="B2932" t="str">
        <f>"1552380044888673"</f>
        <v>1552380044888673</v>
      </c>
      <c r="C2932" t="s">
        <v>40</v>
      </c>
      <c r="D2932">
        <v>5.6604919999999996</v>
      </c>
      <c r="E2932">
        <v>0.48016789999999998</v>
      </c>
      <c r="F2932" t="s">
        <v>41</v>
      </c>
      <c r="G2932">
        <v>-491.27319999999997</v>
      </c>
      <c r="H2932" s="1">
        <v>-1.868556E-6</v>
      </c>
      <c r="I2932">
        <v>263.1551</v>
      </c>
      <c r="J2932">
        <v>-487.99610000000001</v>
      </c>
      <c r="K2932">
        <v>1.1205609999999999</v>
      </c>
      <c r="L2932">
        <v>274.42930000000001</v>
      </c>
      <c r="M2932">
        <v>-0.59818450000000001</v>
      </c>
      <c r="N2932">
        <v>0</v>
      </c>
      <c r="O2932">
        <v>-0.80121629999999999</v>
      </c>
      <c r="P2932">
        <v>-0.33209610000000001</v>
      </c>
      <c r="Q2932">
        <v>0.1160607</v>
      </c>
      <c r="R2932">
        <v>-0.93607830000000003</v>
      </c>
      <c r="S2932">
        <v>-0.86584470000000002</v>
      </c>
      <c r="T2932">
        <v>-0.288468</v>
      </c>
      <c r="U2932">
        <v>-2.9342649999999999</v>
      </c>
      <c r="V2932">
        <v>-0.29710890000000001</v>
      </c>
      <c r="W2932">
        <v>0.122878399999999</v>
      </c>
      <c r="X2932">
        <v>0.94690399999999997</v>
      </c>
      <c r="Y2932">
        <v>-0.34766229999999998</v>
      </c>
      <c r="Z2932">
        <v>6.5188599999999999E-2</v>
      </c>
      <c r="AA2932">
        <v>0.93535100000000004</v>
      </c>
      <c r="AB2932">
        <v>30</v>
      </c>
      <c r="AC2932">
        <v>-3.2770999999999599</v>
      </c>
      <c r="AD2932">
        <v>-1.1205628685560001</v>
      </c>
      <c r="AE2932">
        <v>-11.2742</v>
      </c>
      <c r="AF2932">
        <v>-4.0816744431288798</v>
      </c>
      <c r="AG2932">
        <v>-1.1205628685560001</v>
      </c>
      <c r="AH2932">
        <v>10.895388164373299</v>
      </c>
      <c r="AI2932">
        <v>95.501244217383203</v>
      </c>
      <c r="AJ2932">
        <v>110.537158209213</v>
      </c>
      <c r="AK2932">
        <v>11.6886787386105</v>
      </c>
      <c r="AL2932">
        <v>82.941747437935106</v>
      </c>
      <c r="AM2932">
        <v>107.42022813104499</v>
      </c>
      <c r="AN2932">
        <v>0.999999992430884</v>
      </c>
    </row>
    <row r="2933" spans="1:40" x14ac:dyDescent="0.25">
      <c r="A2933" t="str">
        <f>"20190312164044914"</f>
        <v>20190312164044914</v>
      </c>
      <c r="B2933" t="str">
        <f>"1552380044909169"</f>
        <v>1552380044909169</v>
      </c>
      <c r="C2933" t="s">
        <v>40</v>
      </c>
      <c r="D2933">
        <v>5.6546609999999999</v>
      </c>
      <c r="E2933">
        <v>0.48039999999999999</v>
      </c>
      <c r="F2933" t="s">
        <v>41</v>
      </c>
      <c r="G2933">
        <v>-491.29750000000001</v>
      </c>
      <c r="H2933" s="1">
        <v>-1.8325039999999999E-6</v>
      </c>
      <c r="I2933">
        <v>263.05599999999998</v>
      </c>
      <c r="J2933">
        <v>-488.08969999999999</v>
      </c>
      <c r="K2933">
        <v>1.120517</v>
      </c>
      <c r="L2933">
        <v>274.29230000000001</v>
      </c>
      <c r="M2933">
        <v>-0.59225729999999999</v>
      </c>
      <c r="N2933">
        <v>0</v>
      </c>
      <c r="O2933">
        <v>-0.80560769999999904</v>
      </c>
      <c r="P2933">
        <v>-0.32690609999999998</v>
      </c>
      <c r="Q2933">
        <v>0.11619839999999999</v>
      </c>
      <c r="R2933">
        <v>-0.9378862</v>
      </c>
      <c r="S2933">
        <v>-0.85287479999999904</v>
      </c>
      <c r="T2933">
        <v>-0.28948380000000001</v>
      </c>
      <c r="U2933">
        <v>-2.9381409999999999</v>
      </c>
      <c r="V2933">
        <v>-0.295346</v>
      </c>
      <c r="W2933">
        <v>0.1230895</v>
      </c>
      <c r="X2933">
        <v>0.94742800000000005</v>
      </c>
      <c r="Y2933">
        <v>-0.34489720000000001</v>
      </c>
      <c r="Z2933">
        <v>6.6012920000000003E-2</v>
      </c>
      <c r="AA2933">
        <v>0.93631629999999999</v>
      </c>
      <c r="AB2933">
        <v>30</v>
      </c>
      <c r="AC2933">
        <v>-3.2078000000000202</v>
      </c>
      <c r="AD2933">
        <v>-1.1205188325040001</v>
      </c>
      <c r="AE2933">
        <v>-11.2363</v>
      </c>
      <c r="AF2933">
        <v>-4.03392247748969</v>
      </c>
      <c r="AG2933">
        <v>-1.1205188325040001</v>
      </c>
      <c r="AH2933">
        <v>10.853339529707601</v>
      </c>
      <c r="AI2933">
        <v>95.527512682440701</v>
      </c>
      <c r="AJ2933">
        <v>110.388876617184</v>
      </c>
      <c r="AK2933">
        <v>11.632844534141601</v>
      </c>
      <c r="AL2933">
        <v>82.929560186889802</v>
      </c>
      <c r="AM2933">
        <v>107.314058479531</v>
      </c>
      <c r="AN2933">
        <v>1.00000004995512</v>
      </c>
    </row>
    <row r="2934" spans="1:40" x14ac:dyDescent="0.25">
      <c r="A2934" t="str">
        <f>"20190312164044927"</f>
        <v>20190312164044927</v>
      </c>
      <c r="B2934" t="str">
        <f>"1552380044918929"</f>
        <v>1552380044918929</v>
      </c>
      <c r="C2934" t="s">
        <v>40</v>
      </c>
      <c r="D2934">
        <v>5.607882</v>
      </c>
      <c r="E2934">
        <v>0.48039999999999999</v>
      </c>
      <c r="F2934" t="s">
        <v>41</v>
      </c>
      <c r="G2934">
        <v>-491.31119999999999</v>
      </c>
      <c r="H2934" s="1">
        <v>-1.803456E-6</v>
      </c>
      <c r="I2934">
        <v>262.97980000000001</v>
      </c>
      <c r="J2934">
        <v>-488.18220000000002</v>
      </c>
      <c r="K2934">
        <v>1.120468</v>
      </c>
      <c r="L2934">
        <v>274.15440000000001</v>
      </c>
      <c r="M2934">
        <v>-0.5863178</v>
      </c>
      <c r="N2934">
        <v>0</v>
      </c>
      <c r="O2934">
        <v>-0.80994089999999996</v>
      </c>
      <c r="P2934">
        <v>-0.32175819999999999</v>
      </c>
      <c r="Q2934">
        <v>0.1158185</v>
      </c>
      <c r="R2934">
        <v>-0.93971150000000003</v>
      </c>
      <c r="S2934">
        <v>-0.83801270000000005</v>
      </c>
      <c r="T2934">
        <v>-0.29147729999999999</v>
      </c>
      <c r="U2934">
        <v>-2.942688</v>
      </c>
      <c r="V2934">
        <v>-0.29357569999999999</v>
      </c>
      <c r="W2934">
        <v>0.1227857</v>
      </c>
      <c r="X2934">
        <v>0.94801740000000001</v>
      </c>
      <c r="Y2934">
        <v>-0.34276859999999998</v>
      </c>
      <c r="Z2934">
        <v>6.7033889999999999E-2</v>
      </c>
      <c r="AA2934">
        <v>0.9370252</v>
      </c>
      <c r="AB2934">
        <v>30</v>
      </c>
      <c r="AC2934">
        <v>-3.12899999999996</v>
      </c>
      <c r="AD2934">
        <v>-1.1204698034559999</v>
      </c>
      <c r="AE2934">
        <v>-11.1745999999999</v>
      </c>
      <c r="AF2934">
        <v>-3.98090439125242</v>
      </c>
      <c r="AG2934">
        <v>-1.1204698034559999</v>
      </c>
      <c r="AH2934">
        <v>10.7860327927425</v>
      </c>
      <c r="AI2934">
        <v>95.566222914143296</v>
      </c>
      <c r="AJ2934">
        <v>110.258073586969</v>
      </c>
      <c r="AK2934">
        <v>11.551690601763299</v>
      </c>
      <c r="AL2934">
        <v>82.9470993744617</v>
      </c>
      <c r="AM2934">
        <v>107.20635850406001</v>
      </c>
      <c r="AN2934">
        <v>1.00000000522887</v>
      </c>
    </row>
    <row r="2935" spans="1:40" x14ac:dyDescent="0.25">
      <c r="A2935" t="str">
        <f>"20190312164044944"</f>
        <v>20190312164044944</v>
      </c>
      <c r="B2935" t="str">
        <f>"1552380044939427"</f>
        <v>1552380044939427</v>
      </c>
      <c r="C2935" t="s">
        <v>40</v>
      </c>
      <c r="D2935">
        <v>5.6646789999999996</v>
      </c>
      <c r="E2935">
        <v>0.48063699999999998</v>
      </c>
      <c r="F2935" t="s">
        <v>41</v>
      </c>
      <c r="G2935">
        <v>-491.32810000000001</v>
      </c>
      <c r="H2935" s="1">
        <v>-1.7594780000000001E-6</v>
      </c>
      <c r="I2935">
        <v>262.86680000000001</v>
      </c>
      <c r="J2935">
        <v>-488.29770000000002</v>
      </c>
      <c r="K2935">
        <v>1.1203959999999999</v>
      </c>
      <c r="L2935">
        <v>273.9796</v>
      </c>
      <c r="M2935">
        <v>-0.57881190000000005</v>
      </c>
      <c r="N2935">
        <v>0</v>
      </c>
      <c r="O2935">
        <v>-0.8153222</v>
      </c>
      <c r="P2935">
        <v>-0.31614490000000001</v>
      </c>
      <c r="Q2935">
        <v>0.1153348</v>
      </c>
      <c r="R2935">
        <v>-0.94167440000000002</v>
      </c>
      <c r="S2935">
        <v>-0.82141109999999995</v>
      </c>
      <c r="T2935">
        <v>-0.29256320000000002</v>
      </c>
      <c r="U2935">
        <v>-2.9472659999999999</v>
      </c>
      <c r="V2935">
        <v>-0.2904738</v>
      </c>
      <c r="W2935">
        <v>0.12242550000000001</v>
      </c>
      <c r="X2935">
        <v>0.94901899999999995</v>
      </c>
      <c r="Y2935">
        <v>-0.33938089999999999</v>
      </c>
      <c r="Z2935">
        <v>6.8023849999999997E-2</v>
      </c>
      <c r="AA2935">
        <v>0.93818619999999997</v>
      </c>
      <c r="AB2935">
        <v>29</v>
      </c>
      <c r="AC2935">
        <v>-3.0303999999999802</v>
      </c>
      <c r="AD2935">
        <v>-1.1203977594779999</v>
      </c>
      <c r="AE2935">
        <v>-11.112799999999901</v>
      </c>
      <c r="AF2935">
        <v>-3.92478398236074</v>
      </c>
      <c r="AG2935">
        <v>-1.1203977594779999</v>
      </c>
      <c r="AH2935">
        <v>10.7143978796037</v>
      </c>
      <c r="AI2935">
        <v>95.607841418221597</v>
      </c>
      <c r="AJ2935">
        <v>110.11825419468499</v>
      </c>
      <c r="AK2935">
        <v>11.4654935510904</v>
      </c>
      <c r="AL2935">
        <v>82.967894496235601</v>
      </c>
      <c r="AM2935">
        <v>107.01819498331101</v>
      </c>
      <c r="AN2935">
        <v>1.0000000469488399</v>
      </c>
    </row>
    <row r="2936" spans="1:40" x14ac:dyDescent="0.25">
      <c r="A2936" t="str">
        <f>"20190312164044955"</f>
        <v>20190312164044955</v>
      </c>
      <c r="B2936" t="str">
        <f>"1552380044949184"</f>
        <v>1552380044949184</v>
      </c>
      <c r="C2936" t="s">
        <v>40</v>
      </c>
      <c r="D2936">
        <v>5.6499269999999999</v>
      </c>
      <c r="E2936">
        <v>0.48077750000000002</v>
      </c>
      <c r="F2936" t="s">
        <v>41</v>
      </c>
      <c r="G2936">
        <v>-491.34350000000001</v>
      </c>
      <c r="H2936" s="1">
        <v>-1.744416E-6</v>
      </c>
      <c r="I2936">
        <v>262.82209999999998</v>
      </c>
      <c r="J2936">
        <v>-488.37619999999998</v>
      </c>
      <c r="K2936">
        <v>1.120344</v>
      </c>
      <c r="L2936">
        <v>273.85899999999998</v>
      </c>
      <c r="M2936">
        <v>-0.57365759999999999</v>
      </c>
      <c r="N2936">
        <v>0</v>
      </c>
      <c r="O2936">
        <v>-0.81895709999999999</v>
      </c>
      <c r="P2936">
        <v>-0.31178050000000002</v>
      </c>
      <c r="Q2936">
        <v>0.1154763</v>
      </c>
      <c r="R2936">
        <v>-0.94311120000000004</v>
      </c>
      <c r="S2936">
        <v>-0.80572509999999997</v>
      </c>
      <c r="T2936">
        <v>-0.29638609999999999</v>
      </c>
      <c r="U2936">
        <v>-2.9515690000000001</v>
      </c>
      <c r="V2936">
        <v>-0.28885929999999999</v>
      </c>
      <c r="W2936">
        <v>0.1226385</v>
      </c>
      <c r="X2936">
        <v>0.94948410000000005</v>
      </c>
      <c r="Y2936">
        <v>-0.33845910000000001</v>
      </c>
      <c r="Z2936">
        <v>6.9370829999999994E-2</v>
      </c>
      <c r="AA2936">
        <v>0.93842049999999999</v>
      </c>
      <c r="AB2936">
        <v>29</v>
      </c>
      <c r="AC2936">
        <v>-2.9673000000000198</v>
      </c>
      <c r="AD2936">
        <v>-1.1203457444159901</v>
      </c>
      <c r="AE2936">
        <v>-11.036899999999999</v>
      </c>
      <c r="AF2936">
        <v>-3.86461449570798</v>
      </c>
      <c r="AG2936">
        <v>-1.1203457444159901</v>
      </c>
      <c r="AH2936">
        <v>10.639932482172</v>
      </c>
      <c r="AI2936">
        <v>95.652161541200201</v>
      </c>
      <c r="AJ2936">
        <v>109.96193029666399</v>
      </c>
      <c r="AK2936">
        <v>11.3753497973753</v>
      </c>
      <c r="AL2936">
        <v>82.955597336367703</v>
      </c>
      <c r="AM2936">
        <v>106.921210087625</v>
      </c>
      <c r="AN2936">
        <v>0.99999997651577399</v>
      </c>
    </row>
    <row r="2937" spans="1:40" x14ac:dyDescent="0.25">
      <c r="A2937" t="str">
        <f>"20190312164044966"</f>
        <v>20190312164044966</v>
      </c>
      <c r="B2937" t="str">
        <f>"1552380044958476"</f>
        <v>1552380044958476</v>
      </c>
      <c r="C2937" t="s">
        <v>40</v>
      </c>
      <c r="D2937">
        <v>6.1834239999999996</v>
      </c>
      <c r="E2937">
        <v>0.48091279999999997</v>
      </c>
      <c r="F2937" t="s">
        <v>41</v>
      </c>
      <c r="G2937">
        <v>-491.36160000000001</v>
      </c>
      <c r="H2937" s="1">
        <v>-1.7083100000000001E-6</v>
      </c>
      <c r="I2937">
        <v>262.72669999999999</v>
      </c>
      <c r="J2937">
        <v>-488.45859999999999</v>
      </c>
      <c r="K2937">
        <v>1.1202909999999999</v>
      </c>
      <c r="L2937">
        <v>273.73009999999999</v>
      </c>
      <c r="M2937">
        <v>-0.56817980000000001</v>
      </c>
      <c r="N2937">
        <v>0</v>
      </c>
      <c r="O2937">
        <v>-0.82276719999999903</v>
      </c>
      <c r="P2937">
        <v>-0.30695889999999998</v>
      </c>
      <c r="Q2937">
        <v>0.11512029999999999</v>
      </c>
      <c r="R2937">
        <v>-0.94473490000000004</v>
      </c>
      <c r="S2937">
        <v>-0.79257200000000005</v>
      </c>
      <c r="T2937">
        <v>-0.2974271</v>
      </c>
      <c r="U2937">
        <v>-2.9553829999999999</v>
      </c>
      <c r="V2937">
        <v>-0.2873696</v>
      </c>
      <c r="W2937">
        <v>0.12235310000000001</v>
      </c>
      <c r="X2937">
        <v>0.94997290000000001</v>
      </c>
      <c r="Y2937">
        <v>-0.33639170000000002</v>
      </c>
      <c r="Z2937">
        <v>7.0129510000000006E-2</v>
      </c>
      <c r="AA2937">
        <v>0.93910729999999998</v>
      </c>
      <c r="AB2937">
        <v>29</v>
      </c>
      <c r="AC2937">
        <v>-2.90300000000002</v>
      </c>
      <c r="AD2937">
        <v>-1.1202927083099901</v>
      </c>
      <c r="AE2937">
        <v>-11.003399999999999</v>
      </c>
      <c r="AF2937">
        <v>-3.8267661188675199</v>
      </c>
      <c r="AG2937">
        <v>-1.1202927083099901</v>
      </c>
      <c r="AH2937">
        <v>10.6011317292563</v>
      </c>
      <c r="AI2937">
        <v>95.676491271886505</v>
      </c>
      <c r="AJ2937">
        <v>109.84842314068101</v>
      </c>
      <c r="AK2937">
        <v>11.326216871570599</v>
      </c>
      <c r="AL2937">
        <v>82.972074079009403</v>
      </c>
      <c r="AM2937">
        <v>106.830720577603</v>
      </c>
      <c r="AN2937">
        <v>1.00000003940908</v>
      </c>
    </row>
    <row r="2938" spans="1:40" x14ac:dyDescent="0.25">
      <c r="A2938" t="str">
        <f>"20190312164044990"</f>
        <v>20190312164044990</v>
      </c>
      <c r="B2938" t="str">
        <f>"1552380044978971"</f>
        <v>1552380044978971</v>
      </c>
      <c r="C2938" t="s">
        <v>40</v>
      </c>
      <c r="D2938">
        <v>5.6043129999999897</v>
      </c>
      <c r="E2938">
        <v>0.48109059999999998</v>
      </c>
      <c r="F2938" t="s">
        <v>41</v>
      </c>
      <c r="G2938">
        <v>-491.3698</v>
      </c>
      <c r="H2938" s="1">
        <v>-1.681387E-6</v>
      </c>
      <c r="I2938">
        <v>262.65890000000002</v>
      </c>
      <c r="J2938">
        <v>-488.62099999999998</v>
      </c>
      <c r="K2938">
        <v>1.1201749999999999</v>
      </c>
      <c r="L2938">
        <v>273.47129999999999</v>
      </c>
      <c r="M2938">
        <v>-0.55724830000000003</v>
      </c>
      <c r="N2938">
        <v>0</v>
      </c>
      <c r="O2938">
        <v>-0.83021029999999996</v>
      </c>
      <c r="P2938">
        <v>-0.29809580000000002</v>
      </c>
      <c r="Q2938">
        <v>0.1149254</v>
      </c>
      <c r="R2938">
        <v>-0.94759269999999995</v>
      </c>
      <c r="S2938">
        <v>-0.77810669999999904</v>
      </c>
      <c r="T2938">
        <v>-0.29942929999999901</v>
      </c>
      <c r="U2938">
        <v>-2.9591059999999998</v>
      </c>
      <c r="V2938">
        <v>-0.28366910000000001</v>
      </c>
      <c r="W2938">
        <v>0.1223233</v>
      </c>
      <c r="X2938">
        <v>0.95108820000000005</v>
      </c>
      <c r="Y2938">
        <v>-0.32853919999999998</v>
      </c>
      <c r="Z2938">
        <v>7.1741189999999996E-2</v>
      </c>
      <c r="AA2938">
        <v>0.94176179999999998</v>
      </c>
      <c r="AB2938">
        <v>29</v>
      </c>
      <c r="AC2938">
        <v>-2.7488000000000099</v>
      </c>
      <c r="AD2938">
        <v>-1.120176681387</v>
      </c>
      <c r="AE2938">
        <v>-10.812399999999901</v>
      </c>
      <c r="AF2938">
        <v>-3.70616686326718</v>
      </c>
      <c r="AG2938">
        <v>-1.120176681387</v>
      </c>
      <c r="AH2938">
        <v>10.404618112205601</v>
      </c>
      <c r="AI2938">
        <v>95.791105619843805</v>
      </c>
      <c r="AJ2938">
        <v>109.606103791482</v>
      </c>
      <c r="AK2938">
        <v>11.1016461246403</v>
      </c>
      <c r="AL2938">
        <v>82.973793827218898</v>
      </c>
      <c r="AM2938">
        <v>106.607601050588</v>
      </c>
      <c r="AN2938">
        <v>0.99999995609846903</v>
      </c>
    </row>
    <row r="2939" spans="1:40" x14ac:dyDescent="0.25">
      <c r="A2939" t="str">
        <f>"20190312164045007"</f>
        <v>20190312164045007</v>
      </c>
      <c r="B2939" t="str">
        <f>"1552380044999468"</f>
        <v>1552380044999468</v>
      </c>
      <c r="C2939" t="s">
        <v>40</v>
      </c>
      <c r="D2939">
        <v>5.611065</v>
      </c>
      <c r="E2939">
        <v>0.48116969999999998</v>
      </c>
      <c r="F2939" t="s">
        <v>41</v>
      </c>
      <c r="G2939">
        <v>-491.40480000000002</v>
      </c>
      <c r="H2939" s="1">
        <v>-1.6081169999999999E-6</v>
      </c>
      <c r="I2939">
        <v>262.46640000000002</v>
      </c>
      <c r="J2939">
        <v>-488.73630000000003</v>
      </c>
      <c r="K2939">
        <v>1.1200859999999999</v>
      </c>
      <c r="L2939">
        <v>273.28269999999998</v>
      </c>
      <c r="M2939">
        <v>-0.54936309999999999</v>
      </c>
      <c r="N2939">
        <v>0</v>
      </c>
      <c r="O2939">
        <v>-0.83544929999999995</v>
      </c>
      <c r="P2939">
        <v>-0.29081430000000003</v>
      </c>
      <c r="Q2939">
        <v>0.11448659999999999</v>
      </c>
      <c r="R2939">
        <v>-0.94990540000000001</v>
      </c>
      <c r="S2939">
        <v>-0.75039669999999903</v>
      </c>
      <c r="T2939">
        <v>-0.30195440000000001</v>
      </c>
      <c r="U2939">
        <v>-2.9664609999999998</v>
      </c>
      <c r="V2939">
        <v>-0.28195229999999999</v>
      </c>
      <c r="W2939">
        <v>0.1219778</v>
      </c>
      <c r="X2939">
        <v>0.95164289999999996</v>
      </c>
      <c r="Y2939">
        <v>-0.32844000000000001</v>
      </c>
      <c r="Z2939">
        <v>7.2983549999999994E-2</v>
      </c>
      <c r="AA2939">
        <v>0.94170089999999995</v>
      </c>
      <c r="AB2939">
        <v>29</v>
      </c>
      <c r="AC2939">
        <v>-2.6684999999999901</v>
      </c>
      <c r="AD2939">
        <v>-1.1200876081169999</v>
      </c>
      <c r="AE2939">
        <v>-10.816299999999901</v>
      </c>
      <c r="AF2939">
        <v>-3.6759385875998798</v>
      </c>
      <c r="AG2939">
        <v>-1.1200876081169999</v>
      </c>
      <c r="AH2939">
        <v>10.398512429283601</v>
      </c>
      <c r="AI2939">
        <v>95.798920222015994</v>
      </c>
      <c r="AJ2939">
        <v>109.468817069772</v>
      </c>
      <c r="AK2939">
        <v>11.0858550185193</v>
      </c>
      <c r="AL2939">
        <v>82.993738806777401</v>
      </c>
      <c r="AM2939">
        <v>106.50347765255501</v>
      </c>
      <c r="AN2939">
        <v>0.99999994614426801</v>
      </c>
    </row>
    <row r="2940" spans="1:40" x14ac:dyDescent="0.25">
      <c r="A2940" t="str">
        <f>"20190312164045021"</f>
        <v>20190312164045021</v>
      </c>
      <c r="B2940" t="str">
        <f>"1552380045018987"</f>
        <v>1552380045018987</v>
      </c>
      <c r="C2940" t="s">
        <v>40</v>
      </c>
      <c r="D2940">
        <v>5.646852</v>
      </c>
      <c r="E2940">
        <v>0.48107689999999997</v>
      </c>
      <c r="F2940" t="s">
        <v>41</v>
      </c>
      <c r="G2940">
        <v>-491.41239999999999</v>
      </c>
      <c r="H2940" s="1">
        <v>-1.5604910000000001E-6</v>
      </c>
      <c r="I2940">
        <v>262.35070000000002</v>
      </c>
      <c r="J2940">
        <v>-488.83150000000001</v>
      </c>
      <c r="K2940">
        <v>1.120009</v>
      </c>
      <c r="L2940">
        <v>273.12439999999998</v>
      </c>
      <c r="M2940">
        <v>-0.54277589999999998</v>
      </c>
      <c r="N2940">
        <v>0</v>
      </c>
      <c r="O2940">
        <v>-0.83974400000000005</v>
      </c>
      <c r="P2940">
        <v>-0.28695939999999998</v>
      </c>
      <c r="Q2940">
        <v>0.11399869999999999</v>
      </c>
      <c r="R2940">
        <v>-0.95113579999999998</v>
      </c>
      <c r="S2940">
        <v>-0.72756960000000004</v>
      </c>
      <c r="T2940">
        <v>-0.30452849999999998</v>
      </c>
      <c r="U2940">
        <v>-2.9721980000000001</v>
      </c>
      <c r="V2940">
        <v>-0.27831699999999998</v>
      </c>
      <c r="W2940">
        <v>0.1216309</v>
      </c>
      <c r="X2940">
        <v>0.95275679999999996</v>
      </c>
      <c r="Y2940">
        <v>-0.3282735</v>
      </c>
      <c r="Z2940">
        <v>7.4138480000000007E-2</v>
      </c>
      <c r="AA2940">
        <v>0.94166870000000003</v>
      </c>
      <c r="AB2940">
        <v>29</v>
      </c>
      <c r="AC2940">
        <v>-2.5808999999999802</v>
      </c>
      <c r="AD2940">
        <v>-1.120010560491</v>
      </c>
      <c r="AE2940">
        <v>-10.7736999999999</v>
      </c>
      <c r="AF2940">
        <v>-3.64358236390136</v>
      </c>
      <c r="AG2940">
        <v>-1.120010560491</v>
      </c>
      <c r="AH2940">
        <v>10.343455054116101</v>
      </c>
      <c r="AI2940">
        <v>95.831442001477697</v>
      </c>
      <c r="AJ2940">
        <v>109.405306692842</v>
      </c>
      <c r="AK2940">
        <v>11.0234830500466</v>
      </c>
      <c r="AL2940">
        <v>83.013764014041101</v>
      </c>
      <c r="AM2940">
        <v>106.28401115919699</v>
      </c>
      <c r="AN2940">
        <v>0.99999997413502395</v>
      </c>
    </row>
    <row r="2941" spans="1:40" x14ac:dyDescent="0.25">
      <c r="A2941" t="str">
        <f>"20190312164045033"</f>
        <v>20190312164045033</v>
      </c>
      <c r="B2941" t="str">
        <f>"1552380045028748"</f>
        <v>1552380045028748</v>
      </c>
      <c r="C2941" t="s">
        <v>40</v>
      </c>
      <c r="D2941">
        <v>5.6399549999999996</v>
      </c>
      <c r="E2941">
        <v>0.47198059999999997</v>
      </c>
      <c r="F2941" t="s">
        <v>41</v>
      </c>
      <c r="G2941">
        <v>-491.44880000000001</v>
      </c>
      <c r="H2941" s="1">
        <v>-1.5052650000000001E-6</v>
      </c>
      <c r="I2941">
        <v>262.19929999999999</v>
      </c>
      <c r="J2941">
        <v>-488.91199999999998</v>
      </c>
      <c r="K2941">
        <v>1.1199440000000001</v>
      </c>
      <c r="L2941">
        <v>272.988</v>
      </c>
      <c r="M2941">
        <v>-0.53714969999999995</v>
      </c>
      <c r="N2941">
        <v>0</v>
      </c>
      <c r="O2941">
        <v>-0.84335400000000005</v>
      </c>
      <c r="P2941">
        <v>-0.28270279999999998</v>
      </c>
      <c r="Q2941">
        <v>0.1136789</v>
      </c>
      <c r="R2941">
        <v>-0.9524475</v>
      </c>
      <c r="S2941">
        <v>-0.7128601</v>
      </c>
      <c r="T2941">
        <v>-0.30505280000000001</v>
      </c>
      <c r="U2941">
        <v>-2.975616</v>
      </c>
      <c r="V2941">
        <v>-0.27619700000000003</v>
      </c>
      <c r="W2941">
        <v>0.1214018</v>
      </c>
      <c r="X2941">
        <v>0.95340279999999999</v>
      </c>
      <c r="Y2941">
        <v>-0.32661489999999999</v>
      </c>
      <c r="Z2941">
        <v>7.4768100000000004E-2</v>
      </c>
      <c r="AA2941">
        <v>0.94219549999999996</v>
      </c>
      <c r="AB2941">
        <v>29</v>
      </c>
      <c r="AC2941">
        <v>-2.5368000000000199</v>
      </c>
      <c r="AD2941">
        <v>-1.119945505265</v>
      </c>
      <c r="AE2941">
        <v>-10.7887</v>
      </c>
      <c r="AF2941">
        <v>-3.6191796594754302</v>
      </c>
      <c r="AG2941">
        <v>-1.119945505265</v>
      </c>
      <c r="AH2941">
        <v>10.3567510264663</v>
      </c>
      <c r="AI2941">
        <v>95.828747629137297</v>
      </c>
      <c r="AJ2941">
        <v>109.26203190791099</v>
      </c>
      <c r="AK2941">
        <v>11.0279205277575</v>
      </c>
      <c r="AL2941">
        <v>83.026988936024196</v>
      </c>
      <c r="AM2941">
        <v>106.15609224738201</v>
      </c>
      <c r="AN2941">
        <v>1.0000000394500299</v>
      </c>
    </row>
    <row r="2942" spans="1:40" x14ac:dyDescent="0.25">
      <c r="A2942" t="str">
        <f>"20190312164045045"</f>
        <v>20190312164045045</v>
      </c>
      <c r="B2942" t="str">
        <f>"1552380045038508"</f>
        <v>1552380045038508</v>
      </c>
      <c r="C2942" t="s">
        <v>40</v>
      </c>
      <c r="D2942">
        <v>5.5551830000000004</v>
      </c>
      <c r="E2942">
        <v>0.47198059999999997</v>
      </c>
      <c r="F2942" t="s">
        <v>41</v>
      </c>
      <c r="G2942">
        <v>-490.55329999999998</v>
      </c>
      <c r="H2942" s="1">
        <v>-2.5184450000000001E-6</v>
      </c>
      <c r="I2942">
        <v>265.11649999999997</v>
      </c>
      <c r="J2942">
        <v>-488.9819</v>
      </c>
      <c r="K2942">
        <v>1.1198870000000001</v>
      </c>
      <c r="L2942">
        <v>272.86799999999999</v>
      </c>
      <c r="M2942">
        <v>-0.53222550000000002</v>
      </c>
      <c r="N2942">
        <v>0</v>
      </c>
      <c r="O2942">
        <v>-0.84647070000000002</v>
      </c>
      <c r="P2942">
        <v>-0.2790841</v>
      </c>
      <c r="Q2942">
        <v>0.1134897</v>
      </c>
      <c r="R2942">
        <v>-0.95353690000000002</v>
      </c>
      <c r="S2942">
        <v>-0.62853999999999999</v>
      </c>
      <c r="T2942">
        <v>-0.4288865</v>
      </c>
      <c r="U2942">
        <v>-3.0144350000000002</v>
      </c>
      <c r="V2942">
        <v>-0.27424749999999998</v>
      </c>
      <c r="W2942">
        <v>0.1212944</v>
      </c>
      <c r="X2942">
        <v>0.95397900000000002</v>
      </c>
      <c r="Y2942">
        <v>-0.34939419999999999</v>
      </c>
      <c r="Z2942">
        <v>0.10364950000000001</v>
      </c>
      <c r="AA2942">
        <v>0.93122519999999998</v>
      </c>
      <c r="AB2942">
        <v>29</v>
      </c>
      <c r="AC2942">
        <v>-1.5713999999999799</v>
      </c>
      <c r="AD2942">
        <v>-1.119889518445</v>
      </c>
      <c r="AE2942">
        <v>-7.7515000000000196</v>
      </c>
      <c r="AF2942">
        <v>-2.7407651618314102</v>
      </c>
      <c r="AG2942">
        <v>-1.119889518445</v>
      </c>
      <c r="AH2942">
        <v>7.2531660026768003</v>
      </c>
      <c r="AI2942">
        <v>98.218538947351107</v>
      </c>
      <c r="AJ2942">
        <v>110.700152894026</v>
      </c>
      <c r="AK2942">
        <v>7.8341791700355099</v>
      </c>
      <c r="AL2942">
        <v>83.033187882690896</v>
      </c>
      <c r="AM2942">
        <v>106.03875267793499</v>
      </c>
      <c r="AN2942">
        <v>0.99999997758430403</v>
      </c>
    </row>
    <row r="2943" spans="1:40" x14ac:dyDescent="0.25">
      <c r="A2943" t="str">
        <f>"20190312164045056"</f>
        <v>20190312164045056</v>
      </c>
      <c r="B2943" t="str">
        <f>"1552380045049244"</f>
        <v>1552380045049244</v>
      </c>
      <c r="C2943" t="s">
        <v>40</v>
      </c>
      <c r="D2943">
        <v>5.2672470000000002</v>
      </c>
      <c r="E2943">
        <v>0.4759621</v>
      </c>
      <c r="F2943" t="s">
        <v>41</v>
      </c>
      <c r="G2943">
        <v>-490.58870000000002</v>
      </c>
      <c r="H2943" s="1">
        <v>-2.4763119999999998E-6</v>
      </c>
      <c r="I2943">
        <v>264.99639999999999</v>
      </c>
      <c r="J2943">
        <v>-489.05930000000001</v>
      </c>
      <c r="K2943">
        <v>1.1198239999999999</v>
      </c>
      <c r="L2943">
        <v>272.7337</v>
      </c>
      <c r="M2943">
        <v>-0.52673329999999996</v>
      </c>
      <c r="N2943">
        <v>0</v>
      </c>
      <c r="O2943">
        <v>-0.84989939999999997</v>
      </c>
      <c r="P2943">
        <v>-0.27484999999999998</v>
      </c>
      <c r="Q2943">
        <v>0.11334950000000001</v>
      </c>
      <c r="R2943">
        <v>-0.95478249999999998</v>
      </c>
      <c r="S2943">
        <v>-0.61584469999999902</v>
      </c>
      <c r="T2943">
        <v>-0.42923640000000002</v>
      </c>
      <c r="U2943">
        <v>-3.0170590000000002</v>
      </c>
      <c r="V2943">
        <v>-0.27228590000000003</v>
      </c>
      <c r="W2943">
        <v>0.1212381</v>
      </c>
      <c r="X2943">
        <v>0.9545479</v>
      </c>
      <c r="Y2943">
        <v>-0.34726210000000002</v>
      </c>
      <c r="Z2943">
        <v>0.1044259</v>
      </c>
      <c r="AA2943">
        <v>0.93193579999999998</v>
      </c>
      <c r="AB2943">
        <v>29</v>
      </c>
      <c r="AC2943">
        <v>-1.5294000000000001</v>
      </c>
      <c r="AD2943">
        <v>-1.1198264763119901</v>
      </c>
      <c r="AE2943">
        <v>-7.7373000000000003</v>
      </c>
      <c r="AF2943">
        <v>-2.7211111175762301</v>
      </c>
      <c r="AG2943">
        <v>-1.1198264763119901</v>
      </c>
      <c r="AH2943">
        <v>7.2364534921364196</v>
      </c>
      <c r="AI2943">
        <v>98.241745864129896</v>
      </c>
      <c r="AJ2943">
        <v>110.60767993058199</v>
      </c>
      <c r="AK2943">
        <v>7.8118318079116102</v>
      </c>
      <c r="AL2943">
        <v>83.036437710717294</v>
      </c>
      <c r="AM2943">
        <v>105.920860640673</v>
      </c>
      <c r="AN2943">
        <v>0.99999999081241397</v>
      </c>
    </row>
    <row r="2944" spans="1:40" x14ac:dyDescent="0.25">
      <c r="A2944" t="str">
        <f>"20190312164045069"</f>
        <v>20190312164045069</v>
      </c>
      <c r="B2944" t="str">
        <f>"1552380045059004"</f>
        <v>1552380045059004</v>
      </c>
      <c r="C2944" t="s">
        <v>40</v>
      </c>
      <c r="D2944">
        <v>5.55457</v>
      </c>
      <c r="E2944">
        <v>0.47501949999999998</v>
      </c>
      <c r="F2944" t="s">
        <v>41</v>
      </c>
      <c r="G2944">
        <v>-491.69729999999998</v>
      </c>
      <c r="H2944" s="1">
        <v>-7.4844210000000004E-7</v>
      </c>
      <c r="I2944">
        <v>260.28100000000001</v>
      </c>
      <c r="J2944">
        <v>-489.13839999999999</v>
      </c>
      <c r="K2944">
        <v>1.1197589999999999</v>
      </c>
      <c r="L2944">
        <v>272.59350000000001</v>
      </c>
      <c r="M2944">
        <v>-0.52105699999999999</v>
      </c>
      <c r="N2944">
        <v>0</v>
      </c>
      <c r="O2944">
        <v>-0.85339149999999997</v>
      </c>
      <c r="P2944">
        <v>-0.27044879999999999</v>
      </c>
      <c r="Q2944">
        <v>0.1134363</v>
      </c>
      <c r="R2944">
        <v>-0.95602819999999999</v>
      </c>
      <c r="S2944">
        <v>-0.6337585</v>
      </c>
      <c r="T2944">
        <v>-0.26902090000000001</v>
      </c>
      <c r="U2944">
        <v>-2.9915769999999999</v>
      </c>
      <c r="V2944">
        <v>-0.27029419999999998</v>
      </c>
      <c r="W2944">
        <v>0.1214089</v>
      </c>
      <c r="X2944">
        <v>0.9550921</v>
      </c>
      <c r="Y2944">
        <v>-0.33339770000000002</v>
      </c>
      <c r="Z2944">
        <v>6.6985959999999997E-2</v>
      </c>
      <c r="AA2944">
        <v>0.94040349999999995</v>
      </c>
      <c r="AB2944">
        <v>29</v>
      </c>
      <c r="AC2944">
        <v>-2.5588999999999902</v>
      </c>
      <c r="AD2944">
        <v>-1.1197597484421</v>
      </c>
      <c r="AE2944">
        <v>-12.3125</v>
      </c>
      <c r="AF2944">
        <v>-4.1989502815208697</v>
      </c>
      <c r="AG2944">
        <v>-1.1197597484421</v>
      </c>
      <c r="AH2944">
        <v>11.748882068336099</v>
      </c>
      <c r="AI2944">
        <v>95.128456021642705</v>
      </c>
      <c r="AJ2944">
        <v>109.66645637417</v>
      </c>
      <c r="AK2944">
        <v>12.5268222313795</v>
      </c>
      <c r="AL2944">
        <v>83.026578810622496</v>
      </c>
      <c r="AM2944">
        <v>105.801687228304</v>
      </c>
      <c r="AN2944">
        <v>0.99999999751762902</v>
      </c>
    </row>
    <row r="2945" spans="1:40" x14ac:dyDescent="0.25">
      <c r="A2945" t="str">
        <f>"20190312164045081"</f>
        <v>20190312164045081</v>
      </c>
      <c r="B2945" t="str">
        <f>"1552380045068764"</f>
        <v>1552380045068764</v>
      </c>
      <c r="C2945" t="s">
        <v>40</v>
      </c>
      <c r="D2945">
        <v>5.61578</v>
      </c>
      <c r="E2945">
        <v>0.47530719999999999</v>
      </c>
      <c r="F2945" t="s">
        <v>41</v>
      </c>
      <c r="G2945">
        <v>-491.37389999999999</v>
      </c>
      <c r="H2945" s="1">
        <v>-1.241351E-6</v>
      </c>
      <c r="I2945">
        <v>261.63060000000002</v>
      </c>
      <c r="J2945">
        <v>-489.21589999999998</v>
      </c>
      <c r="K2945">
        <v>1.1196969999999999</v>
      </c>
      <c r="L2945">
        <v>272.45479999999998</v>
      </c>
      <c r="M2945">
        <v>-0.51545180000000002</v>
      </c>
      <c r="N2945">
        <v>0</v>
      </c>
      <c r="O2945">
        <v>-0.85678889999999996</v>
      </c>
      <c r="P2945">
        <v>-0.2659338</v>
      </c>
      <c r="Q2945">
        <v>0.1137447</v>
      </c>
      <c r="R2945">
        <v>-0.95725729999999998</v>
      </c>
      <c r="S2945">
        <v>-0.61199950000000003</v>
      </c>
      <c r="T2945">
        <v>-0.30654680000000001</v>
      </c>
      <c r="U2945">
        <v>-3.0012210000000001</v>
      </c>
      <c r="V2945">
        <v>-0.26850669999999999</v>
      </c>
      <c r="W2945">
        <v>0.12179420000000001</v>
      </c>
      <c r="X2945">
        <v>0.95554720000000004</v>
      </c>
      <c r="Y2945">
        <v>-0.3345052</v>
      </c>
      <c r="Z2945">
        <v>7.6530329999999994E-2</v>
      </c>
      <c r="AA2945">
        <v>0.93928129999999999</v>
      </c>
      <c r="AB2945">
        <v>29</v>
      </c>
      <c r="AC2945">
        <v>-2.1580000000000101</v>
      </c>
      <c r="AD2945">
        <v>-1.1196982413509999</v>
      </c>
      <c r="AE2945">
        <v>-10.8241999999999</v>
      </c>
      <c r="AF2945">
        <v>-3.69281257714528</v>
      </c>
      <c r="AG2945">
        <v>-1.1196982413509999</v>
      </c>
      <c r="AH2945">
        <v>10.281738210819601</v>
      </c>
      <c r="AI2945">
        <v>95.851898456394593</v>
      </c>
      <c r="AJ2945">
        <v>109.756374219194</v>
      </c>
      <c r="AK2945">
        <v>10.982018462807099</v>
      </c>
      <c r="AL2945">
        <v>83.004338157398806</v>
      </c>
      <c r="AM2945">
        <v>105.695248351423</v>
      </c>
      <c r="AN2945">
        <v>1.00000006326318</v>
      </c>
    </row>
    <row r="2946" spans="1:40" x14ac:dyDescent="0.25">
      <c r="A2946" t="str">
        <f>"20190312164045093"</f>
        <v>20190312164045093</v>
      </c>
      <c r="B2946" t="str">
        <f>"1552380045089260"</f>
        <v>1552380045089260</v>
      </c>
      <c r="C2946" t="s">
        <v>40</v>
      </c>
      <c r="D2946">
        <v>5.5167409999999997</v>
      </c>
      <c r="E2946">
        <v>0.47630240000000001</v>
      </c>
      <c r="F2946" t="s">
        <v>41</v>
      </c>
      <c r="G2946">
        <v>-491.4753</v>
      </c>
      <c r="H2946" s="1">
        <v>-1.0555990000000001E-6</v>
      </c>
      <c r="I2946">
        <v>261.13470000000001</v>
      </c>
      <c r="J2946">
        <v>-489.28579999999999</v>
      </c>
      <c r="K2946">
        <v>1.119642</v>
      </c>
      <c r="L2946">
        <v>272.32749999999999</v>
      </c>
      <c r="M2946">
        <v>-0.51034999999999997</v>
      </c>
      <c r="N2946">
        <v>0</v>
      </c>
      <c r="O2946">
        <v>-0.85983779999999999</v>
      </c>
      <c r="P2946">
        <v>-0.26269920000000002</v>
      </c>
      <c r="Q2946">
        <v>0.1138333</v>
      </c>
      <c r="R2946">
        <v>-0.95813970000000004</v>
      </c>
      <c r="S2946">
        <v>-0.59930419999999995</v>
      </c>
      <c r="T2946">
        <v>-0.29700759999999998</v>
      </c>
      <c r="U2946">
        <v>-3.0027159999999999</v>
      </c>
      <c r="V2946">
        <v>-0.2660284</v>
      </c>
      <c r="W2946">
        <v>0.121975399999999</v>
      </c>
      <c r="X2946">
        <v>0.95621699999999998</v>
      </c>
      <c r="Y2946">
        <v>-0.33278059999999998</v>
      </c>
      <c r="Z2946">
        <v>7.4619110000000002E-2</v>
      </c>
      <c r="AA2946">
        <v>0.94004739999999998</v>
      </c>
      <c r="AB2946">
        <v>29</v>
      </c>
      <c r="AC2946">
        <v>-2.1894999999999998</v>
      </c>
      <c r="AD2946">
        <v>-1.119643055599</v>
      </c>
      <c r="AE2946">
        <v>-11.192799999999901</v>
      </c>
      <c r="AF2946">
        <v>-3.79349492171949</v>
      </c>
      <c r="AG2946">
        <v>-1.119643055599</v>
      </c>
      <c r="AH2946">
        <v>10.6400499275491</v>
      </c>
      <c r="AI2946">
        <v>95.660548661731298</v>
      </c>
      <c r="AJ2946">
        <v>109.622666140988</v>
      </c>
      <c r="AK2946">
        <v>11.3514257586349</v>
      </c>
      <c r="AL2946">
        <v>82.993877937749204</v>
      </c>
      <c r="AM2946">
        <v>105.547058294435</v>
      </c>
      <c r="AN2946">
        <v>1.0000000294503499</v>
      </c>
    </row>
    <row r="2947" spans="1:40" x14ac:dyDescent="0.25">
      <c r="A2947" t="str">
        <f>"20190312164045110"</f>
        <v>20190312164045110</v>
      </c>
      <c r="B2947" t="str">
        <f>"1552380045099020"</f>
        <v>1552380045099020</v>
      </c>
      <c r="C2947" t="s">
        <v>40</v>
      </c>
      <c r="D2947">
        <v>5.5067250000000003</v>
      </c>
      <c r="E2947">
        <v>0.47653420000000002</v>
      </c>
      <c r="F2947" t="s">
        <v>41</v>
      </c>
      <c r="G2947">
        <v>-491.61360000000002</v>
      </c>
      <c r="H2947" s="1">
        <v>-8.642213E-7</v>
      </c>
      <c r="I2947">
        <v>260.6028</v>
      </c>
      <c r="J2947">
        <v>-489.39530000000002</v>
      </c>
      <c r="K2947">
        <v>1.1195580000000001</v>
      </c>
      <c r="L2947">
        <v>272.12459999999999</v>
      </c>
      <c r="M2947">
        <v>-0.50226599999999999</v>
      </c>
      <c r="N2947">
        <v>0</v>
      </c>
      <c r="O2947">
        <v>-0.86458519999999905</v>
      </c>
      <c r="P2947">
        <v>-0.25867820000000002</v>
      </c>
      <c r="Q2947">
        <v>0.1144732</v>
      </c>
      <c r="R2947">
        <v>-0.95915660000000003</v>
      </c>
      <c r="S2947">
        <v>-0.59594729999999996</v>
      </c>
      <c r="T2947">
        <v>-0.28664489999999998</v>
      </c>
      <c r="U2947">
        <v>-3.0016780000000001</v>
      </c>
      <c r="V2947">
        <v>-0.2610112</v>
      </c>
      <c r="W2947">
        <v>0.1227876</v>
      </c>
      <c r="X2947">
        <v>0.95749490000000004</v>
      </c>
      <c r="Y2947">
        <v>-0.32485140000000001</v>
      </c>
      <c r="Z2947">
        <v>7.2848850000000007E-2</v>
      </c>
      <c r="AA2947">
        <v>0.94295530000000005</v>
      </c>
      <c r="AB2947">
        <v>29</v>
      </c>
      <c r="AC2947">
        <v>-2.2183000000000002</v>
      </c>
      <c r="AD2947">
        <v>-1.1195588642212999</v>
      </c>
      <c r="AE2947">
        <v>-11.521799999999899</v>
      </c>
      <c r="AF2947">
        <v>-3.8346157883089802</v>
      </c>
      <c r="AG2947">
        <v>-1.1195588642212999</v>
      </c>
      <c r="AH2947">
        <v>10.977042004159401</v>
      </c>
      <c r="AI2947">
        <v>95.499775056028895</v>
      </c>
      <c r="AJ2947">
        <v>109.255866799342</v>
      </c>
      <c r="AK2947">
        <v>11.6813159128364</v>
      </c>
      <c r="AL2947">
        <v>82.946990087606096</v>
      </c>
      <c r="AM2947">
        <v>105.248224764783</v>
      </c>
      <c r="AN2947">
        <v>1.0000000623826</v>
      </c>
    </row>
    <row r="2948" spans="1:40" x14ac:dyDescent="0.25">
      <c r="A2948" t="str">
        <f>"20190312164045122"</f>
        <v>20190312164045122</v>
      </c>
      <c r="B2948" t="str">
        <f>"1552380045118540"</f>
        <v>1552380045118540</v>
      </c>
      <c r="C2948" t="s">
        <v>40</v>
      </c>
      <c r="D2948">
        <v>5.6695270000000004</v>
      </c>
      <c r="E2948">
        <v>0.4771744</v>
      </c>
      <c r="F2948" t="s">
        <v>41</v>
      </c>
      <c r="G2948">
        <v>-491.71089999999998</v>
      </c>
      <c r="H2948" s="1">
        <v>-7.12935E-7</v>
      </c>
      <c r="I2948">
        <v>260.18979999999999</v>
      </c>
      <c r="J2948">
        <v>-489.46289999999999</v>
      </c>
      <c r="K2948">
        <v>1.1195029999999999</v>
      </c>
      <c r="L2948">
        <v>271.99740000000003</v>
      </c>
      <c r="M2948">
        <v>-0.49721860000000001</v>
      </c>
      <c r="N2948">
        <v>0</v>
      </c>
      <c r="O2948">
        <v>-0.86749799999999999</v>
      </c>
      <c r="P2948">
        <v>-0.2560402</v>
      </c>
      <c r="Q2948">
        <v>0.1144664</v>
      </c>
      <c r="R2948">
        <v>-0.95986519999999997</v>
      </c>
      <c r="S2948">
        <v>-0.58288569999999995</v>
      </c>
      <c r="T2948">
        <v>-0.2818117</v>
      </c>
      <c r="U2948">
        <v>-3.004181</v>
      </c>
      <c r="V2948">
        <v>-0.25804110000000002</v>
      </c>
      <c r="W2948">
        <v>0.1228827</v>
      </c>
      <c r="X2948">
        <v>0.95828740000000001</v>
      </c>
      <c r="Y2948">
        <v>-0.32342389999999999</v>
      </c>
      <c r="Z2948">
        <v>7.201051E-2</v>
      </c>
      <c r="AA2948">
        <v>0.94351019999999997</v>
      </c>
      <c r="AB2948">
        <v>29</v>
      </c>
      <c r="AC2948">
        <v>-2.24799999999999</v>
      </c>
      <c r="AD2948">
        <v>-1.1195037129350001</v>
      </c>
      <c r="AE2948">
        <v>-11.807600000000001</v>
      </c>
      <c r="AF2948">
        <v>-3.8875319700176498</v>
      </c>
      <c r="AG2948">
        <v>-1.1195037129350001</v>
      </c>
      <c r="AH2948">
        <v>11.264354534294901</v>
      </c>
      <c r="AI2948">
        <v>95.367021250056098</v>
      </c>
      <c r="AJ2948">
        <v>109.040478013398</v>
      </c>
      <c r="AK2948">
        <v>11.968787593381199</v>
      </c>
      <c r="AL2948">
        <v>82.941499622360794</v>
      </c>
      <c r="AM2948">
        <v>105.070754109771</v>
      </c>
      <c r="AN2948">
        <v>1.00000005412362</v>
      </c>
    </row>
    <row r="2949" spans="1:40" x14ac:dyDescent="0.25">
      <c r="A2949" t="str">
        <f>"20190312164045132"</f>
        <v>20190312164045132</v>
      </c>
      <c r="B2949" t="str">
        <f>"1552380045129275"</f>
        <v>1552380045129275</v>
      </c>
      <c r="C2949" t="s">
        <v>40</v>
      </c>
      <c r="D2949">
        <v>5.5655049999999999</v>
      </c>
      <c r="E2949">
        <v>0.4771744</v>
      </c>
      <c r="F2949" t="s">
        <v>41</v>
      </c>
      <c r="G2949">
        <v>-491.77120000000002</v>
      </c>
      <c r="H2949" s="1">
        <v>-6.5923059999999895E-7</v>
      </c>
      <c r="I2949">
        <v>260.02730000000003</v>
      </c>
      <c r="J2949">
        <v>-489.52929999999998</v>
      </c>
      <c r="K2949">
        <v>1.119453</v>
      </c>
      <c r="L2949">
        <v>271.87040000000002</v>
      </c>
      <c r="M2949">
        <v>-0.49221169999999997</v>
      </c>
      <c r="N2949">
        <v>0</v>
      </c>
      <c r="O2949">
        <v>-0.87034909999999999</v>
      </c>
      <c r="P2949">
        <v>-0.25327499999999997</v>
      </c>
      <c r="Q2949">
        <v>0.1142962</v>
      </c>
      <c r="R2949">
        <v>-0.96061890000000005</v>
      </c>
      <c r="S2949">
        <v>-0.57937620000000001</v>
      </c>
      <c r="T2949">
        <v>-0.28098810000000002</v>
      </c>
      <c r="U2949">
        <v>-3.0044249999999999</v>
      </c>
      <c r="V2949">
        <v>-0.25526320000000002</v>
      </c>
      <c r="W2949">
        <v>0.122807</v>
      </c>
      <c r="X2949">
        <v>0.95904080000000003</v>
      </c>
      <c r="Y2949">
        <v>-0.3190482</v>
      </c>
      <c r="Z2949">
        <v>7.2254789999999999E-2</v>
      </c>
      <c r="AA2949">
        <v>0.94498009999999999</v>
      </c>
      <c r="AB2949">
        <v>29</v>
      </c>
      <c r="AC2949">
        <v>-2.2419000000000402</v>
      </c>
      <c r="AD2949">
        <v>-1.1194536592305999</v>
      </c>
      <c r="AE2949">
        <v>-11.8430999999999</v>
      </c>
      <c r="AF2949">
        <v>-3.8453351074616</v>
      </c>
      <c r="AG2949">
        <v>-1.1194536592305999</v>
      </c>
      <c r="AH2949">
        <v>11.314779604392299</v>
      </c>
      <c r="AI2949">
        <v>95.351587716590998</v>
      </c>
      <c r="AJ2949">
        <v>108.77036201522699</v>
      </c>
      <c r="AK2949">
        <v>12.002667040279601</v>
      </c>
      <c r="AL2949">
        <v>82.945870044040205</v>
      </c>
      <c r="AM2949">
        <v>104.904584603827</v>
      </c>
      <c r="AN2949">
        <v>1.0000000582939299</v>
      </c>
    </row>
    <row r="2950" spans="1:40" x14ac:dyDescent="0.25">
      <c r="A2950" t="str">
        <f>"20190312164045145"</f>
        <v>20190312164045145</v>
      </c>
      <c r="B2950" t="str">
        <f>"1552380045139036"</f>
        <v>1552380045139036</v>
      </c>
      <c r="C2950" t="s">
        <v>40</v>
      </c>
      <c r="D2950">
        <v>5.6576559999999896</v>
      </c>
      <c r="E2950">
        <v>0.47436309999999898</v>
      </c>
      <c r="F2950" t="s">
        <v>41</v>
      </c>
      <c r="G2950">
        <v>-491.79689999999999</v>
      </c>
      <c r="H2950" s="1">
        <v>-6.1392460000000004E-7</v>
      </c>
      <c r="I2950">
        <v>259.90570000000002</v>
      </c>
      <c r="J2950">
        <v>-489.60219999999998</v>
      </c>
      <c r="K2950">
        <v>1.1193959999999901</v>
      </c>
      <c r="L2950">
        <v>271.72879999999998</v>
      </c>
      <c r="M2950">
        <v>-0.48664829999999998</v>
      </c>
      <c r="N2950">
        <v>0</v>
      </c>
      <c r="O2950">
        <v>-0.87347189999999997</v>
      </c>
      <c r="P2950">
        <v>-0.25025710000000001</v>
      </c>
      <c r="Q2950">
        <v>0.1141992</v>
      </c>
      <c r="R2950">
        <v>-0.96142070000000002</v>
      </c>
      <c r="S2950">
        <v>-0.56976319999999903</v>
      </c>
      <c r="T2950">
        <v>-0.2812752</v>
      </c>
      <c r="U2950">
        <v>-3.006256</v>
      </c>
      <c r="V2950">
        <v>-0.25213539999999901</v>
      </c>
      <c r="W2950">
        <v>0.12281400000000001</v>
      </c>
      <c r="X2950">
        <v>0.95986689999999997</v>
      </c>
      <c r="Y2950">
        <v>-0.31602849999999999</v>
      </c>
      <c r="Z2950">
        <v>7.2769799999999996E-2</v>
      </c>
      <c r="AA2950">
        <v>0.94595479999999998</v>
      </c>
      <c r="AB2950">
        <v>29</v>
      </c>
      <c r="AC2950">
        <v>-2.1947000000000099</v>
      </c>
      <c r="AD2950">
        <v>-1.1193966139246001</v>
      </c>
      <c r="AE2950">
        <v>-11.823099999999901</v>
      </c>
      <c r="AF2950">
        <v>-3.8041406702407699</v>
      </c>
      <c r="AG2950">
        <v>-1.1193966139246001</v>
      </c>
      <c r="AH2950">
        <v>11.2985406298797</v>
      </c>
      <c r="AI2950">
        <v>95.3640718105313</v>
      </c>
      <c r="AJ2950">
        <v>108.608024253588</v>
      </c>
      <c r="AK2950">
        <v>11.974203747359899</v>
      </c>
      <c r="AL2950">
        <v>82.945465516123505</v>
      </c>
      <c r="AM2950">
        <v>104.71781578325501</v>
      </c>
      <c r="AN2950">
        <v>1.00000000212238</v>
      </c>
    </row>
    <row r="2951" spans="1:40" x14ac:dyDescent="0.25">
      <c r="A2951" t="str">
        <f>"20190312164045158"</f>
        <v>20190312164045158</v>
      </c>
      <c r="B2951" t="str">
        <f>"1552380045148796"</f>
        <v>1552380045148796</v>
      </c>
      <c r="C2951" t="s">
        <v>40</v>
      </c>
      <c r="D2951">
        <v>5.60778</v>
      </c>
      <c r="E2951">
        <v>0.47635840000000002</v>
      </c>
      <c r="F2951" t="s">
        <v>41</v>
      </c>
      <c r="G2951">
        <v>-491.03359999999998</v>
      </c>
      <c r="H2951" s="1">
        <v>-2.0026749999999998E-6</v>
      </c>
      <c r="I2951">
        <v>263.61630000000002</v>
      </c>
      <c r="J2951">
        <v>-489.6773</v>
      </c>
      <c r="K2951">
        <v>1.1193379999999999</v>
      </c>
      <c r="L2951">
        <v>271.58150000000001</v>
      </c>
      <c r="M2951">
        <v>-0.48087809999999998</v>
      </c>
      <c r="N2951">
        <v>0</v>
      </c>
      <c r="O2951">
        <v>-0.876662099999999</v>
      </c>
      <c r="P2951">
        <v>-0.24710380000000001</v>
      </c>
      <c r="Q2951">
        <v>0.1137349</v>
      </c>
      <c r="R2951">
        <v>-0.96229109999999995</v>
      </c>
      <c r="S2951">
        <v>-0.53478999999999999</v>
      </c>
      <c r="T2951">
        <v>-0.41821340000000001</v>
      </c>
      <c r="U2951">
        <v>-3.030853</v>
      </c>
      <c r="V2951">
        <v>-0.24894540000000001</v>
      </c>
      <c r="W2951">
        <v>0.1224553</v>
      </c>
      <c r="X2951">
        <v>0.96074499999999996</v>
      </c>
      <c r="Y2951">
        <v>-0.3222836</v>
      </c>
      <c r="Z2951">
        <v>0.1074194</v>
      </c>
      <c r="AA2951">
        <v>0.94052880000000005</v>
      </c>
      <c r="AB2951">
        <v>29</v>
      </c>
      <c r="AC2951">
        <v>-1.3562999999999701</v>
      </c>
      <c r="AD2951">
        <v>-1.119340002675</v>
      </c>
      <c r="AE2951">
        <v>-7.9651999999999799</v>
      </c>
      <c r="AF2951">
        <v>-2.59182184219843</v>
      </c>
      <c r="AG2951">
        <v>-1.119340002675</v>
      </c>
      <c r="AH2951">
        <v>7.4920565480490904</v>
      </c>
      <c r="AI2951">
        <v>98.036667883816307</v>
      </c>
      <c r="AJ2951">
        <v>109.082685063488</v>
      </c>
      <c r="AK2951">
        <v>8.0063333569400292</v>
      </c>
      <c r="AL2951">
        <v>82.966174045298402</v>
      </c>
      <c r="AM2951">
        <v>104.526819433075</v>
      </c>
      <c r="AN2951">
        <v>1.00000003385212</v>
      </c>
    </row>
    <row r="2952" spans="1:40" x14ac:dyDescent="0.25">
      <c r="A2952" t="str">
        <f>"20190312164045170"</f>
        <v>20190312164045170</v>
      </c>
      <c r="B2952" t="str">
        <f>"1552380045158556"</f>
        <v>1552380045158556</v>
      </c>
      <c r="C2952" t="s">
        <v>40</v>
      </c>
      <c r="D2952">
        <v>5.6077159999999999</v>
      </c>
      <c r="E2952">
        <v>0.47733740000000002</v>
      </c>
      <c r="F2952" t="s">
        <v>41</v>
      </c>
      <c r="G2952">
        <v>-491.31099999999998</v>
      </c>
      <c r="H2952" s="1">
        <v>-1.5708169999999999E-6</v>
      </c>
      <c r="I2952">
        <v>262.43759999999997</v>
      </c>
      <c r="J2952">
        <v>-489.74740000000003</v>
      </c>
      <c r="K2952">
        <v>1.119289</v>
      </c>
      <c r="L2952">
        <v>271.44060000000002</v>
      </c>
      <c r="M2952">
        <v>-0.47539500000000001</v>
      </c>
      <c r="N2952">
        <v>0</v>
      </c>
      <c r="O2952">
        <v>-0.87964779999999998</v>
      </c>
      <c r="P2952">
        <v>-0.24409410000000001</v>
      </c>
      <c r="Q2952">
        <v>0.1135401</v>
      </c>
      <c r="R2952">
        <v>-0.96308199999999999</v>
      </c>
      <c r="S2952">
        <v>-0.54003909999999999</v>
      </c>
      <c r="T2952">
        <v>-0.37001220000000001</v>
      </c>
      <c r="U2952">
        <v>-3.0226440000000001</v>
      </c>
      <c r="V2952">
        <v>-0.24593599999999999</v>
      </c>
      <c r="W2952">
        <v>0.1223564</v>
      </c>
      <c r="X2952">
        <v>0.96153230000000001</v>
      </c>
      <c r="Y2952">
        <v>-0.31413809999999998</v>
      </c>
      <c r="Z2952">
        <v>9.6145179999999997E-2</v>
      </c>
      <c r="AA2952">
        <v>0.94449629999999996</v>
      </c>
      <c r="AB2952">
        <v>29</v>
      </c>
      <c r="AC2952">
        <v>-1.5635999999999499</v>
      </c>
      <c r="AD2952">
        <v>-1.119290570817</v>
      </c>
      <c r="AE2952">
        <v>-9.0030000000000392</v>
      </c>
      <c r="AF2952">
        <v>-2.86194209040353</v>
      </c>
      <c r="AG2952">
        <v>-1.119290570817</v>
      </c>
      <c r="AH2952">
        <v>8.5356782173831292</v>
      </c>
      <c r="AI2952">
        <v>97.087124875028593</v>
      </c>
      <c r="AJ2952">
        <v>108.535875136125</v>
      </c>
      <c r="AK2952">
        <v>9.07200785611718</v>
      </c>
      <c r="AL2952">
        <v>82.971883182498999</v>
      </c>
      <c r="AM2952">
        <v>104.347241486096</v>
      </c>
      <c r="AN2952">
        <v>0.99999998433012405</v>
      </c>
    </row>
    <row r="2953" spans="1:40" x14ac:dyDescent="0.25">
      <c r="A2953" t="str">
        <f>"20190312164045185"</f>
        <v>20190312164045185</v>
      </c>
      <c r="B2953" t="str">
        <f>"1552380045179052"</f>
        <v>1552380045179052</v>
      </c>
      <c r="C2953" t="s">
        <v>40</v>
      </c>
      <c r="D2953">
        <v>5.2974110000000003</v>
      </c>
      <c r="E2953">
        <v>0.4784602</v>
      </c>
      <c r="F2953" t="s">
        <v>41</v>
      </c>
      <c r="G2953">
        <v>-491.4932</v>
      </c>
      <c r="H2953" s="1">
        <v>-1.2802470000000001E-6</v>
      </c>
      <c r="I2953">
        <v>261.64729999999997</v>
      </c>
      <c r="J2953">
        <v>-489.82889999999998</v>
      </c>
      <c r="K2953">
        <v>1.1192299999999999</v>
      </c>
      <c r="L2953">
        <v>271.27460000000002</v>
      </c>
      <c r="M2953">
        <v>-0.4689509</v>
      </c>
      <c r="N2953">
        <v>0</v>
      </c>
      <c r="O2953">
        <v>-0.88310049999999995</v>
      </c>
      <c r="P2953">
        <v>-0.2404318</v>
      </c>
      <c r="Q2953">
        <v>0.1131872</v>
      </c>
      <c r="R2953">
        <v>-0.96404429999999997</v>
      </c>
      <c r="S2953">
        <v>-0.53820800000000002</v>
      </c>
      <c r="T2953">
        <v>-0.34507369999999998</v>
      </c>
      <c r="U2953">
        <v>-3.0192260000000002</v>
      </c>
      <c r="V2953">
        <v>-0.24254809999999999</v>
      </c>
      <c r="W2953">
        <v>0.1221103</v>
      </c>
      <c r="X2953">
        <v>0.96242369999999999</v>
      </c>
      <c r="Y2953">
        <v>-0.30746590000000001</v>
      </c>
      <c r="Z2953">
        <v>9.0538170000000001E-2</v>
      </c>
      <c r="AA2953">
        <v>0.94724209999999998</v>
      </c>
      <c r="AB2953">
        <v>29</v>
      </c>
      <c r="AC2953">
        <v>-1.6643000000000201</v>
      </c>
      <c r="AD2953">
        <v>-1.1192312802469999</v>
      </c>
      <c r="AE2953">
        <v>-9.6273000000000408</v>
      </c>
      <c r="AF2953">
        <v>-3.0058727826858198</v>
      </c>
      <c r="AG2953">
        <v>-1.1192312802469999</v>
      </c>
      <c r="AH2953">
        <v>9.1631130065324395</v>
      </c>
      <c r="AI2953">
        <v>96.620140192296603</v>
      </c>
      <c r="AJ2953">
        <v>108.161588969758</v>
      </c>
      <c r="AK2953">
        <v>9.7082742964369704</v>
      </c>
      <c r="AL2953">
        <v>82.986089910418201</v>
      </c>
      <c r="AM2953">
        <v>104.14501345017401</v>
      </c>
      <c r="AN2953">
        <v>0.999999942250693</v>
      </c>
    </row>
    <row r="2954" spans="1:40" x14ac:dyDescent="0.25">
      <c r="A2954" t="str">
        <f>"20190312164045202"</f>
        <v>20190312164045202</v>
      </c>
      <c r="B2954" t="str">
        <f>"1552380045188813"</f>
        <v>1552380045188813</v>
      </c>
      <c r="C2954" t="s">
        <v>40</v>
      </c>
      <c r="D2954">
        <v>5.5540209999999997</v>
      </c>
      <c r="E2954">
        <v>0.47893069999999999</v>
      </c>
      <c r="F2954" t="s">
        <v>41</v>
      </c>
      <c r="G2954">
        <v>-491.6771</v>
      </c>
      <c r="H2954" s="1">
        <v>-9.9118069999999895E-7</v>
      </c>
      <c r="I2954">
        <v>260.85939999999999</v>
      </c>
      <c r="J2954">
        <v>-489.92110000000002</v>
      </c>
      <c r="K2954">
        <v>1.119167</v>
      </c>
      <c r="L2954">
        <v>271.08370000000002</v>
      </c>
      <c r="M2954">
        <v>-0.46155960000000001</v>
      </c>
      <c r="N2954">
        <v>0</v>
      </c>
      <c r="O2954">
        <v>-0.886986099999999</v>
      </c>
      <c r="P2954">
        <v>-0.23880390000000001</v>
      </c>
      <c r="Q2954">
        <v>0.11240550000000001</v>
      </c>
      <c r="R2954">
        <v>-0.96454050000000002</v>
      </c>
      <c r="S2954">
        <v>-0.53527829999999998</v>
      </c>
      <c r="T2954">
        <v>-0.3241501</v>
      </c>
      <c r="U2954">
        <v>-3.0164490000000002</v>
      </c>
      <c r="V2954">
        <v>-0.23612749999999999</v>
      </c>
      <c r="W2954">
        <v>0.121513</v>
      </c>
      <c r="X2954">
        <v>0.96409460000000002</v>
      </c>
      <c r="Y2954">
        <v>-0.30017890000000003</v>
      </c>
      <c r="Z2954">
        <v>8.5915759999999994E-2</v>
      </c>
      <c r="AA2954">
        <v>0.95000589999999996</v>
      </c>
      <c r="AB2954">
        <v>29</v>
      </c>
      <c r="AC2954">
        <v>-1.75599999999997</v>
      </c>
      <c r="AD2954">
        <v>-1.1191679911807</v>
      </c>
      <c r="AE2954">
        <v>-10.224299999999999</v>
      </c>
      <c r="AF2954">
        <v>-3.1255447661935598</v>
      </c>
      <c r="AG2954">
        <v>-1.1191679911807</v>
      </c>
      <c r="AH2954">
        <v>9.76671933554681</v>
      </c>
      <c r="AI2954">
        <v>96.2284736327167</v>
      </c>
      <c r="AJ2954">
        <v>107.74570707181</v>
      </c>
      <c r="AK2954">
        <v>10.3155403957964</v>
      </c>
      <c r="AL2954">
        <v>83.020569859281395</v>
      </c>
      <c r="AM2954">
        <v>103.762057825875</v>
      </c>
      <c r="AN2954">
        <v>1.0000000015871999</v>
      </c>
    </row>
    <row r="2955" spans="1:40" x14ac:dyDescent="0.25">
      <c r="A2955" t="str">
        <f>"20190312164045216"</f>
        <v>20190312164045216</v>
      </c>
      <c r="B2955" t="str">
        <f>"1552380045209308"</f>
        <v>1552380045209308</v>
      </c>
      <c r="C2955" t="s">
        <v>40</v>
      </c>
      <c r="D2955">
        <v>5.5527150000000001</v>
      </c>
      <c r="E2955">
        <v>0.47977049999999999</v>
      </c>
      <c r="F2955" t="s">
        <v>41</v>
      </c>
      <c r="G2955">
        <v>-491.7876</v>
      </c>
      <c r="H2955" s="1">
        <v>-8.6826889999999996E-7</v>
      </c>
      <c r="I2955">
        <v>260.50439999999998</v>
      </c>
      <c r="J2955">
        <v>-490.00130000000001</v>
      </c>
      <c r="K2955">
        <v>1.1191199999999999</v>
      </c>
      <c r="L2955">
        <v>270.91410000000002</v>
      </c>
      <c r="M2955">
        <v>-0.45501209999999997</v>
      </c>
      <c r="N2955">
        <v>0</v>
      </c>
      <c r="O2955">
        <v>-0.89036319999999902</v>
      </c>
      <c r="P2955">
        <v>-0.23512949999999999</v>
      </c>
      <c r="Q2955">
        <v>0.1120014</v>
      </c>
      <c r="R2955">
        <v>-0.96548999999999996</v>
      </c>
      <c r="S2955">
        <v>-0.53207399999999905</v>
      </c>
      <c r="T2955">
        <v>-0.31902649999999999</v>
      </c>
      <c r="U2955">
        <v>-3.015717</v>
      </c>
      <c r="V2955">
        <v>-0.23268630000000001</v>
      </c>
      <c r="W2955">
        <v>0.1212111</v>
      </c>
      <c r="X2955">
        <v>0.96496890000000002</v>
      </c>
      <c r="Y2955">
        <v>-0.29407329999999998</v>
      </c>
      <c r="Z2955">
        <v>8.5213800000000006E-2</v>
      </c>
      <c r="AA2955">
        <v>0.95197670000000001</v>
      </c>
      <c r="AB2955">
        <v>29</v>
      </c>
      <c r="AC2955">
        <v>-1.78629999999998</v>
      </c>
      <c r="AD2955">
        <v>-1.1191208682689</v>
      </c>
      <c r="AE2955">
        <v>-10.409700000000001</v>
      </c>
      <c r="AF2955">
        <v>-3.1114921128965101</v>
      </c>
      <c r="AG2955">
        <v>-1.1191208682689</v>
      </c>
      <c r="AH2955">
        <v>9.9703579155279396</v>
      </c>
      <c r="AI2955">
        <v>96.115817365023801</v>
      </c>
      <c r="AJ2955">
        <v>107.33179927627999</v>
      </c>
      <c r="AK2955">
        <v>10.5043729774862</v>
      </c>
      <c r="AL2955">
        <v>83.037996334928394</v>
      </c>
      <c r="AM2955">
        <v>103.557123564256</v>
      </c>
      <c r="AN2955">
        <v>1.0000000114690499</v>
      </c>
    </row>
    <row r="2956" spans="1:40" x14ac:dyDescent="0.25">
      <c r="A2956" t="str">
        <f>"20190312164045230"</f>
        <v>20190312164045230</v>
      </c>
      <c r="B2956" t="str">
        <f>"1552380045219069"</f>
        <v>1552380045219069</v>
      </c>
      <c r="C2956" t="s">
        <v>40</v>
      </c>
      <c r="D2956">
        <v>5.6731610000000003</v>
      </c>
      <c r="E2956">
        <v>0.4802517</v>
      </c>
      <c r="F2956" t="s">
        <v>41</v>
      </c>
      <c r="G2956">
        <v>-491.89679999999998</v>
      </c>
      <c r="H2956" s="1">
        <v>-7.1210009999999997E-7</v>
      </c>
      <c r="I2956">
        <v>260.07260000000002</v>
      </c>
      <c r="J2956">
        <v>-490.07409999999999</v>
      </c>
      <c r="K2956">
        <v>1.119081</v>
      </c>
      <c r="L2956">
        <v>270.75639999999999</v>
      </c>
      <c r="M2956">
        <v>-0.44895099999999999</v>
      </c>
      <c r="N2956">
        <v>0</v>
      </c>
      <c r="O2956">
        <v>-0.89343449999999902</v>
      </c>
      <c r="P2956">
        <v>-0.23204050000000001</v>
      </c>
      <c r="Q2956">
        <v>0.1120761</v>
      </c>
      <c r="R2956">
        <v>-0.96622779999999997</v>
      </c>
      <c r="S2956">
        <v>-0.52713009999999905</v>
      </c>
      <c r="T2956">
        <v>-0.31122240000000001</v>
      </c>
      <c r="U2956">
        <v>-3.0149539999999999</v>
      </c>
      <c r="V2956">
        <v>-0.22919390000000001</v>
      </c>
      <c r="W2956">
        <v>0.1213848</v>
      </c>
      <c r="X2956">
        <v>0.96578249999999999</v>
      </c>
      <c r="Y2956">
        <v>-0.28902450000000002</v>
      </c>
      <c r="Z2956">
        <v>8.3717180000000002E-2</v>
      </c>
      <c r="AA2956">
        <v>0.95365420000000001</v>
      </c>
      <c r="AB2956">
        <v>29</v>
      </c>
      <c r="AC2956">
        <v>-1.82269999999999</v>
      </c>
      <c r="AD2956">
        <v>-1.1190817121001</v>
      </c>
      <c r="AE2956">
        <v>-10.6837999999999</v>
      </c>
      <c r="AF2956">
        <v>-3.1349617606282201</v>
      </c>
      <c r="AG2956">
        <v>-1.1190817121001</v>
      </c>
      <c r="AH2956">
        <v>10.255371171079901</v>
      </c>
      <c r="AI2956">
        <v>95.957516469032498</v>
      </c>
      <c r="AJ2956">
        <v>106.99785479235</v>
      </c>
      <c r="AK2956">
        <v>10.7820669157437</v>
      </c>
      <c r="AL2956">
        <v>83.027969772480404</v>
      </c>
      <c r="AM2956">
        <v>103.350140805409</v>
      </c>
      <c r="AN2956">
        <v>0.99999997538724905</v>
      </c>
    </row>
    <row r="2957" spans="1:40" x14ac:dyDescent="0.25">
      <c r="A2957" t="str">
        <f>"20190312164045246"</f>
        <v>20190312164045246</v>
      </c>
      <c r="B2957" t="str">
        <f>"1552380045238588"</f>
        <v>1552380045238588</v>
      </c>
      <c r="C2957" t="s">
        <v>40</v>
      </c>
      <c r="D2957">
        <v>5.6146789999999998</v>
      </c>
      <c r="E2957">
        <v>0.48085309999999998</v>
      </c>
      <c r="F2957" t="s">
        <v>41</v>
      </c>
      <c r="G2957">
        <v>-491.99040000000002</v>
      </c>
      <c r="H2957" s="1">
        <v>-5.5932739999999996E-7</v>
      </c>
      <c r="I2957">
        <v>259.65839999999997</v>
      </c>
      <c r="J2957">
        <v>-490.16129999999998</v>
      </c>
      <c r="K2957">
        <v>1.1190420000000001</v>
      </c>
      <c r="L2957">
        <v>270.56450000000001</v>
      </c>
      <c r="M2957">
        <v>-0.44157629999999998</v>
      </c>
      <c r="N2957">
        <v>0</v>
      </c>
      <c r="O2957">
        <v>-0.89710279999999998</v>
      </c>
      <c r="P2957">
        <v>-0.2312485</v>
      </c>
      <c r="Q2957">
        <v>0.11133129999999999</v>
      </c>
      <c r="R2957">
        <v>-0.96650400000000003</v>
      </c>
      <c r="S2957">
        <v>-0.52062989999999998</v>
      </c>
      <c r="T2957">
        <v>-0.30402790000000002</v>
      </c>
      <c r="U2957">
        <v>-3.0150760000000001</v>
      </c>
      <c r="V2957">
        <v>-0.22202140000000001</v>
      </c>
      <c r="W2957">
        <v>0.12083149999999999</v>
      </c>
      <c r="X2957">
        <v>0.96752579999999999</v>
      </c>
      <c r="Y2957">
        <v>-0.28311629999999999</v>
      </c>
      <c r="Z2957">
        <v>8.2432930000000001E-2</v>
      </c>
      <c r="AA2957">
        <v>0.95553650000000001</v>
      </c>
      <c r="AB2957">
        <v>29</v>
      </c>
      <c r="AC2957">
        <v>-1.8291000000000399</v>
      </c>
      <c r="AD2957">
        <v>-1.1190425593273901</v>
      </c>
      <c r="AE2957">
        <v>-10.9061</v>
      </c>
      <c r="AF2957">
        <v>-3.14314268248333</v>
      </c>
      <c r="AG2957">
        <v>-1.1190425593273901</v>
      </c>
      <c r="AH2957">
        <v>10.485357263224399</v>
      </c>
      <c r="AI2957">
        <v>95.837067508078803</v>
      </c>
      <c r="AJ2957">
        <v>106.686888481683</v>
      </c>
      <c r="AK2957">
        <v>11.003377622779601</v>
      </c>
      <c r="AL2957">
        <v>83.059906522870193</v>
      </c>
      <c r="AM2957">
        <v>102.924103202553</v>
      </c>
      <c r="AN2957">
        <v>0.99999996355792398</v>
      </c>
    </row>
    <row r="2958" spans="1:40" x14ac:dyDescent="0.25">
      <c r="A2958" t="str">
        <f>"20190312164045257"</f>
        <v>20190312164045257</v>
      </c>
      <c r="B2958" t="str">
        <f>"1552380045249324"</f>
        <v>1552380045249324</v>
      </c>
      <c r="C2958" t="s">
        <v>40</v>
      </c>
      <c r="D2958">
        <v>5.5480839999999896</v>
      </c>
      <c r="E2958">
        <v>0.4808385</v>
      </c>
      <c r="F2958" t="s">
        <v>41</v>
      </c>
      <c r="G2958">
        <v>-492.08749999999998</v>
      </c>
      <c r="H2958" s="1">
        <v>-4.5987079999999999E-6</v>
      </c>
      <c r="I2958">
        <v>259.41219999999998</v>
      </c>
      <c r="J2958">
        <v>-490.22030000000001</v>
      </c>
      <c r="K2958">
        <v>1.119019</v>
      </c>
      <c r="L2958">
        <v>270.43299999999999</v>
      </c>
      <c r="M2958">
        <v>-0.43652639999999998</v>
      </c>
      <c r="N2958">
        <v>0</v>
      </c>
      <c r="O2958">
        <v>-0.8995708</v>
      </c>
      <c r="P2958">
        <v>-0.2293027</v>
      </c>
      <c r="Q2958">
        <v>0.1110522</v>
      </c>
      <c r="R2958">
        <v>-0.96699939999999995</v>
      </c>
      <c r="S2958">
        <v>-0.52059940000000005</v>
      </c>
      <c r="T2958">
        <v>-0.30245379999999999</v>
      </c>
      <c r="U2958">
        <v>-3.014221</v>
      </c>
      <c r="V2958">
        <v>-0.21852269999999999</v>
      </c>
      <c r="W2958">
        <v>0.1206468</v>
      </c>
      <c r="X2958">
        <v>0.96834500000000001</v>
      </c>
      <c r="Y2958">
        <v>-0.27768510000000002</v>
      </c>
      <c r="Z2958">
        <v>8.2470680000000005E-2</v>
      </c>
      <c r="AA2958">
        <v>0.95712569999999997</v>
      </c>
      <c r="AB2958">
        <v>29</v>
      </c>
      <c r="AC2958">
        <v>-1.86719999999996</v>
      </c>
      <c r="AD2958">
        <v>-1.1190235987079999</v>
      </c>
      <c r="AE2958">
        <v>-11.020799999999999</v>
      </c>
      <c r="AF2958">
        <v>-3.1004581661756401</v>
      </c>
      <c r="AG2958">
        <v>-1.1190235987079999</v>
      </c>
      <c r="AH2958">
        <v>10.6237635893768</v>
      </c>
      <c r="AI2958">
        <v>95.773786186219297</v>
      </c>
      <c r="AJ2958">
        <v>106.269451367811</v>
      </c>
      <c r="AK2958">
        <v>11.123372126187199</v>
      </c>
      <c r="AL2958">
        <v>83.070566808847303</v>
      </c>
      <c r="AM2958">
        <v>102.716707434879</v>
      </c>
      <c r="AN2958">
        <v>0.99999992989526199</v>
      </c>
    </row>
    <row r="2959" spans="1:40" x14ac:dyDescent="0.25">
      <c r="A2959" t="str">
        <f>"20190312164045268"</f>
        <v>20190312164045268</v>
      </c>
      <c r="B2959" t="str">
        <f>"1552380045259084"</f>
        <v>1552380045259084</v>
      </c>
      <c r="C2959" t="s">
        <v>40</v>
      </c>
      <c r="D2959">
        <v>5.6723619999999997</v>
      </c>
      <c r="E2959">
        <v>0.48052620000000001</v>
      </c>
      <c r="F2959" t="s">
        <v>41</v>
      </c>
      <c r="G2959">
        <v>-492.09320000000002</v>
      </c>
      <c r="H2959" s="1">
        <v>-4.6080069999999997E-6</v>
      </c>
      <c r="I2959">
        <v>259.4366</v>
      </c>
      <c r="J2959">
        <v>-490.27929999999998</v>
      </c>
      <c r="K2959">
        <v>1.1189910000000001</v>
      </c>
      <c r="L2959">
        <v>270.29809999999998</v>
      </c>
      <c r="M2959">
        <v>-0.43135760000000001</v>
      </c>
      <c r="N2959">
        <v>0</v>
      </c>
      <c r="O2959">
        <v>-0.902061</v>
      </c>
      <c r="P2959">
        <v>-0.2271405</v>
      </c>
      <c r="Q2959">
        <v>0.110679399999999</v>
      </c>
      <c r="R2959">
        <v>-0.96755239999999998</v>
      </c>
      <c r="S2959">
        <v>-0.51364140000000003</v>
      </c>
      <c r="T2959">
        <v>-0.30689470000000002</v>
      </c>
      <c r="U2959">
        <v>-3.0158079999999998</v>
      </c>
      <c r="V2959">
        <v>-0.21512719999999999</v>
      </c>
      <c r="W2959">
        <v>0.12036380000000001</v>
      </c>
      <c r="X2959">
        <v>0.96914029999999995</v>
      </c>
      <c r="Y2959">
        <v>-0.27442319999999998</v>
      </c>
      <c r="Z2959">
        <v>8.4055480000000002E-2</v>
      </c>
      <c r="AA2959">
        <v>0.95792829999999995</v>
      </c>
      <c r="AB2959">
        <v>29</v>
      </c>
      <c r="AC2959">
        <v>-1.81390000000004</v>
      </c>
      <c r="AD2959">
        <v>-1.118995608007</v>
      </c>
      <c r="AE2959">
        <v>-10.8614999999999</v>
      </c>
      <c r="AF2959">
        <v>-3.0181074727319501</v>
      </c>
      <c r="AG2959">
        <v>-1.118995608007</v>
      </c>
      <c r="AH2959">
        <v>10.473175362034199</v>
      </c>
      <c r="AI2959">
        <v>95.861793002053403</v>
      </c>
      <c r="AJ2959">
        <v>106.075659726007</v>
      </c>
      <c r="AK2959">
        <v>10.9566658273227</v>
      </c>
      <c r="AL2959">
        <v>83.086901301351801</v>
      </c>
      <c r="AM2959">
        <v>102.515437362794</v>
      </c>
      <c r="AN2959">
        <v>1.0000000388071799</v>
      </c>
    </row>
    <row r="2960" spans="1:40" x14ac:dyDescent="0.25">
      <c r="A2960" t="str">
        <f>"20190312164045280"</f>
        <v>20190312164045280</v>
      </c>
      <c r="B2960" t="str">
        <f>"1552380045268844"</f>
        <v>1552380045268844</v>
      </c>
      <c r="C2960" t="s">
        <v>40</v>
      </c>
      <c r="D2960">
        <v>5.6283599999999998</v>
      </c>
      <c r="E2960">
        <v>0.47996670000000002</v>
      </c>
      <c r="F2960" t="s">
        <v>41</v>
      </c>
      <c r="G2960">
        <v>-492.13279999999997</v>
      </c>
      <c r="H2960" s="1">
        <v>-4.5349130000000001E-6</v>
      </c>
      <c r="I2960">
        <v>259.2011</v>
      </c>
      <c r="J2960">
        <v>-490.33879999999999</v>
      </c>
      <c r="K2960">
        <v>1.118973</v>
      </c>
      <c r="L2960">
        <v>270.16090000000003</v>
      </c>
      <c r="M2960">
        <v>-0.42609409999999998</v>
      </c>
      <c r="N2960">
        <v>0</v>
      </c>
      <c r="O2960">
        <v>-0.90455920000000001</v>
      </c>
      <c r="P2960">
        <v>-0.22498899999999999</v>
      </c>
      <c r="Q2960">
        <v>0.1103315</v>
      </c>
      <c r="R2960">
        <v>-0.96809449999999997</v>
      </c>
      <c r="S2960">
        <v>-0.50393679999999996</v>
      </c>
      <c r="T2960">
        <v>-0.30423689999999998</v>
      </c>
      <c r="U2960">
        <v>-3.01709</v>
      </c>
      <c r="V2960">
        <v>-0.21163000000000001</v>
      </c>
      <c r="W2960">
        <v>0.120107199999999</v>
      </c>
      <c r="X2960">
        <v>0.96994170000000002</v>
      </c>
      <c r="Y2960">
        <v>-0.27187650000000002</v>
      </c>
      <c r="Z2960">
        <v>8.3720059999999999E-2</v>
      </c>
      <c r="AA2960">
        <v>0.95868359999999997</v>
      </c>
      <c r="AB2960">
        <v>29</v>
      </c>
      <c r="AC2960">
        <v>-1.7939999999999801</v>
      </c>
      <c r="AD2960">
        <v>-1.118977534913</v>
      </c>
      <c r="AE2960">
        <v>-10.9598</v>
      </c>
      <c r="AF2960">
        <v>-3.01682974293968</v>
      </c>
      <c r="AG2960">
        <v>-1.118977534913</v>
      </c>
      <c r="AH2960">
        <v>10.5720288345181</v>
      </c>
      <c r="AI2960">
        <v>95.811569995062996</v>
      </c>
      <c r="AJ2960">
        <v>105.92660499773901</v>
      </c>
      <c r="AK2960">
        <v>11.0508445876054</v>
      </c>
      <c r="AL2960">
        <v>83.101710211865097</v>
      </c>
      <c r="AM2960">
        <v>102.308374234165</v>
      </c>
      <c r="AN2960">
        <v>0.99999994889536303</v>
      </c>
    </row>
    <row r="2961" spans="1:40" x14ac:dyDescent="0.25">
      <c r="A2961" t="str">
        <f>"20190312164045292"</f>
        <v>20190312164045292</v>
      </c>
      <c r="B2961" t="str">
        <f>"1552380045289340"</f>
        <v>1552380045289340</v>
      </c>
      <c r="C2961" t="s">
        <v>40</v>
      </c>
      <c r="D2961">
        <v>5.5407989999999998</v>
      </c>
      <c r="E2961">
        <v>0.4789524</v>
      </c>
      <c r="F2961" t="s">
        <v>41</v>
      </c>
      <c r="G2961">
        <v>-492.1617</v>
      </c>
      <c r="H2961" s="1">
        <v>-4.4634100000000002E-6</v>
      </c>
      <c r="I2961">
        <v>258.976</v>
      </c>
      <c r="J2961">
        <v>-490.39830000000001</v>
      </c>
      <c r="K2961">
        <v>1.118954</v>
      </c>
      <c r="L2961">
        <v>270.02089999999998</v>
      </c>
      <c r="M2961">
        <v>-0.42073519999999998</v>
      </c>
      <c r="N2961">
        <v>0</v>
      </c>
      <c r="O2961">
        <v>-0.90706430000000005</v>
      </c>
      <c r="P2961">
        <v>-0.2226909</v>
      </c>
      <c r="Q2961">
        <v>0.10999150000000001</v>
      </c>
      <c r="R2961">
        <v>-0.96866430000000003</v>
      </c>
      <c r="S2961">
        <v>-0.49200440000000001</v>
      </c>
      <c r="T2961">
        <v>-0.30202980000000001</v>
      </c>
      <c r="U2961">
        <v>-3.0189819999999998</v>
      </c>
      <c r="V2961">
        <v>-0.2081894</v>
      </c>
      <c r="W2961">
        <v>0.1198558</v>
      </c>
      <c r="X2961">
        <v>0.9707171</v>
      </c>
      <c r="Y2961">
        <v>-0.2699646</v>
      </c>
      <c r="Z2961">
        <v>8.3480550000000001E-2</v>
      </c>
      <c r="AA2961">
        <v>0.95924450000000006</v>
      </c>
      <c r="AB2961">
        <v>29</v>
      </c>
      <c r="AC2961">
        <v>-1.7633999999999801</v>
      </c>
      <c r="AD2961">
        <v>-1.11895846341</v>
      </c>
      <c r="AE2961">
        <v>-11.044899999999901</v>
      </c>
      <c r="AF2961">
        <v>-3.0175887832282502</v>
      </c>
      <c r="AG2961">
        <v>-1.11895846341</v>
      </c>
      <c r="AH2961">
        <v>10.654882271785</v>
      </c>
      <c r="AI2961">
        <v>95.7698233574</v>
      </c>
      <c r="AJ2961">
        <v>105.812749828937</v>
      </c>
      <c r="AK2961">
        <v>11.1303381050667</v>
      </c>
      <c r="AL2961">
        <v>83.116219284627604</v>
      </c>
      <c r="AM2961">
        <v>102.10483520509401</v>
      </c>
      <c r="AN2961">
        <v>0.99999996364920396</v>
      </c>
    </row>
    <row r="2962" spans="1:40" x14ac:dyDescent="0.25">
      <c r="A2962" t="str">
        <f>"20190312164045303"</f>
        <v>20190312164045303</v>
      </c>
      <c r="B2962" t="str">
        <f>"1552380045299100"</f>
        <v>1552380045299100</v>
      </c>
      <c r="C2962" t="s">
        <v>40</v>
      </c>
      <c r="D2962">
        <v>5.6302000000000003</v>
      </c>
      <c r="E2962">
        <v>0.47825689999999998</v>
      </c>
      <c r="F2962" t="s">
        <v>41</v>
      </c>
      <c r="G2962">
        <v>-492.20119999999997</v>
      </c>
      <c r="H2962" s="1">
        <v>-4.3424500000000002E-6</v>
      </c>
      <c r="I2962">
        <v>258.59989999999999</v>
      </c>
      <c r="J2962">
        <v>-490.45319999999998</v>
      </c>
      <c r="K2962">
        <v>1.1189389999999999</v>
      </c>
      <c r="L2962">
        <v>269.88990000000001</v>
      </c>
      <c r="M2962">
        <v>-0.41571350000000001</v>
      </c>
      <c r="N2962">
        <v>0</v>
      </c>
      <c r="O2962">
        <v>-0.90937690000000004</v>
      </c>
      <c r="P2962">
        <v>-0.22080640000000001</v>
      </c>
      <c r="Q2962">
        <v>0.1096862</v>
      </c>
      <c r="R2962">
        <v>-0.96913050000000001</v>
      </c>
      <c r="S2962">
        <v>-0.47689819999999999</v>
      </c>
      <c r="T2962">
        <v>-0.29598020000000003</v>
      </c>
      <c r="U2962">
        <v>-3.0210270000000001</v>
      </c>
      <c r="V2962">
        <v>-0.2047062</v>
      </c>
      <c r="W2962">
        <v>0.11963849999999999</v>
      </c>
      <c r="X2962">
        <v>0.97148440000000003</v>
      </c>
      <c r="Y2962">
        <v>-0.26940049999999999</v>
      </c>
      <c r="Z2962">
        <v>8.2133600000000001E-2</v>
      </c>
      <c r="AA2962">
        <v>0.95951940000000002</v>
      </c>
      <c r="AB2962">
        <v>29</v>
      </c>
      <c r="AC2962">
        <v>-1.74799999999999</v>
      </c>
      <c r="AD2962">
        <v>-1.1189433424499999</v>
      </c>
      <c r="AE2962">
        <v>-11.29</v>
      </c>
      <c r="AF2962">
        <v>-3.0746555464715799</v>
      </c>
      <c r="AG2962">
        <v>-1.1189433424499999</v>
      </c>
      <c r="AH2962">
        <v>10.890252733980899</v>
      </c>
      <c r="AI2962">
        <v>95.647153074990598</v>
      </c>
      <c r="AJ2962">
        <v>105.76601628162599</v>
      </c>
      <c r="AK2962">
        <v>11.371154098992699</v>
      </c>
      <c r="AL2962">
        <v>83.128759933419104</v>
      </c>
      <c r="AM2962">
        <v>101.899001997501</v>
      </c>
      <c r="AN2962">
        <v>0.99999996922202405</v>
      </c>
    </row>
    <row r="2963" spans="1:40" x14ac:dyDescent="0.25">
      <c r="A2963" t="str">
        <f>"20190312164045315"</f>
        <v>20190312164045315</v>
      </c>
      <c r="B2963" t="str">
        <f>"1552380045308860"</f>
        <v>1552380045308860</v>
      </c>
      <c r="C2963" t="s">
        <v>40</v>
      </c>
      <c r="D2963">
        <v>5.6703989999999997</v>
      </c>
      <c r="E2963">
        <v>0.4778249</v>
      </c>
      <c r="F2963" t="s">
        <v>41</v>
      </c>
      <c r="G2963">
        <v>-492.2133</v>
      </c>
      <c r="H2963" s="1">
        <v>-4.2864519999999999E-6</v>
      </c>
      <c r="I2963">
        <v>258.42899999999997</v>
      </c>
      <c r="J2963">
        <v>-490.51569999999998</v>
      </c>
      <c r="K2963">
        <v>1.118922</v>
      </c>
      <c r="L2963">
        <v>269.73849999999999</v>
      </c>
      <c r="M2963">
        <v>-0.40991060000000001</v>
      </c>
      <c r="N2963">
        <v>0</v>
      </c>
      <c r="O2963">
        <v>-0.91200760000000003</v>
      </c>
      <c r="P2963">
        <v>-0.21783739999999999</v>
      </c>
      <c r="Q2963">
        <v>0.1090178</v>
      </c>
      <c r="R2963">
        <v>-0.96987749999999995</v>
      </c>
      <c r="S2963">
        <v>-0.4642944</v>
      </c>
      <c r="T2963">
        <v>-0.295162799999999</v>
      </c>
      <c r="U2963">
        <v>-3.0232239999999999</v>
      </c>
      <c r="V2963">
        <v>-0.2014957</v>
      </c>
      <c r="W2963">
        <v>0.11905200000000001</v>
      </c>
      <c r="X2963">
        <v>0.97222739999999996</v>
      </c>
      <c r="Y2963">
        <v>-0.2672773</v>
      </c>
      <c r="Z2963">
        <v>8.2275310000000004E-2</v>
      </c>
      <c r="AA2963">
        <v>0.96010079999999998</v>
      </c>
      <c r="AB2963">
        <v>29</v>
      </c>
      <c r="AC2963">
        <v>-1.69760000000002</v>
      </c>
      <c r="AD2963">
        <v>-1.118926286452</v>
      </c>
      <c r="AE2963">
        <v>-11.3094999999999</v>
      </c>
      <c r="AF2963">
        <v>-3.05871200301205</v>
      </c>
      <c r="AG2963">
        <v>-1.118926286452</v>
      </c>
      <c r="AH2963">
        <v>10.906989809281599</v>
      </c>
      <c r="AI2963">
        <v>95.641226560398096</v>
      </c>
      <c r="AJ2963">
        <v>105.665405791607</v>
      </c>
      <c r="AK2963">
        <v>11.382888115573101</v>
      </c>
      <c r="AL2963">
        <v>83.162606068996297</v>
      </c>
      <c r="AM2963">
        <v>101.708876409437</v>
      </c>
      <c r="AN2963">
        <v>1.0000000065666199</v>
      </c>
    </row>
    <row r="2964" spans="1:40" x14ac:dyDescent="0.25">
      <c r="A2964" t="str">
        <f>"20190312164045327"</f>
        <v>20190312164045327</v>
      </c>
      <c r="B2964" t="str">
        <f>"1552380045318620"</f>
        <v>1552380045318620</v>
      </c>
      <c r="C2964" t="s">
        <v>40</v>
      </c>
      <c r="D2964">
        <v>5.555466</v>
      </c>
      <c r="E2964">
        <v>0.47744799999999998</v>
      </c>
      <c r="F2964" t="s">
        <v>41</v>
      </c>
      <c r="G2964">
        <v>-492.2303</v>
      </c>
      <c r="H2964" s="1">
        <v>-4.2224940000000001E-6</v>
      </c>
      <c r="I2964">
        <v>258.23219999999998</v>
      </c>
      <c r="J2964">
        <v>-490.56849999999997</v>
      </c>
      <c r="K2964">
        <v>1.1189039999999999</v>
      </c>
      <c r="L2964">
        <v>269.60770000000002</v>
      </c>
      <c r="M2964">
        <v>-0.40490399999999999</v>
      </c>
      <c r="N2964">
        <v>0</v>
      </c>
      <c r="O2964">
        <v>-0.91424119999999998</v>
      </c>
      <c r="P2964">
        <v>-0.21555079999999999</v>
      </c>
      <c r="Q2964">
        <v>0.1087383</v>
      </c>
      <c r="R2964">
        <v>-0.97041949999999999</v>
      </c>
      <c r="S2964">
        <v>-0.45077509999999998</v>
      </c>
      <c r="T2964">
        <v>-0.2941685</v>
      </c>
      <c r="U2964">
        <v>-3.0250240000000002</v>
      </c>
      <c r="V2964">
        <v>-0.19845280000000001</v>
      </c>
      <c r="W2964">
        <v>0.11884840000000001</v>
      </c>
      <c r="X2964">
        <v>0.97287800000000002</v>
      </c>
      <c r="Y2964">
        <v>-0.2662736</v>
      </c>
      <c r="Z2964">
        <v>8.2306069999999995E-2</v>
      </c>
      <c r="AA2964">
        <v>0.96037700000000004</v>
      </c>
      <c r="AB2964">
        <v>29</v>
      </c>
      <c r="AC2964">
        <v>-1.6618000000000199</v>
      </c>
      <c r="AD2964">
        <v>-1.1189082224939999</v>
      </c>
      <c r="AE2964">
        <v>-11.375500000000001</v>
      </c>
      <c r="AF2964">
        <v>-3.05806415412854</v>
      </c>
      <c r="AG2964">
        <v>-1.1189082224939999</v>
      </c>
      <c r="AH2964">
        <v>10.9700978238626</v>
      </c>
      <c r="AI2964">
        <v>95.611309126945102</v>
      </c>
      <c r="AJ2964">
        <v>105.57653594719901</v>
      </c>
      <c r="AK2964">
        <v>11.4431970290756</v>
      </c>
      <c r="AL2964">
        <v>83.174355060690701</v>
      </c>
      <c r="AM2964">
        <v>101.529321184493</v>
      </c>
      <c r="AN2964">
        <v>1.00000002944719</v>
      </c>
    </row>
    <row r="2965" spans="1:40" x14ac:dyDescent="0.25">
      <c r="A2965" t="str">
        <f>"20190312164045339"</f>
        <v>20190312164045339</v>
      </c>
      <c r="B2965" t="str">
        <f>"1552380045329356"</f>
        <v>1552380045329356</v>
      </c>
      <c r="C2965" t="s">
        <v>40</v>
      </c>
      <c r="D2965">
        <v>5.5597529999999997</v>
      </c>
      <c r="E2965">
        <v>0.4768366</v>
      </c>
      <c r="F2965" t="s">
        <v>41</v>
      </c>
      <c r="G2965">
        <v>-492.25259999999997</v>
      </c>
      <c r="H2965" s="1">
        <v>-4.1533139999999997E-6</v>
      </c>
      <c r="I2965">
        <v>258.01729999999998</v>
      </c>
      <c r="J2965">
        <v>-490.6216</v>
      </c>
      <c r="K2965">
        <v>1.1188849999999999</v>
      </c>
      <c r="L2965">
        <v>269.47519999999997</v>
      </c>
      <c r="M2965">
        <v>-0.39982119999999999</v>
      </c>
      <c r="N2965">
        <v>0</v>
      </c>
      <c r="O2965">
        <v>-0.9164755</v>
      </c>
      <c r="P2965">
        <v>-0.213169</v>
      </c>
      <c r="Q2965">
        <v>0.1082349</v>
      </c>
      <c r="R2965">
        <v>-0.97100160000000002</v>
      </c>
      <c r="S2965">
        <v>-0.43975829999999999</v>
      </c>
      <c r="T2965">
        <v>-0.29217310000000002</v>
      </c>
      <c r="U2965">
        <v>-3.0265200000000001</v>
      </c>
      <c r="V2965">
        <v>-0.19544010000000001</v>
      </c>
      <c r="W2965">
        <v>0.1184204</v>
      </c>
      <c r="X2965">
        <v>0.97353979999999996</v>
      </c>
      <c r="Y2965">
        <v>-0.26440809999999998</v>
      </c>
      <c r="Z2965">
        <v>8.2070779999999996E-2</v>
      </c>
      <c r="AA2965">
        <v>0.96091249999999995</v>
      </c>
      <c r="AB2965">
        <v>29</v>
      </c>
      <c r="AC2965">
        <v>-1.63099999999997</v>
      </c>
      <c r="AD2965">
        <v>-1.118889153314</v>
      </c>
      <c r="AE2965">
        <v>-11.457899999999899</v>
      </c>
      <c r="AF2965">
        <v>-3.0580900115217098</v>
      </c>
      <c r="AG2965">
        <v>-1.118889153314</v>
      </c>
      <c r="AH2965">
        <v>11.050907830111999</v>
      </c>
      <c r="AI2965">
        <v>95.573347956614597</v>
      </c>
      <c r="AJ2965">
        <v>105.46822962225301</v>
      </c>
      <c r="AK2965">
        <v>11.520694047044399</v>
      </c>
      <c r="AL2965">
        <v>83.199051746585198</v>
      </c>
      <c r="AM2965">
        <v>101.351357886076</v>
      </c>
      <c r="AN2965">
        <v>0.99999998300410398</v>
      </c>
    </row>
    <row r="2966" spans="1:40" x14ac:dyDescent="0.25">
      <c r="A2966" t="str">
        <f>"20190312164045350"</f>
        <v>20190312164045350</v>
      </c>
      <c r="B2966" t="str">
        <f>"1552380045339117"</f>
        <v>1552380045339117</v>
      </c>
      <c r="C2966" t="s">
        <v>40</v>
      </c>
      <c r="D2966">
        <v>5.5704690000000001</v>
      </c>
      <c r="E2966">
        <v>0.47633639999999999</v>
      </c>
      <c r="F2966" t="s">
        <v>41</v>
      </c>
      <c r="G2966">
        <v>-492.24360000000001</v>
      </c>
      <c r="H2966" s="1">
        <v>-4.1343649999999998E-6</v>
      </c>
      <c r="I2966">
        <v>257.96629999999999</v>
      </c>
      <c r="J2966">
        <v>-490.67720000000003</v>
      </c>
      <c r="K2966">
        <v>1.1188629999999999</v>
      </c>
      <c r="L2966">
        <v>269.33260000000001</v>
      </c>
      <c r="M2966">
        <v>-0.39435989999999999</v>
      </c>
      <c r="N2966">
        <v>0</v>
      </c>
      <c r="O2966">
        <v>-0.91883890000000001</v>
      </c>
      <c r="P2966">
        <v>-0.21010899999999999</v>
      </c>
      <c r="Q2966">
        <v>0.10758040000000001</v>
      </c>
      <c r="R2966">
        <v>-0.97174110000000002</v>
      </c>
      <c r="S2966">
        <v>-0.42684939999999999</v>
      </c>
      <c r="T2966">
        <v>-0.29444890000000001</v>
      </c>
      <c r="U2966">
        <v>-3.0286870000000001</v>
      </c>
      <c r="V2966">
        <v>-0.19271859999999999</v>
      </c>
      <c r="W2966">
        <v>0.1178337</v>
      </c>
      <c r="X2966">
        <v>0.9741533</v>
      </c>
      <c r="Y2966">
        <v>-0.26278960000000001</v>
      </c>
      <c r="Z2966">
        <v>8.3024630000000002E-2</v>
      </c>
      <c r="AA2966">
        <v>0.96127439999999997</v>
      </c>
      <c r="AB2966">
        <v>29</v>
      </c>
      <c r="AC2966">
        <v>-1.56639999999998</v>
      </c>
      <c r="AD2966">
        <v>-1.1188671343649901</v>
      </c>
      <c r="AE2966">
        <v>-11.366300000000001</v>
      </c>
      <c r="AF2966">
        <v>-3.0148027603180001</v>
      </c>
      <c r="AG2966">
        <v>-1.1188671343649901</v>
      </c>
      <c r="AH2966">
        <v>10.9585075241326</v>
      </c>
      <c r="AI2966">
        <v>95.622247258115607</v>
      </c>
      <c r="AJ2966">
        <v>105.382148196657</v>
      </c>
      <c r="AK2966">
        <v>11.420586084105</v>
      </c>
      <c r="AL2966">
        <v>83.232903946686605</v>
      </c>
      <c r="AM2966">
        <v>101.19043775226601</v>
      </c>
      <c r="AN2966">
        <v>0.99999994577126805</v>
      </c>
    </row>
    <row r="2967" spans="1:40" x14ac:dyDescent="0.25">
      <c r="A2967" t="str">
        <f>"20190312164045368"</f>
        <v>20190312164045368</v>
      </c>
      <c r="B2967" t="str">
        <f>"1552380045358636"</f>
        <v>1552380045358636</v>
      </c>
      <c r="C2967" t="s">
        <v>40</v>
      </c>
      <c r="D2967">
        <v>5.6903819999999996</v>
      </c>
      <c r="E2967">
        <v>0.47557749999999999</v>
      </c>
      <c r="F2967" t="s">
        <v>41</v>
      </c>
      <c r="G2967">
        <v>-492.23930000000001</v>
      </c>
      <c r="H2967" s="1">
        <v>-4.1061910000000001E-6</v>
      </c>
      <c r="I2967">
        <v>257.88580000000002</v>
      </c>
      <c r="J2967">
        <v>-490.75639999999999</v>
      </c>
      <c r="K2967">
        <v>1.1188340000000001</v>
      </c>
      <c r="L2967">
        <v>269.12580000000003</v>
      </c>
      <c r="M2967">
        <v>-0.38643339999999998</v>
      </c>
      <c r="N2967">
        <v>0</v>
      </c>
      <c r="O2967">
        <v>-0.92220069999999998</v>
      </c>
      <c r="P2967">
        <v>-0.20690269999999999</v>
      </c>
      <c r="Q2967">
        <v>0.1060889</v>
      </c>
      <c r="R2967">
        <v>-0.97259260000000003</v>
      </c>
      <c r="S2967">
        <v>-0.4135742</v>
      </c>
      <c r="T2967">
        <v>-0.29622659999999901</v>
      </c>
      <c r="U2967">
        <v>-3.0306090000000001</v>
      </c>
      <c r="V2967">
        <v>-0.18755859999999999</v>
      </c>
      <c r="W2967">
        <v>0.1164694</v>
      </c>
      <c r="X2967">
        <v>0.97532390000000002</v>
      </c>
      <c r="Y2967">
        <v>-0.25870539999999997</v>
      </c>
      <c r="Z2967">
        <v>8.4024989999999994E-2</v>
      </c>
      <c r="AA2967">
        <v>0.96229480000000001</v>
      </c>
      <c r="AB2967">
        <v>29</v>
      </c>
      <c r="AC2967">
        <v>-1.4829000000000201</v>
      </c>
      <c r="AD2967">
        <v>-1.118838106191</v>
      </c>
      <c r="AE2967">
        <v>-11.24</v>
      </c>
      <c r="AF2967">
        <v>-2.94759393292362</v>
      </c>
      <c r="AG2967">
        <v>-1.118838106191</v>
      </c>
      <c r="AH2967">
        <v>10.8342415078214</v>
      </c>
      <c r="AI2967">
        <v>95.690550314081705</v>
      </c>
      <c r="AJ2967">
        <v>105.219676238026</v>
      </c>
      <c r="AK2967">
        <v>11.2836562226555</v>
      </c>
      <c r="AL2967">
        <v>83.311615151174806</v>
      </c>
      <c r="AM2967">
        <v>100.885318101948</v>
      </c>
      <c r="AN2967">
        <v>1.0000000297407601</v>
      </c>
    </row>
    <row r="2968" spans="1:40" x14ac:dyDescent="0.25">
      <c r="A2968" t="str">
        <f>"20190312164045381"</f>
        <v>20190312164045381</v>
      </c>
      <c r="B2968" t="str">
        <f>"1552380045369372"</f>
        <v>1552380045369372</v>
      </c>
      <c r="C2968" t="s">
        <v>40</v>
      </c>
      <c r="D2968">
        <v>5.6456839999999904</v>
      </c>
      <c r="E2968">
        <v>0.47537420000000002</v>
      </c>
      <c r="F2968" t="s">
        <v>41</v>
      </c>
      <c r="G2968">
        <v>-492.22949999999997</v>
      </c>
      <c r="H2968" s="1">
        <v>-4.0879799999999999E-6</v>
      </c>
      <c r="I2968">
        <v>257.83730000000003</v>
      </c>
      <c r="J2968">
        <v>-490.81220000000002</v>
      </c>
      <c r="K2968">
        <v>1.118814</v>
      </c>
      <c r="L2968">
        <v>268.97750000000002</v>
      </c>
      <c r="M2968">
        <v>-0.3807469</v>
      </c>
      <c r="N2968">
        <v>0</v>
      </c>
      <c r="O2968">
        <v>-0.92456289999999997</v>
      </c>
      <c r="P2968">
        <v>-0.203651</v>
      </c>
      <c r="Q2968">
        <v>0.10544770000000001</v>
      </c>
      <c r="R2968">
        <v>-0.97334830000000006</v>
      </c>
      <c r="S2968">
        <v>-0.39581300000000003</v>
      </c>
      <c r="T2968">
        <v>-0.30061969999999999</v>
      </c>
      <c r="U2968">
        <v>-3.0330810000000001</v>
      </c>
      <c r="V2968">
        <v>-0.1848157</v>
      </c>
      <c r="W2968">
        <v>0.115895899999999</v>
      </c>
      <c r="X2968">
        <v>0.97591559999999999</v>
      </c>
      <c r="Y2968">
        <v>-0.25841409999999998</v>
      </c>
      <c r="Z2968">
        <v>8.5566359999999994E-2</v>
      </c>
      <c r="AA2968">
        <v>0.96223720000000001</v>
      </c>
      <c r="AB2968">
        <v>29</v>
      </c>
      <c r="AC2968">
        <v>-1.41729999999995</v>
      </c>
      <c r="AD2968">
        <v>-1.1188180879799901</v>
      </c>
      <c r="AE2968">
        <v>-11.140199999999901</v>
      </c>
      <c r="AF2968">
        <v>-2.90271771202706</v>
      </c>
      <c r="AG2968">
        <v>-1.1188180879799901</v>
      </c>
      <c r="AH2968">
        <v>10.7340720900929</v>
      </c>
      <c r="AI2968">
        <v>95.745565531439297</v>
      </c>
      <c r="AJ2968">
        <v>105.13205132255599</v>
      </c>
      <c r="AK2968">
        <v>11.1757696676792</v>
      </c>
      <c r="AL2968">
        <v>83.344697994482601</v>
      </c>
      <c r="AM2968">
        <v>100.723496364743</v>
      </c>
      <c r="AN2968">
        <v>0.99999998046332905</v>
      </c>
    </row>
    <row r="2969" spans="1:40" x14ac:dyDescent="0.25">
      <c r="A2969" t="str">
        <f>"20190312164045394"</f>
        <v>20190312164045394</v>
      </c>
      <c r="B2969" t="str">
        <f>"1552380045388892"</f>
        <v>1552380045388892</v>
      </c>
      <c r="C2969" t="s">
        <v>40</v>
      </c>
      <c r="D2969">
        <v>5.5621349999999996</v>
      </c>
      <c r="E2969">
        <v>0.47479470000000001</v>
      </c>
      <c r="F2969" t="s">
        <v>41</v>
      </c>
      <c r="G2969">
        <v>-492.24099999999999</v>
      </c>
      <c r="H2969" s="1">
        <v>-4.0370459999999996E-6</v>
      </c>
      <c r="I2969">
        <v>257.68169999999998</v>
      </c>
      <c r="J2969">
        <v>-490.87130000000002</v>
      </c>
      <c r="K2969">
        <v>1.118795</v>
      </c>
      <c r="L2969">
        <v>268.81659999999999</v>
      </c>
      <c r="M2969">
        <v>-0.37457689999999999</v>
      </c>
      <c r="N2969">
        <v>0</v>
      </c>
      <c r="O2969">
        <v>-0.92708000000000002</v>
      </c>
      <c r="P2969">
        <v>-0.1997429</v>
      </c>
      <c r="Q2969">
        <v>0.1047878</v>
      </c>
      <c r="R2969">
        <v>-0.97422909999999996</v>
      </c>
      <c r="S2969">
        <v>-0.38381959999999998</v>
      </c>
      <c r="T2969">
        <v>-0.30055080000000001</v>
      </c>
      <c r="U2969">
        <v>-3.034424</v>
      </c>
      <c r="V2969">
        <v>-0.18223200000000001</v>
      </c>
      <c r="W2969">
        <v>0.1152995</v>
      </c>
      <c r="X2969">
        <v>0.97647200000000001</v>
      </c>
      <c r="Y2969">
        <v>-0.25577450000000002</v>
      </c>
      <c r="Z2969">
        <v>8.5928050000000006E-2</v>
      </c>
      <c r="AA2969">
        <v>0.96291009999999999</v>
      </c>
      <c r="AB2969">
        <v>29</v>
      </c>
      <c r="AC2969">
        <v>-1.3696999999999599</v>
      </c>
      <c r="AD2969">
        <v>-1.1187990370459999</v>
      </c>
      <c r="AE2969">
        <v>-11.1349</v>
      </c>
      <c r="AF2969">
        <v>-2.8727962457397598</v>
      </c>
      <c r="AG2969">
        <v>-1.1187990370459999</v>
      </c>
      <c r="AH2969">
        <v>10.730449726509599</v>
      </c>
      <c r="AI2969">
        <v>95.751259637941203</v>
      </c>
      <c r="AJ2969">
        <v>104.987947718054</v>
      </c>
      <c r="AK2969">
        <v>11.1645519788293</v>
      </c>
      <c r="AL2969">
        <v>83.379100098453407</v>
      </c>
      <c r="AM2969">
        <v>100.571098125116</v>
      </c>
      <c r="AN2969">
        <v>1.0000000216541201</v>
      </c>
    </row>
    <row r="2970" spans="1:40" x14ac:dyDescent="0.25">
      <c r="A2970" t="str">
        <f>"20190312164045407"</f>
        <v>20190312164045407</v>
      </c>
      <c r="B2970" t="str">
        <f>"1552380045398652"</f>
        <v>1552380045398652</v>
      </c>
      <c r="C2970" t="s">
        <v>40</v>
      </c>
      <c r="D2970">
        <v>5.5906469999999997</v>
      </c>
      <c r="E2970">
        <v>0.47455409999999998</v>
      </c>
      <c r="F2970" t="s">
        <v>41</v>
      </c>
      <c r="G2970">
        <v>-492.2285</v>
      </c>
      <c r="H2970" s="1">
        <v>-3.9973949999999997E-6</v>
      </c>
      <c r="I2970">
        <v>257.57170000000002</v>
      </c>
      <c r="J2970">
        <v>-490.92599999999999</v>
      </c>
      <c r="K2970">
        <v>1.118779</v>
      </c>
      <c r="L2970">
        <v>268.66449999999998</v>
      </c>
      <c r="M2970">
        <v>-0.3687472</v>
      </c>
      <c r="N2970">
        <v>0</v>
      </c>
      <c r="O2970">
        <v>-0.92941450000000003</v>
      </c>
      <c r="P2970">
        <v>-0.19667589999999999</v>
      </c>
      <c r="Q2970">
        <v>0.10439229999999999</v>
      </c>
      <c r="R2970">
        <v>-0.97489530000000002</v>
      </c>
      <c r="S2970">
        <v>-0.36651610000000001</v>
      </c>
      <c r="T2970">
        <v>-0.30214000000000002</v>
      </c>
      <c r="U2970">
        <v>-3.0367739999999999</v>
      </c>
      <c r="V2970">
        <v>-0.17917040000000001</v>
      </c>
      <c r="W2970">
        <v>0.11497839999999999</v>
      </c>
      <c r="X2970">
        <v>0.97707619999999895</v>
      </c>
      <c r="Y2970">
        <v>-0.25520670000000001</v>
      </c>
      <c r="Z2970">
        <v>8.6686470000000002E-2</v>
      </c>
      <c r="AA2970">
        <v>0.96299270000000003</v>
      </c>
      <c r="AB2970">
        <v>29</v>
      </c>
      <c r="AC2970">
        <v>-1.3025</v>
      </c>
      <c r="AD2970">
        <v>-1.1187829973950001</v>
      </c>
      <c r="AE2970">
        <v>-11.092799999999899</v>
      </c>
      <c r="AF2970">
        <v>-2.85157309725028</v>
      </c>
      <c r="AG2970">
        <v>-1.1187829973950001</v>
      </c>
      <c r="AH2970">
        <v>10.6840571552941</v>
      </c>
      <c r="AI2970">
        <v>95.7771615201477</v>
      </c>
      <c r="AJ2970">
        <v>104.94388910041501</v>
      </c>
      <c r="AK2970">
        <v>11.1145050191995</v>
      </c>
      <c r="AL2970">
        <v>83.397620689136801</v>
      </c>
      <c r="AM2970">
        <v>100.39111369901801</v>
      </c>
      <c r="AN2970">
        <v>0.99999998265457901</v>
      </c>
    </row>
    <row r="2971" spans="1:40" x14ac:dyDescent="0.25">
      <c r="A2971" t="str">
        <f>"20190312164045426"</f>
        <v>20190312164045426</v>
      </c>
      <c r="B2971" t="str">
        <f>"1552380045419147"</f>
        <v>1552380045419147</v>
      </c>
      <c r="C2971" t="s">
        <v>40</v>
      </c>
      <c r="D2971">
        <v>5.6016190000000003</v>
      </c>
      <c r="E2971">
        <v>0.47433429999999999</v>
      </c>
      <c r="F2971" t="s">
        <v>41</v>
      </c>
      <c r="G2971">
        <v>-492.22859999999997</v>
      </c>
      <c r="H2971" s="1">
        <v>-3.973464E-6</v>
      </c>
      <c r="I2971">
        <v>257.50130000000001</v>
      </c>
      <c r="J2971">
        <v>-491.00619999999998</v>
      </c>
      <c r="K2971">
        <v>1.1187499999999999</v>
      </c>
      <c r="L2971">
        <v>268.43639999999999</v>
      </c>
      <c r="M2971">
        <v>-0.360004299999999</v>
      </c>
      <c r="N2971">
        <v>0</v>
      </c>
      <c r="O2971">
        <v>-0.93283579999999999</v>
      </c>
      <c r="P2971">
        <v>-0.19320000000000001</v>
      </c>
      <c r="Q2971">
        <v>0.10415190000000001</v>
      </c>
      <c r="R2971">
        <v>-0.97561600000000004</v>
      </c>
      <c r="S2971">
        <v>-0.35452270000000002</v>
      </c>
      <c r="T2971">
        <v>-0.304508</v>
      </c>
      <c r="U2971">
        <v>-3.0383610000000001</v>
      </c>
      <c r="V2971">
        <v>-0.17346439999999999</v>
      </c>
      <c r="W2971">
        <v>0.1148747</v>
      </c>
      <c r="X2971">
        <v>0.97811749999999997</v>
      </c>
      <c r="Y2971">
        <v>-0.24994459999999999</v>
      </c>
      <c r="Z2971">
        <v>8.7903899999999993E-2</v>
      </c>
      <c r="AA2971">
        <v>0.9642617</v>
      </c>
      <c r="AB2971">
        <v>29</v>
      </c>
      <c r="AC2971">
        <v>-1.2223999999999899</v>
      </c>
      <c r="AD2971">
        <v>-1.118753973464</v>
      </c>
      <c r="AE2971">
        <v>-10.935099999999901</v>
      </c>
      <c r="AF2971">
        <v>-2.7680683090221199</v>
      </c>
      <c r="AG2971">
        <v>-1.118753973464</v>
      </c>
      <c r="AH2971">
        <v>10.5329739090354</v>
      </c>
      <c r="AI2971">
        <v>95.865211105105402</v>
      </c>
      <c r="AJ2971">
        <v>104.724397462179</v>
      </c>
      <c r="AK2971">
        <v>10.947938252702</v>
      </c>
      <c r="AL2971">
        <v>83.403601804513798</v>
      </c>
      <c r="AM2971">
        <v>100.056568163419</v>
      </c>
      <c r="AN2971">
        <v>0.99999996928684898</v>
      </c>
    </row>
    <row r="2972" spans="1:40" x14ac:dyDescent="0.25">
      <c r="A2972" t="str">
        <f>"20190312164045439"</f>
        <v>20190312164045439</v>
      </c>
      <c r="B2972" t="str">
        <f>"1552380045428908"</f>
        <v>1552380045428908</v>
      </c>
      <c r="C2972" t="s">
        <v>40</v>
      </c>
      <c r="D2972">
        <v>5.5702369999999997</v>
      </c>
      <c r="E2972">
        <v>0.47407389999999999</v>
      </c>
      <c r="F2972" t="s">
        <v>41</v>
      </c>
      <c r="G2972">
        <v>-492.25389999999999</v>
      </c>
      <c r="H2972" s="1">
        <v>-3.9155729999999997E-6</v>
      </c>
      <c r="I2972">
        <v>257.31849999999997</v>
      </c>
      <c r="J2972">
        <v>-491.0566</v>
      </c>
      <c r="K2972">
        <v>1.1187389999999999</v>
      </c>
      <c r="L2972">
        <v>268.29039999999998</v>
      </c>
      <c r="M2972">
        <v>-0.35440450000000001</v>
      </c>
      <c r="N2972">
        <v>0</v>
      </c>
      <c r="O2972">
        <v>-0.93497799999999998</v>
      </c>
      <c r="P2972">
        <v>-0.1900213</v>
      </c>
      <c r="Q2972">
        <v>0.10400330000000001</v>
      </c>
      <c r="R2972">
        <v>-0.97625600000000001</v>
      </c>
      <c r="S2972">
        <v>-0.34115600000000001</v>
      </c>
      <c r="T2972">
        <v>-0.3059132</v>
      </c>
      <c r="U2972">
        <v>-3.0400999999999998</v>
      </c>
      <c r="V2972">
        <v>-0.17077899999999999</v>
      </c>
      <c r="W2972">
        <v>0.1147913</v>
      </c>
      <c r="X2972">
        <v>0.97859980000000002</v>
      </c>
      <c r="Y2972">
        <v>-0.24839310000000001</v>
      </c>
      <c r="Z2972">
        <v>8.861173E-2</v>
      </c>
      <c r="AA2972">
        <v>0.96459779999999995</v>
      </c>
      <c r="AB2972">
        <v>29</v>
      </c>
      <c r="AC2972">
        <v>-1.19729999999998</v>
      </c>
      <c r="AD2972">
        <v>-1.118742915573</v>
      </c>
      <c r="AE2972">
        <v>-10.9719</v>
      </c>
      <c r="AF2972">
        <v>-2.7411734690032201</v>
      </c>
      <c r="AG2972">
        <v>-1.118742915573</v>
      </c>
      <c r="AH2972">
        <v>10.5752999736102</v>
      </c>
      <c r="AI2972">
        <v>95.846940319818501</v>
      </c>
      <c r="AJ2972">
        <v>104.531556430473</v>
      </c>
      <c r="AK2972">
        <v>10.9819209262384</v>
      </c>
      <c r="AL2972">
        <v>83.408412555063904</v>
      </c>
      <c r="AM2972">
        <v>99.899204198898303</v>
      </c>
      <c r="AN2972">
        <v>1.0000000389783601</v>
      </c>
    </row>
    <row r="2973" spans="1:40" x14ac:dyDescent="0.25">
      <c r="A2973" t="str">
        <f>"20190312164045450"</f>
        <v>20190312164045450</v>
      </c>
      <c r="B2973" t="str">
        <f>"1552380045439410"</f>
        <v>1552380045439410</v>
      </c>
      <c r="C2973" t="s">
        <v>40</v>
      </c>
      <c r="D2973">
        <v>5.6154789999999997</v>
      </c>
      <c r="E2973">
        <v>0.47404239999999997</v>
      </c>
      <c r="F2973" t="s">
        <v>41</v>
      </c>
      <c r="G2973">
        <v>-492.25709999999998</v>
      </c>
      <c r="H2973" s="1">
        <v>-3.8573689999999999E-6</v>
      </c>
      <c r="I2973">
        <v>257.18079999999998</v>
      </c>
      <c r="J2973">
        <v>-491.10570000000001</v>
      </c>
      <c r="K2973">
        <v>1.118725</v>
      </c>
      <c r="L2973">
        <v>268.14359999999999</v>
      </c>
      <c r="M2973">
        <v>-0.34878920000000002</v>
      </c>
      <c r="N2973">
        <v>0</v>
      </c>
      <c r="O2973">
        <v>-0.93708709999999995</v>
      </c>
      <c r="P2973">
        <v>-0.18643799999999999</v>
      </c>
      <c r="Q2973">
        <v>0.1038718</v>
      </c>
      <c r="R2973">
        <v>-0.97696059999999996</v>
      </c>
      <c r="S2973">
        <v>-0.32867429999999997</v>
      </c>
      <c r="T2973">
        <v>-0.30629410000000001</v>
      </c>
      <c r="U2973">
        <v>-3.0416259999999999</v>
      </c>
      <c r="V2973">
        <v>-0.168493</v>
      </c>
      <c r="W2973">
        <v>0.114715</v>
      </c>
      <c r="X2973">
        <v>0.97900489999999996</v>
      </c>
      <c r="Y2973">
        <v>-0.24654970000000001</v>
      </c>
      <c r="Z2973">
        <v>8.9030330000000005E-2</v>
      </c>
      <c r="AA2973">
        <v>0.965032</v>
      </c>
      <c r="AB2973">
        <v>29</v>
      </c>
      <c r="AC2973">
        <v>-1.15139999999996</v>
      </c>
      <c r="AD2973">
        <v>-1.118728857369</v>
      </c>
      <c r="AE2973">
        <v>-10.9628</v>
      </c>
      <c r="AF2973">
        <v>-2.71705173964913</v>
      </c>
      <c r="AG2973">
        <v>-1.118728857369</v>
      </c>
      <c r="AH2973">
        <v>10.5669946645918</v>
      </c>
      <c r="AI2973">
        <v>95.854355613252395</v>
      </c>
      <c r="AJ2973">
        <v>104.41988076057901</v>
      </c>
      <c r="AK2973">
        <v>10.967921437252899</v>
      </c>
      <c r="AL2973">
        <v>83.412813090667001</v>
      </c>
      <c r="AM2973">
        <v>99.765301756391395</v>
      </c>
      <c r="AN2973">
        <v>1.0000000082489999</v>
      </c>
    </row>
    <row r="2974" spans="1:40" x14ac:dyDescent="0.25">
      <c r="A2974" t="str">
        <f>"20190312164045461"</f>
        <v>20190312164045461</v>
      </c>
      <c r="B2974" t="str">
        <f>"1552380045459164"</f>
        <v>1552380045459164</v>
      </c>
      <c r="C2974" t="s">
        <v>40</v>
      </c>
      <c r="D2974">
        <v>5.6778959999999996</v>
      </c>
      <c r="E2974">
        <v>0.4739988</v>
      </c>
      <c r="F2974" t="s">
        <v>41</v>
      </c>
      <c r="G2974">
        <v>-492.26600000000002</v>
      </c>
      <c r="H2974" s="1">
        <v>-3.7858869999999999E-6</v>
      </c>
      <c r="I2974">
        <v>257.00869999999998</v>
      </c>
      <c r="J2974">
        <v>-491.14890000000003</v>
      </c>
      <c r="K2974">
        <v>1.118711</v>
      </c>
      <c r="L2974">
        <v>268.01319999999998</v>
      </c>
      <c r="M2974">
        <v>-0.34379510000000002</v>
      </c>
      <c r="N2974">
        <v>0</v>
      </c>
      <c r="O2974">
        <v>-0.93893079999999995</v>
      </c>
      <c r="P2974">
        <v>-0.183423</v>
      </c>
      <c r="Q2974">
        <v>0.10352210000000001</v>
      </c>
      <c r="R2974">
        <v>-0.97756790000000005</v>
      </c>
      <c r="S2974">
        <v>-0.31704710000000003</v>
      </c>
      <c r="T2974">
        <v>-0.30570340000000001</v>
      </c>
      <c r="U2974">
        <v>-3.0427249999999999</v>
      </c>
      <c r="V2974">
        <v>-0.16629820000000001</v>
      </c>
      <c r="W2974">
        <v>0.11441800000000001</v>
      </c>
      <c r="X2974">
        <v>0.97941480000000003</v>
      </c>
      <c r="Y2974">
        <v>-0.24507390000000001</v>
      </c>
      <c r="Z2974">
        <v>8.9135530000000004E-2</v>
      </c>
      <c r="AA2974">
        <v>0.96539819999999998</v>
      </c>
      <c r="AB2974">
        <v>29</v>
      </c>
      <c r="AC2974">
        <v>-1.11709999999993</v>
      </c>
      <c r="AD2974">
        <v>-1.1187147858869999</v>
      </c>
      <c r="AE2974">
        <v>-11.0045</v>
      </c>
      <c r="AF2974">
        <v>-2.7070151942427398</v>
      </c>
      <c r="AG2974">
        <v>-1.1187147858869999</v>
      </c>
      <c r="AH2974">
        <v>10.609139702394399</v>
      </c>
      <c r="AI2974">
        <v>95.833926134625202</v>
      </c>
      <c r="AJ2974">
        <v>104.314093761595</v>
      </c>
      <c r="AK2974">
        <v>11.006057389408101</v>
      </c>
      <c r="AL2974">
        <v>83.4299424090717</v>
      </c>
      <c r="AM2974">
        <v>99.636541872969104</v>
      </c>
      <c r="AN2974">
        <v>0.99999996025313898</v>
      </c>
    </row>
    <row r="2975" spans="1:40" x14ac:dyDescent="0.25">
      <c r="A2975" t="str">
        <f>"20190312164045471"</f>
        <v>20190312164045471</v>
      </c>
      <c r="B2975" t="str">
        <f>"1552380045468924"</f>
        <v>1552380045468924</v>
      </c>
      <c r="C2975" t="s">
        <v>40</v>
      </c>
      <c r="D2975">
        <v>5.587815</v>
      </c>
      <c r="E2975">
        <v>0.47397909999999999</v>
      </c>
      <c r="F2975" t="s">
        <v>41</v>
      </c>
      <c r="G2975">
        <v>-492.27730000000003</v>
      </c>
      <c r="H2975" s="1">
        <v>-3.7117930000000002E-6</v>
      </c>
      <c r="I2975">
        <v>256.82889999999998</v>
      </c>
      <c r="J2975">
        <v>-491.19150000000002</v>
      </c>
      <c r="K2975">
        <v>1.118692</v>
      </c>
      <c r="L2975">
        <v>267.88150000000002</v>
      </c>
      <c r="M2975">
        <v>-0.3387617</v>
      </c>
      <c r="N2975">
        <v>0</v>
      </c>
      <c r="O2975">
        <v>-0.94075850000000005</v>
      </c>
      <c r="P2975">
        <v>-0.18020220000000001</v>
      </c>
      <c r="Q2975">
        <v>0.103407</v>
      </c>
      <c r="R2975">
        <v>-0.97817900000000002</v>
      </c>
      <c r="S2975">
        <v>-0.3070679</v>
      </c>
      <c r="T2975">
        <v>-0.30442819999999998</v>
      </c>
      <c r="U2975">
        <v>-3.043488</v>
      </c>
      <c r="V2975">
        <v>-0.16427269999999999</v>
      </c>
      <c r="W2975">
        <v>0.1143522</v>
      </c>
      <c r="X2975">
        <v>0.97976430000000003</v>
      </c>
      <c r="Y2975">
        <v>-0.24303759999999999</v>
      </c>
      <c r="Z2975">
        <v>8.9052939999999997E-2</v>
      </c>
      <c r="AA2975">
        <v>0.96592040000000001</v>
      </c>
      <c r="AB2975">
        <v>29</v>
      </c>
      <c r="AC2975">
        <v>-1.0858000000000001</v>
      </c>
      <c r="AD2975">
        <v>-1.1186957117929901</v>
      </c>
      <c r="AE2975">
        <v>-11.0526</v>
      </c>
      <c r="AF2975">
        <v>-2.6956613024852798</v>
      </c>
      <c r="AG2975">
        <v>-1.1186957117929901</v>
      </c>
      <c r="AH2975">
        <v>10.6586567874311</v>
      </c>
      <c r="AI2975">
        <v>95.8100089316805</v>
      </c>
      <c r="AJ2975">
        <v>104.192959779356</v>
      </c>
      <c r="AK2975">
        <v>11.051019612033601</v>
      </c>
      <c r="AL2975">
        <v>83.433737738175097</v>
      </c>
      <c r="AM2975">
        <v>99.517997015210497</v>
      </c>
      <c r="AN2975">
        <v>1.00000001458231</v>
      </c>
    </row>
    <row r="2976" spans="1:40" x14ac:dyDescent="0.25">
      <c r="A2976" t="str">
        <f>"20190312164045483"</f>
        <v>20190312164045483</v>
      </c>
      <c r="B2976" t="str">
        <f>"1552380045478684"</f>
        <v>1552380045478684</v>
      </c>
      <c r="C2976" t="s">
        <v>40</v>
      </c>
      <c r="D2976">
        <v>5.6720920000000001</v>
      </c>
      <c r="E2976">
        <v>0.47399180000000002</v>
      </c>
      <c r="F2976" t="s">
        <v>41</v>
      </c>
      <c r="G2976">
        <v>-492.2835</v>
      </c>
      <c r="H2976" s="1">
        <v>-3.6484960000000002E-6</v>
      </c>
      <c r="I2976">
        <v>256.67759999999998</v>
      </c>
      <c r="J2976">
        <v>-491.23410000000001</v>
      </c>
      <c r="K2976">
        <v>1.118673</v>
      </c>
      <c r="L2976">
        <v>267.7475</v>
      </c>
      <c r="M2976">
        <v>-0.33363910000000002</v>
      </c>
      <c r="N2976">
        <v>0</v>
      </c>
      <c r="O2976">
        <v>-0.94258770000000003</v>
      </c>
      <c r="P2976">
        <v>-0.17656920000000001</v>
      </c>
      <c r="Q2976">
        <v>0.1031719</v>
      </c>
      <c r="R2976">
        <v>-0.97886629999999997</v>
      </c>
      <c r="S2976">
        <v>-0.2967224</v>
      </c>
      <c r="T2976">
        <v>-0.3039751</v>
      </c>
      <c r="U2976">
        <v>-3.0443730000000002</v>
      </c>
      <c r="V2976">
        <v>-0.16257639999999901</v>
      </c>
      <c r="W2976">
        <v>0.11415889999999999</v>
      </c>
      <c r="X2976">
        <v>0.98006970000000004</v>
      </c>
      <c r="Y2976">
        <v>-0.24103959999999999</v>
      </c>
      <c r="Z2976">
        <v>8.9202980000000001E-2</v>
      </c>
      <c r="AA2976">
        <v>0.96640709999999996</v>
      </c>
      <c r="AB2976">
        <v>29</v>
      </c>
      <c r="AC2976">
        <v>-1.0493999999999899</v>
      </c>
      <c r="AD2976">
        <v>-1.118676648496</v>
      </c>
      <c r="AE2976">
        <v>-11.069900000000001</v>
      </c>
      <c r="AF2976">
        <v>-2.6773898269264298</v>
      </c>
      <c r="AG2976">
        <v>-1.118676648496</v>
      </c>
      <c r="AH2976">
        <v>10.6775524976737</v>
      </c>
      <c r="AI2976">
        <v>95.802644588434703</v>
      </c>
      <c r="AJ2976">
        <v>104.076647781745</v>
      </c>
      <c r="AK2976">
        <v>11.064808225622199</v>
      </c>
      <c r="AL2976">
        <v>83.444885780831498</v>
      </c>
      <c r="AM2976">
        <v>99.418600842332694</v>
      </c>
      <c r="AN2976">
        <v>0.99999997857212897</v>
      </c>
    </row>
    <row r="2977" spans="1:40" x14ac:dyDescent="0.25">
      <c r="A2977" t="str">
        <f>"20190312164045495"</f>
        <v>20190312164045495</v>
      </c>
      <c r="B2977" t="str">
        <f>"1552380045489420"</f>
        <v>1552380045489420</v>
      </c>
      <c r="C2977" t="s">
        <v>40</v>
      </c>
      <c r="D2977">
        <v>5.615361</v>
      </c>
      <c r="E2977">
        <v>0.4739622</v>
      </c>
      <c r="F2977" t="s">
        <v>41</v>
      </c>
      <c r="G2977">
        <v>-492.28449999999998</v>
      </c>
      <c r="H2977" s="1">
        <v>-3.5906349999999999E-6</v>
      </c>
      <c r="I2977">
        <v>256.5421</v>
      </c>
      <c r="J2977">
        <v>-491.28120000000001</v>
      </c>
      <c r="K2977">
        <v>1.1186529999999999</v>
      </c>
      <c r="L2977">
        <v>267.59690000000001</v>
      </c>
      <c r="M2977">
        <v>-0.32788630000000002</v>
      </c>
      <c r="N2977">
        <v>0</v>
      </c>
      <c r="O2977">
        <v>-0.94460429999999995</v>
      </c>
      <c r="P2977">
        <v>-0.17238779999999901</v>
      </c>
      <c r="Q2977">
        <v>0.1031376</v>
      </c>
      <c r="R2977">
        <v>-0.97961500000000001</v>
      </c>
      <c r="S2977">
        <v>-0.28546139999999998</v>
      </c>
      <c r="T2977">
        <v>-0.30402059999999997</v>
      </c>
      <c r="U2977">
        <v>-3.0452880000000002</v>
      </c>
      <c r="V2977">
        <v>-0.16077810000000001</v>
      </c>
      <c r="W2977">
        <v>0.1141684</v>
      </c>
      <c r="X2977">
        <v>0.98036520000000005</v>
      </c>
      <c r="Y2977">
        <v>-0.23869360000000001</v>
      </c>
      <c r="Z2977">
        <v>8.9529120000000004E-2</v>
      </c>
      <c r="AA2977">
        <v>0.96695909999999996</v>
      </c>
      <c r="AB2977">
        <v>29</v>
      </c>
      <c r="AC2977">
        <v>-1.0032999999999599</v>
      </c>
      <c r="AD2977">
        <v>-1.1186565906349999</v>
      </c>
      <c r="AE2977">
        <v>-11.0548</v>
      </c>
      <c r="AF2977">
        <v>-2.6503640074580899</v>
      </c>
      <c r="AG2977">
        <v>-1.1186565906349999</v>
      </c>
      <c r="AH2977">
        <v>10.6642213775604</v>
      </c>
      <c r="AI2977">
        <v>95.812757286819703</v>
      </c>
      <c r="AJ2977">
        <v>103.956870138884</v>
      </c>
      <c r="AK2977">
        <v>11.0454261814298</v>
      </c>
      <c r="AL2977">
        <v>83.444337853299004</v>
      </c>
      <c r="AM2977">
        <v>99.313496876399498</v>
      </c>
      <c r="AN2977">
        <v>0.99999997318460399</v>
      </c>
    </row>
    <row r="2978" spans="1:40" x14ac:dyDescent="0.25">
      <c r="A2978" t="str">
        <f>"20190312164045506"</f>
        <v>20190312164045506</v>
      </c>
      <c r="B2978" t="str">
        <f>"1552380045499179"</f>
        <v>1552380045499179</v>
      </c>
      <c r="C2978" t="s">
        <v>40</v>
      </c>
      <c r="D2978">
        <v>5.6593559999999998</v>
      </c>
      <c r="E2978">
        <v>0.47398699999999999</v>
      </c>
      <c r="F2978" t="s">
        <v>41</v>
      </c>
      <c r="G2978">
        <v>-492.28460000000001</v>
      </c>
      <c r="H2978" s="1">
        <v>-3.5179420000000001E-6</v>
      </c>
      <c r="I2978">
        <v>256.3725</v>
      </c>
      <c r="J2978">
        <v>-491.32069999999999</v>
      </c>
      <c r="K2978">
        <v>1.118638</v>
      </c>
      <c r="L2978">
        <v>267.46719999999999</v>
      </c>
      <c r="M2978">
        <v>-0.32294149999999999</v>
      </c>
      <c r="N2978">
        <v>0</v>
      </c>
      <c r="O2978">
        <v>-0.94630619999999999</v>
      </c>
      <c r="P2978">
        <v>-0.168737</v>
      </c>
      <c r="Q2978">
        <v>0.1031326</v>
      </c>
      <c r="R2978">
        <v>-0.98025079999999998</v>
      </c>
      <c r="S2978">
        <v>-0.27233889999999999</v>
      </c>
      <c r="T2978">
        <v>-0.303622</v>
      </c>
      <c r="U2978">
        <v>-3.046478</v>
      </c>
      <c r="V2978">
        <v>-0.15929599999999999</v>
      </c>
      <c r="W2978">
        <v>0.1141996</v>
      </c>
      <c r="X2978">
        <v>0.98060349999999996</v>
      </c>
      <c r="Y2978">
        <v>-0.23778079999999999</v>
      </c>
      <c r="Z2978">
        <v>8.9655109999999996E-2</v>
      </c>
      <c r="AA2978">
        <v>0.96717229999999998</v>
      </c>
      <c r="AB2978">
        <v>29</v>
      </c>
      <c r="AC2978">
        <v>-0.96390000000002296</v>
      </c>
      <c r="AD2978">
        <v>-1.118641517942</v>
      </c>
      <c r="AE2978">
        <v>-11.0946999999999</v>
      </c>
      <c r="AF2978">
        <v>-2.6443978892231899</v>
      </c>
      <c r="AG2978">
        <v>-1.118641517942</v>
      </c>
      <c r="AH2978">
        <v>10.703424137924699</v>
      </c>
      <c r="AI2978">
        <v>95.793506017568006</v>
      </c>
      <c r="AJ2978">
        <v>103.877643388167</v>
      </c>
      <c r="AK2978">
        <v>11.0818539657632</v>
      </c>
      <c r="AL2978">
        <v>83.442538594824299</v>
      </c>
      <c r="AM2978">
        <v>99.226922158357198</v>
      </c>
      <c r="AN2978">
        <v>0.99999999423420405</v>
      </c>
    </row>
    <row r="2979" spans="1:40" x14ac:dyDescent="0.25">
      <c r="A2979" t="str">
        <f>"20190312164045517"</f>
        <v>20190312164045517</v>
      </c>
      <c r="B2979" t="str">
        <f>"1552380045508939"</f>
        <v>1552380045508939</v>
      </c>
      <c r="C2979" t="s">
        <v>40</v>
      </c>
      <c r="D2979">
        <v>5.5456940000000001</v>
      </c>
      <c r="E2979">
        <v>0.47401009999999999</v>
      </c>
      <c r="F2979" t="s">
        <v>41</v>
      </c>
      <c r="G2979">
        <v>-492.28609999999998</v>
      </c>
      <c r="H2979" s="1">
        <v>-3.4500029999999999E-6</v>
      </c>
      <c r="I2979">
        <v>256.2133</v>
      </c>
      <c r="J2979">
        <v>-491.3612</v>
      </c>
      <c r="K2979">
        <v>1.1186160000000001</v>
      </c>
      <c r="L2979">
        <v>267.3329</v>
      </c>
      <c r="M2979">
        <v>-0.31782270000000001</v>
      </c>
      <c r="N2979">
        <v>0</v>
      </c>
      <c r="O2979">
        <v>-0.94803789999999999</v>
      </c>
      <c r="P2979">
        <v>-0.1652507</v>
      </c>
      <c r="Q2979">
        <v>0.1034071</v>
      </c>
      <c r="R2979">
        <v>-0.98081569999999996</v>
      </c>
      <c r="S2979">
        <v>-0.26141360000000002</v>
      </c>
      <c r="T2979">
        <v>-0.30290230000000001</v>
      </c>
      <c r="U2979">
        <v>-3.0473020000000002</v>
      </c>
      <c r="V2979">
        <v>-0.15747139999999901</v>
      </c>
      <c r="W2979">
        <v>0.11451840000000001</v>
      </c>
      <c r="X2979">
        <v>0.98086099999999998</v>
      </c>
      <c r="Y2979">
        <v>-0.2359955</v>
      </c>
      <c r="Z2979">
        <v>8.9708629999999998E-2</v>
      </c>
      <c r="AA2979">
        <v>0.96760449999999998</v>
      </c>
      <c r="AB2979">
        <v>29</v>
      </c>
      <c r="AC2979">
        <v>-0.92489999999997896</v>
      </c>
      <c r="AD2979">
        <v>-1.118619450003</v>
      </c>
      <c r="AE2979">
        <v>-11.119599999999901</v>
      </c>
      <c r="AF2979">
        <v>-2.6310601703643401</v>
      </c>
      <c r="AG2979">
        <v>-1.118619450003</v>
      </c>
      <c r="AH2979">
        <v>10.7290762658206</v>
      </c>
      <c r="AI2979">
        <v>95.782078653537496</v>
      </c>
      <c r="AJ2979">
        <v>103.778574658808</v>
      </c>
      <c r="AK2979">
        <v>11.1034618300689</v>
      </c>
      <c r="AL2979">
        <v>83.424152136625807</v>
      </c>
      <c r="AM2979">
        <v>99.120668175410501</v>
      </c>
      <c r="AN2979">
        <v>1.00000000353876</v>
      </c>
    </row>
    <row r="2980" spans="1:40" x14ac:dyDescent="0.25">
      <c r="A2980" t="str">
        <f>"20190312164045528"</f>
        <v>20190312164045528</v>
      </c>
      <c r="B2980" t="str">
        <f>"1552380045518700"</f>
        <v>1552380045518700</v>
      </c>
      <c r="C2980" t="s">
        <v>40</v>
      </c>
      <c r="D2980">
        <v>5.5849489999999999</v>
      </c>
      <c r="E2980">
        <v>0.47402</v>
      </c>
      <c r="F2980" t="s">
        <v>41</v>
      </c>
      <c r="G2980">
        <v>-492.28960000000001</v>
      </c>
      <c r="H2980" s="1">
        <v>-3.3712020000000001E-6</v>
      </c>
      <c r="I2980">
        <v>256.0274</v>
      </c>
      <c r="J2980">
        <v>-491.39980000000003</v>
      </c>
      <c r="K2980">
        <v>1.1185959999999999</v>
      </c>
      <c r="L2980">
        <v>267.20089999999999</v>
      </c>
      <c r="M2980">
        <v>-0.31280530000000001</v>
      </c>
      <c r="N2980">
        <v>0</v>
      </c>
      <c r="O2980">
        <v>-0.94970509999999997</v>
      </c>
      <c r="P2980">
        <v>-0.1616562</v>
      </c>
      <c r="Q2980">
        <v>0.1036849</v>
      </c>
      <c r="R2980">
        <v>-0.98138510000000001</v>
      </c>
      <c r="S2980">
        <v>-0.25030520000000001</v>
      </c>
      <c r="T2980">
        <v>-0.3016105</v>
      </c>
      <c r="U2980">
        <v>-3.048279</v>
      </c>
      <c r="V2980">
        <v>-0.155866899999999</v>
      </c>
      <c r="W2980">
        <v>0.1148349</v>
      </c>
      <c r="X2980">
        <v>0.98108019999999996</v>
      </c>
      <c r="Y2980">
        <v>-0.23438339999999999</v>
      </c>
      <c r="Z2980">
        <v>8.9576210000000003E-2</v>
      </c>
      <c r="AA2980">
        <v>0.96800850000000005</v>
      </c>
      <c r="AB2980">
        <v>29</v>
      </c>
      <c r="AC2980">
        <v>-0.88979999999997905</v>
      </c>
      <c r="AD2980">
        <v>-1.1185993712019999</v>
      </c>
      <c r="AE2980">
        <v>-11.173499999999899</v>
      </c>
      <c r="AF2980">
        <v>-2.62422951804716</v>
      </c>
      <c r="AG2980">
        <v>-1.1185993712019999</v>
      </c>
      <c r="AH2980">
        <v>10.783627921143101</v>
      </c>
      <c r="AI2980">
        <v>95.755391876189904</v>
      </c>
      <c r="AJ2980">
        <v>103.677250871284</v>
      </c>
      <c r="AK2980">
        <v>11.154571989023101</v>
      </c>
      <c r="AL2980">
        <v>83.405897252178804</v>
      </c>
      <c r="AM2980">
        <v>99.027290817627801</v>
      </c>
      <c r="AN2980">
        <v>0.99999995180282797</v>
      </c>
    </row>
    <row r="2981" spans="1:40" x14ac:dyDescent="0.25">
      <c r="A2981" t="str">
        <f>"20190312164045540"</f>
        <v>20190312164045540</v>
      </c>
      <c r="B2981" t="str">
        <f>"1552380045529437"</f>
        <v>1552380045529437</v>
      </c>
      <c r="C2981" t="s">
        <v>40</v>
      </c>
      <c r="D2981">
        <v>5.595618</v>
      </c>
      <c r="E2981">
        <v>0.47387030000000002</v>
      </c>
      <c r="F2981" t="s">
        <v>41</v>
      </c>
      <c r="G2981">
        <v>-492.29300000000001</v>
      </c>
      <c r="H2981" s="1">
        <v>-3.2853710000000002E-6</v>
      </c>
      <c r="I2981">
        <v>255.8252</v>
      </c>
      <c r="J2981">
        <v>-491.4393</v>
      </c>
      <c r="K2981">
        <v>1.118576</v>
      </c>
      <c r="L2981">
        <v>267.06459999999998</v>
      </c>
      <c r="M2981">
        <v>-0.30762630000000002</v>
      </c>
      <c r="N2981">
        <v>0</v>
      </c>
      <c r="O2981">
        <v>-0.95139560000000001</v>
      </c>
      <c r="P2981">
        <v>-0.1580963</v>
      </c>
      <c r="Q2981">
        <v>0.10386289999999999</v>
      </c>
      <c r="R2981">
        <v>-0.98194610000000004</v>
      </c>
      <c r="S2981">
        <v>-0.2394104</v>
      </c>
      <c r="T2981">
        <v>-0.29982690000000001</v>
      </c>
      <c r="U2981">
        <v>-3.0491030000000001</v>
      </c>
      <c r="V2981">
        <v>-0.15406810000000001</v>
      </c>
      <c r="W2981">
        <v>0.11505659999999999</v>
      </c>
      <c r="X2981">
        <v>0.98133840000000006</v>
      </c>
      <c r="Y2981">
        <v>-0.2325422</v>
      </c>
      <c r="Z2981">
        <v>8.9306140000000006E-2</v>
      </c>
      <c r="AA2981">
        <v>0.96847740000000004</v>
      </c>
      <c r="AB2981">
        <v>29</v>
      </c>
      <c r="AC2981">
        <v>-0.85370000000000301</v>
      </c>
      <c r="AD2981">
        <v>-1.1185792853709999</v>
      </c>
      <c r="AE2981">
        <v>-11.2393999999999</v>
      </c>
      <c r="AF2981">
        <v>-2.6198097482629299</v>
      </c>
      <c r="AG2981">
        <v>-1.1185792853709999</v>
      </c>
      <c r="AH2981">
        <v>10.850048862498699</v>
      </c>
      <c r="AI2981">
        <v>95.722759937655397</v>
      </c>
      <c r="AJ2981">
        <v>103.57458813661999</v>
      </c>
      <c r="AK2981">
        <v>11.2177619449409</v>
      </c>
      <c r="AL2981">
        <v>83.393110526030199</v>
      </c>
      <c r="AM2981">
        <v>98.922486462619005</v>
      </c>
      <c r="AN2981">
        <v>1.00000002797786</v>
      </c>
    </row>
    <row r="2982" spans="1:40" x14ac:dyDescent="0.25">
      <c r="A2982" t="str">
        <f>"20190312164045551"</f>
        <v>20190312164045551</v>
      </c>
      <c r="B2982" t="str">
        <f>"1552380045548956"</f>
        <v>1552380045548956</v>
      </c>
      <c r="C2982" t="s">
        <v>40</v>
      </c>
      <c r="D2982">
        <v>5.542484</v>
      </c>
      <c r="E2982">
        <v>0.47374139999999998</v>
      </c>
      <c r="F2982" t="s">
        <v>41</v>
      </c>
      <c r="G2982">
        <v>-492.28190000000001</v>
      </c>
      <c r="H2982" s="1">
        <v>-3.2369310000000001E-6</v>
      </c>
      <c r="I2982">
        <v>255.7192</v>
      </c>
      <c r="J2982">
        <v>-491.48</v>
      </c>
      <c r="K2982">
        <v>1.1185499999999999</v>
      </c>
      <c r="L2982">
        <v>266.9196</v>
      </c>
      <c r="M2982">
        <v>-0.30213089999999998</v>
      </c>
      <c r="N2982">
        <v>0</v>
      </c>
      <c r="O2982">
        <v>-0.95315519999999998</v>
      </c>
      <c r="P2982">
        <v>-0.15401110000000001</v>
      </c>
      <c r="Q2982">
        <v>0.1038616</v>
      </c>
      <c r="R2982">
        <v>-0.98259529999999995</v>
      </c>
      <c r="S2982">
        <v>-0.2265625</v>
      </c>
      <c r="T2982">
        <v>-0.30076059999999999</v>
      </c>
      <c r="U2982">
        <v>-3.0505369999999998</v>
      </c>
      <c r="V2982">
        <v>-0.1524771</v>
      </c>
      <c r="W2982">
        <v>0.1150944</v>
      </c>
      <c r="X2982">
        <v>0.98158239999999997</v>
      </c>
      <c r="Y2982">
        <v>-0.23102329999999999</v>
      </c>
      <c r="Z2982">
        <v>8.9827019999999994E-2</v>
      </c>
      <c r="AA2982">
        <v>0.96879269999999995</v>
      </c>
      <c r="AB2982">
        <v>29</v>
      </c>
      <c r="AC2982">
        <v>-0.80189999999998895</v>
      </c>
      <c r="AD2982">
        <v>-1.1185532369309901</v>
      </c>
      <c r="AE2982">
        <v>-11.2004</v>
      </c>
      <c r="AF2982">
        <v>-2.5941885029012299</v>
      </c>
      <c r="AG2982">
        <v>-1.1185532369309901</v>
      </c>
      <c r="AH2982">
        <v>10.8118742468988</v>
      </c>
      <c r="AI2982">
        <v>95.744667610005607</v>
      </c>
      <c r="AJ2982">
        <v>103.492419563189</v>
      </c>
      <c r="AK2982">
        <v>11.174864655251399</v>
      </c>
      <c r="AL2982">
        <v>83.390930059004603</v>
      </c>
      <c r="AM2982">
        <v>98.829646668819606</v>
      </c>
      <c r="AN2982">
        <v>0.99999999746276502</v>
      </c>
    </row>
    <row r="2983" spans="1:40" x14ac:dyDescent="0.25">
      <c r="A2983" t="str">
        <f>"20190312164045563"</f>
        <v>20190312164045563</v>
      </c>
      <c r="B2983" t="str">
        <f>"1552380045558716"</f>
        <v>1552380045558716</v>
      </c>
      <c r="C2983" t="s">
        <v>40</v>
      </c>
      <c r="D2983">
        <v>5.7853579999999996</v>
      </c>
      <c r="E2983">
        <v>0.47374139999999998</v>
      </c>
      <c r="F2983" t="s">
        <v>41</v>
      </c>
      <c r="G2983">
        <v>-492.27480000000003</v>
      </c>
      <c r="H2983" s="1">
        <v>-3.154362E-6</v>
      </c>
      <c r="I2983">
        <v>255.53110000000001</v>
      </c>
      <c r="J2983">
        <v>-491.51760000000002</v>
      </c>
      <c r="K2983">
        <v>1.118527</v>
      </c>
      <c r="L2983">
        <v>266.78390000000002</v>
      </c>
      <c r="M2983">
        <v>-0.29699500000000001</v>
      </c>
      <c r="N2983">
        <v>0</v>
      </c>
      <c r="O2983">
        <v>-0.95476780000000006</v>
      </c>
      <c r="P2983">
        <v>-0.15027209999999999</v>
      </c>
      <c r="Q2983">
        <v>0.10387209999999999</v>
      </c>
      <c r="R2983">
        <v>-0.98317299999999996</v>
      </c>
      <c r="S2983">
        <v>-0.21295169999999999</v>
      </c>
      <c r="T2983">
        <v>-0.29970730000000001</v>
      </c>
      <c r="U2983">
        <v>-3.051453</v>
      </c>
      <c r="V2983">
        <v>-0.15091740000000001</v>
      </c>
      <c r="W2983">
        <v>0.1151432</v>
      </c>
      <c r="X2983">
        <v>0.98181770000000002</v>
      </c>
      <c r="Y2983">
        <v>-0.2301048</v>
      </c>
      <c r="Z2983">
        <v>8.9746480000000003E-2</v>
      </c>
      <c r="AA2983">
        <v>0.96901879999999996</v>
      </c>
      <c r="AB2983">
        <v>29</v>
      </c>
      <c r="AC2983">
        <v>-0.75720000000001098</v>
      </c>
      <c r="AD2983">
        <v>-1.1185301543619901</v>
      </c>
      <c r="AE2983">
        <v>-11.252800000000001</v>
      </c>
      <c r="AF2983">
        <v>-2.5938407269205501</v>
      </c>
      <c r="AG2983">
        <v>-1.1185301543619901</v>
      </c>
      <c r="AH2983">
        <v>10.863013830890299</v>
      </c>
      <c r="AI2983">
        <v>95.719179744209399</v>
      </c>
      <c r="AJ2983">
        <v>103.429472883568</v>
      </c>
      <c r="AK2983">
        <v>11.2242678564334</v>
      </c>
      <c r="AL2983">
        <v>83.388115375639998</v>
      </c>
      <c r="AM2983">
        <v>98.738666934487298</v>
      </c>
      <c r="AN2983">
        <v>1.0000000070811399</v>
      </c>
    </row>
    <row r="2984" spans="1:40" x14ac:dyDescent="0.25">
      <c r="A2984" t="str">
        <f>"20190312164045581"</f>
        <v>20190312164045581</v>
      </c>
      <c r="B2984" t="str">
        <f>"1552380045569452"</f>
        <v>1552380045569452</v>
      </c>
      <c r="C2984" t="s">
        <v>40</v>
      </c>
      <c r="D2984">
        <v>5.5408799999999996</v>
      </c>
      <c r="E2984">
        <v>0.45006980000000002</v>
      </c>
      <c r="F2984" t="s">
        <v>41</v>
      </c>
      <c r="G2984">
        <v>-492.26769999999999</v>
      </c>
      <c r="H2984" s="1">
        <v>-3.0906600000000001E-6</v>
      </c>
      <c r="I2984">
        <v>255.387</v>
      </c>
      <c r="J2984">
        <v>-491.57339999999999</v>
      </c>
      <c r="K2984">
        <v>1.1184860000000001</v>
      </c>
      <c r="L2984">
        <v>266.57690000000002</v>
      </c>
      <c r="M2984">
        <v>-0.28917569999999998</v>
      </c>
      <c r="N2984">
        <v>0</v>
      </c>
      <c r="O2984">
        <v>-0.9571653</v>
      </c>
      <c r="P2984">
        <v>-0.14520159999999999</v>
      </c>
      <c r="Q2984">
        <v>0.1034359</v>
      </c>
      <c r="R2984">
        <v>-0.98398079999999999</v>
      </c>
      <c r="S2984">
        <v>-0.2008972</v>
      </c>
      <c r="T2984">
        <v>-0.299560099999999</v>
      </c>
      <c r="U2984">
        <v>-3.0522770000000001</v>
      </c>
      <c r="V2984">
        <v>-0.1479376</v>
      </c>
      <c r="W2984">
        <v>0.1147794</v>
      </c>
      <c r="X2984">
        <v>0.98231369999999896</v>
      </c>
      <c r="Y2984">
        <v>-0.22597249999999999</v>
      </c>
      <c r="Z2984">
        <v>9.0085100000000001E-2</v>
      </c>
      <c r="AA2984">
        <v>0.96995929999999997</v>
      </c>
      <c r="AB2984">
        <v>29</v>
      </c>
      <c r="AC2984">
        <v>-0.69429999999999803</v>
      </c>
      <c r="AD2984">
        <v>-1.11848909066</v>
      </c>
      <c r="AE2984">
        <v>-11.1899</v>
      </c>
      <c r="AF2984">
        <v>-2.5462180732732098</v>
      </c>
      <c r="AG2984">
        <v>-1.11848909066</v>
      </c>
      <c r="AH2984">
        <v>10.8049764403554</v>
      </c>
      <c r="AI2984">
        <v>95.753493799884495</v>
      </c>
      <c r="AJ2984">
        <v>103.259966747905</v>
      </c>
      <c r="AK2984">
        <v>11.1571394272557</v>
      </c>
      <c r="AL2984">
        <v>83.409098816772698</v>
      </c>
      <c r="AM2984">
        <v>98.564449617937996</v>
      </c>
      <c r="AN2984">
        <v>1.0000000246828999</v>
      </c>
    </row>
    <row r="2985" spans="1:40" x14ac:dyDescent="0.25">
      <c r="A2985" t="str">
        <f>"20190312164045603"</f>
        <v>20190312164045603</v>
      </c>
      <c r="B2985" t="str">
        <f>"1552380045598733"</f>
        <v>1552380045598733</v>
      </c>
      <c r="C2985" t="s">
        <v>40</v>
      </c>
      <c r="D2985">
        <v>5.5426029999999997</v>
      </c>
      <c r="E2985">
        <v>0.44913429999999999</v>
      </c>
      <c r="F2985" t="s">
        <v>41</v>
      </c>
      <c r="G2985">
        <v>-491.57709999999997</v>
      </c>
      <c r="H2985" s="1">
        <v>-1.90873E-6</v>
      </c>
      <c r="I2985">
        <v>253.06030000000001</v>
      </c>
      <c r="J2985">
        <v>-491.64609999999999</v>
      </c>
      <c r="K2985">
        <v>1.118436</v>
      </c>
      <c r="L2985">
        <v>266.2955</v>
      </c>
      <c r="M2985">
        <v>-0.2785861</v>
      </c>
      <c r="N2985">
        <v>0</v>
      </c>
      <c r="O2985">
        <v>-0.96030099999999996</v>
      </c>
      <c r="P2985">
        <v>-0.13682329999999901</v>
      </c>
      <c r="Q2985">
        <v>0.1036757</v>
      </c>
      <c r="R2985">
        <v>-0.98515520000000001</v>
      </c>
      <c r="S2985">
        <v>-8.2397459999999998E-4</v>
      </c>
      <c r="T2985">
        <v>-0.2544942</v>
      </c>
      <c r="U2985">
        <v>-3.0754999999999999</v>
      </c>
      <c r="V2985">
        <v>-0.145426</v>
      </c>
      <c r="W2985">
        <v>0.11508119999999999</v>
      </c>
      <c r="X2985">
        <v>0.98265329999999995</v>
      </c>
      <c r="Y2985">
        <v>-0.27833999999999998</v>
      </c>
      <c r="Z2985">
        <v>7.5944899999999996E-2</v>
      </c>
      <c r="AA2985">
        <v>0.95747539999999998</v>
      </c>
      <c r="AB2985">
        <v>29</v>
      </c>
      <c r="AC2985">
        <v>6.9000000000016798E-2</v>
      </c>
      <c r="AD2985">
        <v>-1.11843790873</v>
      </c>
      <c r="AE2985">
        <v>-13.235199999999899</v>
      </c>
      <c r="AF2985">
        <v>-3.72718568322491</v>
      </c>
      <c r="AG2985">
        <v>-1.11843790873</v>
      </c>
      <c r="AH2985">
        <v>12.6019087811472</v>
      </c>
      <c r="AI2985">
        <v>94.864554054164898</v>
      </c>
      <c r="AJ2985">
        <v>106.47629837646301</v>
      </c>
      <c r="AK2985">
        <v>13.189045507589899</v>
      </c>
      <c r="AL2985">
        <v>83.391691147322305</v>
      </c>
      <c r="AM2985">
        <v>98.418281254499604</v>
      </c>
      <c r="AN2985">
        <v>0.99999995603516401</v>
      </c>
    </row>
    <row r="2986" spans="1:40" x14ac:dyDescent="0.25">
      <c r="A2986" t="str">
        <f>"20190312164045616"</f>
        <v>20190312164045616</v>
      </c>
      <c r="B2986" t="str">
        <f>"1552380045609470"</f>
        <v>1552380045609470</v>
      </c>
      <c r="C2986" t="s">
        <v>40</v>
      </c>
      <c r="D2986">
        <v>5.579637</v>
      </c>
      <c r="E2986">
        <v>0.44918130000000001</v>
      </c>
      <c r="F2986" t="s">
        <v>41</v>
      </c>
      <c r="G2986">
        <v>-491.48289999999997</v>
      </c>
      <c r="H2986" s="1">
        <v>-4.539587E-6</v>
      </c>
      <c r="I2986">
        <v>249.55359999999999</v>
      </c>
      <c r="J2986">
        <v>-491.68599999999998</v>
      </c>
      <c r="K2986">
        <v>1.118406</v>
      </c>
      <c r="L2986">
        <v>266.13639999999998</v>
      </c>
      <c r="M2986">
        <v>-0.27261449999999998</v>
      </c>
      <c r="N2986">
        <v>0</v>
      </c>
      <c r="O2986">
        <v>-0.96201349999999997</v>
      </c>
      <c r="P2986">
        <v>-0.13217509999999999</v>
      </c>
      <c r="Q2986">
        <v>0.1038941</v>
      </c>
      <c r="R2986">
        <v>-0.98576660000000005</v>
      </c>
      <c r="S2986">
        <v>2.9937740000000001E-2</v>
      </c>
      <c r="T2986">
        <v>-0.2051548</v>
      </c>
      <c r="U2986">
        <v>-3.0709529999999998</v>
      </c>
      <c r="V2986">
        <v>-0.14394270000000001</v>
      </c>
      <c r="W2986">
        <v>0.11533599999999999</v>
      </c>
      <c r="X2986">
        <v>0.98284179999999999</v>
      </c>
      <c r="Y2986">
        <v>-0.28197749999999999</v>
      </c>
      <c r="Z2986">
        <v>6.1515519999999997E-2</v>
      </c>
      <c r="AA2986">
        <v>0.95744689999999999</v>
      </c>
      <c r="AB2986">
        <v>29</v>
      </c>
      <c r="AC2986">
        <v>0.203100000000006</v>
      </c>
      <c r="AD2986">
        <v>-1.1184105395870001</v>
      </c>
      <c r="AE2986">
        <v>-16.582799999999899</v>
      </c>
      <c r="AF2986">
        <v>-4.6952411343962002</v>
      </c>
      <c r="AG2986">
        <v>-1.1184105395870001</v>
      </c>
      <c r="AH2986">
        <v>15.827207444763699</v>
      </c>
      <c r="AI2986">
        <v>93.875618958751005</v>
      </c>
      <c r="AJ2986">
        <v>106.52332262608699</v>
      </c>
      <c r="AK2986">
        <v>16.546801109119802</v>
      </c>
      <c r="AL2986">
        <v>83.376994272435795</v>
      </c>
      <c r="AM2986">
        <v>98.332053483161204</v>
      </c>
      <c r="AN2986">
        <v>0.99999994880326304</v>
      </c>
    </row>
    <row r="2987" spans="1:40" x14ac:dyDescent="0.25">
      <c r="A2987" t="str">
        <f>"20190312164045629"</f>
        <v>20190312164045629</v>
      </c>
      <c r="B2987" t="str">
        <f>"1552380045619228"</f>
        <v>1552380045619228</v>
      </c>
      <c r="C2987" t="s">
        <v>40</v>
      </c>
      <c r="D2987">
        <v>5.5366390000000001</v>
      </c>
      <c r="E2987">
        <v>0.44929999999999998</v>
      </c>
      <c r="F2987" t="s">
        <v>41</v>
      </c>
      <c r="G2987">
        <v>-491.44749999999999</v>
      </c>
      <c r="H2987" s="1">
        <v>-4.1519930000000001E-7</v>
      </c>
      <c r="I2987">
        <v>249.6592</v>
      </c>
      <c r="J2987">
        <v>-491.72559999999999</v>
      </c>
      <c r="K2987">
        <v>1.1183809999999901</v>
      </c>
      <c r="L2987">
        <v>265.97300000000001</v>
      </c>
      <c r="M2987">
        <v>-0.26650030000000002</v>
      </c>
      <c r="N2987">
        <v>0</v>
      </c>
      <c r="O2987">
        <v>-0.9637251</v>
      </c>
      <c r="P2987">
        <v>-0.1270085</v>
      </c>
      <c r="Q2987">
        <v>0.1040232</v>
      </c>
      <c r="R2987">
        <v>-0.98643210000000003</v>
      </c>
      <c r="S2987">
        <v>4.4464110000000001E-2</v>
      </c>
      <c r="T2987">
        <v>-0.20846629999999999</v>
      </c>
      <c r="U2987">
        <v>-3.0712890000000002</v>
      </c>
      <c r="V2987">
        <v>-0.142841</v>
      </c>
      <c r="W2987">
        <v>0.11549280000000001</v>
      </c>
      <c r="X2987">
        <v>0.98298419999999997</v>
      </c>
      <c r="Y2987">
        <v>-0.28041080000000002</v>
      </c>
      <c r="Z2987">
        <v>6.268406E-2</v>
      </c>
      <c r="AA2987">
        <v>0.95783110000000005</v>
      </c>
      <c r="AB2987">
        <v>29</v>
      </c>
      <c r="AC2987">
        <v>0.27809999999999402</v>
      </c>
      <c r="AD2987">
        <v>-1.1183814151992999</v>
      </c>
      <c r="AE2987">
        <v>-16.313800000000001</v>
      </c>
      <c r="AF2987">
        <v>-4.59454608713569</v>
      </c>
      <c r="AG2987">
        <v>-1.1183814151992999</v>
      </c>
      <c r="AH2987">
        <v>15.576377056745899</v>
      </c>
      <c r="AI2987">
        <v>93.939534197937107</v>
      </c>
      <c r="AJ2987">
        <v>106.434417533228</v>
      </c>
      <c r="AK2987">
        <v>16.278333850569599</v>
      </c>
      <c r="AL2987">
        <v>83.367950446592005</v>
      </c>
      <c r="AM2987">
        <v>98.267985954071804</v>
      </c>
      <c r="AN2987">
        <v>1.0000000377912299</v>
      </c>
    </row>
    <row r="2988" spans="1:40" x14ac:dyDescent="0.25">
      <c r="A2988" t="str">
        <f>"20190312164045641"</f>
        <v>20190312164045641</v>
      </c>
      <c r="B2988" t="str">
        <f>"1552380045628988"</f>
        <v>1552380045628988</v>
      </c>
      <c r="C2988" t="s">
        <v>40</v>
      </c>
      <c r="D2988">
        <v>5.5672259999999998</v>
      </c>
      <c r="E2988">
        <v>0.44949670000000003</v>
      </c>
      <c r="F2988" t="s">
        <v>41</v>
      </c>
      <c r="G2988">
        <v>-491.4076</v>
      </c>
      <c r="H2988" s="1">
        <v>-4.2777859999999999E-7</v>
      </c>
      <c r="I2988">
        <v>249.7132</v>
      </c>
      <c r="J2988">
        <v>-491.75889999999998</v>
      </c>
      <c r="K2988">
        <v>1.1183559999999999</v>
      </c>
      <c r="L2988">
        <v>265.83300000000003</v>
      </c>
      <c r="M2988">
        <v>-0.26126779999999999</v>
      </c>
      <c r="N2988">
        <v>0</v>
      </c>
      <c r="O2988">
        <v>-0.96515700000000004</v>
      </c>
      <c r="P2988">
        <v>-0.12282170000000001</v>
      </c>
      <c r="Q2988">
        <v>0.1043688</v>
      </c>
      <c r="R2988">
        <v>-0.98692570000000002</v>
      </c>
      <c r="S2988">
        <v>6.0058590000000002E-2</v>
      </c>
      <c r="T2988">
        <v>-0.21124780000000001</v>
      </c>
      <c r="U2988">
        <v>-3.071259</v>
      </c>
      <c r="V2988">
        <v>-0.14166719999999999</v>
      </c>
      <c r="W2988">
        <v>0.115867</v>
      </c>
      <c r="X2988">
        <v>0.98311000000000004</v>
      </c>
      <c r="Y2988">
        <v>-0.28006389999999998</v>
      </c>
      <c r="Z2988">
        <v>6.3664509999999994E-2</v>
      </c>
      <c r="AA2988">
        <v>0.95786800000000005</v>
      </c>
      <c r="AB2988">
        <v>29</v>
      </c>
      <c r="AC2988">
        <v>0.35129999999998002</v>
      </c>
      <c r="AD2988">
        <v>-1.1183564277786</v>
      </c>
      <c r="AE2988">
        <v>-16.119799999999898</v>
      </c>
      <c r="AF2988">
        <v>-4.5293341309465598</v>
      </c>
      <c r="AG2988">
        <v>-1.1183564277786</v>
      </c>
      <c r="AH2988">
        <v>15.3939270623074</v>
      </c>
      <c r="AI2988">
        <v>93.986784752434204</v>
      </c>
      <c r="AJ2988">
        <v>106.395392943361</v>
      </c>
      <c r="AK2988">
        <v>16.085352938899199</v>
      </c>
      <c r="AL2988">
        <v>83.346365302212803</v>
      </c>
      <c r="AM2988">
        <v>98.199936330612402</v>
      </c>
      <c r="AN2988">
        <v>1.0000000146724199</v>
      </c>
    </row>
    <row r="2989" spans="1:40" x14ac:dyDescent="0.25">
      <c r="A2989" t="str">
        <f>"20190312164045652"</f>
        <v>20190312164045652</v>
      </c>
      <c r="B2989" t="str">
        <f>"1552380045649484"</f>
        <v>1552380045649484</v>
      </c>
      <c r="C2989" t="s">
        <v>40</v>
      </c>
      <c r="D2989">
        <v>5.5734839999999997</v>
      </c>
      <c r="E2989">
        <v>0.4499901</v>
      </c>
      <c r="F2989" t="s">
        <v>41</v>
      </c>
      <c r="G2989">
        <v>-491.38200000000001</v>
      </c>
      <c r="H2989" s="1">
        <v>-4.9622140000000003E-7</v>
      </c>
      <c r="I2989">
        <v>249.8887</v>
      </c>
      <c r="J2989">
        <v>-491.79090000000002</v>
      </c>
      <c r="K2989">
        <v>1.1183289999999999</v>
      </c>
      <c r="L2989">
        <v>265.6943</v>
      </c>
      <c r="M2989">
        <v>-0.2561022</v>
      </c>
      <c r="N2989">
        <v>0</v>
      </c>
      <c r="O2989">
        <v>-0.96654059999999997</v>
      </c>
      <c r="P2989">
        <v>-0.1189291</v>
      </c>
      <c r="Q2989">
        <v>0.10452309999999999</v>
      </c>
      <c r="R2989">
        <v>-0.98738630000000005</v>
      </c>
      <c r="S2989">
        <v>7.2601319999999997E-2</v>
      </c>
      <c r="T2989">
        <v>-0.215448</v>
      </c>
      <c r="U2989">
        <v>-3.071625</v>
      </c>
      <c r="V2989">
        <v>-0.14027439999999999</v>
      </c>
      <c r="W2989">
        <v>0.11605550000000001</v>
      </c>
      <c r="X2989">
        <v>0.98328749999999998</v>
      </c>
      <c r="Y2989">
        <v>-0.27883459999999899</v>
      </c>
      <c r="Z2989">
        <v>6.5070900000000001E-2</v>
      </c>
      <c r="AA2989">
        <v>0.95813199999999998</v>
      </c>
      <c r="AB2989">
        <v>28</v>
      </c>
      <c r="AC2989">
        <v>0.40890000000007298</v>
      </c>
      <c r="AD2989">
        <v>-1.1183294962213901</v>
      </c>
      <c r="AE2989">
        <v>-15.805599999999901</v>
      </c>
      <c r="AF2989">
        <v>-4.4214158836648298</v>
      </c>
      <c r="AG2989">
        <v>-1.1183294962213901</v>
      </c>
      <c r="AH2989">
        <v>15.0980991191526</v>
      </c>
      <c r="AI2989">
        <v>94.066057914482201</v>
      </c>
      <c r="AJ2989">
        <v>106.322451050777</v>
      </c>
      <c r="AK2989">
        <v>15.7718792884741</v>
      </c>
      <c r="AL2989">
        <v>83.335491908226302</v>
      </c>
      <c r="AM2989">
        <v>98.118952853646107</v>
      </c>
      <c r="AN2989">
        <v>1.00000004701592</v>
      </c>
    </row>
    <row r="2990" spans="1:40" x14ac:dyDescent="0.25">
      <c r="A2990" t="str">
        <f>"20190312164045664"</f>
        <v>20190312164045664</v>
      </c>
      <c r="B2990" t="str">
        <f>"1552380045659244"</f>
        <v>1552380045659244</v>
      </c>
      <c r="C2990" t="s">
        <v>40</v>
      </c>
      <c r="D2990">
        <v>5.5738450000000004</v>
      </c>
      <c r="E2990">
        <v>0.45021489999999997</v>
      </c>
      <c r="F2990" t="s">
        <v>41</v>
      </c>
      <c r="G2990">
        <v>-491.38220000000001</v>
      </c>
      <c r="H2990" s="1">
        <v>-7.0640630000000001E-7</v>
      </c>
      <c r="I2990">
        <v>250.3785</v>
      </c>
      <c r="J2990">
        <v>-491.82150000000001</v>
      </c>
      <c r="K2990">
        <v>1.118303</v>
      </c>
      <c r="L2990">
        <v>265.55869999999999</v>
      </c>
      <c r="M2990">
        <v>-0.25106469999999997</v>
      </c>
      <c r="N2990">
        <v>0</v>
      </c>
      <c r="O2990">
        <v>-0.96786139999999998</v>
      </c>
      <c r="P2990">
        <v>-0.1150337</v>
      </c>
      <c r="Q2990">
        <v>0.1044701</v>
      </c>
      <c r="R2990">
        <v>-0.98785310000000004</v>
      </c>
      <c r="S2990">
        <v>8.1970210000000002E-2</v>
      </c>
      <c r="T2990">
        <v>-0.22430849999999999</v>
      </c>
      <c r="U2990">
        <v>-3.0719599999999998</v>
      </c>
      <c r="V2990">
        <v>-0.1390219</v>
      </c>
      <c r="W2990">
        <v>0.1160323</v>
      </c>
      <c r="X2990">
        <v>0.98346809999999996</v>
      </c>
      <c r="Y2990">
        <v>-0.2767444</v>
      </c>
      <c r="Z2990">
        <v>6.7889240000000003E-2</v>
      </c>
      <c r="AA2990">
        <v>0.95854240000000002</v>
      </c>
      <c r="AB2990">
        <v>28</v>
      </c>
      <c r="AC2990">
        <v>0.43930000000000202</v>
      </c>
      <c r="AD2990">
        <v>-1.1183037064062999</v>
      </c>
      <c r="AE2990">
        <v>-15.1801999999999</v>
      </c>
      <c r="AF2990">
        <v>-4.2139900790348896</v>
      </c>
      <c r="AG2990">
        <v>-1.1183037064062999</v>
      </c>
      <c r="AH2990">
        <v>14.5049210938705</v>
      </c>
      <c r="AI2990">
        <v>94.234284997961495</v>
      </c>
      <c r="AJ2990">
        <v>106.199712036655</v>
      </c>
      <c r="AK2990">
        <v>15.1459912684966</v>
      </c>
      <c r="AL2990">
        <v>83.336830188313897</v>
      </c>
      <c r="AM2990">
        <v>98.045954702850395</v>
      </c>
      <c r="AN2990">
        <v>1.0000000435202501</v>
      </c>
    </row>
    <row r="2991" spans="1:40" x14ac:dyDescent="0.25">
      <c r="A2991" t="str">
        <f>"20190312164045680"</f>
        <v>20190312164045680</v>
      </c>
      <c r="B2991" t="str">
        <f>"1552380045669005"</f>
        <v>1552380045669005</v>
      </c>
      <c r="C2991" t="s">
        <v>40</v>
      </c>
      <c r="D2991">
        <v>5.8736920000000001</v>
      </c>
      <c r="E2991">
        <v>0.45095570000000001</v>
      </c>
      <c r="F2991" t="s">
        <v>41</v>
      </c>
      <c r="G2991">
        <v>-491.37049999999999</v>
      </c>
      <c r="H2991" s="1">
        <v>-8.2601290000000001E-7</v>
      </c>
      <c r="I2991">
        <v>250.6645</v>
      </c>
      <c r="J2991">
        <v>-491.86759999999998</v>
      </c>
      <c r="K2991">
        <v>1.11826</v>
      </c>
      <c r="L2991">
        <v>265.34870000000001</v>
      </c>
      <c r="M2991">
        <v>-0.24327960000000001</v>
      </c>
      <c r="N2991">
        <v>0</v>
      </c>
      <c r="O2991">
        <v>-0.96984760000000003</v>
      </c>
      <c r="P2991">
        <v>-0.1097837</v>
      </c>
      <c r="Q2991">
        <v>0.1042801</v>
      </c>
      <c r="R2991">
        <v>-0.98847030000000002</v>
      </c>
      <c r="S2991">
        <v>9.3017580000000002E-2</v>
      </c>
      <c r="T2991">
        <v>-0.2306666</v>
      </c>
      <c r="U2991">
        <v>-3.0721440000000002</v>
      </c>
      <c r="V2991">
        <v>-0.136328799999999</v>
      </c>
      <c r="W2991">
        <v>0.1159068</v>
      </c>
      <c r="X2991">
        <v>0.98385979999999995</v>
      </c>
      <c r="Y2991">
        <v>-0.27245849999999999</v>
      </c>
      <c r="Z2991">
        <v>7.0063920000000002E-2</v>
      </c>
      <c r="AA2991">
        <v>0.9596131</v>
      </c>
      <c r="AB2991">
        <v>28</v>
      </c>
      <c r="AC2991">
        <v>0.497099999999989</v>
      </c>
      <c r="AD2991">
        <v>-1.1182608260128899</v>
      </c>
      <c r="AE2991">
        <v>-14.684200000000001</v>
      </c>
      <c r="AF2991">
        <v>-4.0315507378489999</v>
      </c>
      <c r="AG2991">
        <v>-1.1182608260128899</v>
      </c>
      <c r="AH2991">
        <v>14.0406548032714</v>
      </c>
      <c r="AI2991">
        <v>94.377529419210504</v>
      </c>
      <c r="AJ2991">
        <v>106.020577292506</v>
      </c>
      <c r="AK2991">
        <v>14.6507302183705</v>
      </c>
      <c r="AL2991">
        <v>83.344069477538795</v>
      </c>
      <c r="AM2991">
        <v>97.888970880105603</v>
      </c>
      <c r="AN2991">
        <v>1.0000000170258501</v>
      </c>
    </row>
    <row r="2992" spans="1:40" x14ac:dyDescent="0.25">
      <c r="A2992" t="str">
        <f>"20190312164045692"</f>
        <v>20190312164045692</v>
      </c>
      <c r="B2992" t="str">
        <f>"1552380045688524"</f>
        <v>1552380045688524</v>
      </c>
      <c r="C2992" t="s">
        <v>40</v>
      </c>
      <c r="D2992">
        <v>5.6180289999999999</v>
      </c>
      <c r="E2992">
        <v>0.45168520000000001</v>
      </c>
      <c r="F2992" t="s">
        <v>41</v>
      </c>
      <c r="G2992">
        <v>-491.36840000000001</v>
      </c>
      <c r="H2992" s="1">
        <v>-8.6520640000000002E-7</v>
      </c>
      <c r="I2992">
        <v>250.75720000000001</v>
      </c>
      <c r="J2992">
        <v>-491.8981</v>
      </c>
      <c r="K2992">
        <v>1.1182289999999999</v>
      </c>
      <c r="L2992">
        <v>265.20440000000002</v>
      </c>
      <c r="M2992">
        <v>-0.2379587</v>
      </c>
      <c r="N2992">
        <v>0</v>
      </c>
      <c r="O2992">
        <v>-0.97116709999999995</v>
      </c>
      <c r="P2992">
        <v>-0.1060504</v>
      </c>
      <c r="Q2992">
        <v>0.103869</v>
      </c>
      <c r="R2992">
        <v>-0.9889213</v>
      </c>
      <c r="S2992">
        <v>0.105072</v>
      </c>
      <c r="T2992">
        <v>-0.23539109999999999</v>
      </c>
      <c r="U2992">
        <v>-3.071472</v>
      </c>
      <c r="V2992">
        <v>-0.13464029999999999</v>
      </c>
      <c r="W2992">
        <v>0.1155364</v>
      </c>
      <c r="X2992">
        <v>0.98413580000000001</v>
      </c>
      <c r="Y2992">
        <v>-0.27094770000000001</v>
      </c>
      <c r="Z2992">
        <v>7.1668880000000004E-2</v>
      </c>
      <c r="AA2992">
        <v>0.95992239999999995</v>
      </c>
      <c r="AB2992">
        <v>28</v>
      </c>
      <c r="AC2992">
        <v>0.52969999999999096</v>
      </c>
      <c r="AD2992">
        <v>-1.1182298652064</v>
      </c>
      <c r="AE2992">
        <v>-14.4472</v>
      </c>
      <c r="AF2992">
        <v>-3.92917161465465</v>
      </c>
      <c r="AG2992">
        <v>-1.1182298652064</v>
      </c>
      <c r="AH2992">
        <v>13.823355970945499</v>
      </c>
      <c r="AI2992">
        <v>94.449330860923396</v>
      </c>
      <c r="AJ2992">
        <v>105.867350499444</v>
      </c>
      <c r="AK2992">
        <v>14.414367759576599</v>
      </c>
      <c r="AL2992">
        <v>83.365435073248307</v>
      </c>
      <c r="AM2992">
        <v>97.790311317643301</v>
      </c>
      <c r="AN2992">
        <v>0.99999997147534403</v>
      </c>
    </row>
    <row r="2993" spans="1:40" x14ac:dyDescent="0.25">
      <c r="A2993" t="str">
        <f>"20190312164045704"</f>
        <v>20190312164045704</v>
      </c>
      <c r="B2993" t="str">
        <f>"1552380045699261"</f>
        <v>1552380045699261</v>
      </c>
      <c r="C2993" t="s">
        <v>40</v>
      </c>
      <c r="D2993">
        <v>5.8106119999999999</v>
      </c>
      <c r="E2993">
        <v>0.45244899999999999</v>
      </c>
      <c r="F2993" t="s">
        <v>41</v>
      </c>
      <c r="G2993">
        <v>-491.39150000000001</v>
      </c>
      <c r="H2993" s="1">
        <v>-1.0939729999999999E-6</v>
      </c>
      <c r="I2993">
        <v>251.27610000000001</v>
      </c>
      <c r="J2993">
        <v>-491.92570000000001</v>
      </c>
      <c r="K2993">
        <v>1.118198</v>
      </c>
      <c r="L2993">
        <v>265.0711</v>
      </c>
      <c r="M2993">
        <v>-0.23305139999999999</v>
      </c>
      <c r="N2993">
        <v>0</v>
      </c>
      <c r="O2993">
        <v>-0.97235629999999995</v>
      </c>
      <c r="P2993">
        <v>-0.1024534</v>
      </c>
      <c r="Q2993">
        <v>0.1038608</v>
      </c>
      <c r="R2993">
        <v>-0.98930079999999998</v>
      </c>
      <c r="S2993">
        <v>0.1117249</v>
      </c>
      <c r="T2993">
        <v>-0.2465929</v>
      </c>
      <c r="U2993">
        <v>-3.071472</v>
      </c>
      <c r="V2993">
        <v>-0.13323859999999901</v>
      </c>
      <c r="W2993">
        <v>0.1155615</v>
      </c>
      <c r="X2993">
        <v>0.98432359999999997</v>
      </c>
      <c r="Y2993">
        <v>-0.2681519</v>
      </c>
      <c r="Z2993">
        <v>7.5229400000000002E-2</v>
      </c>
      <c r="AA2993">
        <v>0.96043489999999998</v>
      </c>
      <c r="AB2993">
        <v>28</v>
      </c>
      <c r="AC2993">
        <v>0.53419999999999801</v>
      </c>
      <c r="AD2993">
        <v>-1.118199093973</v>
      </c>
      <c r="AE2993">
        <v>-13.7949999999999</v>
      </c>
      <c r="AF2993">
        <v>-3.7104268191871701</v>
      </c>
      <c r="AG2993">
        <v>-1.118199093973</v>
      </c>
      <c r="AH2993">
        <v>13.203930667017801</v>
      </c>
      <c r="AI2993">
        <v>94.660957301681904</v>
      </c>
      <c r="AJ2993">
        <v>105.695854874227</v>
      </c>
      <c r="AK2993">
        <v>13.7608655779249</v>
      </c>
      <c r="AL2993">
        <v>83.363987222586502</v>
      </c>
      <c r="AM2993">
        <v>97.708735961167505</v>
      </c>
      <c r="AN2993">
        <v>0.99999996716458395</v>
      </c>
    </row>
    <row r="2994" spans="1:40" x14ac:dyDescent="0.25">
      <c r="A2994" t="str">
        <f>"20190312164045714"</f>
        <v>20190312164045714</v>
      </c>
      <c r="B2994" t="str">
        <f>"1552380045709021"</f>
        <v>1552380045709021</v>
      </c>
      <c r="C2994" t="s">
        <v>40</v>
      </c>
      <c r="D2994">
        <v>5.7296300000000002</v>
      </c>
      <c r="E2994">
        <v>0.45322010000000001</v>
      </c>
      <c r="F2994" t="s">
        <v>41</v>
      </c>
      <c r="G2994">
        <v>-491.3997</v>
      </c>
      <c r="H2994" s="1">
        <v>-1.112533E-6</v>
      </c>
      <c r="I2994">
        <v>251.3143</v>
      </c>
      <c r="J2994">
        <v>-491.95490000000001</v>
      </c>
      <c r="K2994">
        <v>1.118163</v>
      </c>
      <c r="L2994">
        <v>264.92630000000003</v>
      </c>
      <c r="M2994">
        <v>-0.22773399999999999</v>
      </c>
      <c r="N2994">
        <v>0</v>
      </c>
      <c r="O2994">
        <v>-0.97361549999999997</v>
      </c>
      <c r="P2994">
        <v>-9.8667169999999998E-2</v>
      </c>
      <c r="Q2994">
        <v>0.10389660000000001</v>
      </c>
      <c r="R2994">
        <v>-0.98968199999999995</v>
      </c>
      <c r="S2994">
        <v>0.11740109999999999</v>
      </c>
      <c r="T2994">
        <v>-0.2496051</v>
      </c>
      <c r="U2994">
        <v>-3.0708009999999999</v>
      </c>
      <c r="V2994">
        <v>-0.1316137</v>
      </c>
      <c r="W2994">
        <v>0.1156363</v>
      </c>
      <c r="X2994">
        <v>0.9845334</v>
      </c>
      <c r="Y2994">
        <v>-0.26466309999999998</v>
      </c>
      <c r="Z2994">
        <v>7.6348289999999999E-2</v>
      </c>
      <c r="AA2994">
        <v>0.9613138</v>
      </c>
      <c r="AB2994">
        <v>28</v>
      </c>
      <c r="AC2994">
        <v>0.55520000000001302</v>
      </c>
      <c r="AD2994">
        <v>-1.118164112533</v>
      </c>
      <c r="AE2994">
        <v>-13.612</v>
      </c>
      <c r="AF2994">
        <v>-3.6164859200901098</v>
      </c>
      <c r="AG2994">
        <v>-1.118164112533</v>
      </c>
      <c r="AH2994">
        <v>13.039949462702401</v>
      </c>
      <c r="AI2994">
        <v>94.723627843918706</v>
      </c>
      <c r="AJ2994">
        <v>105.500766564153</v>
      </c>
      <c r="AK2994">
        <v>13.578274683574399</v>
      </c>
      <c r="AL2994">
        <v>83.359672576923003</v>
      </c>
      <c r="AM2994">
        <v>97.614230976661702</v>
      </c>
      <c r="AN2994">
        <v>0.99999996781046896</v>
      </c>
    </row>
    <row r="2995" spans="1:40" x14ac:dyDescent="0.25">
      <c r="A2995" t="str">
        <f>"20190312164045727"</f>
        <v>20190312164045727</v>
      </c>
      <c r="B2995" t="str">
        <f>"1552380045718780"</f>
        <v>1552380045718780</v>
      </c>
      <c r="C2995" t="s">
        <v>40</v>
      </c>
      <c r="D2995">
        <v>5.6704790000000003</v>
      </c>
      <c r="E2995">
        <v>0.4539222</v>
      </c>
      <c r="F2995" t="s">
        <v>41</v>
      </c>
      <c r="G2995">
        <v>-491.40440000000001</v>
      </c>
      <c r="H2995" s="1">
        <v>-1.069029E-6</v>
      </c>
      <c r="I2995">
        <v>251.21</v>
      </c>
      <c r="J2995">
        <v>-491.98399999999998</v>
      </c>
      <c r="K2995">
        <v>1.118125</v>
      </c>
      <c r="L2995">
        <v>264.77670000000001</v>
      </c>
      <c r="M2995">
        <v>-0.22227089999999999</v>
      </c>
      <c r="N2995">
        <v>0</v>
      </c>
      <c r="O2995">
        <v>-0.97487749999999995</v>
      </c>
      <c r="P2995">
        <v>-9.4674999999999995E-2</v>
      </c>
      <c r="Q2995">
        <v>0.1036673</v>
      </c>
      <c r="R2995">
        <v>-0.99009639999999999</v>
      </c>
      <c r="S2995">
        <v>0.1231995</v>
      </c>
      <c r="T2995">
        <v>-0.25025170000000002</v>
      </c>
      <c r="U2995">
        <v>-3.0697939999999999</v>
      </c>
      <c r="V2995">
        <v>-0.13005169999999999</v>
      </c>
      <c r="W2995">
        <v>0.11544450000000001</v>
      </c>
      <c r="X2995">
        <v>0.98476350000000001</v>
      </c>
      <c r="Y2995">
        <v>-0.26107839999999999</v>
      </c>
      <c r="Z2995">
        <v>7.6760220000000004E-2</v>
      </c>
      <c r="AA2995">
        <v>0.96226080000000003</v>
      </c>
      <c r="AB2995">
        <v>28</v>
      </c>
      <c r="AC2995">
        <v>0.57960000000002698</v>
      </c>
      <c r="AD2995">
        <v>-1.118126069029</v>
      </c>
      <c r="AE2995">
        <v>-13.5666999999999</v>
      </c>
      <c r="AF2995">
        <v>-3.5567811366289699</v>
      </c>
      <c r="AG2995">
        <v>-1.118126069029</v>
      </c>
      <c r="AH2995">
        <v>13.0102030377523</v>
      </c>
      <c r="AI2995">
        <v>94.738991510912598</v>
      </c>
      <c r="AJ2995">
        <v>105.29013470430201</v>
      </c>
      <c r="AK2995">
        <v>13.5338937872166</v>
      </c>
      <c r="AL2995">
        <v>83.370736310177094</v>
      </c>
      <c r="AM2995">
        <v>97.523168315751093</v>
      </c>
      <c r="AN2995">
        <v>1.0000000140926899</v>
      </c>
    </row>
    <row r="2996" spans="1:40" x14ac:dyDescent="0.25">
      <c r="A2996" t="str">
        <f>"20190312164045739"</f>
        <v>20190312164045739</v>
      </c>
      <c r="B2996" t="str">
        <f>"1552380045728540"</f>
        <v>1552380045728540</v>
      </c>
      <c r="C2996" t="s">
        <v>40</v>
      </c>
      <c r="D2996">
        <v>5.6546130000000003</v>
      </c>
      <c r="E2996">
        <v>0.45462010000000003</v>
      </c>
      <c r="F2996" t="s">
        <v>41</v>
      </c>
      <c r="G2996">
        <v>-491.40559999999999</v>
      </c>
      <c r="H2996" s="1">
        <v>-1.0404700000000001E-6</v>
      </c>
      <c r="I2996">
        <v>251.14269999999999</v>
      </c>
      <c r="J2996">
        <v>-492.01119999999997</v>
      </c>
      <c r="K2996">
        <v>1.1180890000000001</v>
      </c>
      <c r="L2996">
        <v>264.63479999999998</v>
      </c>
      <c r="M2996">
        <v>-0.2170956</v>
      </c>
      <c r="N2996">
        <v>0</v>
      </c>
      <c r="O2996">
        <v>-0.97604290000000005</v>
      </c>
      <c r="P2996">
        <v>-9.0970800000000004E-2</v>
      </c>
      <c r="Q2996">
        <v>0.1034887</v>
      </c>
      <c r="R2996">
        <v>-0.99046179999999995</v>
      </c>
      <c r="S2996">
        <v>0.130188</v>
      </c>
      <c r="T2996">
        <v>-0.25167050000000002</v>
      </c>
      <c r="U2996">
        <v>-3.0687869999999999</v>
      </c>
      <c r="V2996">
        <v>-0.128498</v>
      </c>
      <c r="W2996">
        <v>0.1153038</v>
      </c>
      <c r="X2996">
        <v>0.98498390000000002</v>
      </c>
      <c r="Y2996">
        <v>-0.25815470000000001</v>
      </c>
      <c r="Z2996">
        <v>7.7388960000000007E-2</v>
      </c>
      <c r="AA2996">
        <v>0.96299900000000005</v>
      </c>
      <c r="AB2996">
        <v>28</v>
      </c>
      <c r="AC2996">
        <v>0.60559999999998104</v>
      </c>
      <c r="AD2996">
        <v>-1.1180900404699901</v>
      </c>
      <c r="AE2996">
        <v>-13.492099999999899</v>
      </c>
      <c r="AF2996">
        <v>-3.4965721787995001</v>
      </c>
      <c r="AG2996">
        <v>-1.1180900404699901</v>
      </c>
      <c r="AH2996">
        <v>12.950008373535001</v>
      </c>
      <c r="AI2996">
        <v>94.764818414579196</v>
      </c>
      <c r="AJ2996">
        <v>105.109863446744</v>
      </c>
      <c r="AK2996">
        <v>13.4602696560945</v>
      </c>
      <c r="AL2996">
        <v>83.378851880359804</v>
      </c>
      <c r="AM2996">
        <v>97.432657082089506</v>
      </c>
      <c r="AN2996">
        <v>0.99999999277882501</v>
      </c>
    </row>
    <row r="2997" spans="1:40" x14ac:dyDescent="0.25">
      <c r="A2997" t="str">
        <f>"20190312164045749"</f>
        <v>20190312164045749</v>
      </c>
      <c r="B2997" t="str">
        <f>"1552380045739277"</f>
        <v>1552380045739277</v>
      </c>
      <c r="C2997" t="s">
        <v>40</v>
      </c>
      <c r="D2997">
        <v>5.6277540000000004</v>
      </c>
      <c r="E2997">
        <v>0.45462010000000003</v>
      </c>
      <c r="F2997" t="s">
        <v>41</v>
      </c>
      <c r="G2997">
        <v>-491.40730000000002</v>
      </c>
      <c r="H2997" s="1">
        <v>-9.9216440000000004E-7</v>
      </c>
      <c r="I2997">
        <v>251.029</v>
      </c>
      <c r="J2997">
        <v>-492.03519999999997</v>
      </c>
      <c r="K2997">
        <v>1.1180479999999999</v>
      </c>
      <c r="L2997">
        <v>264.50349999999997</v>
      </c>
      <c r="M2997">
        <v>-0.21234729999999999</v>
      </c>
      <c r="N2997">
        <v>0</v>
      </c>
      <c r="O2997">
        <v>-0.97708729999999999</v>
      </c>
      <c r="P2997">
        <v>-8.8002629999999998E-2</v>
      </c>
      <c r="Q2997">
        <v>0.1032489</v>
      </c>
      <c r="R2997">
        <v>-0.9907551</v>
      </c>
      <c r="S2997">
        <v>0.1361694</v>
      </c>
      <c r="T2997">
        <v>-0.25210260000000001</v>
      </c>
      <c r="U2997">
        <v>-3.06778</v>
      </c>
      <c r="V2997">
        <v>-0.1266468</v>
      </c>
      <c r="W2997">
        <v>0.11510769999999999</v>
      </c>
      <c r="X2997">
        <v>0.98524650000000003</v>
      </c>
      <c r="Y2997">
        <v>-0.2553433</v>
      </c>
      <c r="Z2997">
        <v>7.7701690000000004E-2</v>
      </c>
      <c r="AA2997">
        <v>0.96372310000000005</v>
      </c>
      <c r="AB2997">
        <v>28</v>
      </c>
      <c r="AC2997">
        <v>0.62789999999995405</v>
      </c>
      <c r="AD2997">
        <v>-1.1180489921643999</v>
      </c>
      <c r="AE2997">
        <v>-13.4744999999999</v>
      </c>
      <c r="AF2997">
        <v>-3.4514387858270701</v>
      </c>
      <c r="AG2997">
        <v>-1.1180489921643999</v>
      </c>
      <c r="AH2997">
        <v>12.9448615650885</v>
      </c>
      <c r="AI2997">
        <v>94.770544624909306</v>
      </c>
      <c r="AJ2997">
        <v>104.92925060456901</v>
      </c>
      <c r="AK2997">
        <v>13.4436566521351</v>
      </c>
      <c r="AL2997">
        <v>83.390162479738905</v>
      </c>
      <c r="AM2997">
        <v>97.3248191306688</v>
      </c>
      <c r="AN2997">
        <v>0.99999993015588695</v>
      </c>
    </row>
    <row r="2998" spans="1:40" x14ac:dyDescent="0.25">
      <c r="A2998" t="str">
        <f>"20190312164045760"</f>
        <v>20190312164045760</v>
      </c>
      <c r="B2998" t="str">
        <f>"1552380045749037"</f>
        <v>1552380045749037</v>
      </c>
      <c r="C2998" t="s">
        <v>40</v>
      </c>
      <c r="D2998">
        <v>5.7671099999999997</v>
      </c>
      <c r="E2998">
        <v>0.46321820000000002</v>
      </c>
      <c r="F2998" t="s">
        <v>41</v>
      </c>
      <c r="G2998">
        <v>-491.39170000000001</v>
      </c>
      <c r="H2998" s="1">
        <v>-9.4607890000000005E-7</v>
      </c>
      <c r="I2998">
        <v>250.93129999999999</v>
      </c>
      <c r="J2998">
        <v>-492.0598</v>
      </c>
      <c r="K2998">
        <v>1.118001</v>
      </c>
      <c r="L2998">
        <v>264.36799999999999</v>
      </c>
      <c r="M2998">
        <v>-0.20745179999999999</v>
      </c>
      <c r="N2998">
        <v>0</v>
      </c>
      <c r="O2998">
        <v>-0.97813839999999996</v>
      </c>
      <c r="P2998">
        <v>-8.463553E-2</v>
      </c>
      <c r="Q2998">
        <v>0.10297679999999999</v>
      </c>
      <c r="R2998">
        <v>-0.99107659999999997</v>
      </c>
      <c r="S2998">
        <v>0.14544679999999999</v>
      </c>
      <c r="T2998">
        <v>-0.25267600000000001</v>
      </c>
      <c r="U2998">
        <v>-3.067291</v>
      </c>
      <c r="V2998">
        <v>-0.1250481</v>
      </c>
      <c r="W2998">
        <v>0.1148742</v>
      </c>
      <c r="X2998">
        <v>0.98547799999999997</v>
      </c>
      <c r="Y2998">
        <v>-0.25341619999999998</v>
      </c>
      <c r="Z2998">
        <v>7.8034210000000007E-2</v>
      </c>
      <c r="AA2998">
        <v>0.96420479999999997</v>
      </c>
      <c r="AB2998">
        <v>28</v>
      </c>
      <c r="AC2998">
        <v>0.66809999999998104</v>
      </c>
      <c r="AD2998">
        <v>-1.1180019460788999</v>
      </c>
      <c r="AE2998">
        <v>-13.4367</v>
      </c>
      <c r="AF2998">
        <v>-3.4177187232533401</v>
      </c>
      <c r="AG2998">
        <v>-1.1180019460788999</v>
      </c>
      <c r="AH2998">
        <v>12.916511378345</v>
      </c>
      <c r="AI2998">
        <v>94.783158560873204</v>
      </c>
      <c r="AJ2998">
        <v>104.820851136713</v>
      </c>
      <c r="AK2998">
        <v>13.407721499555</v>
      </c>
      <c r="AL2998">
        <v>83.403630838938199</v>
      </c>
      <c r="AM2998">
        <v>97.231660047174998</v>
      </c>
      <c r="AN2998">
        <v>0.99999999881162405</v>
      </c>
    </row>
    <row r="2999" spans="1:40" x14ac:dyDescent="0.25">
      <c r="A2999" t="str">
        <f>"20190312164045771"</f>
        <v>20190312164045771</v>
      </c>
      <c r="B2999" t="str">
        <f>"1552380045768556"</f>
        <v>1552380045768556</v>
      </c>
      <c r="C2999" t="s">
        <v>40</v>
      </c>
      <c r="D2999">
        <v>5.8678600000000003</v>
      </c>
      <c r="E2999">
        <v>0.46452349999999998</v>
      </c>
      <c r="F2999" t="s">
        <v>41</v>
      </c>
      <c r="G2999">
        <v>-491.76229999999998</v>
      </c>
      <c r="H2999" s="1">
        <v>-2.7707340000000001E-6</v>
      </c>
      <c r="I2999">
        <v>254.9547</v>
      </c>
      <c r="J2999">
        <v>-492.08359999999999</v>
      </c>
      <c r="K2999">
        <v>1.117958</v>
      </c>
      <c r="L2999">
        <v>264.23149999999998</v>
      </c>
      <c r="M2999">
        <v>-0.20255200000000001</v>
      </c>
      <c r="N2999">
        <v>0</v>
      </c>
      <c r="O2999">
        <v>-0.97916499999999995</v>
      </c>
      <c r="P2999">
        <v>-8.1276940000000006E-2</v>
      </c>
      <c r="Q2999">
        <v>0.1027607</v>
      </c>
      <c r="R2999">
        <v>-0.99138020000000004</v>
      </c>
      <c r="S2999">
        <v>9.713745E-2</v>
      </c>
      <c r="T2999">
        <v>-0.36500909999999998</v>
      </c>
      <c r="U2999">
        <v>-3.0732729999999999</v>
      </c>
      <c r="V2999">
        <v>-0.1234391</v>
      </c>
      <c r="W2999">
        <v>0.11469699999999999</v>
      </c>
      <c r="X2999">
        <v>0.98570139999999995</v>
      </c>
      <c r="Y2999">
        <v>-0.23318340000000001</v>
      </c>
      <c r="Z2999">
        <v>0.112622</v>
      </c>
      <c r="AA2999">
        <v>0.96588909999999994</v>
      </c>
      <c r="AB2999">
        <v>28</v>
      </c>
      <c r="AC2999">
        <v>0.32130000000000702</v>
      </c>
      <c r="AD2999">
        <v>-1.117960770734</v>
      </c>
      <c r="AE2999">
        <v>-9.2767999999999802</v>
      </c>
      <c r="AF2999">
        <v>-2.1625005337361398</v>
      </c>
      <c r="AG2999">
        <v>-1.117960770734</v>
      </c>
      <c r="AH2999">
        <v>8.89041768125219</v>
      </c>
      <c r="AI2999">
        <v>96.966228583613102</v>
      </c>
      <c r="AJ2999">
        <v>103.671103315333</v>
      </c>
      <c r="AK2999">
        <v>9.2176879633903201</v>
      </c>
      <c r="AL2999">
        <v>83.413850760067007</v>
      </c>
      <c r="AM2999">
        <v>97.137974885726095</v>
      </c>
      <c r="AN2999">
        <v>0.99999993158988199</v>
      </c>
    </row>
    <row r="3000" spans="1:40" x14ac:dyDescent="0.25">
      <c r="A3000" t="str">
        <f>"20190312164045783"</f>
        <v>20190312164045783</v>
      </c>
      <c r="B3000" t="str">
        <f>"1552380045779292"</f>
        <v>1552380045779292</v>
      </c>
      <c r="C3000" t="s">
        <v>40</v>
      </c>
      <c r="D3000">
        <v>5.6823160000000001</v>
      </c>
      <c r="E3000">
        <v>0.46547500000000003</v>
      </c>
      <c r="F3000" t="s">
        <v>41</v>
      </c>
      <c r="G3000">
        <v>-491.7706</v>
      </c>
      <c r="H3000" s="1">
        <v>-2.4347230000000002E-6</v>
      </c>
      <c r="I3000">
        <v>254.16630000000001</v>
      </c>
      <c r="J3000">
        <v>-492.10739999999998</v>
      </c>
      <c r="K3000">
        <v>1.1179110000000001</v>
      </c>
      <c r="L3000">
        <v>264.09179999999998</v>
      </c>
      <c r="M3000">
        <v>-0.1975615</v>
      </c>
      <c r="N3000">
        <v>0</v>
      </c>
      <c r="O3000">
        <v>-0.98018419999999895</v>
      </c>
      <c r="P3000">
        <v>-7.8072879999999997E-2</v>
      </c>
      <c r="Q3000">
        <v>0.1027146</v>
      </c>
      <c r="R3000">
        <v>-0.99164269999999999</v>
      </c>
      <c r="S3000">
        <v>9.5428470000000001E-2</v>
      </c>
      <c r="T3000">
        <v>-0.34090479999999901</v>
      </c>
      <c r="U3000">
        <v>-3.0692140000000001</v>
      </c>
      <c r="V3000">
        <v>-0.1215871</v>
      </c>
      <c r="W3000">
        <v>0.11469459999999999</v>
      </c>
      <c r="X3000">
        <v>0.98593189999999997</v>
      </c>
      <c r="Y3000">
        <v>-0.22775770000000001</v>
      </c>
      <c r="Z3000">
        <v>0.1056555</v>
      </c>
      <c r="AA3000">
        <v>0.96796870000000002</v>
      </c>
      <c r="AB3000">
        <v>28</v>
      </c>
      <c r="AC3000">
        <v>0.336799999999982</v>
      </c>
      <c r="AD3000">
        <v>-1.117913434723</v>
      </c>
      <c r="AE3000">
        <v>-9.9254999999999693</v>
      </c>
      <c r="AF3000">
        <v>-2.2625920910142399</v>
      </c>
      <c r="AG3000">
        <v>-1.117913434723</v>
      </c>
      <c r="AH3000">
        <v>9.5423747907278607</v>
      </c>
      <c r="AI3000">
        <v>96.503188179570301</v>
      </c>
      <c r="AJ3000">
        <v>103.339062106261</v>
      </c>
      <c r="AK3000">
        <v>9.8704594657276701</v>
      </c>
      <c r="AL3000">
        <v>83.4139895883431</v>
      </c>
      <c r="AM3000">
        <v>97.030334031996006</v>
      </c>
      <c r="AN3000">
        <v>0.99999999279659002</v>
      </c>
    </row>
    <row r="3001" spans="1:40" x14ac:dyDescent="0.25">
      <c r="A3001" t="str">
        <f>"20190312164045797"</f>
        <v>20190312164045797</v>
      </c>
      <c r="B3001" t="str">
        <f>"1552380045789053"</f>
        <v>1552380045789053</v>
      </c>
      <c r="C3001" t="s">
        <v>40</v>
      </c>
      <c r="D3001">
        <v>5.7836959999999999</v>
      </c>
      <c r="E3001">
        <v>0.46644160000000001</v>
      </c>
      <c r="F3001" t="s">
        <v>41</v>
      </c>
      <c r="G3001">
        <v>-491.779</v>
      </c>
      <c r="H3001" s="1">
        <v>-2.2165950000000002E-6</v>
      </c>
      <c r="I3001">
        <v>253.65260000000001</v>
      </c>
      <c r="J3001">
        <v>-492.13600000000002</v>
      </c>
      <c r="K3001">
        <v>1.117853</v>
      </c>
      <c r="L3001">
        <v>263.91829999999999</v>
      </c>
      <c r="M3001">
        <v>-0.1913947</v>
      </c>
      <c r="N3001">
        <v>0</v>
      </c>
      <c r="O3001">
        <v>-0.98140709999999998</v>
      </c>
      <c r="P3001">
        <v>-7.378026E-2</v>
      </c>
      <c r="Q3001">
        <v>0.1026789</v>
      </c>
      <c r="R3001">
        <v>-0.99197480000000005</v>
      </c>
      <c r="S3001">
        <v>9.6466060000000006E-2</v>
      </c>
      <c r="T3001">
        <v>-0.32843260000000002</v>
      </c>
      <c r="U3001">
        <v>-3.0669249999999999</v>
      </c>
      <c r="V3001">
        <v>-0.1196347</v>
      </c>
      <c r="W3001">
        <v>0.1147056</v>
      </c>
      <c r="X3001">
        <v>0.98616950000000003</v>
      </c>
      <c r="Y3001">
        <v>-0.22199550000000001</v>
      </c>
      <c r="Z3001">
        <v>0.10217469999999999</v>
      </c>
      <c r="AA3001">
        <v>0.96967950000000003</v>
      </c>
      <c r="AB3001">
        <v>28</v>
      </c>
      <c r="AC3001">
        <v>0.35699999999997001</v>
      </c>
      <c r="AD3001">
        <v>-1.117855216595</v>
      </c>
      <c r="AE3001">
        <v>-10.265699999999899</v>
      </c>
      <c r="AF3001">
        <v>-2.2883030894282501</v>
      </c>
      <c r="AG3001">
        <v>-1.117855216595</v>
      </c>
      <c r="AH3001">
        <v>9.8904105496335397</v>
      </c>
      <c r="AI3001">
        <v>96.283826891602402</v>
      </c>
      <c r="AJ3001">
        <v>103.027067069675</v>
      </c>
      <c r="AK3001">
        <v>10.2130383409961</v>
      </c>
      <c r="AL3001">
        <v>83.413355588345993</v>
      </c>
      <c r="AM3001">
        <v>96.916895772972694</v>
      </c>
      <c r="AN3001">
        <v>1.00000005942284</v>
      </c>
    </row>
    <row r="3002" spans="1:40" x14ac:dyDescent="0.25">
      <c r="A3002" t="str">
        <f>"20190312164045818"</f>
        <v>20190312164045818</v>
      </c>
      <c r="B3002" t="str">
        <f>"1552380045808572"</f>
        <v>1552380045808572</v>
      </c>
      <c r="C3002" t="s">
        <v>40</v>
      </c>
      <c r="D3002">
        <v>5.6678610000000003</v>
      </c>
      <c r="E3002">
        <v>0.46753820000000001</v>
      </c>
      <c r="F3002" t="s">
        <v>41</v>
      </c>
      <c r="G3002">
        <v>-491.78120000000001</v>
      </c>
      <c r="H3002" s="1">
        <v>-1.984722E-6</v>
      </c>
      <c r="I3002">
        <v>253.11080000000001</v>
      </c>
      <c r="J3002">
        <v>-492.1746</v>
      </c>
      <c r="K3002">
        <v>1.117756</v>
      </c>
      <c r="L3002">
        <v>263.67200000000003</v>
      </c>
      <c r="M3002">
        <v>-0.1827415</v>
      </c>
      <c r="N3002">
        <v>0</v>
      </c>
      <c r="O3002">
        <v>-0.98305529999999997</v>
      </c>
      <c r="P3002">
        <v>-6.8801669999999995E-2</v>
      </c>
      <c r="Q3002">
        <v>0.1026131</v>
      </c>
      <c r="R3002">
        <v>-0.99233919999999998</v>
      </c>
      <c r="S3002">
        <v>0.1006165</v>
      </c>
      <c r="T3002">
        <v>-0.31697730000000002</v>
      </c>
      <c r="U3002">
        <v>-3.0645449999999999</v>
      </c>
      <c r="V3002">
        <v>-0.1158622</v>
      </c>
      <c r="W3002">
        <v>0.1147273</v>
      </c>
      <c r="X3002">
        <v>0.98661730000000003</v>
      </c>
      <c r="Y3002">
        <v>-0.21474860000000001</v>
      </c>
      <c r="Z3002">
        <v>9.9060159999999994E-2</v>
      </c>
      <c r="AA3002">
        <v>0.97163270000000002</v>
      </c>
      <c r="AB3002">
        <v>28</v>
      </c>
      <c r="AC3002">
        <v>0.39339999999998498</v>
      </c>
      <c r="AD3002">
        <v>-1.1177579847220001</v>
      </c>
      <c r="AE3002">
        <v>-10.561199999999999</v>
      </c>
      <c r="AF3002">
        <v>-2.2913140833142802</v>
      </c>
      <c r="AG3002">
        <v>-1.1177579847220001</v>
      </c>
      <c r="AH3002">
        <v>10.197359084372099</v>
      </c>
      <c r="AI3002">
        <v>96.104350012372393</v>
      </c>
      <c r="AJ3002">
        <v>102.66384811024</v>
      </c>
      <c r="AK3002">
        <v>10.5112147459954</v>
      </c>
      <c r="AL3002">
        <v>83.412103943121906</v>
      </c>
      <c r="AM3002">
        <v>96.697783418802203</v>
      </c>
      <c r="AN3002">
        <v>1.0000000497067001</v>
      </c>
    </row>
    <row r="3003" spans="1:40" x14ac:dyDescent="0.25">
      <c r="A3003" t="str">
        <f>"20190312164045839"</f>
        <v>20190312164045839</v>
      </c>
      <c r="B3003" t="str">
        <f>"1552380045829068"</f>
        <v>1552380045829068</v>
      </c>
      <c r="C3003" t="s">
        <v>40</v>
      </c>
      <c r="D3003">
        <v>5.666817</v>
      </c>
      <c r="E3003">
        <v>0.46738249999999998</v>
      </c>
      <c r="F3003" t="s">
        <v>41</v>
      </c>
      <c r="G3003">
        <v>-491.78699999999998</v>
      </c>
      <c r="H3003" s="1">
        <v>-1.7402760000000001E-6</v>
      </c>
      <c r="I3003">
        <v>252.53739999999999</v>
      </c>
      <c r="J3003">
        <v>-492.21370000000002</v>
      </c>
      <c r="K3003">
        <v>1.117637</v>
      </c>
      <c r="L3003">
        <v>263.40809999999999</v>
      </c>
      <c r="M3003">
        <v>-0.17361389999999999</v>
      </c>
      <c r="N3003">
        <v>0</v>
      </c>
      <c r="O3003">
        <v>-0.98470849999999999</v>
      </c>
      <c r="P3003">
        <v>-6.3654409999999995E-2</v>
      </c>
      <c r="Q3003">
        <v>0.10212300000000001</v>
      </c>
      <c r="R3003">
        <v>-0.99273350000000005</v>
      </c>
      <c r="S3003">
        <v>0.1065979</v>
      </c>
      <c r="T3003">
        <v>-0.30741580000000002</v>
      </c>
      <c r="U3003">
        <v>-3.0623469999999999</v>
      </c>
      <c r="V3003">
        <v>-0.1117847</v>
      </c>
      <c r="W3003">
        <v>0.1143318</v>
      </c>
      <c r="X3003">
        <v>0.98713340000000005</v>
      </c>
      <c r="Y3003">
        <v>-0.2076122</v>
      </c>
      <c r="Z3003">
        <v>9.6491549999999995E-2</v>
      </c>
      <c r="AA3003">
        <v>0.97344059999999999</v>
      </c>
      <c r="AB3003">
        <v>28</v>
      </c>
      <c r="AC3003">
        <v>0.42670000000003899</v>
      </c>
      <c r="AD3003">
        <v>-1.117638740276</v>
      </c>
      <c r="AE3003">
        <v>-10.870699999999999</v>
      </c>
      <c r="AF3003">
        <v>-2.2836176234359602</v>
      </c>
      <c r="AG3003">
        <v>-1.117638740276</v>
      </c>
      <c r="AH3003">
        <v>10.520458623333401</v>
      </c>
      <c r="AI3003">
        <v>95.927052441509503</v>
      </c>
      <c r="AJ3003">
        <v>102.246890543444</v>
      </c>
      <c r="AK3003">
        <v>10.823311667373501</v>
      </c>
      <c r="AL3003">
        <v>83.434913958422399</v>
      </c>
      <c r="AM3003">
        <v>96.460750466725003</v>
      </c>
      <c r="AN3003">
        <v>0.99999996452044404</v>
      </c>
    </row>
    <row r="3004" spans="1:40" x14ac:dyDescent="0.25">
      <c r="A3004" t="str">
        <f>"20190312164045850"</f>
        <v>20190312164045850</v>
      </c>
      <c r="B3004" t="str">
        <f>"1552380045838829"</f>
        <v>1552380045838829</v>
      </c>
      <c r="C3004" t="s">
        <v>40</v>
      </c>
      <c r="D3004">
        <v>5.654649</v>
      </c>
      <c r="E3004">
        <v>0.46741319999999997</v>
      </c>
      <c r="F3004" t="s">
        <v>41</v>
      </c>
      <c r="G3004">
        <v>-491.76979999999998</v>
      </c>
      <c r="H3004" s="1">
        <v>-1.713086E-6</v>
      </c>
      <c r="I3004">
        <v>252.4846</v>
      </c>
      <c r="J3004">
        <v>-492.23489999999998</v>
      </c>
      <c r="K3004">
        <v>1.1175539999999999</v>
      </c>
      <c r="L3004">
        <v>263.25630000000001</v>
      </c>
      <c r="M3004">
        <v>-0.168456299999999</v>
      </c>
      <c r="N3004">
        <v>0</v>
      </c>
      <c r="O3004">
        <v>-0.98560429999999999</v>
      </c>
      <c r="P3004">
        <v>-6.0337439999999999E-2</v>
      </c>
      <c r="Q3004">
        <v>0.10212160000000001</v>
      </c>
      <c r="R3004">
        <v>-0.99294079999999996</v>
      </c>
      <c r="S3004">
        <v>0.12442019999999999</v>
      </c>
      <c r="T3004">
        <v>-0.31330730000000001</v>
      </c>
      <c r="U3004">
        <v>-3.0621640000000001</v>
      </c>
      <c r="V3004">
        <v>-0.109888899999999</v>
      </c>
      <c r="W3004">
        <v>0.1143759</v>
      </c>
      <c r="X3004">
        <v>0.98734120000000003</v>
      </c>
      <c r="Y3004">
        <v>-0.20814270000000001</v>
      </c>
      <c r="Z3004">
        <v>9.8447499999999993E-2</v>
      </c>
      <c r="AA3004">
        <v>0.97313139999999998</v>
      </c>
      <c r="AB3004">
        <v>28</v>
      </c>
      <c r="AC3004">
        <v>0.46510000000000601</v>
      </c>
      <c r="AD3004">
        <v>-1.1175557130859901</v>
      </c>
      <c r="AE3004">
        <v>-10.771699999999999</v>
      </c>
      <c r="AF3004">
        <v>-2.2490367940960598</v>
      </c>
      <c r="AG3004">
        <v>-1.1175557130859901</v>
      </c>
      <c r="AH3004">
        <v>10.4273437129967</v>
      </c>
      <c r="AI3004">
        <v>95.980848441895603</v>
      </c>
      <c r="AJ3004">
        <v>102.17146805647</v>
      </c>
      <c r="AK3004">
        <v>10.725511371586</v>
      </c>
      <c r="AL3004">
        <v>83.432370968510099</v>
      </c>
      <c r="AM3004">
        <v>96.350757374339395</v>
      </c>
      <c r="AN3004">
        <v>1.00000003103072</v>
      </c>
    </row>
    <row r="3005" spans="1:40" x14ac:dyDescent="0.25">
      <c r="A3005" t="str">
        <f>"20190312164045862"</f>
        <v>20190312164045862</v>
      </c>
      <c r="B3005" t="str">
        <f>"1552380045859325"</f>
        <v>1552380045859325</v>
      </c>
      <c r="C3005" t="s">
        <v>40</v>
      </c>
      <c r="D3005">
        <v>5.7389210000000004</v>
      </c>
      <c r="E3005">
        <v>0.46822399999999997</v>
      </c>
      <c r="F3005" t="s">
        <v>41</v>
      </c>
      <c r="G3005">
        <v>-491.75650000000002</v>
      </c>
      <c r="H3005" s="1">
        <v>-1.6777329999999999E-6</v>
      </c>
      <c r="I3005">
        <v>252.41050000000001</v>
      </c>
      <c r="J3005">
        <v>-492.25409999999999</v>
      </c>
      <c r="K3005">
        <v>1.1174850000000001</v>
      </c>
      <c r="L3005">
        <v>263.11590000000001</v>
      </c>
      <c r="M3005">
        <v>-0.16371229999999901</v>
      </c>
      <c r="N3005">
        <v>0</v>
      </c>
      <c r="O3005">
        <v>-0.98640349999999999</v>
      </c>
      <c r="P3005">
        <v>-5.7459860000000001E-2</v>
      </c>
      <c r="Q3005">
        <v>0.10209550000000001</v>
      </c>
      <c r="R3005">
        <v>-0.99311389999999999</v>
      </c>
      <c r="S3005">
        <v>0.135040299999999</v>
      </c>
      <c r="T3005">
        <v>-0.31550790000000001</v>
      </c>
      <c r="U3005">
        <v>-3.0619809999999998</v>
      </c>
      <c r="V3005">
        <v>-0.1079755</v>
      </c>
      <c r="W3005">
        <v>0.1143943</v>
      </c>
      <c r="X3005">
        <v>0.98755009999999999</v>
      </c>
      <c r="Y3005">
        <v>-0.20680509999999999</v>
      </c>
      <c r="Z3005">
        <v>9.9267530000000007E-2</v>
      </c>
      <c r="AA3005">
        <v>0.97333320000000001</v>
      </c>
      <c r="AB3005">
        <v>28</v>
      </c>
      <c r="AC3005">
        <v>0.49759999999997701</v>
      </c>
      <c r="AD3005">
        <v>-1.1174866777329999</v>
      </c>
      <c r="AE3005">
        <v>-10.7053999999999</v>
      </c>
      <c r="AF3005">
        <v>-2.2195390007461002</v>
      </c>
      <c r="AG3005">
        <v>-1.1174866777329999</v>
      </c>
      <c r="AH3005">
        <v>10.366746795289099</v>
      </c>
      <c r="AI3005">
        <v>96.017127828655703</v>
      </c>
      <c r="AJ3005">
        <v>102.08468102405899</v>
      </c>
      <c r="AK3005">
        <v>10.660420675019299</v>
      </c>
      <c r="AL3005">
        <v>83.431309439054402</v>
      </c>
      <c r="AM3005">
        <v>96.239747627700396</v>
      </c>
      <c r="AN3005">
        <v>0.99999998224137399</v>
      </c>
    </row>
    <row r="3006" spans="1:40" x14ac:dyDescent="0.25">
      <c r="A3006" t="str">
        <f>"20190312164045873"</f>
        <v>20190312164045873</v>
      </c>
      <c r="B3006" t="str">
        <f>"1552380045869085"</f>
        <v>1552380045869085</v>
      </c>
      <c r="C3006" t="s">
        <v>40</v>
      </c>
      <c r="D3006">
        <v>5.7299689999999996</v>
      </c>
      <c r="E3006">
        <v>0.46804560000000001</v>
      </c>
      <c r="F3006" t="s">
        <v>41</v>
      </c>
      <c r="G3006">
        <v>-491.75959999999998</v>
      </c>
      <c r="H3006" s="1">
        <v>-1.5136E-6</v>
      </c>
      <c r="I3006">
        <v>252.02600000000001</v>
      </c>
      <c r="J3006">
        <v>-492.27260000000001</v>
      </c>
      <c r="K3006">
        <v>1.117408</v>
      </c>
      <c r="L3006">
        <v>262.9751</v>
      </c>
      <c r="M3006">
        <v>-0.15900110000000001</v>
      </c>
      <c r="N3006">
        <v>0</v>
      </c>
      <c r="O3006">
        <v>-0.987174</v>
      </c>
      <c r="P3006">
        <v>-5.4580259999999998E-2</v>
      </c>
      <c r="Q3006">
        <v>0.10246520000000001</v>
      </c>
      <c r="R3006">
        <v>-0.99323810000000001</v>
      </c>
      <c r="S3006">
        <v>0.13644410000000001</v>
      </c>
      <c r="T3006">
        <v>-0.30838290000000002</v>
      </c>
      <c r="U3006">
        <v>-3.0603940000000001</v>
      </c>
      <c r="V3006">
        <v>-0.1060999</v>
      </c>
      <c r="W3006">
        <v>0.11480600000000001</v>
      </c>
      <c r="X3006">
        <v>0.98770559999999996</v>
      </c>
      <c r="Y3006">
        <v>-0.20261029999999999</v>
      </c>
      <c r="Z3006">
        <v>9.7256999999999996E-2</v>
      </c>
      <c r="AA3006">
        <v>0.97441789999999995</v>
      </c>
      <c r="AB3006">
        <v>28</v>
      </c>
      <c r="AC3006">
        <v>0.51300000000003299</v>
      </c>
      <c r="AD3006">
        <v>-1.1174095136</v>
      </c>
      <c r="AE3006">
        <v>-10.9491</v>
      </c>
      <c r="AF3006">
        <v>-2.2244534848608901</v>
      </c>
      <c r="AG3006">
        <v>-1.1174095136</v>
      </c>
      <c r="AH3006">
        <v>10.617860138793899</v>
      </c>
      <c r="AI3006">
        <v>95.8808704125844</v>
      </c>
      <c r="AJ3006">
        <v>101.83239940830001</v>
      </c>
      <c r="AK3006">
        <v>10.9057668806179</v>
      </c>
      <c r="AL3006">
        <v>83.407564306912604</v>
      </c>
      <c r="AM3006">
        <v>96.131234373646606</v>
      </c>
      <c r="AN3006">
        <v>0.99999997934368401</v>
      </c>
    </row>
    <row r="3007" spans="1:40" x14ac:dyDescent="0.25">
      <c r="A3007" t="str">
        <f>"20190312164045885"</f>
        <v>20190312164045885</v>
      </c>
      <c r="B3007" t="str">
        <f>"1552380045878844"</f>
        <v>1552380045878844</v>
      </c>
      <c r="C3007" t="s">
        <v>40</v>
      </c>
      <c r="D3007">
        <v>5.6876429999999996</v>
      </c>
      <c r="E3007">
        <v>0.46730149999999998</v>
      </c>
      <c r="F3007" t="s">
        <v>41</v>
      </c>
      <c r="G3007">
        <v>-491.73680000000002</v>
      </c>
      <c r="H3007" s="1">
        <v>-1.400509E-6</v>
      </c>
      <c r="I3007">
        <v>251.7765</v>
      </c>
      <c r="J3007">
        <v>-492.29020000000003</v>
      </c>
      <c r="K3007">
        <v>1.117329</v>
      </c>
      <c r="L3007">
        <v>262.83609999999999</v>
      </c>
      <c r="M3007">
        <v>-0.1544102</v>
      </c>
      <c r="N3007">
        <v>0</v>
      </c>
      <c r="O3007">
        <v>-0.98790279999999997</v>
      </c>
      <c r="P3007">
        <v>-5.1812030000000002E-2</v>
      </c>
      <c r="Q3007">
        <v>0.1023608</v>
      </c>
      <c r="R3007">
        <v>-0.99339759999999999</v>
      </c>
      <c r="S3007">
        <v>0.14639279999999999</v>
      </c>
      <c r="T3007">
        <v>-0.30532769999999998</v>
      </c>
      <c r="U3007">
        <v>-3.0599669999999999</v>
      </c>
      <c r="V3007">
        <v>-0.10423540000000001</v>
      </c>
      <c r="W3007">
        <v>0.1147444</v>
      </c>
      <c r="X3007">
        <v>0.98791130000000005</v>
      </c>
      <c r="Y3007">
        <v>-0.20122989999999999</v>
      </c>
      <c r="Z3007">
        <v>9.6431489999999995E-2</v>
      </c>
      <c r="AA3007">
        <v>0.97478589999999998</v>
      </c>
      <c r="AB3007">
        <v>28</v>
      </c>
      <c r="AC3007">
        <v>0.55340000000001</v>
      </c>
      <c r="AD3007">
        <v>-1.1173304005089999</v>
      </c>
      <c r="AE3007">
        <v>-11.0595999999999</v>
      </c>
      <c r="AF3007">
        <v>-2.2319285099571</v>
      </c>
      <c r="AG3007">
        <v>-1.1173304005089999</v>
      </c>
      <c r="AH3007">
        <v>10.7322068879024</v>
      </c>
      <c r="AI3007">
        <v>95.820010612968602</v>
      </c>
      <c r="AJ3007">
        <v>101.748087489339</v>
      </c>
      <c r="AK3007">
        <v>11.0186295328503</v>
      </c>
      <c r="AL3007">
        <v>83.411117450995107</v>
      </c>
      <c r="AM3007">
        <v>96.023044019593101</v>
      </c>
      <c r="AN3007">
        <v>1.0000000163061</v>
      </c>
    </row>
    <row r="3008" spans="1:40" x14ac:dyDescent="0.25">
      <c r="A3008" t="str">
        <f>"20190312164045906"</f>
        <v>20190312164045906</v>
      </c>
      <c r="B3008" t="str">
        <f>"1552380045899340"</f>
        <v>1552380045899340</v>
      </c>
      <c r="C3008" t="s">
        <v>40</v>
      </c>
      <c r="D3008">
        <v>5.8006129999999896</v>
      </c>
      <c r="E3008">
        <v>0.46584759999999997</v>
      </c>
      <c r="F3008" t="s">
        <v>41</v>
      </c>
      <c r="G3008">
        <v>-491.70429999999999</v>
      </c>
      <c r="H3008" s="1">
        <v>-1.334426E-6</v>
      </c>
      <c r="I3008">
        <v>251.64269999999999</v>
      </c>
      <c r="J3008">
        <v>-492.32069999999999</v>
      </c>
      <c r="K3008">
        <v>1.1171770000000001</v>
      </c>
      <c r="L3008">
        <v>262.584</v>
      </c>
      <c r="M3008">
        <v>-0.1462241</v>
      </c>
      <c r="N3008">
        <v>0</v>
      </c>
      <c r="O3008">
        <v>-0.98914800000000003</v>
      </c>
      <c r="P3008">
        <v>-4.7206209999999998E-2</v>
      </c>
      <c r="Q3008">
        <v>0.1016301</v>
      </c>
      <c r="R3008">
        <v>-0.99370179999999997</v>
      </c>
      <c r="S3008">
        <v>0.160156299999999</v>
      </c>
      <c r="T3008">
        <v>-0.305428599999999</v>
      </c>
      <c r="U3008">
        <v>-3.0597840000000001</v>
      </c>
      <c r="V3008">
        <v>-0.1005829</v>
      </c>
      <c r="W3008">
        <v>0.1140964</v>
      </c>
      <c r="X3008">
        <v>0.98836489999999999</v>
      </c>
      <c r="Y3008">
        <v>-0.19749330000000001</v>
      </c>
      <c r="Z3008">
        <v>9.6680929999999998E-2</v>
      </c>
      <c r="AA3008">
        <v>0.97552510000000003</v>
      </c>
      <c r="AB3008">
        <v>28</v>
      </c>
      <c r="AC3008">
        <v>0.61639999999999795</v>
      </c>
      <c r="AD3008">
        <v>-1.117178334426</v>
      </c>
      <c r="AE3008">
        <v>-10.9413</v>
      </c>
      <c r="AF3008">
        <v>-2.1870889176394299</v>
      </c>
      <c r="AG3008">
        <v>-1.117178334426</v>
      </c>
      <c r="AH3008">
        <v>10.6231277303913</v>
      </c>
      <c r="AI3008">
        <v>95.880976034104805</v>
      </c>
      <c r="AJ3008">
        <v>101.633501461957</v>
      </c>
      <c r="AK3008">
        <v>10.9033154655261</v>
      </c>
      <c r="AL3008">
        <v>83.448490735610804</v>
      </c>
      <c r="AM3008">
        <v>95.810812985408205</v>
      </c>
      <c r="AN3008">
        <v>1.0000000419086801</v>
      </c>
    </row>
    <row r="3009" spans="1:40" x14ac:dyDescent="0.25">
      <c r="A3009" t="str">
        <f>"20190312164045917"</f>
        <v>20190312164045917</v>
      </c>
      <c r="B3009" t="str">
        <f>"1552380045909101"</f>
        <v>1552380045909101</v>
      </c>
      <c r="C3009" t="s">
        <v>40</v>
      </c>
      <c r="D3009">
        <v>5.9267110000000001</v>
      </c>
      <c r="E3009">
        <v>0.46527849999999998</v>
      </c>
      <c r="F3009" t="s">
        <v>41</v>
      </c>
      <c r="G3009">
        <v>-491.63690000000003</v>
      </c>
      <c r="H3009" s="1">
        <v>-1.203576E-6</v>
      </c>
      <c r="I3009">
        <v>251.3794</v>
      </c>
      <c r="J3009">
        <v>-492.3383</v>
      </c>
      <c r="K3009">
        <v>1.1170719999999901</v>
      </c>
      <c r="L3009">
        <v>262.43220000000002</v>
      </c>
      <c r="M3009">
        <v>-0.14137469999999999</v>
      </c>
      <c r="N3009">
        <v>0</v>
      </c>
      <c r="O3009">
        <v>-0.98985299999999998</v>
      </c>
      <c r="P3009">
        <v>-4.3839570000000001E-2</v>
      </c>
      <c r="Q3009">
        <v>0.10114239999999999</v>
      </c>
      <c r="R3009">
        <v>-0.99390579999999995</v>
      </c>
      <c r="S3009">
        <v>0.18667600000000001</v>
      </c>
      <c r="T3009">
        <v>-0.30501339999999999</v>
      </c>
      <c r="U3009">
        <v>-3.0590820000000001</v>
      </c>
      <c r="V3009">
        <v>-9.9056249999999998E-2</v>
      </c>
      <c r="W3009">
        <v>0.11364630000000001</v>
      </c>
      <c r="X3009">
        <v>0.98857090000000003</v>
      </c>
      <c r="Y3009">
        <v>-0.20113</v>
      </c>
      <c r="Z3009">
        <v>9.6617019999999998E-2</v>
      </c>
      <c r="AA3009">
        <v>0.97478810000000005</v>
      </c>
      <c r="AB3009">
        <v>28</v>
      </c>
      <c r="AC3009">
        <v>0.70139999999997804</v>
      </c>
      <c r="AD3009">
        <v>-1.11707320357599</v>
      </c>
      <c r="AE3009">
        <v>-11.0528</v>
      </c>
      <c r="AF3009">
        <v>-2.2343681832917399</v>
      </c>
      <c r="AG3009">
        <v>-1.11707320357599</v>
      </c>
      <c r="AH3009">
        <v>10.733397353229201</v>
      </c>
      <c r="AI3009">
        <v>95.817803827455194</v>
      </c>
      <c r="AJ3009">
        <v>101.759303525259</v>
      </c>
      <c r="AK3009">
        <v>11.0202573682724</v>
      </c>
      <c r="AL3009">
        <v>83.474448284377004</v>
      </c>
      <c r="AM3009">
        <v>95.722021575735994</v>
      </c>
      <c r="AN3009">
        <v>1.0000000232472801</v>
      </c>
    </row>
    <row r="3010" spans="1:40" x14ac:dyDescent="0.25">
      <c r="A3010" t="str">
        <f>"20190312164045929"</f>
        <v>20190312164045929</v>
      </c>
      <c r="B3010" t="str">
        <f>"1552380045918860"</f>
        <v>1552380045918860</v>
      </c>
      <c r="C3010" t="s">
        <v>40</v>
      </c>
      <c r="D3010">
        <v>5.6549490000000002</v>
      </c>
      <c r="E3010">
        <v>0.46451619999999999</v>
      </c>
      <c r="F3010" t="s">
        <v>41</v>
      </c>
      <c r="G3010">
        <v>-491.60379999999998</v>
      </c>
      <c r="H3010" s="1">
        <v>-1.155624E-6</v>
      </c>
      <c r="I3010">
        <v>251.28819999999999</v>
      </c>
      <c r="J3010">
        <v>-492.3537</v>
      </c>
      <c r="K3010">
        <v>1.116968</v>
      </c>
      <c r="L3010">
        <v>262.291</v>
      </c>
      <c r="M3010">
        <v>-0.13697679999999901</v>
      </c>
      <c r="N3010">
        <v>0</v>
      </c>
      <c r="O3010">
        <v>-0.99047110000000005</v>
      </c>
      <c r="P3010">
        <v>-4.1534120000000001E-2</v>
      </c>
      <c r="Q3010">
        <v>0.1001623</v>
      </c>
      <c r="R3010">
        <v>-0.99410370000000003</v>
      </c>
      <c r="S3010">
        <v>0.2015991</v>
      </c>
      <c r="T3010">
        <v>-0.30657820000000002</v>
      </c>
      <c r="U3010">
        <v>-3.0584410000000002</v>
      </c>
      <c r="V3010">
        <v>-9.6923949999999995E-2</v>
      </c>
      <c r="W3010">
        <v>0.11271299999999999</v>
      </c>
      <c r="X3010">
        <v>0.98888900000000002</v>
      </c>
      <c r="Y3010">
        <v>-0.2015256</v>
      </c>
      <c r="Z3010">
        <v>9.7201209999999996E-2</v>
      </c>
      <c r="AA3010">
        <v>0.97464839999999997</v>
      </c>
      <c r="AB3010">
        <v>28</v>
      </c>
      <c r="AC3010">
        <v>0.74990000000002499</v>
      </c>
      <c r="AD3010">
        <v>-1.116969155624</v>
      </c>
      <c r="AE3010">
        <v>-11.002800000000001</v>
      </c>
      <c r="AF3010">
        <v>-2.22726522228341</v>
      </c>
      <c r="AG3010">
        <v>-1.116969155624</v>
      </c>
      <c r="AH3010">
        <v>10.686715263242601</v>
      </c>
      <c r="AI3010">
        <v>95.842218032435696</v>
      </c>
      <c r="AJ3010">
        <v>101.77273977345099</v>
      </c>
      <c r="AK3010">
        <v>10.9733410401131</v>
      </c>
      <c r="AL3010">
        <v>83.528267865178506</v>
      </c>
      <c r="AM3010">
        <v>95.597850002878403</v>
      </c>
      <c r="AN3010">
        <v>0.99999996338679997</v>
      </c>
    </row>
    <row r="3011" spans="1:40" x14ac:dyDescent="0.25">
      <c r="A3011" t="str">
        <f>"20190312164045941"</f>
        <v>20190312164045941</v>
      </c>
      <c r="B3011" t="str">
        <f>"1552380045928620"</f>
        <v>1552380045928620</v>
      </c>
      <c r="C3011" t="s">
        <v>40</v>
      </c>
      <c r="D3011">
        <v>5.6903819999999996</v>
      </c>
      <c r="E3011">
        <v>0.46389000000000002</v>
      </c>
      <c r="F3011" t="s">
        <v>41</v>
      </c>
      <c r="G3011">
        <v>-491.58139999999997</v>
      </c>
      <c r="H3011" s="1">
        <v>-1.168724E-6</v>
      </c>
      <c r="I3011">
        <v>251.33260000000001</v>
      </c>
      <c r="J3011">
        <v>-492.36880000000002</v>
      </c>
      <c r="K3011">
        <v>1.116859</v>
      </c>
      <c r="L3011">
        <v>262.15030000000002</v>
      </c>
      <c r="M3011">
        <v>-0.13262959999999999</v>
      </c>
      <c r="N3011">
        <v>0</v>
      </c>
      <c r="O3011">
        <v>-0.99106289999999997</v>
      </c>
      <c r="P3011">
        <v>-3.9128160000000002E-2</v>
      </c>
      <c r="Q3011">
        <v>9.9468020000000004E-2</v>
      </c>
      <c r="R3011">
        <v>-0.99427129999999997</v>
      </c>
      <c r="S3011">
        <v>0.21551509999999999</v>
      </c>
      <c r="T3011">
        <v>-0.31171659999999901</v>
      </c>
      <c r="U3011">
        <v>-3.0581969999999998</v>
      </c>
      <c r="V3011">
        <v>-9.4943719999999995E-2</v>
      </c>
      <c r="W3011">
        <v>0.11206289999999999</v>
      </c>
      <c r="X3011">
        <v>0.98915500000000001</v>
      </c>
      <c r="Y3011">
        <v>-0.20163610000000001</v>
      </c>
      <c r="Z3011">
        <v>9.8895070000000002E-2</v>
      </c>
      <c r="AA3011">
        <v>0.97445510000000002</v>
      </c>
      <c r="AB3011">
        <v>28</v>
      </c>
      <c r="AC3011">
        <v>0.78740000000004695</v>
      </c>
      <c r="AD3011">
        <v>-1.1168601687240001</v>
      </c>
      <c r="AE3011">
        <v>-10.8177</v>
      </c>
      <c r="AF3011">
        <v>-2.1920928337951802</v>
      </c>
      <c r="AG3011">
        <v>-1.1168601687240001</v>
      </c>
      <c r="AH3011">
        <v>10.506271096658001</v>
      </c>
      <c r="AI3011">
        <v>95.940996876279698</v>
      </c>
      <c r="AJ3011">
        <v>101.78546443336199</v>
      </c>
      <c r="AK3011">
        <v>10.7904763557931</v>
      </c>
      <c r="AL3011">
        <v>83.565753639627303</v>
      </c>
      <c r="AM3011">
        <v>95.4827203348068</v>
      </c>
      <c r="AN3011">
        <v>1.0000000087744201</v>
      </c>
    </row>
    <row r="3012" spans="1:40" x14ac:dyDescent="0.25">
      <c r="A3012" t="str">
        <f>"20190312164045953"</f>
        <v>20190312164045953</v>
      </c>
      <c r="B3012" t="str">
        <f>"1552380045949117"</f>
        <v>1552380045949117</v>
      </c>
      <c r="C3012" t="s">
        <v>40</v>
      </c>
      <c r="D3012">
        <v>5.7755190000000001</v>
      </c>
      <c r="E3012">
        <v>0.4633872</v>
      </c>
      <c r="F3012" t="s">
        <v>41</v>
      </c>
      <c r="G3012">
        <v>-491.55810000000002</v>
      </c>
      <c r="H3012" s="1">
        <v>-1.151796E-6</v>
      </c>
      <c r="I3012">
        <v>251.30760000000001</v>
      </c>
      <c r="J3012">
        <v>-492.3843</v>
      </c>
      <c r="K3012">
        <v>1.1167309999999999</v>
      </c>
      <c r="L3012">
        <v>261.99810000000002</v>
      </c>
      <c r="M3012">
        <v>-0.1280471</v>
      </c>
      <c r="N3012">
        <v>0</v>
      </c>
      <c r="O3012">
        <v>-0.99166580000000004</v>
      </c>
      <c r="P3012">
        <v>-3.6294699999999902E-2</v>
      </c>
      <c r="Q3012">
        <v>9.8466719999999994E-2</v>
      </c>
      <c r="R3012">
        <v>-0.99447850000000004</v>
      </c>
      <c r="S3012">
        <v>0.22860720000000001</v>
      </c>
      <c r="T3012">
        <v>-0.31496980000000002</v>
      </c>
      <c r="U3012">
        <v>-3.0577999999999999</v>
      </c>
      <c r="V3012">
        <v>-9.3149999999999997E-2</v>
      </c>
      <c r="W3012">
        <v>0.1111038</v>
      </c>
      <c r="X3012">
        <v>0.98943369999999997</v>
      </c>
      <c r="Y3012">
        <v>-0.2012601</v>
      </c>
      <c r="Z3012">
        <v>0.1000103</v>
      </c>
      <c r="AA3012">
        <v>0.97441900000000004</v>
      </c>
      <c r="AB3012">
        <v>28</v>
      </c>
      <c r="AC3012">
        <v>0.82619999999997096</v>
      </c>
      <c r="AD3012">
        <v>-1.1167321517959901</v>
      </c>
      <c r="AE3012">
        <v>-10.6905</v>
      </c>
      <c r="AF3012">
        <v>-2.1649403722626501</v>
      </c>
      <c r="AG3012">
        <v>-1.1167321517959901</v>
      </c>
      <c r="AH3012">
        <v>10.3840383065154</v>
      </c>
      <c r="AI3012">
        <v>96.009926158332306</v>
      </c>
      <c r="AJ3012">
        <v>101.77674474429099</v>
      </c>
      <c r="AK3012">
        <v>10.665941546131201</v>
      </c>
      <c r="AL3012">
        <v>83.621051372650498</v>
      </c>
      <c r="AM3012">
        <v>95.378245343383597</v>
      </c>
      <c r="AN3012">
        <v>1.00000001178506</v>
      </c>
    </row>
    <row r="3013" spans="1:40" x14ac:dyDescent="0.25">
      <c r="A3013" t="str">
        <f>"20190312164045964"</f>
        <v>20190312164045964</v>
      </c>
      <c r="B3013" t="str">
        <f>"1552380045958877"</f>
        <v>1552380045958877</v>
      </c>
      <c r="C3013" t="s">
        <v>40</v>
      </c>
      <c r="D3013">
        <v>5.8407939999999998</v>
      </c>
      <c r="E3013">
        <v>0.46316030000000002</v>
      </c>
      <c r="F3013" t="s">
        <v>41</v>
      </c>
      <c r="G3013">
        <v>-491.53390000000002</v>
      </c>
      <c r="H3013" s="1">
        <v>-1.115126E-6</v>
      </c>
      <c r="I3013">
        <v>251.2371</v>
      </c>
      <c r="J3013">
        <v>-492.39769999999999</v>
      </c>
      <c r="K3013">
        <v>1.1166069999999999</v>
      </c>
      <c r="L3013">
        <v>261.86169999999998</v>
      </c>
      <c r="M3013">
        <v>-0.12400990000000001</v>
      </c>
      <c r="N3013">
        <v>0</v>
      </c>
      <c r="O3013">
        <v>-0.99217900000000003</v>
      </c>
      <c r="P3013">
        <v>-3.386227E-2</v>
      </c>
      <c r="Q3013">
        <v>9.7821149999999996E-2</v>
      </c>
      <c r="R3013">
        <v>-0.99462799999999996</v>
      </c>
      <c r="S3013">
        <v>0.24157709999999999</v>
      </c>
      <c r="T3013">
        <v>-0.31723059999999997</v>
      </c>
      <c r="U3013">
        <v>-3.0568849999999999</v>
      </c>
      <c r="V3013">
        <v>-9.1506229999999994E-2</v>
      </c>
      <c r="W3013">
        <v>0.11049580000000001</v>
      </c>
      <c r="X3013">
        <v>0.98965510000000001</v>
      </c>
      <c r="Y3013">
        <v>-0.2013991</v>
      </c>
      <c r="Z3013">
        <v>0.1008119</v>
      </c>
      <c r="AA3013">
        <v>0.9743077</v>
      </c>
      <c r="AB3013">
        <v>28</v>
      </c>
      <c r="AC3013">
        <v>0.86379999999996904</v>
      </c>
      <c r="AD3013">
        <v>-1.1166081151259999</v>
      </c>
      <c r="AE3013">
        <v>-10.6245999999999</v>
      </c>
      <c r="AF3013">
        <v>-2.15121515371187</v>
      </c>
      <c r="AG3013">
        <v>-1.1166081151259999</v>
      </c>
      <c r="AH3013">
        <v>10.3221786531444</v>
      </c>
      <c r="AI3013">
        <v>96.045106666213002</v>
      </c>
      <c r="AJ3013">
        <v>101.77233870096499</v>
      </c>
      <c r="AK3013">
        <v>10.602919997234499</v>
      </c>
      <c r="AL3013">
        <v>83.656102727167905</v>
      </c>
      <c r="AM3013">
        <v>95.282704803493004</v>
      </c>
      <c r="AN3013">
        <v>0.99999996445122996</v>
      </c>
    </row>
    <row r="3014" spans="1:40" x14ac:dyDescent="0.25">
      <c r="A3014" t="str">
        <f>"20190312164045975"</f>
        <v>20190312164045975</v>
      </c>
      <c r="B3014" t="str">
        <f>"1552380045968637"</f>
        <v>1552380045968637</v>
      </c>
      <c r="C3014" t="s">
        <v>40</v>
      </c>
      <c r="D3014">
        <v>6.2365709999999996</v>
      </c>
      <c r="E3014">
        <v>0.46296799999999999</v>
      </c>
      <c r="F3014" t="s">
        <v>41</v>
      </c>
      <c r="G3014">
        <v>-491.51690000000002</v>
      </c>
      <c r="H3014" s="1">
        <v>-1.0728600000000001E-6</v>
      </c>
      <c r="I3014">
        <v>251.1491</v>
      </c>
      <c r="J3014">
        <v>-492.41180000000003</v>
      </c>
      <c r="K3014">
        <v>1.1164719999999999</v>
      </c>
      <c r="L3014">
        <v>261.71370000000002</v>
      </c>
      <c r="M3014">
        <v>-0.1197006</v>
      </c>
      <c r="N3014">
        <v>0</v>
      </c>
      <c r="O3014">
        <v>-0.99270840000000005</v>
      </c>
      <c r="P3014">
        <v>-3.1069050000000001E-2</v>
      </c>
      <c r="Q3014">
        <v>9.7515879999999999E-2</v>
      </c>
      <c r="R3014">
        <v>-0.99474940000000001</v>
      </c>
      <c r="S3014">
        <v>0.2512817</v>
      </c>
      <c r="T3014">
        <v>-0.3185481</v>
      </c>
      <c r="U3014">
        <v>-3.0560909999999999</v>
      </c>
      <c r="V3014">
        <v>-8.9949660000000001E-2</v>
      </c>
      <c r="W3014">
        <v>0.11022659999999999</v>
      </c>
      <c r="X3014">
        <v>0.98982780000000004</v>
      </c>
      <c r="Y3014">
        <v>-0.2002361</v>
      </c>
      <c r="Z3014">
        <v>0.1013337</v>
      </c>
      <c r="AA3014">
        <v>0.97449319999999895</v>
      </c>
      <c r="AB3014">
        <v>28</v>
      </c>
      <c r="AC3014">
        <v>0.89490000000000602</v>
      </c>
      <c r="AD3014">
        <v>-1.1164730728600001</v>
      </c>
      <c r="AE3014">
        <v>-10.5646</v>
      </c>
      <c r="AF3014">
        <v>-2.1295665927396299</v>
      </c>
      <c r="AG3014">
        <v>-1.1164730728600001</v>
      </c>
      <c r="AH3014">
        <v>10.267638647098099</v>
      </c>
      <c r="AI3014">
        <v>96.077451870482093</v>
      </c>
      <c r="AJ3014">
        <v>101.71733990374899</v>
      </c>
      <c r="AK3014">
        <v>10.545424096863901</v>
      </c>
      <c r="AL3014">
        <v>83.671621514039501</v>
      </c>
      <c r="AM3014">
        <v>95.192437605014007</v>
      </c>
      <c r="AN3014">
        <v>0.99999995916725704</v>
      </c>
    </row>
    <row r="3015" spans="1:40" x14ac:dyDescent="0.25">
      <c r="A3015" t="str">
        <f>"20190312164045999"</f>
        <v>20190312164045999</v>
      </c>
      <c r="B3015" t="str">
        <f>"1552380045989133"</f>
        <v>1552380045989133</v>
      </c>
      <c r="C3015" t="s">
        <v>40</v>
      </c>
      <c r="D3015">
        <v>5.6780629999999999</v>
      </c>
      <c r="E3015">
        <v>0.4628235</v>
      </c>
      <c r="F3015" t="s">
        <v>41</v>
      </c>
      <c r="G3015">
        <v>-491.4966</v>
      </c>
      <c r="H3015" s="1">
        <v>-1.0074019999999999E-6</v>
      </c>
      <c r="I3015">
        <v>251.00919999999999</v>
      </c>
      <c r="J3015">
        <v>-492.43669999999997</v>
      </c>
      <c r="K3015">
        <v>1.116212</v>
      </c>
      <c r="L3015">
        <v>261.43650000000002</v>
      </c>
      <c r="M3015">
        <v>-0.1119049</v>
      </c>
      <c r="N3015">
        <v>0</v>
      </c>
      <c r="O3015">
        <v>-0.99361809999999995</v>
      </c>
      <c r="P3015">
        <v>-2.6544140000000001E-2</v>
      </c>
      <c r="Q3015">
        <v>9.7414840000000003E-2</v>
      </c>
      <c r="R3015">
        <v>-0.99489030000000001</v>
      </c>
      <c r="S3015">
        <v>0.26123049999999998</v>
      </c>
      <c r="T3015">
        <v>-0.318658099999999</v>
      </c>
      <c r="U3015">
        <v>-3.055237</v>
      </c>
      <c r="V3015">
        <v>-8.6607290000000003E-2</v>
      </c>
      <c r="W3015">
        <v>0.1101972</v>
      </c>
      <c r="X3015">
        <v>0.99012920000000004</v>
      </c>
      <c r="Y3015">
        <v>-0.19571649999999999</v>
      </c>
      <c r="Z3015">
        <v>0.1015712</v>
      </c>
      <c r="AA3015">
        <v>0.97538630000000004</v>
      </c>
      <c r="AB3015">
        <v>28</v>
      </c>
      <c r="AC3015">
        <v>0.94009999999997196</v>
      </c>
      <c r="AD3015">
        <v>-1.116213007402</v>
      </c>
      <c r="AE3015">
        <v>-10.427300000000001</v>
      </c>
      <c r="AF3015">
        <v>-2.0775618192894698</v>
      </c>
      <c r="AG3015">
        <v>-1.116213007402</v>
      </c>
      <c r="AH3015">
        <v>10.1413065605601</v>
      </c>
      <c r="AI3015">
        <v>96.154232133738503</v>
      </c>
      <c r="AJ3015">
        <v>101.577502702785</v>
      </c>
      <c r="AK3015">
        <v>10.411930337171899</v>
      </c>
      <c r="AL3015">
        <v>83.673316842652994</v>
      </c>
      <c r="AM3015">
        <v>94.998978340351499</v>
      </c>
      <c r="AN3015">
        <v>1.0000000391308099</v>
      </c>
    </row>
    <row r="3016" spans="1:40" x14ac:dyDescent="0.25">
      <c r="A3016" t="str">
        <f>"20190312164046011"</f>
        <v>20190312164046011</v>
      </c>
      <c r="B3016" t="str">
        <f>"1552380046008653"</f>
        <v>1552380046008653</v>
      </c>
      <c r="C3016" t="s">
        <v>40</v>
      </c>
      <c r="D3016">
        <v>5.9740339999999996</v>
      </c>
      <c r="E3016">
        <v>0.46279110000000001</v>
      </c>
      <c r="F3016" t="s">
        <v>41</v>
      </c>
      <c r="G3016">
        <v>-491.46980000000002</v>
      </c>
      <c r="H3016" s="1">
        <v>-8.6794479999999997E-7</v>
      </c>
      <c r="I3016">
        <v>250.70070000000001</v>
      </c>
      <c r="J3016">
        <v>-492.45060000000001</v>
      </c>
      <c r="K3016">
        <v>1.1160509999999999</v>
      </c>
      <c r="L3016">
        <v>261.26929999999999</v>
      </c>
      <c r="M3016">
        <v>-0.107409199999999</v>
      </c>
      <c r="N3016">
        <v>0</v>
      </c>
      <c r="O3016">
        <v>-0.99411400000000005</v>
      </c>
      <c r="P3016">
        <v>-2.3851460000000001E-2</v>
      </c>
      <c r="Q3016">
        <v>9.7626149999999995E-2</v>
      </c>
      <c r="R3016">
        <v>-0.99493719999999997</v>
      </c>
      <c r="S3016">
        <v>0.2750244</v>
      </c>
      <c r="T3016">
        <v>-0.31751049999999997</v>
      </c>
      <c r="U3016">
        <v>-3.053833</v>
      </c>
      <c r="V3016">
        <v>-8.4761569999999994E-2</v>
      </c>
      <c r="W3016">
        <v>0.110448</v>
      </c>
      <c r="X3016">
        <v>0.99026099999999995</v>
      </c>
      <c r="Y3016">
        <v>-0.1956939</v>
      </c>
      <c r="Z3016">
        <v>0.1013124</v>
      </c>
      <c r="AA3016">
        <v>0.97541770000000005</v>
      </c>
      <c r="AB3016">
        <v>28</v>
      </c>
      <c r="AC3016">
        <v>0.98079999999998801</v>
      </c>
      <c r="AD3016">
        <v>-1.1160518679447999</v>
      </c>
      <c r="AE3016">
        <v>-10.568599999999901</v>
      </c>
      <c r="AF3016">
        <v>-2.0873255050401802</v>
      </c>
      <c r="AG3016">
        <v>-1.1160518679447999</v>
      </c>
      <c r="AH3016">
        <v>10.288338873382401</v>
      </c>
      <c r="AI3016">
        <v>96.068404683232302</v>
      </c>
      <c r="AJ3016">
        <v>101.46865557757999</v>
      </c>
      <c r="AK3016">
        <v>10.557102647482701</v>
      </c>
      <c r="AL3016">
        <v>83.658858980305197</v>
      </c>
      <c r="AM3016">
        <v>94.892317985875906</v>
      </c>
      <c r="AN3016">
        <v>1.0000000662869299</v>
      </c>
    </row>
    <row r="3017" spans="1:40" x14ac:dyDescent="0.25">
      <c r="A3017" t="str">
        <f>"20190312164046029"</f>
        <v>20190312164046029</v>
      </c>
      <c r="B3017" t="str">
        <f>"1552380046019388"</f>
        <v>1552380046019388</v>
      </c>
      <c r="C3017" t="s">
        <v>40</v>
      </c>
      <c r="D3017">
        <v>5.7732720000000004</v>
      </c>
      <c r="E3017">
        <v>0.46271499999999999</v>
      </c>
      <c r="F3017" t="s">
        <v>41</v>
      </c>
      <c r="G3017">
        <v>-491.44940000000003</v>
      </c>
      <c r="H3017" s="1">
        <v>-7.7368169999999905E-7</v>
      </c>
      <c r="I3017">
        <v>250.49359999999999</v>
      </c>
      <c r="J3017">
        <v>-492.4676</v>
      </c>
      <c r="K3017">
        <v>1.11585499999999</v>
      </c>
      <c r="L3017">
        <v>261.05549999999999</v>
      </c>
      <c r="M3017">
        <v>-0.10179829999999999</v>
      </c>
      <c r="N3017">
        <v>0</v>
      </c>
      <c r="O3017">
        <v>-0.99470479999999994</v>
      </c>
      <c r="P3017">
        <v>-2.1935429999999999E-2</v>
      </c>
      <c r="Q3017">
        <v>9.7895259999999998E-2</v>
      </c>
      <c r="R3017">
        <v>-0.99495489999999998</v>
      </c>
      <c r="S3017">
        <v>0.28369139999999998</v>
      </c>
      <c r="T3017">
        <v>-0.31621579999999999</v>
      </c>
      <c r="U3017">
        <v>-3.0531009999999998</v>
      </c>
      <c r="V3017">
        <v>-8.1022399999999994E-2</v>
      </c>
      <c r="W3017">
        <v>0.1107839</v>
      </c>
      <c r="X3017">
        <v>0.99053639999999998</v>
      </c>
      <c r="Y3017">
        <v>-0.19293060000000001</v>
      </c>
      <c r="Z3017">
        <v>0.10103380000000001</v>
      </c>
      <c r="AA3017">
        <v>0.97599689999999995</v>
      </c>
      <c r="AB3017">
        <v>28</v>
      </c>
      <c r="AC3017">
        <v>1.01819999999997</v>
      </c>
      <c r="AD3017">
        <v>-1.1158557736817001</v>
      </c>
      <c r="AE3017">
        <v>-10.5619</v>
      </c>
      <c r="AF3017">
        <v>-2.0653594261986901</v>
      </c>
      <c r="AG3017">
        <v>-1.1158557736817001</v>
      </c>
      <c r="AH3017">
        <v>10.2895672382075</v>
      </c>
      <c r="AI3017">
        <v>96.069148824608902</v>
      </c>
      <c r="AJ3017">
        <v>101.349793957895</v>
      </c>
      <c r="AK3017">
        <v>10.5539583861525</v>
      </c>
      <c r="AL3017">
        <v>83.639494266798295</v>
      </c>
      <c r="AM3017">
        <v>94.676183229290501</v>
      </c>
      <c r="AN3017">
        <v>1.00000003076296</v>
      </c>
    </row>
    <row r="3018" spans="1:40" x14ac:dyDescent="0.25">
      <c r="A3018" t="str">
        <f>"20190312164046043"</f>
        <v>20190312164046043</v>
      </c>
      <c r="B3018" t="str">
        <f>"1552380046038909"</f>
        <v>1552380046038909</v>
      </c>
      <c r="C3018" t="s">
        <v>40</v>
      </c>
      <c r="D3018">
        <v>5.7061260000000003</v>
      </c>
      <c r="E3018">
        <v>0.46284779999999998</v>
      </c>
      <c r="F3018" t="s">
        <v>41</v>
      </c>
      <c r="G3018">
        <v>-491.4409</v>
      </c>
      <c r="H3018" s="1">
        <v>-6.7399530000000002E-7</v>
      </c>
      <c r="I3018">
        <v>250.26650000000001</v>
      </c>
      <c r="J3018">
        <v>-492.48050000000001</v>
      </c>
      <c r="K3018">
        <v>1.1157029999999999</v>
      </c>
      <c r="L3018">
        <v>260.88589999999999</v>
      </c>
      <c r="M3018">
        <v>-9.7473229999999994E-2</v>
      </c>
      <c r="N3018">
        <v>0</v>
      </c>
      <c r="O3018">
        <v>-0.99513839999999998</v>
      </c>
      <c r="P3018">
        <v>-1.9331129999999998E-2</v>
      </c>
      <c r="Q3018">
        <v>9.7569950000000003E-2</v>
      </c>
      <c r="R3018">
        <v>-0.99504150000000002</v>
      </c>
      <c r="S3018">
        <v>0.2904968</v>
      </c>
      <c r="T3018">
        <v>-0.31572329999999998</v>
      </c>
      <c r="U3018">
        <v>-3.052673</v>
      </c>
      <c r="V3018">
        <v>-7.9262609999999997E-2</v>
      </c>
      <c r="W3018">
        <v>0.11049200000000001</v>
      </c>
      <c r="X3018">
        <v>0.99071129999999996</v>
      </c>
      <c r="Y3018">
        <v>-0.19083559999999999</v>
      </c>
      <c r="Z3018">
        <v>0.1009694</v>
      </c>
      <c r="AA3018">
        <v>0.97641529999999999</v>
      </c>
      <c r="AB3018">
        <v>28</v>
      </c>
      <c r="AC3018">
        <v>1.0396000000000001</v>
      </c>
      <c r="AD3018">
        <v>-1.1157036739952999</v>
      </c>
      <c r="AE3018">
        <v>-10.619399999999899</v>
      </c>
      <c r="AF3018">
        <v>-2.0474727294917399</v>
      </c>
      <c r="AG3018">
        <v>-1.1157036739952999</v>
      </c>
      <c r="AH3018">
        <v>10.3542712404652</v>
      </c>
      <c r="AI3018">
        <v>96.034108410434499</v>
      </c>
      <c r="AJ3018">
        <v>101.18547229401101</v>
      </c>
      <c r="AK3018">
        <v>10.6135701904357</v>
      </c>
      <c r="AL3018">
        <v>83.656321774852699</v>
      </c>
      <c r="AM3018">
        <v>94.574249156155602</v>
      </c>
      <c r="AN3018">
        <v>0.99999996167784999</v>
      </c>
    </row>
    <row r="3019" spans="1:40" x14ac:dyDescent="0.25">
      <c r="A3019" t="str">
        <f>"20190312164046055"</f>
        <v>20190312164046055</v>
      </c>
      <c r="B3019" t="str">
        <f>"1552380046048669"</f>
        <v>1552380046048669</v>
      </c>
      <c r="C3019" t="s">
        <v>40</v>
      </c>
      <c r="D3019">
        <v>5.7596999999999996</v>
      </c>
      <c r="E3019">
        <v>0.46292749999999999</v>
      </c>
      <c r="F3019" t="s">
        <v>41</v>
      </c>
      <c r="G3019">
        <v>-491.43090000000001</v>
      </c>
      <c r="H3019" s="1">
        <v>-6.0260090000000004E-7</v>
      </c>
      <c r="I3019">
        <v>250.1063</v>
      </c>
      <c r="J3019">
        <v>-492.49239999999998</v>
      </c>
      <c r="K3019">
        <v>1.1155520000000001</v>
      </c>
      <c r="L3019">
        <v>260.72089999999997</v>
      </c>
      <c r="M3019">
        <v>-9.3384789999999995E-2</v>
      </c>
      <c r="N3019">
        <v>0</v>
      </c>
      <c r="O3019">
        <v>-0.99553049999999998</v>
      </c>
      <c r="P3019">
        <v>-1.7115680000000001E-2</v>
      </c>
      <c r="Q3019">
        <v>9.7028119999999995E-2</v>
      </c>
      <c r="R3019">
        <v>-0.99513459999999998</v>
      </c>
      <c r="S3019">
        <v>0.29711910000000002</v>
      </c>
      <c r="T3019">
        <v>-0.3158532</v>
      </c>
      <c r="U3019">
        <v>-3.0516969999999999</v>
      </c>
      <c r="V3019">
        <v>-7.7353130000000006E-2</v>
      </c>
      <c r="W3019">
        <v>0.1099849</v>
      </c>
      <c r="X3019">
        <v>0.99091870000000004</v>
      </c>
      <c r="Y3019">
        <v>-0.1889315</v>
      </c>
      <c r="Z3019">
        <v>0.1011113</v>
      </c>
      <c r="AA3019">
        <v>0.9767709</v>
      </c>
      <c r="AB3019">
        <v>28</v>
      </c>
      <c r="AC3019">
        <v>1.0614999999999599</v>
      </c>
      <c r="AD3019">
        <v>-1.1155526026008999</v>
      </c>
      <c r="AE3019">
        <v>-10.6145999999999</v>
      </c>
      <c r="AF3019">
        <v>-2.0260444646545799</v>
      </c>
      <c r="AG3019">
        <v>-1.1155526026008999</v>
      </c>
      <c r="AH3019">
        <v>10.355818857812601</v>
      </c>
      <c r="AI3019">
        <v>96.034782655433503</v>
      </c>
      <c r="AJ3019">
        <v>101.069701636267</v>
      </c>
      <c r="AK3019">
        <v>10.610951795091401</v>
      </c>
      <c r="AL3019">
        <v>83.685555052644503</v>
      </c>
      <c r="AM3019">
        <v>94.463573286861902</v>
      </c>
      <c r="AN3019">
        <v>1.00000002747924</v>
      </c>
    </row>
    <row r="3020" spans="1:40" x14ac:dyDescent="0.25">
      <c r="A3020" t="str">
        <f>"20190312164046072"</f>
        <v>20190312164046072</v>
      </c>
      <c r="B3020" t="str">
        <f>"1552380046069166"</f>
        <v>1552380046069166</v>
      </c>
      <c r="C3020" t="s">
        <v>40</v>
      </c>
      <c r="D3020">
        <v>5.7849349999999999</v>
      </c>
      <c r="E3020">
        <v>0.46295940000000002</v>
      </c>
      <c r="F3020" t="s">
        <v>41</v>
      </c>
      <c r="G3020">
        <v>-491.42529999999999</v>
      </c>
      <c r="H3020" s="1">
        <v>-5.5312019999999995E-7</v>
      </c>
      <c r="I3020">
        <v>249.99440000000001</v>
      </c>
      <c r="J3020">
        <v>-492.50560000000002</v>
      </c>
      <c r="K3020">
        <v>1.11537</v>
      </c>
      <c r="L3020">
        <v>260.5258</v>
      </c>
      <c r="M3020">
        <v>-8.875458E-2</v>
      </c>
      <c r="N3020">
        <v>0</v>
      </c>
      <c r="O3020">
        <v>-0.99595460000000002</v>
      </c>
      <c r="P3020">
        <v>-1.559085E-2</v>
      </c>
      <c r="Q3020">
        <v>9.5544110000000002E-2</v>
      </c>
      <c r="R3020">
        <v>-0.9953033</v>
      </c>
      <c r="S3020">
        <v>0.30349730000000003</v>
      </c>
      <c r="T3020">
        <v>-0.31728329999999999</v>
      </c>
      <c r="U3020">
        <v>-3.0508120000000001</v>
      </c>
      <c r="V3020">
        <v>-7.4202939999999995E-2</v>
      </c>
      <c r="W3020">
        <v>0.108554</v>
      </c>
      <c r="X3020">
        <v>0.99131729999999996</v>
      </c>
      <c r="Y3020">
        <v>-0.18640960000000001</v>
      </c>
      <c r="Z3020">
        <v>0.1016734</v>
      </c>
      <c r="AA3020">
        <v>0.97719699999999998</v>
      </c>
      <c r="AB3020">
        <v>28</v>
      </c>
      <c r="AC3020">
        <v>1.08030000000002</v>
      </c>
      <c r="AD3020">
        <v>-1.1153705531201901</v>
      </c>
      <c r="AE3020">
        <v>-10.5313999999999</v>
      </c>
      <c r="AF3020">
        <v>-1.9887627513273201</v>
      </c>
      <c r="AG3020">
        <v>-1.1153705531201901</v>
      </c>
      <c r="AH3020">
        <v>10.279833449915399</v>
      </c>
      <c r="AI3020">
        <v>96.080538873346697</v>
      </c>
      <c r="AJ3020">
        <v>100.949321825807</v>
      </c>
      <c r="AK3020">
        <v>10.5296820706911</v>
      </c>
      <c r="AL3020">
        <v>83.768033397798405</v>
      </c>
      <c r="AM3020">
        <v>94.280770175409401</v>
      </c>
      <c r="AN3020">
        <v>1.00000001824996</v>
      </c>
    </row>
    <row r="3021" spans="1:40" x14ac:dyDescent="0.25">
      <c r="A3021" t="str">
        <f>"20190312164046083"</f>
        <v>20190312164046083</v>
      </c>
      <c r="B3021" t="str">
        <f>"1552380046078925"</f>
        <v>1552380046078925</v>
      </c>
      <c r="C3021" t="s">
        <v>40</v>
      </c>
      <c r="D3021">
        <v>5.8963260000000002</v>
      </c>
      <c r="E3021">
        <v>0.46305410000000002</v>
      </c>
      <c r="F3021" t="s">
        <v>41</v>
      </c>
      <c r="G3021">
        <v>-491.43729999999999</v>
      </c>
      <c r="H3021" s="1">
        <v>-5.328183E-7</v>
      </c>
      <c r="I3021">
        <v>249.93969999999999</v>
      </c>
      <c r="J3021">
        <v>-492.5147</v>
      </c>
      <c r="K3021">
        <v>1.1152310000000001</v>
      </c>
      <c r="L3021">
        <v>260.38549999999998</v>
      </c>
      <c r="M3021">
        <v>-8.5528229999999997E-2</v>
      </c>
      <c r="N3021">
        <v>0</v>
      </c>
      <c r="O3021">
        <v>-0.99623689999999998</v>
      </c>
      <c r="P3021">
        <v>-1.3719169999999999E-2</v>
      </c>
      <c r="Q3021">
        <v>9.5187309999999997E-2</v>
      </c>
      <c r="R3021">
        <v>-0.99536480000000005</v>
      </c>
      <c r="S3021">
        <v>0.30776979999999998</v>
      </c>
      <c r="T3021">
        <v>-0.32133630000000002</v>
      </c>
      <c r="U3021">
        <v>-3.0498349999999999</v>
      </c>
      <c r="V3021">
        <v>-7.2816270000000002E-2</v>
      </c>
      <c r="W3021">
        <v>0.1082212</v>
      </c>
      <c r="X3021">
        <v>0.99145649999999996</v>
      </c>
      <c r="Y3021">
        <v>-0.1845996</v>
      </c>
      <c r="Z3021">
        <v>0.1030456</v>
      </c>
      <c r="AA3021">
        <v>0.97739679999999995</v>
      </c>
      <c r="AB3021">
        <v>28</v>
      </c>
      <c r="AC3021">
        <v>1.0774000000000099</v>
      </c>
      <c r="AD3021">
        <v>-1.11523153281829</v>
      </c>
      <c r="AE3021">
        <v>-10.445799999999901</v>
      </c>
      <c r="AF3021">
        <v>-1.94501332466513</v>
      </c>
      <c r="AG3021">
        <v>-1.11523153281829</v>
      </c>
      <c r="AH3021">
        <v>10.2003150618118</v>
      </c>
      <c r="AI3021">
        <v>96.129956467779706</v>
      </c>
      <c r="AJ3021">
        <v>100.795659520898</v>
      </c>
      <c r="AK3021">
        <v>10.443813746191701</v>
      </c>
      <c r="AL3021">
        <v>83.787214409668806</v>
      </c>
      <c r="AM3021">
        <v>94.200474540902405</v>
      </c>
      <c r="AN3021">
        <v>1.0000000143492001</v>
      </c>
    </row>
    <row r="3022" spans="1:40" x14ac:dyDescent="0.25">
      <c r="A3022" t="str">
        <f>"20190312164046095"</f>
        <v>20190312164046095</v>
      </c>
      <c r="B3022" t="str">
        <f>"1552380046088685"</f>
        <v>1552380046088685</v>
      </c>
      <c r="C3022" t="s">
        <v>40</v>
      </c>
      <c r="D3022">
        <v>5.6978600000000004</v>
      </c>
      <c r="E3022">
        <v>0.46313480000000001</v>
      </c>
      <c r="F3022" t="s">
        <v>41</v>
      </c>
      <c r="G3022">
        <v>-491.43509999999998</v>
      </c>
      <c r="H3022" s="1">
        <v>-4.8706289999999995E-7</v>
      </c>
      <c r="I3022">
        <v>249.83439999999999</v>
      </c>
      <c r="J3022">
        <v>-492.52420000000001</v>
      </c>
      <c r="K3022">
        <v>1.1150789999999999</v>
      </c>
      <c r="L3022">
        <v>260.23410000000001</v>
      </c>
      <c r="M3022">
        <v>-8.2140439999999995E-2</v>
      </c>
      <c r="N3022">
        <v>0</v>
      </c>
      <c r="O3022">
        <v>-0.99652240000000003</v>
      </c>
      <c r="P3022">
        <v>-1.197082E-2</v>
      </c>
      <c r="Q3022">
        <v>9.4949930000000002E-2</v>
      </c>
      <c r="R3022">
        <v>-0.99541029999999997</v>
      </c>
      <c r="S3022">
        <v>0.31198120000000001</v>
      </c>
      <c r="T3022">
        <v>-0.32228309999999999</v>
      </c>
      <c r="U3022">
        <v>-3.0491030000000001</v>
      </c>
      <c r="V3022">
        <v>-7.1142330000000004E-2</v>
      </c>
      <c r="W3022">
        <v>0.1080112</v>
      </c>
      <c r="X3022">
        <v>0.99160090000000001</v>
      </c>
      <c r="Y3022">
        <v>-0.18261379999999999</v>
      </c>
      <c r="Z3022">
        <v>0.10342750000000001</v>
      </c>
      <c r="AA3022">
        <v>0.97772950000000003</v>
      </c>
      <c r="AB3022">
        <v>28</v>
      </c>
      <c r="AC3022">
        <v>1.0891000000000299</v>
      </c>
      <c r="AD3022">
        <v>-1.1150794870628999</v>
      </c>
      <c r="AE3022">
        <v>-10.399699999999999</v>
      </c>
      <c r="AF3022">
        <v>-1.9179281513930999</v>
      </c>
      <c r="AG3022">
        <v>-1.1150794870628999</v>
      </c>
      <c r="AH3022">
        <v>10.159548776757999</v>
      </c>
      <c r="AI3022">
        <v>96.155658658028599</v>
      </c>
      <c r="AJ3022">
        <v>100.690533139256</v>
      </c>
      <c r="AK3022">
        <v>10.398955813143001</v>
      </c>
      <c r="AL3022">
        <v>83.799317364274899</v>
      </c>
      <c r="AM3022">
        <v>94.103649963185603</v>
      </c>
      <c r="AN3022">
        <v>0.99999999766203895</v>
      </c>
    </row>
    <row r="3023" spans="1:40" x14ac:dyDescent="0.25">
      <c r="A3023" t="str">
        <f>"20190312164046108"</f>
        <v>20190312164046108</v>
      </c>
      <c r="B3023" t="str">
        <f>"1552380046099421"</f>
        <v>1552380046099421</v>
      </c>
      <c r="C3023" t="s">
        <v>40</v>
      </c>
      <c r="D3023">
        <v>5.7062910000000002</v>
      </c>
      <c r="E3023">
        <v>0.46307140000000002</v>
      </c>
      <c r="F3023" t="s">
        <v>41</v>
      </c>
      <c r="G3023">
        <v>-491.43270000000001</v>
      </c>
      <c r="H3023" s="1">
        <v>-4.3661959999999998E-7</v>
      </c>
      <c r="I3023">
        <v>249.7183</v>
      </c>
      <c r="J3023">
        <v>-492.5335</v>
      </c>
      <c r="K3023">
        <v>1.114916</v>
      </c>
      <c r="L3023">
        <v>260.07510000000002</v>
      </c>
      <c r="M3023">
        <v>-7.8734239999999997E-2</v>
      </c>
      <c r="N3023">
        <v>0</v>
      </c>
      <c r="O3023">
        <v>-0.99679739999999994</v>
      </c>
      <c r="P3023">
        <v>-9.9108549999999997E-3</v>
      </c>
      <c r="Q3023">
        <v>9.4811099999999995E-2</v>
      </c>
      <c r="R3023">
        <v>-0.9954461</v>
      </c>
      <c r="S3023">
        <v>0.31640629999999997</v>
      </c>
      <c r="T3023">
        <v>-0.32325720000000002</v>
      </c>
      <c r="U3023">
        <v>-3.048492</v>
      </c>
      <c r="V3023">
        <v>-6.9759160000000001E-2</v>
      </c>
      <c r="W3023">
        <v>0.10789550000000001</v>
      </c>
      <c r="X3023">
        <v>0.99171169999999997</v>
      </c>
      <c r="Y3023">
        <v>-0.180674</v>
      </c>
      <c r="Z3023">
        <v>0.10381170000000001</v>
      </c>
      <c r="AA3023">
        <v>0.9780491</v>
      </c>
      <c r="AB3023">
        <v>28</v>
      </c>
      <c r="AC3023">
        <v>1.10079999999999</v>
      </c>
      <c r="AD3023">
        <v>-1.1149164366196</v>
      </c>
      <c r="AE3023">
        <v>-10.3568</v>
      </c>
      <c r="AF3023">
        <v>-1.89122475341494</v>
      </c>
      <c r="AG3023">
        <v>-1.1149164366196</v>
      </c>
      <c r="AH3023">
        <v>10.1219734998328</v>
      </c>
      <c r="AI3023">
        <v>96.1795918728955</v>
      </c>
      <c r="AJ3023">
        <v>100.583312654007</v>
      </c>
      <c r="AK3023">
        <v>10.3573219154322</v>
      </c>
      <c r="AL3023">
        <v>83.8059850812121</v>
      </c>
      <c r="AM3023">
        <v>94.023682179128599</v>
      </c>
      <c r="AN3023">
        <v>0.99999993762051997</v>
      </c>
    </row>
    <row r="3024" spans="1:40" x14ac:dyDescent="0.25">
      <c r="A3024" t="str">
        <f>"20190312164046119"</f>
        <v>20190312164046119</v>
      </c>
      <c r="B3024" t="str">
        <f>"1552380046109181"</f>
        <v>1552380046109181</v>
      </c>
      <c r="C3024" t="s">
        <v>40</v>
      </c>
      <c r="D3024">
        <v>5.6727400000000001</v>
      </c>
      <c r="E3024">
        <v>0.4630823</v>
      </c>
      <c r="F3024" t="s">
        <v>41</v>
      </c>
      <c r="G3024">
        <v>-491.42919999999998</v>
      </c>
      <c r="H3024" s="1">
        <v>-4.0830620000000001E-7</v>
      </c>
      <c r="I3024">
        <v>249.65440000000001</v>
      </c>
      <c r="J3024">
        <v>-492.54140000000001</v>
      </c>
      <c r="K3024">
        <v>1.114778</v>
      </c>
      <c r="L3024">
        <v>259.93860000000001</v>
      </c>
      <c r="M3024">
        <v>-7.5862470000000001E-2</v>
      </c>
      <c r="N3024">
        <v>0</v>
      </c>
      <c r="O3024">
        <v>-0.99702040000000003</v>
      </c>
      <c r="P3024">
        <v>-8.4137180000000006E-3</v>
      </c>
      <c r="Q3024">
        <v>9.5065819999999995E-2</v>
      </c>
      <c r="R3024">
        <v>-0.99543550000000003</v>
      </c>
      <c r="S3024">
        <v>0.32299800000000001</v>
      </c>
      <c r="T3024">
        <v>-0.32610939999999999</v>
      </c>
      <c r="U3024">
        <v>-3.0480040000000002</v>
      </c>
      <c r="V3024">
        <v>-6.8355399999999997E-2</v>
      </c>
      <c r="W3024">
        <v>0.1081719</v>
      </c>
      <c r="X3024">
        <v>0.99177939999999998</v>
      </c>
      <c r="Y3024">
        <v>-0.17993889999999901</v>
      </c>
      <c r="Z3024">
        <v>0.10476489999999999</v>
      </c>
      <c r="AA3024">
        <v>0.97808300000000004</v>
      </c>
      <c r="AB3024">
        <v>28</v>
      </c>
      <c r="AC3024">
        <v>1.1122000000000201</v>
      </c>
      <c r="AD3024">
        <v>-1.1147784083062</v>
      </c>
      <c r="AE3024">
        <v>-10.284199999999901</v>
      </c>
      <c r="AF3024">
        <v>-1.8675651904944901</v>
      </c>
      <c r="AG3024">
        <v>-1.1147784083062</v>
      </c>
      <c r="AH3024">
        <v>10.0534141309665</v>
      </c>
      <c r="AI3024">
        <v>96.221839528809198</v>
      </c>
      <c r="AJ3024">
        <v>100.523552990303</v>
      </c>
      <c r="AK3024">
        <v>10.2859936967261</v>
      </c>
      <c r="AL3024">
        <v>83.790055678896195</v>
      </c>
      <c r="AM3024">
        <v>93.942703531377305</v>
      </c>
      <c r="AN3024">
        <v>0.99999999946156404</v>
      </c>
    </row>
    <row r="3025" spans="1:40" x14ac:dyDescent="0.25">
      <c r="A3025" t="str">
        <f>"20190312164046131"</f>
        <v>20190312164046131</v>
      </c>
      <c r="B3025" t="str">
        <f>"1552380046128701"</f>
        <v>1552380046128701</v>
      </c>
      <c r="C3025" t="s">
        <v>40</v>
      </c>
      <c r="D3025">
        <v>5.7820070000000001</v>
      </c>
      <c r="E3025">
        <v>0.46341120000000002</v>
      </c>
      <c r="F3025" t="s">
        <v>41</v>
      </c>
      <c r="G3025">
        <v>-491.42340000000002</v>
      </c>
      <c r="H3025" s="1">
        <v>-4.5195459999999997E-6</v>
      </c>
      <c r="I3025">
        <v>249.5257</v>
      </c>
      <c r="J3025">
        <v>-492.54969999999997</v>
      </c>
      <c r="K3025">
        <v>1.1146180000000001</v>
      </c>
      <c r="L3025">
        <v>259.78359999999998</v>
      </c>
      <c r="M3025">
        <v>-7.2753109999999996E-2</v>
      </c>
      <c r="N3025">
        <v>0</v>
      </c>
      <c r="O3025">
        <v>-0.99725229999999998</v>
      </c>
      <c r="P3025">
        <v>-6.6067929999999997E-3</v>
      </c>
      <c r="Q3025">
        <v>9.5580120000000005E-2</v>
      </c>
      <c r="R3025">
        <v>-0.99539979999999995</v>
      </c>
      <c r="S3025">
        <v>0.32720949999999999</v>
      </c>
      <c r="T3025">
        <v>-0.32627640000000002</v>
      </c>
      <c r="U3025">
        <v>-3.0476679999999998</v>
      </c>
      <c r="V3025">
        <v>-6.7020140000000006E-2</v>
      </c>
      <c r="W3025">
        <v>0.1087061</v>
      </c>
      <c r="X3025">
        <v>0.99181209999999997</v>
      </c>
      <c r="Y3025">
        <v>-0.1782183</v>
      </c>
      <c r="Z3025">
        <v>0.1048753</v>
      </c>
      <c r="AA3025">
        <v>0.97838610000000004</v>
      </c>
      <c r="AB3025">
        <v>28</v>
      </c>
      <c r="AC3025">
        <v>1.1262999999999499</v>
      </c>
      <c r="AD3025">
        <v>-1.114622519546</v>
      </c>
      <c r="AE3025">
        <v>-10.2578999999999</v>
      </c>
      <c r="AF3025">
        <v>-1.8481207523768599</v>
      </c>
      <c r="AG3025">
        <v>-1.114622519546</v>
      </c>
      <c r="AH3025">
        <v>10.031727796712399</v>
      </c>
      <c r="AI3025">
        <v>96.236019277088502</v>
      </c>
      <c r="AJ3025">
        <v>100.43841937404</v>
      </c>
      <c r="AK3025">
        <v>10.261261923554001</v>
      </c>
      <c r="AL3025">
        <v>83.759266582605406</v>
      </c>
      <c r="AM3025">
        <v>93.865795218845605</v>
      </c>
      <c r="AN3025">
        <v>0.99999997852461897</v>
      </c>
    </row>
    <row r="3026" spans="1:40" x14ac:dyDescent="0.25">
      <c r="A3026" t="str">
        <f>"20190312164046145"</f>
        <v>20190312164046145</v>
      </c>
      <c r="B3026" t="str">
        <f>"1552380046139436"</f>
        <v>1552380046139436</v>
      </c>
      <c r="C3026" t="s">
        <v>40</v>
      </c>
      <c r="D3026">
        <v>5.7223139999999999</v>
      </c>
      <c r="E3026">
        <v>0.46358169999999999</v>
      </c>
      <c r="F3026" t="s">
        <v>41</v>
      </c>
      <c r="G3026">
        <v>-491.4119</v>
      </c>
      <c r="H3026" s="1">
        <v>-4.4321689999999999E-6</v>
      </c>
      <c r="I3026">
        <v>249.2749</v>
      </c>
      <c r="J3026">
        <v>-492.55799999999999</v>
      </c>
      <c r="K3026">
        <v>1.1144590000000001</v>
      </c>
      <c r="L3026">
        <v>259.62360000000001</v>
      </c>
      <c r="M3026">
        <v>-6.963743E-2</v>
      </c>
      <c r="N3026">
        <v>0</v>
      </c>
      <c r="O3026">
        <v>-0.99747520000000001</v>
      </c>
      <c r="P3026">
        <v>-4.5543780000000004E-3</v>
      </c>
      <c r="Q3026">
        <v>9.5952750000000003E-2</v>
      </c>
      <c r="R3026">
        <v>-0.99537569999999997</v>
      </c>
      <c r="S3026">
        <v>0.32992549999999998</v>
      </c>
      <c r="T3026">
        <v>-0.32319930000000002</v>
      </c>
      <c r="U3026">
        <v>-3.0471189999999999</v>
      </c>
      <c r="V3026">
        <v>-6.5922899999999895E-2</v>
      </c>
      <c r="W3026">
        <v>0.1090957</v>
      </c>
      <c r="X3026">
        <v>0.99184289999999997</v>
      </c>
      <c r="Y3026">
        <v>-0.17603579999999999</v>
      </c>
      <c r="Z3026">
        <v>0.1039665</v>
      </c>
      <c r="AA3026">
        <v>0.97887809999999997</v>
      </c>
      <c r="AB3026">
        <v>28</v>
      </c>
      <c r="AC3026">
        <v>1.1461000000000401</v>
      </c>
      <c r="AD3026">
        <v>-1.1144634321689999</v>
      </c>
      <c r="AE3026">
        <v>-10.348699999999999</v>
      </c>
      <c r="AF3026">
        <v>-1.8429296883796999</v>
      </c>
      <c r="AG3026">
        <v>-1.1144634321689999</v>
      </c>
      <c r="AH3026">
        <v>10.1277211623587</v>
      </c>
      <c r="AI3026">
        <v>96.178949735267196</v>
      </c>
      <c r="AJ3026">
        <v>100.31320218964299</v>
      </c>
      <c r="AK3026">
        <v>10.354185362472601</v>
      </c>
      <c r="AL3026">
        <v>83.736810848749499</v>
      </c>
      <c r="AM3026">
        <v>93.802574704123003</v>
      </c>
      <c r="AN3026">
        <v>1.0000000193916501</v>
      </c>
    </row>
    <row r="3027" spans="1:40" x14ac:dyDescent="0.25">
      <c r="A3027" t="str">
        <f>"20190312164046162"</f>
        <v>20190312164046162</v>
      </c>
      <c r="B3027" t="str">
        <f>"1552380046158957"</f>
        <v>1552380046158957</v>
      </c>
      <c r="C3027" t="s">
        <v>40</v>
      </c>
      <c r="D3027">
        <v>5.6074149999999996</v>
      </c>
      <c r="E3027">
        <v>0.46358169999999999</v>
      </c>
      <c r="F3027" t="s">
        <v>41</v>
      </c>
      <c r="G3027">
        <v>-491.40039999999999</v>
      </c>
      <c r="H3027" s="1">
        <v>-4.358005E-6</v>
      </c>
      <c r="I3027">
        <v>249.06299999999999</v>
      </c>
      <c r="J3027">
        <v>-492.5686</v>
      </c>
      <c r="K3027">
        <v>1.114244</v>
      </c>
      <c r="L3027">
        <v>259.41050000000001</v>
      </c>
      <c r="M3027">
        <v>-6.5647129999999998E-2</v>
      </c>
      <c r="N3027">
        <v>0</v>
      </c>
      <c r="O3027">
        <v>-0.99774620000000003</v>
      </c>
      <c r="P3027">
        <v>-2.2737299999999998E-3</v>
      </c>
      <c r="Q3027">
        <v>9.5241599999999996E-2</v>
      </c>
      <c r="R3027">
        <v>-0.99545189999999995</v>
      </c>
      <c r="S3027">
        <v>0.33395390000000003</v>
      </c>
      <c r="T3027">
        <v>-0.32149060000000002</v>
      </c>
      <c r="U3027">
        <v>-3.0464169999999999</v>
      </c>
      <c r="V3027">
        <v>-6.4167340000000003E-2</v>
      </c>
      <c r="W3027">
        <v>0.1084098</v>
      </c>
      <c r="X3027">
        <v>0.99203319999999995</v>
      </c>
      <c r="Y3027">
        <v>-0.17340720000000001</v>
      </c>
      <c r="Z3027">
        <v>0.1035059</v>
      </c>
      <c r="AA3027">
        <v>0.97939600000000004</v>
      </c>
      <c r="AB3027">
        <v>28</v>
      </c>
      <c r="AC3027">
        <v>1.1682000000000099</v>
      </c>
      <c r="AD3027">
        <v>-1.114248358005</v>
      </c>
      <c r="AE3027">
        <v>-10.3475</v>
      </c>
      <c r="AF3027">
        <v>-1.82414299527734</v>
      </c>
      <c r="AG3027">
        <v>-1.114248358005</v>
      </c>
      <c r="AH3027">
        <v>10.1324654025659</v>
      </c>
      <c r="AI3027">
        <v>96.176979149865005</v>
      </c>
      <c r="AJ3027">
        <v>100.20561261992199</v>
      </c>
      <c r="AK3027">
        <v>10.3554769182655</v>
      </c>
      <c r="AL3027">
        <v>83.776344390364002</v>
      </c>
      <c r="AM3027">
        <v>93.700887500268607</v>
      </c>
      <c r="AN3027">
        <v>1.0000000010804699</v>
      </c>
    </row>
    <row r="3028" spans="1:40" x14ac:dyDescent="0.25">
      <c r="A3028" t="str">
        <f>"20190312164046175"</f>
        <v>20190312164046175</v>
      </c>
      <c r="B3028" t="str">
        <f>"1552380046168717"</f>
        <v>1552380046168717</v>
      </c>
      <c r="C3028" t="s">
        <v>40</v>
      </c>
      <c r="D3028">
        <v>5.7559180000000003</v>
      </c>
      <c r="E3028">
        <v>0.46373189999999997</v>
      </c>
      <c r="F3028" t="s">
        <v>41</v>
      </c>
      <c r="G3028">
        <v>-491.39760000000001</v>
      </c>
      <c r="H3028" s="1">
        <v>-4.3129949999999997E-6</v>
      </c>
      <c r="I3028">
        <v>248.93219999999999</v>
      </c>
      <c r="J3028">
        <v>-492.5763</v>
      </c>
      <c r="K3028">
        <v>1.1140890000000001</v>
      </c>
      <c r="L3028">
        <v>259.24529999999999</v>
      </c>
      <c r="M3028">
        <v>-6.2683429999999998E-2</v>
      </c>
      <c r="N3028">
        <v>0</v>
      </c>
      <c r="O3028">
        <v>-0.99793710000000002</v>
      </c>
      <c r="P3028">
        <v>1.3491189999999999E-4</v>
      </c>
      <c r="Q3028">
        <v>9.4036110000000006E-2</v>
      </c>
      <c r="R3028">
        <v>-0.99556900000000004</v>
      </c>
      <c r="S3028">
        <v>0.34033200000000002</v>
      </c>
      <c r="T3028">
        <v>-0.32384790000000002</v>
      </c>
      <c r="U3028">
        <v>-3.0454409999999998</v>
      </c>
      <c r="V3028">
        <v>-6.3575800000000002E-2</v>
      </c>
      <c r="W3028">
        <v>0.1072152</v>
      </c>
      <c r="X3028">
        <v>0.99220109999999995</v>
      </c>
      <c r="Y3028">
        <v>-0.17253350000000001</v>
      </c>
      <c r="Z3028">
        <v>0.1043157</v>
      </c>
      <c r="AA3028">
        <v>0.97946440000000001</v>
      </c>
      <c r="AB3028">
        <v>28</v>
      </c>
      <c r="AC3028">
        <v>1.1786999999999901</v>
      </c>
      <c r="AD3028">
        <v>-1.1140933129949999</v>
      </c>
      <c r="AE3028">
        <v>-10.313099999999899</v>
      </c>
      <c r="AF3028">
        <v>-1.80214469503776</v>
      </c>
      <c r="AG3028">
        <v>-1.1140933129949999</v>
      </c>
      <c r="AH3028">
        <v>10.1025480031327</v>
      </c>
      <c r="AI3028">
        <v>96.196029155646102</v>
      </c>
      <c r="AJ3028">
        <v>100.114329013247</v>
      </c>
      <c r="AK3028">
        <v>10.3223255891061</v>
      </c>
      <c r="AL3028">
        <v>83.845191230670395</v>
      </c>
      <c r="AM3028">
        <v>93.666244798966005</v>
      </c>
      <c r="AN3028">
        <v>1.0000000021489399</v>
      </c>
    </row>
    <row r="3029" spans="1:40" x14ac:dyDescent="0.25">
      <c r="A3029" t="str">
        <f>"20190312164046188"</f>
        <v>20190312164046188</v>
      </c>
      <c r="B3029" t="str">
        <f>"1552380046179454"</f>
        <v>1552380046179454</v>
      </c>
      <c r="C3029" t="s">
        <v>40</v>
      </c>
      <c r="D3029">
        <v>5.8841599999999996</v>
      </c>
      <c r="E3029">
        <v>0.46389770000000002</v>
      </c>
      <c r="F3029" t="s">
        <v>41</v>
      </c>
      <c r="G3029">
        <v>-491.39670000000001</v>
      </c>
      <c r="H3029" s="1">
        <v>-4.293965E-6</v>
      </c>
      <c r="I3029">
        <v>248.8768</v>
      </c>
      <c r="J3029">
        <v>-492.58280000000002</v>
      </c>
      <c r="K3029">
        <v>1.1139509999999999</v>
      </c>
      <c r="L3029">
        <v>259.09539999999998</v>
      </c>
      <c r="M3029">
        <v>-6.0108759999999997E-2</v>
      </c>
      <c r="N3029">
        <v>0</v>
      </c>
      <c r="O3029">
        <v>-0.99809559999999997</v>
      </c>
      <c r="P3029">
        <v>1.4895869999999999E-3</v>
      </c>
      <c r="Q3029">
        <v>9.2152479999999995E-2</v>
      </c>
      <c r="R3029">
        <v>-0.99574359999999995</v>
      </c>
      <c r="S3029">
        <v>0.3463135</v>
      </c>
      <c r="T3029">
        <v>-0.3270922</v>
      </c>
      <c r="U3029">
        <v>-3.0441590000000001</v>
      </c>
      <c r="V3029">
        <v>-6.2324070000000002E-2</v>
      </c>
      <c r="W3029">
        <v>0.1053481</v>
      </c>
      <c r="X3029">
        <v>0.99248049999999999</v>
      </c>
      <c r="Y3029">
        <v>-0.17192560000000001</v>
      </c>
      <c r="Z3029">
        <v>0.10541209999999999</v>
      </c>
      <c r="AA3029">
        <v>0.97945389999999999</v>
      </c>
      <c r="AB3029">
        <v>28</v>
      </c>
      <c r="AC3029">
        <v>1.1861000000000099</v>
      </c>
      <c r="AD3029">
        <v>-1.1139552939649999</v>
      </c>
      <c r="AE3029">
        <v>-10.218599999999901</v>
      </c>
      <c r="AF3029">
        <v>-1.77739995849662</v>
      </c>
      <c r="AG3029">
        <v>-1.1139552939649999</v>
      </c>
      <c r="AH3029">
        <v>10.011426196518601</v>
      </c>
      <c r="AI3029">
        <v>96.252118337754396</v>
      </c>
      <c r="AJ3029">
        <v>100.067232221005</v>
      </c>
      <c r="AK3029">
        <v>10.228817209128101</v>
      </c>
      <c r="AL3029">
        <v>83.952777711683495</v>
      </c>
      <c r="AM3029">
        <v>93.593242834306196</v>
      </c>
      <c r="AN3029">
        <v>1.00000002737761</v>
      </c>
    </row>
    <row r="3030" spans="1:40" x14ac:dyDescent="0.25">
      <c r="A3030" t="str">
        <f>"20190312164046204"</f>
        <v>20190312164046204</v>
      </c>
      <c r="B3030" t="str">
        <f>"1552380046198975"</f>
        <v>1552380046198975</v>
      </c>
      <c r="C3030" t="s">
        <v>40</v>
      </c>
      <c r="D3030">
        <v>5.7220469999999999</v>
      </c>
      <c r="E3030">
        <v>0.46404529999999999</v>
      </c>
      <c r="F3030" t="s">
        <v>41</v>
      </c>
      <c r="G3030">
        <v>-491.41829999999999</v>
      </c>
      <c r="H3030" s="1">
        <v>-4.3099960000000001E-6</v>
      </c>
      <c r="I3030">
        <v>248.9126</v>
      </c>
      <c r="J3030">
        <v>-492.59030000000001</v>
      </c>
      <c r="K3030">
        <v>1.113802</v>
      </c>
      <c r="L3030">
        <v>258.9169</v>
      </c>
      <c r="M3030">
        <v>-5.7125710000000003E-2</v>
      </c>
      <c r="N3030">
        <v>0</v>
      </c>
      <c r="O3030">
        <v>-0.99827120000000003</v>
      </c>
      <c r="P3030">
        <v>4.7921650000000001E-3</v>
      </c>
      <c r="Q3030">
        <v>9.0387200000000001E-2</v>
      </c>
      <c r="R3030">
        <v>-0.99589559999999999</v>
      </c>
      <c r="S3030">
        <v>0.34802250000000001</v>
      </c>
      <c r="T3030">
        <v>-0.33291179999999998</v>
      </c>
      <c r="U3030">
        <v>-3.0431819999999998</v>
      </c>
      <c r="V3030">
        <v>-6.2605499999999994E-2</v>
      </c>
      <c r="W3030">
        <v>0.1035835</v>
      </c>
      <c r="X3030">
        <v>0.99264850000000004</v>
      </c>
      <c r="Y3030">
        <v>-0.169536299999999</v>
      </c>
      <c r="Z3030">
        <v>0.1073471</v>
      </c>
      <c r="AA3030">
        <v>0.97966019999999998</v>
      </c>
      <c r="AB3030">
        <v>28</v>
      </c>
      <c r="AC3030">
        <v>1.1720000000000199</v>
      </c>
      <c r="AD3030">
        <v>-1.1138063099959901</v>
      </c>
      <c r="AE3030">
        <v>-10.004300000000001</v>
      </c>
      <c r="AF3030">
        <v>-1.7206050105367401</v>
      </c>
      <c r="AG3030">
        <v>-1.1138063099959901</v>
      </c>
      <c r="AH3030">
        <v>9.8011615126817802</v>
      </c>
      <c r="AI3030">
        <v>96.386455297965199</v>
      </c>
      <c r="AJ3030">
        <v>99.956881916866493</v>
      </c>
      <c r="AK3030">
        <v>10.0131819665951</v>
      </c>
      <c r="AL3030">
        <v>84.054438031995204</v>
      </c>
      <c r="AM3030">
        <v>93.608816390948405</v>
      </c>
      <c r="AN3030">
        <v>1.00000001732737</v>
      </c>
    </row>
    <row r="3031" spans="1:40" x14ac:dyDescent="0.25">
      <c r="A3031" t="str">
        <f>"20190312164046219"</f>
        <v>20190312164046219</v>
      </c>
      <c r="B3031" t="str">
        <f>"1552380046208732"</f>
        <v>1552380046208732</v>
      </c>
      <c r="C3031" t="s">
        <v>40</v>
      </c>
      <c r="D3031">
        <v>5.6984729999999999</v>
      </c>
      <c r="E3031">
        <v>0.46405990000000003</v>
      </c>
      <c r="F3031" t="s">
        <v>41</v>
      </c>
      <c r="G3031">
        <v>-491.42380000000003</v>
      </c>
      <c r="H3031" s="1">
        <v>-4.3235729999999999E-6</v>
      </c>
      <c r="I3031">
        <v>248.9496</v>
      </c>
      <c r="J3031">
        <v>-492.59859999999998</v>
      </c>
      <c r="K3031">
        <v>1.1136269999999999</v>
      </c>
      <c r="L3031">
        <v>258.7097</v>
      </c>
      <c r="M3031">
        <v>-5.3813569999999998E-2</v>
      </c>
      <c r="N3031">
        <v>0</v>
      </c>
      <c r="O3031">
        <v>-0.99845539999999999</v>
      </c>
      <c r="P3031">
        <v>8.3594710000000003E-3</v>
      </c>
      <c r="Q3031">
        <v>8.8256520000000005E-2</v>
      </c>
      <c r="R3031">
        <v>-0.99606280000000003</v>
      </c>
      <c r="S3031">
        <v>0.35595700000000002</v>
      </c>
      <c r="T3031">
        <v>-0.33987699999999998</v>
      </c>
      <c r="U3031">
        <v>-3.0415040000000002</v>
      </c>
      <c r="V3031">
        <v>-6.2819100000000003E-2</v>
      </c>
      <c r="W3031">
        <v>0.1014552</v>
      </c>
      <c r="X3031">
        <v>0.99285480000000004</v>
      </c>
      <c r="Y3031">
        <v>-0.1688211</v>
      </c>
      <c r="Z3031">
        <v>0.1096463</v>
      </c>
      <c r="AA3031">
        <v>0.97952899999999998</v>
      </c>
      <c r="AB3031">
        <v>28</v>
      </c>
      <c r="AC3031">
        <v>1.1747999999999399</v>
      </c>
      <c r="AD3031">
        <v>-1.113631323573</v>
      </c>
      <c r="AE3031">
        <v>-9.7600999999999907</v>
      </c>
      <c r="AF3031">
        <v>-1.67685433184526</v>
      </c>
      <c r="AG3031">
        <v>-1.113631323573</v>
      </c>
      <c r="AH3031">
        <v>9.5600448998844101</v>
      </c>
      <c r="AI3031">
        <v>96.545293621243601</v>
      </c>
      <c r="AJ3031">
        <v>99.948611859828404</v>
      </c>
      <c r="AK3031">
        <v>9.7696711133424099</v>
      </c>
      <c r="AL3031">
        <v>84.177026626401798</v>
      </c>
      <c r="AM3031">
        <v>93.620345985998398</v>
      </c>
      <c r="AN3031">
        <v>1.0000000254074399</v>
      </c>
    </row>
    <row r="3032" spans="1:40" x14ac:dyDescent="0.25">
      <c r="A3032" t="str">
        <f>"20190312164046235"</f>
        <v>20190312164046235</v>
      </c>
      <c r="B3032" t="str">
        <f>"1552380046229229"</f>
        <v>1552380046229229</v>
      </c>
      <c r="C3032" t="s">
        <v>40</v>
      </c>
      <c r="D3032">
        <v>5.7005220000000003</v>
      </c>
      <c r="E3032">
        <v>0.4640859</v>
      </c>
      <c r="F3032" t="s">
        <v>41</v>
      </c>
      <c r="G3032">
        <v>-491.42739999999998</v>
      </c>
      <c r="H3032" s="1">
        <v>-4.3332209999999901E-6</v>
      </c>
      <c r="I3032">
        <v>248.9761</v>
      </c>
      <c r="J3032">
        <v>-492.60570000000001</v>
      </c>
      <c r="K3032">
        <v>1.11348</v>
      </c>
      <c r="L3032">
        <v>258.51760000000002</v>
      </c>
      <c r="M3032">
        <v>-5.0893099999999997E-2</v>
      </c>
      <c r="N3032">
        <v>0</v>
      </c>
      <c r="O3032">
        <v>-0.99860890000000002</v>
      </c>
      <c r="P3032">
        <v>1.1328690000000001E-2</v>
      </c>
      <c r="Q3032">
        <v>8.7946940000000001E-2</v>
      </c>
      <c r="R3032">
        <v>-0.99606079999999997</v>
      </c>
      <c r="S3032">
        <v>0.36572270000000001</v>
      </c>
      <c r="T3032">
        <v>-0.34776499999999999</v>
      </c>
      <c r="U3032">
        <v>-3.0395970000000001</v>
      </c>
      <c r="V3032">
        <v>-6.2837180000000006E-2</v>
      </c>
      <c r="W3032">
        <v>0.1011464</v>
      </c>
      <c r="X3032">
        <v>0.99288509999999996</v>
      </c>
      <c r="Y3032">
        <v>-0.16907849999999999</v>
      </c>
      <c r="Z3032">
        <v>0.11223039999999899</v>
      </c>
      <c r="AA3032">
        <v>0.9791919</v>
      </c>
      <c r="AB3032">
        <v>28</v>
      </c>
      <c r="AC3032">
        <v>1.1783000000000301</v>
      </c>
      <c r="AD3032">
        <v>-1.113484333221</v>
      </c>
      <c r="AE3032">
        <v>-9.5415000000000099</v>
      </c>
      <c r="AF3032">
        <v>-1.64041080121282</v>
      </c>
      <c r="AG3032">
        <v>-1.113484333221</v>
      </c>
      <c r="AH3032">
        <v>9.3438208192495598</v>
      </c>
      <c r="AI3032">
        <v>96.694342666382298</v>
      </c>
      <c r="AJ3032">
        <v>99.957431970815506</v>
      </c>
      <c r="AK3032">
        <v>9.5518470705568692</v>
      </c>
      <c r="AL3032">
        <v>84.1948106886353</v>
      </c>
      <c r="AM3032">
        <v>93.621274967164595</v>
      </c>
      <c r="AN3032">
        <v>0.99999996361265997</v>
      </c>
    </row>
    <row r="3033" spans="1:40" x14ac:dyDescent="0.25">
      <c r="A3033" t="str">
        <f>"20190312164046252"</f>
        <v>20190312164046252</v>
      </c>
      <c r="B3033" t="str">
        <f>"1552380046248749"</f>
        <v>1552380046248749</v>
      </c>
      <c r="C3033" t="s">
        <v>40</v>
      </c>
      <c r="D3033">
        <v>5.9268390000000002</v>
      </c>
      <c r="E3033">
        <v>0.46439449999999999</v>
      </c>
      <c r="F3033" t="s">
        <v>41</v>
      </c>
      <c r="G3033">
        <v>-491.41520000000003</v>
      </c>
      <c r="H3033" s="1">
        <v>-4.2942210000000003E-6</v>
      </c>
      <c r="I3033">
        <v>248.86789999999999</v>
      </c>
      <c r="J3033">
        <v>-492.61290000000002</v>
      </c>
      <c r="K3033">
        <v>1.1133280000000001</v>
      </c>
      <c r="L3033">
        <v>258.30779999999999</v>
      </c>
      <c r="M3033">
        <v>-4.7826630000000002E-2</v>
      </c>
      <c r="N3033">
        <v>0</v>
      </c>
      <c r="O3033">
        <v>-0.99876089999999995</v>
      </c>
      <c r="P3033">
        <v>1.4336049999999999E-2</v>
      </c>
      <c r="Q3033">
        <v>8.86353E-2</v>
      </c>
      <c r="R3033">
        <v>-0.99596130000000005</v>
      </c>
      <c r="S3033">
        <v>0.37487789999999999</v>
      </c>
      <c r="T3033">
        <v>-0.35061989999999998</v>
      </c>
      <c r="U3033">
        <v>-3.0385589999999998</v>
      </c>
      <c r="V3033">
        <v>-6.2751319999999999E-2</v>
      </c>
      <c r="W3033">
        <v>0.1018351</v>
      </c>
      <c r="X3033">
        <v>0.99282009999999998</v>
      </c>
      <c r="Y3033">
        <v>-0.16898640000000001</v>
      </c>
      <c r="Z3033">
        <v>0.113184199999999</v>
      </c>
      <c r="AA3033">
        <v>0.97909800000000002</v>
      </c>
      <c r="AB3033">
        <v>28</v>
      </c>
      <c r="AC3033">
        <v>1.19769999999999</v>
      </c>
      <c r="AD3033">
        <v>-1.113332294221</v>
      </c>
      <c r="AE3033">
        <v>-9.4398999999999909</v>
      </c>
      <c r="AF3033">
        <v>-1.6255972982112299</v>
      </c>
      <c r="AG3033">
        <v>-1.113332294221</v>
      </c>
      <c r="AH3033">
        <v>9.2452476151478695</v>
      </c>
      <c r="AI3033">
        <v>96.763836900532198</v>
      </c>
      <c r="AJ3033">
        <v>99.972413903274003</v>
      </c>
      <c r="AK3033">
        <v>9.4528661705698802</v>
      </c>
      <c r="AL3033">
        <v>84.155146097698207</v>
      </c>
      <c r="AM3033">
        <v>93.616576172128006</v>
      </c>
      <c r="AN3033">
        <v>0.99999993335887905</v>
      </c>
    </row>
    <row r="3034" spans="1:40" x14ac:dyDescent="0.25">
      <c r="A3034" t="str">
        <f>"20190312164046275"</f>
        <v>20190312164046275</v>
      </c>
      <c r="B3034" t="str">
        <f>"1552380046269245"</f>
        <v>1552380046269245</v>
      </c>
      <c r="C3034" t="s">
        <v>40</v>
      </c>
      <c r="D3034">
        <v>5.7395659999999999</v>
      </c>
      <c r="E3034">
        <v>0.4646015</v>
      </c>
      <c r="F3034" t="s">
        <v>41</v>
      </c>
      <c r="G3034">
        <v>-491.38810000000001</v>
      </c>
      <c r="H3034" s="1">
        <v>-4.1959909999999997E-6</v>
      </c>
      <c r="I3034">
        <v>248.5934</v>
      </c>
      <c r="J3034">
        <v>-492.62169999999998</v>
      </c>
      <c r="K3034">
        <v>1.11314</v>
      </c>
      <c r="L3034">
        <v>258.03289999999998</v>
      </c>
      <c r="M3034">
        <v>-4.4021400000000002E-2</v>
      </c>
      <c r="N3034">
        <v>0</v>
      </c>
      <c r="O3034">
        <v>-0.99893589999999999</v>
      </c>
      <c r="P3034">
        <v>1.7553900000000001E-2</v>
      </c>
      <c r="Q3034">
        <v>8.9995290000000006E-2</v>
      </c>
      <c r="R3034">
        <v>-0.99578789999999995</v>
      </c>
      <c r="S3034">
        <v>0.38299559999999999</v>
      </c>
      <c r="T3034">
        <v>-0.34813110000000003</v>
      </c>
      <c r="U3034">
        <v>-3.0376280000000002</v>
      </c>
      <c r="V3034">
        <v>-6.2130379999999999E-2</v>
      </c>
      <c r="W3034">
        <v>0.10320169999999999</v>
      </c>
      <c r="X3034">
        <v>0.99271810000000005</v>
      </c>
      <c r="Y3034">
        <v>-0.1678557</v>
      </c>
      <c r="Z3034">
        <v>0.1124473</v>
      </c>
      <c r="AA3034">
        <v>0.97937739999999995</v>
      </c>
      <c r="AB3034">
        <v>28</v>
      </c>
      <c r="AC3034">
        <v>1.2335999999999601</v>
      </c>
      <c r="AD3034">
        <v>-1.113144195991</v>
      </c>
      <c r="AE3034">
        <v>-9.4394999999999794</v>
      </c>
      <c r="AF3034">
        <v>-1.62575496492585</v>
      </c>
      <c r="AG3034">
        <v>-1.113144195991</v>
      </c>
      <c r="AH3034">
        <v>9.2495720821651002</v>
      </c>
      <c r="AI3034">
        <v>96.759646631588197</v>
      </c>
      <c r="AJ3034">
        <v>99.968792403190804</v>
      </c>
      <c r="AK3034">
        <v>9.4571006608905996</v>
      </c>
      <c r="AL3034">
        <v>84.0764313314438</v>
      </c>
      <c r="AM3034">
        <v>93.581249798816799</v>
      </c>
      <c r="AN3034">
        <v>1.00000000053472</v>
      </c>
    </row>
    <row r="3035" spans="1:40" x14ac:dyDescent="0.25">
      <c r="A3035" t="str">
        <f>"20190312164046286"</f>
        <v>20190312164046286</v>
      </c>
      <c r="B3035" t="str">
        <f>"1552380046279005"</f>
        <v>1552380046279005</v>
      </c>
      <c r="C3035" t="s">
        <v>40</v>
      </c>
      <c r="D3035">
        <v>5.697781</v>
      </c>
      <c r="E3035">
        <v>0.46468159999999997</v>
      </c>
      <c r="F3035" t="s">
        <v>41</v>
      </c>
      <c r="G3035">
        <v>-491.34129999999999</v>
      </c>
      <c r="H3035" s="1">
        <v>-4.0253630000000001E-6</v>
      </c>
      <c r="I3035">
        <v>248.1404</v>
      </c>
      <c r="J3035">
        <v>-492.62619999999998</v>
      </c>
      <c r="K3035">
        <v>1.113027</v>
      </c>
      <c r="L3035">
        <v>257.88099999999997</v>
      </c>
      <c r="M3035">
        <v>-4.2050900000000002E-2</v>
      </c>
      <c r="N3035">
        <v>0</v>
      </c>
      <c r="O3035">
        <v>-0.99902120000000005</v>
      </c>
      <c r="P3035">
        <v>1.9052909999999999E-2</v>
      </c>
      <c r="Q3035">
        <v>9.0444250000000004E-2</v>
      </c>
      <c r="R3035">
        <v>-0.99571929999999997</v>
      </c>
      <c r="S3035">
        <v>0.39303589999999999</v>
      </c>
      <c r="T3035">
        <v>-0.34170070000000002</v>
      </c>
      <c r="U3035">
        <v>-3.0366819999999999</v>
      </c>
      <c r="V3035">
        <v>-6.1637039999999997E-2</v>
      </c>
      <c r="W3035">
        <v>0.103656</v>
      </c>
      <c r="X3035">
        <v>0.99270150000000001</v>
      </c>
      <c r="Y3035">
        <v>-0.1691648</v>
      </c>
      <c r="Z3035">
        <v>0.11040899999999999</v>
      </c>
      <c r="AA3035">
        <v>0.97938409999999998</v>
      </c>
      <c r="AB3035">
        <v>28</v>
      </c>
      <c r="AC3035">
        <v>1.2848999999999899</v>
      </c>
      <c r="AD3035">
        <v>-1.113031025363</v>
      </c>
      <c r="AE3035">
        <v>-9.7405999999999704</v>
      </c>
      <c r="AF3035">
        <v>-1.67194562287779</v>
      </c>
      <c r="AG3035">
        <v>-1.113031025363</v>
      </c>
      <c r="AH3035">
        <v>9.5553163918872492</v>
      </c>
      <c r="AI3035">
        <v>96.545475993661</v>
      </c>
      <c r="AJ3035">
        <v>99.924879740486602</v>
      </c>
      <c r="AK3035">
        <v>9.7641339389804607</v>
      </c>
      <c r="AL3035">
        <v>84.050261380828402</v>
      </c>
      <c r="AM3035">
        <v>93.552945636406804</v>
      </c>
      <c r="AN3035">
        <v>0.99999997956910502</v>
      </c>
    </row>
    <row r="3036" spans="1:40" x14ac:dyDescent="0.25">
      <c r="A3036" t="str">
        <f>"20190312164046299"</f>
        <v>20190312164046299</v>
      </c>
      <c r="B3036" t="str">
        <f>"1552380046288765"</f>
        <v>1552380046288765</v>
      </c>
      <c r="C3036" t="s">
        <v>40</v>
      </c>
      <c r="D3036">
        <v>5.7132880000000004</v>
      </c>
      <c r="E3036">
        <v>0.46478609999999998</v>
      </c>
      <c r="F3036" t="s">
        <v>41</v>
      </c>
      <c r="G3036">
        <v>-491.32549999999998</v>
      </c>
      <c r="H3036" s="1">
        <v>-3.9400369999999999E-6</v>
      </c>
      <c r="I3036">
        <v>247.9513</v>
      </c>
      <c r="J3036">
        <v>-492.63069999999999</v>
      </c>
      <c r="K3036">
        <v>1.112903</v>
      </c>
      <c r="L3036">
        <v>257.72410000000002</v>
      </c>
      <c r="M3036">
        <v>-4.0071139999999998E-2</v>
      </c>
      <c r="N3036">
        <v>0</v>
      </c>
      <c r="O3036">
        <v>-0.99910279999999996</v>
      </c>
      <c r="P3036">
        <v>2.1169879999999999E-2</v>
      </c>
      <c r="Q3036">
        <v>9.0702530000000003E-2</v>
      </c>
      <c r="R3036">
        <v>-0.99565329999999996</v>
      </c>
      <c r="S3036">
        <v>0.39773560000000002</v>
      </c>
      <c r="T3036">
        <v>-0.34033540000000001</v>
      </c>
      <c r="U3036">
        <v>-3.0362399999999998</v>
      </c>
      <c r="V3036">
        <v>-6.1749419999999999E-2</v>
      </c>
      <c r="W3036">
        <v>0.10391690000000001</v>
      </c>
      <c r="X3036">
        <v>0.99266730000000003</v>
      </c>
      <c r="Y3036">
        <v>-0.16872699999999999</v>
      </c>
      <c r="Z3036">
        <v>0.10999589999999899</v>
      </c>
      <c r="AA3036">
        <v>0.97950610000000005</v>
      </c>
      <c r="AB3036">
        <v>28</v>
      </c>
      <c r="AC3036">
        <v>1.3052000000000099</v>
      </c>
      <c r="AD3036">
        <v>-1.112906940037</v>
      </c>
      <c r="AE3036">
        <v>-9.7728000000000108</v>
      </c>
      <c r="AF3036">
        <v>-1.67446132307339</v>
      </c>
      <c r="AG3036">
        <v>-1.112906940037</v>
      </c>
      <c r="AH3036">
        <v>9.5904521354644903</v>
      </c>
      <c r="AI3036">
        <v>96.521397314431098</v>
      </c>
      <c r="AJ3036">
        <v>99.903823386440493</v>
      </c>
      <c r="AK3036">
        <v>9.7989364087275597</v>
      </c>
      <c r="AL3036">
        <v>84.035232111772402</v>
      </c>
      <c r="AM3036">
        <v>93.559529236626403</v>
      </c>
      <c r="AN3036">
        <v>1.00000004073261</v>
      </c>
    </row>
    <row r="3037" spans="1:40" x14ac:dyDescent="0.25">
      <c r="A3037" t="str">
        <f>"20190312164046310"</f>
        <v>20190312164046310</v>
      </c>
      <c r="B3037" t="str">
        <f>"1552380046299500"</f>
        <v>1552380046299500</v>
      </c>
      <c r="C3037" t="s">
        <v>40</v>
      </c>
      <c r="D3037">
        <v>5.7786229999999996</v>
      </c>
      <c r="E3037">
        <v>0.46493099999999998</v>
      </c>
      <c r="F3037" t="s">
        <v>41</v>
      </c>
      <c r="G3037">
        <v>-491.30529999999999</v>
      </c>
      <c r="H3037" s="1">
        <v>-3.8546359999999996E-6</v>
      </c>
      <c r="I3037">
        <v>247.76480000000001</v>
      </c>
      <c r="J3037">
        <v>-492.6345</v>
      </c>
      <c r="K3037">
        <v>1.1127860000000001</v>
      </c>
      <c r="L3037">
        <v>257.58030000000002</v>
      </c>
      <c r="M3037">
        <v>-3.8381930000000002E-2</v>
      </c>
      <c r="N3037">
        <v>0</v>
      </c>
      <c r="O3037">
        <v>-0.99916939999999999</v>
      </c>
      <c r="P3037">
        <v>2.271142E-2</v>
      </c>
      <c r="Q3037">
        <v>9.1216290000000005E-2</v>
      </c>
      <c r="R3037">
        <v>-0.99557200000000001</v>
      </c>
      <c r="S3037">
        <v>0.40396120000000002</v>
      </c>
      <c r="T3037">
        <v>-0.33919840000000001</v>
      </c>
      <c r="U3037">
        <v>-3.0354459999999999</v>
      </c>
      <c r="V3037">
        <v>-6.1578500000000001E-2</v>
      </c>
      <c r="W3037">
        <v>0.10443570000000001</v>
      </c>
      <c r="X3037">
        <v>0.99262340000000004</v>
      </c>
      <c r="Y3037">
        <v>-0.16907329999999901</v>
      </c>
      <c r="Z3037">
        <v>0.10965419999999999</v>
      </c>
      <c r="AA3037">
        <v>0.97948460000000004</v>
      </c>
      <c r="AB3037">
        <v>28</v>
      </c>
      <c r="AC3037">
        <v>1.3292000000000099</v>
      </c>
      <c r="AD3037">
        <v>-1.112789854636</v>
      </c>
      <c r="AE3037">
        <v>-9.8155000000000108</v>
      </c>
      <c r="AF3037">
        <v>-1.6837422348137501</v>
      </c>
      <c r="AG3037">
        <v>-1.112789854636</v>
      </c>
      <c r="AH3037">
        <v>9.6356283220180199</v>
      </c>
      <c r="AI3037">
        <v>96.490248812126694</v>
      </c>
      <c r="AJ3037">
        <v>99.9118629943261</v>
      </c>
      <c r="AK3037">
        <v>9.8447256098863498</v>
      </c>
      <c r="AL3037">
        <v>84.005344017223294</v>
      </c>
      <c r="AM3037">
        <v>93.5498584132975</v>
      </c>
      <c r="AN3037">
        <v>0.99999997066214896</v>
      </c>
    </row>
    <row r="3038" spans="1:40" x14ac:dyDescent="0.25">
      <c r="A3038" t="str">
        <f>"20190312164046322"</f>
        <v>20190312164046322</v>
      </c>
      <c r="B3038" t="str">
        <f>"1552380046319022"</f>
        <v>1552380046319022</v>
      </c>
      <c r="C3038" t="s">
        <v>40</v>
      </c>
      <c r="D3038">
        <v>5.7934710000000003</v>
      </c>
      <c r="E3038">
        <v>0.46507599999999999</v>
      </c>
      <c r="F3038" t="s">
        <v>41</v>
      </c>
      <c r="G3038">
        <v>-491.29500000000002</v>
      </c>
      <c r="H3038" s="1">
        <v>-3.7861029999999999E-6</v>
      </c>
      <c r="I3038">
        <v>247.6114</v>
      </c>
      <c r="J3038">
        <v>-492.63830000000002</v>
      </c>
      <c r="K3038">
        <v>1.112668</v>
      </c>
      <c r="L3038">
        <v>257.4348</v>
      </c>
      <c r="M3038">
        <v>-3.6725109999999998E-2</v>
      </c>
      <c r="N3038">
        <v>0</v>
      </c>
      <c r="O3038">
        <v>-0.99923200000000001</v>
      </c>
      <c r="P3038">
        <v>2.4391679999999999E-2</v>
      </c>
      <c r="Q3038">
        <v>9.1512250000000003E-2</v>
      </c>
      <c r="R3038">
        <v>-0.99550539999999998</v>
      </c>
      <c r="S3038">
        <v>0.4078369</v>
      </c>
      <c r="T3038">
        <v>-0.33879969999999998</v>
      </c>
      <c r="U3038">
        <v>-3.03511</v>
      </c>
      <c r="V3038">
        <v>-6.1577479999999997E-2</v>
      </c>
      <c r="W3038">
        <v>0.10473639999999999</v>
      </c>
      <c r="X3038">
        <v>0.99259180000000002</v>
      </c>
      <c r="Y3038">
        <v>-0.168684</v>
      </c>
      <c r="Z3038">
        <v>0.10954369999999999</v>
      </c>
      <c r="AA3038">
        <v>0.97956410000000005</v>
      </c>
      <c r="AB3038">
        <v>28</v>
      </c>
      <c r="AC3038">
        <v>1.3432999999999899</v>
      </c>
      <c r="AD3038">
        <v>-1.112671786103</v>
      </c>
      <c r="AE3038">
        <v>-9.8233999999999906</v>
      </c>
      <c r="AF3038">
        <v>-1.68200950234179</v>
      </c>
      <c r="AG3038">
        <v>-1.112671786103</v>
      </c>
      <c r="AH3038">
        <v>9.6459531339260796</v>
      </c>
      <c r="AI3038">
        <v>96.483078181252196</v>
      </c>
      <c r="AJ3038">
        <v>99.891475439569305</v>
      </c>
      <c r="AK3038">
        <v>9.8545221259813598</v>
      </c>
      <c r="AL3038">
        <v>83.988020288577701</v>
      </c>
      <c r="AM3038">
        <v>93.549912484900801</v>
      </c>
      <c r="AN3038">
        <v>0.99999999047767496</v>
      </c>
    </row>
    <row r="3039" spans="1:40" x14ac:dyDescent="0.25">
      <c r="A3039" t="str">
        <f>"20190312164046340"</f>
        <v>20190312164046340</v>
      </c>
      <c r="B3039" t="str">
        <f>"1552380046328780"</f>
        <v>1552380046328780</v>
      </c>
      <c r="C3039" t="s">
        <v>40</v>
      </c>
      <c r="D3039">
        <v>5.8254900000000003</v>
      </c>
      <c r="E3039">
        <v>0.46493479999999998</v>
      </c>
      <c r="F3039" t="s">
        <v>41</v>
      </c>
      <c r="G3039">
        <v>-491.29419999999999</v>
      </c>
      <c r="H3039" s="1">
        <v>-3.7475429999999998E-6</v>
      </c>
      <c r="I3039">
        <v>247.52199999999999</v>
      </c>
      <c r="J3039">
        <v>-492.64359999999999</v>
      </c>
      <c r="K3039">
        <v>1.1124959999999999</v>
      </c>
      <c r="L3039">
        <v>257.22280000000001</v>
      </c>
      <c r="M3039">
        <v>-3.4455300000000001E-2</v>
      </c>
      <c r="N3039">
        <v>0</v>
      </c>
      <c r="O3039">
        <v>-0.99931289999999995</v>
      </c>
      <c r="P3039">
        <v>2.5253979999999999E-2</v>
      </c>
      <c r="Q3039">
        <v>9.2856820000000007E-2</v>
      </c>
      <c r="R3039">
        <v>-0.99535949999999995</v>
      </c>
      <c r="S3039">
        <v>0.411499</v>
      </c>
      <c r="T3039">
        <v>-0.34064689999999997</v>
      </c>
      <c r="U3039">
        <v>-3.034805</v>
      </c>
      <c r="V3039">
        <v>-6.0137419999999997E-2</v>
      </c>
      <c r="W3039">
        <v>0.1060968</v>
      </c>
      <c r="X3039">
        <v>0.99253570000000002</v>
      </c>
      <c r="Y3039">
        <v>-0.16761019999999999</v>
      </c>
      <c r="Z3039">
        <v>0.1101594</v>
      </c>
      <c r="AA3039">
        <v>0.97967939999999998</v>
      </c>
      <c r="AB3039">
        <v>28</v>
      </c>
      <c r="AC3039">
        <v>1.3493999999999999</v>
      </c>
      <c r="AD3039">
        <v>-1.1124997475430001</v>
      </c>
      <c r="AE3039">
        <v>-9.7007999999999797</v>
      </c>
      <c r="AF3039">
        <v>-1.6614376886872599</v>
      </c>
      <c r="AG3039">
        <v>-1.1124997475430001</v>
      </c>
      <c r="AH3039">
        <v>9.5256395389698305</v>
      </c>
      <c r="AI3039">
        <v>96.563199209975195</v>
      </c>
      <c r="AJ3039">
        <v>99.893856061634693</v>
      </c>
      <c r="AK3039">
        <v>9.7332337641741198</v>
      </c>
      <c r="AL3039">
        <v>83.909638905753098</v>
      </c>
      <c r="AM3039">
        <v>93.4672941271551</v>
      </c>
      <c r="AN3039">
        <v>1.00000007801449</v>
      </c>
    </row>
    <row r="3040" spans="1:40" x14ac:dyDescent="0.25">
      <c r="A3040" t="str">
        <f>"20190312164046362"</f>
        <v>20190312164046362</v>
      </c>
      <c r="B3040" t="str">
        <f>"1552380046359037"</f>
        <v>1552380046359037</v>
      </c>
      <c r="C3040" t="s">
        <v>40</v>
      </c>
      <c r="D3040">
        <v>6.1668729999999998</v>
      </c>
      <c r="E3040">
        <v>0.44750099999999998</v>
      </c>
      <c r="F3040" t="s">
        <v>41</v>
      </c>
      <c r="G3040">
        <v>-491.2654</v>
      </c>
      <c r="H3040" s="1">
        <v>-3.5896599999999999E-6</v>
      </c>
      <c r="I3040">
        <v>247.17179999999999</v>
      </c>
      <c r="J3040">
        <v>-492.65</v>
      </c>
      <c r="K3040">
        <v>1.1122639999999999</v>
      </c>
      <c r="L3040">
        <v>256.94069999999999</v>
      </c>
      <c r="M3040">
        <v>-3.174797E-2</v>
      </c>
      <c r="N3040">
        <v>0</v>
      </c>
      <c r="O3040">
        <v>-0.99940300000000004</v>
      </c>
      <c r="P3040">
        <v>2.606847E-2</v>
      </c>
      <c r="Q3040">
        <v>9.4706739999999998E-2</v>
      </c>
      <c r="R3040">
        <v>-0.99516439999999995</v>
      </c>
      <c r="S3040">
        <v>0.41610720000000001</v>
      </c>
      <c r="T3040">
        <v>-0.33590379999999997</v>
      </c>
      <c r="U3040">
        <v>-3.0347599999999999</v>
      </c>
      <c r="V3040">
        <v>-5.8197859999999997E-2</v>
      </c>
      <c r="W3040">
        <v>0.1079671</v>
      </c>
      <c r="X3040">
        <v>0.99244960000000004</v>
      </c>
      <c r="Y3040">
        <v>-0.16642479999999901</v>
      </c>
      <c r="Z3040">
        <v>0.10866049999999999</v>
      </c>
      <c r="AA3040">
        <v>0.98004880000000005</v>
      </c>
      <c r="AB3040">
        <v>28</v>
      </c>
      <c r="AC3040">
        <v>1.3845999999999701</v>
      </c>
      <c r="AD3040">
        <v>-1.1122675896599901</v>
      </c>
      <c r="AE3040">
        <v>-9.7689000000000004</v>
      </c>
      <c r="AF3040">
        <v>-1.6728147320936899</v>
      </c>
      <c r="AG3040">
        <v>-1.1122675896599901</v>
      </c>
      <c r="AH3040">
        <v>9.5980370992466906</v>
      </c>
      <c r="AI3040">
        <v>96.512915034222701</v>
      </c>
      <c r="AJ3040">
        <v>99.886612238251004</v>
      </c>
      <c r="AK3040">
        <v>9.80600655095812</v>
      </c>
      <c r="AL3040">
        <v>83.801859278701102</v>
      </c>
      <c r="AM3040">
        <v>93.356016759846895</v>
      </c>
      <c r="AN3040">
        <v>1.0000000470655701</v>
      </c>
    </row>
    <row r="3041" spans="1:40" x14ac:dyDescent="0.25">
      <c r="A3041" t="str">
        <f>"20190312164046374"</f>
        <v>20190312164046374</v>
      </c>
      <c r="B3041" t="str">
        <f>"1552380046368797"</f>
        <v>1552380046368797</v>
      </c>
      <c r="C3041" t="s">
        <v>40</v>
      </c>
      <c r="D3041">
        <v>5.6755380000000004</v>
      </c>
      <c r="E3041">
        <v>0.4470712</v>
      </c>
      <c r="F3041" t="s">
        <v>41</v>
      </c>
      <c r="G3041">
        <v>-489.86779999999999</v>
      </c>
      <c r="H3041" s="1">
        <v>-8.7588759999999997E-7</v>
      </c>
      <c r="I3041">
        <v>241.6198</v>
      </c>
      <c r="J3041">
        <v>-492.6533</v>
      </c>
      <c r="K3041">
        <v>1.1121460000000001</v>
      </c>
      <c r="L3041">
        <v>256.79500000000002</v>
      </c>
      <c r="M3041">
        <v>-3.046511E-2</v>
      </c>
      <c r="N3041">
        <v>0</v>
      </c>
      <c r="O3041">
        <v>-0.99944290000000002</v>
      </c>
      <c r="P3041">
        <v>2.671053E-2</v>
      </c>
      <c r="Q3041">
        <v>9.5594730000000003E-2</v>
      </c>
      <c r="R3041">
        <v>-0.995062</v>
      </c>
      <c r="S3041">
        <v>0.5486145</v>
      </c>
      <c r="T3041">
        <v>-0.21932299999999999</v>
      </c>
      <c r="U3041">
        <v>-3.0210569999999999</v>
      </c>
      <c r="V3041">
        <v>-5.7532489999999999E-2</v>
      </c>
      <c r="W3041">
        <v>0.108864</v>
      </c>
      <c r="X3041">
        <v>0.99239040000000001</v>
      </c>
      <c r="Y3041">
        <v>-0.20811760000000001</v>
      </c>
      <c r="Z3041">
        <v>7.0986670000000002E-2</v>
      </c>
      <c r="AA3041">
        <v>0.97552450000000002</v>
      </c>
      <c r="AB3041">
        <v>28</v>
      </c>
      <c r="AC3041">
        <v>2.7855000000000101</v>
      </c>
      <c r="AD3041">
        <v>-1.1121468758876001</v>
      </c>
      <c r="AE3041">
        <v>-15.1752</v>
      </c>
      <c r="AF3041">
        <v>-3.22978215386363</v>
      </c>
      <c r="AG3041">
        <v>-1.1121468758876001</v>
      </c>
      <c r="AH3041">
        <v>15.0053196760961</v>
      </c>
      <c r="AI3041">
        <v>94.144260302042397</v>
      </c>
      <c r="AJ3041">
        <v>102.14715851377299</v>
      </c>
      <c r="AK3041">
        <v>15.3892164198441</v>
      </c>
      <c r="AL3041">
        <v>83.750165902254395</v>
      </c>
      <c r="AM3041">
        <v>93.3179314523356</v>
      </c>
      <c r="AN3041">
        <v>1.00000003195687</v>
      </c>
    </row>
    <row r="3042" spans="1:40" x14ac:dyDescent="0.25">
      <c r="A3042" t="str">
        <f>"20190312164046386"</f>
        <v>20190312164046386</v>
      </c>
      <c r="B3042" t="str">
        <f>"1552380046379534"</f>
        <v>1552380046379534</v>
      </c>
      <c r="C3042" t="s">
        <v>40</v>
      </c>
      <c r="D3042">
        <v>5.790413</v>
      </c>
      <c r="E3042">
        <v>0.44800240000000002</v>
      </c>
      <c r="F3042" t="s">
        <v>41</v>
      </c>
      <c r="G3042">
        <v>-490.0249</v>
      </c>
      <c r="H3042" s="1">
        <v>-1.263053E-6</v>
      </c>
      <c r="I3042">
        <v>242.5179</v>
      </c>
      <c r="J3042">
        <v>-492.65620000000001</v>
      </c>
      <c r="K3042">
        <v>1.112034</v>
      </c>
      <c r="L3042">
        <v>256.65710000000001</v>
      </c>
      <c r="M3042">
        <v>-2.9343609999999999E-2</v>
      </c>
      <c r="N3042">
        <v>0</v>
      </c>
      <c r="O3042">
        <v>-0.99947660000000005</v>
      </c>
      <c r="P3042">
        <v>2.7206999999999999E-2</v>
      </c>
      <c r="Q3042">
        <v>9.6824090000000002E-2</v>
      </c>
      <c r="R3042">
        <v>-0.99492990000000003</v>
      </c>
      <c r="S3042">
        <v>0.556427</v>
      </c>
      <c r="T3042">
        <v>-0.23544590000000001</v>
      </c>
      <c r="U3042">
        <v>-3.0225369999999998</v>
      </c>
      <c r="V3042">
        <v>-5.6885400000000003E-2</v>
      </c>
      <c r="W3042">
        <v>0.11010010000000001</v>
      </c>
      <c r="X3042">
        <v>0.99229129999999999</v>
      </c>
      <c r="Y3042">
        <v>-0.2093073</v>
      </c>
      <c r="Z3042">
        <v>7.6115219999999997E-2</v>
      </c>
      <c r="AA3042">
        <v>0.97488300000000006</v>
      </c>
      <c r="AB3042">
        <v>28</v>
      </c>
      <c r="AC3042">
        <v>2.6313</v>
      </c>
      <c r="AD3042">
        <v>-1.1120352630529999</v>
      </c>
      <c r="AE3042">
        <v>-14.139200000000001</v>
      </c>
      <c r="AF3042">
        <v>-3.0270030550637599</v>
      </c>
      <c r="AG3042">
        <v>-1.1120352630529999</v>
      </c>
      <c r="AH3042">
        <v>13.972355863656199</v>
      </c>
      <c r="AI3042">
        <v>94.447729231093504</v>
      </c>
      <c r="AJ3042">
        <v>102.223788161206</v>
      </c>
      <c r="AK3042">
        <v>14.3396686956947</v>
      </c>
      <c r="AL3042">
        <v>83.678914089496601</v>
      </c>
      <c r="AM3042">
        <v>93.281022305939402</v>
      </c>
      <c r="AN3042">
        <v>1.00000000240443</v>
      </c>
    </row>
    <row r="3043" spans="1:40" x14ac:dyDescent="0.25">
      <c r="A3043" t="str">
        <f>"20190312164046398"</f>
        <v>20190312164046398</v>
      </c>
      <c r="B3043" t="str">
        <f>"1552380046389293"</f>
        <v>1552380046389293</v>
      </c>
      <c r="C3043" t="s">
        <v>40</v>
      </c>
      <c r="D3043">
        <v>5.689209</v>
      </c>
      <c r="E3043">
        <v>0.44896629999999899</v>
      </c>
      <c r="F3043" t="s">
        <v>41</v>
      </c>
      <c r="G3043">
        <v>-489.79629999999997</v>
      </c>
      <c r="H3043" s="1">
        <v>-5.8565019999999898E-7</v>
      </c>
      <c r="I3043">
        <v>240.91370000000001</v>
      </c>
      <c r="J3043">
        <v>-492.65929999999997</v>
      </c>
      <c r="K3043">
        <v>1.1119129999999999</v>
      </c>
      <c r="L3043">
        <v>256.5061</v>
      </c>
      <c r="M3043">
        <v>-2.8162800000000002E-2</v>
      </c>
      <c r="N3043">
        <v>0</v>
      </c>
      <c r="O3043">
        <v>-0.99951069999999997</v>
      </c>
      <c r="P3043">
        <v>2.7762330000000002E-2</v>
      </c>
      <c r="Q3043">
        <v>9.7493750000000004E-2</v>
      </c>
      <c r="R3043">
        <v>-0.99484879999999998</v>
      </c>
      <c r="S3043">
        <v>0.5487976</v>
      </c>
      <c r="T3043">
        <v>-0.2133911</v>
      </c>
      <c r="U3043">
        <v>-3.021042</v>
      </c>
      <c r="V3043">
        <v>-5.6233360000000003E-2</v>
      </c>
      <c r="W3043">
        <v>0.11077819999999999</v>
      </c>
      <c r="X3043">
        <v>0.99225300000000005</v>
      </c>
      <c r="Y3043">
        <v>-0.20594609999999999</v>
      </c>
      <c r="Z3043">
        <v>6.9099369999999993E-2</v>
      </c>
      <c r="AA3043">
        <v>0.97612069999999995</v>
      </c>
      <c r="AB3043">
        <v>28</v>
      </c>
      <c r="AC3043">
        <v>2.8629999999999902</v>
      </c>
      <c r="AD3043">
        <v>-1.1119135856501901</v>
      </c>
      <c r="AE3043">
        <v>-15.5923999999999</v>
      </c>
      <c r="AF3043">
        <v>-3.2848707754162398</v>
      </c>
      <c r="AG3043">
        <v>-1.1119135856501901</v>
      </c>
      <c r="AH3043">
        <v>15.429671241583501</v>
      </c>
      <c r="AI3043">
        <v>94.031753778292995</v>
      </c>
      <c r="AJ3043">
        <v>102.01844827177599</v>
      </c>
      <c r="AK3043">
        <v>15.814597132285201</v>
      </c>
      <c r="AL3043">
        <v>83.639822731213798</v>
      </c>
      <c r="AM3043">
        <v>93.243619789336606</v>
      </c>
      <c r="AN3043">
        <v>1.00000000819056</v>
      </c>
    </row>
    <row r="3044" spans="1:40" x14ac:dyDescent="0.25">
      <c r="A3044" t="str">
        <f>"20190312164046411"</f>
        <v>20190312164046411</v>
      </c>
      <c r="B3044" t="str">
        <f>"1552380046399055"</f>
        <v>1552380046399055</v>
      </c>
      <c r="C3044" t="s">
        <v>40</v>
      </c>
      <c r="D3044">
        <v>5.6895579999999999</v>
      </c>
      <c r="E3044">
        <v>0.44895659999999998</v>
      </c>
      <c r="F3044" t="s">
        <v>41</v>
      </c>
      <c r="G3044">
        <v>-489.74040000000002</v>
      </c>
      <c r="H3044" s="1">
        <v>-2.9961340000000002E-7</v>
      </c>
      <c r="I3044">
        <v>240.22380000000001</v>
      </c>
      <c r="J3044">
        <v>-492.6626</v>
      </c>
      <c r="K3044">
        <v>1.1117669999999999</v>
      </c>
      <c r="L3044">
        <v>256.33890000000002</v>
      </c>
      <c r="M3044">
        <v>-2.7054410000000001E-2</v>
      </c>
      <c r="N3044">
        <v>0</v>
      </c>
      <c r="O3044">
        <v>-0.99954129999999997</v>
      </c>
      <c r="P3044">
        <v>2.8427060000000001E-2</v>
      </c>
      <c r="Q3044">
        <v>9.8220039999999995E-2</v>
      </c>
      <c r="R3044">
        <v>-0.99475840000000004</v>
      </c>
      <c r="S3044">
        <v>0.54150390000000004</v>
      </c>
      <c r="T3044">
        <v>-0.20627809999999999</v>
      </c>
      <c r="U3044">
        <v>-3.0206300000000001</v>
      </c>
      <c r="V3044">
        <v>-5.5755590000000001E-2</v>
      </c>
      <c r="W3044">
        <v>0.11151369999999999</v>
      </c>
      <c r="X3044">
        <v>0.99219760000000001</v>
      </c>
      <c r="Y3044">
        <v>-0.2026278</v>
      </c>
      <c r="Z3044">
        <v>6.6856380000000007E-2</v>
      </c>
      <c r="AA3044">
        <v>0.97697089999999998</v>
      </c>
      <c r="AB3044">
        <v>28</v>
      </c>
      <c r="AC3044">
        <v>2.9221999999999699</v>
      </c>
      <c r="AD3044">
        <v>-1.1117672996134</v>
      </c>
      <c r="AE3044">
        <v>-16.115100000000002</v>
      </c>
      <c r="AF3044">
        <v>-3.3417563093540998</v>
      </c>
      <c r="AG3044">
        <v>-1.1117672996134</v>
      </c>
      <c r="AH3044">
        <v>15.956606624330201</v>
      </c>
      <c r="AI3044">
        <v>93.901242812653805</v>
      </c>
      <c r="AJ3044">
        <v>101.828373153651</v>
      </c>
      <c r="AK3044">
        <v>16.340644317872499</v>
      </c>
      <c r="AL3044">
        <v>83.597419122638698</v>
      </c>
      <c r="AM3044">
        <v>93.216298634465105</v>
      </c>
      <c r="AN3044">
        <v>1.0000000342748401</v>
      </c>
    </row>
    <row r="3045" spans="1:40" x14ac:dyDescent="0.25">
      <c r="A3045" t="str">
        <f>"20190312164046431"</f>
        <v>20190312164046431</v>
      </c>
      <c r="B3045" t="str">
        <f>"1552380046419549"</f>
        <v>1552380046419549</v>
      </c>
      <c r="C3045" t="s">
        <v>40</v>
      </c>
      <c r="D3045">
        <v>5.7623059999999997</v>
      </c>
      <c r="E3045">
        <v>0.45031559999999998</v>
      </c>
      <c r="F3045" t="s">
        <v>41</v>
      </c>
      <c r="G3045">
        <v>-489.88920000000002</v>
      </c>
      <c r="H3045" s="1">
        <v>-5.7951329999999999E-7</v>
      </c>
      <c r="I3045">
        <v>240.93780000000001</v>
      </c>
      <c r="J3045">
        <v>-492.66719999999998</v>
      </c>
      <c r="K3045">
        <v>1.111561</v>
      </c>
      <c r="L3045">
        <v>256.10640000000001</v>
      </c>
      <c r="M3045">
        <v>-2.5688780000000001E-2</v>
      </c>
      <c r="N3045">
        <v>0</v>
      </c>
      <c r="O3045">
        <v>-0.99957779999999996</v>
      </c>
      <c r="P3045">
        <v>2.9420709999999999E-2</v>
      </c>
      <c r="Q3045">
        <v>9.8817989999999994E-2</v>
      </c>
      <c r="R3045">
        <v>-0.99467050000000001</v>
      </c>
      <c r="S3045">
        <v>0.5441589</v>
      </c>
      <c r="T3045">
        <v>-0.21813560000000001</v>
      </c>
      <c r="U3045">
        <v>-3.0217900000000002</v>
      </c>
      <c r="V3045">
        <v>-5.5332569999999998E-2</v>
      </c>
      <c r="W3045">
        <v>0.1121259</v>
      </c>
      <c r="X3045">
        <v>0.99215229999999999</v>
      </c>
      <c r="Y3045">
        <v>-0.20200989999999999</v>
      </c>
      <c r="Z3045">
        <v>7.0656819999999995E-2</v>
      </c>
      <c r="AA3045">
        <v>0.97683140000000002</v>
      </c>
      <c r="AB3045">
        <v>28</v>
      </c>
      <c r="AC3045">
        <v>2.7779999999999601</v>
      </c>
      <c r="AD3045">
        <v>-1.1115615795133</v>
      </c>
      <c r="AE3045">
        <v>-15.1685999999999</v>
      </c>
      <c r="AF3045">
        <v>-3.1504130368751802</v>
      </c>
      <c r="AG3045">
        <v>-1.1115615795133</v>
      </c>
      <c r="AH3045">
        <v>15.0142131309129</v>
      </c>
      <c r="AI3045">
        <v>94.144185780747307</v>
      </c>
      <c r="AJ3045">
        <v>101.850379362254</v>
      </c>
      <c r="AK3045">
        <v>15.3813935450739</v>
      </c>
      <c r="AL3045">
        <v>83.5621213690807</v>
      </c>
      <c r="AM3045">
        <v>93.192092530069502</v>
      </c>
      <c r="AN3045">
        <v>1.00000004857445</v>
      </c>
    </row>
    <row r="3046" spans="1:40" x14ac:dyDescent="0.25">
      <c r="A3046" t="str">
        <f>"20190312164046445"</f>
        <v>20190312164046445</v>
      </c>
      <c r="B3046" t="str">
        <f>"1552380046439070"</f>
        <v>1552380046439070</v>
      </c>
      <c r="C3046" t="s">
        <v>40</v>
      </c>
      <c r="D3046">
        <v>5.6622190000000003</v>
      </c>
      <c r="E3046">
        <v>0.4513257</v>
      </c>
      <c r="F3046" t="s">
        <v>41</v>
      </c>
      <c r="G3046">
        <v>-489.9991</v>
      </c>
      <c r="H3046" s="1">
        <v>-6.3884900000000001E-7</v>
      </c>
      <c r="I3046">
        <v>241.0788</v>
      </c>
      <c r="J3046">
        <v>-492.67079999999999</v>
      </c>
      <c r="K3046">
        <v>1.1113820000000001</v>
      </c>
      <c r="L3046">
        <v>255.92060000000001</v>
      </c>
      <c r="M3046">
        <v>-2.4777469999999999E-2</v>
      </c>
      <c r="N3046">
        <v>0</v>
      </c>
      <c r="O3046">
        <v>-0.99960110000000002</v>
      </c>
      <c r="P3046">
        <v>3.0206429999999999E-2</v>
      </c>
      <c r="Q3046">
        <v>9.8976069999999999E-2</v>
      </c>
      <c r="R3046">
        <v>-0.99463159999999895</v>
      </c>
      <c r="S3046">
        <v>0.53662109999999996</v>
      </c>
      <c r="T3046">
        <v>-0.2235616</v>
      </c>
      <c r="U3046">
        <v>-3.0224150000000001</v>
      </c>
      <c r="V3046">
        <v>-5.5162129999999997E-2</v>
      </c>
      <c r="W3046">
        <v>0.11229649999999999</v>
      </c>
      <c r="X3046">
        <v>0.99214239999999998</v>
      </c>
      <c r="Y3046">
        <v>-0.1986977</v>
      </c>
      <c r="Z3046">
        <v>7.2433410000000004E-2</v>
      </c>
      <c r="AA3046">
        <v>0.97738049999999999</v>
      </c>
      <c r="AB3046">
        <v>28</v>
      </c>
      <c r="AC3046">
        <v>2.67169999999998</v>
      </c>
      <c r="AD3046">
        <v>-1.11138263884899</v>
      </c>
      <c r="AE3046">
        <v>-14.841799999999999</v>
      </c>
      <c r="AF3046">
        <v>-3.0222409381304298</v>
      </c>
      <c r="AG3046">
        <v>-1.11138263884899</v>
      </c>
      <c r="AH3046">
        <v>14.6912459008949</v>
      </c>
      <c r="AI3046">
        <v>94.237739262297197</v>
      </c>
      <c r="AJ3046">
        <v>101.624552055705</v>
      </c>
      <c r="AK3046">
        <v>15.0400072399785</v>
      </c>
      <c r="AL3046">
        <v>83.552283966532698</v>
      </c>
      <c r="AM3046">
        <v>93.182311908900701</v>
      </c>
      <c r="AN3046">
        <v>0.999999953188072</v>
      </c>
    </row>
    <row r="3047" spans="1:40" x14ac:dyDescent="0.25">
      <c r="A3047" t="str">
        <f>"20190312164046464"</f>
        <v>20190312164046464</v>
      </c>
      <c r="B3047" t="str">
        <f>"1552380046459565"</f>
        <v>1552380046459565</v>
      </c>
      <c r="C3047" t="s">
        <v>40</v>
      </c>
      <c r="D3047">
        <v>5.70418</v>
      </c>
      <c r="E3047">
        <v>0.45220589999999999</v>
      </c>
      <c r="F3047" t="s">
        <v>41</v>
      </c>
      <c r="G3047">
        <v>-490.03149999999999</v>
      </c>
      <c r="H3047" s="1">
        <v>-5.6608630000000003E-7</v>
      </c>
      <c r="I3047">
        <v>240.88910000000001</v>
      </c>
      <c r="J3047">
        <v>-492.67520000000002</v>
      </c>
      <c r="K3047">
        <v>1.1111679999999999</v>
      </c>
      <c r="L3047">
        <v>255.6986</v>
      </c>
      <c r="M3047">
        <v>-2.389956E-2</v>
      </c>
      <c r="N3047">
        <v>0</v>
      </c>
      <c r="O3047">
        <v>-0.99962249999999997</v>
      </c>
      <c r="P3047">
        <v>3.1081060000000001E-2</v>
      </c>
      <c r="Q3047">
        <v>9.9948759999999998E-2</v>
      </c>
      <c r="R3047">
        <v>-0.99450729999999998</v>
      </c>
      <c r="S3047">
        <v>0.53067019999999998</v>
      </c>
      <c r="T3047">
        <v>-0.22345979999999999</v>
      </c>
      <c r="U3047">
        <v>-3.0223080000000002</v>
      </c>
      <c r="V3047">
        <v>-5.5101980000000002E-2</v>
      </c>
      <c r="W3047">
        <v>0.1132848</v>
      </c>
      <c r="X3047">
        <v>0.99203339999999995</v>
      </c>
      <c r="Y3047">
        <v>-0.19597600000000001</v>
      </c>
      <c r="Z3047">
        <v>7.2437749999999995E-2</v>
      </c>
      <c r="AA3047">
        <v>0.97792950000000001</v>
      </c>
      <c r="AB3047">
        <v>28</v>
      </c>
      <c r="AC3047">
        <v>2.6437000000000199</v>
      </c>
      <c r="AD3047">
        <v>-1.1111685660863</v>
      </c>
      <c r="AE3047">
        <v>-14.8094999999999</v>
      </c>
      <c r="AF3047">
        <v>-2.9806560237372302</v>
      </c>
      <c r="AG3047">
        <v>-1.1111685660863</v>
      </c>
      <c r="AH3047">
        <v>14.6620871994997</v>
      </c>
      <c r="AI3047">
        <v>94.247336892482394</v>
      </c>
      <c r="AJ3047">
        <v>101.491071449891</v>
      </c>
      <c r="AK3047">
        <v>15.0031932254381</v>
      </c>
      <c r="AL3047">
        <v>83.495294994868601</v>
      </c>
      <c r="AM3047">
        <v>93.179197527126206</v>
      </c>
      <c r="AN3047">
        <v>0.99999997041325905</v>
      </c>
    </row>
    <row r="3048" spans="1:40" x14ac:dyDescent="0.25">
      <c r="A3048" t="str">
        <f>"20190312164046476"</f>
        <v>20190312164046476</v>
      </c>
      <c r="B3048" t="str">
        <f>"1552380046469326"</f>
        <v>1552380046469326</v>
      </c>
      <c r="C3048" t="s">
        <v>40</v>
      </c>
      <c r="D3048">
        <v>5.9594829999999996</v>
      </c>
      <c r="E3048">
        <v>0.45281379999999999</v>
      </c>
      <c r="F3048" t="s">
        <v>41</v>
      </c>
      <c r="G3048">
        <v>-490.2072</v>
      </c>
      <c r="H3048" s="1">
        <v>-9.0388190000000003E-7</v>
      </c>
      <c r="I3048">
        <v>241.5676</v>
      </c>
      <c r="J3048">
        <v>-492.67840000000001</v>
      </c>
      <c r="K3048">
        <v>1.1110040000000001</v>
      </c>
      <c r="L3048">
        <v>255.53489999999999</v>
      </c>
      <c r="M3048">
        <v>-2.3383770000000002E-2</v>
      </c>
      <c r="N3048">
        <v>0</v>
      </c>
      <c r="O3048">
        <v>-0.99963469999999999</v>
      </c>
      <c r="P3048">
        <v>3.1535630000000002E-2</v>
      </c>
      <c r="Q3048">
        <v>0.1008767</v>
      </c>
      <c r="R3048">
        <v>-0.99439900000000003</v>
      </c>
      <c r="S3048">
        <v>0.52813719999999997</v>
      </c>
      <c r="T3048">
        <v>-0.2377843</v>
      </c>
      <c r="U3048">
        <v>-3.0239720000000001</v>
      </c>
      <c r="V3048">
        <v>-5.4996679999999999E-2</v>
      </c>
      <c r="W3048">
        <v>0.1142252</v>
      </c>
      <c r="X3048">
        <v>0.99193140000000002</v>
      </c>
      <c r="Y3048">
        <v>-0.19452410000000001</v>
      </c>
      <c r="Z3048">
        <v>7.7030570000000007E-2</v>
      </c>
      <c r="AA3048">
        <v>0.97786839999999997</v>
      </c>
      <c r="AB3048">
        <v>28</v>
      </c>
      <c r="AC3048">
        <v>2.4712000000000098</v>
      </c>
      <c r="AD3048">
        <v>-1.1110049038818901</v>
      </c>
      <c r="AE3048">
        <v>-13.9672999999999</v>
      </c>
      <c r="AF3048">
        <v>-2.7801060969604201</v>
      </c>
      <c r="AG3048">
        <v>-1.1110049038818901</v>
      </c>
      <c r="AH3048">
        <v>13.8208964542162</v>
      </c>
      <c r="AI3048">
        <v>94.506014245764305</v>
      </c>
      <c r="AJ3048">
        <v>101.37340493863699</v>
      </c>
      <c r="AK3048">
        <v>14.141446199203701</v>
      </c>
      <c r="AL3048">
        <v>83.441061980321393</v>
      </c>
      <c r="AM3048">
        <v>93.173460126525995</v>
      </c>
      <c r="AN3048">
        <v>0.99999996671600999</v>
      </c>
    </row>
    <row r="3049" spans="1:40" x14ac:dyDescent="0.25">
      <c r="A3049" t="str">
        <f>"20190312164046488"</f>
        <v>20190312164046488</v>
      </c>
      <c r="B3049" t="str">
        <f>"1552380046479085"</f>
        <v>1552380046479085</v>
      </c>
      <c r="C3049" t="s">
        <v>40</v>
      </c>
      <c r="D3049">
        <v>6.3326269999999996</v>
      </c>
      <c r="E3049">
        <v>0.45324320000000001</v>
      </c>
      <c r="F3049" t="s">
        <v>41</v>
      </c>
      <c r="G3049">
        <v>-490.2174</v>
      </c>
      <c r="H3049" s="1">
        <v>-8.1637059999999905E-7</v>
      </c>
      <c r="I3049">
        <v>241.35730000000001</v>
      </c>
      <c r="J3049">
        <v>-492.68110000000001</v>
      </c>
      <c r="K3049">
        <v>1.1108769999999999</v>
      </c>
      <c r="L3049">
        <v>255.4014</v>
      </c>
      <c r="M3049">
        <v>-2.3102709999999999E-2</v>
      </c>
      <c r="N3049">
        <v>0</v>
      </c>
      <c r="O3049">
        <v>-0.99964169999999997</v>
      </c>
      <c r="P3049">
        <v>3.170357E-2</v>
      </c>
      <c r="Q3049">
        <v>0.1017458</v>
      </c>
      <c r="R3049">
        <v>-0.99430560000000001</v>
      </c>
      <c r="S3049">
        <v>0.52496339999999997</v>
      </c>
      <c r="T3049">
        <v>-0.2369938</v>
      </c>
      <c r="U3049">
        <v>-3.0243069999999999</v>
      </c>
      <c r="V3049">
        <v>-5.484729E-2</v>
      </c>
      <c r="W3049">
        <v>0.115104399999999</v>
      </c>
      <c r="X3049">
        <v>0.99183809999999994</v>
      </c>
      <c r="Y3049">
        <v>-0.19323709999999999</v>
      </c>
      <c r="Z3049">
        <v>7.6785140000000002E-2</v>
      </c>
      <c r="AA3049">
        <v>0.97814290000000004</v>
      </c>
      <c r="AB3049">
        <v>28</v>
      </c>
      <c r="AC3049">
        <v>2.46370000000001</v>
      </c>
      <c r="AD3049">
        <v>-1.1108778163705999</v>
      </c>
      <c r="AE3049">
        <v>-14.044099999999901</v>
      </c>
      <c r="AF3049">
        <v>-2.7707108047890201</v>
      </c>
      <c r="AG3049">
        <v>-1.1108778163705999</v>
      </c>
      <c r="AH3049">
        <v>13.899061703820999</v>
      </c>
      <c r="AI3049">
        <v>94.481819208872807</v>
      </c>
      <c r="AJ3049">
        <v>101.273851925069</v>
      </c>
      <c r="AK3049">
        <v>14.2160052100899</v>
      </c>
      <c r="AL3049">
        <v>83.390353499566601</v>
      </c>
      <c r="AM3049">
        <v>93.165154564730898</v>
      </c>
      <c r="AN3049">
        <v>1.0000000323656499</v>
      </c>
    </row>
    <row r="3050" spans="1:40" x14ac:dyDescent="0.25">
      <c r="A3050" t="str">
        <f>"20190312164046499"</f>
        <v>20190312164046499</v>
      </c>
      <c r="B3050" t="str">
        <f>"1552380046488846"</f>
        <v>1552380046488846</v>
      </c>
      <c r="C3050" t="s">
        <v>40</v>
      </c>
      <c r="D3050">
        <v>5.731217</v>
      </c>
      <c r="E3050">
        <v>0.45379530000000001</v>
      </c>
      <c r="F3050" t="s">
        <v>41</v>
      </c>
      <c r="G3050">
        <v>-490.2276</v>
      </c>
      <c r="H3050" s="1">
        <v>-7.4327569999999999E-7</v>
      </c>
      <c r="I3050">
        <v>241.18049999999999</v>
      </c>
      <c r="J3050">
        <v>-492.68389999999999</v>
      </c>
      <c r="K3050">
        <v>1.110744</v>
      </c>
      <c r="L3050">
        <v>255.26339999999999</v>
      </c>
      <c r="M3050">
        <v>-2.28422E-2</v>
      </c>
      <c r="N3050">
        <v>0</v>
      </c>
      <c r="O3050">
        <v>-0.99964759999999997</v>
      </c>
      <c r="P3050">
        <v>3.2101959999999999E-2</v>
      </c>
      <c r="Q3050">
        <v>0.10249419999999999</v>
      </c>
      <c r="R3050">
        <v>-0.99421559999999998</v>
      </c>
      <c r="S3050">
        <v>0.52185059999999905</v>
      </c>
      <c r="T3050">
        <v>-0.23627919999999999</v>
      </c>
      <c r="U3050">
        <v>-3.0247190000000002</v>
      </c>
      <c r="V3050">
        <v>-5.49474E-2</v>
      </c>
      <c r="W3050">
        <v>0.1158632</v>
      </c>
      <c r="X3050">
        <v>0.99174419999999996</v>
      </c>
      <c r="Y3050">
        <v>-0.1919844</v>
      </c>
      <c r="Z3050">
        <v>7.656164E-2</v>
      </c>
      <c r="AA3050">
        <v>0.97840700000000003</v>
      </c>
      <c r="AB3050">
        <v>28</v>
      </c>
      <c r="AC3050">
        <v>2.4563000000000001</v>
      </c>
      <c r="AD3050">
        <v>-1.1107447432756901</v>
      </c>
      <c r="AE3050">
        <v>-14.082899999999899</v>
      </c>
      <c r="AF3050">
        <v>-2.7607061321465198</v>
      </c>
      <c r="AG3050">
        <v>-1.1107447432756901</v>
      </c>
      <c r="AH3050">
        <v>13.9389613102651</v>
      </c>
      <c r="AI3050">
        <v>94.469605240865604</v>
      </c>
      <c r="AJ3050">
        <v>101.202837854013</v>
      </c>
      <c r="AK3050">
        <v>14.253066148792399</v>
      </c>
      <c r="AL3050">
        <v>83.346584591952407</v>
      </c>
      <c r="AM3050">
        <v>93.171219598915897</v>
      </c>
      <c r="AN3050">
        <v>1.00000002805731</v>
      </c>
    </row>
    <row r="3051" spans="1:40" x14ac:dyDescent="0.25">
      <c r="A3051" t="str">
        <f>"20190312164046510"</f>
        <v>20190312164046510</v>
      </c>
      <c r="B3051" t="str">
        <f>"1552380046499582"</f>
        <v>1552380046499582</v>
      </c>
      <c r="C3051" t="s">
        <v>40</v>
      </c>
      <c r="D3051">
        <v>5.6900019999999998</v>
      </c>
      <c r="E3051">
        <v>0.4543546</v>
      </c>
      <c r="F3051" t="s">
        <v>41</v>
      </c>
      <c r="G3051">
        <v>-490.23390000000001</v>
      </c>
      <c r="H3051" s="1">
        <v>-6.5694490000000004E-7</v>
      </c>
      <c r="I3051">
        <v>240.97540000000001</v>
      </c>
      <c r="J3051">
        <v>-492.68680000000001</v>
      </c>
      <c r="K3051">
        <v>1.110617</v>
      </c>
      <c r="L3051">
        <v>255.12649999999999</v>
      </c>
      <c r="M3051">
        <v>-2.2722590000000001E-2</v>
      </c>
      <c r="N3051">
        <v>0</v>
      </c>
      <c r="O3051">
        <v>-0.99965029999999999</v>
      </c>
      <c r="P3051">
        <v>3.181295E-2</v>
      </c>
      <c r="Q3051">
        <v>0.1033777</v>
      </c>
      <c r="R3051">
        <v>-0.99413339999999994</v>
      </c>
      <c r="S3051">
        <v>0.51867680000000005</v>
      </c>
      <c r="T3051">
        <v>-0.2351588</v>
      </c>
      <c r="U3051">
        <v>-3.0249630000000001</v>
      </c>
      <c r="V3051">
        <v>-5.4501380000000002E-2</v>
      </c>
      <c r="W3051">
        <v>0.11675729999999999</v>
      </c>
      <c r="X3051">
        <v>0.99166390000000004</v>
      </c>
      <c r="Y3051">
        <v>-0.19086110000000001</v>
      </c>
      <c r="Z3051">
        <v>7.6210130000000001E-2</v>
      </c>
      <c r="AA3051">
        <v>0.97865420000000003</v>
      </c>
      <c r="AB3051">
        <v>27</v>
      </c>
      <c r="AC3051">
        <v>2.4529000000000001</v>
      </c>
      <c r="AD3051">
        <v>-1.11061765694489</v>
      </c>
      <c r="AE3051">
        <v>-14.1510999999999</v>
      </c>
      <c r="AF3051">
        <v>-2.7573569704530501</v>
      </c>
      <c r="AG3051">
        <v>-1.11061765694489</v>
      </c>
      <c r="AH3051">
        <v>14.0079385316381</v>
      </c>
      <c r="AI3051">
        <v>94.448200211190198</v>
      </c>
      <c r="AJ3051">
        <v>101.13587138864</v>
      </c>
      <c r="AK3051">
        <v>14.319875381740401</v>
      </c>
      <c r="AL3051">
        <v>83.295006040040093</v>
      </c>
      <c r="AM3051">
        <v>93.145784220076806</v>
      </c>
      <c r="AN3051">
        <v>0.99999997904420201</v>
      </c>
    </row>
    <row r="3052" spans="1:40" x14ac:dyDescent="0.25">
      <c r="A3052" t="str">
        <f>"20190312164046522"</f>
        <v>20190312164046522</v>
      </c>
      <c r="B3052" t="str">
        <f>"1552380046519102"</f>
        <v>1552380046519102</v>
      </c>
      <c r="C3052" t="s">
        <v>40</v>
      </c>
      <c r="D3052">
        <v>5.8572389999999999</v>
      </c>
      <c r="E3052">
        <v>0.4550459</v>
      </c>
      <c r="F3052" t="s">
        <v>41</v>
      </c>
      <c r="G3052">
        <v>-490.25720000000001</v>
      </c>
      <c r="H3052" s="1">
        <v>-5.8405619999999903E-7</v>
      </c>
      <c r="I3052">
        <v>240.791</v>
      </c>
      <c r="J3052">
        <v>-492.68970000000002</v>
      </c>
      <c r="K3052">
        <v>1.1104940000000001</v>
      </c>
      <c r="L3052">
        <v>254.9879</v>
      </c>
      <c r="M3052">
        <v>-2.2648040000000001E-2</v>
      </c>
      <c r="N3052">
        <v>0</v>
      </c>
      <c r="O3052">
        <v>-0.99965219999999999</v>
      </c>
      <c r="P3052">
        <v>3.168518E-2</v>
      </c>
      <c r="Q3052">
        <v>0.1038068</v>
      </c>
      <c r="R3052">
        <v>-0.99409309999999995</v>
      </c>
      <c r="S3052">
        <v>0.51278690000000005</v>
      </c>
      <c r="T3052">
        <v>-0.23440910000000001</v>
      </c>
      <c r="U3052">
        <v>-3.025665</v>
      </c>
      <c r="V3052">
        <v>-5.4262579999999998E-2</v>
      </c>
      <c r="W3052">
        <v>0.1171973</v>
      </c>
      <c r="X3052">
        <v>0.99162510000000004</v>
      </c>
      <c r="Y3052">
        <v>-0.1889014</v>
      </c>
      <c r="Z3052">
        <v>7.5978329999999997E-2</v>
      </c>
      <c r="AA3052">
        <v>0.97905240000000004</v>
      </c>
      <c r="AB3052">
        <v>27</v>
      </c>
      <c r="AC3052">
        <v>2.4325000000000001</v>
      </c>
      <c r="AD3052">
        <v>-1.1104945840561999</v>
      </c>
      <c r="AE3052">
        <v>-14.196899999999999</v>
      </c>
      <c r="AF3052">
        <v>-2.73716750617149</v>
      </c>
      <c r="AG3052">
        <v>-1.1104945840561999</v>
      </c>
      <c r="AH3052">
        <v>14.0546206244383</v>
      </c>
      <c r="AI3052">
        <v>94.434735990023299</v>
      </c>
      <c r="AJ3052">
        <v>101.020527504835</v>
      </c>
      <c r="AK3052">
        <v>14.361672781223801</v>
      </c>
      <c r="AL3052">
        <v>83.269621674494999</v>
      </c>
      <c r="AM3052">
        <v>93.132150646257102</v>
      </c>
      <c r="AN3052">
        <v>0.99999998683277802</v>
      </c>
    </row>
    <row r="3053" spans="1:40" x14ac:dyDescent="0.25">
      <c r="A3053" t="str">
        <f>"20190312164046533"</f>
        <v>20190312164046533</v>
      </c>
      <c r="B3053" t="str">
        <f>"1552380046528862"</f>
        <v>1552380046528862</v>
      </c>
      <c r="C3053" t="s">
        <v>40</v>
      </c>
      <c r="D3053">
        <v>5.7700649999999998</v>
      </c>
      <c r="E3053">
        <v>0.45546779999999998</v>
      </c>
      <c r="F3053" t="s">
        <v>41</v>
      </c>
      <c r="G3053">
        <v>-490.3152</v>
      </c>
      <c r="H3053" s="1">
        <v>-6.1220989999999996E-7</v>
      </c>
      <c r="I3053">
        <v>240.82069999999999</v>
      </c>
      <c r="J3053">
        <v>-492.69290000000001</v>
      </c>
      <c r="K3053">
        <v>1.110363</v>
      </c>
      <c r="L3053">
        <v>254.84289999999999</v>
      </c>
      <c r="M3053">
        <v>-2.2668359999999999E-2</v>
      </c>
      <c r="N3053">
        <v>0</v>
      </c>
      <c r="O3053">
        <v>-0.99965179999999998</v>
      </c>
      <c r="P3053">
        <v>3.1352980000000003E-2</v>
      </c>
      <c r="Q3053">
        <v>0.104509199999999</v>
      </c>
      <c r="R3053">
        <v>-0.99402990000000002</v>
      </c>
      <c r="S3053">
        <v>0.50723269999999998</v>
      </c>
      <c r="T3053">
        <v>-0.23722399999999999</v>
      </c>
      <c r="U3053">
        <v>-3.0263979999999999</v>
      </c>
      <c r="V3053">
        <v>-5.3912830000000002E-2</v>
      </c>
      <c r="W3053">
        <v>0.1179099</v>
      </c>
      <c r="X3053">
        <v>0.99155970000000004</v>
      </c>
      <c r="Y3053">
        <v>-0.18712319999999999</v>
      </c>
      <c r="Z3053">
        <v>7.689174E-2</v>
      </c>
      <c r="AA3053">
        <v>0.97932249999999998</v>
      </c>
      <c r="AB3053">
        <v>27</v>
      </c>
      <c r="AC3053">
        <v>2.3776999999999999</v>
      </c>
      <c r="AD3053">
        <v>-1.1103636122098901</v>
      </c>
      <c r="AE3053">
        <v>-14.0221999999999</v>
      </c>
      <c r="AF3053">
        <v>-2.6786513070428399</v>
      </c>
      <c r="AG3053">
        <v>-1.1103636122098901</v>
      </c>
      <c r="AH3053">
        <v>13.8800909642334</v>
      </c>
      <c r="AI3053">
        <v>94.491221253387494</v>
      </c>
      <c r="AJ3053">
        <v>100.92295300857501</v>
      </c>
      <c r="AK3053">
        <v>14.1797392554108</v>
      </c>
      <c r="AL3053">
        <v>83.228507647364495</v>
      </c>
      <c r="AM3053">
        <v>93.112207001650702</v>
      </c>
      <c r="AN3053">
        <v>0.99999998821035396</v>
      </c>
    </row>
    <row r="3054" spans="1:40" x14ac:dyDescent="0.25">
      <c r="A3054" t="str">
        <f>"20190312164046546"</f>
        <v>20190312164046546</v>
      </c>
      <c r="B3054" t="str">
        <f>"1552380046539599"</f>
        <v>1552380046539599</v>
      </c>
      <c r="C3054" t="s">
        <v>40</v>
      </c>
      <c r="D3054">
        <v>5.6791929999999997</v>
      </c>
      <c r="E3054">
        <v>0.45585150000000002</v>
      </c>
      <c r="F3054" t="s">
        <v>41</v>
      </c>
      <c r="G3054">
        <v>-490.33690000000001</v>
      </c>
      <c r="H3054" s="1">
        <v>-5.4782500000000002E-7</v>
      </c>
      <c r="I3054">
        <v>240.65719999999999</v>
      </c>
      <c r="J3054">
        <v>-492.69639999999998</v>
      </c>
      <c r="K3054">
        <v>1.110239</v>
      </c>
      <c r="L3054">
        <v>254.68620000000001</v>
      </c>
      <c r="M3054">
        <v>-2.2787760000000001E-2</v>
      </c>
      <c r="N3054">
        <v>0</v>
      </c>
      <c r="O3054">
        <v>-0.99964929999999996</v>
      </c>
      <c r="P3054">
        <v>3.0990819999999999E-2</v>
      </c>
      <c r="Q3054">
        <v>0.1053881</v>
      </c>
      <c r="R3054">
        <v>-0.99394850000000001</v>
      </c>
      <c r="S3054">
        <v>0.50274659999999904</v>
      </c>
      <c r="T3054">
        <v>-0.23693919999999999</v>
      </c>
      <c r="U3054">
        <v>-3.027069</v>
      </c>
      <c r="V3054">
        <v>-5.3630499999999998E-2</v>
      </c>
      <c r="W3054">
        <v>0.11879869999999999</v>
      </c>
      <c r="X3054">
        <v>0.99146889999999999</v>
      </c>
      <c r="Y3054">
        <v>-0.18579399999999999</v>
      </c>
      <c r="Z3054">
        <v>7.6801990000000001E-2</v>
      </c>
      <c r="AA3054">
        <v>0.97958259999999997</v>
      </c>
      <c r="AB3054">
        <v>27</v>
      </c>
      <c r="AC3054">
        <v>2.3594999999999602</v>
      </c>
      <c r="AD3054">
        <v>-1.110239547825</v>
      </c>
      <c r="AE3054">
        <v>-14.029</v>
      </c>
      <c r="AF3054">
        <v>-2.6623900063977999</v>
      </c>
      <c r="AG3054">
        <v>-1.110239547825</v>
      </c>
      <c r="AH3054">
        <v>13.8870024902666</v>
      </c>
      <c r="AI3054">
        <v>94.4895462910725</v>
      </c>
      <c r="AJ3054">
        <v>100.852948185107</v>
      </c>
      <c r="AK3054">
        <v>14.183433666231601</v>
      </c>
      <c r="AL3054">
        <v>83.177222575939695</v>
      </c>
      <c r="AM3054">
        <v>93.096223803767103</v>
      </c>
      <c r="AN3054">
        <v>0.99999997065957402</v>
      </c>
    </row>
    <row r="3055" spans="1:40" x14ac:dyDescent="0.25">
      <c r="A3055" t="str">
        <f>"20190312164046557"</f>
        <v>20190312164046557</v>
      </c>
      <c r="B3055" t="str">
        <f>"1552380046549357"</f>
        <v>1552380046549357</v>
      </c>
      <c r="C3055" t="s">
        <v>40</v>
      </c>
      <c r="D3055">
        <v>5.7612589999999999</v>
      </c>
      <c r="E3055">
        <v>0.4559124</v>
      </c>
      <c r="F3055" t="s">
        <v>41</v>
      </c>
      <c r="G3055">
        <v>-490.35930000000002</v>
      </c>
      <c r="H3055" s="1">
        <v>-4.8030640000000001E-7</v>
      </c>
      <c r="I3055">
        <v>240.48589999999999</v>
      </c>
      <c r="J3055">
        <v>-492.69959999999998</v>
      </c>
      <c r="K3055">
        <v>1.1101319999999999</v>
      </c>
      <c r="L3055">
        <v>254.54589999999999</v>
      </c>
      <c r="M3055">
        <v>-2.2940990000000001E-2</v>
      </c>
      <c r="N3055">
        <v>0</v>
      </c>
      <c r="O3055">
        <v>-0.99964549999999996</v>
      </c>
      <c r="P3055">
        <v>3.056592E-2</v>
      </c>
      <c r="Q3055">
        <v>0.10653799999999999</v>
      </c>
      <c r="R3055">
        <v>-0.99383869999999996</v>
      </c>
      <c r="S3055">
        <v>0.49832149999999997</v>
      </c>
      <c r="T3055">
        <v>-0.2367291</v>
      </c>
      <c r="U3055">
        <v>-3.0278320000000001</v>
      </c>
      <c r="V3055">
        <v>-5.3322349999999998E-2</v>
      </c>
      <c r="W3055">
        <v>0.1199567</v>
      </c>
      <c r="X3055">
        <v>0.99134610000000001</v>
      </c>
      <c r="Y3055">
        <v>-0.18451190000000001</v>
      </c>
      <c r="Z3055">
        <v>7.6733339999999997E-2</v>
      </c>
      <c r="AA3055">
        <v>0.97983030000000004</v>
      </c>
      <c r="AB3055">
        <v>27</v>
      </c>
      <c r="AC3055">
        <v>2.3402999999999499</v>
      </c>
      <c r="AD3055">
        <v>-1.1101324803064001</v>
      </c>
      <c r="AE3055">
        <v>-14.06</v>
      </c>
      <c r="AF3055">
        <v>-2.6462115348517301</v>
      </c>
      <c r="AG3055">
        <v>-1.1101324803064001</v>
      </c>
      <c r="AH3055">
        <v>13.9181761675364</v>
      </c>
      <c r="AI3055">
        <v>94.480409645848098</v>
      </c>
      <c r="AJ3055">
        <v>100.764952033642</v>
      </c>
      <c r="AK3055">
        <v>14.2109273955499</v>
      </c>
      <c r="AL3055">
        <v>83.110396285200395</v>
      </c>
      <c r="AM3055">
        <v>93.078848447996094</v>
      </c>
      <c r="AN3055">
        <v>0.99999998643481103</v>
      </c>
    </row>
    <row r="3056" spans="1:40" x14ac:dyDescent="0.25">
      <c r="A3056" t="str">
        <f>"20190312164046576"</f>
        <v>20190312164046576</v>
      </c>
      <c r="B3056" t="str">
        <f>"1552380046568893"</f>
        <v>1552380046568893</v>
      </c>
      <c r="C3056" t="s">
        <v>40</v>
      </c>
      <c r="D3056">
        <v>5.7134330000000002</v>
      </c>
      <c r="E3056">
        <v>0.45635219999999999</v>
      </c>
      <c r="F3056" t="s">
        <v>41</v>
      </c>
      <c r="G3056">
        <v>-490.37200000000001</v>
      </c>
      <c r="H3056" s="1">
        <v>-4.3334619999999998E-7</v>
      </c>
      <c r="I3056">
        <v>240.36850000000001</v>
      </c>
      <c r="J3056">
        <v>-492.70519999999999</v>
      </c>
      <c r="K3056">
        <v>1.1099760000000001</v>
      </c>
      <c r="L3056">
        <v>254.3169</v>
      </c>
      <c r="M3056">
        <v>-2.3386980000000002E-2</v>
      </c>
      <c r="N3056">
        <v>0</v>
      </c>
      <c r="O3056">
        <v>-0.99963539999999995</v>
      </c>
      <c r="P3056">
        <v>2.951964E-2</v>
      </c>
      <c r="Q3056">
        <v>0.1095758</v>
      </c>
      <c r="R3056">
        <v>-0.99354010000000004</v>
      </c>
      <c r="S3056">
        <v>0.49725340000000001</v>
      </c>
      <c r="T3056">
        <v>-0.2371576</v>
      </c>
      <c r="U3056">
        <v>-3.0287169999999999</v>
      </c>
      <c r="V3056">
        <v>-5.2661079999999999E-2</v>
      </c>
      <c r="W3056">
        <v>0.1230043</v>
      </c>
      <c r="X3056">
        <v>0.99100790000000005</v>
      </c>
      <c r="Y3056">
        <v>-0.18456649999999999</v>
      </c>
      <c r="Z3056">
        <v>7.6849899999999902E-2</v>
      </c>
      <c r="AA3056">
        <v>0.97981079999999998</v>
      </c>
      <c r="AB3056">
        <v>27</v>
      </c>
      <c r="AC3056">
        <v>2.3332000000000299</v>
      </c>
      <c r="AD3056">
        <v>-1.1099764333461899</v>
      </c>
      <c r="AE3056">
        <v>-13.9483999999999</v>
      </c>
      <c r="AF3056">
        <v>-2.6425239433005001</v>
      </c>
      <c r="AG3056">
        <v>-1.1099764333461899</v>
      </c>
      <c r="AH3056">
        <v>13.804971567862699</v>
      </c>
      <c r="AI3056">
        <v>94.515297011903499</v>
      </c>
      <c r="AJ3056">
        <v>100.836376898205</v>
      </c>
      <c r="AK3056">
        <v>14.0993695058679</v>
      </c>
      <c r="AL3056">
        <v>82.934478475108904</v>
      </c>
      <c r="AM3056">
        <v>93.041774382474699</v>
      </c>
      <c r="AN3056">
        <v>0.999999952513832</v>
      </c>
    </row>
    <row r="3057" spans="1:40" x14ac:dyDescent="0.25">
      <c r="A3057" t="str">
        <f>"20190312164046588"</f>
        <v>20190312164046588</v>
      </c>
      <c r="B3057" t="str">
        <f>"1552380046578638"</f>
        <v>1552380046578638</v>
      </c>
      <c r="C3057" t="s">
        <v>40</v>
      </c>
      <c r="D3057">
        <v>5.7173970000000001</v>
      </c>
      <c r="E3057">
        <v>0.4564684</v>
      </c>
      <c r="F3057" t="s">
        <v>41</v>
      </c>
      <c r="G3057">
        <v>-490.37139999999999</v>
      </c>
      <c r="H3057" s="1">
        <v>-2.2415230000000001E-7</v>
      </c>
      <c r="I3057">
        <v>239.88130000000001</v>
      </c>
      <c r="J3057">
        <v>-492.70870000000002</v>
      </c>
      <c r="K3057">
        <v>1.109891</v>
      </c>
      <c r="L3057">
        <v>254.17750000000001</v>
      </c>
      <c r="M3057">
        <v>-2.37465E-2</v>
      </c>
      <c r="N3057">
        <v>0</v>
      </c>
      <c r="O3057">
        <v>-0.99962720000000005</v>
      </c>
      <c r="P3057">
        <v>2.9670189999999999E-2</v>
      </c>
      <c r="Q3057">
        <v>0.1112641</v>
      </c>
      <c r="R3057">
        <v>-0.99334820000000001</v>
      </c>
      <c r="S3057">
        <v>0.4899597</v>
      </c>
      <c r="T3057">
        <v>-0.23303070000000001</v>
      </c>
      <c r="U3057">
        <v>-3.03064</v>
      </c>
      <c r="V3057">
        <v>-5.3134580000000001E-2</v>
      </c>
      <c r="W3057">
        <v>0.1246982</v>
      </c>
      <c r="X3057">
        <v>0.99077090000000001</v>
      </c>
      <c r="Y3057">
        <v>-0.1825396</v>
      </c>
      <c r="Z3057">
        <v>7.5501310000000002E-2</v>
      </c>
      <c r="AA3057">
        <v>0.98029529999999998</v>
      </c>
      <c r="AB3057">
        <v>27</v>
      </c>
      <c r="AC3057">
        <v>2.3373000000000199</v>
      </c>
      <c r="AD3057">
        <v>-1.1098912241523</v>
      </c>
      <c r="AE3057">
        <v>-14.296200000000001</v>
      </c>
      <c r="AF3057">
        <v>-2.6605380497467901</v>
      </c>
      <c r="AG3057">
        <v>-1.1098912241523</v>
      </c>
      <c r="AH3057">
        <v>14.1535738135239</v>
      </c>
      <c r="AI3057">
        <v>94.406957261691204</v>
      </c>
      <c r="AJ3057">
        <v>100.64602245521</v>
      </c>
      <c r="AK3057">
        <v>14.444167436667</v>
      </c>
      <c r="AL3057">
        <v>82.836672091256602</v>
      </c>
      <c r="AM3057">
        <v>93.069805063362594</v>
      </c>
      <c r="AN3057">
        <v>0.99999995048091195</v>
      </c>
    </row>
    <row r="3058" spans="1:40" x14ac:dyDescent="0.25">
      <c r="A3058" t="str">
        <f>"20190312164046600"</f>
        <v>20190312164046600</v>
      </c>
      <c r="B3058" t="str">
        <f>"1552380046589373"</f>
        <v>1552380046589373</v>
      </c>
      <c r="C3058" t="s">
        <v>40</v>
      </c>
      <c r="D3058">
        <v>5.7554339999999904</v>
      </c>
      <c r="E3058">
        <v>0.45646680000000001</v>
      </c>
      <c r="F3058" t="s">
        <v>41</v>
      </c>
      <c r="G3058">
        <v>-490.35019999999997</v>
      </c>
      <c r="H3058" s="1">
        <v>-4.3449950000000004E-6</v>
      </c>
      <c r="I3058">
        <v>239.57220000000001</v>
      </c>
      <c r="J3058">
        <v>-492.71230000000003</v>
      </c>
      <c r="K3058">
        <v>1.109812</v>
      </c>
      <c r="L3058">
        <v>254.03479999999999</v>
      </c>
      <c r="M3058">
        <v>-2.4137700000000002E-2</v>
      </c>
      <c r="N3058">
        <v>0</v>
      </c>
      <c r="O3058">
        <v>-0.99961789999999995</v>
      </c>
      <c r="P3058">
        <v>2.9917180000000002E-2</v>
      </c>
      <c r="Q3058">
        <v>0.1132124</v>
      </c>
      <c r="R3058">
        <v>-0.99312069999999997</v>
      </c>
      <c r="S3058">
        <v>0.48950199999999999</v>
      </c>
      <c r="T3058">
        <v>-0.2303567</v>
      </c>
      <c r="U3058">
        <v>-3.0312960000000002</v>
      </c>
      <c r="V3058">
        <v>-5.373439E-2</v>
      </c>
      <c r="W3058">
        <v>0.1266515</v>
      </c>
      <c r="X3058">
        <v>0.9904908</v>
      </c>
      <c r="Y3058">
        <v>-0.18275710000000001</v>
      </c>
      <c r="Z3058">
        <v>7.4622339999999995E-2</v>
      </c>
      <c r="AA3058">
        <v>0.98032209999999997</v>
      </c>
      <c r="AB3058">
        <v>27</v>
      </c>
      <c r="AC3058">
        <v>2.36210000000005</v>
      </c>
      <c r="AD3058">
        <v>-1.109816344995</v>
      </c>
      <c r="AE3058">
        <v>-14.462599999999901</v>
      </c>
      <c r="AF3058">
        <v>-2.6950794188548501</v>
      </c>
      <c r="AG3058">
        <v>-1.109816344995</v>
      </c>
      <c r="AH3058">
        <v>14.3192356606495</v>
      </c>
      <c r="AI3058">
        <v>94.355689789866801</v>
      </c>
      <c r="AJ3058">
        <v>100.65916533331399</v>
      </c>
      <c r="AK3058">
        <v>14.6128592444727</v>
      </c>
      <c r="AL3058">
        <v>82.723862208700893</v>
      </c>
      <c r="AM3058">
        <v>93.105267340953603</v>
      </c>
      <c r="AN3058">
        <v>1.0000000060027801</v>
      </c>
    </row>
    <row r="3059" spans="1:40" x14ac:dyDescent="0.25">
      <c r="A3059" t="str">
        <f>"20190312164046612"</f>
        <v>20190312164046612</v>
      </c>
      <c r="B3059" t="str">
        <f>"1552380046608893"</f>
        <v>1552380046608893</v>
      </c>
      <c r="C3059" t="s">
        <v>40</v>
      </c>
      <c r="D3059">
        <v>5.8437970000000004</v>
      </c>
      <c r="E3059">
        <v>0.45664769999999999</v>
      </c>
      <c r="F3059" t="s">
        <v>41</v>
      </c>
      <c r="G3059">
        <v>-490.32909999999998</v>
      </c>
      <c r="H3059" s="1">
        <v>-4.257152E-6</v>
      </c>
      <c r="I3059">
        <v>239.32509999999999</v>
      </c>
      <c r="J3059">
        <v>-492.71690000000001</v>
      </c>
      <c r="K3059">
        <v>1.1097269999999999</v>
      </c>
      <c r="L3059">
        <v>253.86760000000001</v>
      </c>
      <c r="M3059">
        <v>-2.467186E-2</v>
      </c>
      <c r="N3059">
        <v>0</v>
      </c>
      <c r="O3059">
        <v>-0.99960479999999996</v>
      </c>
      <c r="P3059">
        <v>3.0009049999999999E-2</v>
      </c>
      <c r="Q3059">
        <v>0.1149684</v>
      </c>
      <c r="R3059">
        <v>-0.99291620000000003</v>
      </c>
      <c r="S3059">
        <v>0.4912415</v>
      </c>
      <c r="T3059">
        <v>-0.22876179999999999</v>
      </c>
      <c r="U3059">
        <v>-3.0320589999999998</v>
      </c>
      <c r="V3059">
        <v>-5.4319909999999999E-2</v>
      </c>
      <c r="W3059">
        <v>0.12841320000000001</v>
      </c>
      <c r="X3059">
        <v>0.990232</v>
      </c>
      <c r="Y3059">
        <v>-0.18379809999999999</v>
      </c>
      <c r="Z3059">
        <v>7.4078199999999997E-2</v>
      </c>
      <c r="AA3059">
        <v>0.9801687</v>
      </c>
      <c r="AB3059">
        <v>27</v>
      </c>
      <c r="AC3059">
        <v>2.3878000000000199</v>
      </c>
      <c r="AD3059">
        <v>-1.1097312571519999</v>
      </c>
      <c r="AE3059">
        <v>-14.5425</v>
      </c>
      <c r="AF3059">
        <v>-2.7304139318727598</v>
      </c>
      <c r="AG3059">
        <v>-1.1097312571519999</v>
      </c>
      <c r="AH3059">
        <v>14.397517825764499</v>
      </c>
      <c r="AI3059">
        <v>94.330640370159301</v>
      </c>
      <c r="AJ3059">
        <v>100.738321684026</v>
      </c>
      <c r="AK3059">
        <v>14.6960941493198</v>
      </c>
      <c r="AL3059">
        <v>82.622093233135203</v>
      </c>
      <c r="AM3059">
        <v>93.139855523070096</v>
      </c>
      <c r="AN3059">
        <v>1.00000000819032</v>
      </c>
    </row>
    <row r="3060" spans="1:40" x14ac:dyDescent="0.25">
      <c r="A3060" t="str">
        <f>"20190312164046632"</f>
        <v>20190312164046632</v>
      </c>
      <c r="B3060" t="str">
        <f>"1552380046629389"</f>
        <v>1552380046629389</v>
      </c>
      <c r="C3060" t="s">
        <v>40</v>
      </c>
      <c r="D3060">
        <v>5.7655149999999997</v>
      </c>
      <c r="E3060">
        <v>0.45699050000000002</v>
      </c>
      <c r="F3060" t="s">
        <v>41</v>
      </c>
      <c r="G3060">
        <v>-490.32429999999999</v>
      </c>
      <c r="H3060" s="1">
        <v>-4.1598959999999997E-6</v>
      </c>
      <c r="I3060">
        <v>239.0848</v>
      </c>
      <c r="J3060">
        <v>-492.72329999999999</v>
      </c>
      <c r="K3060">
        <v>1.1096360000000001</v>
      </c>
      <c r="L3060">
        <v>253.63640000000001</v>
      </c>
      <c r="M3060">
        <v>-2.5467190000000001E-2</v>
      </c>
      <c r="N3060">
        <v>0</v>
      </c>
      <c r="O3060">
        <v>-0.99958480000000005</v>
      </c>
      <c r="P3060">
        <v>3.0170869999999999E-2</v>
      </c>
      <c r="Q3060">
        <v>0.11849510000000001</v>
      </c>
      <c r="R3060">
        <v>-0.99249609999999999</v>
      </c>
      <c r="S3060">
        <v>0.49087520000000001</v>
      </c>
      <c r="T3060">
        <v>-0.2276793</v>
      </c>
      <c r="U3060">
        <v>-3.0329280000000001</v>
      </c>
      <c r="V3060">
        <v>-5.5221899999999997E-2</v>
      </c>
      <c r="W3060">
        <v>0.131943</v>
      </c>
      <c r="X3060">
        <v>0.98971799999999999</v>
      </c>
      <c r="Y3060">
        <v>-0.1844248</v>
      </c>
      <c r="Z3060">
        <v>7.3702950000000003E-2</v>
      </c>
      <c r="AA3060">
        <v>0.98007929999999999</v>
      </c>
      <c r="AB3060">
        <v>27</v>
      </c>
      <c r="AC3060">
        <v>2.399</v>
      </c>
      <c r="AD3060">
        <v>-1.109640159896</v>
      </c>
      <c r="AE3060">
        <v>-14.551600000000001</v>
      </c>
      <c r="AF3060">
        <v>-2.7532574759391899</v>
      </c>
      <c r="AG3060">
        <v>-1.109640159896</v>
      </c>
      <c r="AH3060">
        <v>14.4042351023962</v>
      </c>
      <c r="AI3060">
        <v>94.3270883527493</v>
      </c>
      <c r="AJ3060">
        <v>100.821117998424</v>
      </c>
      <c r="AK3060">
        <v>14.706927513875</v>
      </c>
      <c r="AL3060">
        <v>82.4181151956044</v>
      </c>
      <c r="AM3060">
        <v>93.193540595931296</v>
      </c>
      <c r="AN3060">
        <v>1.0000000665063</v>
      </c>
    </row>
    <row r="3061" spans="1:40" x14ac:dyDescent="0.25">
      <c r="A3061" t="str">
        <f>"20190312164046645"</f>
        <v>20190312164046645</v>
      </c>
      <c r="B3061" t="str">
        <f>"1552380046639150"</f>
        <v>1552380046639150</v>
      </c>
      <c r="C3061" t="s">
        <v>40</v>
      </c>
      <c r="D3061">
        <v>5.709714</v>
      </c>
      <c r="E3061">
        <v>0.45715889999999998</v>
      </c>
      <c r="F3061" t="s">
        <v>41</v>
      </c>
      <c r="G3061">
        <v>-490.23450000000003</v>
      </c>
      <c r="H3061" s="1">
        <v>-3.75604E-6</v>
      </c>
      <c r="I3061">
        <v>238.19909999999999</v>
      </c>
      <c r="J3061">
        <v>-492.72809999999998</v>
      </c>
      <c r="K3061">
        <v>1.109586</v>
      </c>
      <c r="L3061">
        <v>253.47190000000001</v>
      </c>
      <c r="M3061">
        <v>-2.606551E-2</v>
      </c>
      <c r="N3061">
        <v>0</v>
      </c>
      <c r="O3061">
        <v>-0.99956929999999999</v>
      </c>
      <c r="P3061">
        <v>3.0423510000000001E-2</v>
      </c>
      <c r="Q3061">
        <v>0.12023150000000001</v>
      </c>
      <c r="R3061">
        <v>-0.99227960000000004</v>
      </c>
      <c r="S3061">
        <v>0.48910520000000002</v>
      </c>
      <c r="T3061">
        <v>-0.21807270000000001</v>
      </c>
      <c r="U3061">
        <v>-3.0338289999999999</v>
      </c>
      <c r="V3061">
        <v>-5.6042139999999997E-2</v>
      </c>
      <c r="W3061">
        <v>0.1336803</v>
      </c>
      <c r="X3061">
        <v>0.9894387</v>
      </c>
      <c r="Y3061">
        <v>-0.18444579999999999</v>
      </c>
      <c r="Z3061">
        <v>7.0590169999999994E-2</v>
      </c>
      <c r="AA3061">
        <v>0.98030439999999996</v>
      </c>
      <c r="AB3061">
        <v>27</v>
      </c>
      <c r="AC3061">
        <v>2.4935999999999501</v>
      </c>
      <c r="AD3061">
        <v>-1.1095897560400001</v>
      </c>
      <c r="AE3061">
        <v>-15.2728</v>
      </c>
      <c r="AF3061">
        <v>-2.8760956267415301</v>
      </c>
      <c r="AG3061">
        <v>-1.1095897560400001</v>
      </c>
      <c r="AH3061">
        <v>15.124847629658801</v>
      </c>
      <c r="AI3061">
        <v>94.1222134084083</v>
      </c>
      <c r="AJ3061">
        <v>100.766648767315</v>
      </c>
      <c r="AK3061">
        <v>15.435806791394601</v>
      </c>
      <c r="AL3061">
        <v>82.317685369483002</v>
      </c>
      <c r="AM3061">
        <v>93.241788449151201</v>
      </c>
      <c r="AN3061">
        <v>1.00000004256077</v>
      </c>
    </row>
    <row r="3062" spans="1:40" x14ac:dyDescent="0.25">
      <c r="A3062" t="str">
        <f>"20190312164046658"</f>
        <v>20190312164046658</v>
      </c>
      <c r="B3062" t="str">
        <f>"1552380046648909"</f>
        <v>1552380046648909</v>
      </c>
      <c r="C3062" t="s">
        <v>40</v>
      </c>
      <c r="D3062">
        <v>6.1564389999999998</v>
      </c>
      <c r="E3062">
        <v>0.45742739999999998</v>
      </c>
      <c r="F3062" t="s">
        <v>41</v>
      </c>
      <c r="G3062">
        <v>-490.17829999999998</v>
      </c>
      <c r="H3062" s="1">
        <v>-3.511055E-6</v>
      </c>
      <c r="I3062">
        <v>237.66290000000001</v>
      </c>
      <c r="J3062">
        <v>-492.73270000000002</v>
      </c>
      <c r="K3062">
        <v>1.1095489999999999</v>
      </c>
      <c r="L3062">
        <v>253.316</v>
      </c>
      <c r="M3062">
        <v>-2.664706E-2</v>
      </c>
      <c r="N3062">
        <v>0</v>
      </c>
      <c r="O3062">
        <v>-0.99955419999999995</v>
      </c>
      <c r="P3062">
        <v>3.0585370000000001E-2</v>
      </c>
      <c r="Q3062">
        <v>0.1217038</v>
      </c>
      <c r="R3062">
        <v>-0.99209530000000001</v>
      </c>
      <c r="S3062">
        <v>0.48937989999999998</v>
      </c>
      <c r="T3062">
        <v>-0.21295800000000001</v>
      </c>
      <c r="U3062">
        <v>-3.0341490000000002</v>
      </c>
      <c r="V3062">
        <v>-5.6760100000000001E-2</v>
      </c>
      <c r="W3062">
        <v>0.1351531</v>
      </c>
      <c r="X3062">
        <v>0.98919760000000001</v>
      </c>
      <c r="Y3062">
        <v>-0.1851063</v>
      </c>
      <c r="Z3062">
        <v>6.8929119999999997E-2</v>
      </c>
      <c r="AA3062">
        <v>0.98029820000000001</v>
      </c>
      <c r="AB3062">
        <v>27</v>
      </c>
      <c r="AC3062">
        <v>2.5544000000000402</v>
      </c>
      <c r="AD3062">
        <v>-1.109552511055</v>
      </c>
      <c r="AE3062">
        <v>-15.653099999999901</v>
      </c>
      <c r="AF3062">
        <v>-2.9561716287153899</v>
      </c>
      <c r="AG3062">
        <v>-1.109552511055</v>
      </c>
      <c r="AH3062">
        <v>15.5035896907289</v>
      </c>
      <c r="AI3062">
        <v>94.021327884931793</v>
      </c>
      <c r="AJ3062">
        <v>100.795377557924</v>
      </c>
      <c r="AK3062">
        <v>15.821863062600601</v>
      </c>
      <c r="AL3062">
        <v>82.232526838698604</v>
      </c>
      <c r="AM3062">
        <v>93.284027437572107</v>
      </c>
      <c r="AN3062">
        <v>0.999999980618689</v>
      </c>
    </row>
    <row r="3063" spans="1:40" x14ac:dyDescent="0.25">
      <c r="A3063" t="str">
        <f>"20190312164046677"</f>
        <v>20190312164046677</v>
      </c>
      <c r="B3063" t="str">
        <f>"1552380046669405"</f>
        <v>1552380046669405</v>
      </c>
      <c r="C3063" t="s">
        <v>40</v>
      </c>
      <c r="D3063">
        <v>5.7973879999999998</v>
      </c>
      <c r="E3063">
        <v>0.4575109</v>
      </c>
      <c r="F3063" t="s">
        <v>41</v>
      </c>
      <c r="G3063">
        <v>-490.1386</v>
      </c>
      <c r="H3063" s="1">
        <v>-3.3007239999999998E-6</v>
      </c>
      <c r="I3063">
        <v>237.19720000000001</v>
      </c>
      <c r="J3063">
        <v>-492.73970000000003</v>
      </c>
      <c r="K3063">
        <v>1.1095280000000001</v>
      </c>
      <c r="L3063">
        <v>253.08600000000001</v>
      </c>
      <c r="M3063">
        <v>-2.752657E-2</v>
      </c>
      <c r="N3063">
        <v>0</v>
      </c>
      <c r="O3063">
        <v>-0.99953040000000004</v>
      </c>
      <c r="P3063">
        <v>3.0855830000000001E-2</v>
      </c>
      <c r="Q3063">
        <v>0.1240009</v>
      </c>
      <c r="R3063">
        <v>-0.99180250000000003</v>
      </c>
      <c r="S3063">
        <v>0.48834230000000001</v>
      </c>
      <c r="T3063">
        <v>-0.20888100000000001</v>
      </c>
      <c r="U3063">
        <v>-3.0344850000000001</v>
      </c>
      <c r="V3063">
        <v>-5.7881229999999999E-2</v>
      </c>
      <c r="W3063">
        <v>0.1374456</v>
      </c>
      <c r="X3063">
        <v>0.98881669999999999</v>
      </c>
      <c r="Y3063">
        <v>-0.18564149999999999</v>
      </c>
      <c r="Z3063">
        <v>6.7604280000000003E-2</v>
      </c>
      <c r="AA3063">
        <v>0.98028919999999997</v>
      </c>
      <c r="AB3063">
        <v>27</v>
      </c>
      <c r="AC3063">
        <v>2.6011000000000299</v>
      </c>
      <c r="AD3063">
        <v>-1.109531300724</v>
      </c>
      <c r="AE3063">
        <v>-15.8887999999999</v>
      </c>
      <c r="AF3063">
        <v>-3.0231607162092602</v>
      </c>
      <c r="AG3063">
        <v>-1.109531300724</v>
      </c>
      <c r="AH3063">
        <v>15.736438459313399</v>
      </c>
      <c r="AI3063">
        <v>93.960893953864996</v>
      </c>
      <c r="AJ3063">
        <v>100.874721390166</v>
      </c>
      <c r="AK3063">
        <v>16.062566912143101</v>
      </c>
      <c r="AL3063">
        <v>82.099939017648595</v>
      </c>
      <c r="AM3063">
        <v>93.350034637344805</v>
      </c>
      <c r="AN3063">
        <v>0.99999999797228101</v>
      </c>
    </row>
    <row r="3064" spans="1:40" x14ac:dyDescent="0.25">
      <c r="A3064" t="str">
        <f>"20190312164046689"</f>
        <v>20190312164046689</v>
      </c>
      <c r="B3064" t="str">
        <f>"1552380046679165"</f>
        <v>1552380046679165</v>
      </c>
      <c r="C3064" t="s">
        <v>40</v>
      </c>
      <c r="D3064">
        <v>5.7564039999999999</v>
      </c>
      <c r="E3064">
        <v>0.45753529999999998</v>
      </c>
      <c r="F3064" t="s">
        <v>41</v>
      </c>
      <c r="G3064">
        <v>-490.11099999999999</v>
      </c>
      <c r="H3064" s="1">
        <v>-3.1173569999999999E-6</v>
      </c>
      <c r="I3064">
        <v>236.7869</v>
      </c>
      <c r="J3064">
        <v>-492.7441</v>
      </c>
      <c r="K3064">
        <v>1.1095299999999999</v>
      </c>
      <c r="L3064">
        <v>252.9462</v>
      </c>
      <c r="M3064">
        <v>-2.8059130000000002E-2</v>
      </c>
      <c r="N3064">
        <v>0</v>
      </c>
      <c r="O3064">
        <v>-0.99951570000000001</v>
      </c>
      <c r="P3064">
        <v>3.1165740000000001E-2</v>
      </c>
      <c r="Q3064">
        <v>0.12461270000000001</v>
      </c>
      <c r="R3064">
        <v>-0.99171609999999999</v>
      </c>
      <c r="S3064">
        <v>0.48956300000000003</v>
      </c>
      <c r="T3064">
        <v>-0.20662900000000001</v>
      </c>
      <c r="U3064">
        <v>-3.0353850000000002</v>
      </c>
      <c r="V3064">
        <v>-5.8714509999999998E-2</v>
      </c>
      <c r="W3064">
        <v>0.13805439999999999</v>
      </c>
      <c r="X3064">
        <v>0.98868270000000003</v>
      </c>
      <c r="Y3064">
        <v>-0.1865117</v>
      </c>
      <c r="Z3064">
        <v>6.6850110000000004E-2</v>
      </c>
      <c r="AA3064">
        <v>0.98017569999999998</v>
      </c>
      <c r="AB3064">
        <v>27</v>
      </c>
      <c r="AC3064">
        <v>2.63310000000001</v>
      </c>
      <c r="AD3064">
        <v>-1.109533117357</v>
      </c>
      <c r="AE3064">
        <v>-16.159300000000002</v>
      </c>
      <c r="AF3064">
        <v>-3.0714143693554901</v>
      </c>
      <c r="AG3064">
        <v>-1.109533117357</v>
      </c>
      <c r="AH3064">
        <v>16.005540800732401</v>
      </c>
      <c r="AI3064">
        <v>93.894666894782603</v>
      </c>
      <c r="AJ3064">
        <v>100.86283049773</v>
      </c>
      <c r="AK3064">
        <v>16.335298781800901</v>
      </c>
      <c r="AL3064">
        <v>82.064721206251406</v>
      </c>
      <c r="AM3064">
        <v>93.398610265023294</v>
      </c>
      <c r="AN3064">
        <v>0.99999994616159305</v>
      </c>
    </row>
    <row r="3065" spans="1:40" x14ac:dyDescent="0.25">
      <c r="A3065" t="str">
        <f>"20190312164046700"</f>
        <v>20190312164046700</v>
      </c>
      <c r="B3065" t="str">
        <f>"1552380046689302"</f>
        <v>1552380046689302</v>
      </c>
      <c r="C3065" t="s">
        <v>40</v>
      </c>
      <c r="D3065">
        <v>5.81602</v>
      </c>
      <c r="E3065">
        <v>0.4577387</v>
      </c>
      <c r="F3065" t="s">
        <v>41</v>
      </c>
      <c r="G3065">
        <v>-490.1062</v>
      </c>
      <c r="H3065" s="1">
        <v>-3.0380130000000001E-6</v>
      </c>
      <c r="I3065">
        <v>236.60489999999999</v>
      </c>
      <c r="J3065">
        <v>-492.74869999999999</v>
      </c>
      <c r="K3065">
        <v>1.1095360000000001</v>
      </c>
      <c r="L3065">
        <v>252.8038</v>
      </c>
      <c r="M3065">
        <v>-2.8598100000000001E-2</v>
      </c>
      <c r="N3065">
        <v>0</v>
      </c>
      <c r="O3065">
        <v>-0.99950030000000001</v>
      </c>
      <c r="P3065">
        <v>3.1337450000000003E-2</v>
      </c>
      <c r="Q3065">
        <v>0.12523199999999901</v>
      </c>
      <c r="R3065">
        <v>-0.99163279999999998</v>
      </c>
      <c r="S3065">
        <v>0.49002079999999998</v>
      </c>
      <c r="T3065">
        <v>-0.20610619999999999</v>
      </c>
      <c r="U3065">
        <v>-3.0355530000000002</v>
      </c>
      <c r="V3065">
        <v>-5.9417909999999997E-2</v>
      </c>
      <c r="W3065">
        <v>0.13867070000000001</v>
      </c>
      <c r="X3065">
        <v>0.9885545</v>
      </c>
      <c r="Y3065">
        <v>-0.18717880000000001</v>
      </c>
      <c r="Z3065">
        <v>6.6671480000000005E-2</v>
      </c>
      <c r="AA3065">
        <v>0.98006070000000001</v>
      </c>
      <c r="AB3065">
        <v>27</v>
      </c>
      <c r="AC3065">
        <v>2.6424999999999801</v>
      </c>
      <c r="AD3065">
        <v>-1.1095390380129999</v>
      </c>
      <c r="AE3065">
        <v>-16.198899999999998</v>
      </c>
      <c r="AF3065">
        <v>-3.0905949975129601</v>
      </c>
      <c r="AG3065">
        <v>-1.1095390380129999</v>
      </c>
      <c r="AH3065">
        <v>16.043379063269299</v>
      </c>
      <c r="AI3065">
        <v>93.884996597741406</v>
      </c>
      <c r="AJ3065">
        <v>100.903881405989</v>
      </c>
      <c r="AK3065">
        <v>16.375984430967101</v>
      </c>
      <c r="AL3065">
        <v>82.029067513511706</v>
      </c>
      <c r="AM3065">
        <v>93.439673414618298</v>
      </c>
      <c r="AN3065">
        <v>1.00000002526875</v>
      </c>
    </row>
    <row r="3066" spans="1:40" x14ac:dyDescent="0.25">
      <c r="A3066" t="str">
        <f>"20190312164046712"</f>
        <v>20190312164046712</v>
      </c>
      <c r="B3066" t="str">
        <f>"1552380046709421"</f>
        <v>1552380046709421</v>
      </c>
      <c r="C3066" t="s">
        <v>40</v>
      </c>
      <c r="D3066">
        <v>5.742019</v>
      </c>
      <c r="E3066">
        <v>0.45808520000000003</v>
      </c>
      <c r="F3066" t="s">
        <v>41</v>
      </c>
      <c r="G3066">
        <v>-490.12459999999999</v>
      </c>
      <c r="H3066" s="1">
        <v>-3.0019949999999999E-6</v>
      </c>
      <c r="I3066">
        <v>236.50960000000001</v>
      </c>
      <c r="J3066">
        <v>-492.75349999999997</v>
      </c>
      <c r="K3066">
        <v>1.109551</v>
      </c>
      <c r="L3066">
        <v>252.65450000000001</v>
      </c>
      <c r="M3066">
        <v>-2.9148070000000002E-2</v>
      </c>
      <c r="N3066">
        <v>0</v>
      </c>
      <c r="O3066">
        <v>-0.9994845</v>
      </c>
      <c r="P3066">
        <v>3.1776029999999997E-2</v>
      </c>
      <c r="Q3066">
        <v>0.12549640000000001</v>
      </c>
      <c r="R3066">
        <v>-0.99158559999999996</v>
      </c>
      <c r="S3066">
        <v>0.48892210000000003</v>
      </c>
      <c r="T3066">
        <v>-0.20672850000000001</v>
      </c>
      <c r="U3066">
        <v>-3.0359340000000001</v>
      </c>
      <c r="V3066">
        <v>-6.04031999999999E-2</v>
      </c>
      <c r="W3066">
        <v>0.13893039999999901</v>
      </c>
      <c r="X3066">
        <v>0.98845830000000001</v>
      </c>
      <c r="Y3066">
        <v>-0.1873522</v>
      </c>
      <c r="Z3066">
        <v>6.6862790000000005E-2</v>
      </c>
      <c r="AA3066">
        <v>0.98001459999999996</v>
      </c>
      <c r="AB3066">
        <v>27</v>
      </c>
      <c r="AC3066">
        <v>2.6288999999999798</v>
      </c>
      <c r="AD3066">
        <v>-1.1095540019950001</v>
      </c>
      <c r="AE3066">
        <v>-16.1449</v>
      </c>
      <c r="AF3066">
        <v>-3.0842272656181802</v>
      </c>
      <c r="AG3066">
        <v>-1.1095540019950001</v>
      </c>
      <c r="AH3066">
        <v>15.987842973259699</v>
      </c>
      <c r="AI3066">
        <v>93.898306901833905</v>
      </c>
      <c r="AJ3066">
        <v>100.91884540406799</v>
      </c>
      <c r="AK3066">
        <v>16.320376553466399</v>
      </c>
      <c r="AL3066">
        <v>82.014042212746304</v>
      </c>
      <c r="AM3066">
        <v>93.496910457789596</v>
      </c>
      <c r="AN3066">
        <v>1.0000000067266399</v>
      </c>
    </row>
    <row r="3067" spans="1:40" x14ac:dyDescent="0.25">
      <c r="A3067" t="str">
        <f>"20190312164046724"</f>
        <v>20190312164046724</v>
      </c>
      <c r="B3067" t="str">
        <f>"1552380046719182"</f>
        <v>1552380046719182</v>
      </c>
      <c r="C3067" t="s">
        <v>40</v>
      </c>
      <c r="D3067">
        <v>5.7169299999999996</v>
      </c>
      <c r="E3067">
        <v>0.4581133</v>
      </c>
      <c r="F3067" t="s">
        <v>41</v>
      </c>
      <c r="G3067">
        <v>-490.14780000000002</v>
      </c>
      <c r="H3067" s="1">
        <v>-2.973477E-6</v>
      </c>
      <c r="I3067">
        <v>236.42869999999999</v>
      </c>
      <c r="J3067">
        <v>-492.75810000000001</v>
      </c>
      <c r="K3067">
        <v>1.109567</v>
      </c>
      <c r="L3067">
        <v>252.51679999999999</v>
      </c>
      <c r="M3067">
        <v>-2.9642620000000001E-2</v>
      </c>
      <c r="N3067">
        <v>0</v>
      </c>
      <c r="O3067">
        <v>-0.99947019999999998</v>
      </c>
      <c r="P3067">
        <v>3.2001559999999998E-2</v>
      </c>
      <c r="Q3067">
        <v>0.12579360000000001</v>
      </c>
      <c r="R3067">
        <v>-0.99154070000000005</v>
      </c>
      <c r="S3067">
        <v>0.48757929999999999</v>
      </c>
      <c r="T3067">
        <v>-0.20761540000000001</v>
      </c>
      <c r="U3067">
        <v>-3.0361180000000001</v>
      </c>
      <c r="V3067">
        <v>-6.1121780000000001E-2</v>
      </c>
      <c r="W3067">
        <v>0.1392236</v>
      </c>
      <c r="X3067">
        <v>0.9883729</v>
      </c>
      <c r="Y3067">
        <v>-0.1874034</v>
      </c>
      <c r="Z3067">
        <v>6.7144869999999995E-2</v>
      </c>
      <c r="AA3067">
        <v>0.97998549999999995</v>
      </c>
      <c r="AB3067">
        <v>27</v>
      </c>
      <c r="AC3067">
        <v>2.6102999999999899</v>
      </c>
      <c r="AD3067">
        <v>-1.1095699734769999</v>
      </c>
      <c r="AE3067">
        <v>-16.088099999999901</v>
      </c>
      <c r="AF3067">
        <v>-3.07185234410559</v>
      </c>
      <c r="AG3067">
        <v>-1.1095699734769999</v>
      </c>
      <c r="AH3067">
        <v>15.9298170849349</v>
      </c>
      <c r="AI3067">
        <v>93.912572757864993</v>
      </c>
      <c r="AJ3067">
        <v>100.91474962362</v>
      </c>
      <c r="AK3067">
        <v>16.261195980293401</v>
      </c>
      <c r="AL3067">
        <v>81.997078463717799</v>
      </c>
      <c r="AM3067">
        <v>93.538710950342704</v>
      </c>
      <c r="AN3067">
        <v>1.0000000361208601</v>
      </c>
    </row>
    <row r="3068" spans="1:40" x14ac:dyDescent="0.25">
      <c r="A3068" t="str">
        <f>"20190312164046742"</f>
        <v>20190312164046742</v>
      </c>
      <c r="B3068" t="str">
        <f>"1552380046738701"</f>
        <v>1552380046738701</v>
      </c>
      <c r="C3068" t="s">
        <v>40</v>
      </c>
      <c r="D3068">
        <v>5.7701890000000002</v>
      </c>
      <c r="E3068">
        <v>0.45816000000000001</v>
      </c>
      <c r="F3068" t="s">
        <v>41</v>
      </c>
      <c r="G3068">
        <v>-490.17140000000001</v>
      </c>
      <c r="H3068" s="1">
        <v>-2.9818520000000001E-6</v>
      </c>
      <c r="I3068">
        <v>236.43360000000001</v>
      </c>
      <c r="J3068">
        <v>-492.76549999999997</v>
      </c>
      <c r="K3068">
        <v>1.109604</v>
      </c>
      <c r="L3068">
        <v>252.29349999999999</v>
      </c>
      <c r="M3068">
        <v>-3.041371E-2</v>
      </c>
      <c r="N3068">
        <v>0</v>
      </c>
      <c r="O3068">
        <v>-0.99944690000000003</v>
      </c>
      <c r="P3068">
        <v>3.2316190000000002E-2</v>
      </c>
      <c r="Q3068">
        <v>0.12624579999999999</v>
      </c>
      <c r="R3068">
        <v>-0.99147280000000004</v>
      </c>
      <c r="S3068">
        <v>0.48834230000000001</v>
      </c>
      <c r="T3068">
        <v>-0.2094789</v>
      </c>
      <c r="U3068">
        <v>-3.0363920000000002</v>
      </c>
      <c r="V3068">
        <v>-6.2207449999999997E-2</v>
      </c>
      <c r="W3068">
        <v>0.13966789999999901</v>
      </c>
      <c r="X3068">
        <v>0.98824239999999997</v>
      </c>
      <c r="Y3068">
        <v>-0.18838089999999999</v>
      </c>
      <c r="Z3068">
        <v>6.77286E-2</v>
      </c>
      <c r="AA3068">
        <v>0.97975780000000001</v>
      </c>
      <c r="AB3068">
        <v>27</v>
      </c>
      <c r="AC3068">
        <v>2.5940999999999601</v>
      </c>
      <c r="AD3068">
        <v>-1.109606981852</v>
      </c>
      <c r="AE3068">
        <v>-15.8598999999999</v>
      </c>
      <c r="AF3068">
        <v>-3.0607104848781299</v>
      </c>
      <c r="AG3068">
        <v>-1.109606981852</v>
      </c>
      <c r="AH3068">
        <v>15.698817676134301</v>
      </c>
      <c r="AI3068">
        <v>93.968520085151397</v>
      </c>
      <c r="AJ3068">
        <v>101.032243684319</v>
      </c>
      <c r="AK3068">
        <v>16.032842940505699</v>
      </c>
      <c r="AL3068">
        <v>81.9713702044793</v>
      </c>
      <c r="AM3068">
        <v>93.601877310157704</v>
      </c>
      <c r="AN3068">
        <v>0.99999996514183498</v>
      </c>
    </row>
    <row r="3069" spans="1:40" x14ac:dyDescent="0.25">
      <c r="A3069" t="str">
        <f>"20190312164046753"</f>
        <v>20190312164046753</v>
      </c>
      <c r="B3069" t="str">
        <f>"1552380046749437"</f>
        <v>1552380046749437</v>
      </c>
      <c r="C3069" t="s">
        <v>40</v>
      </c>
      <c r="D3069">
        <v>5.8840570000000003</v>
      </c>
      <c r="E3069">
        <v>0.45833649999999998</v>
      </c>
      <c r="F3069" t="s">
        <v>41</v>
      </c>
      <c r="G3069">
        <v>-490.21120000000002</v>
      </c>
      <c r="H3069" s="1">
        <v>-2.998326E-6</v>
      </c>
      <c r="I3069">
        <v>236.44730000000001</v>
      </c>
      <c r="J3069">
        <v>-492.77010000000001</v>
      </c>
      <c r="K3069">
        <v>1.1096250000000001</v>
      </c>
      <c r="L3069">
        <v>252.1575</v>
      </c>
      <c r="M3069">
        <v>-3.0861030000000001E-2</v>
      </c>
      <c r="N3069">
        <v>0</v>
      </c>
      <c r="O3069">
        <v>-0.99943329999999997</v>
      </c>
      <c r="P3069">
        <v>3.2236069999999999E-2</v>
      </c>
      <c r="Q3069">
        <v>0.12733549999999999</v>
      </c>
      <c r="R3069">
        <v>-0.99133590000000005</v>
      </c>
      <c r="S3069">
        <v>0.48953249999999998</v>
      </c>
      <c r="T3069">
        <v>-0.21265729999999999</v>
      </c>
      <c r="U3069">
        <v>-3.0369419999999998</v>
      </c>
      <c r="V3069">
        <v>-6.2570959999999995E-2</v>
      </c>
      <c r="W3069">
        <v>0.1407505</v>
      </c>
      <c r="X3069">
        <v>0.98806590000000005</v>
      </c>
      <c r="Y3069">
        <v>-0.18915589999999999</v>
      </c>
      <c r="Z3069">
        <v>6.8730379999999994E-2</v>
      </c>
      <c r="AA3069">
        <v>0.97953869999999998</v>
      </c>
      <c r="AB3069">
        <v>27</v>
      </c>
      <c r="AC3069">
        <v>2.5588999999999902</v>
      </c>
      <c r="AD3069">
        <v>-1.109627998326</v>
      </c>
      <c r="AE3069">
        <v>-15.710199999999899</v>
      </c>
      <c r="AF3069">
        <v>-3.0278429439721002</v>
      </c>
      <c r="AG3069">
        <v>-1.109627998326</v>
      </c>
      <c r="AH3069">
        <v>15.548176981225399</v>
      </c>
      <c r="AI3069">
        <v>94.007089332089194</v>
      </c>
      <c r="AJ3069">
        <v>101.019825003755</v>
      </c>
      <c r="AK3069">
        <v>15.8790715921158</v>
      </c>
      <c r="AL3069">
        <v>81.908723444145906</v>
      </c>
      <c r="AM3069">
        <v>93.623514466026407</v>
      </c>
      <c r="AN3069">
        <v>1.0000000255141901</v>
      </c>
    </row>
    <row r="3070" spans="1:40" x14ac:dyDescent="0.25">
      <c r="A3070" t="str">
        <f>"20190312164046765"</f>
        <v>20190312164046765</v>
      </c>
      <c r="B3070" t="str">
        <f>"1552380046759198"</f>
        <v>1552380046759198</v>
      </c>
      <c r="C3070" t="s">
        <v>40</v>
      </c>
      <c r="D3070">
        <v>5.7774380000000001</v>
      </c>
      <c r="E3070">
        <v>0.45840500000000001</v>
      </c>
      <c r="F3070" t="s">
        <v>41</v>
      </c>
      <c r="G3070">
        <v>-490.20650000000001</v>
      </c>
      <c r="H3070" s="1">
        <v>-2.8977479999999999E-6</v>
      </c>
      <c r="I3070">
        <v>236.2157</v>
      </c>
      <c r="J3070">
        <v>-492.77510000000001</v>
      </c>
      <c r="K3070">
        <v>1.1096490000000001</v>
      </c>
      <c r="L3070">
        <v>252.0137</v>
      </c>
      <c r="M3070">
        <v>-3.1316900000000002E-2</v>
      </c>
      <c r="N3070">
        <v>0</v>
      </c>
      <c r="O3070">
        <v>-0.99941919999999995</v>
      </c>
      <c r="P3070">
        <v>3.2001639999999998E-2</v>
      </c>
      <c r="Q3070">
        <v>0.1277963</v>
      </c>
      <c r="R3070">
        <v>-0.99128430000000001</v>
      </c>
      <c r="S3070">
        <v>0.48846440000000002</v>
      </c>
      <c r="T3070">
        <v>-0.21142520000000001</v>
      </c>
      <c r="U3070">
        <v>-3.0374910000000002</v>
      </c>
      <c r="V3070">
        <v>-6.2793000000000002E-2</v>
      </c>
      <c r="W3070">
        <v>0.14120559999999999</v>
      </c>
      <c r="X3070">
        <v>0.9879869</v>
      </c>
      <c r="Y3070">
        <v>-0.18924460000000001</v>
      </c>
      <c r="Z3070">
        <v>6.8321729999999997E-2</v>
      </c>
      <c r="AA3070">
        <v>0.97955020000000004</v>
      </c>
      <c r="AB3070">
        <v>27</v>
      </c>
      <c r="AC3070">
        <v>2.5686</v>
      </c>
      <c r="AD3070">
        <v>-1.1096518977480001</v>
      </c>
      <c r="AE3070">
        <v>-15.798</v>
      </c>
      <c r="AF3070">
        <v>-3.0474809259031499</v>
      </c>
      <c r="AG3070">
        <v>-1.1096518977480001</v>
      </c>
      <c r="AH3070">
        <v>15.6346524638377</v>
      </c>
      <c r="AI3070">
        <v>93.984949798416295</v>
      </c>
      <c r="AJ3070">
        <v>101.029703040862</v>
      </c>
      <c r="AK3070">
        <v>15.9674927585049</v>
      </c>
      <c r="AL3070">
        <v>81.882385274231098</v>
      </c>
      <c r="AM3070">
        <v>93.636628452781594</v>
      </c>
      <c r="AN3070">
        <v>1.0000000484459799</v>
      </c>
    </row>
    <row r="3071" spans="1:40" x14ac:dyDescent="0.25">
      <c r="A3071" t="str">
        <f>"20190312164046775"</f>
        <v>20190312164046775</v>
      </c>
      <c r="B3071" t="str">
        <f>"1552380046768957"</f>
        <v>1552380046768957</v>
      </c>
      <c r="C3071" t="s">
        <v>40</v>
      </c>
      <c r="D3071">
        <v>5.7407110000000001</v>
      </c>
      <c r="E3071">
        <v>0.45850619999999997</v>
      </c>
      <c r="F3071" t="s">
        <v>41</v>
      </c>
      <c r="G3071">
        <v>-490.214</v>
      </c>
      <c r="H3071" s="1">
        <v>-2.8390529999999998E-6</v>
      </c>
      <c r="I3071">
        <v>236.07429999999999</v>
      </c>
      <c r="J3071">
        <v>-492.7799</v>
      </c>
      <c r="K3071">
        <v>1.109672</v>
      </c>
      <c r="L3071">
        <v>251.87350000000001</v>
      </c>
      <c r="M3071">
        <v>-3.1750720000000003E-2</v>
      </c>
      <c r="N3071">
        <v>0</v>
      </c>
      <c r="O3071">
        <v>-0.99940569999999895</v>
      </c>
      <c r="P3071">
        <v>3.231854E-2</v>
      </c>
      <c r="Q3071">
        <v>0.1291988</v>
      </c>
      <c r="R3071">
        <v>-0.99109259999999999</v>
      </c>
      <c r="S3071">
        <v>0.48812870000000003</v>
      </c>
      <c r="T3071">
        <v>-0.21148990000000001</v>
      </c>
      <c r="U3071">
        <v>-3.037903</v>
      </c>
      <c r="V3071">
        <v>-6.3538150000000002E-2</v>
      </c>
      <c r="W3071">
        <v>0.1426009</v>
      </c>
      <c r="X3071">
        <v>0.98773880000000003</v>
      </c>
      <c r="Y3071">
        <v>-0.1895444</v>
      </c>
      <c r="Z3071">
        <v>6.8330639999999998E-2</v>
      </c>
      <c r="AA3071">
        <v>0.97949169999999997</v>
      </c>
      <c r="AB3071">
        <v>27</v>
      </c>
      <c r="AC3071">
        <v>2.5658999999999899</v>
      </c>
      <c r="AD3071">
        <v>-1.109674839053</v>
      </c>
      <c r="AE3071">
        <v>-15.799200000000001</v>
      </c>
      <c r="AF3071">
        <v>-3.05162011791696</v>
      </c>
      <c r="AG3071">
        <v>-1.109674839053</v>
      </c>
      <c r="AH3071">
        <v>15.634611085171599</v>
      </c>
      <c r="AI3071">
        <v>93.984844449522299</v>
      </c>
      <c r="AJ3071">
        <v>101.044344366871</v>
      </c>
      <c r="AK3071">
        <v>15.9682443423525</v>
      </c>
      <c r="AL3071">
        <v>81.801623008117105</v>
      </c>
      <c r="AM3071">
        <v>93.680587326443799</v>
      </c>
      <c r="AN3071">
        <v>1.0000000251058301</v>
      </c>
    </row>
    <row r="3072" spans="1:40" x14ac:dyDescent="0.25">
      <c r="A3072" t="str">
        <f>"20190312164046788"</f>
        <v>20190312164046788</v>
      </c>
      <c r="B3072" t="str">
        <f>"1552380046778717"</f>
        <v>1552380046778717</v>
      </c>
      <c r="C3072" t="s">
        <v>40</v>
      </c>
      <c r="D3072">
        <v>5.7566759999999997</v>
      </c>
      <c r="E3072">
        <v>0.4585321</v>
      </c>
      <c r="F3072" t="s">
        <v>41</v>
      </c>
      <c r="G3072">
        <v>-490.20010000000002</v>
      </c>
      <c r="H3072" s="1">
        <v>-2.721827E-6</v>
      </c>
      <c r="I3072">
        <v>235.80969999999999</v>
      </c>
      <c r="J3072">
        <v>-492.78500000000003</v>
      </c>
      <c r="K3072">
        <v>1.109693</v>
      </c>
      <c r="L3072">
        <v>251.72829999999999</v>
      </c>
      <c r="M3072">
        <v>-3.2178070000000003E-2</v>
      </c>
      <c r="N3072">
        <v>0</v>
      </c>
      <c r="O3072">
        <v>-0.99939180000000005</v>
      </c>
      <c r="P3072">
        <v>3.2395979999999998E-2</v>
      </c>
      <c r="Q3072">
        <v>0.1293445</v>
      </c>
      <c r="R3072">
        <v>-0.99107060000000002</v>
      </c>
      <c r="S3072">
        <v>0.48797610000000002</v>
      </c>
      <c r="T3072">
        <v>-0.2098923</v>
      </c>
      <c r="U3072">
        <v>-3.0384370000000001</v>
      </c>
      <c r="V3072">
        <v>-6.4045030000000003E-2</v>
      </c>
      <c r="W3072">
        <v>0.14274149999999999</v>
      </c>
      <c r="X3072">
        <v>0.9876857</v>
      </c>
      <c r="Y3072">
        <v>-0.18989500000000001</v>
      </c>
      <c r="Z3072">
        <v>6.7801710000000001E-2</v>
      </c>
      <c r="AA3072">
        <v>0.97946049999999996</v>
      </c>
      <c r="AB3072">
        <v>27</v>
      </c>
      <c r="AC3072">
        <v>2.5849000000000002</v>
      </c>
      <c r="AD3072">
        <v>-1.1096957218269901</v>
      </c>
      <c r="AE3072">
        <v>-15.9185999999999</v>
      </c>
      <c r="AF3072">
        <v>-3.0812483878967099</v>
      </c>
      <c r="AG3072">
        <v>-1.1096957218269901</v>
      </c>
      <c r="AH3072">
        <v>15.752586287909701</v>
      </c>
      <c r="AI3072">
        <v>93.954859228836199</v>
      </c>
      <c r="AJ3072">
        <v>101.067472338039</v>
      </c>
      <c r="AK3072">
        <v>16.089421710583601</v>
      </c>
      <c r="AL3072">
        <v>81.793483520228705</v>
      </c>
      <c r="AM3072">
        <v>93.710066685160996</v>
      </c>
      <c r="AN3072">
        <v>0.99999997183722</v>
      </c>
    </row>
    <row r="3073" spans="1:40" x14ac:dyDescent="0.25">
      <c r="A3073" t="str">
        <f>"20190312164046809"</f>
        <v>20190312164046809</v>
      </c>
      <c r="B3073" t="str">
        <f>"1552380046799217"</f>
        <v>1552380046799217</v>
      </c>
      <c r="C3073" t="s">
        <v>40</v>
      </c>
      <c r="D3073">
        <v>5.7627680000000003</v>
      </c>
      <c r="E3073">
        <v>0.45893970000000001</v>
      </c>
      <c r="F3073" t="s">
        <v>41</v>
      </c>
      <c r="G3073">
        <v>-490.22930000000002</v>
      </c>
      <c r="H3073" s="1">
        <v>-2.7282110000000001E-6</v>
      </c>
      <c r="I3073">
        <v>235.8064</v>
      </c>
      <c r="J3073">
        <v>-492.79410000000001</v>
      </c>
      <c r="K3073">
        <v>1.1097319999999999</v>
      </c>
      <c r="L3073">
        <v>251.47579999999999</v>
      </c>
      <c r="M3073">
        <v>-3.2899169999999998E-2</v>
      </c>
      <c r="N3073">
        <v>0</v>
      </c>
      <c r="O3073">
        <v>-0.99936849999999999</v>
      </c>
      <c r="P3073">
        <v>3.3822240000000003E-2</v>
      </c>
      <c r="Q3073">
        <v>0.1307768</v>
      </c>
      <c r="R3073">
        <v>-0.99083540000000003</v>
      </c>
      <c r="S3073">
        <v>0.48776249999999999</v>
      </c>
      <c r="T3073">
        <v>-0.2117877</v>
      </c>
      <c r="U3073">
        <v>-3.0387270000000002</v>
      </c>
      <c r="V3073">
        <v>-6.6185759999999996E-2</v>
      </c>
      <c r="W3073">
        <v>0.144164299999999</v>
      </c>
      <c r="X3073">
        <v>0.98733789999999999</v>
      </c>
      <c r="Y3073">
        <v>-0.19051509999999999</v>
      </c>
      <c r="Z3073">
        <v>6.839845E-2</v>
      </c>
      <c r="AA3073">
        <v>0.97929849999999996</v>
      </c>
      <c r="AB3073">
        <v>27</v>
      </c>
      <c r="AC3073">
        <v>2.5647999999999902</v>
      </c>
      <c r="AD3073">
        <v>-1.1097347282109999</v>
      </c>
      <c r="AE3073">
        <v>-15.6693999999999</v>
      </c>
      <c r="AF3073">
        <v>-3.0640008969699202</v>
      </c>
      <c r="AG3073">
        <v>-1.1097347282109999</v>
      </c>
      <c r="AH3073">
        <v>15.500809720147601</v>
      </c>
      <c r="AI3073">
        <v>94.017463890105006</v>
      </c>
      <c r="AJ3073">
        <v>101.181353470671</v>
      </c>
      <c r="AK3073">
        <v>15.8396563928594</v>
      </c>
      <c r="AL3073">
        <v>81.711111465569601</v>
      </c>
      <c r="AM3073">
        <v>93.835059689433393</v>
      </c>
      <c r="AN3073">
        <v>1.0000000144988299</v>
      </c>
    </row>
    <row r="3074" spans="1:40" x14ac:dyDescent="0.25">
      <c r="A3074" t="str">
        <f>"20190312164046822"</f>
        <v>20190312164046822</v>
      </c>
      <c r="B3074" t="str">
        <f>"1552380046818735"</f>
        <v>1552380046818735</v>
      </c>
      <c r="C3074" t="s">
        <v>40</v>
      </c>
      <c r="D3074">
        <v>5.7721150000000003</v>
      </c>
      <c r="E3074">
        <v>0.45917599999999997</v>
      </c>
      <c r="F3074" t="s">
        <v>41</v>
      </c>
      <c r="G3074">
        <v>-490.20819999999998</v>
      </c>
      <c r="H3074" s="1">
        <v>-2.5459929999999999E-6</v>
      </c>
      <c r="I3074">
        <v>235.3948</v>
      </c>
      <c r="J3074">
        <v>-492.79969999999997</v>
      </c>
      <c r="K3074">
        <v>1.1097539999999999</v>
      </c>
      <c r="L3074">
        <v>251.31819999999999</v>
      </c>
      <c r="M3074">
        <v>-3.3335570000000002E-2</v>
      </c>
      <c r="N3074">
        <v>0</v>
      </c>
      <c r="O3074">
        <v>-0.99935390000000002</v>
      </c>
      <c r="P3074">
        <v>3.4224949999999997E-2</v>
      </c>
      <c r="Q3074">
        <v>0.13108800000000001</v>
      </c>
      <c r="R3074">
        <v>-0.99077990000000005</v>
      </c>
      <c r="S3074">
        <v>0.48864750000000001</v>
      </c>
      <c r="T3074">
        <v>-0.20970169999999999</v>
      </c>
      <c r="U3074">
        <v>-3.0387569999999999</v>
      </c>
      <c r="V3074">
        <v>-6.7024020000000004E-2</v>
      </c>
      <c r="W3074">
        <v>0.1444705</v>
      </c>
      <c r="X3074">
        <v>0.98723660000000002</v>
      </c>
      <c r="Y3074">
        <v>-0.19122749999999999</v>
      </c>
      <c r="Z3074">
        <v>6.7719479999999999E-2</v>
      </c>
      <c r="AA3074">
        <v>0.97920689999999999</v>
      </c>
      <c r="AB3074">
        <v>27</v>
      </c>
      <c r="AC3074">
        <v>2.5914999999999901</v>
      </c>
      <c r="AD3074">
        <v>-1.1097565459929899</v>
      </c>
      <c r="AE3074">
        <v>-15.9233999999999</v>
      </c>
      <c r="AF3074">
        <v>-3.1062247869294999</v>
      </c>
      <c r="AG3074">
        <v>-1.1097565459929899</v>
      </c>
      <c r="AH3074">
        <v>15.7536078785916</v>
      </c>
      <c r="AI3074">
        <v>93.953647383797801</v>
      </c>
      <c r="AJ3074">
        <v>101.154238132838</v>
      </c>
      <c r="AK3074">
        <v>16.095227653274499</v>
      </c>
      <c r="AL3074">
        <v>81.693381978842496</v>
      </c>
      <c r="AM3074">
        <v>93.883881288398996</v>
      </c>
      <c r="AN3074">
        <v>1.00000002450338</v>
      </c>
    </row>
    <row r="3075" spans="1:40" x14ac:dyDescent="0.25">
      <c r="A3075" t="str">
        <f>"20190312164046836"</f>
        <v>20190312164046836</v>
      </c>
      <c r="B3075" t="str">
        <f>"1552380046829470"</f>
        <v>1552380046829470</v>
      </c>
      <c r="C3075" t="s">
        <v>40</v>
      </c>
      <c r="D3075">
        <v>5.8127509999999996</v>
      </c>
      <c r="E3075">
        <v>0.45928839999999999</v>
      </c>
      <c r="F3075" t="s">
        <v>41</v>
      </c>
      <c r="G3075">
        <v>-490.22160000000002</v>
      </c>
      <c r="H3075" s="1">
        <v>-2.4968750000000001E-6</v>
      </c>
      <c r="I3075">
        <v>235.27189999999999</v>
      </c>
      <c r="J3075">
        <v>-492.80579999999998</v>
      </c>
      <c r="K3075">
        <v>1.1097619999999999</v>
      </c>
      <c r="L3075">
        <v>251.15280000000001</v>
      </c>
      <c r="M3075">
        <v>-3.3784069999999999E-2</v>
      </c>
      <c r="N3075">
        <v>0</v>
      </c>
      <c r="O3075">
        <v>-0.99933890000000003</v>
      </c>
      <c r="P3075">
        <v>3.5134800000000001E-2</v>
      </c>
      <c r="Q3075">
        <v>0.1311176</v>
      </c>
      <c r="R3075">
        <v>-0.99074419999999996</v>
      </c>
      <c r="S3075">
        <v>0.48825069999999998</v>
      </c>
      <c r="T3075">
        <v>-0.21016660000000001</v>
      </c>
      <c r="U3075">
        <v>-3.0388489999999999</v>
      </c>
      <c r="V3075">
        <v>-6.8381360000000002E-2</v>
      </c>
      <c r="W3075">
        <v>0.14449600000000001</v>
      </c>
      <c r="X3075">
        <v>0.98713980000000001</v>
      </c>
      <c r="Y3075">
        <v>-0.19153719999999999</v>
      </c>
      <c r="Z3075">
        <v>6.7863960000000001E-2</v>
      </c>
      <c r="AA3075">
        <v>0.97913629999999996</v>
      </c>
      <c r="AB3075">
        <v>27</v>
      </c>
      <c r="AC3075">
        <v>2.5841999999999499</v>
      </c>
      <c r="AD3075">
        <v>-1.109764496875</v>
      </c>
      <c r="AE3075">
        <v>-15.8809</v>
      </c>
      <c r="AF3075">
        <v>-3.1045252096052098</v>
      </c>
      <c r="AG3075">
        <v>-1.109764496875</v>
      </c>
      <c r="AH3075">
        <v>15.7097838732113</v>
      </c>
      <c r="AI3075">
        <v>93.964337911246702</v>
      </c>
      <c r="AJ3075">
        <v>101.178605072431</v>
      </c>
      <c r="AK3075">
        <v>16.052008078698702</v>
      </c>
      <c r="AL3075">
        <v>81.691905611538999</v>
      </c>
      <c r="AM3075">
        <v>93.962675137501094</v>
      </c>
      <c r="AN3075">
        <v>1.0000000445777399</v>
      </c>
    </row>
    <row r="3076" spans="1:40" x14ac:dyDescent="0.25">
      <c r="A3076" t="str">
        <f>"20190312164046848"</f>
        <v>20190312164046848</v>
      </c>
      <c r="B3076" t="str">
        <f>"1552380046839229"</f>
        <v>1552380046839229</v>
      </c>
      <c r="C3076" t="s">
        <v>40</v>
      </c>
      <c r="D3076">
        <v>5.8063330000000004</v>
      </c>
      <c r="E3076">
        <v>0.45929170000000002</v>
      </c>
      <c r="F3076" t="s">
        <v>41</v>
      </c>
      <c r="G3076">
        <v>-490.22210000000001</v>
      </c>
      <c r="H3076" s="1">
        <v>-2.4521639999999999E-6</v>
      </c>
      <c r="I3076">
        <v>235.16739999999999</v>
      </c>
      <c r="J3076">
        <v>-492.81139999999999</v>
      </c>
      <c r="K3076">
        <v>1.1097760000000001</v>
      </c>
      <c r="L3076">
        <v>250.99870000000001</v>
      </c>
      <c r="M3076">
        <v>-3.4193759999999997E-2</v>
      </c>
      <c r="N3076">
        <v>0</v>
      </c>
      <c r="O3076">
        <v>-0.99932500000000002</v>
      </c>
      <c r="P3076">
        <v>3.5594180000000003E-2</v>
      </c>
      <c r="Q3076">
        <v>0.1310258</v>
      </c>
      <c r="R3076">
        <v>-0.99074019999999996</v>
      </c>
      <c r="S3076">
        <v>0.49111939999999998</v>
      </c>
      <c r="T3076">
        <v>-0.21094640000000001</v>
      </c>
      <c r="U3076">
        <v>-3.0385439999999999</v>
      </c>
      <c r="V3076">
        <v>-6.9250279999999997E-2</v>
      </c>
      <c r="W3076">
        <v>0.14440120000000001</v>
      </c>
      <c r="X3076">
        <v>0.987093</v>
      </c>
      <c r="Y3076">
        <v>-0.1928531</v>
      </c>
      <c r="Z3076">
        <v>6.8105970000000002E-2</v>
      </c>
      <c r="AA3076">
        <v>0.97886119999999999</v>
      </c>
      <c r="AB3076">
        <v>27</v>
      </c>
      <c r="AC3076">
        <v>2.5892999999999802</v>
      </c>
      <c r="AD3076">
        <v>-1.109778452164</v>
      </c>
      <c r="AE3076">
        <v>-15.831300000000001</v>
      </c>
      <c r="AF3076">
        <v>-3.1142611350648899</v>
      </c>
      <c r="AG3076">
        <v>-1.109778452164</v>
      </c>
      <c r="AH3076">
        <v>15.6585525086993</v>
      </c>
      <c r="AI3076">
        <v>93.976357592655205</v>
      </c>
      <c r="AJ3076">
        <v>101.248526551184</v>
      </c>
      <c r="AK3076">
        <v>16.0037650975624</v>
      </c>
      <c r="AL3076">
        <v>81.697394023243803</v>
      </c>
      <c r="AM3076">
        <v>94.013054896603904</v>
      </c>
      <c r="AN3076">
        <v>0.99999994924525704</v>
      </c>
    </row>
    <row r="3077" spans="1:40" x14ac:dyDescent="0.25">
      <c r="A3077" t="str">
        <f>"20190312164046867"</f>
        <v>20190312164046867</v>
      </c>
      <c r="B3077" t="str">
        <f>"1552380046858749"</f>
        <v>1552380046858749</v>
      </c>
      <c r="C3077" t="s">
        <v>40</v>
      </c>
      <c r="D3077">
        <v>5.7460950000000004</v>
      </c>
      <c r="E3077">
        <v>0.45929769999999998</v>
      </c>
      <c r="F3077" t="s">
        <v>41</v>
      </c>
      <c r="G3077">
        <v>-490.26369999999997</v>
      </c>
      <c r="H3077" s="1">
        <v>-2.5027319999999998E-6</v>
      </c>
      <c r="I3077">
        <v>235.2595</v>
      </c>
      <c r="J3077">
        <v>-492.81990000000002</v>
      </c>
      <c r="K3077">
        <v>1.1097969999999999</v>
      </c>
      <c r="L3077">
        <v>250.77369999999999</v>
      </c>
      <c r="M3077">
        <v>-3.478382E-2</v>
      </c>
      <c r="N3077">
        <v>0</v>
      </c>
      <c r="O3077">
        <v>-0.99930459999999999</v>
      </c>
      <c r="P3077">
        <v>3.7429539999999997E-2</v>
      </c>
      <c r="Q3077">
        <v>0.131409</v>
      </c>
      <c r="R3077">
        <v>-0.99062150000000004</v>
      </c>
      <c r="S3077">
        <v>0.49188229999999999</v>
      </c>
      <c r="T3077">
        <v>-0.21426129999999999</v>
      </c>
      <c r="U3077">
        <v>-3.0387270000000002</v>
      </c>
      <c r="V3077">
        <v>-7.1670540000000005E-2</v>
      </c>
      <c r="W3077">
        <v>0.14477909999999999</v>
      </c>
      <c r="X3077">
        <v>0.98686490000000004</v>
      </c>
      <c r="Y3077">
        <v>-0.19365089999999999</v>
      </c>
      <c r="Z3077">
        <v>6.9157899999999994E-2</v>
      </c>
      <c r="AA3077">
        <v>0.97862990000000005</v>
      </c>
      <c r="AB3077">
        <v>27</v>
      </c>
      <c r="AC3077">
        <v>2.55620000000004</v>
      </c>
      <c r="AD3077">
        <v>-1.109799502732</v>
      </c>
      <c r="AE3077">
        <v>-15.514199999999899</v>
      </c>
      <c r="AF3077">
        <v>-3.07900530232406</v>
      </c>
      <c r="AG3077">
        <v>-1.109799502732</v>
      </c>
      <c r="AH3077">
        <v>15.3394674967622</v>
      </c>
      <c r="AI3077">
        <v>94.057446251950395</v>
      </c>
      <c r="AJ3077">
        <v>101.349835237664</v>
      </c>
      <c r="AK3077">
        <v>15.68474391478</v>
      </c>
      <c r="AL3077">
        <v>81.675512364993907</v>
      </c>
      <c r="AM3077">
        <v>94.153783059703798</v>
      </c>
      <c r="AN3077">
        <v>0.99999999247635496</v>
      </c>
    </row>
    <row r="3078" spans="1:40" x14ac:dyDescent="0.25">
      <c r="A3078" t="str">
        <f>"20190312164046880"</f>
        <v>20190312164046880</v>
      </c>
      <c r="B3078" t="str">
        <f>"1552380046869485"</f>
        <v>1552380046869485</v>
      </c>
      <c r="C3078" t="s">
        <v>40</v>
      </c>
      <c r="D3078">
        <v>5.8490199999999897</v>
      </c>
      <c r="E3078">
        <v>0.4593313</v>
      </c>
      <c r="F3078" t="s">
        <v>41</v>
      </c>
      <c r="G3078">
        <v>-490.27179999999998</v>
      </c>
      <c r="H3078" s="1">
        <v>-2.46208E-6</v>
      </c>
      <c r="I3078">
        <v>235.15969999999999</v>
      </c>
      <c r="J3078">
        <v>-492.82530000000003</v>
      </c>
      <c r="K3078">
        <v>1.1098079999999999</v>
      </c>
      <c r="L3078">
        <v>250.62809999999999</v>
      </c>
      <c r="M3078">
        <v>-3.516068E-2</v>
      </c>
      <c r="N3078">
        <v>0</v>
      </c>
      <c r="O3078">
        <v>-0.9992917</v>
      </c>
      <c r="P3078">
        <v>3.8314969999999997E-2</v>
      </c>
      <c r="Q3078">
        <v>0.13179549999999901</v>
      </c>
      <c r="R3078">
        <v>-0.99053650000000004</v>
      </c>
      <c r="S3078">
        <v>0.49581910000000001</v>
      </c>
      <c r="T3078">
        <v>-0.21595600000000001</v>
      </c>
      <c r="U3078">
        <v>-3.0383300000000002</v>
      </c>
      <c r="V3078">
        <v>-7.2928430000000002E-2</v>
      </c>
      <c r="W3078">
        <v>0.14516219999999999</v>
      </c>
      <c r="X3078">
        <v>0.98671640000000005</v>
      </c>
      <c r="Y3078">
        <v>-0.1952701</v>
      </c>
      <c r="Z3078">
        <v>6.9691260000000005E-2</v>
      </c>
      <c r="AA3078">
        <v>0.97827030000000004</v>
      </c>
      <c r="AB3078">
        <v>27</v>
      </c>
      <c r="AC3078">
        <v>2.5535000000000401</v>
      </c>
      <c r="AD3078">
        <v>-1.10981046208</v>
      </c>
      <c r="AE3078">
        <v>-15.468400000000001</v>
      </c>
      <c r="AF3078">
        <v>-3.08041302677396</v>
      </c>
      <c r="AG3078">
        <v>-1.10981046208</v>
      </c>
      <c r="AH3078">
        <v>15.2924115499676</v>
      </c>
      <c r="AI3078">
        <v>94.069373178881804</v>
      </c>
      <c r="AJ3078">
        <v>101.38891774471701</v>
      </c>
      <c r="AK3078">
        <v>15.6390049137036</v>
      </c>
      <c r="AL3078">
        <v>81.653327529544001</v>
      </c>
      <c r="AM3078">
        <v>94.227057990257094</v>
      </c>
      <c r="AN3078">
        <v>0.99999993712002999</v>
      </c>
    </row>
    <row r="3079" spans="1:40" x14ac:dyDescent="0.25">
      <c r="A3079" t="str">
        <f>"20190312164046891"</f>
        <v>20190312164046891</v>
      </c>
      <c r="B3079" t="str">
        <f>"1552380046889006"</f>
        <v>1552380046889006</v>
      </c>
      <c r="C3079" t="s">
        <v>40</v>
      </c>
      <c r="D3079">
        <v>5.7420059999999999</v>
      </c>
      <c r="E3079">
        <v>0.45944550000000001</v>
      </c>
      <c r="F3079" t="s">
        <v>41</v>
      </c>
      <c r="G3079">
        <v>-490.29160000000002</v>
      </c>
      <c r="H3079" s="1">
        <v>-2.4712050000000001E-6</v>
      </c>
      <c r="I3079">
        <v>235.1687</v>
      </c>
      <c r="J3079">
        <v>-492.83089999999999</v>
      </c>
      <c r="K3079">
        <v>1.10982</v>
      </c>
      <c r="L3079">
        <v>250.4821</v>
      </c>
      <c r="M3079">
        <v>-3.5533189999999999E-2</v>
      </c>
      <c r="N3079">
        <v>0</v>
      </c>
      <c r="O3079">
        <v>-0.99927849999999996</v>
      </c>
      <c r="P3079">
        <v>3.9042590000000002E-2</v>
      </c>
      <c r="Q3079">
        <v>0.13232829999999901</v>
      </c>
      <c r="R3079">
        <v>-0.99043700000000001</v>
      </c>
      <c r="S3079">
        <v>0.49798579999999998</v>
      </c>
      <c r="T3079">
        <v>-0.21812190000000001</v>
      </c>
      <c r="U3079">
        <v>-3.0383909999999998</v>
      </c>
      <c r="V3079">
        <v>-7.4023080000000005E-2</v>
      </c>
      <c r="W3079">
        <v>0.1456916</v>
      </c>
      <c r="X3079">
        <v>0.98655689999999996</v>
      </c>
      <c r="Y3079">
        <v>-0.19630410000000001</v>
      </c>
      <c r="Z3079">
        <v>7.0372550000000006E-2</v>
      </c>
      <c r="AA3079">
        <v>0.97801450000000001</v>
      </c>
      <c r="AB3079">
        <v>27</v>
      </c>
      <c r="AC3079">
        <v>2.5392999999999599</v>
      </c>
      <c r="AD3079">
        <v>-1.109822471205</v>
      </c>
      <c r="AE3079">
        <v>-15.3134</v>
      </c>
      <c r="AF3079">
        <v>-3.0662048665955299</v>
      </c>
      <c r="AG3079">
        <v>-1.109822471205</v>
      </c>
      <c r="AH3079">
        <v>15.1361157868586</v>
      </c>
      <c r="AI3079">
        <v>94.110387087036798</v>
      </c>
      <c r="AJ3079">
        <v>101.451746701088</v>
      </c>
      <c r="AK3079">
        <v>15.4833884958919</v>
      </c>
      <c r="AL3079">
        <v>81.622669640652902</v>
      </c>
      <c r="AM3079">
        <v>94.2909616732274</v>
      </c>
      <c r="AN3079">
        <v>0.99999998781042798</v>
      </c>
    </row>
    <row r="3080" spans="1:40" x14ac:dyDescent="0.25">
      <c r="A3080" t="str">
        <f>"20190312164046904"</f>
        <v>20190312164046904</v>
      </c>
      <c r="B3080" t="str">
        <f>"1552380046898765"</f>
        <v>1552380046898765</v>
      </c>
      <c r="C3080" t="s">
        <v>40</v>
      </c>
      <c r="D3080">
        <v>5.8099749999999997</v>
      </c>
      <c r="E3080">
        <v>0.45950299999999999</v>
      </c>
      <c r="F3080" t="s">
        <v>41</v>
      </c>
      <c r="G3080">
        <v>-490.30829999999997</v>
      </c>
      <c r="H3080" s="1">
        <v>-2.4608330000000001E-6</v>
      </c>
      <c r="I3080">
        <v>235.13409999999999</v>
      </c>
      <c r="J3080">
        <v>-492.83640000000003</v>
      </c>
      <c r="K3080">
        <v>1.1098349999999999</v>
      </c>
      <c r="L3080">
        <v>250.33690000000001</v>
      </c>
      <c r="M3080">
        <v>-3.5901269999999999E-2</v>
      </c>
      <c r="N3080">
        <v>0</v>
      </c>
      <c r="O3080">
        <v>-0.99926510000000002</v>
      </c>
      <c r="P3080">
        <v>3.9680029999999998E-2</v>
      </c>
      <c r="Q3080">
        <v>0.1332554</v>
      </c>
      <c r="R3080">
        <v>-0.99028709999999998</v>
      </c>
      <c r="S3080">
        <v>0.49942019999999998</v>
      </c>
      <c r="T3080">
        <v>-0.2197268</v>
      </c>
      <c r="U3080">
        <v>-3.0386510000000002</v>
      </c>
      <c r="V3080">
        <v>-7.5020820000000002E-2</v>
      </c>
      <c r="W3080">
        <v>0.1466142</v>
      </c>
      <c r="X3080">
        <v>0.98634480000000002</v>
      </c>
      <c r="Y3080">
        <v>-0.19709570000000001</v>
      </c>
      <c r="Z3080">
        <v>7.0871980000000001E-2</v>
      </c>
      <c r="AA3080">
        <v>0.97781929999999995</v>
      </c>
      <c r="AB3080">
        <v>27</v>
      </c>
      <c r="AC3080">
        <v>2.52810000000005</v>
      </c>
      <c r="AD3080">
        <v>-1.1098374608329999</v>
      </c>
      <c r="AE3080">
        <v>-15.2028</v>
      </c>
      <c r="AF3080">
        <v>-3.05646842351095</v>
      </c>
      <c r="AG3080">
        <v>-1.1098374608329999</v>
      </c>
      <c r="AH3080">
        <v>15.0243126721032</v>
      </c>
      <c r="AI3080">
        <v>94.140232790781695</v>
      </c>
      <c r="AJ3080">
        <v>101.499038597493</v>
      </c>
      <c r="AK3080">
        <v>15.372173225751499</v>
      </c>
      <c r="AL3080">
        <v>81.569234496802693</v>
      </c>
      <c r="AM3080">
        <v>94.3495096837879</v>
      </c>
      <c r="AN3080">
        <v>0.99999995578107503</v>
      </c>
    </row>
    <row r="3081" spans="1:40" x14ac:dyDescent="0.25">
      <c r="A3081" t="str">
        <f>"20190312164046916"</f>
        <v>20190312164046916</v>
      </c>
      <c r="B3081" t="str">
        <f>"1552380046909502"</f>
        <v>1552380046909502</v>
      </c>
      <c r="C3081" t="s">
        <v>40</v>
      </c>
      <c r="D3081">
        <v>5.8567359999999997</v>
      </c>
      <c r="E3081">
        <v>0.4596268</v>
      </c>
      <c r="F3081" t="s">
        <v>41</v>
      </c>
      <c r="G3081">
        <v>-490.3023</v>
      </c>
      <c r="H3081" s="1">
        <v>-2.381125E-6</v>
      </c>
      <c r="I3081">
        <v>234.9521</v>
      </c>
      <c r="J3081">
        <v>-492.84249999999997</v>
      </c>
      <c r="K3081">
        <v>1.109845</v>
      </c>
      <c r="L3081">
        <v>250.18049999999999</v>
      </c>
      <c r="M3081">
        <v>-3.6295319999999999E-2</v>
      </c>
      <c r="N3081">
        <v>0</v>
      </c>
      <c r="O3081">
        <v>-0.99925109999999995</v>
      </c>
      <c r="P3081">
        <v>3.9807059999999998E-2</v>
      </c>
      <c r="Q3081">
        <v>0.1340816</v>
      </c>
      <c r="R3081">
        <v>-0.99017049999999995</v>
      </c>
      <c r="S3081">
        <v>0.50054929999999997</v>
      </c>
      <c r="T3081">
        <v>-0.2192173</v>
      </c>
      <c r="U3081">
        <v>-3.0388489999999999</v>
      </c>
      <c r="V3081">
        <v>-7.5535430000000001E-2</v>
      </c>
      <c r="W3081">
        <v>0.14743539999999999</v>
      </c>
      <c r="X3081">
        <v>0.98618320000000004</v>
      </c>
      <c r="Y3081">
        <v>-0.1978278</v>
      </c>
      <c r="Z3081">
        <v>7.0695030000000006E-2</v>
      </c>
      <c r="AA3081">
        <v>0.9776842</v>
      </c>
      <c r="AB3081">
        <v>27</v>
      </c>
      <c r="AC3081">
        <v>2.5401999999999698</v>
      </c>
      <c r="AD3081">
        <v>-1.109847381125</v>
      </c>
      <c r="AE3081">
        <v>-15.228399999999899</v>
      </c>
      <c r="AF3081">
        <v>-3.0754025322427201</v>
      </c>
      <c r="AG3081">
        <v>-1.109847381125</v>
      </c>
      <c r="AH3081">
        <v>15.0483927681609</v>
      </c>
      <c r="AI3081">
        <v>94.132915430659693</v>
      </c>
      <c r="AJ3081">
        <v>101.550344317624</v>
      </c>
      <c r="AK3081">
        <v>15.3994800837415</v>
      </c>
      <c r="AL3081">
        <v>81.521667080524196</v>
      </c>
      <c r="AM3081">
        <v>94.379944554788693</v>
      </c>
      <c r="AN3081">
        <v>1.00000005116034</v>
      </c>
    </row>
    <row r="3082" spans="1:40" x14ac:dyDescent="0.25">
      <c r="A3082" t="str">
        <f>"20190312164046932"</f>
        <v>20190312164046932</v>
      </c>
      <c r="B3082" t="str">
        <f>"1552380046929021"</f>
        <v>1552380046929021</v>
      </c>
      <c r="C3082" t="s">
        <v>40</v>
      </c>
      <c r="D3082">
        <v>5.9085869999999998</v>
      </c>
      <c r="E3082">
        <v>0.45991290000000001</v>
      </c>
      <c r="F3082" t="s">
        <v>41</v>
      </c>
      <c r="G3082">
        <v>-490.2987</v>
      </c>
      <c r="H3082" s="1">
        <v>-2.2846710000000002E-6</v>
      </c>
      <c r="I3082">
        <v>234.7295</v>
      </c>
      <c r="J3082">
        <v>-492.84989999999999</v>
      </c>
      <c r="K3082">
        <v>1.1098600000000001</v>
      </c>
      <c r="L3082">
        <v>249.98949999999999</v>
      </c>
      <c r="M3082">
        <v>-3.6765079999999999E-2</v>
      </c>
      <c r="N3082">
        <v>0</v>
      </c>
      <c r="O3082">
        <v>-0.99923379999999995</v>
      </c>
      <c r="P3082">
        <v>4.0500199999999903E-2</v>
      </c>
      <c r="Q3082">
        <v>0.1353231</v>
      </c>
      <c r="R3082">
        <v>-0.98997349999999995</v>
      </c>
      <c r="S3082">
        <v>0.50036619999999998</v>
      </c>
      <c r="T3082">
        <v>-0.218308</v>
      </c>
      <c r="U3082">
        <v>-3.0392299999999999</v>
      </c>
      <c r="V3082">
        <v>-7.6688190000000003E-2</v>
      </c>
      <c r="W3082">
        <v>0.14867139999999901</v>
      </c>
      <c r="X3082">
        <v>0.98590860000000002</v>
      </c>
      <c r="Y3082">
        <v>-0.198215</v>
      </c>
      <c r="Z3082">
        <v>7.0390309999999998E-2</v>
      </c>
      <c r="AA3082">
        <v>0.97762780000000005</v>
      </c>
      <c r="AB3082">
        <v>27</v>
      </c>
      <c r="AC3082">
        <v>2.5511999999999899</v>
      </c>
      <c r="AD3082">
        <v>-1.109862284671</v>
      </c>
      <c r="AE3082">
        <v>-15.2599999999999</v>
      </c>
      <c r="AF3082">
        <v>-3.09463604005719</v>
      </c>
      <c r="AG3082">
        <v>-1.109862284671</v>
      </c>
      <c r="AH3082">
        <v>15.0782872664529</v>
      </c>
      <c r="AI3082">
        <v>94.124101752890198</v>
      </c>
      <c r="AJ3082">
        <v>101.59820664631501</v>
      </c>
      <c r="AK3082">
        <v>15.4325407305806</v>
      </c>
      <c r="AL3082">
        <v>81.450060038117797</v>
      </c>
      <c r="AM3082">
        <v>94.447755125174993</v>
      </c>
      <c r="AN3082">
        <v>1.0000000156086899</v>
      </c>
    </row>
    <row r="3083" spans="1:40" x14ac:dyDescent="0.25">
      <c r="A3083" t="str">
        <f>"20190312164046945"</f>
        <v>20190312164046945</v>
      </c>
      <c r="B3083" t="str">
        <f>"1552380046938781"</f>
        <v>1552380046938781</v>
      </c>
      <c r="C3083" t="s">
        <v>40</v>
      </c>
      <c r="D3083">
        <v>5.8476889999999999</v>
      </c>
      <c r="E3083">
        <v>0.4901064</v>
      </c>
      <c r="F3083" t="s">
        <v>41</v>
      </c>
      <c r="G3083">
        <v>-490.26330000000002</v>
      </c>
      <c r="H3083" s="1">
        <v>-2.086975E-6</v>
      </c>
      <c r="I3083">
        <v>234.29060000000001</v>
      </c>
      <c r="J3083">
        <v>-492.85640000000001</v>
      </c>
      <c r="K3083">
        <v>1.1098749999999999</v>
      </c>
      <c r="L3083">
        <v>249.82669999999999</v>
      </c>
      <c r="M3083">
        <v>-3.7152129999999998E-2</v>
      </c>
      <c r="N3083">
        <v>0</v>
      </c>
      <c r="O3083">
        <v>-0.99921950000000004</v>
      </c>
      <c r="P3083">
        <v>4.0815289999999997E-2</v>
      </c>
      <c r="Q3083">
        <v>0.13572770000000001</v>
      </c>
      <c r="R3083">
        <v>-0.98990500000000003</v>
      </c>
      <c r="S3083">
        <v>0.50076290000000001</v>
      </c>
      <c r="T3083">
        <v>-0.21486820000000001</v>
      </c>
      <c r="U3083">
        <v>-3.039307</v>
      </c>
      <c r="V3083">
        <v>-7.738768E-2</v>
      </c>
      <c r="W3083">
        <v>0.1490717</v>
      </c>
      <c r="X3083">
        <v>0.98579349999999999</v>
      </c>
      <c r="Y3083">
        <v>-0.1987276</v>
      </c>
      <c r="Z3083">
        <v>6.9279149999999998E-2</v>
      </c>
      <c r="AA3083">
        <v>0.97760309999999995</v>
      </c>
      <c r="AB3083">
        <v>27</v>
      </c>
      <c r="AC3083">
        <v>2.59309999999999</v>
      </c>
      <c r="AD3083">
        <v>-1.1098770869750001</v>
      </c>
      <c r="AE3083">
        <v>-15.5360999999999</v>
      </c>
      <c r="AF3083">
        <v>-3.1529059938606401</v>
      </c>
      <c r="AG3083">
        <v>-1.1098770869750001</v>
      </c>
      <c r="AH3083">
        <v>15.3527954529729</v>
      </c>
      <c r="AI3083">
        <v>94.050564274779404</v>
      </c>
      <c r="AJ3083">
        <v>101.60511967829</v>
      </c>
      <c r="AK3083">
        <v>15.7124463905255</v>
      </c>
      <c r="AL3083">
        <v>81.426866155378704</v>
      </c>
      <c r="AM3083">
        <v>94.488680968551606</v>
      </c>
      <c r="AN3083">
        <v>1.00000002469946</v>
      </c>
    </row>
    <row r="3084" spans="1:40" x14ac:dyDescent="0.25">
      <c r="A3084" t="str">
        <f>"20190312164046957"</f>
        <v>20190312164046957</v>
      </c>
      <c r="B3084" t="str">
        <f>"1552380046949517"</f>
        <v>1552380046949517</v>
      </c>
      <c r="C3084" t="s">
        <v>40</v>
      </c>
      <c r="D3084">
        <v>5.8472819999999999</v>
      </c>
      <c r="E3084">
        <v>0.48997059999999998</v>
      </c>
      <c r="F3084" t="s">
        <v>41</v>
      </c>
      <c r="G3084">
        <v>-491.41660000000002</v>
      </c>
      <c r="H3084" s="1">
        <v>-1.789338E-6</v>
      </c>
      <c r="I3084">
        <v>232.88149999999999</v>
      </c>
      <c r="J3084">
        <v>-492.86189999999999</v>
      </c>
      <c r="K3084">
        <v>1.10989</v>
      </c>
      <c r="L3084">
        <v>249.6874</v>
      </c>
      <c r="M3084">
        <v>-3.7475830000000002E-2</v>
      </c>
      <c r="N3084">
        <v>0</v>
      </c>
      <c r="O3084">
        <v>-0.99920730000000002</v>
      </c>
      <c r="P3084">
        <v>4.1021799999999997E-2</v>
      </c>
      <c r="Q3084">
        <v>0.13564689999999999</v>
      </c>
      <c r="R3084">
        <v>-0.9899078</v>
      </c>
      <c r="S3084">
        <v>0.25891110000000001</v>
      </c>
      <c r="T3084">
        <v>-0.19959070000000001</v>
      </c>
      <c r="U3084">
        <v>-3.0472869999999999</v>
      </c>
      <c r="V3084">
        <v>-7.7918899999999999E-2</v>
      </c>
      <c r="W3084">
        <v>0.14898729999999999</v>
      </c>
      <c r="X3084">
        <v>0.98576439999999999</v>
      </c>
      <c r="Y3084">
        <v>-0.1217656</v>
      </c>
      <c r="Z3084">
        <v>6.4929189999999998E-2</v>
      </c>
      <c r="AA3084">
        <v>0.99043289999999995</v>
      </c>
      <c r="AB3084">
        <v>27</v>
      </c>
      <c r="AC3084">
        <v>1.4452999999999701</v>
      </c>
      <c r="AD3084">
        <v>-1.109891789338</v>
      </c>
      <c r="AE3084">
        <v>-16.805900000000001</v>
      </c>
      <c r="AF3084">
        <v>-2.0652150464662502</v>
      </c>
      <c r="AG3084">
        <v>-1.109891789338</v>
      </c>
      <c r="AH3084">
        <v>16.667760565883</v>
      </c>
      <c r="AI3084">
        <v>93.7808253397816</v>
      </c>
      <c r="AJ3084">
        <v>97.063221426868793</v>
      </c>
      <c r="AK3084">
        <v>16.831851212917599</v>
      </c>
      <c r="AL3084">
        <v>81.431756416483395</v>
      </c>
      <c r="AM3084">
        <v>94.519498719340405</v>
      </c>
      <c r="AN3084">
        <v>1.0000000114229299</v>
      </c>
    </row>
    <row r="3085" spans="1:40" x14ac:dyDescent="0.25">
      <c r="A3085" t="str">
        <f>"20190312164046969"</f>
        <v>20190312164046969</v>
      </c>
      <c r="B3085" t="str">
        <f>"1552380046959277"</f>
        <v>1552380046959277</v>
      </c>
      <c r="C3085" t="s">
        <v>40</v>
      </c>
      <c r="D3085">
        <v>5.9038959999999996</v>
      </c>
      <c r="E3085">
        <v>0.49012149999999999</v>
      </c>
      <c r="F3085" t="s">
        <v>41</v>
      </c>
      <c r="G3085">
        <v>-491.42910000000001</v>
      </c>
      <c r="H3085" s="1">
        <v>-1.8204129999999999E-6</v>
      </c>
      <c r="I3085">
        <v>232.9461</v>
      </c>
      <c r="J3085">
        <v>-492.8673</v>
      </c>
      <c r="K3085">
        <v>1.109915</v>
      </c>
      <c r="L3085">
        <v>249.55199999999999</v>
      </c>
      <c r="M3085">
        <v>-3.7765809999999997E-2</v>
      </c>
      <c r="N3085">
        <v>0</v>
      </c>
      <c r="O3085">
        <v>-0.99919650000000004</v>
      </c>
      <c r="P3085">
        <v>4.1396200000000001E-2</v>
      </c>
      <c r="Q3085">
        <v>0.13554939999999999</v>
      </c>
      <c r="R3085">
        <v>-0.98990579999999995</v>
      </c>
      <c r="S3085">
        <v>0.26080320000000001</v>
      </c>
      <c r="T3085">
        <v>-0.20203670000000001</v>
      </c>
      <c r="U3085">
        <v>-3.0474549999999998</v>
      </c>
      <c r="V3085">
        <v>-7.8586649999999994E-2</v>
      </c>
      <c r="W3085">
        <v>0.14888499999999999</v>
      </c>
      <c r="X3085">
        <v>0.98572680000000001</v>
      </c>
      <c r="Y3085">
        <v>-0.122655</v>
      </c>
      <c r="Z3085">
        <v>6.5711430000000001E-2</v>
      </c>
      <c r="AA3085">
        <v>0.99027160000000003</v>
      </c>
      <c r="AB3085">
        <v>27</v>
      </c>
      <c r="AC3085">
        <v>1.4381999999999899</v>
      </c>
      <c r="AD3085">
        <v>-1.1099168204130001</v>
      </c>
      <c r="AE3085">
        <v>-16.605899999999998</v>
      </c>
      <c r="AF3085">
        <v>-2.0552522718545401</v>
      </c>
      <c r="AG3085">
        <v>-1.1099168204130001</v>
      </c>
      <c r="AH3085">
        <v>16.4667159021012</v>
      </c>
      <c r="AI3085">
        <v>93.826511587275704</v>
      </c>
      <c r="AJ3085">
        <v>97.114439427505204</v>
      </c>
      <c r="AK3085">
        <v>16.631557649532201</v>
      </c>
      <c r="AL3085">
        <v>81.437683480119503</v>
      </c>
      <c r="AM3085">
        <v>94.558240569732007</v>
      </c>
      <c r="AN3085">
        <v>0.99999996451073003</v>
      </c>
    </row>
    <row r="3086" spans="1:40" x14ac:dyDescent="0.25">
      <c r="A3086" t="str">
        <f>"20190312164046981"</f>
        <v>20190312164046981</v>
      </c>
      <c r="B3086" t="str">
        <f>"1552380046969038"</f>
        <v>1552380046969038</v>
      </c>
      <c r="C3086" t="s">
        <v>40</v>
      </c>
      <c r="D3086">
        <v>5.8519560000000004</v>
      </c>
      <c r="E3086">
        <v>0.49012149999999999</v>
      </c>
      <c r="F3086" t="s">
        <v>41</v>
      </c>
      <c r="G3086">
        <v>-491.43779999999998</v>
      </c>
      <c r="H3086" s="1">
        <v>-1.7801509999999901E-6</v>
      </c>
      <c r="I3086">
        <v>232.84690000000001</v>
      </c>
      <c r="J3086">
        <v>-492.87310000000002</v>
      </c>
      <c r="K3086">
        <v>1.109936</v>
      </c>
      <c r="L3086">
        <v>249.40880000000001</v>
      </c>
      <c r="M3086">
        <v>-3.806296E-2</v>
      </c>
      <c r="N3086">
        <v>0</v>
      </c>
      <c r="O3086">
        <v>-0.99918530000000005</v>
      </c>
      <c r="P3086">
        <v>4.1667139999999998E-2</v>
      </c>
      <c r="Q3086">
        <v>0.13518869999999999</v>
      </c>
      <c r="R3086">
        <v>-0.98994340000000003</v>
      </c>
      <c r="S3086">
        <v>0.26077270000000002</v>
      </c>
      <c r="T3086">
        <v>-0.2024764</v>
      </c>
      <c r="U3086">
        <v>-3.0474239999999999</v>
      </c>
      <c r="V3086">
        <v>-7.9160690000000006E-2</v>
      </c>
      <c r="W3086">
        <v>0.14852000000000001</v>
      </c>
      <c r="X3086">
        <v>0.98573599999999995</v>
      </c>
      <c r="Y3086">
        <v>-0.12294040000000001</v>
      </c>
      <c r="Z3086">
        <v>6.58522E-2</v>
      </c>
      <c r="AA3086">
        <v>0.99022679999999996</v>
      </c>
      <c r="AB3086">
        <v>27</v>
      </c>
      <c r="AC3086">
        <v>1.43530000000004</v>
      </c>
      <c r="AD3086">
        <v>-1.109937780151</v>
      </c>
      <c r="AE3086">
        <v>-16.561900000000001</v>
      </c>
      <c r="AF3086">
        <v>-2.0555480105188702</v>
      </c>
      <c r="AG3086">
        <v>-1.109937780151</v>
      </c>
      <c r="AH3086">
        <v>16.4220520860253</v>
      </c>
      <c r="AI3086">
        <v>93.836791632490602</v>
      </c>
      <c r="AJ3086">
        <v>97.134605724518295</v>
      </c>
      <c r="AK3086">
        <v>16.587375748305799</v>
      </c>
      <c r="AL3086">
        <v>81.458832158787203</v>
      </c>
      <c r="AM3086">
        <v>94.591351943860602</v>
      </c>
      <c r="AN3086">
        <v>1.0000000334686301</v>
      </c>
    </row>
    <row r="3087" spans="1:40" x14ac:dyDescent="0.25">
      <c r="A3087" t="str">
        <f>"20190312164046995"</f>
        <v>20190312164046995</v>
      </c>
      <c r="B3087" t="str">
        <f>"1552380046989533"</f>
        <v>1552380046989533</v>
      </c>
      <c r="C3087" t="s">
        <v>40</v>
      </c>
      <c r="D3087">
        <v>5.7860569999999996</v>
      </c>
      <c r="E3087">
        <v>0.49014980000000002</v>
      </c>
      <c r="F3087" t="s">
        <v>41</v>
      </c>
      <c r="G3087">
        <v>-491.44929999999999</v>
      </c>
      <c r="H3087" s="1">
        <v>-1.764716E-6</v>
      </c>
      <c r="I3087">
        <v>232.8038</v>
      </c>
      <c r="J3087">
        <v>-492.88040000000001</v>
      </c>
      <c r="K3087">
        <v>1.109969</v>
      </c>
      <c r="L3087">
        <v>249.22730000000001</v>
      </c>
      <c r="M3087">
        <v>-3.8402720000000001E-2</v>
      </c>
      <c r="N3087">
        <v>0</v>
      </c>
      <c r="O3087">
        <v>-0.99917210000000001</v>
      </c>
      <c r="P3087">
        <v>4.2013729999999999E-2</v>
      </c>
      <c r="Q3087">
        <v>0.13480980000000001</v>
      </c>
      <c r="R3087">
        <v>-0.98998030000000004</v>
      </c>
      <c r="S3087">
        <v>0.26129150000000001</v>
      </c>
      <c r="T3087">
        <v>-0.2036927</v>
      </c>
      <c r="U3087">
        <v>-3.0473020000000002</v>
      </c>
      <c r="V3087">
        <v>-7.9857730000000002E-2</v>
      </c>
      <c r="W3087">
        <v>0.1481333</v>
      </c>
      <c r="X3087">
        <v>0.98573789999999994</v>
      </c>
      <c r="Y3087">
        <v>-0.12344629999999999</v>
      </c>
      <c r="Z3087">
        <v>6.6244799999999895E-2</v>
      </c>
      <c r="AA3087">
        <v>0.99013770000000001</v>
      </c>
      <c r="AB3087">
        <v>27</v>
      </c>
      <c r="AC3087">
        <v>1.43110000000001</v>
      </c>
      <c r="AD3087">
        <v>-1.109970764716</v>
      </c>
      <c r="AE3087">
        <v>-16.423500000000001</v>
      </c>
      <c r="AF3087">
        <v>-2.0515081690291099</v>
      </c>
      <c r="AG3087">
        <v>-1.109970764716</v>
      </c>
      <c r="AH3087">
        <v>16.2826072249294</v>
      </c>
      <c r="AI3087">
        <v>93.8692723760566</v>
      </c>
      <c r="AJ3087">
        <v>97.181076127569597</v>
      </c>
      <c r="AK3087">
        <v>16.448830320343198</v>
      </c>
      <c r="AL3087">
        <v>81.481235712282398</v>
      </c>
      <c r="AM3087">
        <v>94.631596526129201</v>
      </c>
      <c r="AN3087">
        <v>0.99999996955302595</v>
      </c>
    </row>
    <row r="3088" spans="1:40" x14ac:dyDescent="0.25">
      <c r="A3088" t="str">
        <f>"20190312164047010"</f>
        <v>20190312164047010</v>
      </c>
      <c r="B3088" t="str">
        <f>"1552380046999294"</f>
        <v>1552380046999294</v>
      </c>
      <c r="C3088" t="s">
        <v>40</v>
      </c>
      <c r="D3088">
        <v>5.7859179999999997</v>
      </c>
      <c r="E3088">
        <v>0.49006870000000002</v>
      </c>
      <c r="F3088" t="s">
        <v>41</v>
      </c>
      <c r="G3088">
        <v>-491.45580000000001</v>
      </c>
      <c r="H3088" s="1">
        <v>-1.6761219999999999E-6</v>
      </c>
      <c r="I3088">
        <v>232.5933</v>
      </c>
      <c r="J3088">
        <v>-492.88729999999998</v>
      </c>
      <c r="K3088">
        <v>1.109998</v>
      </c>
      <c r="L3088">
        <v>249.05600000000001</v>
      </c>
      <c r="M3088">
        <v>-3.8679949999999998E-2</v>
      </c>
      <c r="N3088">
        <v>0</v>
      </c>
      <c r="O3088">
        <v>-0.99916150000000004</v>
      </c>
      <c r="P3088">
        <v>4.2722059999999999E-2</v>
      </c>
      <c r="Q3088">
        <v>0.1341627</v>
      </c>
      <c r="R3088">
        <v>-0.99003799999999997</v>
      </c>
      <c r="S3088">
        <v>0.26095580000000002</v>
      </c>
      <c r="T3088">
        <v>-0.20332149999999999</v>
      </c>
      <c r="U3088">
        <v>-3.0469819999999999</v>
      </c>
      <c r="V3088">
        <v>-8.0856999999999998E-2</v>
      </c>
      <c r="W3088">
        <v>0.14747829999999901</v>
      </c>
      <c r="X3088">
        <v>0.98575469999999998</v>
      </c>
      <c r="Y3088">
        <v>-0.12362289999999999</v>
      </c>
      <c r="Z3088">
        <v>6.6129999999999994E-2</v>
      </c>
      <c r="AA3088">
        <v>0.99012330000000004</v>
      </c>
      <c r="AB3088">
        <v>27</v>
      </c>
      <c r="AC3088">
        <v>1.43149999999997</v>
      </c>
      <c r="AD3088">
        <v>-1.1099996761219999</v>
      </c>
      <c r="AE3088">
        <v>-16.462699999999899</v>
      </c>
      <c r="AF3088">
        <v>-2.0579766682577301</v>
      </c>
      <c r="AG3088">
        <v>-1.1099996761219999</v>
      </c>
      <c r="AH3088">
        <v>16.321360085949301</v>
      </c>
      <c r="AI3088">
        <v>93.860166964342497</v>
      </c>
      <c r="AJ3088">
        <v>97.186556255121303</v>
      </c>
      <c r="AK3088">
        <v>16.488000555049201</v>
      </c>
      <c r="AL3088">
        <v>81.519181624790903</v>
      </c>
      <c r="AM3088">
        <v>94.689215850017902</v>
      </c>
      <c r="AN3088">
        <v>1.0000000159959801</v>
      </c>
    </row>
    <row r="3089" spans="1:40" x14ac:dyDescent="0.25">
      <c r="A3089" t="str">
        <f>"20190312164047035"</f>
        <v>20190312164047035</v>
      </c>
      <c r="B3089" t="str">
        <f>"1552380047029550"</f>
        <v>1552380047029550</v>
      </c>
      <c r="C3089" t="s">
        <v>40</v>
      </c>
      <c r="D3089">
        <v>5.9011239999999896</v>
      </c>
      <c r="E3089">
        <v>0.49009629999999998</v>
      </c>
      <c r="F3089" t="s">
        <v>41</v>
      </c>
      <c r="G3089">
        <v>-491.4529</v>
      </c>
      <c r="H3089" s="1">
        <v>-1.6442310000000001E-6</v>
      </c>
      <c r="I3089">
        <v>232.52080000000001</v>
      </c>
      <c r="J3089">
        <v>-492.89920000000001</v>
      </c>
      <c r="K3089">
        <v>1.1100859999999999</v>
      </c>
      <c r="L3089">
        <v>248.76259999999999</v>
      </c>
      <c r="M3089">
        <v>-3.9060539999999998E-2</v>
      </c>
      <c r="N3089">
        <v>0</v>
      </c>
      <c r="O3089">
        <v>-0.99914669999999906</v>
      </c>
      <c r="P3089">
        <v>4.325768E-2</v>
      </c>
      <c r="Q3089">
        <v>0.13347979999999901</v>
      </c>
      <c r="R3089">
        <v>-0.99010710000000002</v>
      </c>
      <c r="S3089">
        <v>0.26428220000000002</v>
      </c>
      <c r="T3089">
        <v>-0.20451</v>
      </c>
      <c r="U3089">
        <v>-3.0465089999999999</v>
      </c>
      <c r="V3089">
        <v>-8.1801440000000003E-2</v>
      </c>
      <c r="W3089">
        <v>0.1467774</v>
      </c>
      <c r="X3089">
        <v>0.98578140000000003</v>
      </c>
      <c r="Y3089">
        <v>-0.12508469999999999</v>
      </c>
      <c r="Z3089">
        <v>6.6514399999999904E-2</v>
      </c>
      <c r="AA3089">
        <v>0.98991390000000001</v>
      </c>
      <c r="AB3089">
        <v>27</v>
      </c>
      <c r="AC3089">
        <v>1.4462999999999999</v>
      </c>
      <c r="AD3089">
        <v>-1.1100876442309999</v>
      </c>
      <c r="AE3089">
        <v>-16.241799999999898</v>
      </c>
      <c r="AF3089">
        <v>-2.0700726388347102</v>
      </c>
      <c r="AG3089">
        <v>-1.1100876442309999</v>
      </c>
      <c r="AH3089">
        <v>16.098294614731898</v>
      </c>
      <c r="AI3089">
        <v>93.912577971244801</v>
      </c>
      <c r="AJ3089">
        <v>97.327428680060905</v>
      </c>
      <c r="AK3089">
        <v>16.2687610103116</v>
      </c>
      <c r="AL3089">
        <v>81.559782145607002</v>
      </c>
      <c r="AM3089">
        <v>94.743611221291602</v>
      </c>
      <c r="AN3089">
        <v>1.00000002466139</v>
      </c>
    </row>
    <row r="3090" spans="1:40" x14ac:dyDescent="0.25">
      <c r="A3090" t="str">
        <f>"20190312164047049"</f>
        <v>20190312164047049</v>
      </c>
      <c r="B3090" t="str">
        <f>"1552380047039310"</f>
        <v>1552380047039310</v>
      </c>
      <c r="C3090" t="s">
        <v>40</v>
      </c>
      <c r="D3090">
        <v>5.8464679999999998</v>
      </c>
      <c r="E3090">
        <v>0.4900294</v>
      </c>
      <c r="F3090" t="s">
        <v>41</v>
      </c>
      <c r="G3090">
        <v>-491.47949999999997</v>
      </c>
      <c r="H3090" s="1">
        <v>-1.623798E-6</v>
      </c>
      <c r="I3090">
        <v>232.45660000000001</v>
      </c>
      <c r="J3090">
        <v>-492.90589999999997</v>
      </c>
      <c r="K3090">
        <v>1.1101379999999901</v>
      </c>
      <c r="L3090">
        <v>248.5959</v>
      </c>
      <c r="M3090">
        <v>-3.9200840000000001E-2</v>
      </c>
      <c r="N3090">
        <v>0</v>
      </c>
      <c r="O3090">
        <v>-0.99914159999999996</v>
      </c>
      <c r="P3090">
        <v>4.3567549999999997E-2</v>
      </c>
      <c r="Q3090">
        <v>0.13299540000000001</v>
      </c>
      <c r="R3090">
        <v>-0.99015889999999995</v>
      </c>
      <c r="S3090">
        <v>0.26522829999999997</v>
      </c>
      <c r="T3090">
        <v>-0.2073921</v>
      </c>
      <c r="U3090">
        <v>-3.0463710000000002</v>
      </c>
      <c r="V3090">
        <v>-8.2271960000000005E-2</v>
      </c>
      <c r="W3090">
        <v>0.1462812</v>
      </c>
      <c r="X3090">
        <v>0.98581600000000003</v>
      </c>
      <c r="Y3090">
        <v>-0.12552749999999999</v>
      </c>
      <c r="Z3090">
        <v>6.7447149999999997E-2</v>
      </c>
      <c r="AA3090">
        <v>0.98979479999999997</v>
      </c>
      <c r="AB3090">
        <v>27</v>
      </c>
      <c r="AC3090">
        <v>1.4263999999999999</v>
      </c>
      <c r="AD3090">
        <v>-1.1101396237979999</v>
      </c>
      <c r="AE3090">
        <v>-16.139299999999899</v>
      </c>
      <c r="AF3090">
        <v>-2.04841758516304</v>
      </c>
      <c r="AG3090">
        <v>-1.1101396237979999</v>
      </c>
      <c r="AH3090">
        <v>15.995875599700399</v>
      </c>
      <c r="AI3090">
        <v>93.937997697071395</v>
      </c>
      <c r="AJ3090">
        <v>97.297528415652394</v>
      </c>
      <c r="AK3090">
        <v>16.1646670484926</v>
      </c>
      <c r="AL3090">
        <v>81.588522531129996</v>
      </c>
      <c r="AM3090">
        <v>94.770604110222095</v>
      </c>
      <c r="AN3090">
        <v>1.0000000253658401</v>
      </c>
    </row>
    <row r="3091" spans="1:40" x14ac:dyDescent="0.25">
      <c r="A3091" t="str">
        <f>"20190312164047079"</f>
        <v>20190312164047079</v>
      </c>
      <c r="B3091" t="str">
        <f>"1552380047069566"</f>
        <v>1552380047069566</v>
      </c>
      <c r="C3091" t="s">
        <v>40</v>
      </c>
      <c r="D3091">
        <v>5.857297</v>
      </c>
      <c r="E3091">
        <v>0.48968270000000003</v>
      </c>
      <c r="F3091" t="s">
        <v>41</v>
      </c>
      <c r="G3091">
        <v>-491.49189999999999</v>
      </c>
      <c r="H3091" s="1">
        <v>-1.6052670000000001E-6</v>
      </c>
      <c r="I3091">
        <v>232.4057</v>
      </c>
      <c r="J3091">
        <v>-492.9205</v>
      </c>
      <c r="K3091">
        <v>1.1102559999999999</v>
      </c>
      <c r="L3091">
        <v>248.22909999999999</v>
      </c>
      <c r="M3091">
        <v>-3.9353029999999997E-2</v>
      </c>
      <c r="N3091">
        <v>0</v>
      </c>
      <c r="O3091">
        <v>-0.99913540000000001</v>
      </c>
      <c r="P3091">
        <v>4.5537750000000002E-2</v>
      </c>
      <c r="Q3091">
        <v>0.13115019999999999</v>
      </c>
      <c r="R3091">
        <v>-0.99031619999999998</v>
      </c>
      <c r="S3091">
        <v>0.26605220000000002</v>
      </c>
      <c r="T3091">
        <v>-0.208874</v>
      </c>
      <c r="U3091">
        <v>-3.0461879999999999</v>
      </c>
      <c r="V3091">
        <v>-8.444393E-2</v>
      </c>
      <c r="W3091">
        <v>0.14440919999999999</v>
      </c>
      <c r="X3091">
        <v>0.98590829999999996</v>
      </c>
      <c r="Y3091">
        <v>-0.12594659999999999</v>
      </c>
      <c r="Z3091">
        <v>6.7927669999999996E-2</v>
      </c>
      <c r="AA3091">
        <v>0.9897087</v>
      </c>
      <c r="AB3091">
        <v>27</v>
      </c>
      <c r="AC3091">
        <v>1.4286000000000101</v>
      </c>
      <c r="AD3091">
        <v>-1.1102576052669999</v>
      </c>
      <c r="AE3091">
        <v>-15.8233999999999</v>
      </c>
      <c r="AF3091">
        <v>-2.0402843611805799</v>
      </c>
      <c r="AG3091">
        <v>-1.1102576052669999</v>
      </c>
      <c r="AH3091">
        <v>15.6783520614135</v>
      </c>
      <c r="AI3091">
        <v>94.016863490189493</v>
      </c>
      <c r="AJ3091">
        <v>97.414453751161503</v>
      </c>
      <c r="AK3091">
        <v>15.8494843949625</v>
      </c>
      <c r="AL3091">
        <v>81.696931102298805</v>
      </c>
      <c r="AM3091">
        <v>94.895487002630006</v>
      </c>
      <c r="AN3091">
        <v>0.99999998518368705</v>
      </c>
    </row>
    <row r="3092" spans="1:40" x14ac:dyDescent="0.25">
      <c r="A3092" t="str">
        <f>"20190312164047091"</f>
        <v>20190312164047091</v>
      </c>
      <c r="B3092" t="str">
        <f>"1552380047079326"</f>
        <v>1552380047079326</v>
      </c>
      <c r="C3092" t="s">
        <v>40</v>
      </c>
      <c r="D3092">
        <v>6.2263039999999998</v>
      </c>
      <c r="E3092">
        <v>0.48970039999999998</v>
      </c>
      <c r="F3092" t="s">
        <v>41</v>
      </c>
      <c r="G3092">
        <v>-491.50830000000002</v>
      </c>
      <c r="H3092" s="1">
        <v>-1.6535159999999999E-6</v>
      </c>
      <c r="I3092">
        <v>232.50800000000001</v>
      </c>
      <c r="J3092">
        <v>-492.92660000000001</v>
      </c>
      <c r="K3092">
        <v>1.1103080000000001</v>
      </c>
      <c r="L3092">
        <v>248.07650000000001</v>
      </c>
      <c r="M3092">
        <v>-3.9330560000000001E-2</v>
      </c>
      <c r="N3092">
        <v>0</v>
      </c>
      <c r="O3092">
        <v>-0.99913629999999998</v>
      </c>
      <c r="P3092">
        <v>4.6155729999999999E-2</v>
      </c>
      <c r="Q3092">
        <v>0.13054260000000001</v>
      </c>
      <c r="R3092">
        <v>-0.99036769999999996</v>
      </c>
      <c r="S3092">
        <v>0.27355960000000001</v>
      </c>
      <c r="T3092">
        <v>-0.21506169999999999</v>
      </c>
      <c r="U3092">
        <v>-3.045242</v>
      </c>
      <c r="V3092">
        <v>-8.5059999999999997E-2</v>
      </c>
      <c r="W3092">
        <v>0.1437901</v>
      </c>
      <c r="X3092">
        <v>0.98594579999999998</v>
      </c>
      <c r="Y3092">
        <v>-0.128359</v>
      </c>
      <c r="Z3092">
        <v>6.9933350000000005E-2</v>
      </c>
      <c r="AA3092">
        <v>0.98925890000000005</v>
      </c>
      <c r="AB3092">
        <v>27</v>
      </c>
      <c r="AC3092">
        <v>1.4182999999999799</v>
      </c>
      <c r="AD3092">
        <v>-1.110309653516</v>
      </c>
      <c r="AE3092">
        <v>-15.5685</v>
      </c>
      <c r="AF3092">
        <v>-2.0193887614232802</v>
      </c>
      <c r="AG3092">
        <v>-1.110309653516</v>
      </c>
      <c r="AH3092">
        <v>15.422865890074</v>
      </c>
      <c r="AI3092">
        <v>94.082953738584493</v>
      </c>
      <c r="AJ3092">
        <v>97.459571777155304</v>
      </c>
      <c r="AK3092">
        <v>15.594085762225999</v>
      </c>
      <c r="AL3092">
        <v>81.732776815898504</v>
      </c>
      <c r="AM3092">
        <v>94.930840478549797</v>
      </c>
      <c r="AN3092">
        <v>0.99999995849782397</v>
      </c>
    </row>
    <row r="3093" spans="1:40" x14ac:dyDescent="0.25">
      <c r="A3093" t="str">
        <f>"20190312164047104"</f>
        <v>20190312164047104</v>
      </c>
      <c r="B3093" t="str">
        <f>"1552380047098845"</f>
        <v>1552380047098845</v>
      </c>
      <c r="C3093" t="s">
        <v>40</v>
      </c>
      <c r="D3093">
        <v>5.5743229999999997</v>
      </c>
      <c r="E3093">
        <v>0.48980479999999998</v>
      </c>
      <c r="F3093" t="s">
        <v>41</v>
      </c>
      <c r="G3093">
        <v>-491.52300000000002</v>
      </c>
      <c r="H3093" s="1">
        <v>-1.6646900000000001E-6</v>
      </c>
      <c r="I3093">
        <v>232.5249</v>
      </c>
      <c r="J3093">
        <v>-492.9323</v>
      </c>
      <c r="K3093">
        <v>1.1103559999999999</v>
      </c>
      <c r="L3093">
        <v>247.93</v>
      </c>
      <c r="M3093">
        <v>-3.9276829999999999E-2</v>
      </c>
      <c r="N3093">
        <v>0</v>
      </c>
      <c r="O3093">
        <v>-0.99913850000000004</v>
      </c>
      <c r="P3093">
        <v>4.7019930000000001E-2</v>
      </c>
      <c r="Q3093">
        <v>0.1302682</v>
      </c>
      <c r="R3093">
        <v>-0.99036349999999995</v>
      </c>
      <c r="S3093">
        <v>0.27481080000000002</v>
      </c>
      <c r="T3093">
        <v>-0.21739890000000001</v>
      </c>
      <c r="U3093">
        <v>-3.045013</v>
      </c>
      <c r="V3093">
        <v>-8.5888199999999998E-2</v>
      </c>
      <c r="W3093">
        <v>0.14350370000000001</v>
      </c>
      <c r="X3093">
        <v>0.98591580000000001</v>
      </c>
      <c r="Y3093">
        <v>-0.12871069999999901</v>
      </c>
      <c r="Z3093">
        <v>7.0692110000000002E-2</v>
      </c>
      <c r="AA3093">
        <v>0.98915929999999996</v>
      </c>
      <c r="AB3093">
        <v>27</v>
      </c>
      <c r="AC3093">
        <v>1.40929999999997</v>
      </c>
      <c r="AD3093">
        <v>-1.11035766469</v>
      </c>
      <c r="AE3093">
        <v>-15.405099999999999</v>
      </c>
      <c r="AF3093">
        <v>-2.0030106320821299</v>
      </c>
      <c r="AG3093">
        <v>-1.11035766469</v>
      </c>
      <c r="AH3093">
        <v>15.259237144442601</v>
      </c>
      <c r="AI3093">
        <v>94.126588385448898</v>
      </c>
      <c r="AJ3093">
        <v>97.478200539797598</v>
      </c>
      <c r="AK3093">
        <v>15.4301414110859</v>
      </c>
      <c r="AL3093">
        <v>81.7493588863166</v>
      </c>
      <c r="AM3093">
        <v>94.978760964553203</v>
      </c>
      <c r="AN3093">
        <v>1.0000000297512801</v>
      </c>
    </row>
    <row r="3094" spans="1:40" x14ac:dyDescent="0.25">
      <c r="A3094" t="str">
        <f>"20190312164047116"</f>
        <v>20190312164047116</v>
      </c>
      <c r="B3094" t="str">
        <f>"1552380047109582"</f>
        <v>1552380047109582</v>
      </c>
      <c r="C3094" t="s">
        <v>40</v>
      </c>
      <c r="D3094">
        <v>5.9572010000000004</v>
      </c>
      <c r="E3094">
        <v>0.4899056</v>
      </c>
      <c r="F3094" t="s">
        <v>41</v>
      </c>
      <c r="G3094">
        <v>-491.54</v>
      </c>
      <c r="H3094" s="1">
        <v>-1.6967289999999999E-6</v>
      </c>
      <c r="I3094">
        <v>232.5891</v>
      </c>
      <c r="J3094">
        <v>-492.93849999999998</v>
      </c>
      <c r="K3094">
        <v>1.1104099999999999</v>
      </c>
      <c r="L3094">
        <v>247.77269999999999</v>
      </c>
      <c r="M3094">
        <v>-3.9182960000000003E-2</v>
      </c>
      <c r="N3094">
        <v>0</v>
      </c>
      <c r="O3094">
        <v>-0.99914210000000003</v>
      </c>
      <c r="P3094">
        <v>4.7978199999999999E-2</v>
      </c>
      <c r="Q3094">
        <v>0.12994919999999999</v>
      </c>
      <c r="R3094">
        <v>-0.9903592</v>
      </c>
      <c r="S3094">
        <v>0.27636719999999998</v>
      </c>
      <c r="T3094">
        <v>-0.22039839999999999</v>
      </c>
      <c r="U3094">
        <v>-3.0450590000000002</v>
      </c>
      <c r="V3094">
        <v>-8.6771500000000001E-2</v>
      </c>
      <c r="W3094">
        <v>0.14317149999999901</v>
      </c>
      <c r="X3094">
        <v>0.98588679999999995</v>
      </c>
      <c r="Y3094">
        <v>-0.12911139999999999</v>
      </c>
      <c r="Z3094">
        <v>7.1658260000000001E-2</v>
      </c>
      <c r="AA3094">
        <v>0.98903759999999996</v>
      </c>
      <c r="AB3094">
        <v>27</v>
      </c>
      <c r="AC3094">
        <v>1.3984999999999499</v>
      </c>
      <c r="AD3094">
        <v>-1.1104116967290001</v>
      </c>
      <c r="AE3094">
        <v>-15.183599999999901</v>
      </c>
      <c r="AF3094">
        <v>-1.9819069713022699</v>
      </c>
      <c r="AG3094">
        <v>-1.1104116967290001</v>
      </c>
      <c r="AH3094">
        <v>15.037386979929099</v>
      </c>
      <c r="AI3094">
        <v>94.187169355640805</v>
      </c>
      <c r="AJ3094">
        <v>97.508229849462396</v>
      </c>
      <c r="AK3094">
        <v>15.208023427233</v>
      </c>
      <c r="AL3094">
        <v>81.768591530664906</v>
      </c>
      <c r="AM3094">
        <v>95.029849903123306</v>
      </c>
      <c r="AN3094">
        <v>1.00000007701936</v>
      </c>
    </row>
    <row r="3095" spans="1:40" x14ac:dyDescent="0.25">
      <c r="A3095" t="str">
        <f>"20190312164047133"</f>
        <v>20190312164047133</v>
      </c>
      <c r="B3095" t="str">
        <f>"1552380047129102"</f>
        <v>1552380047129102</v>
      </c>
      <c r="C3095" t="s">
        <v>40</v>
      </c>
      <c r="D3095">
        <v>5.9070960000000001</v>
      </c>
      <c r="E3095">
        <v>0.48987799999999998</v>
      </c>
      <c r="F3095" t="s">
        <v>41</v>
      </c>
      <c r="G3095">
        <v>-491.541</v>
      </c>
      <c r="H3095" s="1">
        <v>-1.663423E-6</v>
      </c>
      <c r="I3095">
        <v>232.51079999999999</v>
      </c>
      <c r="J3095">
        <v>-492.94580000000002</v>
      </c>
      <c r="K3095">
        <v>1.1104849999999999</v>
      </c>
      <c r="L3095">
        <v>247.58109999999999</v>
      </c>
      <c r="M3095">
        <v>-3.8974910000000001E-2</v>
      </c>
      <c r="N3095">
        <v>0</v>
      </c>
      <c r="O3095">
        <v>-0.9991506</v>
      </c>
      <c r="P3095">
        <v>4.9754710000000001E-2</v>
      </c>
      <c r="Q3095">
        <v>0.130193899999999</v>
      </c>
      <c r="R3095">
        <v>-0.99024009999999996</v>
      </c>
      <c r="S3095">
        <v>0.27880860000000002</v>
      </c>
      <c r="T3095">
        <v>-0.22153020000000001</v>
      </c>
      <c r="U3095">
        <v>-3.0447850000000001</v>
      </c>
      <c r="V3095">
        <v>-8.8361209999999996E-2</v>
      </c>
      <c r="W3095">
        <v>0.143397</v>
      </c>
      <c r="X3095">
        <v>0.9857127</v>
      </c>
      <c r="Y3095">
        <v>-0.12969700000000001</v>
      </c>
      <c r="Z3095">
        <v>7.2026270000000003E-2</v>
      </c>
      <c r="AA3095">
        <v>0.98893419999999999</v>
      </c>
      <c r="AB3095">
        <v>27</v>
      </c>
      <c r="AC3095">
        <v>1.40480000000002</v>
      </c>
      <c r="AD3095">
        <v>-1.110486663423</v>
      </c>
      <c r="AE3095">
        <v>-15.0703</v>
      </c>
      <c r="AF3095">
        <v>-1.9804876077539799</v>
      </c>
      <c r="AG3095">
        <v>-1.110486663423</v>
      </c>
      <c r="AH3095">
        <v>14.923755740820001</v>
      </c>
      <c r="AI3095">
        <v>94.218723714471693</v>
      </c>
      <c r="AJ3095">
        <v>97.559383904455601</v>
      </c>
      <c r="AK3095">
        <v>15.0954959244725</v>
      </c>
      <c r="AL3095">
        <v>81.755535697317697</v>
      </c>
      <c r="AM3095">
        <v>95.122414071302401</v>
      </c>
      <c r="AN3095">
        <v>0.99999996499147603</v>
      </c>
    </row>
    <row r="3096" spans="1:40" x14ac:dyDescent="0.25">
      <c r="A3096" t="str">
        <f>"20190312164047146"</f>
        <v>20190312164047146</v>
      </c>
      <c r="B3096" t="str">
        <f>"1552380047138861"</f>
        <v>1552380047138861</v>
      </c>
      <c r="C3096" t="s">
        <v>40</v>
      </c>
      <c r="D3096">
        <v>5.8014020000000004</v>
      </c>
      <c r="E3096">
        <v>0.48980600000000002</v>
      </c>
      <c r="F3096" t="s">
        <v>41</v>
      </c>
      <c r="G3096">
        <v>-491.53199999999998</v>
      </c>
      <c r="H3096" s="1">
        <v>-1.6016559999999999E-6</v>
      </c>
      <c r="I3096">
        <v>232.3724</v>
      </c>
      <c r="J3096">
        <v>-492.95170000000002</v>
      </c>
      <c r="K3096">
        <v>1.110552</v>
      </c>
      <c r="L3096">
        <v>247.4273</v>
      </c>
      <c r="M3096">
        <v>-3.8751260000000003E-2</v>
      </c>
      <c r="N3096">
        <v>0</v>
      </c>
      <c r="O3096">
        <v>-0.99915900000000002</v>
      </c>
      <c r="P3096">
        <v>5.1078470000000001E-2</v>
      </c>
      <c r="Q3096">
        <v>0.1303665</v>
      </c>
      <c r="R3096">
        <v>-0.99014930000000001</v>
      </c>
      <c r="S3096">
        <v>0.28301999999999999</v>
      </c>
      <c r="T3096">
        <v>-0.22230449999999999</v>
      </c>
      <c r="U3096">
        <v>-3.0445859999999998</v>
      </c>
      <c r="V3096">
        <v>-8.9481980000000003E-2</v>
      </c>
      <c r="W3096">
        <v>0.14355319999999999</v>
      </c>
      <c r="X3096">
        <v>0.98558889999999999</v>
      </c>
      <c r="Y3096">
        <v>-0.1308356</v>
      </c>
      <c r="Z3096">
        <v>7.2272290000000003E-2</v>
      </c>
      <c r="AA3096">
        <v>0.98876629999999999</v>
      </c>
      <c r="AB3096">
        <v>27</v>
      </c>
      <c r="AC3096">
        <v>1.4197000000000299</v>
      </c>
      <c r="AD3096">
        <v>-1.110553601656</v>
      </c>
      <c r="AE3096">
        <v>-15.0549</v>
      </c>
      <c r="AF3096">
        <v>-1.99134171455287</v>
      </c>
      <c r="AG3096">
        <v>-1.110553601656</v>
      </c>
      <c r="AH3096">
        <v>14.9081613672729</v>
      </c>
      <c r="AI3096">
        <v>94.222897108742004</v>
      </c>
      <c r="AJ3096">
        <v>97.608187369947998</v>
      </c>
      <c r="AK3096">
        <v>15.081513401476601</v>
      </c>
      <c r="AL3096">
        <v>81.746492933093293</v>
      </c>
      <c r="AM3096">
        <v>95.187682332484698</v>
      </c>
      <c r="AN3096">
        <v>1.00000001288908</v>
      </c>
    </row>
    <row r="3097" spans="1:40" x14ac:dyDescent="0.25">
      <c r="A3097" t="str">
        <f>"20190312164047159"</f>
        <v>20190312164047159</v>
      </c>
      <c r="B3097" t="str">
        <f>"1552380047148621"</f>
        <v>1552380047148621</v>
      </c>
      <c r="C3097" t="s">
        <v>40</v>
      </c>
      <c r="D3097">
        <v>5.843337</v>
      </c>
      <c r="E3097">
        <v>0.48985719999999999</v>
      </c>
      <c r="F3097" t="s">
        <v>41</v>
      </c>
      <c r="G3097">
        <v>-491.5154</v>
      </c>
      <c r="H3097" s="1">
        <v>-1.52967E-6</v>
      </c>
      <c r="I3097">
        <v>232.2149</v>
      </c>
      <c r="J3097">
        <v>-492.95740000000001</v>
      </c>
      <c r="K3097">
        <v>1.1106240000000001</v>
      </c>
      <c r="L3097">
        <v>247.27379999999999</v>
      </c>
      <c r="M3097">
        <v>-3.8490839999999998E-2</v>
      </c>
      <c r="N3097">
        <v>0</v>
      </c>
      <c r="O3097">
        <v>-0.99916919999999998</v>
      </c>
      <c r="P3097">
        <v>5.2139369999999997E-2</v>
      </c>
      <c r="Q3097">
        <v>0.1304572</v>
      </c>
      <c r="R3097">
        <v>-0.99008240000000003</v>
      </c>
      <c r="S3097">
        <v>0.28741460000000002</v>
      </c>
      <c r="T3097">
        <v>-0.22224150000000001</v>
      </c>
      <c r="U3097">
        <v>-3.0442809999999998</v>
      </c>
      <c r="V3097">
        <v>-9.0306709999999998E-2</v>
      </c>
      <c r="W3097">
        <v>0.14362639999999999</v>
      </c>
      <c r="X3097">
        <v>0.98550300000000002</v>
      </c>
      <c r="Y3097">
        <v>-0.13200129999999999</v>
      </c>
      <c r="Z3097">
        <v>7.2249759999999996E-2</v>
      </c>
      <c r="AA3097">
        <v>0.98861299999999996</v>
      </c>
      <c r="AB3097">
        <v>27</v>
      </c>
      <c r="AC3097">
        <v>1.4419999999999999</v>
      </c>
      <c r="AD3097">
        <v>-1.1106255296700001</v>
      </c>
      <c r="AE3097">
        <v>-15.0588999999999</v>
      </c>
      <c r="AF3097">
        <v>-2.0097803040805</v>
      </c>
      <c r="AG3097">
        <v>-1.1106255296700001</v>
      </c>
      <c r="AH3097">
        <v>14.9118557247968</v>
      </c>
      <c r="AI3097">
        <v>94.221459925200094</v>
      </c>
      <c r="AJ3097">
        <v>97.675918473097198</v>
      </c>
      <c r="AK3097">
        <v>15.0876156862169</v>
      </c>
      <c r="AL3097">
        <v>81.742254889920702</v>
      </c>
      <c r="AM3097">
        <v>95.235685035203005</v>
      </c>
      <c r="AN3097">
        <v>1.00000000382849</v>
      </c>
    </row>
    <row r="3098" spans="1:40" x14ac:dyDescent="0.25">
      <c r="A3098" t="str">
        <f>"20190312164047172"</f>
        <v>20190312164047172</v>
      </c>
      <c r="B3098" t="str">
        <f>"1552380047159357"</f>
        <v>1552380047159357</v>
      </c>
      <c r="C3098" t="s">
        <v>40</v>
      </c>
      <c r="D3098">
        <v>5.7868740000000001</v>
      </c>
      <c r="E3098">
        <v>0.48985869999999998</v>
      </c>
      <c r="F3098" t="s">
        <v>41</v>
      </c>
      <c r="G3098">
        <v>-491.51159999999999</v>
      </c>
      <c r="H3098" s="1">
        <v>-1.4764899999999999E-6</v>
      </c>
      <c r="I3098">
        <v>232.0933</v>
      </c>
      <c r="J3098">
        <v>-492.9631</v>
      </c>
      <c r="K3098">
        <v>1.1107</v>
      </c>
      <c r="L3098">
        <v>247.11879999999999</v>
      </c>
      <c r="M3098">
        <v>-3.815085E-2</v>
      </c>
      <c r="N3098">
        <v>0</v>
      </c>
      <c r="O3098">
        <v>-0.99918220000000002</v>
      </c>
      <c r="P3098">
        <v>5.3561890000000001E-2</v>
      </c>
      <c r="Q3098">
        <v>0.130634</v>
      </c>
      <c r="R3098">
        <v>-0.98998299999999995</v>
      </c>
      <c r="S3098">
        <v>0.28991699999999998</v>
      </c>
      <c r="T3098">
        <v>-0.22271170000000001</v>
      </c>
      <c r="U3098">
        <v>-3.0441280000000002</v>
      </c>
      <c r="V3098">
        <v>-9.1415460000000004E-2</v>
      </c>
      <c r="W3098">
        <v>0.14378299999999999</v>
      </c>
      <c r="X3098">
        <v>0.98537790000000003</v>
      </c>
      <c r="Y3098">
        <v>-0.13247300000000001</v>
      </c>
      <c r="Z3098">
        <v>7.2401720000000003E-2</v>
      </c>
      <c r="AA3098">
        <v>0.98853869999999999</v>
      </c>
      <c r="AB3098">
        <v>27</v>
      </c>
      <c r="AC3098">
        <v>1.45150000000001</v>
      </c>
      <c r="AD3098">
        <v>-1.1107014764899901</v>
      </c>
      <c r="AE3098">
        <v>-15.0254999999999</v>
      </c>
      <c r="AF3098">
        <v>-2.01283305123685</v>
      </c>
      <c r="AG3098">
        <v>-1.1107014764899901</v>
      </c>
      <c r="AH3098">
        <v>14.878628389924099</v>
      </c>
      <c r="AI3098">
        <v>94.230858497390997</v>
      </c>
      <c r="AJ3098">
        <v>97.704400268908998</v>
      </c>
      <c r="AK3098">
        <v>15.0551897174192</v>
      </c>
      <c r="AL3098">
        <v>81.733187996681295</v>
      </c>
      <c r="AM3098">
        <v>95.300271876714604</v>
      </c>
      <c r="AN3098">
        <v>0.99999997161220999</v>
      </c>
    </row>
    <row r="3099" spans="1:40" x14ac:dyDescent="0.25">
      <c r="A3099" t="str">
        <f>"20190312164047190"</f>
        <v>20190312164047190</v>
      </c>
      <c r="B3099" t="str">
        <f>"1552380047169118"</f>
        <v>1552380047169118</v>
      </c>
      <c r="C3099" t="s">
        <v>40</v>
      </c>
      <c r="D3099">
        <v>5.8256319999999997</v>
      </c>
      <c r="E3099">
        <v>0.48977179999999998</v>
      </c>
      <c r="F3099" t="s">
        <v>41</v>
      </c>
      <c r="G3099">
        <v>-491.50020000000001</v>
      </c>
      <c r="H3099" s="1">
        <v>-1.41141E-6</v>
      </c>
      <c r="I3099">
        <v>231.9486</v>
      </c>
      <c r="J3099">
        <v>-492.97059999999999</v>
      </c>
      <c r="K3099">
        <v>1.1108039999999999</v>
      </c>
      <c r="L3099">
        <v>246.9076</v>
      </c>
      <c r="M3099">
        <v>-3.7616040000000003E-2</v>
      </c>
      <c r="N3099">
        <v>0</v>
      </c>
      <c r="O3099">
        <v>-0.99920229999999999</v>
      </c>
      <c r="P3099">
        <v>5.6313870000000002E-2</v>
      </c>
      <c r="Q3099">
        <v>0.13101979999999999</v>
      </c>
      <c r="R3099">
        <v>-0.98977910000000002</v>
      </c>
      <c r="S3099">
        <v>0.293518099999999</v>
      </c>
      <c r="T3099">
        <v>-0.2228628</v>
      </c>
      <c r="U3099">
        <v>-3.0438999999999998</v>
      </c>
      <c r="V3099">
        <v>-9.3666120000000005E-2</v>
      </c>
      <c r="W3099">
        <v>0.14413979999999901</v>
      </c>
      <c r="X3099">
        <v>0.98511439999999995</v>
      </c>
      <c r="Y3099">
        <v>-0.133108</v>
      </c>
      <c r="Z3099">
        <v>7.2451070000000006E-2</v>
      </c>
      <c r="AA3099">
        <v>0.98844989999999999</v>
      </c>
      <c r="AB3099">
        <v>27</v>
      </c>
      <c r="AC3099">
        <v>1.4703999999999799</v>
      </c>
      <c r="AD3099">
        <v>-1.1108054114100001</v>
      </c>
      <c r="AE3099">
        <v>-14.959</v>
      </c>
      <c r="AF3099">
        <v>-2.021070454213</v>
      </c>
      <c r="AG3099">
        <v>-1.1108054114100001</v>
      </c>
      <c r="AH3099">
        <v>14.8122018518752</v>
      </c>
      <c r="AI3099">
        <v>94.249502163369698</v>
      </c>
      <c r="AJ3099">
        <v>97.769816983501201</v>
      </c>
      <c r="AK3099">
        <v>14.990661697990699</v>
      </c>
      <c r="AL3099">
        <v>81.712529928395199</v>
      </c>
      <c r="AM3099">
        <v>95.431438295580705</v>
      </c>
      <c r="AN3099">
        <v>1.00000000253362</v>
      </c>
    </row>
    <row r="3100" spans="1:40" x14ac:dyDescent="0.25">
      <c r="A3100" t="str">
        <f>"20190312164047205"</f>
        <v>20190312164047205</v>
      </c>
      <c r="B3100" t="str">
        <f>"1552380047199374"</f>
        <v>1552380047199374</v>
      </c>
      <c r="C3100" t="s">
        <v>40</v>
      </c>
      <c r="D3100">
        <v>6.465293</v>
      </c>
      <c r="E3100">
        <v>0.4899676</v>
      </c>
      <c r="F3100" t="s">
        <v>41</v>
      </c>
      <c r="G3100">
        <v>-491.47449999999998</v>
      </c>
      <c r="H3100" s="1">
        <v>-1.3514089999999999E-6</v>
      </c>
      <c r="I3100">
        <v>231.82470000000001</v>
      </c>
      <c r="J3100">
        <v>-492.97669999999999</v>
      </c>
      <c r="K3100">
        <v>1.110887</v>
      </c>
      <c r="L3100">
        <v>246.73330000000001</v>
      </c>
      <c r="M3100">
        <v>-3.7100969999999997E-2</v>
      </c>
      <c r="N3100">
        <v>0</v>
      </c>
      <c r="O3100">
        <v>-0.9992219</v>
      </c>
      <c r="P3100">
        <v>5.7893319999999998E-2</v>
      </c>
      <c r="Q3100">
        <v>0.13136919999999999</v>
      </c>
      <c r="R3100">
        <v>-0.98964189999999996</v>
      </c>
      <c r="S3100">
        <v>0.30187989999999998</v>
      </c>
      <c r="T3100">
        <v>-0.2241416</v>
      </c>
      <c r="U3100">
        <v>-3.0434570000000001</v>
      </c>
      <c r="V3100">
        <v>-9.4760209999999997E-2</v>
      </c>
      <c r="W3100">
        <v>0.14446679999999901</v>
      </c>
      <c r="X3100">
        <v>0.98496189999999995</v>
      </c>
      <c r="Y3100">
        <v>-0.13529759999999999</v>
      </c>
      <c r="Z3100">
        <v>7.2856630000000006E-2</v>
      </c>
      <c r="AA3100">
        <v>0.98812270000000002</v>
      </c>
      <c r="AB3100">
        <v>27</v>
      </c>
      <c r="AC3100">
        <v>1.50220000000001</v>
      </c>
      <c r="AD3100">
        <v>-1.110888351409</v>
      </c>
      <c r="AE3100">
        <v>-14.9086</v>
      </c>
      <c r="AF3100">
        <v>-2.0431088582460402</v>
      </c>
      <c r="AG3100">
        <v>-1.110888351409</v>
      </c>
      <c r="AH3100">
        <v>14.761460631686001</v>
      </c>
      <c r="AI3100">
        <v>94.263248692018195</v>
      </c>
      <c r="AJ3100">
        <v>97.880147046777594</v>
      </c>
      <c r="AK3100">
        <v>14.9435299282584</v>
      </c>
      <c r="AL3100">
        <v>81.693596426308901</v>
      </c>
      <c r="AM3100">
        <v>95.495341008871407</v>
      </c>
      <c r="AN3100">
        <v>1.0000000490765399</v>
      </c>
    </row>
    <row r="3101" spans="1:40" x14ac:dyDescent="0.25">
      <c r="A3101" t="str">
        <f>"20190312164047218"</f>
        <v>20190312164047218</v>
      </c>
      <c r="B3101" t="str">
        <f>"1552380047209134"</f>
        <v>1552380047209134</v>
      </c>
      <c r="C3101" t="s">
        <v>40</v>
      </c>
      <c r="D3101">
        <v>6.3652189999999997</v>
      </c>
      <c r="E3101">
        <v>0.49002970000000001</v>
      </c>
      <c r="F3101" t="s">
        <v>41</v>
      </c>
      <c r="G3101">
        <v>-491.4479</v>
      </c>
      <c r="H3101" s="1">
        <v>-1.1953649999999999E-6</v>
      </c>
      <c r="I3101">
        <v>231.47749999999999</v>
      </c>
      <c r="J3101">
        <v>-492.98219999999998</v>
      </c>
      <c r="K3101">
        <v>1.1109659999999999</v>
      </c>
      <c r="L3101">
        <v>246.56870000000001</v>
      </c>
      <c r="M3101">
        <v>-3.655986E-2</v>
      </c>
      <c r="N3101">
        <v>0</v>
      </c>
      <c r="O3101">
        <v>-0.99924179999999996</v>
      </c>
      <c r="P3101">
        <v>5.9800619999999999E-2</v>
      </c>
      <c r="Q3101">
        <v>0.1317876</v>
      </c>
      <c r="R3101">
        <v>-0.98947309999999999</v>
      </c>
      <c r="S3101">
        <v>0.30493160000000002</v>
      </c>
      <c r="T3101">
        <v>-0.22157959999999999</v>
      </c>
      <c r="U3101">
        <v>-3.0429379999999999</v>
      </c>
      <c r="V3101">
        <v>-9.6153180000000005E-2</v>
      </c>
      <c r="W3101">
        <v>0.14486260000000001</v>
      </c>
      <c r="X3101">
        <v>0.98476870000000005</v>
      </c>
      <c r="Y3101">
        <v>-0.13576479999999999</v>
      </c>
      <c r="Z3101">
        <v>7.203669E-2</v>
      </c>
      <c r="AA3101">
        <v>0.98811870000000002</v>
      </c>
      <c r="AB3101">
        <v>27</v>
      </c>
      <c r="AC3101">
        <v>1.53429999999997</v>
      </c>
      <c r="AD3101">
        <v>-1.110967195365</v>
      </c>
      <c r="AE3101">
        <v>-15.091200000000001</v>
      </c>
      <c r="AF3101">
        <v>-2.07393111475549</v>
      </c>
      <c r="AG3101">
        <v>-1.110967195365</v>
      </c>
      <c r="AH3101">
        <v>14.9448461974476</v>
      </c>
      <c r="AI3101">
        <v>94.211214577214193</v>
      </c>
      <c r="AJ3101">
        <v>97.900610603357606</v>
      </c>
      <c r="AK3101">
        <v>15.1289082964797</v>
      </c>
      <c r="AL3101">
        <v>81.670677255086204</v>
      </c>
      <c r="AM3101">
        <v>95.5767038300026</v>
      </c>
      <c r="AN3101">
        <v>0.99999999970128095</v>
      </c>
    </row>
    <row r="3102" spans="1:40" x14ac:dyDescent="0.25">
      <c r="A3102" t="str">
        <f>"20190312164047258"</f>
        <v>20190312164047258</v>
      </c>
      <c r="B3102" t="str">
        <f>"1552380047249150"</f>
        <v>1552380047249150</v>
      </c>
      <c r="C3102" t="s">
        <v>40</v>
      </c>
      <c r="D3102">
        <v>5.8154849999999998</v>
      </c>
      <c r="E3102">
        <v>0.44155650000000002</v>
      </c>
      <c r="F3102" t="s">
        <v>41</v>
      </c>
      <c r="G3102">
        <v>-491.4151</v>
      </c>
      <c r="H3102" s="1">
        <v>-1.0754380000000001E-6</v>
      </c>
      <c r="I3102">
        <v>231.2183</v>
      </c>
      <c r="J3102">
        <v>-492.99740000000003</v>
      </c>
      <c r="K3102">
        <v>1.1111819999999999</v>
      </c>
      <c r="L3102">
        <v>246.09020000000001</v>
      </c>
      <c r="M3102">
        <v>-3.4562009999999997E-2</v>
      </c>
      <c r="N3102">
        <v>0</v>
      </c>
      <c r="O3102">
        <v>-0.99931270000000005</v>
      </c>
      <c r="P3102">
        <v>6.7149819999999999E-2</v>
      </c>
      <c r="Q3102">
        <v>0.13200789999999901</v>
      </c>
      <c r="R3102">
        <v>-0.98897179999999996</v>
      </c>
      <c r="S3102">
        <v>0.31060789999999999</v>
      </c>
      <c r="T3102">
        <v>-0.22019620000000001</v>
      </c>
      <c r="U3102">
        <v>-3.0424799999999999</v>
      </c>
      <c r="V3102">
        <v>-0.1015823</v>
      </c>
      <c r="W3102">
        <v>0.14501549999999999</v>
      </c>
      <c r="X3102">
        <v>0.98420099999999999</v>
      </c>
      <c r="Y3102">
        <v>-0.13562689999999999</v>
      </c>
      <c r="Z3102">
        <v>7.1601670000000006E-2</v>
      </c>
      <c r="AA3102">
        <v>0.98816930000000003</v>
      </c>
      <c r="AB3102">
        <v>27</v>
      </c>
      <c r="AC3102">
        <v>1.58230000000003</v>
      </c>
      <c r="AD3102">
        <v>-1.1111830754380001</v>
      </c>
      <c r="AE3102">
        <v>-14.8719</v>
      </c>
      <c r="AF3102">
        <v>-2.0839000016773599</v>
      </c>
      <c r="AG3102">
        <v>-1.1111830754380001</v>
      </c>
      <c r="AH3102">
        <v>14.727025706416301</v>
      </c>
      <c r="AI3102">
        <v>94.272501817885995</v>
      </c>
      <c r="AJ3102">
        <v>98.053983180994294</v>
      </c>
      <c r="AK3102">
        <v>14.9151819701127</v>
      </c>
      <c r="AL3102">
        <v>81.661823522286099</v>
      </c>
      <c r="AM3102">
        <v>95.892801033536202</v>
      </c>
      <c r="AN3102">
        <v>1.0000000336572601</v>
      </c>
    </row>
    <row r="3103" spans="1:40" x14ac:dyDescent="0.25">
      <c r="A3103" t="str">
        <f>"20190312164047271"</f>
        <v>20190312164047271</v>
      </c>
      <c r="B3103" t="str">
        <f>"1552380047258910"</f>
        <v>1552380047258910</v>
      </c>
      <c r="C3103" t="s">
        <v>40</v>
      </c>
      <c r="D3103">
        <v>5.6487869999999996</v>
      </c>
      <c r="E3103">
        <v>0.42782740000000002</v>
      </c>
      <c r="F3103" t="s">
        <v>41</v>
      </c>
      <c r="G3103">
        <v>-489.18759999999997</v>
      </c>
      <c r="H3103" s="1">
        <v>-3.7272410000000001E-7</v>
      </c>
      <c r="I3103">
        <v>230.10810000000001</v>
      </c>
      <c r="J3103">
        <v>-493.00200000000001</v>
      </c>
      <c r="K3103">
        <v>1.111246</v>
      </c>
      <c r="L3103">
        <v>245.93459999999999</v>
      </c>
      <c r="M3103">
        <v>-3.3781459999999999E-2</v>
      </c>
      <c r="N3103">
        <v>0</v>
      </c>
      <c r="O3103">
        <v>-0.99933930000000004</v>
      </c>
      <c r="P3103">
        <v>6.9475720000000005E-2</v>
      </c>
      <c r="Q3103">
        <v>0.13178329999999999</v>
      </c>
      <c r="R3103">
        <v>-0.98884110000000003</v>
      </c>
      <c r="S3103">
        <v>0.71817019999999998</v>
      </c>
      <c r="T3103">
        <v>-0.2094598</v>
      </c>
      <c r="U3103">
        <v>-3.0126499999999998</v>
      </c>
      <c r="V3103">
        <v>-0.10315489999999999</v>
      </c>
      <c r="W3103">
        <v>0.1447697</v>
      </c>
      <c r="X3103">
        <v>0.98407359999999999</v>
      </c>
      <c r="Y3103">
        <v>-0.26409369999999999</v>
      </c>
      <c r="Z3103">
        <v>6.7132259999999999E-2</v>
      </c>
      <c r="AA3103">
        <v>0.96215779999999995</v>
      </c>
      <c r="AB3103">
        <v>27</v>
      </c>
      <c r="AC3103">
        <v>3.8143999999999698</v>
      </c>
      <c r="AD3103">
        <v>-1.1112463727241</v>
      </c>
      <c r="AE3103">
        <v>-15.8264999999999</v>
      </c>
      <c r="AF3103">
        <v>-4.32675281367779</v>
      </c>
      <c r="AG3103">
        <v>-1.1112463727241</v>
      </c>
      <c r="AH3103">
        <v>15.6158373869833</v>
      </c>
      <c r="AI3103">
        <v>93.923076078799198</v>
      </c>
      <c r="AJ3103">
        <v>105.486704260773</v>
      </c>
      <c r="AK3103">
        <v>16.242230010323901</v>
      </c>
      <c r="AL3103">
        <v>81.676056951026098</v>
      </c>
      <c r="AM3103">
        <v>95.9841399222056</v>
      </c>
      <c r="AN3103">
        <v>1.00000002482452</v>
      </c>
    </row>
    <row r="3104" spans="1:40" x14ac:dyDescent="0.25">
      <c r="A3104" t="str">
        <f>"20190312164047289"</f>
        <v>20190312164047289</v>
      </c>
      <c r="B3104" t="str">
        <f>"1552380047279405"</f>
        <v>1552380047279405</v>
      </c>
      <c r="C3104" t="s">
        <v>40</v>
      </c>
      <c r="D3104">
        <v>5.6495119999999996</v>
      </c>
      <c r="E3104">
        <v>0.41486709999999899</v>
      </c>
      <c r="F3104" t="s">
        <v>41</v>
      </c>
      <c r="G3104">
        <v>-489.16860000000003</v>
      </c>
      <c r="H3104" s="1">
        <v>-1.234368E-6</v>
      </c>
      <c r="I3104">
        <v>232.16630000000001</v>
      </c>
      <c r="J3104">
        <v>-493.00799999999998</v>
      </c>
      <c r="K3104">
        <v>1.1113329999999999</v>
      </c>
      <c r="L3104">
        <v>245.72370000000001</v>
      </c>
      <c r="M3104">
        <v>-3.266136E-2</v>
      </c>
      <c r="N3104">
        <v>0</v>
      </c>
      <c r="O3104">
        <v>-0.9993765</v>
      </c>
      <c r="P3104">
        <v>7.4143780000000006E-2</v>
      </c>
      <c r="Q3104">
        <v>0.13110939999999999</v>
      </c>
      <c r="R3104">
        <v>-0.98859180000000002</v>
      </c>
      <c r="S3104">
        <v>0.83731080000000002</v>
      </c>
      <c r="T3104">
        <v>-0.2427241</v>
      </c>
      <c r="U3104">
        <v>-3.007339</v>
      </c>
      <c r="V3104">
        <v>-0.10673530000000001</v>
      </c>
      <c r="W3104">
        <v>0.14406279999999999</v>
      </c>
      <c r="X3104">
        <v>0.98379550000000004</v>
      </c>
      <c r="Y3104">
        <v>-0.2987438</v>
      </c>
      <c r="Z3104">
        <v>7.7090249999999999E-2</v>
      </c>
      <c r="AA3104">
        <v>0.95121460000000002</v>
      </c>
      <c r="AB3104">
        <v>27</v>
      </c>
      <c r="AC3104">
        <v>3.8394000000000101</v>
      </c>
      <c r="AD3104">
        <v>-1.1113342343679999</v>
      </c>
      <c r="AE3104">
        <v>-13.557399999999999</v>
      </c>
      <c r="AF3104">
        <v>-4.2537333799836103</v>
      </c>
      <c r="AG3104">
        <v>-1.1113342343679999</v>
      </c>
      <c r="AH3104">
        <v>13.3417604055933</v>
      </c>
      <c r="AI3104">
        <v>94.537564041684703</v>
      </c>
      <c r="AJ3104">
        <v>107.683763473243</v>
      </c>
      <c r="AK3104">
        <v>14.0474866851235</v>
      </c>
      <c r="AL3104">
        <v>81.716988632734797</v>
      </c>
      <c r="AM3104">
        <v>96.191993693536105</v>
      </c>
      <c r="AN3104">
        <v>1.0000000502150801</v>
      </c>
    </row>
    <row r="3105" spans="1:40" x14ac:dyDescent="0.25">
      <c r="A3105" t="str">
        <f>"20190312164047300"</f>
        <v>20190312164047300</v>
      </c>
      <c r="B3105" t="str">
        <f>"1552380047289166"</f>
        <v>1552380047289166</v>
      </c>
      <c r="C3105" t="s">
        <v>40</v>
      </c>
      <c r="D3105">
        <v>5.5741909999999999</v>
      </c>
      <c r="E3105">
        <v>0.41169600000000001</v>
      </c>
      <c r="F3105" t="s">
        <v>41</v>
      </c>
      <c r="G3105">
        <v>-489.2004</v>
      </c>
      <c r="H3105" s="1">
        <v>-1.9206549999999999E-6</v>
      </c>
      <c r="I3105">
        <v>233.7792</v>
      </c>
      <c r="J3105">
        <v>-493.01159999999999</v>
      </c>
      <c r="K3105">
        <v>1.1113839999999999</v>
      </c>
      <c r="L3105">
        <v>245.58850000000001</v>
      </c>
      <c r="M3105">
        <v>-3.190751E-2</v>
      </c>
      <c r="N3105">
        <v>0</v>
      </c>
      <c r="O3105">
        <v>-0.99940090000000004</v>
      </c>
      <c r="P3105">
        <v>7.6877719999999997E-2</v>
      </c>
      <c r="Q3105">
        <v>0.1310308</v>
      </c>
      <c r="R3105">
        <v>-0.98839310000000002</v>
      </c>
      <c r="S3105">
        <v>0.9562988</v>
      </c>
      <c r="T3105">
        <v>-0.27911760000000002</v>
      </c>
      <c r="U3105">
        <v>-2.999908</v>
      </c>
      <c r="V3105">
        <v>-0.1087355</v>
      </c>
      <c r="W3105">
        <v>0.1439638</v>
      </c>
      <c r="X3105">
        <v>0.98359090000000005</v>
      </c>
      <c r="Y3105">
        <v>-0.33278980000000002</v>
      </c>
      <c r="Z3105">
        <v>8.7772249999999996E-2</v>
      </c>
      <c r="AA3105">
        <v>0.9389073</v>
      </c>
      <c r="AB3105">
        <v>27</v>
      </c>
      <c r="AC3105">
        <v>3.8111999999999799</v>
      </c>
      <c r="AD3105">
        <v>-1.1113859206550001</v>
      </c>
      <c r="AE3105">
        <v>-11.8093</v>
      </c>
      <c r="AF3105">
        <v>-4.1527870165963803</v>
      </c>
      <c r="AG3105">
        <v>-1.1113859206550001</v>
      </c>
      <c r="AH3105">
        <v>11.588711039397101</v>
      </c>
      <c r="AI3105">
        <v>95.158727254358297</v>
      </c>
      <c r="AJ3105">
        <v>109.715019917601</v>
      </c>
      <c r="AK3105">
        <v>12.3603819611081</v>
      </c>
      <c r="AL3105">
        <v>81.722720428383994</v>
      </c>
      <c r="AM3105">
        <v>96.308405281754702</v>
      </c>
      <c r="AN3105">
        <v>1.00000002161674</v>
      </c>
    </row>
    <row r="3106" spans="1:40" x14ac:dyDescent="0.25">
      <c r="A3106" t="str">
        <f>"20190312164047313"</f>
        <v>20190312164047313</v>
      </c>
      <c r="B3106" t="str">
        <f>"1552380047308686"</f>
        <v>1552380047308686</v>
      </c>
      <c r="C3106" t="s">
        <v>40</v>
      </c>
      <c r="D3106">
        <v>5.5209960000000002</v>
      </c>
      <c r="E3106">
        <v>0.40783779999999997</v>
      </c>
      <c r="F3106" t="s">
        <v>41</v>
      </c>
      <c r="G3106">
        <v>-489.20859999999999</v>
      </c>
      <c r="H3106" s="1">
        <v>-2.0479419999999998E-6</v>
      </c>
      <c r="I3106">
        <v>234.07929999999999</v>
      </c>
      <c r="J3106">
        <v>-493.01560000000001</v>
      </c>
      <c r="K3106">
        <v>1.1114389999999901</v>
      </c>
      <c r="L3106">
        <v>245.43770000000001</v>
      </c>
      <c r="M3106">
        <v>-3.101669E-2</v>
      </c>
      <c r="N3106">
        <v>0</v>
      </c>
      <c r="O3106">
        <v>-0.99942920000000002</v>
      </c>
      <c r="P3106">
        <v>7.9943639999999996E-2</v>
      </c>
      <c r="Q3106">
        <v>0.13097829999999999</v>
      </c>
      <c r="R3106">
        <v>-0.98815719999999996</v>
      </c>
      <c r="S3106">
        <v>0.99017330000000003</v>
      </c>
      <c r="T3106">
        <v>-0.2893636</v>
      </c>
      <c r="U3106">
        <v>-2.9965670000000002</v>
      </c>
      <c r="V3106">
        <v>-0.1109333</v>
      </c>
      <c r="W3106">
        <v>0.14388870000000001</v>
      </c>
      <c r="X3106">
        <v>0.98335640000000002</v>
      </c>
      <c r="Y3106">
        <v>-0.34175339999999998</v>
      </c>
      <c r="Z3106">
        <v>9.0762179999999998E-2</v>
      </c>
      <c r="AA3106">
        <v>0.93539660000000002</v>
      </c>
      <c r="AB3106">
        <v>27</v>
      </c>
      <c r="AC3106">
        <v>3.8070000000000102</v>
      </c>
      <c r="AD3106">
        <v>-1.1114410479419901</v>
      </c>
      <c r="AE3106">
        <v>-11.3584</v>
      </c>
      <c r="AF3106">
        <v>-4.1220173000238702</v>
      </c>
      <c r="AG3106">
        <v>-1.1114410479419901</v>
      </c>
      <c r="AH3106">
        <v>11.1389590469098</v>
      </c>
      <c r="AI3106">
        <v>95.346047158586501</v>
      </c>
      <c r="AJ3106">
        <v>110.30719936597301</v>
      </c>
      <c r="AK3106">
        <v>11.9290710649858</v>
      </c>
      <c r="AL3106">
        <v>81.727068284678197</v>
      </c>
      <c r="AM3106">
        <v>96.436375568919303</v>
      </c>
      <c r="AN3106">
        <v>0.99999998222876996</v>
      </c>
    </row>
    <row r="3107" spans="1:40" x14ac:dyDescent="0.25">
      <c r="A3107" t="str">
        <f>"20190312164047326"</f>
        <v>20190312164047326</v>
      </c>
      <c r="B3107" t="str">
        <f>"1552380047319422"</f>
        <v>1552380047319422</v>
      </c>
      <c r="C3107" t="s">
        <v>40</v>
      </c>
      <c r="D3107">
        <v>5.5264230000000003</v>
      </c>
      <c r="E3107">
        <v>0.40685280000000001</v>
      </c>
      <c r="F3107" t="s">
        <v>41</v>
      </c>
      <c r="G3107">
        <v>-489.23050000000001</v>
      </c>
      <c r="H3107" s="1">
        <v>-2.1993829999999998E-6</v>
      </c>
      <c r="I3107">
        <v>234.44139999999999</v>
      </c>
      <c r="J3107">
        <v>-493.01900000000001</v>
      </c>
      <c r="K3107">
        <v>1.111486</v>
      </c>
      <c r="L3107">
        <v>245.29740000000001</v>
      </c>
      <c r="M3107">
        <v>-3.0155879999999999E-2</v>
      </c>
      <c r="N3107">
        <v>0</v>
      </c>
      <c r="O3107">
        <v>-0.99945550000000005</v>
      </c>
      <c r="P3107">
        <v>8.2921889999999998E-2</v>
      </c>
      <c r="Q3107">
        <v>0.13077269999999999</v>
      </c>
      <c r="R3107">
        <v>-0.98793880000000001</v>
      </c>
      <c r="S3107">
        <v>1.0301209999999901</v>
      </c>
      <c r="T3107">
        <v>-0.30248550000000002</v>
      </c>
      <c r="U3107">
        <v>-2.9926910000000002</v>
      </c>
      <c r="V3107">
        <v>-0.1130708</v>
      </c>
      <c r="W3107">
        <v>0.14366180000000001</v>
      </c>
      <c r="X3107">
        <v>0.98314610000000002</v>
      </c>
      <c r="Y3107">
        <v>-0.35237540000000001</v>
      </c>
      <c r="Z3107">
        <v>9.4571310000000006E-2</v>
      </c>
      <c r="AA3107">
        <v>0.93106809999999995</v>
      </c>
      <c r="AB3107">
        <v>27</v>
      </c>
      <c r="AC3107">
        <v>3.7884999999999902</v>
      </c>
      <c r="AD3107">
        <v>-1.1114881993829999</v>
      </c>
      <c r="AE3107">
        <v>-10.856</v>
      </c>
      <c r="AF3107">
        <v>-4.0760889185328297</v>
      </c>
      <c r="AG3107">
        <v>-1.1114881993829999</v>
      </c>
      <c r="AH3107">
        <v>10.637403908380101</v>
      </c>
      <c r="AI3107">
        <v>95.572752089062107</v>
      </c>
      <c r="AJ3107">
        <v>110.96606097505099</v>
      </c>
      <c r="AK3107">
        <v>11.4457096240982</v>
      </c>
      <c r="AL3107">
        <v>81.740205218495205</v>
      </c>
      <c r="AM3107">
        <v>96.560713969676598</v>
      </c>
      <c r="AN3107">
        <v>0.99999998626854403</v>
      </c>
    </row>
    <row r="3108" spans="1:40" x14ac:dyDescent="0.25">
      <c r="A3108" t="str">
        <f>"20190312164047336"</f>
        <v>20190312164047336</v>
      </c>
      <c r="B3108" t="str">
        <f>"1552380047329181"</f>
        <v>1552380047329181</v>
      </c>
      <c r="C3108" t="s">
        <v>40</v>
      </c>
      <c r="D3108">
        <v>5.5366759999999999</v>
      </c>
      <c r="E3108">
        <v>0.40600619999999998</v>
      </c>
      <c r="F3108" t="s">
        <v>41</v>
      </c>
      <c r="G3108">
        <v>-489.25069999999999</v>
      </c>
      <c r="H3108" s="1">
        <v>-2.236181E-6</v>
      </c>
      <c r="I3108">
        <v>234.53559999999999</v>
      </c>
      <c r="J3108">
        <v>-493.02249999999998</v>
      </c>
      <c r="K3108">
        <v>1.111531</v>
      </c>
      <c r="L3108">
        <v>245.15190000000001</v>
      </c>
      <c r="M3108">
        <v>-2.924266E-2</v>
      </c>
      <c r="N3108">
        <v>0</v>
      </c>
      <c r="O3108">
        <v>-0.99948269999999995</v>
      </c>
      <c r="P3108">
        <v>8.6258989999999994E-2</v>
      </c>
      <c r="Q3108">
        <v>0.13034000000000001</v>
      </c>
      <c r="R3108">
        <v>-0.98771030000000004</v>
      </c>
      <c r="S3108">
        <v>1.0468139999999999</v>
      </c>
      <c r="T3108">
        <v>-0.30877090000000001</v>
      </c>
      <c r="U3108">
        <v>-2.9896240000000001</v>
      </c>
      <c r="V3108">
        <v>-0.11551409999999999</v>
      </c>
      <c r="W3108">
        <v>0.14320729999999901</v>
      </c>
      <c r="X3108">
        <v>0.98292829999999998</v>
      </c>
      <c r="Y3108">
        <v>-0.3563906</v>
      </c>
      <c r="Z3108">
        <v>9.6452709999999997E-2</v>
      </c>
      <c r="AA3108">
        <v>0.92934530000000004</v>
      </c>
      <c r="AB3108">
        <v>27</v>
      </c>
      <c r="AC3108">
        <v>3.7717999999999798</v>
      </c>
      <c r="AD3108">
        <v>-1.111533236181</v>
      </c>
      <c r="AE3108">
        <v>-10.616300000000001</v>
      </c>
      <c r="AF3108">
        <v>-4.0413267505718897</v>
      </c>
      <c r="AG3108">
        <v>-1.111533236181</v>
      </c>
      <c r="AH3108">
        <v>10.400220279944</v>
      </c>
      <c r="AI3108">
        <v>95.688991779368806</v>
      </c>
      <c r="AJ3108">
        <v>111.23517463121701</v>
      </c>
      <c r="AK3108">
        <v>11.213046415287</v>
      </c>
      <c r="AL3108">
        <v>81.766517853189697</v>
      </c>
      <c r="AM3108">
        <v>96.702677206767802</v>
      </c>
      <c r="AN3108">
        <v>0.99999994050649299</v>
      </c>
    </row>
    <row r="3109" spans="1:40" x14ac:dyDescent="0.25">
      <c r="A3109" t="str">
        <f>"20190312164047349"</f>
        <v>20190312164047349</v>
      </c>
      <c r="B3109" t="str">
        <f>"1552380047338942"</f>
        <v>1552380047338942</v>
      </c>
      <c r="C3109" t="s">
        <v>40</v>
      </c>
      <c r="D3109">
        <v>5.5290119999999998</v>
      </c>
      <c r="E3109">
        <v>0.40545750000000003</v>
      </c>
      <c r="F3109" t="s">
        <v>41</v>
      </c>
      <c r="G3109">
        <v>-489.29570000000001</v>
      </c>
      <c r="H3109" s="1">
        <v>-2.2923180000000001E-6</v>
      </c>
      <c r="I3109">
        <v>234.685</v>
      </c>
      <c r="J3109">
        <v>-493.02550000000002</v>
      </c>
      <c r="K3109">
        <v>1.1115679999999999</v>
      </c>
      <c r="L3109">
        <v>245.0171</v>
      </c>
      <c r="M3109">
        <v>-2.8356510000000001E-2</v>
      </c>
      <c r="N3109">
        <v>0</v>
      </c>
      <c r="O3109">
        <v>-0.99950799999999995</v>
      </c>
      <c r="P3109">
        <v>8.9978039999999995E-2</v>
      </c>
      <c r="Q3109">
        <v>0.13009129999999999</v>
      </c>
      <c r="R3109">
        <v>-0.98741100000000004</v>
      </c>
      <c r="S3109">
        <v>1.063293</v>
      </c>
      <c r="T3109">
        <v>-0.31713400000000003</v>
      </c>
      <c r="U3109">
        <v>-2.9863279999999999</v>
      </c>
      <c r="V3109">
        <v>-0.1183609</v>
      </c>
      <c r="W3109">
        <v>0.14293689999999901</v>
      </c>
      <c r="X3109">
        <v>0.98262899999999997</v>
      </c>
      <c r="Y3109">
        <v>-0.36035519999999999</v>
      </c>
      <c r="Z3109">
        <v>9.897852E-2</v>
      </c>
      <c r="AA3109">
        <v>0.92754910000000002</v>
      </c>
      <c r="AB3109">
        <v>27</v>
      </c>
      <c r="AC3109">
        <v>3.7298000000000102</v>
      </c>
      <c r="AD3109">
        <v>-1.111570292318</v>
      </c>
      <c r="AE3109">
        <v>-10.332099999999899</v>
      </c>
      <c r="AF3109">
        <v>-3.9805479433272399</v>
      </c>
      <c r="AG3109">
        <v>-1.111570292318</v>
      </c>
      <c r="AH3109">
        <v>10.118557448973499</v>
      </c>
      <c r="AI3109">
        <v>95.836999966825005</v>
      </c>
      <c r="AJ3109">
        <v>111.47422233173199</v>
      </c>
      <c r="AK3109">
        <v>10.930029976723199</v>
      </c>
      <c r="AL3109">
        <v>81.782172215858793</v>
      </c>
      <c r="AM3109">
        <v>96.868375195606205</v>
      </c>
      <c r="AN3109">
        <v>1.0000000058357099</v>
      </c>
    </row>
    <row r="3110" spans="1:40" x14ac:dyDescent="0.25">
      <c r="A3110" t="str">
        <f>"20190312164047362"</f>
        <v>20190312164047362</v>
      </c>
      <c r="B3110" t="str">
        <f>"1552380047359438"</f>
        <v>1552380047359438</v>
      </c>
      <c r="C3110" t="s">
        <v>40</v>
      </c>
      <c r="D3110">
        <v>5.5134980000000002</v>
      </c>
      <c r="E3110">
        <v>0.40498909999999999</v>
      </c>
      <c r="F3110" t="s">
        <v>41</v>
      </c>
      <c r="G3110">
        <v>-489.32260000000002</v>
      </c>
      <c r="H3110" s="1">
        <v>-2.326963E-6</v>
      </c>
      <c r="I3110">
        <v>234.77690000000001</v>
      </c>
      <c r="J3110">
        <v>-493.02859999999998</v>
      </c>
      <c r="K3110">
        <v>1.111604</v>
      </c>
      <c r="L3110">
        <v>244.874</v>
      </c>
      <c r="M3110">
        <v>-2.7406050000000001E-2</v>
      </c>
      <c r="N3110">
        <v>0</v>
      </c>
      <c r="O3110">
        <v>-0.9995347</v>
      </c>
      <c r="P3110">
        <v>9.369421E-2</v>
      </c>
      <c r="Q3110">
        <v>0.12967509999999999</v>
      </c>
      <c r="R3110">
        <v>-0.9871202</v>
      </c>
      <c r="S3110">
        <v>1.078522</v>
      </c>
      <c r="T3110">
        <v>-0.32376480000000002</v>
      </c>
      <c r="U3110">
        <v>-2.9826350000000001</v>
      </c>
      <c r="V3110">
        <v>-0.121142</v>
      </c>
      <c r="W3110">
        <v>0.14249890000000001</v>
      </c>
      <c r="X3110">
        <v>0.98235360000000005</v>
      </c>
      <c r="Y3110">
        <v>-0.36395490000000003</v>
      </c>
      <c r="Z3110">
        <v>0.10098940000000001</v>
      </c>
      <c r="AA3110">
        <v>0.92592549999999996</v>
      </c>
      <c r="AB3110">
        <v>27</v>
      </c>
      <c r="AC3110">
        <v>3.70599999999996</v>
      </c>
      <c r="AD3110">
        <v>-1.1116063269630001</v>
      </c>
      <c r="AE3110">
        <v>-10.097099999999999</v>
      </c>
      <c r="AF3110">
        <v>-3.93927777770211</v>
      </c>
      <c r="AG3110">
        <v>-1.1116063269630001</v>
      </c>
      <c r="AH3110">
        <v>9.8861345682326398</v>
      </c>
      <c r="AI3110">
        <v>95.963148723820396</v>
      </c>
      <c r="AJ3110">
        <v>111.725547089714</v>
      </c>
      <c r="AK3110">
        <v>10.699964239998399</v>
      </c>
      <c r="AL3110">
        <v>81.807526923036505</v>
      </c>
      <c r="AM3110">
        <v>97.030114748167307</v>
      </c>
      <c r="AN3110">
        <v>0.99999995804908404</v>
      </c>
    </row>
    <row r="3111" spans="1:40" x14ac:dyDescent="0.25">
      <c r="A3111" t="str">
        <f>"20190312164047374"</f>
        <v>20190312164047374</v>
      </c>
      <c r="B3111" t="str">
        <f>"1552380047369198"</f>
        <v>1552380047369198</v>
      </c>
      <c r="C3111" t="s">
        <v>40</v>
      </c>
      <c r="D3111">
        <v>5.5164429999999998</v>
      </c>
      <c r="E3111">
        <v>0.40465600000000002</v>
      </c>
      <c r="F3111" t="s">
        <v>41</v>
      </c>
      <c r="G3111">
        <v>-489.4819</v>
      </c>
      <c r="H3111" s="1">
        <v>-2.4849359999999999E-6</v>
      </c>
      <c r="I3111">
        <v>235.21100000000001</v>
      </c>
      <c r="J3111">
        <v>-493.0317</v>
      </c>
      <c r="K3111">
        <v>1.111639</v>
      </c>
      <c r="L3111">
        <v>244.7175</v>
      </c>
      <c r="M3111">
        <v>-2.634036E-2</v>
      </c>
      <c r="N3111">
        <v>0</v>
      </c>
      <c r="O3111">
        <v>-0.99956299999999998</v>
      </c>
      <c r="P3111">
        <v>9.7751450000000004E-2</v>
      </c>
      <c r="Q3111">
        <v>0.1293349</v>
      </c>
      <c r="R3111">
        <v>-0.98677090000000001</v>
      </c>
      <c r="S3111">
        <v>1.0939030000000001</v>
      </c>
      <c r="T3111">
        <v>-0.3428562</v>
      </c>
      <c r="U3111">
        <v>-2.9803769999999998</v>
      </c>
      <c r="V3111">
        <v>-0.1241496</v>
      </c>
      <c r="W3111">
        <v>0.14213689999999901</v>
      </c>
      <c r="X3111">
        <v>0.98203050000000003</v>
      </c>
      <c r="Y3111">
        <v>-0.36719309999999999</v>
      </c>
      <c r="Z3111">
        <v>0.10679230000000001</v>
      </c>
      <c r="AA3111">
        <v>0.92399379999999998</v>
      </c>
      <c r="AB3111">
        <v>26</v>
      </c>
      <c r="AC3111">
        <v>3.5497999999999998</v>
      </c>
      <c r="AD3111">
        <v>-1.1116414849359999</v>
      </c>
      <c r="AE3111">
        <v>-9.5065000000000097</v>
      </c>
      <c r="AF3111">
        <v>-3.75394606046159</v>
      </c>
      <c r="AG3111">
        <v>-1.1116414849359999</v>
      </c>
      <c r="AH3111">
        <v>9.2981076081393894</v>
      </c>
      <c r="AI3111">
        <v>96.3260585841265</v>
      </c>
      <c r="AJ3111">
        <v>111.985519429253</v>
      </c>
      <c r="AK3111">
        <v>10.0887394112656</v>
      </c>
      <c r="AL3111">
        <v>81.828481325069802</v>
      </c>
      <c r="AM3111">
        <v>97.205185508133994</v>
      </c>
      <c r="AN3111">
        <v>0.99999996222600895</v>
      </c>
    </row>
    <row r="3112" spans="1:40" x14ac:dyDescent="0.25">
      <c r="A3112" t="str">
        <f>"20190312164047391"</f>
        <v>20190312164047391</v>
      </c>
      <c r="B3112" t="str">
        <f>"1552380047378959"</f>
        <v>1552380047378959</v>
      </c>
      <c r="C3112" t="s">
        <v>40</v>
      </c>
      <c r="D3112">
        <v>5.5198269999999896</v>
      </c>
      <c r="E3112">
        <v>0.40437810000000002</v>
      </c>
      <c r="F3112" t="s">
        <v>41</v>
      </c>
      <c r="G3112">
        <v>-489.50760000000002</v>
      </c>
      <c r="H3112" s="1">
        <v>-2.4991930000000002E-6</v>
      </c>
      <c r="I3112">
        <v>235.25489999999999</v>
      </c>
      <c r="J3112">
        <v>-493.03530000000001</v>
      </c>
      <c r="K3112">
        <v>1.1116699999999999</v>
      </c>
      <c r="L3112">
        <v>244.52879999999999</v>
      </c>
      <c r="M3112">
        <v>-2.50317E-2</v>
      </c>
      <c r="N3112">
        <v>0</v>
      </c>
      <c r="O3112">
        <v>-0.99959679999999995</v>
      </c>
      <c r="P3112">
        <v>0.105708</v>
      </c>
      <c r="Q3112">
        <v>0.12890090000000001</v>
      </c>
      <c r="R3112">
        <v>-0.98600739999999998</v>
      </c>
      <c r="S3112">
        <v>1.1084290000000001</v>
      </c>
      <c r="T3112">
        <v>-0.34963949999999999</v>
      </c>
      <c r="U3112">
        <v>-2.9762420000000001</v>
      </c>
      <c r="V3112">
        <v>-0.13080419999999901</v>
      </c>
      <c r="W3112">
        <v>0.14166210000000001</v>
      </c>
      <c r="X3112">
        <v>0.98123499999999997</v>
      </c>
      <c r="Y3112">
        <v>-0.37027769999999999</v>
      </c>
      <c r="Z3112">
        <v>0.10886709999999999</v>
      </c>
      <c r="AA3112">
        <v>0.9225196</v>
      </c>
      <c r="AB3112">
        <v>26</v>
      </c>
      <c r="AC3112">
        <v>3.5276999999999799</v>
      </c>
      <c r="AD3112">
        <v>-1.111672499193</v>
      </c>
      <c r="AE3112">
        <v>-9.2738999999999905</v>
      </c>
      <c r="AF3112">
        <v>-3.7121589994691999</v>
      </c>
      <c r="AG3112">
        <v>-1.111672499193</v>
      </c>
      <c r="AH3112">
        <v>9.0688425012907103</v>
      </c>
      <c r="AI3112">
        <v>96.472271683831593</v>
      </c>
      <c r="AJ3112">
        <v>112.260810141002</v>
      </c>
      <c r="AK3112">
        <v>9.8620405847886694</v>
      </c>
      <c r="AL3112">
        <v>81.855963821567698</v>
      </c>
      <c r="AM3112">
        <v>97.593086681368803</v>
      </c>
      <c r="AN3112">
        <v>1.0000000072695201</v>
      </c>
    </row>
    <row r="3113" spans="1:40" x14ac:dyDescent="0.25">
      <c r="A3113" t="str">
        <f>"20190312164047405"</f>
        <v>20190312164047405</v>
      </c>
      <c r="B3113" t="str">
        <f>"1552380047399454"</f>
        <v>1552380047399454</v>
      </c>
      <c r="C3113" t="s">
        <v>40</v>
      </c>
      <c r="D3113">
        <v>5.5169300000000003</v>
      </c>
      <c r="E3113">
        <v>0.40411340000000001</v>
      </c>
      <c r="F3113" t="s">
        <v>41</v>
      </c>
      <c r="G3113">
        <v>-489.50330000000002</v>
      </c>
      <c r="H3113" s="1">
        <v>-2.5102749999999999E-6</v>
      </c>
      <c r="I3113">
        <v>235.27889999999999</v>
      </c>
      <c r="J3113">
        <v>-493.03809999999999</v>
      </c>
      <c r="K3113">
        <v>1.1116809999999999</v>
      </c>
      <c r="L3113">
        <v>244.36859999999999</v>
      </c>
      <c r="M3113">
        <v>-2.390666E-2</v>
      </c>
      <c r="N3113">
        <v>0</v>
      </c>
      <c r="O3113">
        <v>-0.99962439999999997</v>
      </c>
      <c r="P3113">
        <v>0.1100517</v>
      </c>
      <c r="Q3113">
        <v>0.12875200000000001</v>
      </c>
      <c r="R3113">
        <v>-0.98555179999999998</v>
      </c>
      <c r="S3113">
        <v>1.1332089999999999</v>
      </c>
      <c r="T3113">
        <v>-0.35666819999999999</v>
      </c>
      <c r="U3113">
        <v>-2.9677280000000001</v>
      </c>
      <c r="V3113">
        <v>-0.13403570000000001</v>
      </c>
      <c r="W3113">
        <v>0.1414916</v>
      </c>
      <c r="X3113">
        <v>0.98082340000000001</v>
      </c>
      <c r="Y3113">
        <v>-0.37674540000000001</v>
      </c>
      <c r="Z3113">
        <v>0.1110193</v>
      </c>
      <c r="AA3113">
        <v>0.91963989999999995</v>
      </c>
      <c r="AB3113">
        <v>26</v>
      </c>
      <c r="AC3113">
        <v>3.5347999999999602</v>
      </c>
      <c r="AD3113">
        <v>-1.111683510275</v>
      </c>
      <c r="AE3113">
        <v>-9.0896999999999899</v>
      </c>
      <c r="AF3113">
        <v>-3.7030011507797398</v>
      </c>
      <c r="AG3113">
        <v>-1.111683510275</v>
      </c>
      <c r="AH3113">
        <v>8.8871203997539094</v>
      </c>
      <c r="AI3113">
        <v>96.586595605904904</v>
      </c>
      <c r="AJ3113">
        <v>112.620053466126</v>
      </c>
      <c r="AK3113">
        <v>9.6916957623222793</v>
      </c>
      <c r="AL3113">
        <v>81.865832026833502</v>
      </c>
      <c r="AM3113">
        <v>97.781627831161799</v>
      </c>
      <c r="AN3113">
        <v>0.99999999186630495</v>
      </c>
    </row>
    <row r="3114" spans="1:40" x14ac:dyDescent="0.25">
      <c r="A3114" t="str">
        <f>"20190312164047417"</f>
        <v>20190312164047417</v>
      </c>
      <c r="B3114" t="str">
        <f>"1552380047409214"</f>
        <v>1552380047409214</v>
      </c>
      <c r="C3114" t="s">
        <v>40</v>
      </c>
      <c r="D3114">
        <v>5.4692930000000004</v>
      </c>
      <c r="E3114">
        <v>0.40398580000000001</v>
      </c>
      <c r="F3114" t="s">
        <v>41</v>
      </c>
      <c r="G3114">
        <v>-489.49959999999999</v>
      </c>
      <c r="H3114" s="1">
        <v>-2.4911179999999998E-6</v>
      </c>
      <c r="I3114">
        <v>235.23269999999999</v>
      </c>
      <c r="J3114">
        <v>-493.04059999999998</v>
      </c>
      <c r="K3114">
        <v>1.1116919999999999</v>
      </c>
      <c r="L3114">
        <v>244.2149</v>
      </c>
      <c r="M3114">
        <v>-2.2815869999999999E-2</v>
      </c>
      <c r="N3114">
        <v>0</v>
      </c>
      <c r="O3114">
        <v>-0.99965000000000004</v>
      </c>
      <c r="P3114">
        <v>0.1147165</v>
      </c>
      <c r="Q3114">
        <v>0.1286436</v>
      </c>
      <c r="R3114">
        <v>-0.98503399999999997</v>
      </c>
      <c r="S3114">
        <v>1.147583</v>
      </c>
      <c r="T3114">
        <v>-0.36053940000000001</v>
      </c>
      <c r="U3114">
        <v>-2.962936</v>
      </c>
      <c r="V3114">
        <v>-0.1376194</v>
      </c>
      <c r="W3114">
        <v>0.14136000000000001</v>
      </c>
      <c r="X3114">
        <v>0.98034600000000005</v>
      </c>
      <c r="Y3114">
        <v>-0.38006620000000002</v>
      </c>
      <c r="Z3114">
        <v>0.11220720000000001</v>
      </c>
      <c r="AA3114">
        <v>0.9181281</v>
      </c>
      <c r="AB3114">
        <v>26</v>
      </c>
      <c r="AC3114">
        <v>3.5409999999999902</v>
      </c>
      <c r="AD3114">
        <v>-1.111694491118</v>
      </c>
      <c r="AE3114">
        <v>-8.9822000000000006</v>
      </c>
      <c r="AF3114">
        <v>-3.6960322363039899</v>
      </c>
      <c r="AG3114">
        <v>-1.111694491118</v>
      </c>
      <c r="AH3114">
        <v>8.7826256739477699</v>
      </c>
      <c r="AI3114">
        <v>96.654535830500706</v>
      </c>
      <c r="AJ3114">
        <v>112.823039337065</v>
      </c>
      <c r="AK3114">
        <v>9.5932805995690007</v>
      </c>
      <c r="AL3114">
        <v>81.873448891249694</v>
      </c>
      <c r="AM3114">
        <v>97.990873070408</v>
      </c>
      <c r="AN3114">
        <v>1.00000001428618</v>
      </c>
    </row>
    <row r="3115" spans="1:40" x14ac:dyDescent="0.25">
      <c r="A3115" t="str">
        <f>"20190312164047431"</f>
        <v>20190312164047431</v>
      </c>
      <c r="B3115" t="str">
        <f>"1552380047418975"</f>
        <v>1552380047418975</v>
      </c>
      <c r="C3115" t="s">
        <v>40</v>
      </c>
      <c r="D3115">
        <v>5.5195610000000004</v>
      </c>
      <c r="E3115">
        <v>0.40390749999999997</v>
      </c>
      <c r="F3115" t="s">
        <v>41</v>
      </c>
      <c r="G3115">
        <v>-489.4631</v>
      </c>
      <c r="H3115" s="1">
        <v>-2.446568E-6</v>
      </c>
      <c r="I3115">
        <v>235.1138</v>
      </c>
      <c r="J3115">
        <v>-493.04300000000001</v>
      </c>
      <c r="K3115">
        <v>1.111702</v>
      </c>
      <c r="L3115">
        <v>244.054</v>
      </c>
      <c r="M3115">
        <v>-2.165802E-2</v>
      </c>
      <c r="N3115">
        <v>0</v>
      </c>
      <c r="O3115">
        <v>-0.9996756</v>
      </c>
      <c r="P3115">
        <v>0.1194061</v>
      </c>
      <c r="Q3115">
        <v>0.128419899999999</v>
      </c>
      <c r="R3115">
        <v>-0.98450539999999997</v>
      </c>
      <c r="S3115">
        <v>1.162506</v>
      </c>
      <c r="T3115">
        <v>-0.36124129999999999</v>
      </c>
      <c r="U3115">
        <v>-2.9573670000000001</v>
      </c>
      <c r="V3115">
        <v>-0.14116219999999999</v>
      </c>
      <c r="W3115">
        <v>0.1411145</v>
      </c>
      <c r="X3115">
        <v>0.97987749999999996</v>
      </c>
      <c r="Y3115">
        <v>-0.38358569999999997</v>
      </c>
      <c r="Z3115">
        <v>0.1124385</v>
      </c>
      <c r="AA3115">
        <v>0.91663490000000003</v>
      </c>
      <c r="AB3115">
        <v>26</v>
      </c>
      <c r="AC3115">
        <v>3.5798999999999999</v>
      </c>
      <c r="AD3115">
        <v>-1.1117044465679999</v>
      </c>
      <c r="AE3115">
        <v>-8.9402000000000008</v>
      </c>
      <c r="AF3115">
        <v>-3.72309083718977</v>
      </c>
      <c r="AG3115">
        <v>-1.1117044465679999</v>
      </c>
      <c r="AH3115">
        <v>8.7440394399105692</v>
      </c>
      <c r="AI3115">
        <v>96.671932735518595</v>
      </c>
      <c r="AJ3115">
        <v>113.063632815712</v>
      </c>
      <c r="AK3115">
        <v>9.5684647611409996</v>
      </c>
      <c r="AL3115">
        <v>81.887657251834597</v>
      </c>
      <c r="AM3115">
        <v>98.197691211848195</v>
      </c>
      <c r="AN3115">
        <v>0.99999999191266997</v>
      </c>
    </row>
    <row r="3116" spans="1:40" x14ac:dyDescent="0.25">
      <c r="A3116" t="str">
        <f>"20190312164047449"</f>
        <v>20190312164047449</v>
      </c>
      <c r="B3116" t="str">
        <f>"1552380047439469"</f>
        <v>1552380047439469</v>
      </c>
      <c r="C3116" t="s">
        <v>40</v>
      </c>
      <c r="D3116">
        <v>5.5014110000000001</v>
      </c>
      <c r="E3116">
        <v>0.40395439999999999</v>
      </c>
      <c r="F3116" t="s">
        <v>41</v>
      </c>
      <c r="G3116">
        <v>-489.4502</v>
      </c>
      <c r="H3116" s="1">
        <v>-2.4176220000000001E-6</v>
      </c>
      <c r="I3116">
        <v>235.041</v>
      </c>
      <c r="J3116">
        <v>-493.04579999999999</v>
      </c>
      <c r="K3116">
        <v>1.1117189999999999</v>
      </c>
      <c r="L3116">
        <v>243.84450000000001</v>
      </c>
      <c r="M3116">
        <v>-2.0129950000000001E-2</v>
      </c>
      <c r="N3116">
        <v>0</v>
      </c>
      <c r="O3116">
        <v>-0.99970760000000003</v>
      </c>
      <c r="P3116">
        <v>0.1281312</v>
      </c>
      <c r="Q3116">
        <v>0.127724</v>
      </c>
      <c r="R3116">
        <v>-0.98349850000000005</v>
      </c>
      <c r="S3116">
        <v>1.1767270000000001</v>
      </c>
      <c r="T3116">
        <v>-0.3641083</v>
      </c>
      <c r="U3116">
        <v>-2.951981</v>
      </c>
      <c r="V3116">
        <v>-0.14836869999999999</v>
      </c>
      <c r="W3116">
        <v>0.14037569999999999</v>
      </c>
      <c r="X3116">
        <v>0.97891850000000002</v>
      </c>
      <c r="Y3116">
        <v>-0.38652160000000002</v>
      </c>
      <c r="Z3116">
        <v>0.113346</v>
      </c>
      <c r="AA3116">
        <v>0.91528889999999996</v>
      </c>
      <c r="AB3116">
        <v>26</v>
      </c>
      <c r="AC3116">
        <v>3.5955999999999899</v>
      </c>
      <c r="AD3116">
        <v>-1.1117214176220001</v>
      </c>
      <c r="AE3116">
        <v>-8.8035000000000103</v>
      </c>
      <c r="AF3116">
        <v>-3.72124224853092</v>
      </c>
      <c r="AG3116">
        <v>-1.1117214176220001</v>
      </c>
      <c r="AH3116">
        <v>8.6116331602498093</v>
      </c>
      <c r="AI3116">
        <v>96.758294851772902</v>
      </c>
      <c r="AJ3116">
        <v>113.370044912304</v>
      </c>
      <c r="AK3116">
        <v>9.4468933554563304</v>
      </c>
      <c r="AL3116">
        <v>81.930413191055607</v>
      </c>
      <c r="AM3116">
        <v>98.618378242686305</v>
      </c>
      <c r="AN3116">
        <v>1.0000000189662099</v>
      </c>
    </row>
    <row r="3117" spans="1:40" x14ac:dyDescent="0.25">
      <c r="A3117" t="str">
        <f>"20190312164047469"</f>
        <v>20190312164047469</v>
      </c>
      <c r="B3117" t="str">
        <f>"1552380047458990"</f>
        <v>1552380047458990</v>
      </c>
      <c r="C3117" t="s">
        <v>40</v>
      </c>
      <c r="D3117">
        <v>5.4868169999999896</v>
      </c>
      <c r="E3117">
        <v>0.4040166</v>
      </c>
      <c r="F3117" t="s">
        <v>41</v>
      </c>
      <c r="G3117">
        <v>-489.4298</v>
      </c>
      <c r="H3117" s="1">
        <v>-2.4006209999999999E-6</v>
      </c>
      <c r="I3117">
        <v>234.99289999999999</v>
      </c>
      <c r="J3117">
        <v>-493.04880000000003</v>
      </c>
      <c r="K3117">
        <v>1.1117520000000001</v>
      </c>
      <c r="L3117">
        <v>243.5986</v>
      </c>
      <c r="M3117">
        <v>-1.8297669999999999E-2</v>
      </c>
      <c r="N3117">
        <v>0</v>
      </c>
      <c r="O3117">
        <v>-0.99974289999999999</v>
      </c>
      <c r="P3117">
        <v>0.13754269999999999</v>
      </c>
      <c r="Q3117">
        <v>0.12724089999999999</v>
      </c>
      <c r="R3117">
        <v>-0.98228939999999998</v>
      </c>
      <c r="S3117">
        <v>1.2017519999999999</v>
      </c>
      <c r="T3117">
        <v>-0.36947269999999999</v>
      </c>
      <c r="U3117">
        <v>-2.941757</v>
      </c>
      <c r="V3117">
        <v>-0.15596689999999999</v>
      </c>
      <c r="W3117">
        <v>0.13984170000000001</v>
      </c>
      <c r="X3117">
        <v>0.97781320000000005</v>
      </c>
      <c r="Y3117">
        <v>-0.39253710000000003</v>
      </c>
      <c r="Z3117">
        <v>0.1150374</v>
      </c>
      <c r="AA3117">
        <v>0.91251360000000004</v>
      </c>
      <c r="AB3117">
        <v>26</v>
      </c>
      <c r="AC3117">
        <v>3.6190000000000202</v>
      </c>
      <c r="AD3117">
        <v>-1.1117544006209901</v>
      </c>
      <c r="AE3117">
        <v>-8.6057000000000095</v>
      </c>
      <c r="AF3117">
        <v>-3.7230733737967001</v>
      </c>
      <c r="AG3117">
        <v>-1.1117544006209901</v>
      </c>
      <c r="AH3117">
        <v>8.4186442270390494</v>
      </c>
      <c r="AI3117">
        <v>96.886555665132406</v>
      </c>
      <c r="AJ3117">
        <v>113.857000412489</v>
      </c>
      <c r="AK3117">
        <v>9.2720463661174595</v>
      </c>
      <c r="AL3117">
        <v>81.9613139021845</v>
      </c>
      <c r="AM3117">
        <v>99.062667335436998</v>
      </c>
      <c r="AN3117">
        <v>1.0000000145243699</v>
      </c>
    </row>
    <row r="3118" spans="1:40" x14ac:dyDescent="0.25">
      <c r="A3118" t="str">
        <f>"20190312164047491"</f>
        <v>20190312164047491</v>
      </c>
      <c r="B3118" t="str">
        <f>"1552380047479489"</f>
        <v>1552380047479489</v>
      </c>
      <c r="C3118" t="s">
        <v>40</v>
      </c>
      <c r="D3118">
        <v>5.4787929999999996</v>
      </c>
      <c r="E3118">
        <v>0.4042635</v>
      </c>
      <c r="F3118" t="s">
        <v>41</v>
      </c>
      <c r="G3118">
        <v>-489.36989999999997</v>
      </c>
      <c r="H3118" s="1">
        <v>-2.3402309999999999E-6</v>
      </c>
      <c r="I3118">
        <v>234.82740000000001</v>
      </c>
      <c r="J3118">
        <v>-493.05119999999999</v>
      </c>
      <c r="K3118">
        <v>1.1117919999999999</v>
      </c>
      <c r="L3118">
        <v>243.34829999999999</v>
      </c>
      <c r="M3118">
        <v>-1.6376310000000002E-2</v>
      </c>
      <c r="N3118">
        <v>0</v>
      </c>
      <c r="O3118">
        <v>-0.99977609999999995</v>
      </c>
      <c r="P3118">
        <v>0.1476104</v>
      </c>
      <c r="Q3118">
        <v>0.1269023</v>
      </c>
      <c r="R3118">
        <v>-0.98087049999999998</v>
      </c>
      <c r="S3118">
        <v>1.2289730000000001</v>
      </c>
      <c r="T3118">
        <v>-0.37139680000000003</v>
      </c>
      <c r="U3118">
        <v>-2.930161</v>
      </c>
      <c r="V3118">
        <v>-0.16413949999999999</v>
      </c>
      <c r="W3118">
        <v>0.13944319999999999</v>
      </c>
      <c r="X3118">
        <v>0.9765315</v>
      </c>
      <c r="Y3118">
        <v>-0.3992289</v>
      </c>
      <c r="Z3118">
        <v>0.1156817</v>
      </c>
      <c r="AA3118">
        <v>0.90952409999999995</v>
      </c>
      <c r="AB3118">
        <v>26</v>
      </c>
      <c r="AC3118">
        <v>3.6813000000000198</v>
      </c>
      <c r="AD3118">
        <v>-1.111794340231</v>
      </c>
      <c r="AE3118">
        <v>-8.5208999999999797</v>
      </c>
      <c r="AF3118">
        <v>-3.7663249966008099</v>
      </c>
      <c r="AG3118">
        <v>-1.111794340231</v>
      </c>
      <c r="AH3118">
        <v>8.3398160104158006</v>
      </c>
      <c r="AI3118">
        <v>96.927285719596</v>
      </c>
      <c r="AJ3118">
        <v>114.304300902214</v>
      </c>
      <c r="AK3118">
        <v>9.2181246315385295</v>
      </c>
      <c r="AL3118">
        <v>81.984371884560503</v>
      </c>
      <c r="AM3118">
        <v>99.541326664639598</v>
      </c>
      <c r="AN3118">
        <v>0.99999997598936896</v>
      </c>
    </row>
    <row r="3119" spans="1:40" x14ac:dyDescent="0.25">
      <c r="A3119" t="str">
        <f>"20190312164047502"</f>
        <v>20190312164047502</v>
      </c>
      <c r="B3119" t="str">
        <f>"1552380047499005"</f>
        <v>1552380047499005</v>
      </c>
      <c r="C3119" t="s">
        <v>40</v>
      </c>
      <c r="D3119">
        <v>5.4913100000000004</v>
      </c>
      <c r="E3119">
        <v>0.40447379999999999</v>
      </c>
      <c r="F3119" t="s">
        <v>41</v>
      </c>
      <c r="G3119">
        <v>-489.32170000000002</v>
      </c>
      <c r="H3119" s="1">
        <v>-2.2846830000000001E-6</v>
      </c>
      <c r="I3119">
        <v>234.67789999999999</v>
      </c>
      <c r="J3119">
        <v>-493.0523</v>
      </c>
      <c r="K3119">
        <v>1.111823</v>
      </c>
      <c r="L3119">
        <v>243.21100000000001</v>
      </c>
      <c r="M3119">
        <v>-1.529136E-2</v>
      </c>
      <c r="N3119">
        <v>0</v>
      </c>
      <c r="O3119">
        <v>-0.9997935</v>
      </c>
      <c r="P3119">
        <v>0.1525504</v>
      </c>
      <c r="Q3119">
        <v>0.1268242</v>
      </c>
      <c r="R3119">
        <v>-0.98012500000000002</v>
      </c>
      <c r="S3119">
        <v>1.255188</v>
      </c>
      <c r="T3119">
        <v>-0.37417790000000001</v>
      </c>
      <c r="U3119">
        <v>-2.9180450000000002</v>
      </c>
      <c r="V3119">
        <v>-0.16801459999999999</v>
      </c>
      <c r="W3119">
        <v>0.1393317</v>
      </c>
      <c r="X3119">
        <v>0.97588819999999998</v>
      </c>
      <c r="Y3119">
        <v>-0.40644409999999997</v>
      </c>
      <c r="Z3119">
        <v>0.116589899999999</v>
      </c>
      <c r="AA3119">
        <v>0.90620639999999997</v>
      </c>
      <c r="AB3119">
        <v>26</v>
      </c>
      <c r="AC3119">
        <v>3.7305999999999799</v>
      </c>
      <c r="AD3119">
        <v>-1.1118252846829999</v>
      </c>
      <c r="AE3119">
        <v>-8.5330999999999904</v>
      </c>
      <c r="AF3119">
        <v>-3.8064064724588702</v>
      </c>
      <c r="AG3119">
        <v>-1.1118252846829999</v>
      </c>
      <c r="AH3119">
        <v>8.3559559417402909</v>
      </c>
      <c r="AI3119">
        <v>96.904124149954001</v>
      </c>
      <c r="AJ3119">
        <v>114.490789870234</v>
      </c>
      <c r="AK3119">
        <v>9.2491559289235692</v>
      </c>
      <c r="AL3119">
        <v>81.990823566939</v>
      </c>
      <c r="AM3119">
        <v>99.768609248988398</v>
      </c>
      <c r="AN3119">
        <v>1.0000000036686401</v>
      </c>
    </row>
    <row r="3120" spans="1:40" x14ac:dyDescent="0.25">
      <c r="A3120" t="str">
        <f>"20190312164047513"</f>
        <v>20190312164047513</v>
      </c>
      <c r="B3120" t="str">
        <f>"1552380047508766"</f>
        <v>1552380047508766</v>
      </c>
      <c r="C3120" t="s">
        <v>40</v>
      </c>
      <c r="D3120">
        <v>5.5188560000000004</v>
      </c>
      <c r="E3120">
        <v>0.40472849999999999</v>
      </c>
      <c r="F3120" t="s">
        <v>42</v>
      </c>
      <c r="G3120">
        <v>-492.63260000000002</v>
      </c>
      <c r="H3120">
        <v>0.98726800000000003</v>
      </c>
      <c r="I3120">
        <v>242.24709999999999</v>
      </c>
      <c r="J3120">
        <v>-493.0532</v>
      </c>
      <c r="K3120">
        <v>1.111853</v>
      </c>
      <c r="L3120">
        <v>243.0763</v>
      </c>
      <c r="M3120">
        <v>-1.4201160000000001E-2</v>
      </c>
      <c r="N3120">
        <v>0</v>
      </c>
      <c r="O3120">
        <v>-0.99980919999999895</v>
      </c>
      <c r="P3120">
        <v>0.15737519999999999</v>
      </c>
      <c r="Q3120">
        <v>0.12658910000000001</v>
      </c>
      <c r="R3120">
        <v>-0.97939200000000004</v>
      </c>
      <c r="S3120">
        <v>1.268097</v>
      </c>
      <c r="T3120">
        <v>-0.37631920000000002</v>
      </c>
      <c r="U3120">
        <v>-2.9121700000000001</v>
      </c>
      <c r="V3120">
        <v>-0.17177239999999999</v>
      </c>
      <c r="W3120">
        <v>0.13906260000000001</v>
      </c>
      <c r="X3120">
        <v>0.97527220000000003</v>
      </c>
      <c r="Y3120">
        <v>-0.40945999999999999</v>
      </c>
      <c r="Z3120">
        <v>0.11728379999999999</v>
      </c>
      <c r="AA3120">
        <v>0.90475799999999995</v>
      </c>
      <c r="AB3120">
        <v>26</v>
      </c>
      <c r="AC3120">
        <v>0.42059999999997899</v>
      </c>
      <c r="AD3120">
        <v>-0.124584999999999</v>
      </c>
      <c r="AE3120">
        <v>-0.82920000000001404</v>
      </c>
      <c r="AF3120">
        <v>-0.42470872332753301</v>
      </c>
      <c r="AG3120">
        <v>-0.124584999999999</v>
      </c>
      <c r="AH3120">
        <v>0.80862421942533402</v>
      </c>
      <c r="AI3120">
        <v>97.767266489003802</v>
      </c>
      <c r="AJ3120">
        <v>117.70952616106101</v>
      </c>
      <c r="AK3120">
        <v>0.92183081426948099</v>
      </c>
      <c r="AL3120">
        <v>82.006393522732694</v>
      </c>
      <c r="AM3120">
        <v>99.988923154066001</v>
      </c>
      <c r="AN3120">
        <v>1.00000001410668</v>
      </c>
    </row>
    <row r="3121" spans="1:40" x14ac:dyDescent="0.25">
      <c r="A3121" t="str">
        <f>"20190312164047537"</f>
        <v>20190312164047537</v>
      </c>
      <c r="B3121" t="str">
        <f>"1552380047529265"</f>
        <v>1552380047529265</v>
      </c>
      <c r="C3121" t="s">
        <v>40</v>
      </c>
      <c r="D3121">
        <v>5.4836450000000001</v>
      </c>
      <c r="E3121">
        <v>0.40511720000000001</v>
      </c>
      <c r="F3121" t="s">
        <v>41</v>
      </c>
      <c r="G3121">
        <v>-489.29270000000002</v>
      </c>
      <c r="H3121" s="1">
        <v>-2.2293739999999999E-6</v>
      </c>
      <c r="I3121">
        <v>234.53700000000001</v>
      </c>
      <c r="J3121">
        <v>-493.05450000000002</v>
      </c>
      <c r="K3121">
        <v>1.1119300000000001</v>
      </c>
      <c r="L3121">
        <v>242.81209999999999</v>
      </c>
      <c r="M3121">
        <v>-1.1968100000000001E-2</v>
      </c>
      <c r="N3121">
        <v>0</v>
      </c>
      <c r="O3121">
        <v>-0.99983849999999996</v>
      </c>
      <c r="P3121">
        <v>0.16665869999999999</v>
      </c>
      <c r="Q3121">
        <v>0.12573779999999901</v>
      </c>
      <c r="R3121">
        <v>-0.97796499999999997</v>
      </c>
      <c r="S3121">
        <v>1.2799069999999999</v>
      </c>
      <c r="T3121">
        <v>-0.3784264</v>
      </c>
      <c r="U3121">
        <v>-2.9063720000000002</v>
      </c>
      <c r="V3121">
        <v>-0.17887900000000001</v>
      </c>
      <c r="W3121">
        <v>0.13813699999999901</v>
      </c>
      <c r="X3121">
        <v>0.97412549999999998</v>
      </c>
      <c r="Y3121">
        <v>-0.41113480000000002</v>
      </c>
      <c r="Z3121">
        <v>0.1180113</v>
      </c>
      <c r="AA3121">
        <v>0.90390349999999997</v>
      </c>
      <c r="AB3121">
        <v>26</v>
      </c>
      <c r="AC3121">
        <v>3.7617999999999898</v>
      </c>
      <c r="AD3121">
        <v>-1.1119322293739999</v>
      </c>
      <c r="AE3121">
        <v>-8.2750999999999806</v>
      </c>
      <c r="AF3121">
        <v>-3.80366135536954</v>
      </c>
      <c r="AG3121">
        <v>-1.1119322293739999</v>
      </c>
      <c r="AH3121">
        <v>8.1081568531902892</v>
      </c>
      <c r="AI3121">
        <v>97.077336765376302</v>
      </c>
      <c r="AJ3121">
        <v>115.13199751493801</v>
      </c>
      <c r="AK3121">
        <v>9.0247681712600798</v>
      </c>
      <c r="AL3121">
        <v>82.059943290894594</v>
      </c>
      <c r="AM3121">
        <v>100.405320991517</v>
      </c>
      <c r="AN3121">
        <v>1.0000000085801199</v>
      </c>
    </row>
    <row r="3122" spans="1:40" x14ac:dyDescent="0.25">
      <c r="A3122" t="str">
        <f>"20190312164047551"</f>
        <v>20190312164047551</v>
      </c>
      <c r="B3122" t="str">
        <f>"1552380047548782"</f>
        <v>1552380047548782</v>
      </c>
      <c r="C3122" t="s">
        <v>40</v>
      </c>
      <c r="D3122">
        <v>5.5020850000000001</v>
      </c>
      <c r="E3122">
        <v>0.40550170000000002</v>
      </c>
      <c r="F3122" t="s">
        <v>41</v>
      </c>
      <c r="G3122">
        <v>-489.28059999999999</v>
      </c>
      <c r="H3122" s="1">
        <v>-2.187398E-6</v>
      </c>
      <c r="I3122">
        <v>234.4342</v>
      </c>
      <c r="J3122">
        <v>-493.05489999999998</v>
      </c>
      <c r="K3122">
        <v>1.111993</v>
      </c>
      <c r="L3122">
        <v>242.63900000000001</v>
      </c>
      <c r="M3122">
        <v>-1.040901E-2</v>
      </c>
      <c r="N3122">
        <v>0</v>
      </c>
      <c r="O3122">
        <v>-0.99985599999999997</v>
      </c>
      <c r="P3122">
        <v>0.1717678</v>
      </c>
      <c r="Q3122">
        <v>0.12560769999999999</v>
      </c>
      <c r="R3122">
        <v>-0.97709749999999995</v>
      </c>
      <c r="S3122">
        <v>1.3039860000000001</v>
      </c>
      <c r="T3122">
        <v>-0.38419950000000003</v>
      </c>
      <c r="U3122">
        <v>-2.8947600000000002</v>
      </c>
      <c r="V3122">
        <v>-0.1824771</v>
      </c>
      <c r="W3122">
        <v>0.13795850000000001</v>
      </c>
      <c r="X3122">
        <v>0.97348319999999999</v>
      </c>
      <c r="Y3122">
        <v>-0.41722160000000003</v>
      </c>
      <c r="Z3122">
        <v>0.119854</v>
      </c>
      <c r="AA3122">
        <v>0.90086690000000003</v>
      </c>
      <c r="AB3122">
        <v>26</v>
      </c>
      <c r="AC3122">
        <v>3.7742999999999798</v>
      </c>
      <c r="AD3122">
        <v>-1.1119951873980001</v>
      </c>
      <c r="AE3122">
        <v>-8.2048000000000005</v>
      </c>
      <c r="AF3122">
        <v>-3.80186964711387</v>
      </c>
      <c r="AG3122">
        <v>-1.1119951873980001</v>
      </c>
      <c r="AH3122">
        <v>8.0431291807029304</v>
      </c>
      <c r="AI3122">
        <v>97.1246595526665</v>
      </c>
      <c r="AJ3122">
        <v>115.29941716625299</v>
      </c>
      <c r="AK3122">
        <v>8.9656384673885299</v>
      </c>
      <c r="AL3122">
        <v>82.070269307975096</v>
      </c>
      <c r="AM3122">
        <v>100.616755512784</v>
      </c>
      <c r="AN3122">
        <v>0.99999999021444996</v>
      </c>
    </row>
    <row r="3123" spans="1:40" x14ac:dyDescent="0.25">
      <c r="A3123" t="str">
        <f>"20190312164047569"</f>
        <v>20190312164047569</v>
      </c>
      <c r="B3123" t="str">
        <f>"1552380047559521"</f>
        <v>1552380047559521</v>
      </c>
      <c r="C3123" t="s">
        <v>40</v>
      </c>
      <c r="D3123">
        <v>5.4933860000000001</v>
      </c>
      <c r="E3123">
        <v>0.40574519999999997</v>
      </c>
      <c r="F3123" t="s">
        <v>41</v>
      </c>
      <c r="G3123">
        <v>-489.2346</v>
      </c>
      <c r="H3123" s="1">
        <v>-2.116868E-6</v>
      </c>
      <c r="I3123">
        <v>234.25069999999999</v>
      </c>
      <c r="J3123">
        <v>-493.05489999999998</v>
      </c>
      <c r="K3123">
        <v>1.1120749999999999</v>
      </c>
      <c r="L3123">
        <v>242.4272</v>
      </c>
      <c r="M3123">
        <v>-8.4081429999999999E-3</v>
      </c>
      <c r="N3123">
        <v>0</v>
      </c>
      <c r="O3123">
        <v>-0.99987490000000001</v>
      </c>
      <c r="P3123">
        <v>0.1809877</v>
      </c>
      <c r="Q3123">
        <v>0.1245314</v>
      </c>
      <c r="R3123">
        <v>-0.97557000000000005</v>
      </c>
      <c r="S3123">
        <v>1.3154300000000001</v>
      </c>
      <c r="T3123">
        <v>-0.38289030000000002</v>
      </c>
      <c r="U3123">
        <v>-2.888306</v>
      </c>
      <c r="V3123">
        <v>-0.1897567</v>
      </c>
      <c r="W3123">
        <v>0.13679849999999999</v>
      </c>
      <c r="X3123">
        <v>0.97225439999999996</v>
      </c>
      <c r="Y3123">
        <v>-0.41913499999999998</v>
      </c>
      <c r="Z3123">
        <v>0.11954819999999999</v>
      </c>
      <c r="AA3123">
        <v>0.90001889999999996</v>
      </c>
      <c r="AB3123">
        <v>26</v>
      </c>
      <c r="AC3123">
        <v>3.8202999999999698</v>
      </c>
      <c r="AD3123">
        <v>-1.1120771168679999</v>
      </c>
      <c r="AE3123">
        <v>-8.1765000000000008</v>
      </c>
      <c r="AF3123">
        <v>-3.8307549898281601</v>
      </c>
      <c r="AG3123">
        <v>-1.1120771168679999</v>
      </c>
      <c r="AH3123">
        <v>8.0222779993345004</v>
      </c>
      <c r="AI3123">
        <v>97.130286089181695</v>
      </c>
      <c r="AJ3123">
        <v>115.525157250109</v>
      </c>
      <c r="AK3123">
        <v>8.9592602152499801</v>
      </c>
      <c r="AL3123">
        <v>82.137368898062206</v>
      </c>
      <c r="AM3123">
        <v>101.043694859395</v>
      </c>
      <c r="AN3123">
        <v>1.0000000265582401</v>
      </c>
    </row>
    <row r="3124" spans="1:40" x14ac:dyDescent="0.25">
      <c r="A3124" t="str">
        <f>"20190312164047581"</f>
        <v>20190312164047581</v>
      </c>
      <c r="B3124" t="str">
        <f>"1552380047579038"</f>
        <v>1552380047579038</v>
      </c>
      <c r="C3124" t="s">
        <v>40</v>
      </c>
      <c r="D3124">
        <v>5.4586439999999996</v>
      </c>
      <c r="E3124">
        <v>0.40606700000000001</v>
      </c>
      <c r="F3124" t="s">
        <v>41</v>
      </c>
      <c r="G3124">
        <v>-489.2079</v>
      </c>
      <c r="H3124" s="1">
        <v>-2.0838599999999998E-6</v>
      </c>
      <c r="I3124">
        <v>234.1628</v>
      </c>
      <c r="J3124">
        <v>-493.05459999999999</v>
      </c>
      <c r="K3124">
        <v>1.1121379999999901</v>
      </c>
      <c r="L3124">
        <v>242.28270000000001</v>
      </c>
      <c r="M3124">
        <v>-6.9829829999999999E-3</v>
      </c>
      <c r="N3124">
        <v>0</v>
      </c>
      <c r="O3124">
        <v>-0.99988580000000005</v>
      </c>
      <c r="P3124">
        <v>0.186254</v>
      </c>
      <c r="Q3124">
        <v>0.1242162</v>
      </c>
      <c r="R3124">
        <v>-0.97461799999999998</v>
      </c>
      <c r="S3124">
        <v>1.3388059999999999</v>
      </c>
      <c r="T3124">
        <v>-0.38702550000000002</v>
      </c>
      <c r="U3124">
        <v>-2.8761749999999999</v>
      </c>
      <c r="V3124">
        <v>-0.19364780000000001</v>
      </c>
      <c r="W3124">
        <v>0.13642960000000001</v>
      </c>
      <c r="X3124">
        <v>0.97153869999999998</v>
      </c>
      <c r="Y3124">
        <v>-0.42522589999999999</v>
      </c>
      <c r="Z3124">
        <v>0.12090339999999999</v>
      </c>
      <c r="AA3124">
        <v>0.89697569999999904</v>
      </c>
      <c r="AB3124">
        <v>26</v>
      </c>
      <c r="AC3124">
        <v>3.84669999999999</v>
      </c>
      <c r="AD3124">
        <v>-1.11214008385999</v>
      </c>
      <c r="AE3124">
        <v>-8.1198999999999995</v>
      </c>
      <c r="AF3124">
        <v>-3.8444124960067798</v>
      </c>
      <c r="AG3124">
        <v>-1.11214008385999</v>
      </c>
      <c r="AH3124">
        <v>7.9707194237853702</v>
      </c>
      <c r="AI3124">
        <v>97.163040397825995</v>
      </c>
      <c r="AJ3124">
        <v>115.748797772841</v>
      </c>
      <c r="AK3124">
        <v>8.9190095379638699</v>
      </c>
      <c r="AL3124">
        <v>82.158704954108998</v>
      </c>
      <c r="AM3124">
        <v>101.272505017521</v>
      </c>
      <c r="AN3124">
        <v>0.99999997589934397</v>
      </c>
    </row>
    <row r="3125" spans="1:40" x14ac:dyDescent="0.25">
      <c r="A3125" t="str">
        <f>"20190312164047592"</f>
        <v>20190312164047592</v>
      </c>
      <c r="B3125" t="str">
        <f>"1552380047588799"</f>
        <v>1552380047588799</v>
      </c>
      <c r="C3125" t="s">
        <v>40</v>
      </c>
      <c r="D3125">
        <v>5.4409409999999996</v>
      </c>
      <c r="E3125">
        <v>0.4062907</v>
      </c>
      <c r="F3125" t="s">
        <v>42</v>
      </c>
      <c r="G3125">
        <v>-492.62310000000002</v>
      </c>
      <c r="H3125">
        <v>0.98917219999999995</v>
      </c>
      <c r="I3125">
        <v>241.36580000000001</v>
      </c>
      <c r="J3125">
        <v>-493.05410000000001</v>
      </c>
      <c r="K3125">
        <v>1.1121970000000001</v>
      </c>
      <c r="L3125">
        <v>242.1516</v>
      </c>
      <c r="M3125">
        <v>-5.6370810000000004E-3</v>
      </c>
      <c r="N3125">
        <v>0</v>
      </c>
      <c r="O3125">
        <v>-0.99989410000000001</v>
      </c>
      <c r="P3125">
        <v>0.19114300000000001</v>
      </c>
      <c r="Q3125">
        <v>0.1239175</v>
      </c>
      <c r="R3125">
        <v>-0.97370919999999905</v>
      </c>
      <c r="S3125">
        <v>1.3507389999999999</v>
      </c>
      <c r="T3125">
        <v>-0.38478800000000002</v>
      </c>
      <c r="U3125">
        <v>-2.869049</v>
      </c>
      <c r="V3125">
        <v>-0.1972399</v>
      </c>
      <c r="W3125">
        <v>0.13607910000000001</v>
      </c>
      <c r="X3125">
        <v>0.97086499999999998</v>
      </c>
      <c r="Y3125">
        <v>-0.42794969999999999</v>
      </c>
      <c r="Z3125">
        <v>0.12030299999999999</v>
      </c>
      <c r="AA3125">
        <v>0.89576019999999901</v>
      </c>
      <c r="AB3125">
        <v>26</v>
      </c>
      <c r="AC3125">
        <v>0.43099999999998301</v>
      </c>
      <c r="AD3125">
        <v>-0.123024799999999</v>
      </c>
      <c r="AE3125">
        <v>-0.78579999999999395</v>
      </c>
      <c r="AF3125">
        <v>-0.42737043928292201</v>
      </c>
      <c r="AG3125">
        <v>-0.123024799999999</v>
      </c>
      <c r="AH3125">
        <v>0.76887027199038505</v>
      </c>
      <c r="AI3125">
        <v>97.961432126127207</v>
      </c>
      <c r="AJ3125">
        <v>119.067146684812</v>
      </c>
      <c r="AK3125">
        <v>0.88822412089431901</v>
      </c>
      <c r="AL3125">
        <v>82.178976161529405</v>
      </c>
      <c r="AM3125">
        <v>101.48385866315699</v>
      </c>
      <c r="AN3125">
        <v>0.99999997391690898</v>
      </c>
    </row>
    <row r="3126" spans="1:40" x14ac:dyDescent="0.25">
      <c r="A3126" t="str">
        <f>"20190312164047606"</f>
        <v>20190312164047606</v>
      </c>
      <c r="B3126" t="str">
        <f>"1552380047599534"</f>
        <v>1552380047599534</v>
      </c>
      <c r="C3126" t="s">
        <v>40</v>
      </c>
      <c r="D3126">
        <v>5.4380930000000003</v>
      </c>
      <c r="E3126">
        <v>0.40655469999999999</v>
      </c>
      <c r="F3126" t="s">
        <v>41</v>
      </c>
      <c r="G3126">
        <v>-489.11610000000002</v>
      </c>
      <c r="H3126" s="1">
        <v>-1.9784239999999998E-6</v>
      </c>
      <c r="I3126">
        <v>233.87899999999999</v>
      </c>
      <c r="J3126">
        <v>-493.05329999999998</v>
      </c>
      <c r="K3126">
        <v>1.1122590000000001</v>
      </c>
      <c r="L3126">
        <v>242.01130000000001</v>
      </c>
      <c r="M3126">
        <v>-4.1438059999999999E-3</v>
      </c>
      <c r="N3126">
        <v>0</v>
      </c>
      <c r="O3126">
        <v>-0.99990140000000005</v>
      </c>
      <c r="P3126">
        <v>0.1962421</v>
      </c>
      <c r="Q3126">
        <v>0.12370920000000001</v>
      </c>
      <c r="R3126">
        <v>-0.97272069999999999</v>
      </c>
      <c r="S3126">
        <v>1.3626400000000001</v>
      </c>
      <c r="T3126">
        <v>-0.38484109999999999</v>
      </c>
      <c r="U3126">
        <v>-2.862473</v>
      </c>
      <c r="V3126">
        <v>-0.20090269999999999</v>
      </c>
      <c r="W3126">
        <v>0.13581550000000001</v>
      </c>
      <c r="X3126">
        <v>0.97015059999999997</v>
      </c>
      <c r="Y3126">
        <v>-0.43043039999999999</v>
      </c>
      <c r="Z3126">
        <v>0.120392</v>
      </c>
      <c r="AA3126">
        <v>0.89455879999999999</v>
      </c>
      <c r="AB3126">
        <v>26</v>
      </c>
      <c r="AC3126">
        <v>3.9371999999999598</v>
      </c>
      <c r="AD3126">
        <v>-1.1122609784240001</v>
      </c>
      <c r="AE3126">
        <v>-8.1322999999999794</v>
      </c>
      <c r="AF3126">
        <v>-3.911590936913</v>
      </c>
      <c r="AG3126">
        <v>-1.1122609784240001</v>
      </c>
      <c r="AH3126">
        <v>7.9947596621905799</v>
      </c>
      <c r="AI3126">
        <v>97.123201959019099</v>
      </c>
      <c r="AJ3126">
        <v>116.071086798216</v>
      </c>
      <c r="AK3126">
        <v>8.9696070258431195</v>
      </c>
      <c r="AL3126">
        <v>82.194220796369194</v>
      </c>
      <c r="AM3126">
        <v>101.699669798274</v>
      </c>
      <c r="AN3126">
        <v>0.99999996579394901</v>
      </c>
    </row>
    <row r="3127" spans="1:40" x14ac:dyDescent="0.25">
      <c r="A3127" t="str">
        <f>"20190312164047617"</f>
        <v>20190312164047617</v>
      </c>
      <c r="B3127" t="str">
        <f>"1552380047609294"</f>
        <v>1552380047609294</v>
      </c>
      <c r="C3127" t="s">
        <v>40</v>
      </c>
      <c r="D3127">
        <v>5.4759890000000002</v>
      </c>
      <c r="E3127">
        <v>0.40679949999999998</v>
      </c>
      <c r="F3127" t="s">
        <v>42</v>
      </c>
      <c r="G3127">
        <v>-492.62950000000001</v>
      </c>
      <c r="H3127">
        <v>0.9932858</v>
      </c>
      <c r="I3127">
        <v>241.13069999999999</v>
      </c>
      <c r="J3127">
        <v>-493.05239999999998</v>
      </c>
      <c r="K3127">
        <v>1.11232</v>
      </c>
      <c r="L3127">
        <v>241.86429999999999</v>
      </c>
      <c r="M3127">
        <v>-2.545318E-3</v>
      </c>
      <c r="N3127">
        <v>0</v>
      </c>
      <c r="O3127">
        <v>-0.99990670000000004</v>
      </c>
      <c r="P3127">
        <v>0.2015449</v>
      </c>
      <c r="Q3127">
        <v>0.1237429</v>
      </c>
      <c r="R3127">
        <v>-0.97163169999999999</v>
      </c>
      <c r="S3127">
        <v>1.3753359999999999</v>
      </c>
      <c r="T3127">
        <v>-0.38581919999999997</v>
      </c>
      <c r="U3127">
        <v>-2.8557739999999998</v>
      </c>
      <c r="V3127">
        <v>-0.2046712</v>
      </c>
      <c r="W3127">
        <v>0.13579040000000001</v>
      </c>
      <c r="X3127">
        <v>0.96936610000000001</v>
      </c>
      <c r="Y3127">
        <v>-0.43301679999999998</v>
      </c>
      <c r="Z3127">
        <v>0.1207585</v>
      </c>
      <c r="AA3127">
        <v>0.89326019999999995</v>
      </c>
      <c r="AB3127">
        <v>26</v>
      </c>
      <c r="AC3127">
        <v>0.42289999999997002</v>
      </c>
      <c r="AD3127">
        <v>-0.11903419999999899</v>
      </c>
      <c r="AE3127">
        <v>-0.73359999999999503</v>
      </c>
      <c r="AF3127">
        <v>-0.41653476072915402</v>
      </c>
      <c r="AG3127">
        <v>-0.11903419999999899</v>
      </c>
      <c r="AH3127">
        <v>0.71832603057443001</v>
      </c>
      <c r="AI3127">
        <v>98.1579406083587</v>
      </c>
      <c r="AJ3127">
        <v>120.10810233423901</v>
      </c>
      <c r="AK3127">
        <v>0.83884601320275198</v>
      </c>
      <c r="AL3127">
        <v>82.195672513642904</v>
      </c>
      <c r="AM3127">
        <v>101.922280209595</v>
      </c>
      <c r="AN3127">
        <v>0.99999998433540405</v>
      </c>
    </row>
    <row r="3128" spans="1:40" x14ac:dyDescent="0.25">
      <c r="A3128" t="str">
        <f>"20190312164047639"</f>
        <v>20190312164047639</v>
      </c>
      <c r="B3128" t="str">
        <f>"1552380047628814"</f>
        <v>1552380047628814</v>
      </c>
      <c r="C3128" t="s">
        <v>40</v>
      </c>
      <c r="D3128">
        <v>5.5456450000000004</v>
      </c>
      <c r="E3128">
        <v>0.40688229999999997</v>
      </c>
      <c r="F3128" t="s">
        <v>41</v>
      </c>
      <c r="G3128">
        <v>-489.05369999999999</v>
      </c>
      <c r="H3128" s="1">
        <v>-1.893907E-6</v>
      </c>
      <c r="I3128">
        <v>233.65620000000001</v>
      </c>
      <c r="J3128">
        <v>-493.04989999999998</v>
      </c>
      <c r="K3128">
        <v>1.1124259999999999</v>
      </c>
      <c r="L3128">
        <v>241.6172</v>
      </c>
      <c r="M3128">
        <v>2.9607499999999997E-4</v>
      </c>
      <c r="N3128">
        <v>0</v>
      </c>
      <c r="O3128">
        <v>-0.99991010000000002</v>
      </c>
      <c r="P3128">
        <v>0.210702</v>
      </c>
      <c r="Q3128">
        <v>0.1230388</v>
      </c>
      <c r="R3128">
        <v>-0.96977690000000005</v>
      </c>
      <c r="S3128">
        <v>1.3878779999999999</v>
      </c>
      <c r="T3128">
        <v>-0.3860691</v>
      </c>
      <c r="U3128">
        <v>-2.8488769999999999</v>
      </c>
      <c r="V3128">
        <v>-0.21110119999999999</v>
      </c>
      <c r="W3128">
        <v>0.134986299999999</v>
      </c>
      <c r="X3128">
        <v>0.96809860000000003</v>
      </c>
      <c r="Y3128">
        <v>-0.43447930000000001</v>
      </c>
      <c r="Z3128">
        <v>0.12094240000000001</v>
      </c>
      <c r="AA3128">
        <v>0.89252489999999995</v>
      </c>
      <c r="AB3128">
        <v>26</v>
      </c>
      <c r="AC3128">
        <v>3.99619999999998</v>
      </c>
      <c r="AD3128">
        <v>-1.11242789390699</v>
      </c>
      <c r="AE3128">
        <v>-7.9609999999999799</v>
      </c>
      <c r="AF3128">
        <v>-3.9325112192830201</v>
      </c>
      <c r="AG3128">
        <v>-1.11242789390699</v>
      </c>
      <c r="AH3128">
        <v>7.8399118746508503</v>
      </c>
      <c r="AI3128">
        <v>97.228317160322305</v>
      </c>
      <c r="AJ3128">
        <v>116.638409527813</v>
      </c>
      <c r="AK3128">
        <v>8.8411740459749293</v>
      </c>
      <c r="AL3128">
        <v>82.242171991660697</v>
      </c>
      <c r="AM3128">
        <v>102.301218633988</v>
      </c>
      <c r="AN3128">
        <v>0.99999995857554402</v>
      </c>
    </row>
    <row r="3129" spans="1:40" x14ac:dyDescent="0.25">
      <c r="A3129" t="str">
        <f>"20190312164047653"</f>
        <v>20190312164047653</v>
      </c>
      <c r="B3129" t="str">
        <f>"1552380047649310"</f>
        <v>1552380047649310</v>
      </c>
      <c r="C3129" t="s">
        <v>40</v>
      </c>
      <c r="D3129">
        <v>5.4479800000000003</v>
      </c>
      <c r="E3129">
        <v>0.40634049999999999</v>
      </c>
      <c r="F3129" t="s">
        <v>42</v>
      </c>
      <c r="G3129">
        <v>-492.58170000000001</v>
      </c>
      <c r="H3129">
        <v>0.98342649999999998</v>
      </c>
      <c r="I3129">
        <v>240.67699999999999</v>
      </c>
      <c r="J3129">
        <v>-493.04759999999999</v>
      </c>
      <c r="K3129">
        <v>1.1124959999999999</v>
      </c>
      <c r="L3129">
        <v>241.4494</v>
      </c>
      <c r="M3129">
        <v>2.3197840000000001E-3</v>
      </c>
      <c r="N3129">
        <v>0</v>
      </c>
      <c r="O3129">
        <v>-0.99990710000000005</v>
      </c>
      <c r="P3129">
        <v>0.21541660000000001</v>
      </c>
      <c r="Q3129">
        <v>0.1228892</v>
      </c>
      <c r="R3129">
        <v>-0.96875900000000004</v>
      </c>
      <c r="S3129">
        <v>1.41272</v>
      </c>
      <c r="T3129">
        <v>-0.38905790000000001</v>
      </c>
      <c r="U3129">
        <v>-2.8358919999999999</v>
      </c>
      <c r="V3129">
        <v>-0.2138775</v>
      </c>
      <c r="W3129">
        <v>0.13478080000000001</v>
      </c>
      <c r="X3129">
        <v>0.96751770000000004</v>
      </c>
      <c r="Y3129">
        <v>-0.44048870000000001</v>
      </c>
      <c r="Z3129">
        <v>0.1219475</v>
      </c>
      <c r="AA3129">
        <v>0.88943719999999904</v>
      </c>
      <c r="AB3129">
        <v>26</v>
      </c>
      <c r="AC3129">
        <v>0.465899999999976</v>
      </c>
      <c r="AD3129">
        <v>-0.129069499999999</v>
      </c>
      <c r="AE3129">
        <v>-0.77239999999997599</v>
      </c>
      <c r="AF3129">
        <v>-0.45479532214521101</v>
      </c>
      <c r="AG3129">
        <v>-0.129069499999999</v>
      </c>
      <c r="AH3129">
        <v>0.75796035621023805</v>
      </c>
      <c r="AI3129">
        <v>98.307438140264296</v>
      </c>
      <c r="AJ3129">
        <v>120.96481861189901</v>
      </c>
      <c r="AK3129">
        <v>0.89330936548419004</v>
      </c>
      <c r="AL3129">
        <v>82.254054990624795</v>
      </c>
      <c r="AM3129">
        <v>102.46522453431</v>
      </c>
      <c r="AN3129">
        <v>0.99999997443408895</v>
      </c>
    </row>
    <row r="3130" spans="1:40" x14ac:dyDescent="0.25">
      <c r="A3130" t="str">
        <f>"20190312164047671"</f>
        <v>20190312164047671</v>
      </c>
      <c r="B3130" t="str">
        <f>"1552380047659070"</f>
        <v>1552380047659070</v>
      </c>
      <c r="C3130" t="s">
        <v>40</v>
      </c>
      <c r="D3130">
        <v>5.3969269999999998</v>
      </c>
      <c r="E3130">
        <v>0.40604200000000001</v>
      </c>
      <c r="F3130" t="s">
        <v>41</v>
      </c>
      <c r="G3130">
        <v>-488.97070000000002</v>
      </c>
      <c r="H3130" s="1">
        <v>-1.7935109999999999E-6</v>
      </c>
      <c r="I3130">
        <v>233.3879</v>
      </c>
      <c r="J3130">
        <v>-493.04450000000003</v>
      </c>
      <c r="K3130">
        <v>1.112573</v>
      </c>
      <c r="L3130">
        <v>241.24969999999999</v>
      </c>
      <c r="M3130">
        <v>4.7939039999999999E-3</v>
      </c>
      <c r="N3130">
        <v>0</v>
      </c>
      <c r="O3130">
        <v>-0.99989810000000001</v>
      </c>
      <c r="P3130">
        <v>0.22485749999999999</v>
      </c>
      <c r="Q3130">
        <v>0.1215837</v>
      </c>
      <c r="R3130">
        <v>-0.96677630000000003</v>
      </c>
      <c r="S3130">
        <v>1.4302979999999901</v>
      </c>
      <c r="T3130">
        <v>-0.39029170000000002</v>
      </c>
      <c r="U3130">
        <v>-2.8281860000000001</v>
      </c>
      <c r="V3130">
        <v>-0.2209458</v>
      </c>
      <c r="W3130">
        <v>0.13338259999999999</v>
      </c>
      <c r="X3130">
        <v>0.96612220000000004</v>
      </c>
      <c r="Y3130">
        <v>-0.44362649999999998</v>
      </c>
      <c r="Z3130">
        <v>0.1223611</v>
      </c>
      <c r="AA3130">
        <v>0.88781949999999998</v>
      </c>
      <c r="AB3130">
        <v>26</v>
      </c>
      <c r="AC3130">
        <v>4.0738000000000003</v>
      </c>
      <c r="AD3130">
        <v>-1.112574793511</v>
      </c>
      <c r="AE3130">
        <v>-7.8617999999999801</v>
      </c>
      <c r="AF3130">
        <v>-3.9733309036681699</v>
      </c>
      <c r="AG3130">
        <v>-1.112574793511</v>
      </c>
      <c r="AH3130">
        <v>7.7587472654242404</v>
      </c>
      <c r="AI3130">
        <v>97.273520447372405</v>
      </c>
      <c r="AJ3130">
        <v>117.11743294348901</v>
      </c>
      <c r="AK3130">
        <v>8.7876811656960303</v>
      </c>
      <c r="AL3130">
        <v>82.334896396069993</v>
      </c>
      <c r="AM3130">
        <v>102.881644498402</v>
      </c>
      <c r="AN3130">
        <v>1.00000003492661</v>
      </c>
    </row>
    <row r="3131" spans="1:40" x14ac:dyDescent="0.25">
      <c r="A3131" t="str">
        <f>"20190312164047692"</f>
        <v>20190312164047692</v>
      </c>
      <c r="B3131" t="str">
        <f>"1552380047689326"</f>
        <v>1552380047689326</v>
      </c>
      <c r="C3131" t="s">
        <v>40</v>
      </c>
      <c r="D3131">
        <v>5.4400839999999997</v>
      </c>
      <c r="E3131">
        <v>0.40537519999999999</v>
      </c>
      <c r="F3131" t="s">
        <v>42</v>
      </c>
      <c r="G3131">
        <v>-492.613</v>
      </c>
      <c r="H3131">
        <v>0.9958361</v>
      </c>
      <c r="I3131">
        <v>240.41730000000001</v>
      </c>
      <c r="J3131">
        <v>-493.03969999999998</v>
      </c>
      <c r="K3131">
        <v>1.1126549999999999</v>
      </c>
      <c r="L3131">
        <v>240.99850000000001</v>
      </c>
      <c r="M3131">
        <v>8.0056810000000006E-3</v>
      </c>
      <c r="N3131">
        <v>0</v>
      </c>
      <c r="O3131">
        <v>-0.99987769999999998</v>
      </c>
      <c r="P3131">
        <v>0.23469180000000001</v>
      </c>
      <c r="Q3131">
        <v>0.12018909999999999</v>
      </c>
      <c r="R3131">
        <v>-0.96461140000000001</v>
      </c>
      <c r="S3131">
        <v>1.4591670000000001</v>
      </c>
      <c r="T3131">
        <v>-0.39450350000000001</v>
      </c>
      <c r="U3131">
        <v>-2.8133240000000002</v>
      </c>
      <c r="V3131">
        <v>-0.2277063</v>
      </c>
      <c r="W3131">
        <v>0.1318896</v>
      </c>
      <c r="X3131">
        <v>0.96475639999999996</v>
      </c>
      <c r="Y3131">
        <v>-0.44975989999999999</v>
      </c>
      <c r="Z3131">
        <v>0.12375839999999901</v>
      </c>
      <c r="AA3131">
        <v>0.88453379999999904</v>
      </c>
      <c r="AB3131">
        <v>26</v>
      </c>
      <c r="AC3131">
        <v>0.42669999999992497</v>
      </c>
      <c r="AD3131">
        <v>-0.1168189</v>
      </c>
      <c r="AE3131">
        <v>-0.58119999999999505</v>
      </c>
      <c r="AF3131">
        <v>-0.41123787754528801</v>
      </c>
      <c r="AG3131">
        <v>-0.1168189</v>
      </c>
      <c r="AH3131">
        <v>0.56964435952792702</v>
      </c>
      <c r="AI3131">
        <v>99.440350179703302</v>
      </c>
      <c r="AJ3131">
        <v>125.82628584134601</v>
      </c>
      <c r="AK3131">
        <v>0.71222043193603002</v>
      </c>
      <c r="AL3131">
        <v>82.421201016805995</v>
      </c>
      <c r="AM3131">
        <v>103.280174594225</v>
      </c>
      <c r="AN3131">
        <v>0.99999996849440398</v>
      </c>
    </row>
    <row r="3132" spans="1:40" x14ac:dyDescent="0.25">
      <c r="A3132" t="str">
        <f>"20190312164047705"</f>
        <v>20190312164047705</v>
      </c>
      <c r="B3132" t="str">
        <f>"1552380047699086"</f>
        <v>1552380047699086</v>
      </c>
      <c r="C3132" t="s">
        <v>40</v>
      </c>
      <c r="D3132">
        <v>5.4479600000000001</v>
      </c>
      <c r="E3132">
        <v>0.40519860000000002</v>
      </c>
      <c r="F3132" t="s">
        <v>42</v>
      </c>
      <c r="G3132">
        <v>-492.60539999999997</v>
      </c>
      <c r="H3132">
        <v>0.99585829999999997</v>
      </c>
      <c r="I3132">
        <v>240.18299999999999</v>
      </c>
      <c r="J3132">
        <v>-493.03649999999999</v>
      </c>
      <c r="K3132">
        <v>1.1126940000000001</v>
      </c>
      <c r="L3132">
        <v>240.84700000000001</v>
      </c>
      <c r="M3132">
        <v>9.9971650000000006E-3</v>
      </c>
      <c r="N3132">
        <v>0</v>
      </c>
      <c r="O3132">
        <v>-0.99985970000000002</v>
      </c>
      <c r="P3132">
        <v>0.23997270000000001</v>
      </c>
      <c r="Q3132">
        <v>0.1194347</v>
      </c>
      <c r="R3132">
        <v>-0.9634047</v>
      </c>
      <c r="S3132">
        <v>1.490753</v>
      </c>
      <c r="T3132">
        <v>-0.40061330000000001</v>
      </c>
      <c r="U3132">
        <v>-2.7973180000000002</v>
      </c>
      <c r="V3132">
        <v>-0.2310844</v>
      </c>
      <c r="W3132">
        <v>0.13108310000000001</v>
      </c>
      <c r="X3132">
        <v>0.96406289999999994</v>
      </c>
      <c r="Y3132">
        <v>-0.45773359999999902</v>
      </c>
      <c r="Z3132">
        <v>0.12568789999999999</v>
      </c>
      <c r="AA3132">
        <v>0.88016049999999901</v>
      </c>
      <c r="AB3132">
        <v>26</v>
      </c>
      <c r="AC3132">
        <v>0.43110000000001403</v>
      </c>
      <c r="AD3132">
        <v>-0.1168357</v>
      </c>
      <c r="AE3132">
        <v>-0.66400000000001502</v>
      </c>
      <c r="AF3132">
        <v>-0.41539241349220501</v>
      </c>
      <c r="AG3132">
        <v>-0.1168357</v>
      </c>
      <c r="AH3132">
        <v>0.65403204261584602</v>
      </c>
      <c r="AI3132">
        <v>98.575333109078002</v>
      </c>
      <c r="AJ3132">
        <v>122.42067048113201</v>
      </c>
      <c r="AK3132">
        <v>0.78355558242515599</v>
      </c>
      <c r="AL3132">
        <v>82.467815211199706</v>
      </c>
      <c r="AM3132">
        <v>103.47939657145</v>
      </c>
      <c r="AN3132">
        <v>1.0000000270926801</v>
      </c>
    </row>
    <row r="3133" spans="1:40" x14ac:dyDescent="0.25">
      <c r="A3133" t="str">
        <f>"20190312164047719"</f>
        <v>20190312164047719</v>
      </c>
      <c r="B3133" t="str">
        <f>"1552380047708847"</f>
        <v>1552380047708847</v>
      </c>
      <c r="C3133" t="s">
        <v>40</v>
      </c>
      <c r="D3133">
        <v>5.4045620000000003</v>
      </c>
      <c r="E3133">
        <v>0.40504639999999997</v>
      </c>
      <c r="F3133" t="s">
        <v>42</v>
      </c>
      <c r="G3133">
        <v>-492.56959999999998</v>
      </c>
      <c r="H3133">
        <v>0.98753139999999995</v>
      </c>
      <c r="I3133">
        <v>239.98320000000001</v>
      </c>
      <c r="J3133">
        <v>-493.03250000000003</v>
      </c>
      <c r="K3133">
        <v>1.1127370000000001</v>
      </c>
      <c r="L3133">
        <v>240.68260000000001</v>
      </c>
      <c r="M3133">
        <v>1.2191509999999999E-2</v>
      </c>
      <c r="N3133">
        <v>0</v>
      </c>
      <c r="O3133">
        <v>-0.99983540000000004</v>
      </c>
      <c r="P3133">
        <v>0.24581729999999999</v>
      </c>
      <c r="Q3133">
        <v>0.1187614</v>
      </c>
      <c r="R3133">
        <v>-0.96201349999999997</v>
      </c>
      <c r="S3133">
        <v>1.507172</v>
      </c>
      <c r="T3133">
        <v>-0.4040588</v>
      </c>
      <c r="U3133">
        <v>-2.7886510000000002</v>
      </c>
      <c r="V3133">
        <v>-0.23483589999999999</v>
      </c>
      <c r="W3133">
        <v>0.13035369999999999</v>
      </c>
      <c r="X3133">
        <v>0.96325490000000002</v>
      </c>
      <c r="Y3133">
        <v>-0.46087119999999998</v>
      </c>
      <c r="Z3133">
        <v>0.12681400000000001</v>
      </c>
      <c r="AA3133">
        <v>0.87835980000000002</v>
      </c>
      <c r="AB3133">
        <v>26</v>
      </c>
      <c r="AC3133">
        <v>0.462900000000047</v>
      </c>
      <c r="AD3133">
        <v>-0.1252056</v>
      </c>
      <c r="AE3133">
        <v>-0.69939999999999702</v>
      </c>
      <c r="AF3133">
        <v>-0.44443365201375901</v>
      </c>
      <c r="AG3133">
        <v>-0.1252056</v>
      </c>
      <c r="AH3133">
        <v>0.68962336758370202</v>
      </c>
      <c r="AI3133">
        <v>98.676969117364493</v>
      </c>
      <c r="AJ3133">
        <v>122.800100922745</v>
      </c>
      <c r="AK3133">
        <v>0.82992656448093804</v>
      </c>
      <c r="AL3133">
        <v>82.509968202872798</v>
      </c>
      <c r="AM3133">
        <v>103.70110418817499</v>
      </c>
      <c r="AN3133">
        <v>0.99999999470325496</v>
      </c>
    </row>
    <row r="3134" spans="1:40" x14ac:dyDescent="0.25">
      <c r="A3134" t="str">
        <f>"20190312164047738"</f>
        <v>20190312164047738</v>
      </c>
      <c r="B3134" t="str">
        <f>"1552380047729342"</f>
        <v>1552380047729342</v>
      </c>
      <c r="C3134" t="s">
        <v>40</v>
      </c>
      <c r="D3134">
        <v>5.4335069999999996</v>
      </c>
      <c r="E3134">
        <v>0.40483819999999998</v>
      </c>
      <c r="F3134" t="s">
        <v>42</v>
      </c>
      <c r="G3134">
        <v>-492.52710000000002</v>
      </c>
      <c r="H3134">
        <v>0.97776320000000005</v>
      </c>
      <c r="I3134">
        <v>239.761</v>
      </c>
      <c r="J3134">
        <v>-493.02670000000001</v>
      </c>
      <c r="K3134">
        <v>1.1127899999999999</v>
      </c>
      <c r="L3134">
        <v>240.46700000000001</v>
      </c>
      <c r="M3134">
        <v>1.513012E-2</v>
      </c>
      <c r="N3134">
        <v>0</v>
      </c>
      <c r="O3134">
        <v>-0.99979510000000005</v>
      </c>
      <c r="P3134">
        <v>0.25478329999999999</v>
      </c>
      <c r="Q3134">
        <v>0.11763990000000001</v>
      </c>
      <c r="R3134">
        <v>-0.95981590000000006</v>
      </c>
      <c r="S3134">
        <v>1.524902</v>
      </c>
      <c r="T3134">
        <v>-0.4070027</v>
      </c>
      <c r="U3134">
        <v>-2.779099</v>
      </c>
      <c r="V3134">
        <v>-0.24100769999999999</v>
      </c>
      <c r="W3134">
        <v>0.1291485</v>
      </c>
      <c r="X3134">
        <v>0.96189179999999996</v>
      </c>
      <c r="Y3134">
        <v>-0.46378649999999999</v>
      </c>
      <c r="Z3134">
        <v>0.1278096</v>
      </c>
      <c r="AA3134">
        <v>0.8766794</v>
      </c>
      <c r="AB3134">
        <v>26</v>
      </c>
      <c r="AC3134">
        <v>0.499599999999986</v>
      </c>
      <c r="AD3134">
        <v>-0.135026799999999</v>
      </c>
      <c r="AE3134">
        <v>-0.70600000000001695</v>
      </c>
      <c r="AF3134">
        <v>-0.47722826271678997</v>
      </c>
      <c r="AG3134">
        <v>-0.135026799999999</v>
      </c>
      <c r="AH3134">
        <v>0.69650267641542396</v>
      </c>
      <c r="AI3134">
        <v>99.086100160575299</v>
      </c>
      <c r="AJ3134">
        <v>124.41808163090499</v>
      </c>
      <c r="AK3134">
        <v>0.85504095206473896</v>
      </c>
      <c r="AL3134">
        <v>82.579609386740202</v>
      </c>
      <c r="AM3134">
        <v>104.06621862166401</v>
      </c>
      <c r="AN3134">
        <v>0.99999994070938802</v>
      </c>
    </row>
    <row r="3135" spans="1:40" x14ac:dyDescent="0.25">
      <c r="A3135" t="str">
        <f>"20190312164047749"</f>
        <v>20190312164047749</v>
      </c>
      <c r="B3135" t="str">
        <f>"1552380047739103"</f>
        <v>1552380047739103</v>
      </c>
      <c r="C3135" t="s">
        <v>40</v>
      </c>
      <c r="D3135">
        <v>5.4253869999999997</v>
      </c>
      <c r="E3135">
        <v>0.4047964</v>
      </c>
      <c r="F3135" t="s">
        <v>42</v>
      </c>
      <c r="G3135">
        <v>-492.5034</v>
      </c>
      <c r="H3135">
        <v>0.9743018</v>
      </c>
      <c r="I3135">
        <v>239.53469999999999</v>
      </c>
      <c r="J3135">
        <v>-493.0224</v>
      </c>
      <c r="K3135">
        <v>1.112825</v>
      </c>
      <c r="L3135">
        <v>240.3253</v>
      </c>
      <c r="M3135">
        <v>1.7100569999999999E-2</v>
      </c>
      <c r="N3135">
        <v>0</v>
      </c>
      <c r="O3135">
        <v>-0.99976330000000002</v>
      </c>
      <c r="P3135">
        <v>0.2585404</v>
      </c>
      <c r="Q3135">
        <v>0.11709170000000001</v>
      </c>
      <c r="R3135">
        <v>-0.95887789999999995</v>
      </c>
      <c r="S3135">
        <v>1.5512999999999999</v>
      </c>
      <c r="T3135">
        <v>-0.41056179999999898</v>
      </c>
      <c r="U3135">
        <v>-2.7641300000000002</v>
      </c>
      <c r="V3135">
        <v>-0.24288750000000001</v>
      </c>
      <c r="W3135">
        <v>0.12856689999999901</v>
      </c>
      <c r="X3135">
        <v>0.96149689999999999</v>
      </c>
      <c r="Y3135">
        <v>-0.47035009999999999</v>
      </c>
      <c r="Z3135">
        <v>0.1289874</v>
      </c>
      <c r="AA3135">
        <v>0.87300230000000001</v>
      </c>
      <c r="AB3135">
        <v>26</v>
      </c>
      <c r="AC3135">
        <v>0.51900000000000501</v>
      </c>
      <c r="AD3135">
        <v>-0.13852319999999901</v>
      </c>
      <c r="AE3135">
        <v>-0.79060000000001196</v>
      </c>
      <c r="AF3135">
        <v>-0.49478797013918202</v>
      </c>
      <c r="AG3135">
        <v>-0.13852319999999901</v>
      </c>
      <c r="AH3135">
        <v>0.78257107593812003</v>
      </c>
      <c r="AI3135">
        <v>98.509152948410502</v>
      </c>
      <c r="AJ3135">
        <v>122.303508392051</v>
      </c>
      <c r="AK3135">
        <v>0.93617375589558205</v>
      </c>
      <c r="AL3135">
        <v>82.613213478554599</v>
      </c>
      <c r="AM3135">
        <v>104.177113273511</v>
      </c>
      <c r="AN3135">
        <v>1.00000003707073</v>
      </c>
    </row>
    <row r="3136" spans="1:40" x14ac:dyDescent="0.25">
      <c r="A3136" t="str">
        <f>"20190312164047764"</f>
        <v>20190312164047764</v>
      </c>
      <c r="B3136" t="str">
        <f>"1552380047759598"</f>
        <v>1552380047759598</v>
      </c>
      <c r="C3136" t="s">
        <v>40</v>
      </c>
      <c r="D3136">
        <v>5.4406970000000001</v>
      </c>
      <c r="E3136">
        <v>0.40469490000000002</v>
      </c>
      <c r="F3136" t="s">
        <v>42</v>
      </c>
      <c r="G3136">
        <v>-492.56610000000001</v>
      </c>
      <c r="H3136">
        <v>0.99258630000000003</v>
      </c>
      <c r="I3136">
        <v>239.52</v>
      </c>
      <c r="J3136">
        <v>-493.01749999999998</v>
      </c>
      <c r="K3136">
        <v>1.1128559999999901</v>
      </c>
      <c r="L3136">
        <v>240.17169999999999</v>
      </c>
      <c r="M3136">
        <v>1.9251000000000001E-2</v>
      </c>
      <c r="N3136">
        <v>0</v>
      </c>
      <c r="O3136">
        <v>-0.9997241</v>
      </c>
      <c r="P3136">
        <v>0.26418219999999998</v>
      </c>
      <c r="Q3136">
        <v>0.1164891</v>
      </c>
      <c r="R3136">
        <v>-0.95741220000000005</v>
      </c>
      <c r="S3136">
        <v>1.562622</v>
      </c>
      <c r="T3136">
        <v>-0.41171590000000002</v>
      </c>
      <c r="U3136">
        <v>-2.7576139999999998</v>
      </c>
      <c r="V3136">
        <v>-0.24649070000000001</v>
      </c>
      <c r="W3136">
        <v>0.12791379999999999</v>
      </c>
      <c r="X3136">
        <v>0.96066669999999998</v>
      </c>
      <c r="Y3136">
        <v>-0.47202699999999997</v>
      </c>
      <c r="Z3136">
        <v>0.12941559999999999</v>
      </c>
      <c r="AA3136">
        <v>0.87203339999999996</v>
      </c>
      <c r="AB3136">
        <v>26</v>
      </c>
      <c r="AC3136">
        <v>0.45139999999997799</v>
      </c>
      <c r="AD3136">
        <v>-0.12026969999999899</v>
      </c>
      <c r="AE3136">
        <v>-0.65169999999997597</v>
      </c>
      <c r="AF3136">
        <v>-0.42889792516415598</v>
      </c>
      <c r="AG3136">
        <v>-0.12026969999999899</v>
      </c>
      <c r="AH3136">
        <v>0.64541519999124597</v>
      </c>
      <c r="AI3136">
        <v>98.821980262699796</v>
      </c>
      <c r="AJ3136">
        <v>123.60524024057401</v>
      </c>
      <c r="AK3136">
        <v>0.78420597506519196</v>
      </c>
      <c r="AL3136">
        <v>82.650945042221693</v>
      </c>
      <c r="AM3136">
        <v>104.390678649348</v>
      </c>
      <c r="AN3136">
        <v>1.0000000569529</v>
      </c>
    </row>
    <row r="3137" spans="1:40" x14ac:dyDescent="0.25">
      <c r="A3137" t="str">
        <f>"20190312164047782"</f>
        <v>20190312164047782</v>
      </c>
      <c r="B3137" t="str">
        <f>"1552380047779118"</f>
        <v>1552380047779118</v>
      </c>
      <c r="C3137" t="s">
        <v>40</v>
      </c>
      <c r="D3137">
        <v>5.4703869999999997</v>
      </c>
      <c r="E3137">
        <v>0.40455740000000001</v>
      </c>
      <c r="F3137" t="s">
        <v>42</v>
      </c>
      <c r="G3137">
        <v>-492.51690000000002</v>
      </c>
      <c r="H3137">
        <v>0.98185109999999998</v>
      </c>
      <c r="I3137">
        <v>239.2998</v>
      </c>
      <c r="J3137">
        <v>-493.0104</v>
      </c>
      <c r="K3137">
        <v>1.1128880000000001</v>
      </c>
      <c r="L3137">
        <v>239.96510000000001</v>
      </c>
      <c r="M3137">
        <v>2.2182190000000001E-2</v>
      </c>
      <c r="N3137">
        <v>0</v>
      </c>
      <c r="O3137">
        <v>-0.99966350000000004</v>
      </c>
      <c r="P3137">
        <v>0.27239150000000001</v>
      </c>
      <c r="Q3137">
        <v>0.1152651</v>
      </c>
      <c r="R3137">
        <v>-0.95525800000000005</v>
      </c>
      <c r="S3137">
        <v>1.5788879999999901</v>
      </c>
      <c r="T3137">
        <v>-0.41284120000000002</v>
      </c>
      <c r="U3137">
        <v>-2.7479399999999998</v>
      </c>
      <c r="V3137">
        <v>-0.25192789999999998</v>
      </c>
      <c r="W3137">
        <v>0.12661789999999901</v>
      </c>
      <c r="X3137">
        <v>0.95942709999999998</v>
      </c>
      <c r="Y3137">
        <v>-0.47462460000000001</v>
      </c>
      <c r="Z3137">
        <v>0.1298694</v>
      </c>
      <c r="AA3137">
        <v>0.87055469999999902</v>
      </c>
      <c r="AB3137">
        <v>26</v>
      </c>
      <c r="AC3137">
        <v>0.49349999999998301</v>
      </c>
      <c r="AD3137">
        <v>-0.13103689999999901</v>
      </c>
      <c r="AE3137">
        <v>-0.665300000000002</v>
      </c>
      <c r="AF3137">
        <v>-0.46693479885653399</v>
      </c>
      <c r="AG3137">
        <v>-0.13103689999999901</v>
      </c>
      <c r="AH3137">
        <v>0.65957882903418696</v>
      </c>
      <c r="AI3137">
        <v>99.210264443764402</v>
      </c>
      <c r="AJ3137">
        <v>125.295773424611</v>
      </c>
      <c r="AK3137">
        <v>0.81868370403649204</v>
      </c>
      <c r="AL3137">
        <v>82.725803364639404</v>
      </c>
      <c r="AM3137">
        <v>104.712677587909</v>
      </c>
      <c r="AN3137">
        <v>1.0000000598066101</v>
      </c>
    </row>
    <row r="3138" spans="1:40" x14ac:dyDescent="0.25">
      <c r="A3138" t="str">
        <f>"20190312164047793"</f>
        <v>20190312164047793</v>
      </c>
      <c r="B3138" t="str">
        <f>"1552380047779118"</f>
        <v>1552380047779118</v>
      </c>
      <c r="C3138" t="s">
        <v>40</v>
      </c>
      <c r="D3138">
        <v>5.4703869999999997</v>
      </c>
      <c r="E3138">
        <v>0.40455740000000001</v>
      </c>
      <c r="F3138" t="s">
        <v>42</v>
      </c>
      <c r="G3138">
        <v>-492.48860000000002</v>
      </c>
      <c r="H3138">
        <v>0.97737269999999998</v>
      </c>
      <c r="I3138">
        <v>239.07480000000001</v>
      </c>
      <c r="J3138">
        <v>-493.00529999999998</v>
      </c>
      <c r="K3138">
        <v>1.11291299999999</v>
      </c>
      <c r="L3138">
        <v>239.828</v>
      </c>
      <c r="M3138">
        <v>2.415985E-2</v>
      </c>
      <c r="N3138">
        <v>0</v>
      </c>
      <c r="O3138">
        <v>-0.9996176</v>
      </c>
      <c r="P3138">
        <v>0.27687139999999999</v>
      </c>
      <c r="Q3138">
        <v>0.11510869999999999</v>
      </c>
      <c r="R3138">
        <v>-0.95398780000000005</v>
      </c>
      <c r="S3138">
        <v>1.602692</v>
      </c>
      <c r="T3138">
        <v>-0.41608830000000002</v>
      </c>
      <c r="U3138">
        <v>-2.7336429999999998</v>
      </c>
      <c r="V3138">
        <v>-0.25454260000000001</v>
      </c>
      <c r="W3138">
        <v>0.12642110000000001</v>
      </c>
      <c r="X3138">
        <v>0.95876260000000002</v>
      </c>
      <c r="Y3138">
        <v>-0.48043249999999998</v>
      </c>
      <c r="Z3138">
        <v>0.1309612</v>
      </c>
      <c r="AA3138">
        <v>0.86719880000000005</v>
      </c>
      <c r="AB3138">
        <v>26</v>
      </c>
      <c r="AC3138">
        <v>0.51669999999995697</v>
      </c>
      <c r="AD3138">
        <v>-0.135540299999999</v>
      </c>
      <c r="AE3138">
        <v>-0.75319999999999199</v>
      </c>
      <c r="AF3138">
        <v>-0.48761299458608498</v>
      </c>
      <c r="AG3138">
        <v>-0.135540299999999</v>
      </c>
      <c r="AH3138">
        <v>0.74897215129557504</v>
      </c>
      <c r="AI3138">
        <v>98.623732751523903</v>
      </c>
      <c r="AJ3138">
        <v>123.065853338091</v>
      </c>
      <c r="AK3138">
        <v>0.90393411752716901</v>
      </c>
      <c r="AL3138">
        <v>82.737169909788307</v>
      </c>
      <c r="AM3138">
        <v>104.86849665651999</v>
      </c>
      <c r="AN3138">
        <v>0.999999976449364</v>
      </c>
    </row>
    <row r="3139" spans="1:40" x14ac:dyDescent="0.25">
      <c r="A3139" t="str">
        <f>"20190312164047806"</f>
        <v>20190312164047806</v>
      </c>
      <c r="B3139" t="str">
        <f>"1552380047799616"</f>
        <v>1552380047799616</v>
      </c>
      <c r="C3139" t="s">
        <v>40</v>
      </c>
      <c r="D3139">
        <v>5.480448</v>
      </c>
      <c r="E3139">
        <v>0.4045552</v>
      </c>
      <c r="F3139" t="s">
        <v>42</v>
      </c>
      <c r="G3139">
        <v>-492.55040000000002</v>
      </c>
      <c r="H3139">
        <v>0.99543970000000004</v>
      </c>
      <c r="I3139">
        <v>239.0598</v>
      </c>
      <c r="J3139">
        <v>-492.99950000000001</v>
      </c>
      <c r="K3139">
        <v>1.1129359999999999</v>
      </c>
      <c r="L3139">
        <v>239.68350000000001</v>
      </c>
      <c r="M3139">
        <v>2.6272299999999998E-2</v>
      </c>
      <c r="N3139">
        <v>0</v>
      </c>
      <c r="O3139">
        <v>-0.99956429999999996</v>
      </c>
      <c r="P3139">
        <v>0.28123219999999999</v>
      </c>
      <c r="Q3139">
        <v>0.1150323</v>
      </c>
      <c r="R3139">
        <v>-0.95272049999999997</v>
      </c>
      <c r="S3139">
        <v>1.61496</v>
      </c>
      <c r="T3139">
        <v>-0.4168963</v>
      </c>
      <c r="U3139">
        <v>-2.7262879999999998</v>
      </c>
      <c r="V3139">
        <v>-0.25691380000000003</v>
      </c>
      <c r="W3139">
        <v>0.12630430000000001</v>
      </c>
      <c r="X3139">
        <v>0.95814540000000004</v>
      </c>
      <c r="Y3139">
        <v>-0.48247649999999997</v>
      </c>
      <c r="Z3139">
        <v>0.13128399999999901</v>
      </c>
      <c r="AA3139">
        <v>0.86601439999999996</v>
      </c>
      <c r="AB3139">
        <v>26</v>
      </c>
      <c r="AC3139">
        <v>0.44909999999998701</v>
      </c>
      <c r="AD3139">
        <v>-0.1174963</v>
      </c>
      <c r="AE3139">
        <v>-0.62370000000001302</v>
      </c>
      <c r="AF3139">
        <v>-0.42267879166712202</v>
      </c>
      <c r="AG3139">
        <v>-0.1174963</v>
      </c>
      <c r="AH3139">
        <v>0.62077615109699202</v>
      </c>
      <c r="AI3139">
        <v>98.891869461975801</v>
      </c>
      <c r="AJ3139">
        <v>124.25046381567</v>
      </c>
      <c r="AK3139">
        <v>0.76014851917876203</v>
      </c>
      <c r="AL3139">
        <v>82.743916613562902</v>
      </c>
      <c r="AM3139">
        <v>105.010015124606</v>
      </c>
      <c r="AN3139">
        <v>1.0000000421850399</v>
      </c>
    </row>
    <row r="3140" spans="1:40" x14ac:dyDescent="0.25">
      <c r="A3140" t="str">
        <f>"20190312164047822"</f>
        <v>20190312164047822</v>
      </c>
      <c r="B3140" t="str">
        <f>"1552380047809374"</f>
        <v>1552380047809374</v>
      </c>
      <c r="C3140" t="s">
        <v>40</v>
      </c>
      <c r="D3140">
        <v>5.5112259999999997</v>
      </c>
      <c r="E3140">
        <v>0.40450340000000001</v>
      </c>
      <c r="F3140" t="s">
        <v>42</v>
      </c>
      <c r="G3140">
        <v>-492.4957</v>
      </c>
      <c r="H3140">
        <v>0.98407</v>
      </c>
      <c r="I3140">
        <v>238.84139999999999</v>
      </c>
      <c r="J3140">
        <v>-492.99209999999999</v>
      </c>
      <c r="K3140">
        <v>1.1129770000000001</v>
      </c>
      <c r="L3140">
        <v>239.5061</v>
      </c>
      <c r="M3140">
        <v>2.8900820000000001E-2</v>
      </c>
      <c r="N3140">
        <v>0</v>
      </c>
      <c r="O3140">
        <v>-0.99949160000000004</v>
      </c>
      <c r="P3140">
        <v>0.28594629999999999</v>
      </c>
      <c r="Q3140">
        <v>0.1150616</v>
      </c>
      <c r="R3140">
        <v>-0.95131250000000001</v>
      </c>
      <c r="S3140">
        <v>1.627319</v>
      </c>
      <c r="T3140">
        <v>-0.41601490000000002</v>
      </c>
      <c r="U3140">
        <v>-2.7187190000000001</v>
      </c>
      <c r="V3140">
        <v>-0.25915460000000001</v>
      </c>
      <c r="W3140">
        <v>0.1262887</v>
      </c>
      <c r="X3140">
        <v>0.95754379999999994</v>
      </c>
      <c r="Y3140">
        <v>-0.4841529</v>
      </c>
      <c r="Z3140">
        <v>0.1311013</v>
      </c>
      <c r="AA3140">
        <v>0.86510599999999904</v>
      </c>
      <c r="AB3140">
        <v>26</v>
      </c>
      <c r="AC3140">
        <v>0.49639999999999401</v>
      </c>
      <c r="AD3140">
        <v>-0.12890699999999999</v>
      </c>
      <c r="AE3140">
        <v>-0.66470000000000995</v>
      </c>
      <c r="AF3140">
        <v>-0.46573565427202201</v>
      </c>
      <c r="AG3140">
        <v>-0.12890699999999999</v>
      </c>
      <c r="AH3140">
        <v>0.66276792792055195</v>
      </c>
      <c r="AI3140">
        <v>99.041993090234399</v>
      </c>
      <c r="AJ3140">
        <v>125.096212635461</v>
      </c>
      <c r="AK3140">
        <v>0.820236575988471</v>
      </c>
      <c r="AL3140">
        <v>82.744817595219203</v>
      </c>
      <c r="AM3140">
        <v>105.144023106026</v>
      </c>
      <c r="AN3140">
        <v>1.00000003568364</v>
      </c>
    </row>
    <row r="3141" spans="1:40" x14ac:dyDescent="0.25">
      <c r="A3141" t="str">
        <f>"20190312164047843"</f>
        <v>20190312164047843</v>
      </c>
      <c r="B3141" t="str">
        <f>"1552380047839630"</f>
        <v>1552380047839630</v>
      </c>
      <c r="C3141" t="s">
        <v>40</v>
      </c>
      <c r="D3141">
        <v>5.5234959999999997</v>
      </c>
      <c r="E3141">
        <v>0.40447880000000003</v>
      </c>
      <c r="F3141" t="s">
        <v>42</v>
      </c>
      <c r="G3141">
        <v>-492.4554</v>
      </c>
      <c r="H3141">
        <v>0.97718689999999997</v>
      </c>
      <c r="I3141">
        <v>238.6198</v>
      </c>
      <c r="J3141">
        <v>-492.98110000000003</v>
      </c>
      <c r="K3141">
        <v>1.1130420000000001</v>
      </c>
      <c r="L3141">
        <v>239.26589999999999</v>
      </c>
      <c r="M3141">
        <v>3.2549719999999997E-2</v>
      </c>
      <c r="N3141">
        <v>0</v>
      </c>
      <c r="O3141">
        <v>-0.99937949999999998</v>
      </c>
      <c r="P3141">
        <v>0.29283100000000001</v>
      </c>
      <c r="Q3141">
        <v>0.114908</v>
      </c>
      <c r="R3141">
        <v>-0.94923480000000005</v>
      </c>
      <c r="S3141">
        <v>1.6411739999999999</v>
      </c>
      <c r="T3141">
        <v>-0.41528559999999998</v>
      </c>
      <c r="U3141">
        <v>-2.7104490000000001</v>
      </c>
      <c r="V3141">
        <v>-0.26261820000000002</v>
      </c>
      <c r="W3141">
        <v>0.12606300000000001</v>
      </c>
      <c r="X3141">
        <v>0.95662939999999996</v>
      </c>
      <c r="Y3141">
        <v>-0.48538170000000003</v>
      </c>
      <c r="Z3141">
        <v>0.13098479999999901</v>
      </c>
      <c r="AA3141">
        <v>0.86443479999999995</v>
      </c>
      <c r="AB3141">
        <v>26</v>
      </c>
      <c r="AC3141">
        <v>0.52570000000002803</v>
      </c>
      <c r="AD3141">
        <v>-0.13585510000000001</v>
      </c>
      <c r="AE3141">
        <v>-0.64609999999998902</v>
      </c>
      <c r="AF3141">
        <v>-0.49131904975812801</v>
      </c>
      <c r="AG3141">
        <v>-0.13585510000000001</v>
      </c>
      <c r="AH3141">
        <v>0.64569378283492596</v>
      </c>
      <c r="AI3141">
        <v>99.505425819708407</v>
      </c>
      <c r="AJ3141">
        <v>127.268104827681</v>
      </c>
      <c r="AK3141">
        <v>0.82266121705287398</v>
      </c>
      <c r="AL3141">
        <v>82.757853204975206</v>
      </c>
      <c r="AM3141">
        <v>105.35091907791799</v>
      </c>
      <c r="AN3141">
        <v>1.00000000394229</v>
      </c>
    </row>
    <row r="3142" spans="1:40" x14ac:dyDescent="0.25">
      <c r="A3142" t="str">
        <f>"20190312164047863"</f>
        <v>20190312164047863</v>
      </c>
      <c r="B3142" t="str">
        <f>"1552380047859150"</f>
        <v>1552380047859150</v>
      </c>
      <c r="C3142" t="s">
        <v>40</v>
      </c>
      <c r="D3142">
        <v>5.5607660000000001</v>
      </c>
      <c r="E3142">
        <v>0.40448190000000001</v>
      </c>
      <c r="F3142" t="s">
        <v>42</v>
      </c>
      <c r="G3142">
        <v>-492.4427</v>
      </c>
      <c r="H3142">
        <v>0.97897730000000005</v>
      </c>
      <c r="I3142">
        <v>238.39150000000001</v>
      </c>
      <c r="J3142">
        <v>-492.9699</v>
      </c>
      <c r="K3142">
        <v>1.1131089999999999</v>
      </c>
      <c r="L3142">
        <v>239.04</v>
      </c>
      <c r="M3142">
        <v>3.607026E-2</v>
      </c>
      <c r="N3142">
        <v>0</v>
      </c>
      <c r="O3142">
        <v>-0.99925850000000005</v>
      </c>
      <c r="P3142">
        <v>0.29962610000000001</v>
      </c>
      <c r="Q3142">
        <v>0.1148682</v>
      </c>
      <c r="R3142">
        <v>-0.94711659999999998</v>
      </c>
      <c r="S3142">
        <v>1.6614070000000001</v>
      </c>
      <c r="T3142">
        <v>-0.41361419999999999</v>
      </c>
      <c r="U3142">
        <v>-2.6979829999999998</v>
      </c>
      <c r="V3142">
        <v>-0.26612819999999998</v>
      </c>
      <c r="W3142">
        <v>0.12594810000000001</v>
      </c>
      <c r="X3142">
        <v>0.95567400000000002</v>
      </c>
      <c r="Y3142">
        <v>-0.48881940000000002</v>
      </c>
      <c r="Z3142">
        <v>0.13058330000000001</v>
      </c>
      <c r="AA3142">
        <v>0.86255649999999995</v>
      </c>
      <c r="AB3142">
        <v>26</v>
      </c>
      <c r="AC3142">
        <v>0.52719999999999301</v>
      </c>
      <c r="AD3142">
        <v>-0.13413169999999899</v>
      </c>
      <c r="AE3142">
        <v>-0.64849999999998398</v>
      </c>
      <c r="AF3142">
        <v>-0.49082092851696202</v>
      </c>
      <c r="AG3142">
        <v>-0.13413169999999899</v>
      </c>
      <c r="AH3142">
        <v>0.650344718453568</v>
      </c>
      <c r="AI3142">
        <v>99.348457580593902</v>
      </c>
      <c r="AJ3142">
        <v>127.04217874027501</v>
      </c>
      <c r="AK3142">
        <v>0.82573891130041399</v>
      </c>
      <c r="AL3142">
        <v>82.764489125639201</v>
      </c>
      <c r="AM3142">
        <v>105.561017184669</v>
      </c>
      <c r="AN3142">
        <v>0.99999996850242401</v>
      </c>
    </row>
    <row r="3143" spans="1:40" x14ac:dyDescent="0.25">
      <c r="A3143" t="str">
        <f>"20190312164047884"</f>
        <v>20190312164047884</v>
      </c>
      <c r="B3143" t="str">
        <f>"1552380047878670"</f>
        <v>1552380047878670</v>
      </c>
      <c r="C3143" t="s">
        <v>40</v>
      </c>
      <c r="D3143">
        <v>5.5534330000000001</v>
      </c>
      <c r="E3143">
        <v>0.40451280000000001</v>
      </c>
      <c r="F3143" t="s">
        <v>42</v>
      </c>
      <c r="G3143">
        <v>-492.42259999999999</v>
      </c>
      <c r="H3143">
        <v>0.9786279</v>
      </c>
      <c r="I3143">
        <v>238.1652</v>
      </c>
      <c r="J3143">
        <v>-492.95600000000002</v>
      </c>
      <c r="K3143">
        <v>1.113194</v>
      </c>
      <c r="L3143">
        <v>238.78290000000001</v>
      </c>
      <c r="M3143">
        <v>4.0192159999999998E-2</v>
      </c>
      <c r="N3143">
        <v>0</v>
      </c>
      <c r="O3143">
        <v>-0.99910100000000002</v>
      </c>
      <c r="P3143">
        <v>0.30676239999999999</v>
      </c>
      <c r="Q3143">
        <v>0.11554150000000001</v>
      </c>
      <c r="R3143">
        <v>-0.944747</v>
      </c>
      <c r="S3143">
        <v>1.6800539999999999</v>
      </c>
      <c r="T3143">
        <v>-0.41293049999999998</v>
      </c>
      <c r="U3143">
        <v>-2.6860499999999998</v>
      </c>
      <c r="V3143">
        <v>-0.2694319</v>
      </c>
      <c r="W3143">
        <v>0.12653889999999901</v>
      </c>
      <c r="X3143">
        <v>0.95466980000000001</v>
      </c>
      <c r="Y3143">
        <v>-0.49126180000000003</v>
      </c>
      <c r="Z3143">
        <v>0.13051099999999999</v>
      </c>
      <c r="AA3143">
        <v>0.86117869999999996</v>
      </c>
      <c r="AB3143">
        <v>26</v>
      </c>
      <c r="AC3143">
        <v>0.53339999999997101</v>
      </c>
      <c r="AD3143">
        <v>-0.13456609999999999</v>
      </c>
      <c r="AE3143">
        <v>-0.61770000000001302</v>
      </c>
      <c r="AF3143">
        <v>-0.494691078439988</v>
      </c>
      <c r="AG3143">
        <v>-0.13456609999999999</v>
      </c>
      <c r="AH3143">
        <v>0.62173838707755302</v>
      </c>
      <c r="AI3143">
        <v>99.612717899957502</v>
      </c>
      <c r="AJ3143">
        <v>128.50779012878601</v>
      </c>
      <c r="AK3143">
        <v>0.80584484879108498</v>
      </c>
      <c r="AL3143">
        <v>82.730366248480706</v>
      </c>
      <c r="AM3143">
        <v>105.76040507516301</v>
      </c>
      <c r="AN3143">
        <v>1.0000000344914199</v>
      </c>
    </row>
    <row r="3144" spans="1:40" x14ac:dyDescent="0.25">
      <c r="A3144" t="str">
        <f>"20190312164047906"</f>
        <v>20190312164047906</v>
      </c>
      <c r="B3144" t="str">
        <f>"1552380047899167"</f>
        <v>1552380047899167</v>
      </c>
      <c r="C3144" t="s">
        <v>40</v>
      </c>
      <c r="D3144">
        <v>5.5847369999999996</v>
      </c>
      <c r="E3144">
        <v>0.40459020000000001</v>
      </c>
      <c r="F3144" t="s">
        <v>42</v>
      </c>
      <c r="G3144">
        <v>-492.41750000000002</v>
      </c>
      <c r="H3144">
        <v>0.98289360000000003</v>
      </c>
      <c r="I3144">
        <v>237.93510000000001</v>
      </c>
      <c r="J3144">
        <v>-492.94130000000001</v>
      </c>
      <c r="K3144">
        <v>1.1132869999999999</v>
      </c>
      <c r="L3144">
        <v>238.53190000000001</v>
      </c>
      <c r="M3144">
        <v>4.4341520000000002E-2</v>
      </c>
      <c r="N3144">
        <v>0</v>
      </c>
      <c r="O3144">
        <v>-0.99892550000000002</v>
      </c>
      <c r="P3144">
        <v>0.31414379999999997</v>
      </c>
      <c r="Q3144">
        <v>0.11700190000000001</v>
      </c>
      <c r="R3144">
        <v>-0.94213860000000005</v>
      </c>
      <c r="S3144">
        <v>1.69894399999999</v>
      </c>
      <c r="T3144">
        <v>-0.41093800000000003</v>
      </c>
      <c r="U3144">
        <v>-2.6740569999999999</v>
      </c>
      <c r="V3144">
        <v>-0.27298230000000001</v>
      </c>
      <c r="W3144">
        <v>0.127911</v>
      </c>
      <c r="X3144">
        <v>0.95347760000000004</v>
      </c>
      <c r="Y3144">
        <v>-0.49377100000000002</v>
      </c>
      <c r="Z3144">
        <v>0.1300219</v>
      </c>
      <c r="AA3144">
        <v>0.85981659999999904</v>
      </c>
      <c r="AB3144">
        <v>26</v>
      </c>
      <c r="AC3144">
        <v>0.52379999999999405</v>
      </c>
      <c r="AD3144">
        <v>-0.13039339999999999</v>
      </c>
      <c r="AE3144">
        <v>-0.596800000000001</v>
      </c>
      <c r="AF3144">
        <v>-0.48377430239847702</v>
      </c>
      <c r="AG3144">
        <v>-0.13039339999999999</v>
      </c>
      <c r="AH3144">
        <v>0.60317642878549305</v>
      </c>
      <c r="AI3144">
        <v>99.572197266747693</v>
      </c>
      <c r="AJ3144">
        <v>128.73116261228901</v>
      </c>
      <c r="AK3144">
        <v>0.78413125091856595</v>
      </c>
      <c r="AL3144">
        <v>82.651106724630495</v>
      </c>
      <c r="AM3144">
        <v>105.97650967142</v>
      </c>
      <c r="AN3144">
        <v>1.0000000468680199</v>
      </c>
    </row>
    <row r="3145" spans="1:40" x14ac:dyDescent="0.25">
      <c r="A3145" t="str">
        <f>"20190312164047929"</f>
        <v>20190312164047929</v>
      </c>
      <c r="B3145" t="str">
        <f>"1552380047919663"</f>
        <v>1552380047919663</v>
      </c>
      <c r="C3145" t="s">
        <v>40</v>
      </c>
      <c r="D3145">
        <v>5.6081690000000002</v>
      </c>
      <c r="E3145">
        <v>0.40467160000000002</v>
      </c>
      <c r="F3145" t="s">
        <v>42</v>
      </c>
      <c r="G3145">
        <v>-492.40820000000002</v>
      </c>
      <c r="H3145">
        <v>0.98717109999999997</v>
      </c>
      <c r="I3145">
        <v>237.70609999999999</v>
      </c>
      <c r="J3145">
        <v>-492.92430000000002</v>
      </c>
      <c r="K3145">
        <v>1.1133759999999999</v>
      </c>
      <c r="L3145">
        <v>238.26509999999999</v>
      </c>
      <c r="M3145">
        <v>4.8898280000000002E-2</v>
      </c>
      <c r="N3145">
        <v>0</v>
      </c>
      <c r="O3145">
        <v>-0.99871279999999996</v>
      </c>
      <c r="P3145">
        <v>0.32223980000000002</v>
      </c>
      <c r="Q3145">
        <v>0.11849030000000001</v>
      </c>
      <c r="R3145">
        <v>-0.93921330000000003</v>
      </c>
      <c r="S3145">
        <v>1.718445</v>
      </c>
      <c r="T3145">
        <v>-0.40648499999999999</v>
      </c>
      <c r="U3145">
        <v>-2.661743</v>
      </c>
      <c r="V3145">
        <v>-0.27688970000000002</v>
      </c>
      <c r="W3145">
        <v>0.12930120000000001</v>
      </c>
      <c r="X3145">
        <v>0.95216239999999996</v>
      </c>
      <c r="Y3145">
        <v>-0.49616300000000002</v>
      </c>
      <c r="Z3145">
        <v>0.12876609999999999</v>
      </c>
      <c r="AA3145">
        <v>0.85862769999999999</v>
      </c>
      <c r="AB3145">
        <v>26</v>
      </c>
      <c r="AC3145">
        <v>0.51609999999999401</v>
      </c>
      <c r="AD3145">
        <v>-0.12620489999999901</v>
      </c>
      <c r="AE3145">
        <v>-0.55899999999999705</v>
      </c>
      <c r="AF3145">
        <v>-0.475073511149395</v>
      </c>
      <c r="AG3145">
        <v>-0.12620489999999901</v>
      </c>
      <c r="AH3145">
        <v>0.56794207962746301</v>
      </c>
      <c r="AI3145">
        <v>99.672855084305695</v>
      </c>
      <c r="AJ3145">
        <v>129.91188601458299</v>
      </c>
      <c r="AK3145">
        <v>0.75111964665517295</v>
      </c>
      <c r="AL3145">
        <v>82.570786569527399</v>
      </c>
      <c r="AM3145">
        <v>106.21447926568599</v>
      </c>
      <c r="AN3145">
        <v>0.99999997113064398</v>
      </c>
    </row>
    <row r="3146" spans="1:40" x14ac:dyDescent="0.25">
      <c r="A3146" t="str">
        <f>"20190312164047943"</f>
        <v>20190312164047943</v>
      </c>
      <c r="B3146" t="str">
        <f>"1552380047939460"</f>
        <v>1552380047939460</v>
      </c>
      <c r="C3146" t="s">
        <v>40</v>
      </c>
      <c r="D3146">
        <v>5.6669970000000003</v>
      </c>
      <c r="E3146">
        <v>0.4048078</v>
      </c>
      <c r="F3146" t="s">
        <v>42</v>
      </c>
      <c r="G3146">
        <v>-492.40570000000002</v>
      </c>
      <c r="H3146">
        <v>0.99339259999999996</v>
      </c>
      <c r="I3146">
        <v>237.4753</v>
      </c>
      <c r="J3146">
        <v>-492.91410000000002</v>
      </c>
      <c r="K3146">
        <v>1.113429</v>
      </c>
      <c r="L3146">
        <v>238.11330000000001</v>
      </c>
      <c r="M3146">
        <v>5.1555509999999999E-2</v>
      </c>
      <c r="N3146">
        <v>0</v>
      </c>
      <c r="O3146">
        <v>-0.99857899999999999</v>
      </c>
      <c r="P3146">
        <v>0.32666220000000001</v>
      </c>
      <c r="Q3146">
        <v>0.11927210000000001</v>
      </c>
      <c r="R3146">
        <v>-0.93758549999999996</v>
      </c>
      <c r="S3146">
        <v>1.739563</v>
      </c>
      <c r="T3146">
        <v>-0.40226289999999998</v>
      </c>
      <c r="U3146">
        <v>-2.6480709999999998</v>
      </c>
      <c r="V3146">
        <v>-0.27887269999999997</v>
      </c>
      <c r="W3146">
        <v>0.13002839999999999</v>
      </c>
      <c r="X3146">
        <v>0.95148440000000001</v>
      </c>
      <c r="Y3146">
        <v>-0.50075859999999905</v>
      </c>
      <c r="Z3146">
        <v>0.1275384</v>
      </c>
      <c r="AA3146">
        <v>0.85613939999999999</v>
      </c>
      <c r="AB3146">
        <v>26</v>
      </c>
      <c r="AC3146">
        <v>0.50839999999999397</v>
      </c>
      <c r="AD3146">
        <v>-0.1200364</v>
      </c>
      <c r="AE3146">
        <v>-0.63800000000000501</v>
      </c>
      <c r="AF3146">
        <v>-0.464765937039683</v>
      </c>
      <c r="AG3146">
        <v>-0.1200364</v>
      </c>
      <c r="AH3146">
        <v>0.64930676545536303</v>
      </c>
      <c r="AI3146">
        <v>98.549079482206906</v>
      </c>
      <c r="AJ3146">
        <v>125.594629517972</v>
      </c>
      <c r="AK3146">
        <v>0.80747469881318301</v>
      </c>
      <c r="AL3146">
        <v>82.528766294730303</v>
      </c>
      <c r="AM3146">
        <v>106.335451832405</v>
      </c>
      <c r="AN3146">
        <v>0.99999996552760395</v>
      </c>
    </row>
    <row r="3147" spans="1:40" x14ac:dyDescent="0.25">
      <c r="A3147" t="str">
        <f>"20190312164047961"</f>
        <v>20190312164047961</v>
      </c>
      <c r="B3147" t="str">
        <f>"1552380047948944"</f>
        <v>1552380047948944</v>
      </c>
      <c r="C3147" t="s">
        <v>40</v>
      </c>
      <c r="D3147">
        <v>5.6289749999999996</v>
      </c>
      <c r="E3147">
        <v>0.40485789999999999</v>
      </c>
      <c r="F3147" t="s">
        <v>42</v>
      </c>
      <c r="G3147">
        <v>-492.34820000000002</v>
      </c>
      <c r="H3147">
        <v>0.98391430000000002</v>
      </c>
      <c r="I3147">
        <v>237.25960000000001</v>
      </c>
      <c r="J3147">
        <v>-492.89920000000001</v>
      </c>
      <c r="K3147">
        <v>1.113513</v>
      </c>
      <c r="L3147">
        <v>237.90270000000001</v>
      </c>
      <c r="M3147">
        <v>5.5322700000000002E-2</v>
      </c>
      <c r="N3147">
        <v>0</v>
      </c>
      <c r="O3147">
        <v>-0.99837730000000002</v>
      </c>
      <c r="P3147">
        <v>0.33356029999999998</v>
      </c>
      <c r="Q3147">
        <v>0.1203866</v>
      </c>
      <c r="R3147">
        <v>-0.93501069999999997</v>
      </c>
      <c r="S3147">
        <v>1.7506710000000001</v>
      </c>
      <c r="T3147">
        <v>-0.40065659999999997</v>
      </c>
      <c r="U3147">
        <v>-2.6406710000000002</v>
      </c>
      <c r="V3147">
        <v>-0.28233530000000001</v>
      </c>
      <c r="W3147">
        <v>0.13105849999999999</v>
      </c>
      <c r="X3147">
        <v>0.95032130000000004</v>
      </c>
      <c r="Y3147">
        <v>-0.50113830000000004</v>
      </c>
      <c r="Z3147">
        <v>0.12714339999999999</v>
      </c>
      <c r="AA3147">
        <v>0.85597599999999996</v>
      </c>
      <c r="AB3147">
        <v>26</v>
      </c>
      <c r="AC3147">
        <v>0.55099999999998694</v>
      </c>
      <c r="AD3147">
        <v>-0.12959869999999901</v>
      </c>
      <c r="AE3147">
        <v>-0.643100000000004</v>
      </c>
      <c r="AF3147">
        <v>-0.502799520767237</v>
      </c>
      <c r="AG3147">
        <v>-0.12959869999999901</v>
      </c>
      <c r="AH3147">
        <v>0.65720913475406295</v>
      </c>
      <c r="AI3147">
        <v>98.901218386249298</v>
      </c>
      <c r="AJ3147">
        <v>127.417887716702</v>
      </c>
      <c r="AK3147">
        <v>0.83757210312285202</v>
      </c>
      <c r="AL3147">
        <v>82.469237221944496</v>
      </c>
      <c r="AM3147">
        <v>106.546398743366</v>
      </c>
      <c r="AN3147">
        <v>1.0000000626410099</v>
      </c>
    </row>
    <row r="3148" spans="1:40" x14ac:dyDescent="0.25">
      <c r="A3148" t="str">
        <f>"20190312164047984"</f>
        <v>20190312164047984</v>
      </c>
      <c r="B3148" t="str">
        <f>"1552380047978829"</f>
        <v>1552380047978829</v>
      </c>
      <c r="C3148" t="s">
        <v>40</v>
      </c>
      <c r="D3148">
        <v>5.6026980000000002</v>
      </c>
      <c r="E3148">
        <v>0.4049894</v>
      </c>
      <c r="F3148" t="s">
        <v>42</v>
      </c>
      <c r="G3148">
        <v>-492.31689999999998</v>
      </c>
      <c r="H3148">
        <v>0.98248219999999997</v>
      </c>
      <c r="I3148">
        <v>237.03710000000001</v>
      </c>
      <c r="J3148">
        <v>-492.87979999999999</v>
      </c>
      <c r="K3148">
        <v>1.11359599999999</v>
      </c>
      <c r="L3148">
        <v>237.64680000000001</v>
      </c>
      <c r="M3148">
        <v>6.001306E-2</v>
      </c>
      <c r="N3148">
        <v>0</v>
      </c>
      <c r="O3148">
        <v>-0.9981061</v>
      </c>
      <c r="P3148">
        <v>0.34155249999999998</v>
      </c>
      <c r="Q3148">
        <v>0.1217868</v>
      </c>
      <c r="R3148">
        <v>-0.93193859999999995</v>
      </c>
      <c r="S3148">
        <v>1.769104</v>
      </c>
      <c r="T3148">
        <v>-0.39785150000000002</v>
      </c>
      <c r="U3148">
        <v>-2.6286160000000001</v>
      </c>
      <c r="V3148">
        <v>-0.2860567</v>
      </c>
      <c r="W3148">
        <v>0.1323646</v>
      </c>
      <c r="X3148">
        <v>0.94902640000000005</v>
      </c>
      <c r="Y3148">
        <v>-0.50308799999999998</v>
      </c>
      <c r="Z3148">
        <v>0.126392</v>
      </c>
      <c r="AA3148">
        <v>0.85494300000000001</v>
      </c>
      <c r="AB3148">
        <v>26</v>
      </c>
      <c r="AC3148">
        <v>0.56290000000001295</v>
      </c>
      <c r="AD3148">
        <v>-0.131113799999999</v>
      </c>
      <c r="AE3148">
        <v>-0.60970000000000302</v>
      </c>
      <c r="AF3148">
        <v>-0.51249731482632899</v>
      </c>
      <c r="AG3148">
        <v>-0.131113799999999</v>
      </c>
      <c r="AH3148">
        <v>0.626738626256089</v>
      </c>
      <c r="AI3148">
        <v>99.199099940801901</v>
      </c>
      <c r="AJ3148">
        <v>129.27358649853801</v>
      </c>
      <c r="AK3148">
        <v>0.82014976187035904</v>
      </c>
      <c r="AL3148">
        <v>82.393744782317697</v>
      </c>
      <c r="AM3148">
        <v>106.773921578396</v>
      </c>
      <c r="AN3148">
        <v>0.99999996542250402</v>
      </c>
    </row>
    <row r="3149" spans="1:40" x14ac:dyDescent="0.25">
      <c r="A3149" t="str">
        <f>"20190312164048007"</f>
        <v>20190312164048007</v>
      </c>
      <c r="B3149" t="str">
        <f>"1552380047999325"</f>
        <v>1552380047999325</v>
      </c>
      <c r="C3149" t="s">
        <v>40</v>
      </c>
      <c r="D3149">
        <v>5.6678879999999996</v>
      </c>
      <c r="E3149">
        <v>0.4050858</v>
      </c>
      <c r="F3149" t="s">
        <v>42</v>
      </c>
      <c r="G3149">
        <v>-492.30599999999998</v>
      </c>
      <c r="H3149">
        <v>0.98781319999999995</v>
      </c>
      <c r="I3149">
        <v>236.80879999999999</v>
      </c>
      <c r="J3149">
        <v>-492.85849999999999</v>
      </c>
      <c r="K3149">
        <v>1.1136619999999999</v>
      </c>
      <c r="L3149">
        <v>237.3845</v>
      </c>
      <c r="M3149">
        <v>6.4918699999999996E-2</v>
      </c>
      <c r="N3149">
        <v>0</v>
      </c>
      <c r="O3149">
        <v>-0.9977992</v>
      </c>
      <c r="P3149">
        <v>0.34816570000000002</v>
      </c>
      <c r="Q3149">
        <v>0.1220247</v>
      </c>
      <c r="R3149">
        <v>-0.92945739999999999</v>
      </c>
      <c r="S3149">
        <v>1.7897339999999999</v>
      </c>
      <c r="T3149">
        <v>-0.39245609999999997</v>
      </c>
      <c r="U3149">
        <v>-2.6144409999999998</v>
      </c>
      <c r="V3149">
        <v>-0.28816360000000002</v>
      </c>
      <c r="W3149">
        <v>0.13253709999999999</v>
      </c>
      <c r="X3149">
        <v>0.94836469999999995</v>
      </c>
      <c r="Y3149">
        <v>-0.50571569999999999</v>
      </c>
      <c r="Z3149">
        <v>0.1248485</v>
      </c>
      <c r="AA3149">
        <v>0.8536184</v>
      </c>
      <c r="AB3149">
        <v>26</v>
      </c>
      <c r="AC3149">
        <v>0.55250000000000898</v>
      </c>
      <c r="AD3149">
        <v>-0.12584880000000001</v>
      </c>
      <c r="AE3149">
        <v>-0.57570000000001098</v>
      </c>
      <c r="AF3149">
        <v>-0.50148257155829801</v>
      </c>
      <c r="AG3149">
        <v>-0.12584880000000001</v>
      </c>
      <c r="AH3149">
        <v>0.59554180507945098</v>
      </c>
      <c r="AI3149">
        <v>99.182048814425499</v>
      </c>
      <c r="AJ3149">
        <v>130.09942613000101</v>
      </c>
      <c r="AK3149">
        <v>0.78866515812190896</v>
      </c>
      <c r="AL3149">
        <v>82.383773471537395</v>
      </c>
      <c r="AM3149">
        <v>106.901569326999</v>
      </c>
      <c r="AN3149">
        <v>0.99999997372372895</v>
      </c>
    </row>
    <row r="3150" spans="1:40" x14ac:dyDescent="0.25">
      <c r="A3150" t="str">
        <f>"20190312164048024"</f>
        <v>20190312164048024</v>
      </c>
      <c r="B3150" t="str">
        <f>"1552380048018845"</f>
        <v>1552380048018845</v>
      </c>
      <c r="C3150" t="s">
        <v>40</v>
      </c>
      <c r="D3150">
        <v>5.6848159999999996</v>
      </c>
      <c r="E3150">
        <v>0.40517750000000002</v>
      </c>
      <c r="F3150" t="s">
        <v>42</v>
      </c>
      <c r="G3150">
        <v>-492.29950000000002</v>
      </c>
      <c r="H3150">
        <v>0.99252770000000001</v>
      </c>
      <c r="I3150">
        <v>236.57939999999999</v>
      </c>
      <c r="J3150">
        <v>-492.84160000000003</v>
      </c>
      <c r="K3150">
        <v>1.1137010000000001</v>
      </c>
      <c r="L3150">
        <v>237.1866</v>
      </c>
      <c r="M3150">
        <v>6.8668699999999999E-2</v>
      </c>
      <c r="N3150">
        <v>0</v>
      </c>
      <c r="O3150">
        <v>-0.99754799999999999</v>
      </c>
      <c r="P3150">
        <v>0.35500199999999998</v>
      </c>
      <c r="Q3150">
        <v>0.12238019999999999</v>
      </c>
      <c r="R3150">
        <v>-0.92682089999999995</v>
      </c>
      <c r="S3150">
        <v>1.8069759999999999</v>
      </c>
      <c r="T3150">
        <v>-0.39150940000000001</v>
      </c>
      <c r="U3150">
        <v>-2.6022340000000002</v>
      </c>
      <c r="V3150">
        <v>-0.29160649999999999</v>
      </c>
      <c r="W3150">
        <v>0.132826799999999</v>
      </c>
      <c r="X3150">
        <v>0.94727119999999998</v>
      </c>
      <c r="Y3150">
        <v>-0.50818620000000003</v>
      </c>
      <c r="Z3150">
        <v>0.12467010000000001</v>
      </c>
      <c r="AA3150">
        <v>0.85217619999999905</v>
      </c>
      <c r="AB3150">
        <v>26</v>
      </c>
      <c r="AC3150">
        <v>0.54210000000000402</v>
      </c>
      <c r="AD3150">
        <v>-0.1211733</v>
      </c>
      <c r="AE3150">
        <v>-0.60720000000000596</v>
      </c>
      <c r="AF3150">
        <v>-0.488299586902322</v>
      </c>
      <c r="AG3150">
        <v>-0.1211733</v>
      </c>
      <c r="AH3150">
        <v>0.62905478384464897</v>
      </c>
      <c r="AI3150">
        <v>98.6519915941563</v>
      </c>
      <c r="AJ3150">
        <v>127.82016399409601</v>
      </c>
      <c r="AK3150">
        <v>0.80549945765326703</v>
      </c>
      <c r="AL3150">
        <v>82.367027160900903</v>
      </c>
      <c r="AM3150">
        <v>107.110377925656</v>
      </c>
      <c r="AN3150">
        <v>1.00000001799496</v>
      </c>
    </row>
    <row r="3151" spans="1:40" x14ac:dyDescent="0.25">
      <c r="A3151" t="str">
        <f>"20190312164048040"</f>
        <v>20190312164048040</v>
      </c>
      <c r="B3151" t="str">
        <f>"1552380048029580"</f>
        <v>1552380048029580</v>
      </c>
      <c r="C3151" t="s">
        <v>40</v>
      </c>
      <c r="D3151">
        <v>5.7102870000000001</v>
      </c>
      <c r="E3151">
        <v>0.40527659999999999</v>
      </c>
      <c r="F3151" t="s">
        <v>42</v>
      </c>
      <c r="G3151">
        <v>-492.25880000000001</v>
      </c>
      <c r="H3151">
        <v>0.98898629999999998</v>
      </c>
      <c r="I3151">
        <v>236.35980000000001</v>
      </c>
      <c r="J3151">
        <v>-492.82589999999999</v>
      </c>
      <c r="K3151">
        <v>1.1137280000000001</v>
      </c>
      <c r="L3151">
        <v>237.01070000000001</v>
      </c>
      <c r="M3151">
        <v>7.2030750000000004E-2</v>
      </c>
      <c r="N3151">
        <v>0</v>
      </c>
      <c r="O3151">
        <v>-0.99731080000000005</v>
      </c>
      <c r="P3151">
        <v>0.36099110000000001</v>
      </c>
      <c r="Q3151">
        <v>0.12246659999999999</v>
      </c>
      <c r="R3151">
        <v>-0.92449300000000001</v>
      </c>
      <c r="S3151">
        <v>1.8250120000000001</v>
      </c>
      <c r="T3151">
        <v>-0.39060210000000001</v>
      </c>
      <c r="U3151">
        <v>-2.5894010000000001</v>
      </c>
      <c r="V3151">
        <v>-0.29455550000000003</v>
      </c>
      <c r="W3151">
        <v>0.1328627</v>
      </c>
      <c r="X3151">
        <v>0.94635329999999995</v>
      </c>
      <c r="Y3151">
        <v>-0.51125659999999995</v>
      </c>
      <c r="Z3151">
        <v>0.1244934</v>
      </c>
      <c r="AA3151">
        <v>0.85036350000000005</v>
      </c>
      <c r="AB3151">
        <v>26</v>
      </c>
      <c r="AC3151">
        <v>0.56709999999998195</v>
      </c>
      <c r="AD3151">
        <v>-0.124741699999999</v>
      </c>
      <c r="AE3151">
        <v>-0.65090000000000703</v>
      </c>
      <c r="AF3151">
        <v>-0.50812837249205201</v>
      </c>
      <c r="AG3151">
        <v>-0.124741699999999</v>
      </c>
      <c r="AH3151">
        <v>0.67594823000645299</v>
      </c>
      <c r="AI3151">
        <v>98.391314789802493</v>
      </c>
      <c r="AJ3151">
        <v>126.93316423995699</v>
      </c>
      <c r="AK3151">
        <v>0.85478707541654397</v>
      </c>
      <c r="AL3151">
        <v>82.364951741380196</v>
      </c>
      <c r="AM3151">
        <v>107.288921115496</v>
      </c>
      <c r="AN3151">
        <v>1.00000000402621</v>
      </c>
    </row>
    <row r="3152" spans="1:40" x14ac:dyDescent="0.25">
      <c r="A3152" t="str">
        <f>"20190312164048063"</f>
        <v>20190312164048063</v>
      </c>
      <c r="B3152" t="str">
        <f>"1552380048058860"</f>
        <v>1552380048058860</v>
      </c>
      <c r="C3152" t="s">
        <v>40</v>
      </c>
      <c r="D3152">
        <v>5.8244870000000004</v>
      </c>
      <c r="E3152">
        <v>0.40614270000000002</v>
      </c>
      <c r="F3152" t="s">
        <v>42</v>
      </c>
      <c r="G3152">
        <v>-492.20710000000003</v>
      </c>
      <c r="H3152">
        <v>0.98221139999999996</v>
      </c>
      <c r="I3152">
        <v>236.1437</v>
      </c>
      <c r="J3152">
        <v>-492.80099999999999</v>
      </c>
      <c r="K3152">
        <v>1.1137429999999999</v>
      </c>
      <c r="L3152">
        <v>236.74619999999999</v>
      </c>
      <c r="M3152">
        <v>7.7122350000000006E-2</v>
      </c>
      <c r="N3152">
        <v>0</v>
      </c>
      <c r="O3152">
        <v>-0.99692990000000004</v>
      </c>
      <c r="P3152">
        <v>0.36785889999999999</v>
      </c>
      <c r="Q3152">
        <v>0.1224404</v>
      </c>
      <c r="R3152">
        <v>-0.92178559999999998</v>
      </c>
      <c r="S3152">
        <v>1.840668</v>
      </c>
      <c r="T3152">
        <v>-0.39108979999999999</v>
      </c>
      <c r="U3152">
        <v>-2.5780940000000001</v>
      </c>
      <c r="V3152">
        <v>-0.29677249999999999</v>
      </c>
      <c r="W3152">
        <v>0.13279749999999901</v>
      </c>
      <c r="X3152">
        <v>0.94566950000000005</v>
      </c>
      <c r="Y3152">
        <v>-0.51204519999999998</v>
      </c>
      <c r="Z3152">
        <v>0.1247838</v>
      </c>
      <c r="AA3152">
        <v>0.84984629999999906</v>
      </c>
      <c r="AB3152">
        <v>26</v>
      </c>
      <c r="AC3152">
        <v>0.59389999999996201</v>
      </c>
      <c r="AD3152">
        <v>-0.131531599999999</v>
      </c>
      <c r="AE3152">
        <v>-0.60249999999999204</v>
      </c>
      <c r="AF3152">
        <v>-0.53278188551285799</v>
      </c>
      <c r="AG3152">
        <v>-0.131531599999999</v>
      </c>
      <c r="AH3152">
        <v>0.63125361480083597</v>
      </c>
      <c r="AI3152">
        <v>99.047368650982193</v>
      </c>
      <c r="AJ3152">
        <v>130.16456906376899</v>
      </c>
      <c r="AK3152">
        <v>0.83644379699315097</v>
      </c>
      <c r="AL3152">
        <v>82.368720394582098</v>
      </c>
      <c r="AM3152">
        <v>107.423038214248</v>
      </c>
      <c r="AN3152">
        <v>0.99999994799637304</v>
      </c>
    </row>
    <row r="3153" spans="1:40" x14ac:dyDescent="0.25">
      <c r="A3153" t="str">
        <f>"20190312164048085"</f>
        <v>20190312164048085</v>
      </c>
      <c r="B3153" t="str">
        <f>"1552380048078907"</f>
        <v>1552380048078907</v>
      </c>
      <c r="C3153" t="s">
        <v>40</v>
      </c>
      <c r="D3153">
        <v>5.6794140000000004</v>
      </c>
      <c r="E3153">
        <v>0.48418909999999998</v>
      </c>
      <c r="F3153" t="s">
        <v>42</v>
      </c>
      <c r="G3153">
        <v>-492.2004</v>
      </c>
      <c r="H3153">
        <v>0.98788819999999999</v>
      </c>
      <c r="I3153">
        <v>235.9143</v>
      </c>
      <c r="J3153">
        <v>-492.7758</v>
      </c>
      <c r="K3153">
        <v>1.11375</v>
      </c>
      <c r="L3153">
        <v>236.49189999999999</v>
      </c>
      <c r="M3153">
        <v>8.2039920000000002E-2</v>
      </c>
      <c r="N3153">
        <v>0</v>
      </c>
      <c r="O3153">
        <v>-0.99653749999999997</v>
      </c>
      <c r="P3153">
        <v>0.3737029</v>
      </c>
      <c r="Q3153">
        <v>0.1224996</v>
      </c>
      <c r="R3153">
        <v>-0.91942380000000001</v>
      </c>
      <c r="S3153">
        <v>1.852905</v>
      </c>
      <c r="T3153">
        <v>-0.38829989999999998</v>
      </c>
      <c r="U3153">
        <v>-2.5667110000000002</v>
      </c>
      <c r="V3153">
        <v>-0.2981162</v>
      </c>
      <c r="W3153">
        <v>0.13283719999999999</v>
      </c>
      <c r="X3153">
        <v>0.94524129999999995</v>
      </c>
      <c r="Y3153">
        <v>-0.51232040000000001</v>
      </c>
      <c r="Z3153">
        <v>0.1241082</v>
      </c>
      <c r="AA3153">
        <v>0.84977939999999996</v>
      </c>
      <c r="AB3153">
        <v>26</v>
      </c>
      <c r="AC3153">
        <v>0.57540000000000102</v>
      </c>
      <c r="AD3153">
        <v>-0.1258618</v>
      </c>
      <c r="AE3153">
        <v>-0.57759999999998901</v>
      </c>
      <c r="AF3153">
        <v>-0.51382404068656995</v>
      </c>
      <c r="AG3153">
        <v>-0.1258618</v>
      </c>
      <c r="AH3153">
        <v>0.60836421508262195</v>
      </c>
      <c r="AI3153">
        <v>98.981569841011705</v>
      </c>
      <c r="AJ3153">
        <v>130.18441559059201</v>
      </c>
      <c r="AK3153">
        <v>0.80620304866690395</v>
      </c>
      <c r="AL3153">
        <v>82.366426224672296</v>
      </c>
      <c r="AM3153">
        <v>107.50456292994799</v>
      </c>
      <c r="AN3153">
        <v>1.00000005281598</v>
      </c>
    </row>
    <row r="3154" spans="1:40" x14ac:dyDescent="0.25">
      <c r="A3154" t="str">
        <f>"20190312164048114"</f>
        <v>20190312164048114</v>
      </c>
      <c r="B3154" t="str">
        <f>"1552380048109164"</f>
        <v>1552380048109164</v>
      </c>
      <c r="C3154" t="s">
        <v>40</v>
      </c>
      <c r="D3154">
        <v>6.1216660000000003</v>
      </c>
      <c r="E3154">
        <v>0.50250329999999999</v>
      </c>
      <c r="F3154" t="s">
        <v>46</v>
      </c>
      <c r="G3154">
        <v>-486.02159999999998</v>
      </c>
      <c r="H3154" s="1">
        <v>3.3602579999999999E-6</v>
      </c>
      <c r="I3154">
        <v>221.86959999999999</v>
      </c>
      <c r="J3154">
        <v>-492.74299999999999</v>
      </c>
      <c r="K3154">
        <v>1.113758</v>
      </c>
      <c r="L3154">
        <v>236.17859999999999</v>
      </c>
      <c r="M3154">
        <v>8.8108370000000005E-2</v>
      </c>
      <c r="N3154">
        <v>0</v>
      </c>
      <c r="O3154">
        <v>-0.99601910000000005</v>
      </c>
      <c r="P3154">
        <v>0.38031120000000002</v>
      </c>
      <c r="Q3154">
        <v>0.12300229999999999</v>
      </c>
      <c r="R3154">
        <v>-0.91664270000000003</v>
      </c>
      <c r="S3154">
        <v>1.2798769999999999</v>
      </c>
      <c r="T3154">
        <v>-0.2110475</v>
      </c>
      <c r="U3154">
        <v>-2.7708279999999998</v>
      </c>
      <c r="V3154">
        <v>-0.29917470000000002</v>
      </c>
      <c r="W3154">
        <v>0.13332729999999901</v>
      </c>
      <c r="X3154">
        <v>0.9448377</v>
      </c>
      <c r="Y3154">
        <v>-0.33669139999999997</v>
      </c>
      <c r="Z3154">
        <v>6.9770460000000006E-2</v>
      </c>
      <c r="AA3154">
        <v>0.93902660000000004</v>
      </c>
      <c r="AB3154">
        <v>26</v>
      </c>
      <c r="AC3154">
        <v>6.7214000000000702</v>
      </c>
      <c r="AD3154">
        <v>-1.113754639742</v>
      </c>
      <c r="AE3154">
        <v>-14.3089999999999</v>
      </c>
      <c r="AF3154">
        <v>-5.4075577315928296</v>
      </c>
      <c r="AG3154">
        <v>-1.113754639742</v>
      </c>
      <c r="AH3154">
        <v>14.772287169146701</v>
      </c>
      <c r="AI3154">
        <v>94.049800968994603</v>
      </c>
      <c r="AJ3154">
        <v>110.105706244915</v>
      </c>
      <c r="AK3154">
        <v>15.7703074867231</v>
      </c>
      <c r="AL3154">
        <v>82.338092942903998</v>
      </c>
      <c r="AM3154">
        <v>107.56994126508501</v>
      </c>
      <c r="AN3154">
        <v>0.99999997469333402</v>
      </c>
    </row>
    <row r="3155" spans="1:40" x14ac:dyDescent="0.25">
      <c r="A3155" t="str">
        <f>"20190312164048129"</f>
        <v>20190312164048129</v>
      </c>
      <c r="B3155" t="str">
        <f>"1552380048118935"</f>
        <v>1552380048118935</v>
      </c>
      <c r="C3155" t="s">
        <v>40</v>
      </c>
      <c r="D3155">
        <v>5.9120650000000001</v>
      </c>
      <c r="E3155">
        <v>0.50508829999999905</v>
      </c>
      <c r="F3155" t="s">
        <v>46</v>
      </c>
      <c r="G3155">
        <v>-486.36829999999998</v>
      </c>
      <c r="H3155" s="1">
        <v>3.1516029999999999E-6</v>
      </c>
      <c r="I3155">
        <v>220.7621</v>
      </c>
      <c r="J3155">
        <v>-492.72329999999999</v>
      </c>
      <c r="K3155">
        <v>1.113756</v>
      </c>
      <c r="L3155">
        <v>235.9984</v>
      </c>
      <c r="M3155">
        <v>9.1601669999999996E-2</v>
      </c>
      <c r="N3155">
        <v>0</v>
      </c>
      <c r="O3155">
        <v>-0.99570380000000003</v>
      </c>
      <c r="P3155">
        <v>0.38391890000000001</v>
      </c>
      <c r="Q3155">
        <v>0.1236006</v>
      </c>
      <c r="R3155">
        <v>-0.91505689999999995</v>
      </c>
      <c r="S3155">
        <v>1.1647639999999999</v>
      </c>
      <c r="T3155">
        <v>-0.20350119999999999</v>
      </c>
      <c r="U3155">
        <v>-2.8168489999999999</v>
      </c>
      <c r="V3155">
        <v>-0.29959429999999998</v>
      </c>
      <c r="W3155">
        <v>0.13392079999999901</v>
      </c>
      <c r="X3155">
        <v>0.94462080000000004</v>
      </c>
      <c r="Y3155">
        <v>-0.29499049999999999</v>
      </c>
      <c r="Z3155">
        <v>6.7255809999999999E-2</v>
      </c>
      <c r="AA3155">
        <v>0.95313020000000004</v>
      </c>
      <c r="AB3155">
        <v>26</v>
      </c>
      <c r="AC3155">
        <v>6.3550000000000102</v>
      </c>
      <c r="AD3155">
        <v>-1.1137528483970001</v>
      </c>
      <c r="AE3155">
        <v>-15.2363</v>
      </c>
      <c r="AF3155">
        <v>-4.9101298184816402</v>
      </c>
      <c r="AG3155">
        <v>-1.1137528483970001</v>
      </c>
      <c r="AH3155">
        <v>15.6830300892798</v>
      </c>
      <c r="AI3155">
        <v>93.877146883394502</v>
      </c>
      <c r="AJ3155">
        <v>107.38458330721799</v>
      </c>
      <c r="AK3155">
        <v>16.471407135485101</v>
      </c>
      <c r="AL3155">
        <v>82.303780305388997</v>
      </c>
      <c r="AM3155">
        <v>107.596854938674</v>
      </c>
      <c r="AN3155">
        <v>0.999999990528884</v>
      </c>
    </row>
    <row r="3156" spans="1:40" x14ac:dyDescent="0.25">
      <c r="A3156" t="str">
        <f>"20190312164048152"</f>
        <v>20190312164048152</v>
      </c>
      <c r="B3156" t="str">
        <f>"1552380048139420"</f>
        <v>1552380048139420</v>
      </c>
      <c r="C3156" t="s">
        <v>40</v>
      </c>
      <c r="D3156">
        <v>5.9139330000000001</v>
      </c>
      <c r="E3156">
        <v>0.50831549999999903</v>
      </c>
      <c r="F3156" t="s">
        <v>46</v>
      </c>
      <c r="G3156">
        <v>-486.23930000000001</v>
      </c>
      <c r="H3156" s="1">
        <v>3.001408E-6</v>
      </c>
      <c r="I3156">
        <v>220.18629999999999</v>
      </c>
      <c r="J3156">
        <v>-492.69470000000001</v>
      </c>
      <c r="K3156">
        <v>1.113758</v>
      </c>
      <c r="L3156">
        <v>235.7474</v>
      </c>
      <c r="M3156">
        <v>9.6463049999999995E-2</v>
      </c>
      <c r="N3156">
        <v>0</v>
      </c>
      <c r="O3156">
        <v>-0.99524460000000003</v>
      </c>
      <c r="P3156">
        <v>0.38806619999999997</v>
      </c>
      <c r="Q3156">
        <v>0.1226367</v>
      </c>
      <c r="R3156">
        <v>-0.91343589999999997</v>
      </c>
      <c r="S3156">
        <v>1.156433</v>
      </c>
      <c r="T3156">
        <v>-0.19864029999999999</v>
      </c>
      <c r="U3156">
        <v>-2.8201139999999998</v>
      </c>
      <c r="V3156">
        <v>-0.29924479999999998</v>
      </c>
      <c r="W3156">
        <v>0.13296669999999999</v>
      </c>
      <c r="X3156">
        <v>0.9448664</v>
      </c>
      <c r="Y3156">
        <v>-0.28755910000000001</v>
      </c>
      <c r="Z3156">
        <v>6.5652409999999994E-2</v>
      </c>
      <c r="AA3156">
        <v>0.95551010000000003</v>
      </c>
      <c r="AB3156">
        <v>26</v>
      </c>
      <c r="AC3156">
        <v>6.4553999999999903</v>
      </c>
      <c r="AD3156">
        <v>-1.1137549985919999</v>
      </c>
      <c r="AE3156">
        <v>-15.5611</v>
      </c>
      <c r="AF3156">
        <v>-4.9026542545709004</v>
      </c>
      <c r="AG3156">
        <v>-1.1137549985919999</v>
      </c>
      <c r="AH3156">
        <v>16.041174312660601</v>
      </c>
      <c r="AI3156">
        <v>93.798811339447298</v>
      </c>
      <c r="AJ3156">
        <v>106.99469215915001</v>
      </c>
      <c r="AK3156">
        <v>16.8105842333309</v>
      </c>
      <c r="AL3156">
        <v>82.358940019979002</v>
      </c>
      <c r="AM3156">
        <v>107.573303795307</v>
      </c>
      <c r="AN3156">
        <v>1.0000000537424401</v>
      </c>
    </row>
    <row r="3157" spans="1:40" x14ac:dyDescent="0.25">
      <c r="A3157" t="str">
        <f>"20190312164048175"</f>
        <v>20190312164048175</v>
      </c>
      <c r="B3157" t="str">
        <f>"1552380048169676"</f>
        <v>1552380048169676</v>
      </c>
      <c r="C3157" t="s">
        <v>40</v>
      </c>
      <c r="D3157">
        <v>5.8784210000000003</v>
      </c>
      <c r="E3157">
        <v>0.51072470000000003</v>
      </c>
      <c r="F3157" t="s">
        <v>46</v>
      </c>
      <c r="G3157">
        <v>-486.27760000000001</v>
      </c>
      <c r="H3157" s="1">
        <v>2.9488219999999998E-6</v>
      </c>
      <c r="I3157">
        <v>219.9177</v>
      </c>
      <c r="J3157">
        <v>-492.6635</v>
      </c>
      <c r="K3157">
        <v>1.1137549999999901</v>
      </c>
      <c r="L3157">
        <v>235.4845</v>
      </c>
      <c r="M3157">
        <v>0.10155640000000001</v>
      </c>
      <c r="N3157">
        <v>0</v>
      </c>
      <c r="O3157">
        <v>-0.99473769999999995</v>
      </c>
      <c r="P3157">
        <v>0.39269340000000003</v>
      </c>
      <c r="Q3157">
        <v>0.1207498</v>
      </c>
      <c r="R3157">
        <v>-0.91170819999999997</v>
      </c>
      <c r="S3157">
        <v>1.1450199999999999</v>
      </c>
      <c r="T3157">
        <v>-0.1987305</v>
      </c>
      <c r="U3157">
        <v>-2.8245390000000001</v>
      </c>
      <c r="V3157">
        <v>-0.2991568</v>
      </c>
      <c r="W3157">
        <v>0.13108829999999999</v>
      </c>
      <c r="X3157">
        <v>0.94515660000000001</v>
      </c>
      <c r="Y3157">
        <v>-0.27880769999999999</v>
      </c>
      <c r="Z3157">
        <v>6.567162E-2</v>
      </c>
      <c r="AA3157">
        <v>0.95809889999999998</v>
      </c>
      <c r="AB3157">
        <v>26</v>
      </c>
      <c r="AC3157">
        <v>6.3858999999999897</v>
      </c>
      <c r="AD3157">
        <v>-1.1137520511779999</v>
      </c>
      <c r="AE3157">
        <v>-15.566800000000001</v>
      </c>
      <c r="AF3157">
        <v>-4.7510075827190104</v>
      </c>
      <c r="AG3157">
        <v>-1.1137520511779999</v>
      </c>
      <c r="AH3157">
        <v>16.064502210191201</v>
      </c>
      <c r="AI3157">
        <v>93.803623156729898</v>
      </c>
      <c r="AJ3157">
        <v>106.475356646485</v>
      </c>
      <c r="AK3157">
        <v>16.789304569987198</v>
      </c>
      <c r="AL3157">
        <v>82.467514216678794</v>
      </c>
      <c r="AM3157">
        <v>107.56339134276899</v>
      </c>
      <c r="AN3157">
        <v>0.99999996595334395</v>
      </c>
    </row>
    <row r="3158" spans="1:40" x14ac:dyDescent="0.25">
      <c r="A3158" t="str">
        <f>"20190312164048197"</f>
        <v>20190312164048197</v>
      </c>
      <c r="B3158" t="str">
        <f>"1552380048189197"</f>
        <v>1552380048189197</v>
      </c>
      <c r="C3158" t="s">
        <v>40</v>
      </c>
      <c r="D3158">
        <v>5.828449</v>
      </c>
      <c r="E3158">
        <v>0.5120633</v>
      </c>
      <c r="F3158" t="s">
        <v>46</v>
      </c>
      <c r="G3158">
        <v>-486.52710000000002</v>
      </c>
      <c r="H3158" s="1">
        <v>3.0763850000000001E-6</v>
      </c>
      <c r="I3158">
        <v>220.2945</v>
      </c>
      <c r="J3158">
        <v>-492.63139999999999</v>
      </c>
      <c r="K3158">
        <v>1.113753</v>
      </c>
      <c r="L3158">
        <v>235.22579999999999</v>
      </c>
      <c r="M3158">
        <v>0.1065671</v>
      </c>
      <c r="N3158">
        <v>0</v>
      </c>
      <c r="O3158">
        <v>-0.99421360000000003</v>
      </c>
      <c r="P3158">
        <v>0.39725569999999999</v>
      </c>
      <c r="Q3158">
        <v>0.11956559999999999</v>
      </c>
      <c r="R3158">
        <v>-0.90988590000000003</v>
      </c>
      <c r="S3158">
        <v>1.141724</v>
      </c>
      <c r="T3158">
        <v>-0.20722280000000001</v>
      </c>
      <c r="U3158">
        <v>-2.8262179999999999</v>
      </c>
      <c r="V3158">
        <v>-0.29910059999999999</v>
      </c>
      <c r="W3158">
        <v>0.12991259999999999</v>
      </c>
      <c r="X3158">
        <v>0.94533679999999998</v>
      </c>
      <c r="Y3158">
        <v>-0.27273599999999998</v>
      </c>
      <c r="Z3158">
        <v>6.8447930000000004E-2</v>
      </c>
      <c r="AA3158">
        <v>0.95965089999999997</v>
      </c>
      <c r="AB3158">
        <v>26</v>
      </c>
      <c r="AC3158">
        <v>6.1042999999999603</v>
      </c>
      <c r="AD3158">
        <v>-1.1137499236149999</v>
      </c>
      <c r="AE3158">
        <v>-14.931299999999901</v>
      </c>
      <c r="AF3158">
        <v>-4.4569550786144703</v>
      </c>
      <c r="AG3158">
        <v>-1.1137499236149999</v>
      </c>
      <c r="AH3158">
        <v>15.423310272518499</v>
      </c>
      <c r="AI3158">
        <v>93.968456854517299</v>
      </c>
      <c r="AJ3158">
        <v>106.117985578457</v>
      </c>
      <c r="AK3158">
        <v>16.092960797426802</v>
      </c>
      <c r="AL3158">
        <v>82.535458607083001</v>
      </c>
      <c r="AM3158">
        <v>107.557152969021</v>
      </c>
      <c r="AN3158">
        <v>1.00000005899667</v>
      </c>
    </row>
    <row r="3159" spans="1:40" x14ac:dyDescent="0.25">
      <c r="A3159" t="str">
        <f>"20190312164048230"</f>
        <v>20190312164048230</v>
      </c>
      <c r="B3159" t="str">
        <f>"1552380048219454"</f>
        <v>1552380048219454</v>
      </c>
      <c r="C3159" t="s">
        <v>40</v>
      </c>
      <c r="D3159">
        <v>5.8841279999999996</v>
      </c>
      <c r="E3159">
        <v>0.51415949999999999</v>
      </c>
      <c r="F3159" t="s">
        <v>46</v>
      </c>
      <c r="G3159">
        <v>-486.84469999999999</v>
      </c>
      <c r="H3159" s="1">
        <v>3.2770219999999999E-6</v>
      </c>
      <c r="I3159">
        <v>220.94720000000001</v>
      </c>
      <c r="J3159">
        <v>-492.58510000000001</v>
      </c>
      <c r="K3159">
        <v>1.113742</v>
      </c>
      <c r="L3159">
        <v>234.8716</v>
      </c>
      <c r="M3159">
        <v>0.1134299</v>
      </c>
      <c r="N3159">
        <v>0</v>
      </c>
      <c r="O3159">
        <v>-0.99345380000000005</v>
      </c>
      <c r="P3159">
        <v>0.4027521</v>
      </c>
      <c r="Q3159">
        <v>0.1196426</v>
      </c>
      <c r="R3159">
        <v>-0.90745600000000004</v>
      </c>
      <c r="S3159">
        <v>1.145294</v>
      </c>
      <c r="T3159">
        <v>-0.2204324</v>
      </c>
      <c r="U3159">
        <v>-2.8260190000000001</v>
      </c>
      <c r="V3159">
        <v>-0.29828759999999999</v>
      </c>
      <c r="W3159">
        <v>0.1300086</v>
      </c>
      <c r="X3159">
        <v>0.94558039999999999</v>
      </c>
      <c r="Y3159">
        <v>-0.2670399</v>
      </c>
      <c r="Z3159">
        <v>7.2751609999999994E-2</v>
      </c>
      <c r="AA3159">
        <v>0.9609354</v>
      </c>
      <c r="AB3159">
        <v>26</v>
      </c>
      <c r="AC3159">
        <v>5.7404000000000197</v>
      </c>
      <c r="AD3159">
        <v>-1.113738722978</v>
      </c>
      <c r="AE3159">
        <v>-13.924399999999901</v>
      </c>
      <c r="AF3159">
        <v>-4.10132974120482</v>
      </c>
      <c r="AG3159">
        <v>-1.113738722978</v>
      </c>
      <c r="AH3159">
        <v>14.406928026228201</v>
      </c>
      <c r="AI3159">
        <v>94.252213291766495</v>
      </c>
      <c r="AJ3159">
        <v>105.890466180152</v>
      </c>
      <c r="AK3159">
        <v>15.020682232910399</v>
      </c>
      <c r="AL3159">
        <v>82.529910802212797</v>
      </c>
      <c r="AM3159">
        <v>107.508114926772</v>
      </c>
      <c r="AN3159">
        <v>1.0000000106259399</v>
      </c>
    </row>
    <row r="3160" spans="1:40" x14ac:dyDescent="0.25">
      <c r="A3160" t="str">
        <f>"20190312164048254"</f>
        <v>20190312164048254</v>
      </c>
      <c r="B3160" t="str">
        <f>"1552380048248732"</f>
        <v>1552380048248732</v>
      </c>
      <c r="C3160" t="s">
        <v>40</v>
      </c>
      <c r="D3160">
        <v>6.0670190000000002</v>
      </c>
      <c r="E3160">
        <v>0.51527599999999996</v>
      </c>
      <c r="F3160" t="s">
        <v>46</v>
      </c>
      <c r="G3160">
        <v>-487.28919999999999</v>
      </c>
      <c r="H3160" s="1">
        <v>3.6322839999999999E-6</v>
      </c>
      <c r="I3160">
        <v>221.84049999999999</v>
      </c>
      <c r="J3160">
        <v>-492.54820000000001</v>
      </c>
      <c r="K3160">
        <v>1.113729</v>
      </c>
      <c r="L3160">
        <v>234.60079999999999</v>
      </c>
      <c r="M3160">
        <v>0.1186788</v>
      </c>
      <c r="N3160">
        <v>0</v>
      </c>
      <c r="O3160">
        <v>-0.99284050000000001</v>
      </c>
      <c r="P3160">
        <v>0.40698790000000001</v>
      </c>
      <c r="Q3160">
        <v>0.1194645</v>
      </c>
      <c r="R3160">
        <v>-0.90558780000000005</v>
      </c>
      <c r="S3160">
        <v>1.1492309999999999</v>
      </c>
      <c r="T3160">
        <v>-0.24168210000000001</v>
      </c>
      <c r="U3160">
        <v>-2.8277739999999998</v>
      </c>
      <c r="V3160">
        <v>-0.29769970000000001</v>
      </c>
      <c r="W3160">
        <v>0.1298454</v>
      </c>
      <c r="X3160">
        <v>0.94578810000000002</v>
      </c>
      <c r="Y3160">
        <v>-0.26268799999999998</v>
      </c>
      <c r="Z3160">
        <v>7.962959E-2</v>
      </c>
      <c r="AA3160">
        <v>0.96158940000000004</v>
      </c>
      <c r="AB3160">
        <v>25</v>
      </c>
      <c r="AC3160">
        <v>5.2590000000000101</v>
      </c>
      <c r="AD3160">
        <v>-1.1137253677159999</v>
      </c>
      <c r="AE3160">
        <v>-12.760300000000001</v>
      </c>
      <c r="AF3160">
        <v>-3.6833253843851002</v>
      </c>
      <c r="AG3160">
        <v>-1.1137253677159999</v>
      </c>
      <c r="AH3160">
        <v>13.2082817032511</v>
      </c>
      <c r="AI3160">
        <v>94.643441557568494</v>
      </c>
      <c r="AJ3160">
        <v>105.58191732215499</v>
      </c>
      <c r="AK3160">
        <v>13.7573971242524</v>
      </c>
      <c r="AL3160">
        <v>82.539341591875598</v>
      </c>
      <c r="AM3160">
        <v>107.472106231542</v>
      </c>
      <c r="AN3160">
        <v>1.00000003469142</v>
      </c>
    </row>
    <row r="3161" spans="1:40" x14ac:dyDescent="0.25">
      <c r="A3161" t="str">
        <f>"20190312164048277"</f>
        <v>20190312164048277</v>
      </c>
      <c r="B3161" t="str">
        <f>"1552380048269229"</f>
        <v>1552380048269229</v>
      </c>
      <c r="C3161" t="s">
        <v>40</v>
      </c>
      <c r="D3161">
        <v>5.7854640000000002</v>
      </c>
      <c r="E3161">
        <v>0.52637480000000003</v>
      </c>
      <c r="F3161" t="s">
        <v>46</v>
      </c>
      <c r="G3161">
        <v>-487.452</v>
      </c>
      <c r="H3161" s="1">
        <v>3.7625599999999999E-6</v>
      </c>
      <c r="I3161">
        <v>222.14449999999999</v>
      </c>
      <c r="J3161">
        <v>-492.51209999999998</v>
      </c>
      <c r="K3161">
        <v>1.113715</v>
      </c>
      <c r="L3161">
        <v>234.34549999999999</v>
      </c>
      <c r="M3161">
        <v>0.1236271</v>
      </c>
      <c r="N3161">
        <v>0</v>
      </c>
      <c r="O3161">
        <v>-0.99223640000000002</v>
      </c>
      <c r="P3161">
        <v>0.41149419999999998</v>
      </c>
      <c r="Q3161">
        <v>0.1189337</v>
      </c>
      <c r="R3161">
        <v>-0.90361919999999996</v>
      </c>
      <c r="S3161">
        <v>1.156372</v>
      </c>
      <c r="T3161">
        <v>-0.25271110000000002</v>
      </c>
      <c r="U3161">
        <v>-2.826416</v>
      </c>
      <c r="V3161">
        <v>-0.2976801</v>
      </c>
      <c r="W3161">
        <v>0.12932199999999999</v>
      </c>
      <c r="X3161">
        <v>0.94586590000000004</v>
      </c>
      <c r="Y3161">
        <v>-0.26001149999999901</v>
      </c>
      <c r="Z3161">
        <v>8.3191260000000003E-2</v>
      </c>
      <c r="AA3161">
        <v>0.96201519999999996</v>
      </c>
      <c r="AB3161">
        <v>25</v>
      </c>
      <c r="AC3161">
        <v>5.0600999999999701</v>
      </c>
      <c r="AD3161">
        <v>-1.11371123744</v>
      </c>
      <c r="AE3161">
        <v>-12.200999999999899</v>
      </c>
      <c r="AF3161">
        <v>-3.4879660610265302</v>
      </c>
      <c r="AG3161">
        <v>-1.11371123744</v>
      </c>
      <c r="AH3161">
        <v>12.6431248470381</v>
      </c>
      <c r="AI3161">
        <v>94.853690436837695</v>
      </c>
      <c r="AJ3161">
        <v>105.423035085132</v>
      </c>
      <c r="AK3161">
        <v>13.162631418567701</v>
      </c>
      <c r="AL3161">
        <v>82.569584652421199</v>
      </c>
      <c r="AM3161">
        <v>107.46967628067</v>
      </c>
      <c r="AN3161">
        <v>0.99999996120140899</v>
      </c>
    </row>
    <row r="3162" spans="1:40" x14ac:dyDescent="0.25">
      <c r="A3162" t="str">
        <f>"20190312164048299"</f>
        <v>20190312164048299</v>
      </c>
      <c r="B3162" t="str">
        <f>"1552380048289254"</f>
        <v>1552380048289254</v>
      </c>
      <c r="C3162" t="s">
        <v>40</v>
      </c>
      <c r="D3162">
        <v>5.9347810000000001</v>
      </c>
      <c r="E3162">
        <v>0.51596179999999903</v>
      </c>
      <c r="F3162" t="s">
        <v>46</v>
      </c>
      <c r="G3162">
        <v>-489.4948</v>
      </c>
      <c r="H3162" s="1">
        <v>5.5399330000000004E-6</v>
      </c>
      <c r="I3162">
        <v>226.48599999999999</v>
      </c>
      <c r="J3162">
        <v>-492.47579999999999</v>
      </c>
      <c r="K3162">
        <v>1.1136950000000001</v>
      </c>
      <c r="L3162">
        <v>234.09829999999999</v>
      </c>
      <c r="M3162">
        <v>0.1284256</v>
      </c>
      <c r="N3162">
        <v>0</v>
      </c>
      <c r="O3162">
        <v>-0.99162689999999998</v>
      </c>
      <c r="P3162">
        <v>0.41640899999999997</v>
      </c>
      <c r="Q3162">
        <v>0.1187598</v>
      </c>
      <c r="R3162">
        <v>-0.90138779999999996</v>
      </c>
      <c r="S3162">
        <v>1.1023860000000001</v>
      </c>
      <c r="T3162">
        <v>-0.4069026</v>
      </c>
      <c r="U3162">
        <v>-2.8715359999999999</v>
      </c>
      <c r="V3162">
        <v>-0.29825030000000002</v>
      </c>
      <c r="W3162">
        <v>0.129145699999999</v>
      </c>
      <c r="X3162">
        <v>0.94571039999999995</v>
      </c>
      <c r="Y3162">
        <v>-0.23237479999999999</v>
      </c>
      <c r="Z3162">
        <v>0.13206289999999901</v>
      </c>
      <c r="AA3162">
        <v>0.96361889999999994</v>
      </c>
      <c r="AB3162">
        <v>25</v>
      </c>
      <c r="AC3162">
        <v>2.9809999999999901</v>
      </c>
      <c r="AD3162">
        <v>-1.113689460067</v>
      </c>
      <c r="AE3162">
        <v>-7.6123000000000003</v>
      </c>
      <c r="AF3162">
        <v>-1.9425563892848501</v>
      </c>
      <c r="AG3162">
        <v>-1.113689460067</v>
      </c>
      <c r="AH3162">
        <v>7.7876005177669096</v>
      </c>
      <c r="AI3162">
        <v>97.899713245480399</v>
      </c>
      <c r="AJ3162">
        <v>104.006161182509</v>
      </c>
      <c r="AK3162">
        <v>8.1031198536945706</v>
      </c>
      <c r="AL3162">
        <v>82.579771664254693</v>
      </c>
      <c r="AM3162">
        <v>107.50379986372999</v>
      </c>
      <c r="AN3162">
        <v>1.0000000069733599</v>
      </c>
    </row>
    <row r="3163" spans="1:40" x14ac:dyDescent="0.25">
      <c r="A3163" t="str">
        <f>"20190312164048320"</f>
        <v>20190312164048320</v>
      </c>
      <c r="B3163" t="str">
        <f>"1552380048308774"</f>
        <v>1552380048308774</v>
      </c>
      <c r="C3163" t="s">
        <v>40</v>
      </c>
      <c r="D3163">
        <v>6.0122530000000003</v>
      </c>
      <c r="E3163">
        <v>0.51654889999999998</v>
      </c>
      <c r="F3163" t="s">
        <v>46</v>
      </c>
      <c r="G3163">
        <v>-487.2747</v>
      </c>
      <c r="H3163" s="1">
        <v>3.5890400000000001E-6</v>
      </c>
      <c r="I3163">
        <v>221.71119999999999</v>
      </c>
      <c r="J3163">
        <v>-492.4402</v>
      </c>
      <c r="K3163">
        <v>1.1136969999999999</v>
      </c>
      <c r="L3163">
        <v>233.86359999999999</v>
      </c>
      <c r="M3163">
        <v>0.1330017</v>
      </c>
      <c r="N3163">
        <v>0</v>
      </c>
      <c r="O3163">
        <v>-0.9910236</v>
      </c>
      <c r="P3163">
        <v>0.42164069999999998</v>
      </c>
      <c r="Q3163">
        <v>0.1178385</v>
      </c>
      <c r="R3163">
        <v>-0.89907369999999898</v>
      </c>
      <c r="S3163">
        <v>1.182159</v>
      </c>
      <c r="T3163">
        <v>-0.25313219999999997</v>
      </c>
      <c r="U3163">
        <v>-2.8154750000000002</v>
      </c>
      <c r="V3163">
        <v>-0.29936000000000001</v>
      </c>
      <c r="W3163">
        <v>0.12820989999999999</v>
      </c>
      <c r="X3163">
        <v>0.94548710000000002</v>
      </c>
      <c r="Y3163">
        <v>-0.25970510000000002</v>
      </c>
      <c r="Z3163">
        <v>8.3336270000000004E-2</v>
      </c>
      <c r="AA3163">
        <v>0.96208539999999998</v>
      </c>
      <c r="AB3163">
        <v>25</v>
      </c>
      <c r="AC3163">
        <v>5.1654999999999998</v>
      </c>
      <c r="AD3163">
        <v>-1.1136934109600001</v>
      </c>
      <c r="AE3163">
        <v>-12.1524</v>
      </c>
      <c r="AF3163">
        <v>-3.47841935880651</v>
      </c>
      <c r="AG3163">
        <v>-1.1136934109600001</v>
      </c>
      <c r="AH3163">
        <v>12.641574601235201</v>
      </c>
      <c r="AI3163">
        <v>94.855097955913195</v>
      </c>
      <c r="AJ3163">
        <v>105.384620709438</v>
      </c>
      <c r="AK3163">
        <v>13.158614009382999</v>
      </c>
      <c r="AL3163">
        <v>82.633838656407505</v>
      </c>
      <c r="AM3163">
        <v>107.56882171143199</v>
      </c>
      <c r="AN3163">
        <v>1.0000000221622001</v>
      </c>
    </row>
    <row r="3164" spans="1:40" x14ac:dyDescent="0.25">
      <c r="A3164" t="str">
        <f>"20190312164048340"</f>
        <v>20190312164048340</v>
      </c>
      <c r="B3164" t="str">
        <f>"1552380048329274"</f>
        <v>1552380048329274</v>
      </c>
      <c r="C3164" t="s">
        <v>40</v>
      </c>
      <c r="D3164">
        <v>5.999053</v>
      </c>
      <c r="E3164">
        <v>0.51716879999999998</v>
      </c>
      <c r="F3164" t="s">
        <v>46</v>
      </c>
      <c r="G3164">
        <v>-487.27719999999999</v>
      </c>
      <c r="H3164" s="1">
        <v>3.5906410000000001E-6</v>
      </c>
      <c r="I3164">
        <v>221.71459999999999</v>
      </c>
      <c r="J3164">
        <v>-492.40309999999999</v>
      </c>
      <c r="K3164">
        <v>1.1137060000000001</v>
      </c>
      <c r="L3164">
        <v>233.6268</v>
      </c>
      <c r="M3164">
        <v>0.13764589999999999</v>
      </c>
      <c r="N3164">
        <v>0</v>
      </c>
      <c r="O3164">
        <v>-0.99038899999999996</v>
      </c>
      <c r="P3164">
        <v>0.42611460000000001</v>
      </c>
      <c r="Q3164">
        <v>0.1167668</v>
      </c>
      <c r="R3164">
        <v>-0.89710179999999995</v>
      </c>
      <c r="S3164">
        <v>1.1943360000000001</v>
      </c>
      <c r="T3164">
        <v>-0.25762649999999998</v>
      </c>
      <c r="U3164">
        <v>-2.8103790000000002</v>
      </c>
      <c r="V3164">
        <v>-0.29961399999999999</v>
      </c>
      <c r="W3164">
        <v>0.12712870000000001</v>
      </c>
      <c r="X3164">
        <v>0.94555259999999997</v>
      </c>
      <c r="Y3164">
        <v>-0.25928960000000001</v>
      </c>
      <c r="Z3164">
        <v>8.4800529999999999E-2</v>
      </c>
      <c r="AA3164">
        <v>0.96206950000000002</v>
      </c>
      <c r="AB3164">
        <v>25</v>
      </c>
      <c r="AC3164">
        <v>5.1258999999999997</v>
      </c>
      <c r="AD3164">
        <v>-1.11370240935899</v>
      </c>
      <c r="AE3164">
        <v>-11.9122</v>
      </c>
      <c r="AF3164">
        <v>-3.41211922837523</v>
      </c>
      <c r="AG3164">
        <v>-1.11370240935899</v>
      </c>
      <c r="AH3164">
        <v>12.4128687963728</v>
      </c>
      <c r="AI3164">
        <v>94.944494477346794</v>
      </c>
      <c r="AJ3164">
        <v>105.370158742444</v>
      </c>
      <c r="AK3164">
        <v>12.921385469105999</v>
      </c>
      <c r="AL3164">
        <v>82.696297717040295</v>
      </c>
      <c r="AM3164">
        <v>107.58166742796701</v>
      </c>
      <c r="AN3164">
        <v>0.99999998736322404</v>
      </c>
    </row>
    <row r="3165" spans="1:40" x14ac:dyDescent="0.25">
      <c r="A3165" t="str">
        <f>"20190312164048367"</f>
        <v>20190312164048367</v>
      </c>
      <c r="B3165" t="str">
        <f>"1552380048359527"</f>
        <v>1552380048359527</v>
      </c>
      <c r="C3165" t="s">
        <v>40</v>
      </c>
      <c r="D3165">
        <v>5.7237869999999997</v>
      </c>
      <c r="E3165">
        <v>0.51771899999999904</v>
      </c>
      <c r="F3165" t="s">
        <v>46</v>
      </c>
      <c r="G3165">
        <v>-487.3578</v>
      </c>
      <c r="H3165" s="1">
        <v>3.6581639999999998E-6</v>
      </c>
      <c r="I3165">
        <v>221.87479999999999</v>
      </c>
      <c r="J3165">
        <v>-492.35520000000002</v>
      </c>
      <c r="K3165">
        <v>1.113734</v>
      </c>
      <c r="L3165">
        <v>233.3314</v>
      </c>
      <c r="M3165">
        <v>0.14350599999999999</v>
      </c>
      <c r="N3165">
        <v>0</v>
      </c>
      <c r="O3165">
        <v>-0.98955700000000002</v>
      </c>
      <c r="P3165">
        <v>0.43064160000000001</v>
      </c>
      <c r="Q3165">
        <v>0.11608839999999999</v>
      </c>
      <c r="R3165">
        <v>-0.89502599999999999</v>
      </c>
      <c r="S3165">
        <v>1.204834</v>
      </c>
      <c r="T3165">
        <v>-0.26595639999999998</v>
      </c>
      <c r="U3165">
        <v>-2.8064119999999999</v>
      </c>
      <c r="V3165">
        <v>-0.2987841</v>
      </c>
      <c r="W3165">
        <v>0.12644049999999901</v>
      </c>
      <c r="X3165">
        <v>0.94590739999999995</v>
      </c>
      <c r="Y3165">
        <v>-0.25701350000000001</v>
      </c>
      <c r="Z3165">
        <v>8.7489289999999997E-2</v>
      </c>
      <c r="AA3165">
        <v>0.9624395</v>
      </c>
      <c r="AB3165">
        <v>25</v>
      </c>
      <c r="AC3165">
        <v>4.9974000000000203</v>
      </c>
      <c r="AD3165">
        <v>-1.1137303418359901</v>
      </c>
      <c r="AE3165">
        <v>-11.4566</v>
      </c>
      <c r="AF3165">
        <v>-3.2754176459728002</v>
      </c>
      <c r="AG3165">
        <v>-1.1137303418359901</v>
      </c>
      <c r="AH3165">
        <v>11.9602581194577</v>
      </c>
      <c r="AI3165">
        <v>95.132093580560905</v>
      </c>
      <c r="AJ3165">
        <v>105.31542562027001</v>
      </c>
      <c r="AK3165">
        <v>12.4505634536727</v>
      </c>
      <c r="AL3165">
        <v>82.736049361351107</v>
      </c>
      <c r="AM3165">
        <v>107.529781864553</v>
      </c>
      <c r="AN3165">
        <v>0.99999997391390905</v>
      </c>
    </row>
    <row r="3166" spans="1:40" x14ac:dyDescent="0.25">
      <c r="A3166" t="str">
        <f>"20190312164048386"</f>
        <v>20190312164048386</v>
      </c>
      <c r="B3166" t="str">
        <f>"1552380048379047"</f>
        <v>1552380048379047</v>
      </c>
      <c r="C3166" t="s">
        <v>40</v>
      </c>
      <c r="D3166">
        <v>5.6305709999999998</v>
      </c>
      <c r="E3166">
        <v>0.51926830000000002</v>
      </c>
      <c r="F3166" t="s">
        <v>46</v>
      </c>
      <c r="G3166">
        <v>-487.37450000000001</v>
      </c>
      <c r="H3166" s="1">
        <v>3.6539549999999999E-6</v>
      </c>
      <c r="I3166">
        <v>221.8494</v>
      </c>
      <c r="J3166">
        <v>-492.31990000000002</v>
      </c>
      <c r="K3166">
        <v>1.1137699999999999</v>
      </c>
      <c r="L3166">
        <v>233.12049999999999</v>
      </c>
      <c r="M3166">
        <v>0.14775429999999901</v>
      </c>
      <c r="N3166">
        <v>0</v>
      </c>
      <c r="O3166">
        <v>-0.98893160000000002</v>
      </c>
      <c r="P3166">
        <v>0.43303120000000001</v>
      </c>
      <c r="Q3166">
        <v>0.115841</v>
      </c>
      <c r="R3166">
        <v>-0.89390439999999904</v>
      </c>
      <c r="S3166">
        <v>1.215576</v>
      </c>
      <c r="T3166">
        <v>-0.27181379999999999</v>
      </c>
      <c r="U3166">
        <v>-2.8022610000000001</v>
      </c>
      <c r="V3166">
        <v>-0.29725069999999998</v>
      </c>
      <c r="W3166">
        <v>0.12618789999999999</v>
      </c>
      <c r="X3166">
        <v>0.94642409999999999</v>
      </c>
      <c r="Y3166">
        <v>-0.25642330000000002</v>
      </c>
      <c r="Z3166">
        <v>8.9378559999999996E-2</v>
      </c>
      <c r="AA3166">
        <v>0.96242329999999998</v>
      </c>
      <c r="AB3166">
        <v>25</v>
      </c>
      <c r="AC3166">
        <v>4.9454000000000002</v>
      </c>
      <c r="AD3166">
        <v>-1.113766346045</v>
      </c>
      <c r="AE3166">
        <v>-11.271099999999899</v>
      </c>
      <c r="AF3166">
        <v>-3.1994064089686201</v>
      </c>
      <c r="AG3166">
        <v>-1.113766346045</v>
      </c>
      <c r="AH3166">
        <v>11.7816665498842</v>
      </c>
      <c r="AI3166">
        <v>95.212656760458401</v>
      </c>
      <c r="AJ3166">
        <v>105.1927466305</v>
      </c>
      <c r="AK3166">
        <v>12.259051494140699</v>
      </c>
      <c r="AL3166">
        <v>82.750639113732504</v>
      </c>
      <c r="AM3166">
        <v>107.43634059748899</v>
      </c>
      <c r="AN3166">
        <v>0.99999997090885395</v>
      </c>
    </row>
    <row r="3167" spans="1:40" x14ac:dyDescent="0.25">
      <c r="A3167" t="str">
        <f>"20190312164048409"</f>
        <v>20190312164048409</v>
      </c>
      <c r="B3167" t="str">
        <f>"1552380048399542"</f>
        <v>1552380048399542</v>
      </c>
      <c r="C3167" t="s">
        <v>40</v>
      </c>
      <c r="D3167">
        <v>5.5812480000000004</v>
      </c>
      <c r="E3167">
        <v>0.51960850000000003</v>
      </c>
      <c r="F3167" t="s">
        <v>46</v>
      </c>
      <c r="G3167">
        <v>-488.7253</v>
      </c>
      <c r="H3167" s="1">
        <v>4.8603300000000003E-6</v>
      </c>
      <c r="I3167">
        <v>224.84110000000001</v>
      </c>
      <c r="J3167">
        <v>-492.2774</v>
      </c>
      <c r="K3167">
        <v>1.1138300000000001</v>
      </c>
      <c r="L3167">
        <v>232.875</v>
      </c>
      <c r="M3167">
        <v>0.15280099999999999</v>
      </c>
      <c r="N3167">
        <v>0</v>
      </c>
      <c r="O3167">
        <v>-0.98816420000000005</v>
      </c>
      <c r="P3167">
        <v>0.43611299999999997</v>
      </c>
      <c r="Q3167">
        <v>0.1154222</v>
      </c>
      <c r="R3167">
        <v>-0.892459</v>
      </c>
      <c r="S3167">
        <v>1.221436</v>
      </c>
      <c r="T3167">
        <v>-0.37845990000000002</v>
      </c>
      <c r="U3167">
        <v>-2.8133849999999998</v>
      </c>
      <c r="V3167">
        <v>-0.29568879999999997</v>
      </c>
      <c r="W3167">
        <v>0.12574850000000001</v>
      </c>
      <c r="X3167">
        <v>0.94697169999999997</v>
      </c>
      <c r="Y3167">
        <v>-0.25032460000000001</v>
      </c>
      <c r="Z3167">
        <v>0.1234277</v>
      </c>
      <c r="AA3167">
        <v>0.96026210000000001</v>
      </c>
      <c r="AB3167">
        <v>25</v>
      </c>
      <c r="AC3167">
        <v>3.55209999999999</v>
      </c>
      <c r="AD3167">
        <v>-1.1138251396700001</v>
      </c>
      <c r="AE3167">
        <v>-8.0338999999999796</v>
      </c>
      <c r="AF3167">
        <v>-2.24655885959071</v>
      </c>
      <c r="AG3167">
        <v>-1.1138251396700001</v>
      </c>
      <c r="AH3167">
        <v>8.3481319173661799</v>
      </c>
      <c r="AI3167">
        <v>97.341453558403799</v>
      </c>
      <c r="AJ3167">
        <v>105.061991772743</v>
      </c>
      <c r="AK3167">
        <v>8.7165899101147595</v>
      </c>
      <c r="AL3167">
        <v>82.776017071674502</v>
      </c>
      <c r="AM3167">
        <v>107.340802500032</v>
      </c>
      <c r="AN3167">
        <v>0.99999997614928904</v>
      </c>
    </row>
    <row r="3168" spans="1:40" x14ac:dyDescent="0.25">
      <c r="A3168" t="str">
        <f>"20190312164048430"</f>
        <v>20190312164048430</v>
      </c>
      <c r="B3168" t="str">
        <f>"1552380048419062"</f>
        <v>1552380048419062</v>
      </c>
      <c r="C3168" t="s">
        <v>40</v>
      </c>
      <c r="D3168">
        <v>5.6557029999999999</v>
      </c>
      <c r="E3168">
        <v>0.51979140000000001</v>
      </c>
      <c r="F3168" t="s">
        <v>46</v>
      </c>
      <c r="G3168">
        <v>-488.25670000000002</v>
      </c>
      <c r="H3168" s="1">
        <v>4.4132219999999997E-6</v>
      </c>
      <c r="I3168">
        <v>223.6688</v>
      </c>
      <c r="J3168">
        <v>-492.23520000000002</v>
      </c>
      <c r="K3168">
        <v>1.1139159999999999</v>
      </c>
      <c r="L3168">
        <v>232.63890000000001</v>
      </c>
      <c r="M3168">
        <v>0.15778490000000001</v>
      </c>
      <c r="N3168">
        <v>0</v>
      </c>
      <c r="O3168">
        <v>-0.9873807</v>
      </c>
      <c r="P3168">
        <v>0.4396523</v>
      </c>
      <c r="Q3168">
        <v>0.1144868</v>
      </c>
      <c r="R3168">
        <v>-0.89084169999999996</v>
      </c>
      <c r="S3168">
        <v>1.2256769999999999</v>
      </c>
      <c r="T3168">
        <v>-0.33954430000000002</v>
      </c>
      <c r="U3168">
        <v>-2.806473</v>
      </c>
      <c r="V3168">
        <v>-0.29466579999999998</v>
      </c>
      <c r="W3168">
        <v>0.12477489999999999</v>
      </c>
      <c r="X3168">
        <v>0.94741929999999996</v>
      </c>
      <c r="Y3168">
        <v>-0.24811349999999999</v>
      </c>
      <c r="Z3168">
        <v>0.111025</v>
      </c>
      <c r="AA3168">
        <v>0.96234770000000003</v>
      </c>
      <c r="AB3168">
        <v>25</v>
      </c>
      <c r="AC3168">
        <v>3.9784999999999902</v>
      </c>
      <c r="AD3168">
        <v>-1.1139115867779901</v>
      </c>
      <c r="AE3168">
        <v>-8.9701000000000004</v>
      </c>
      <c r="AF3168">
        <v>-2.4812055128352402</v>
      </c>
      <c r="AG3168">
        <v>-1.1139115867779901</v>
      </c>
      <c r="AH3168">
        <v>9.3648455852077905</v>
      </c>
      <c r="AI3168">
        <v>96.559001743499095</v>
      </c>
      <c r="AJ3168">
        <v>104.839491188363</v>
      </c>
      <c r="AK3168">
        <v>9.7517953554649601</v>
      </c>
      <c r="AL3168">
        <v>82.8322434110557</v>
      </c>
      <c r="AM3168">
        <v>107.27670828323301</v>
      </c>
      <c r="AN3168">
        <v>1.0000000196860599</v>
      </c>
    </row>
    <row r="3169" spans="1:40" x14ac:dyDescent="0.25">
      <c r="A3169" t="str">
        <f>"20190312164048453"</f>
        <v>20190312164048453</v>
      </c>
      <c r="B3169" t="str">
        <f>"1552380048449319"</f>
        <v>1552380048449319</v>
      </c>
      <c r="C3169" t="s">
        <v>40</v>
      </c>
      <c r="D3169">
        <v>5.5090349999999999</v>
      </c>
      <c r="E3169">
        <v>0.49457309999999999</v>
      </c>
      <c r="F3169" t="s">
        <v>46</v>
      </c>
      <c r="G3169">
        <v>-488.10930000000002</v>
      </c>
      <c r="H3169" s="1">
        <v>4.2582649999999996E-6</v>
      </c>
      <c r="I3169">
        <v>223.27420000000001</v>
      </c>
      <c r="J3169">
        <v>-492.18979999999999</v>
      </c>
      <c r="K3169">
        <v>1.1140209999999999</v>
      </c>
      <c r="L3169">
        <v>232.3922</v>
      </c>
      <c r="M3169">
        <v>0.16315399999999999</v>
      </c>
      <c r="N3169">
        <v>0</v>
      </c>
      <c r="O3169">
        <v>-0.98650769999999999</v>
      </c>
      <c r="P3169">
        <v>0.4451947</v>
      </c>
      <c r="Q3169">
        <v>0.1142111</v>
      </c>
      <c r="R3169">
        <v>-0.88812039999999903</v>
      </c>
      <c r="S3169">
        <v>1.2342219999999999</v>
      </c>
      <c r="T3169">
        <v>-0.33320889999999997</v>
      </c>
      <c r="U3169">
        <v>-2.8012999999999999</v>
      </c>
      <c r="V3169">
        <v>-0.29544009999999998</v>
      </c>
      <c r="W3169">
        <v>0.124421</v>
      </c>
      <c r="X3169">
        <v>0.94722470000000003</v>
      </c>
      <c r="Y3169">
        <v>-0.24604889999999999</v>
      </c>
      <c r="Z3169">
        <v>0.1089836</v>
      </c>
      <c r="AA3169">
        <v>0.96311089999999999</v>
      </c>
      <c r="AB3169">
        <v>25</v>
      </c>
      <c r="AC3169">
        <v>4.0804999999999696</v>
      </c>
      <c r="AD3169">
        <v>-1.114016741735</v>
      </c>
      <c r="AE3169">
        <v>-9.1179999999999897</v>
      </c>
      <c r="AF3169">
        <v>-2.5068621942635998</v>
      </c>
      <c r="AG3169">
        <v>-1.114016741735</v>
      </c>
      <c r="AH3169">
        <v>9.5429307043873699</v>
      </c>
      <c r="AI3169">
        <v>96.441794032495807</v>
      </c>
      <c r="AJ3169">
        <v>104.718654814389</v>
      </c>
      <c r="AK3169">
        <v>9.9293966478650297</v>
      </c>
      <c r="AL3169">
        <v>82.852679751093603</v>
      </c>
      <c r="AM3169">
        <v>107.322739788083</v>
      </c>
      <c r="AN3169">
        <v>1.0000000351095399</v>
      </c>
    </row>
    <row r="3170" spans="1:40" x14ac:dyDescent="0.25">
      <c r="A3170" t="str">
        <f>"20190312164048478"</f>
        <v>20190312164048478</v>
      </c>
      <c r="B3170" t="str">
        <f>"1552380048468838"</f>
        <v>1552380048468838</v>
      </c>
      <c r="C3170" t="s">
        <v>40</v>
      </c>
      <c r="D3170">
        <v>5.5142170000000004</v>
      </c>
      <c r="E3170">
        <v>0.48469469999999998</v>
      </c>
      <c r="F3170" t="s">
        <v>46</v>
      </c>
      <c r="G3170">
        <v>-486.65730000000002</v>
      </c>
      <c r="H3170" s="1">
        <v>3.5200530000000002E-6</v>
      </c>
      <c r="I3170">
        <v>221.93049999999999</v>
      </c>
      <c r="J3170">
        <v>-492.13830000000002</v>
      </c>
      <c r="K3170">
        <v>1.114163</v>
      </c>
      <c r="L3170">
        <v>232.12309999999999</v>
      </c>
      <c r="M3170">
        <v>0.16922779999999901</v>
      </c>
      <c r="N3170">
        <v>0</v>
      </c>
      <c r="O3170">
        <v>-0.98548369999999996</v>
      </c>
      <c r="P3170">
        <v>0.45079590000000003</v>
      </c>
      <c r="Q3170">
        <v>0.11429019999999999</v>
      </c>
      <c r="R3170">
        <v>-0.88528030000000002</v>
      </c>
      <c r="S3170">
        <v>1.4274899999999999</v>
      </c>
      <c r="T3170">
        <v>-0.28743990000000003</v>
      </c>
      <c r="U3170">
        <v>-2.6993559999999999</v>
      </c>
      <c r="V3170">
        <v>-0.29563299999999998</v>
      </c>
      <c r="W3170">
        <v>0.12440909999999999</v>
      </c>
      <c r="X3170">
        <v>0.94716599999999995</v>
      </c>
      <c r="Y3170">
        <v>-0.309006</v>
      </c>
      <c r="Z3170">
        <v>9.4890879999999997E-2</v>
      </c>
      <c r="AA3170">
        <v>0.94631449999999995</v>
      </c>
      <c r="AB3170">
        <v>25</v>
      </c>
      <c r="AC3170">
        <v>5.4809999999999901</v>
      </c>
      <c r="AD3170">
        <v>-1.114159479947</v>
      </c>
      <c r="AE3170">
        <v>-10.192600000000001</v>
      </c>
      <c r="AF3170">
        <v>-3.6431359950101498</v>
      </c>
      <c r="AG3170">
        <v>-1.114159479947</v>
      </c>
      <c r="AH3170">
        <v>10.8724150204132</v>
      </c>
      <c r="AI3170">
        <v>95.549781597700104</v>
      </c>
      <c r="AJ3170">
        <v>108.52500451319101</v>
      </c>
      <c r="AK3170">
        <v>11.520555524843401</v>
      </c>
      <c r="AL3170">
        <v>82.853366393323498</v>
      </c>
      <c r="AM3170">
        <v>107.334382717311</v>
      </c>
      <c r="AN3170">
        <v>0.99999996320390405</v>
      </c>
    </row>
    <row r="3171" spans="1:40" x14ac:dyDescent="0.25">
      <c r="A3171" t="str">
        <f>"20190312164048500"</f>
        <v>20190312164048500</v>
      </c>
      <c r="B3171" t="str">
        <f>"1552380048488865"</f>
        <v>1552380048488865</v>
      </c>
      <c r="C3171" t="s">
        <v>40</v>
      </c>
      <c r="D3171">
        <v>5.4491940000000003</v>
      </c>
      <c r="E3171">
        <v>0.48048590000000002</v>
      </c>
      <c r="F3171" t="s">
        <v>46</v>
      </c>
      <c r="G3171">
        <v>-486.24360000000001</v>
      </c>
      <c r="H3171" s="1">
        <v>3.3849820000000001E-6</v>
      </c>
      <c r="I3171">
        <v>221.79050000000001</v>
      </c>
      <c r="J3171">
        <v>-492.09039999999999</v>
      </c>
      <c r="K3171">
        <v>1.1143099999999999</v>
      </c>
      <c r="L3171">
        <v>231.8819</v>
      </c>
      <c r="M3171">
        <v>0.17491619999999999</v>
      </c>
      <c r="N3171">
        <v>0</v>
      </c>
      <c r="O3171">
        <v>-0.98448990000000003</v>
      </c>
      <c r="P3171">
        <v>0.45687939999999999</v>
      </c>
      <c r="Q3171">
        <v>0.1142218</v>
      </c>
      <c r="R3171">
        <v>-0.88216499999999998</v>
      </c>
      <c r="S3171">
        <v>1.514435</v>
      </c>
      <c r="T3171">
        <v>-0.28624270000000002</v>
      </c>
      <c r="U3171">
        <v>-2.6545719999999999</v>
      </c>
      <c r="V3171">
        <v>-0.29672549999999998</v>
      </c>
      <c r="W3171">
        <v>0.1242364</v>
      </c>
      <c r="X3171">
        <v>0.94684699999999999</v>
      </c>
      <c r="Y3171">
        <v>-0.33370919999999998</v>
      </c>
      <c r="Z3171">
        <v>9.4629909999999998E-2</v>
      </c>
      <c r="AA3171">
        <v>0.93791440000000004</v>
      </c>
      <c r="AB3171">
        <v>25</v>
      </c>
      <c r="AC3171">
        <v>5.8467999999999698</v>
      </c>
      <c r="AD3171">
        <v>-1.1143066150180001</v>
      </c>
      <c r="AE3171">
        <v>-10.091399999999901</v>
      </c>
      <c r="AF3171">
        <v>-3.9552278259298399</v>
      </c>
      <c r="AG3171">
        <v>-1.1143066150180001</v>
      </c>
      <c r="AH3171">
        <v>10.8594582548637</v>
      </c>
      <c r="AI3171">
        <v>95.507187182006902</v>
      </c>
      <c r="AJ3171">
        <v>110.012616584179</v>
      </c>
      <c r="AK3171">
        <v>11.610914691634299</v>
      </c>
      <c r="AL3171">
        <v>82.863338815284493</v>
      </c>
      <c r="AM3171">
        <v>107.400090170173</v>
      </c>
      <c r="AN3171">
        <v>0.999999973422104</v>
      </c>
    </row>
    <row r="3172" spans="1:40" x14ac:dyDescent="0.25">
      <c r="A3172" t="str">
        <f>"20190312164048521"</f>
        <v>20190312164048521</v>
      </c>
      <c r="B3172" t="str">
        <f>"1552380048509369"</f>
        <v>1552380048509369</v>
      </c>
      <c r="C3172" t="s">
        <v>40</v>
      </c>
      <c r="D3172">
        <v>5.3258140000000003</v>
      </c>
      <c r="E3172">
        <v>0.47827989999999998</v>
      </c>
      <c r="F3172" t="s">
        <v>46</v>
      </c>
      <c r="G3172">
        <v>-486.21910000000003</v>
      </c>
      <c r="H3172" s="1">
        <v>3.449379E-6</v>
      </c>
      <c r="I3172">
        <v>222.01589999999999</v>
      </c>
      <c r="J3172">
        <v>-492.04289999999997</v>
      </c>
      <c r="K3172">
        <v>1.1144529999999999</v>
      </c>
      <c r="L3172">
        <v>231.6506</v>
      </c>
      <c r="M3172">
        <v>0.18058399999999999</v>
      </c>
      <c r="N3172">
        <v>0</v>
      </c>
      <c r="O3172">
        <v>-0.98346579999999995</v>
      </c>
      <c r="P3172">
        <v>0.46312179999999997</v>
      </c>
      <c r="Q3172">
        <v>0.114235</v>
      </c>
      <c r="R3172">
        <v>-0.87890230000000003</v>
      </c>
      <c r="S3172">
        <v>1.564484</v>
      </c>
      <c r="T3172">
        <v>-0.29692030000000003</v>
      </c>
      <c r="U3172">
        <v>-2.6288909999999999</v>
      </c>
      <c r="V3172">
        <v>-0.2980295</v>
      </c>
      <c r="W3172">
        <v>0.1241413</v>
      </c>
      <c r="X3172">
        <v>0.94644989999999996</v>
      </c>
      <c r="Y3172">
        <v>-0.34531269999999997</v>
      </c>
      <c r="Z3172">
        <v>9.8139980000000002E-2</v>
      </c>
      <c r="AA3172">
        <v>0.93334220000000001</v>
      </c>
      <c r="AB3172">
        <v>25</v>
      </c>
      <c r="AC3172">
        <v>5.8237999999999399</v>
      </c>
      <c r="AD3172">
        <v>-1.1144495506209999</v>
      </c>
      <c r="AE3172">
        <v>-9.6347000000000094</v>
      </c>
      <c r="AF3172">
        <v>-3.9493030185606002</v>
      </c>
      <c r="AG3172">
        <v>-1.1144495506209999</v>
      </c>
      <c r="AH3172">
        <v>10.425888033230001</v>
      </c>
      <c r="AI3172">
        <v>95.7083938797998</v>
      </c>
      <c r="AJ3172">
        <v>110.74657531750999</v>
      </c>
      <c r="AK3172">
        <v>11.2043800995298</v>
      </c>
      <c r="AL3172">
        <v>82.8688305547129</v>
      </c>
      <c r="AM3172">
        <v>107.478797673815</v>
      </c>
      <c r="AN3172">
        <v>1.00000002922297</v>
      </c>
    </row>
    <row r="3173" spans="1:40" x14ac:dyDescent="0.25">
      <c r="A3173" t="str">
        <f>"20190312164048543"</f>
        <v>20190312164048543</v>
      </c>
      <c r="B3173" t="str">
        <f>"1552380048538641"</f>
        <v>1552380048538641</v>
      </c>
      <c r="C3173" t="s">
        <v>40</v>
      </c>
      <c r="D3173">
        <v>5.2135829999999999</v>
      </c>
      <c r="E3173">
        <v>0.47680630000000002</v>
      </c>
      <c r="F3173" t="s">
        <v>46</v>
      </c>
      <c r="G3173">
        <v>-486.03140000000002</v>
      </c>
      <c r="H3173" s="1">
        <v>3.3521480000000001E-6</v>
      </c>
      <c r="I3173">
        <v>221.8364</v>
      </c>
      <c r="J3173">
        <v>-491.99160000000001</v>
      </c>
      <c r="K3173">
        <v>1.1145830000000001</v>
      </c>
      <c r="L3173">
        <v>231.40899999999999</v>
      </c>
      <c r="M3173">
        <v>0.18670419999999999</v>
      </c>
      <c r="N3173">
        <v>0</v>
      </c>
      <c r="O3173">
        <v>-0.98232200000000003</v>
      </c>
      <c r="P3173">
        <v>0.46949439999999998</v>
      </c>
      <c r="Q3173">
        <v>0.11356330000000001</v>
      </c>
      <c r="R3173">
        <v>-0.87560149999999903</v>
      </c>
      <c r="S3173">
        <v>1.5984499999999999</v>
      </c>
      <c r="T3173">
        <v>-0.29633080000000001</v>
      </c>
      <c r="U3173">
        <v>-2.6095890000000002</v>
      </c>
      <c r="V3173">
        <v>-0.29903229999999997</v>
      </c>
      <c r="W3173">
        <v>0.1233701</v>
      </c>
      <c r="X3173">
        <v>0.94623440000000003</v>
      </c>
      <c r="Y3173">
        <v>-0.35138829999999999</v>
      </c>
      <c r="Z3173">
        <v>9.7970269999999998E-2</v>
      </c>
      <c r="AA3173">
        <v>0.93108970000000002</v>
      </c>
      <c r="AB3173">
        <v>25</v>
      </c>
      <c r="AC3173">
        <v>5.96019999999998</v>
      </c>
      <c r="AD3173">
        <v>-1.114579647852</v>
      </c>
      <c r="AE3173">
        <v>-9.5726000000000209</v>
      </c>
      <c r="AF3173">
        <v>-4.0286094663173397</v>
      </c>
      <c r="AG3173">
        <v>-1.114579647852</v>
      </c>
      <c r="AH3173">
        <v>10.4153889199196</v>
      </c>
      <c r="AI3173">
        <v>95.699636915745899</v>
      </c>
      <c r="AJ3173">
        <v>111.14616901366399</v>
      </c>
      <c r="AK3173">
        <v>11.222847605518499</v>
      </c>
      <c r="AL3173">
        <v>82.9133592916601</v>
      </c>
      <c r="AM3173">
        <v>107.53775998998</v>
      </c>
      <c r="AN3173">
        <v>1.00000001888032</v>
      </c>
    </row>
    <row r="3174" spans="1:40" x14ac:dyDescent="0.25">
      <c r="A3174" t="str">
        <f>"20190312164048565"</f>
        <v>20190312164048565</v>
      </c>
      <c r="B3174" t="str">
        <f>"1552380048559137"</f>
        <v>1552380048559137</v>
      </c>
      <c r="C3174" t="s">
        <v>40</v>
      </c>
      <c r="D3174">
        <v>5.241892</v>
      </c>
      <c r="E3174">
        <v>0.47636669999999998</v>
      </c>
      <c r="F3174" t="s">
        <v>46</v>
      </c>
      <c r="G3174">
        <v>-486.19740000000002</v>
      </c>
      <c r="H3174" s="1">
        <v>3.4948349999999999E-6</v>
      </c>
      <c r="I3174">
        <v>222.1782</v>
      </c>
      <c r="J3174">
        <v>-491.93779999999998</v>
      </c>
      <c r="K3174">
        <v>1.1147119999999999</v>
      </c>
      <c r="L3174">
        <v>231.16480000000001</v>
      </c>
      <c r="M3174">
        <v>0.19308800000000001</v>
      </c>
      <c r="N3174">
        <v>0</v>
      </c>
      <c r="O3174">
        <v>-0.98108700000000004</v>
      </c>
      <c r="P3174">
        <v>0.47576580000000002</v>
      </c>
      <c r="Q3174">
        <v>0.11375979999999999</v>
      </c>
      <c r="R3174">
        <v>-0.87218439999999997</v>
      </c>
      <c r="S3174">
        <v>1.6281429999999999</v>
      </c>
      <c r="T3174">
        <v>-0.313193099999999</v>
      </c>
      <c r="U3174">
        <v>-2.5938110000000001</v>
      </c>
      <c r="V3174">
        <v>-0.29971629999999999</v>
      </c>
      <c r="W3174">
        <v>0.1234765</v>
      </c>
      <c r="X3174">
        <v>0.94600410000000001</v>
      </c>
      <c r="Y3174">
        <v>-0.35520839999999998</v>
      </c>
      <c r="Z3174">
        <v>0.103451</v>
      </c>
      <c r="AA3174">
        <v>0.92904509999999996</v>
      </c>
      <c r="AB3174">
        <v>25</v>
      </c>
      <c r="AC3174">
        <v>5.7403999999999602</v>
      </c>
      <c r="AD3174">
        <v>-1.1147085051649901</v>
      </c>
      <c r="AE3174">
        <v>-8.9866000000000099</v>
      </c>
      <c r="AF3174">
        <v>-3.8548644081425598</v>
      </c>
      <c r="AG3174">
        <v>-1.1147085051649901</v>
      </c>
      <c r="AH3174">
        <v>9.81866544420898</v>
      </c>
      <c r="AI3174">
        <v>96.032446408399807</v>
      </c>
      <c r="AJ3174">
        <v>111.43525679648199</v>
      </c>
      <c r="AK3174">
        <v>10.607013988958199</v>
      </c>
      <c r="AL3174">
        <v>82.907216142974207</v>
      </c>
      <c r="AM3174">
        <v>107.579423686528</v>
      </c>
      <c r="AN3174">
        <v>1.0000000318773701</v>
      </c>
    </row>
    <row r="3175" spans="1:40" x14ac:dyDescent="0.25">
      <c r="A3175" t="str">
        <f>"20190312164048589"</f>
        <v>20190312164048589</v>
      </c>
      <c r="B3175" t="str">
        <f>"1552380048578657"</f>
        <v>1552380048578657</v>
      </c>
      <c r="C3175" t="s">
        <v>40</v>
      </c>
      <c r="D3175">
        <v>5.4408969999999997</v>
      </c>
      <c r="E3175">
        <v>0.47611290000000001</v>
      </c>
      <c r="F3175" t="s">
        <v>46</v>
      </c>
      <c r="G3175">
        <v>-486.11779999999999</v>
      </c>
      <c r="H3175" s="1">
        <v>3.4426899999999998E-6</v>
      </c>
      <c r="I3175">
        <v>222.0669</v>
      </c>
      <c r="J3175">
        <v>-491.8811</v>
      </c>
      <c r="K3175">
        <v>1.1148359999999999</v>
      </c>
      <c r="L3175">
        <v>230.916</v>
      </c>
      <c r="M3175">
        <v>0.19980510000000001</v>
      </c>
      <c r="N3175">
        <v>0</v>
      </c>
      <c r="O3175">
        <v>-0.97974090000000003</v>
      </c>
      <c r="P3175">
        <v>0.48225479999999998</v>
      </c>
      <c r="Q3175">
        <v>0.113632399999999</v>
      </c>
      <c r="R3175">
        <v>-0.86862999999999901</v>
      </c>
      <c r="S3175">
        <v>1.6507259999999999</v>
      </c>
      <c r="T3175">
        <v>-0.31616490000000003</v>
      </c>
      <c r="U3175">
        <v>-2.580444</v>
      </c>
      <c r="V3175">
        <v>-0.30032150000000002</v>
      </c>
      <c r="W3175">
        <v>0.1232631</v>
      </c>
      <c r="X3175">
        <v>0.94583989999999996</v>
      </c>
      <c r="Y3175">
        <v>-0.3567109</v>
      </c>
      <c r="Z3175">
        <v>0.1044025</v>
      </c>
      <c r="AA3175">
        <v>0.92836280000000004</v>
      </c>
      <c r="AB3175">
        <v>25</v>
      </c>
      <c r="AC3175">
        <v>5.7633000000000099</v>
      </c>
      <c r="AD3175">
        <v>-1.11483255731</v>
      </c>
      <c r="AE3175">
        <v>-8.8490999999999893</v>
      </c>
      <c r="AF3175">
        <v>-3.8360549087887699</v>
      </c>
      <c r="AG3175">
        <v>-1.11483255731</v>
      </c>
      <c r="AH3175">
        <v>9.7140167207686297</v>
      </c>
      <c r="AI3175">
        <v>96.092891123386494</v>
      </c>
      <c r="AJ3175">
        <v>111.54901094922801</v>
      </c>
      <c r="AK3175">
        <v>10.503346597416099</v>
      </c>
      <c r="AL3175">
        <v>82.9195366438951</v>
      </c>
      <c r="AM3175">
        <v>107.615597049314</v>
      </c>
      <c r="AN3175">
        <v>0.99999995580793399</v>
      </c>
    </row>
    <row r="3176" spans="1:40" x14ac:dyDescent="0.25">
      <c r="A3176" t="str">
        <f>"20190312164048611"</f>
        <v>20190312164048611</v>
      </c>
      <c r="B3176" t="str">
        <f>"1552380048599153"</f>
        <v>1552380048599153</v>
      </c>
      <c r="C3176" t="s">
        <v>40</v>
      </c>
      <c r="D3176">
        <v>5.4603950000000001</v>
      </c>
      <c r="E3176">
        <v>0.4758404</v>
      </c>
      <c r="F3176" t="s">
        <v>46</v>
      </c>
      <c r="G3176">
        <v>-486.06920000000002</v>
      </c>
      <c r="H3176" s="1">
        <v>3.408613E-6</v>
      </c>
      <c r="I3176">
        <v>221.99170000000001</v>
      </c>
      <c r="J3176">
        <v>-491.82420000000002</v>
      </c>
      <c r="K3176">
        <v>1.114962</v>
      </c>
      <c r="L3176">
        <v>230.67449999999999</v>
      </c>
      <c r="M3176">
        <v>0.20653479999999999</v>
      </c>
      <c r="N3176">
        <v>0</v>
      </c>
      <c r="O3176">
        <v>-0.97834410000000005</v>
      </c>
      <c r="P3176">
        <v>0.4876086</v>
      </c>
      <c r="Q3176">
        <v>0.112932199999999</v>
      </c>
      <c r="R3176">
        <v>-0.86572769999999999</v>
      </c>
      <c r="S3176">
        <v>1.671997</v>
      </c>
      <c r="T3176">
        <v>-0.32071809999999901</v>
      </c>
      <c r="U3176">
        <v>-2.567383</v>
      </c>
      <c r="V3176">
        <v>-0.29966989999999999</v>
      </c>
      <c r="W3176">
        <v>0.12249790000000001</v>
      </c>
      <c r="X3176">
        <v>0.94614600000000004</v>
      </c>
      <c r="Y3176">
        <v>-0.3577708</v>
      </c>
      <c r="Z3176">
        <v>0.10586909999999999</v>
      </c>
      <c r="AA3176">
        <v>0.92778870000000002</v>
      </c>
      <c r="AB3176">
        <v>25</v>
      </c>
      <c r="AC3176">
        <v>5.7549999999999901</v>
      </c>
      <c r="AD3176">
        <v>-1.1149585913869999</v>
      </c>
      <c r="AE3176">
        <v>-8.6827999999999808</v>
      </c>
      <c r="AF3176">
        <v>-3.793962522318</v>
      </c>
      <c r="AG3176">
        <v>-1.1149585913869999</v>
      </c>
      <c r="AH3176">
        <v>9.5745864407505294</v>
      </c>
      <c r="AI3176">
        <v>96.178789398903504</v>
      </c>
      <c r="AJ3176">
        <v>111.616115728526</v>
      </c>
      <c r="AK3176">
        <v>10.3590535181871</v>
      </c>
      <c r="AL3176">
        <v>82.963714624189194</v>
      </c>
      <c r="AM3176">
        <v>107.574395886236</v>
      </c>
      <c r="AN3176">
        <v>1.0000000188931999</v>
      </c>
    </row>
    <row r="3177" spans="1:40" x14ac:dyDescent="0.25">
      <c r="A3177" t="str">
        <f>"20190312164048632"</f>
        <v>20190312164048632</v>
      </c>
      <c r="B3177" t="str">
        <f>"1552380048629409"</f>
        <v>1552380048629409</v>
      </c>
      <c r="C3177" t="s">
        <v>40</v>
      </c>
      <c r="D3177">
        <v>5.2557150000000004</v>
      </c>
      <c r="E3177">
        <v>0.47584520000000002</v>
      </c>
      <c r="F3177" t="s">
        <v>46</v>
      </c>
      <c r="G3177">
        <v>-486.0582</v>
      </c>
      <c r="H3177" s="1">
        <v>3.3940399999999999E-6</v>
      </c>
      <c r="I3177">
        <v>221.95249999999999</v>
      </c>
      <c r="J3177">
        <v>-491.76850000000002</v>
      </c>
      <c r="K3177">
        <v>1.1150949999999999</v>
      </c>
      <c r="L3177">
        <v>230.4462</v>
      </c>
      <c r="M3177">
        <v>0.21309829999999999</v>
      </c>
      <c r="N3177">
        <v>0</v>
      </c>
      <c r="O3177">
        <v>-0.97693540000000001</v>
      </c>
      <c r="P3177">
        <v>0.49302069999999998</v>
      </c>
      <c r="Q3177">
        <v>0.11250019999999999</v>
      </c>
      <c r="R3177">
        <v>-0.86271350000000002</v>
      </c>
      <c r="S3177">
        <v>1.689819</v>
      </c>
      <c r="T3177">
        <v>-0.32675949999999998</v>
      </c>
      <c r="U3177">
        <v>-2.556168</v>
      </c>
      <c r="V3177">
        <v>-0.2992649</v>
      </c>
      <c r="W3177">
        <v>0.1219949</v>
      </c>
      <c r="X3177">
        <v>0.94633909999999999</v>
      </c>
      <c r="Y3177">
        <v>-0.35776520000000001</v>
      </c>
      <c r="Z3177">
        <v>0.1078088</v>
      </c>
      <c r="AA3177">
        <v>0.92756740000000004</v>
      </c>
      <c r="AB3177">
        <v>25</v>
      </c>
      <c r="AC3177">
        <v>5.7103000000000099</v>
      </c>
      <c r="AD3177">
        <v>-1.11509160596</v>
      </c>
      <c r="AE3177">
        <v>-8.4937000000000094</v>
      </c>
      <c r="AF3177">
        <v>-3.72473824114615</v>
      </c>
      <c r="AG3177">
        <v>-1.11509160596</v>
      </c>
      <c r="AH3177">
        <v>9.4039099127367702</v>
      </c>
      <c r="AI3177">
        <v>96.291146964318202</v>
      </c>
      <c r="AJ3177">
        <v>111.60772596785</v>
      </c>
      <c r="AK3177">
        <v>10.175982797823901</v>
      </c>
      <c r="AL3177">
        <v>82.992751803193201</v>
      </c>
      <c r="AM3177">
        <v>107.548741893086</v>
      </c>
      <c r="AN3177">
        <v>0.99999996409341396</v>
      </c>
    </row>
    <row r="3178" spans="1:40" x14ac:dyDescent="0.25">
      <c r="A3178" t="str">
        <f>"20190312164048654"</f>
        <v>20190312164048654</v>
      </c>
      <c r="B3178" t="str">
        <f>"1552380048648930"</f>
        <v>1552380048648930</v>
      </c>
      <c r="C3178" t="s">
        <v>40</v>
      </c>
      <c r="D3178">
        <v>5.2983820000000001</v>
      </c>
      <c r="E3178">
        <v>0.47549259999999899</v>
      </c>
      <c r="F3178" t="s">
        <v>46</v>
      </c>
      <c r="G3178">
        <v>-486.06290000000001</v>
      </c>
      <c r="H3178" s="1">
        <v>3.3891319999999999E-6</v>
      </c>
      <c r="I3178">
        <v>221.9333</v>
      </c>
      <c r="J3178">
        <v>-491.7088</v>
      </c>
      <c r="K3178">
        <v>1.115245</v>
      </c>
      <c r="L3178">
        <v>230.20930000000001</v>
      </c>
      <c r="M3178">
        <v>0.22012010000000001</v>
      </c>
      <c r="N3178">
        <v>0</v>
      </c>
      <c r="O3178">
        <v>-0.97537680000000004</v>
      </c>
      <c r="P3178">
        <v>0.49857299999999899</v>
      </c>
      <c r="Q3178">
        <v>0.11239730000000001</v>
      </c>
      <c r="R3178">
        <v>-0.85953040000000003</v>
      </c>
      <c r="S3178">
        <v>1.7062679999999999</v>
      </c>
      <c r="T3178">
        <v>-0.33346900000000002</v>
      </c>
      <c r="U3178">
        <v>-2.5457920000000001</v>
      </c>
      <c r="V3178">
        <v>-0.29859819999999998</v>
      </c>
      <c r="W3178">
        <v>0.12181409999999999</v>
      </c>
      <c r="X3178">
        <v>0.946573</v>
      </c>
      <c r="Y3178">
        <v>-0.35680610000000001</v>
      </c>
      <c r="Z3178">
        <v>0.109941899999999</v>
      </c>
      <c r="AA3178">
        <v>0.92768649999999997</v>
      </c>
      <c r="AB3178">
        <v>25</v>
      </c>
      <c r="AC3178">
        <v>5.6458999999999797</v>
      </c>
      <c r="AD3178">
        <v>-1.1152416108679899</v>
      </c>
      <c r="AE3178">
        <v>-8.2759999999999998</v>
      </c>
      <c r="AF3178">
        <v>-3.64039918644256</v>
      </c>
      <c r="AG3178">
        <v>-1.1152416108679899</v>
      </c>
      <c r="AH3178">
        <v>9.2018375712338898</v>
      </c>
      <c r="AI3178">
        <v>96.430033850192601</v>
      </c>
      <c r="AJ3178">
        <v>111.584571141805</v>
      </c>
      <c r="AK3178">
        <v>9.9584177847002806</v>
      </c>
      <c r="AL3178">
        <v>83.003188988497797</v>
      </c>
      <c r="AM3178">
        <v>107.507976189053</v>
      </c>
      <c r="AN3178">
        <v>1.00000000216552</v>
      </c>
    </row>
    <row r="3179" spans="1:40" x14ac:dyDescent="0.25">
      <c r="A3179" t="str">
        <f>"20190312164048680"</f>
        <v>20190312164048680</v>
      </c>
      <c r="B3179" t="str">
        <f>"1552380048669425"</f>
        <v>1552380048669425</v>
      </c>
      <c r="C3179" t="s">
        <v>40</v>
      </c>
      <c r="D3179">
        <v>5.2972349999999997</v>
      </c>
      <c r="E3179">
        <v>0.47546719999999998</v>
      </c>
      <c r="F3179" t="s">
        <v>46</v>
      </c>
      <c r="G3179">
        <v>-485.97539999999998</v>
      </c>
      <c r="H3179" s="1">
        <v>3.324811E-6</v>
      </c>
      <c r="I3179">
        <v>221.78819999999999</v>
      </c>
      <c r="J3179">
        <v>-491.63940000000002</v>
      </c>
      <c r="K3179">
        <v>1.1154280000000001</v>
      </c>
      <c r="L3179">
        <v>229.94409999999999</v>
      </c>
      <c r="M3179">
        <v>0.22826250000000001</v>
      </c>
      <c r="N3179">
        <v>0</v>
      </c>
      <c r="O3179">
        <v>-0.97350320000000001</v>
      </c>
      <c r="P3179">
        <v>0.50529040000000003</v>
      </c>
      <c r="Q3179">
        <v>0.11304</v>
      </c>
      <c r="R3179">
        <v>-0.855514</v>
      </c>
      <c r="S3179">
        <v>1.724945</v>
      </c>
      <c r="T3179">
        <v>-0.33553189999999999</v>
      </c>
      <c r="U3179">
        <v>-2.533569</v>
      </c>
      <c r="V3179">
        <v>-0.29818319999999998</v>
      </c>
      <c r="W3179">
        <v>0.1223564</v>
      </c>
      <c r="X3179">
        <v>0.94663390000000003</v>
      </c>
      <c r="Y3179">
        <v>-0.355722599999999</v>
      </c>
      <c r="Z3179">
        <v>0.1105492</v>
      </c>
      <c r="AA3179">
        <v>0.92803029999999997</v>
      </c>
      <c r="AB3179">
        <v>25</v>
      </c>
      <c r="AC3179">
        <v>5.6640000000000397</v>
      </c>
      <c r="AD3179">
        <v>-1.115424675189</v>
      </c>
      <c r="AE3179">
        <v>-8.1559000000000008</v>
      </c>
      <c r="AF3179">
        <v>-3.60706342524922</v>
      </c>
      <c r="AG3179">
        <v>-1.115424675189</v>
      </c>
      <c r="AH3179">
        <v>9.1184794919759309</v>
      </c>
      <c r="AI3179">
        <v>96.489458402030806</v>
      </c>
      <c r="AJ3179">
        <v>111.58262645871</v>
      </c>
      <c r="AK3179">
        <v>9.8692323412399592</v>
      </c>
      <c r="AL3179">
        <v>82.971883469817698</v>
      </c>
      <c r="AM3179">
        <v>107.484070601711</v>
      </c>
      <c r="AN3179">
        <v>1.0000000250062</v>
      </c>
    </row>
    <row r="3180" spans="1:40" x14ac:dyDescent="0.25">
      <c r="A3180" t="str">
        <f>"20190312164048703"</f>
        <v>20190312164048703</v>
      </c>
      <c r="B3180" t="str">
        <f>"1552380048699681"</f>
        <v>1552380048699681</v>
      </c>
      <c r="C3180" t="s">
        <v>40</v>
      </c>
      <c r="D3180">
        <v>5.4961390000000003</v>
      </c>
      <c r="E3180">
        <v>0.47547689999999998</v>
      </c>
      <c r="F3180" t="s">
        <v>46</v>
      </c>
      <c r="G3180">
        <v>-485.76299999999998</v>
      </c>
      <c r="H3180" s="1">
        <v>3.1975619999999999E-6</v>
      </c>
      <c r="I3180">
        <v>221.45570000000001</v>
      </c>
      <c r="J3180">
        <v>-491.57350000000002</v>
      </c>
      <c r="K3180">
        <v>1.11561</v>
      </c>
      <c r="L3180">
        <v>229.70179999999999</v>
      </c>
      <c r="M3180">
        <v>0.23600090000000001</v>
      </c>
      <c r="N3180">
        <v>0</v>
      </c>
      <c r="O3180">
        <v>-0.97165599999999996</v>
      </c>
      <c r="P3180">
        <v>0.51237310000000003</v>
      </c>
      <c r="Q3180">
        <v>0.114383</v>
      </c>
      <c r="R3180">
        <v>-0.85111190000000003</v>
      </c>
      <c r="S3180">
        <v>1.7445980000000001</v>
      </c>
      <c r="T3180">
        <v>-0.3311461</v>
      </c>
      <c r="U3180">
        <v>-2.520035</v>
      </c>
      <c r="V3180">
        <v>-0.29861969999999999</v>
      </c>
      <c r="W3180">
        <v>0.1235892</v>
      </c>
      <c r="X3180">
        <v>0.94633610000000001</v>
      </c>
      <c r="Y3180">
        <v>-0.35561160000000003</v>
      </c>
      <c r="Z3180">
        <v>0.1090759</v>
      </c>
      <c r="AA3180">
        <v>0.92824720000000005</v>
      </c>
      <c r="AB3180">
        <v>25</v>
      </c>
      <c r="AC3180">
        <v>5.8104999999999896</v>
      </c>
      <c r="AD3180">
        <v>-1.1156068024379999</v>
      </c>
      <c r="AE3180">
        <v>-8.2460999999999807</v>
      </c>
      <c r="AF3180">
        <v>-3.6553613792725801</v>
      </c>
      <c r="AG3180">
        <v>-1.1156068024379999</v>
      </c>
      <c r="AH3180">
        <v>9.2711479133949695</v>
      </c>
      <c r="AI3180">
        <v>96.387341791460202</v>
      </c>
      <c r="AJ3180">
        <v>111.517968572339</v>
      </c>
      <c r="AK3180">
        <v>10.027982298686499</v>
      </c>
      <c r="AL3180">
        <v>82.900708946444297</v>
      </c>
      <c r="AM3180">
        <v>107.51327499915401</v>
      </c>
      <c r="AN3180">
        <v>1.0000000148739601</v>
      </c>
    </row>
    <row r="3181" spans="1:40" x14ac:dyDescent="0.25">
      <c r="A3181" t="str">
        <f>"20190312164048723"</f>
        <v>20190312164048723</v>
      </c>
      <c r="B3181" t="str">
        <f>"1552380048719201"</f>
        <v>1552380048719201</v>
      </c>
      <c r="C3181" t="s">
        <v>40</v>
      </c>
      <c r="D3181">
        <v>5.4903620000000002</v>
      </c>
      <c r="E3181">
        <v>0.47547990000000001</v>
      </c>
      <c r="F3181" t="s">
        <v>46</v>
      </c>
      <c r="G3181">
        <v>-485.49770000000001</v>
      </c>
      <c r="H3181" s="1">
        <v>3.0664099999999998E-6</v>
      </c>
      <c r="I3181">
        <v>221.0753</v>
      </c>
      <c r="J3181">
        <v>-491.51280000000003</v>
      </c>
      <c r="K3181">
        <v>1.1157570000000001</v>
      </c>
      <c r="L3181">
        <v>229.48580000000001</v>
      </c>
      <c r="M3181">
        <v>0.24309620000000001</v>
      </c>
      <c r="N3181">
        <v>0</v>
      </c>
      <c r="O3181">
        <v>-0.96990449999999995</v>
      </c>
      <c r="P3181">
        <v>0.51905389999999996</v>
      </c>
      <c r="Q3181">
        <v>0.11489240000000001</v>
      </c>
      <c r="R3181">
        <v>-0.84698469999999904</v>
      </c>
      <c r="S3181">
        <v>1.764923</v>
      </c>
      <c r="T3181">
        <v>-0.32406580000000001</v>
      </c>
      <c r="U3181">
        <v>-2.5058590000000001</v>
      </c>
      <c r="V3181">
        <v>-0.29921639999999999</v>
      </c>
      <c r="W3181">
        <v>0.12400650000000001</v>
      </c>
      <c r="X3181">
        <v>0.94609299999999996</v>
      </c>
      <c r="Y3181">
        <v>-0.35643909999999901</v>
      </c>
      <c r="Z3181">
        <v>0.1067342</v>
      </c>
      <c r="AA3181">
        <v>0.92820199999999997</v>
      </c>
      <c r="AB3181">
        <v>25</v>
      </c>
      <c r="AC3181">
        <v>6.0151000000000101</v>
      </c>
      <c r="AD3181">
        <v>-1.11575393359</v>
      </c>
      <c r="AE3181">
        <v>-8.4105000000000096</v>
      </c>
      <c r="AF3181">
        <v>-3.74625132069239</v>
      </c>
      <c r="AG3181">
        <v>-1.11575393359</v>
      </c>
      <c r="AH3181">
        <v>9.5098131265352102</v>
      </c>
      <c r="AI3181">
        <v>96.229842693483604</v>
      </c>
      <c r="AJ3181">
        <v>111.50123248900501</v>
      </c>
      <c r="AK3181">
        <v>10.281821409639999</v>
      </c>
      <c r="AL3181">
        <v>82.876614070452504</v>
      </c>
      <c r="AM3181">
        <v>107.550356372707</v>
      </c>
      <c r="AN3181">
        <v>1.0000000153601001</v>
      </c>
    </row>
    <row r="3182" spans="1:40" x14ac:dyDescent="0.25">
      <c r="A3182" t="str">
        <f>"20190312164048745"</f>
        <v>20190312164048745</v>
      </c>
      <c r="B3182" t="str">
        <f>"1552380048739697"</f>
        <v>1552380048739697</v>
      </c>
      <c r="C3182" t="s">
        <v>40</v>
      </c>
      <c r="D3182">
        <v>5.4358620000000002</v>
      </c>
      <c r="E3182">
        <v>0.47548770000000001</v>
      </c>
      <c r="F3182" t="s">
        <v>46</v>
      </c>
      <c r="G3182">
        <v>-485.3098</v>
      </c>
      <c r="H3182" s="1">
        <v>2.977373E-6</v>
      </c>
      <c r="I3182">
        <v>220.82339999999999</v>
      </c>
      <c r="J3182">
        <v>-491.44310000000002</v>
      </c>
      <c r="K3182">
        <v>1.1159079999999999</v>
      </c>
      <c r="L3182">
        <v>229.24619999999999</v>
      </c>
      <c r="M3182">
        <v>0.25121130000000003</v>
      </c>
      <c r="N3182">
        <v>0</v>
      </c>
      <c r="O3182">
        <v>-0.96783410000000003</v>
      </c>
      <c r="P3182">
        <v>0.52645710000000001</v>
      </c>
      <c r="Q3182">
        <v>0.1150173</v>
      </c>
      <c r="R3182">
        <v>-0.84238630000000003</v>
      </c>
      <c r="S3182">
        <v>1.784454</v>
      </c>
      <c r="T3182">
        <v>-0.3209728</v>
      </c>
      <c r="U3182">
        <v>-2.491943</v>
      </c>
      <c r="V3182">
        <v>-0.29963649999999997</v>
      </c>
      <c r="W3182">
        <v>0.1240382</v>
      </c>
      <c r="X3182">
        <v>0.94595589999999996</v>
      </c>
      <c r="Y3182">
        <v>-0.35594900000000002</v>
      </c>
      <c r="Z3182">
        <v>0.1056619</v>
      </c>
      <c r="AA3182">
        <v>0.92851280000000003</v>
      </c>
      <c r="AB3182">
        <v>25</v>
      </c>
      <c r="AC3182">
        <v>6.13330000000001</v>
      </c>
      <c r="AD3182">
        <v>-1.115905022627</v>
      </c>
      <c r="AE3182">
        <v>-8.4227999999999899</v>
      </c>
      <c r="AF3182">
        <v>-3.7771517068375098</v>
      </c>
      <c r="AG3182">
        <v>-1.115905022627</v>
      </c>
      <c r="AH3182">
        <v>9.5836198882211505</v>
      </c>
      <c r="AI3182">
        <v>96.182669618456302</v>
      </c>
      <c r="AJ3182">
        <v>111.510678457111</v>
      </c>
      <c r="AK3182">
        <v>10.361365218826</v>
      </c>
      <c r="AL3182">
        <v>82.874783810066006</v>
      </c>
      <c r="AM3182">
        <v>107.57587167479799</v>
      </c>
      <c r="AN3182">
        <v>1.00000003596814</v>
      </c>
    </row>
    <row r="3183" spans="1:40" x14ac:dyDescent="0.25">
      <c r="A3183" t="str">
        <f>"20190312164048767"</f>
        <v>20190312164048767</v>
      </c>
      <c r="B3183" t="str">
        <f>"1552380048759218"</f>
        <v>1552380048759218</v>
      </c>
      <c r="C3183" t="s">
        <v>40</v>
      </c>
      <c r="D3183">
        <v>5.4266240000000003</v>
      </c>
      <c r="E3183">
        <v>0.47492129999999999</v>
      </c>
      <c r="F3183" t="s">
        <v>46</v>
      </c>
      <c r="G3183">
        <v>-485.12830000000002</v>
      </c>
      <c r="H3183" s="1">
        <v>2.8930320000000001E-6</v>
      </c>
      <c r="I3183">
        <v>220.58750000000001</v>
      </c>
      <c r="J3183">
        <v>-491.3741</v>
      </c>
      <c r="K3183">
        <v>1.1160540000000001</v>
      </c>
      <c r="L3183">
        <v>229.0164</v>
      </c>
      <c r="M3183">
        <v>0.2592508</v>
      </c>
      <c r="N3183">
        <v>0</v>
      </c>
      <c r="O3183">
        <v>-0.96571149999999994</v>
      </c>
      <c r="P3183">
        <v>0.53424039999999995</v>
      </c>
      <c r="Q3183">
        <v>0.1150737</v>
      </c>
      <c r="R3183">
        <v>-0.83746379999999998</v>
      </c>
      <c r="S3183">
        <v>1.805939</v>
      </c>
      <c r="T3183">
        <v>-0.31912970000000002</v>
      </c>
      <c r="U3183">
        <v>-2.4762420000000001</v>
      </c>
      <c r="V3183">
        <v>-0.3005852</v>
      </c>
      <c r="W3183">
        <v>0.1239942</v>
      </c>
      <c r="X3183">
        <v>0.94566059999999996</v>
      </c>
      <c r="Y3183">
        <v>-0.35628609999999999</v>
      </c>
      <c r="Z3183">
        <v>0.10500619999999999</v>
      </c>
      <c r="AA3183">
        <v>0.9284578</v>
      </c>
      <c r="AB3183">
        <v>25</v>
      </c>
      <c r="AC3183">
        <v>6.2457999999999698</v>
      </c>
      <c r="AD3183">
        <v>-1.1160511069679999</v>
      </c>
      <c r="AE3183">
        <v>-8.4288999999999898</v>
      </c>
      <c r="AF3183">
        <v>-3.8037586184185601</v>
      </c>
      <c r="AG3183">
        <v>-1.1160511069679999</v>
      </c>
      <c r="AH3183">
        <v>9.6508193576829004</v>
      </c>
      <c r="AI3183">
        <v>96.140720533919307</v>
      </c>
      <c r="AJ3183">
        <v>111.511304693269</v>
      </c>
      <c r="AK3183">
        <v>10.433238422234201</v>
      </c>
      <c r="AL3183">
        <v>82.877324160164804</v>
      </c>
      <c r="AM3183">
        <v>107.633242588504</v>
      </c>
      <c r="AN3183">
        <v>0.99999999724251898</v>
      </c>
    </row>
    <row r="3184" spans="1:40" x14ac:dyDescent="0.25">
      <c r="A3184" t="str">
        <f>"20190312164048789"</f>
        <v>20190312164048789</v>
      </c>
      <c r="B3184" t="str">
        <f>"1552380048778737"</f>
        <v>1552380048778737</v>
      </c>
      <c r="C3184" t="s">
        <v>40</v>
      </c>
      <c r="D3184">
        <v>5.3110910000000002</v>
      </c>
      <c r="E3184">
        <v>0.4471985</v>
      </c>
      <c r="F3184" t="s">
        <v>46</v>
      </c>
      <c r="G3184">
        <v>-484.97800000000001</v>
      </c>
      <c r="H3184" s="1">
        <v>2.8340119999999998E-6</v>
      </c>
      <c r="I3184">
        <v>220.44120000000001</v>
      </c>
      <c r="J3184">
        <v>-491.303</v>
      </c>
      <c r="K3184">
        <v>1.1162160000000001</v>
      </c>
      <c r="L3184">
        <v>228.78790000000001</v>
      </c>
      <c r="M3184">
        <v>0.26750180000000001</v>
      </c>
      <c r="N3184">
        <v>0</v>
      </c>
      <c r="O3184">
        <v>-0.96345789999999998</v>
      </c>
      <c r="P3184">
        <v>0.54249320000000001</v>
      </c>
      <c r="Q3184">
        <v>0.115064899999999</v>
      </c>
      <c r="R3184">
        <v>-0.83214270000000001</v>
      </c>
      <c r="S3184">
        <v>1.8327329999999999</v>
      </c>
      <c r="T3184">
        <v>-0.319791099999999</v>
      </c>
      <c r="U3184">
        <v>-2.4571230000000002</v>
      </c>
      <c r="V3184">
        <v>-0.30189450000000001</v>
      </c>
      <c r="W3184">
        <v>0.123873499999999</v>
      </c>
      <c r="X3184">
        <v>0.94525930000000002</v>
      </c>
      <c r="Y3184">
        <v>-0.35825770000000001</v>
      </c>
      <c r="Z3184">
        <v>0.10516010000000001</v>
      </c>
      <c r="AA3184">
        <v>0.92768139999999999</v>
      </c>
      <c r="AB3184">
        <v>25</v>
      </c>
      <c r="AC3184">
        <v>6.3250000000000401</v>
      </c>
      <c r="AD3184">
        <v>-1.1162131659879999</v>
      </c>
      <c r="AE3184">
        <v>-8.3466999999999896</v>
      </c>
      <c r="AF3184">
        <v>-3.8181086858307101</v>
      </c>
      <c r="AG3184">
        <v>-1.1162131659879999</v>
      </c>
      <c r="AH3184">
        <v>9.6252291940372601</v>
      </c>
      <c r="AI3184">
        <v>96.152506151954299</v>
      </c>
      <c r="AJ3184">
        <v>111.637097456514</v>
      </c>
      <c r="AK3184">
        <v>10.414841468139899</v>
      </c>
      <c r="AL3184">
        <v>82.884293787371007</v>
      </c>
      <c r="AM3184">
        <v>107.71230930356199</v>
      </c>
      <c r="AN3184">
        <v>1.0000000386844901</v>
      </c>
    </row>
    <row r="3185" spans="1:40" x14ac:dyDescent="0.25">
      <c r="A3185" t="str">
        <f>"20190312164048810"</f>
        <v>20190312164048810</v>
      </c>
      <c r="B3185" t="str">
        <f>"1552380048799237"</f>
        <v>1552380048799237</v>
      </c>
      <c r="C3185" t="s">
        <v>40</v>
      </c>
      <c r="D3185">
        <v>5.3131069999999996</v>
      </c>
      <c r="E3185">
        <v>0.44636330000000002</v>
      </c>
      <c r="F3185" t="s">
        <v>46</v>
      </c>
      <c r="G3185">
        <v>-483.73020000000002</v>
      </c>
      <c r="H3185" s="1">
        <v>2.5567049999999999E-6</v>
      </c>
      <c r="I3185">
        <v>220.18799999999999</v>
      </c>
      <c r="J3185">
        <v>-491.2303</v>
      </c>
      <c r="K3185">
        <v>1.116393</v>
      </c>
      <c r="L3185">
        <v>228.56180000000001</v>
      </c>
      <c r="M3185">
        <v>0.27594079999999999</v>
      </c>
      <c r="N3185">
        <v>0</v>
      </c>
      <c r="O3185">
        <v>-0.96107450000000005</v>
      </c>
      <c r="P3185">
        <v>0.55060919999999902</v>
      </c>
      <c r="Q3185">
        <v>0.1148337</v>
      </c>
      <c r="R3185">
        <v>-0.82682699999999998</v>
      </c>
      <c r="S3185">
        <v>2.0400390000000002</v>
      </c>
      <c r="T3185">
        <v>-0.30069600000000002</v>
      </c>
      <c r="U3185">
        <v>-2.3167270000000002</v>
      </c>
      <c r="V3185">
        <v>-0.302896</v>
      </c>
      <c r="W3185">
        <v>0.1235281</v>
      </c>
      <c r="X3185">
        <v>0.94498400000000005</v>
      </c>
      <c r="Y3185">
        <v>-0.42476209999999998</v>
      </c>
      <c r="Z3185">
        <v>9.9187960000000006E-2</v>
      </c>
      <c r="AA3185">
        <v>0.89985499999999996</v>
      </c>
      <c r="AB3185">
        <v>25</v>
      </c>
      <c r="AC3185">
        <v>7.5000999999999696</v>
      </c>
      <c r="AD3185">
        <v>-1.116390443295</v>
      </c>
      <c r="AE3185">
        <v>-8.3738000000000099</v>
      </c>
      <c r="AF3185">
        <v>-4.8501195180503798</v>
      </c>
      <c r="AG3185">
        <v>-1.116390443295</v>
      </c>
      <c r="AH3185">
        <v>10.019586224119699</v>
      </c>
      <c r="AI3185">
        <v>95.726980964381198</v>
      </c>
      <c r="AJ3185">
        <v>115.829946212134</v>
      </c>
      <c r="AK3185">
        <v>11.187586650561601</v>
      </c>
      <c r="AL3185">
        <v>82.904236425948</v>
      </c>
      <c r="AM3185">
        <v>107.772228745129</v>
      </c>
      <c r="AN3185">
        <v>0.99999996928080404</v>
      </c>
    </row>
    <row r="3186" spans="1:40" x14ac:dyDescent="0.25">
      <c r="A3186" t="str">
        <f>"20190312164048833"</f>
        <v>20190312164048833</v>
      </c>
      <c r="B3186" t="str">
        <f>"1552380048829490"</f>
        <v>1552380048829490</v>
      </c>
      <c r="C3186" t="s">
        <v>40</v>
      </c>
      <c r="D3186">
        <v>5.3532419999999998</v>
      </c>
      <c r="E3186">
        <v>0.44644499999999998</v>
      </c>
      <c r="F3186" t="s">
        <v>46</v>
      </c>
      <c r="G3186">
        <v>-483.10570000000001</v>
      </c>
      <c r="H3186" s="1">
        <v>2.3166239999999998E-6</v>
      </c>
      <c r="I3186">
        <v>219.54949999999999</v>
      </c>
      <c r="J3186">
        <v>-491.15359999999998</v>
      </c>
      <c r="K3186">
        <v>1.116582</v>
      </c>
      <c r="L3186">
        <v>228.3313</v>
      </c>
      <c r="M3186">
        <v>0.28482819999999998</v>
      </c>
      <c r="N3186">
        <v>0</v>
      </c>
      <c r="O3186">
        <v>-0.95847760000000004</v>
      </c>
      <c r="P3186">
        <v>0.55928520000000004</v>
      </c>
      <c r="Q3186">
        <v>0.11439009999999999</v>
      </c>
      <c r="R3186">
        <v>-0.82104539999999904</v>
      </c>
      <c r="S3186">
        <v>2.0661320000000001</v>
      </c>
      <c r="T3186">
        <v>-0.28390749999999998</v>
      </c>
      <c r="U3186">
        <v>-2.2919010000000002</v>
      </c>
      <c r="V3186">
        <v>-0.3041314</v>
      </c>
      <c r="W3186">
        <v>0.1229556</v>
      </c>
      <c r="X3186">
        <v>0.94466190000000005</v>
      </c>
      <c r="Y3186">
        <v>-0.4272456</v>
      </c>
      <c r="Z3186">
        <v>9.3712580000000004E-2</v>
      </c>
      <c r="AA3186">
        <v>0.89926589999999995</v>
      </c>
      <c r="AB3186">
        <v>25</v>
      </c>
      <c r="AC3186">
        <v>8.0478999999999701</v>
      </c>
      <c r="AD3186">
        <v>-1.116579683376</v>
      </c>
      <c r="AE3186">
        <v>-8.7818000000000005</v>
      </c>
      <c r="AF3186">
        <v>-5.1675260824750904</v>
      </c>
      <c r="AG3186">
        <v>-1.116579683376</v>
      </c>
      <c r="AH3186">
        <v>10.6171730468095</v>
      </c>
      <c r="AI3186">
        <v>95.401922546851793</v>
      </c>
      <c r="AJ3186">
        <v>115.95283244701101</v>
      </c>
      <c r="AK3186">
        <v>11.860625595148299</v>
      </c>
      <c r="AL3186">
        <v>82.937290790902196</v>
      </c>
      <c r="AM3186">
        <v>107.845825532774</v>
      </c>
      <c r="AN3186">
        <v>1.0000000466744601</v>
      </c>
    </row>
    <row r="3187" spans="1:40" x14ac:dyDescent="0.25">
      <c r="A3187" t="str">
        <f>"20190312164048856"</f>
        <v>20190312164048856</v>
      </c>
      <c r="B3187" t="str">
        <f>"1552380048849009"</f>
        <v>1552380048849009</v>
      </c>
      <c r="C3187" t="s">
        <v>40</v>
      </c>
      <c r="D3187">
        <v>5.3968179999999997</v>
      </c>
      <c r="E3187">
        <v>0.4465925</v>
      </c>
      <c r="F3187" t="s">
        <v>46</v>
      </c>
      <c r="G3187">
        <v>-483.25490000000002</v>
      </c>
      <c r="H3187" s="1">
        <v>2.374773E-6</v>
      </c>
      <c r="I3187">
        <v>219.7465</v>
      </c>
      <c r="J3187">
        <v>-491.07139999999998</v>
      </c>
      <c r="K3187">
        <v>1.116784</v>
      </c>
      <c r="L3187">
        <v>228.09289999999999</v>
      </c>
      <c r="M3187">
        <v>0.29433359999999997</v>
      </c>
      <c r="N3187">
        <v>0</v>
      </c>
      <c r="O3187">
        <v>-0.95560089999999998</v>
      </c>
      <c r="P3187">
        <v>0.56878479999999998</v>
      </c>
      <c r="Q3187">
        <v>0.1145699</v>
      </c>
      <c r="R3187">
        <v>-0.81446790000000002</v>
      </c>
      <c r="S3187">
        <v>2.089874</v>
      </c>
      <c r="T3187">
        <v>-0.29543029999999998</v>
      </c>
      <c r="U3187">
        <v>-2.271423</v>
      </c>
      <c r="V3187">
        <v>-0.30579669999999998</v>
      </c>
      <c r="W3187">
        <v>0.12298870000000001</v>
      </c>
      <c r="X3187">
        <v>0.94411979999999995</v>
      </c>
      <c r="Y3187">
        <v>-0.4271605</v>
      </c>
      <c r="Z3187">
        <v>9.7388089999999997E-2</v>
      </c>
      <c r="AA3187">
        <v>0.89891569999999898</v>
      </c>
      <c r="AB3187">
        <v>25</v>
      </c>
      <c r="AC3187">
        <v>7.8164999999999596</v>
      </c>
      <c r="AD3187">
        <v>-1.116781625227</v>
      </c>
      <c r="AE3187">
        <v>-8.3463999999999796</v>
      </c>
      <c r="AF3187">
        <v>-4.9659507427767302</v>
      </c>
      <c r="AG3187">
        <v>-1.116781625227</v>
      </c>
      <c r="AH3187">
        <v>10.180384829457401</v>
      </c>
      <c r="AI3187">
        <v>95.630859415682195</v>
      </c>
      <c r="AJ3187">
        <v>116.002933781857</v>
      </c>
      <c r="AK3187">
        <v>11.381920016147401</v>
      </c>
      <c r="AL3187">
        <v>82.935379602847206</v>
      </c>
      <c r="AM3187">
        <v>107.946935507596</v>
      </c>
      <c r="AN3187">
        <v>1.0000000194053</v>
      </c>
    </row>
    <row r="3188" spans="1:40" x14ac:dyDescent="0.25">
      <c r="A3188" t="str">
        <f>"20190312164048880"</f>
        <v>20190312164048880</v>
      </c>
      <c r="B3188" t="str">
        <f>"1552380048869509"</f>
        <v>1552380048869509</v>
      </c>
      <c r="C3188" t="s">
        <v>40</v>
      </c>
      <c r="D3188">
        <v>5.3677039999999998</v>
      </c>
      <c r="E3188">
        <v>0.4466349</v>
      </c>
      <c r="F3188" t="s">
        <v>46</v>
      </c>
      <c r="G3188">
        <v>-483.3295</v>
      </c>
      <c r="H3188" s="1">
        <v>2.4138289999999998E-6</v>
      </c>
      <c r="I3188">
        <v>219.86330000000001</v>
      </c>
      <c r="J3188">
        <v>-490.9871</v>
      </c>
      <c r="K3188">
        <v>1.116992</v>
      </c>
      <c r="L3188">
        <v>227.85759999999999</v>
      </c>
      <c r="M3188">
        <v>0.304062</v>
      </c>
      <c r="N3188">
        <v>0</v>
      </c>
      <c r="O3188">
        <v>-0.9525496</v>
      </c>
      <c r="P3188">
        <v>0.57791419999999905</v>
      </c>
      <c r="Q3188">
        <v>0.11417910000000001</v>
      </c>
      <c r="R3188">
        <v>-0.80807099999999998</v>
      </c>
      <c r="S3188">
        <v>2.1156009999999998</v>
      </c>
      <c r="T3188">
        <v>-0.30517650000000002</v>
      </c>
      <c r="U3188">
        <v>-2.248856</v>
      </c>
      <c r="V3188">
        <v>-0.30683449999999901</v>
      </c>
      <c r="W3188">
        <v>0.1224662</v>
      </c>
      <c r="X3188">
        <v>0.94385090000000005</v>
      </c>
      <c r="Y3188">
        <v>-0.42769370000000001</v>
      </c>
      <c r="Z3188">
        <v>0.10046670000000001</v>
      </c>
      <c r="AA3188">
        <v>0.89832319999999999</v>
      </c>
      <c r="AB3188">
        <v>25</v>
      </c>
      <c r="AC3188">
        <v>7.6576000000000004</v>
      </c>
      <c r="AD3188">
        <v>-1.116989586171</v>
      </c>
      <c r="AE3188">
        <v>-7.9942999999999804</v>
      </c>
      <c r="AF3188">
        <v>-4.8149354224321304</v>
      </c>
      <c r="AG3188">
        <v>-1.116989586171</v>
      </c>
      <c r="AH3188">
        <v>9.8441014091641907</v>
      </c>
      <c r="AI3188">
        <v>95.819975482909996</v>
      </c>
      <c r="AJ3188">
        <v>116.064127813006</v>
      </c>
      <c r="AK3188">
        <v>11.0153348297595</v>
      </c>
      <c r="AL3188">
        <v>82.965544199211607</v>
      </c>
      <c r="AM3188">
        <v>108.00871626443799</v>
      </c>
      <c r="AN3188">
        <v>0.99999995098174799</v>
      </c>
    </row>
    <row r="3189" spans="1:40" x14ac:dyDescent="0.25">
      <c r="A3189" t="str">
        <f>"20190312164048901"</f>
        <v>20190312164048901</v>
      </c>
      <c r="B3189" t="str">
        <f>"1552380048898785"</f>
        <v>1552380048898785</v>
      </c>
      <c r="C3189" t="s">
        <v>40</v>
      </c>
      <c r="D3189">
        <v>5.3362800000000004</v>
      </c>
      <c r="E3189">
        <v>0.44649719999999998</v>
      </c>
      <c r="F3189" t="s">
        <v>42</v>
      </c>
      <c r="G3189">
        <v>-490.27339999999998</v>
      </c>
      <c r="H3189">
        <v>1.01237</v>
      </c>
      <c r="I3189">
        <v>227.1155</v>
      </c>
      <c r="J3189">
        <v>-490.90390000000002</v>
      </c>
      <c r="K3189">
        <v>1.117175</v>
      </c>
      <c r="L3189">
        <v>227.6336</v>
      </c>
      <c r="M3189">
        <v>0.31363950000000002</v>
      </c>
      <c r="N3189">
        <v>0</v>
      </c>
      <c r="O3189">
        <v>-0.94943849999999996</v>
      </c>
      <c r="P3189">
        <v>0.58747709999999997</v>
      </c>
      <c r="Q3189">
        <v>0.11294650000000001</v>
      </c>
      <c r="R3189">
        <v>-0.80132009999999998</v>
      </c>
      <c r="S3189">
        <v>2.1413570000000002</v>
      </c>
      <c r="T3189">
        <v>-0.31374289999999999</v>
      </c>
      <c r="U3189">
        <v>-2.225403</v>
      </c>
      <c r="V3189">
        <v>-0.30853019999999998</v>
      </c>
      <c r="W3189">
        <v>0.12110029999999999</v>
      </c>
      <c r="X3189">
        <v>0.94347440000000005</v>
      </c>
      <c r="Y3189">
        <v>-0.42853279999999999</v>
      </c>
      <c r="Z3189">
        <v>0.1031566</v>
      </c>
      <c r="AA3189">
        <v>0.89761809999999997</v>
      </c>
      <c r="AB3189">
        <v>25</v>
      </c>
      <c r="AC3189">
        <v>0.63050000000004003</v>
      </c>
      <c r="AD3189">
        <v>-0.104805</v>
      </c>
      <c r="AE3189">
        <v>-0.518100000000004</v>
      </c>
      <c r="AF3189">
        <v>-0.429090001851481</v>
      </c>
      <c r="AG3189">
        <v>-0.104805</v>
      </c>
      <c r="AH3189">
        <v>0.67853021091227295</v>
      </c>
      <c r="AI3189">
        <v>97.437669102039806</v>
      </c>
      <c r="AJ3189">
        <v>122.308506306384</v>
      </c>
      <c r="AK3189">
        <v>0.80963298156297803</v>
      </c>
      <c r="AL3189">
        <v>83.044392125239398</v>
      </c>
      <c r="AM3189">
        <v>108.108516715026</v>
      </c>
      <c r="AN3189">
        <v>1.00000005521374</v>
      </c>
    </row>
    <row r="3190" spans="1:40" x14ac:dyDescent="0.25">
      <c r="A3190" t="str">
        <f>"20190312164048923"</f>
        <v>20190312164048923</v>
      </c>
      <c r="B3190" t="str">
        <f>"1552380048919281"</f>
        <v>1552380048919281</v>
      </c>
      <c r="C3190" t="s">
        <v>40</v>
      </c>
      <c r="D3190">
        <v>5.3441769999999904</v>
      </c>
      <c r="E3190">
        <v>0.44669310000000001</v>
      </c>
      <c r="F3190" t="s">
        <v>42</v>
      </c>
      <c r="G3190">
        <v>-490.19659999999999</v>
      </c>
      <c r="H3190">
        <v>1.0107109999999999</v>
      </c>
      <c r="I3190">
        <v>226.9162</v>
      </c>
      <c r="J3190">
        <v>-490.82089999999999</v>
      </c>
      <c r="K3190">
        <v>1.117329</v>
      </c>
      <c r="L3190">
        <v>227.41749999999999</v>
      </c>
      <c r="M3190">
        <v>0.32311669999999998</v>
      </c>
      <c r="N3190">
        <v>0</v>
      </c>
      <c r="O3190">
        <v>-0.94625459999999995</v>
      </c>
      <c r="P3190">
        <v>0.59639659999999906</v>
      </c>
      <c r="Q3190">
        <v>0.1114151</v>
      </c>
      <c r="R3190">
        <v>-0.79492059999999998</v>
      </c>
      <c r="S3190">
        <v>2.1688230000000002</v>
      </c>
      <c r="T3190">
        <v>-0.3264514</v>
      </c>
      <c r="U3190">
        <v>-2.1997680000000002</v>
      </c>
      <c r="V3190">
        <v>-0.30959540000000002</v>
      </c>
      <c r="W3190">
        <v>0.1194667</v>
      </c>
      <c r="X3190">
        <v>0.94333370000000005</v>
      </c>
      <c r="Y3190">
        <v>-0.43011270000000001</v>
      </c>
      <c r="Z3190">
        <v>0.10719040000000001</v>
      </c>
      <c r="AA3190">
        <v>0.89638899999999999</v>
      </c>
      <c r="AB3190">
        <v>25</v>
      </c>
      <c r="AC3190">
        <v>0.62430000000000496</v>
      </c>
      <c r="AD3190">
        <v>-0.10661799999999901</v>
      </c>
      <c r="AE3190">
        <v>-0.50129999999998598</v>
      </c>
      <c r="AF3190">
        <v>-0.42133940142544701</v>
      </c>
      <c r="AG3190">
        <v>-0.10661799999999901</v>
      </c>
      <c r="AH3190">
        <v>0.66436527592022898</v>
      </c>
      <c r="AI3190">
        <v>97.717952979102904</v>
      </c>
      <c r="AJ3190">
        <v>122.382805321924</v>
      </c>
      <c r="AK3190">
        <v>0.79389892868432299</v>
      </c>
      <c r="AL3190">
        <v>83.138674923059497</v>
      </c>
      <c r="AM3190">
        <v>108.169467450577</v>
      </c>
      <c r="AN3190">
        <v>1.0000000368328601</v>
      </c>
    </row>
    <row r="3191" spans="1:40" x14ac:dyDescent="0.25">
      <c r="A3191" t="str">
        <f>"20190312164048945"</f>
        <v>20190312164048945</v>
      </c>
      <c r="B3191" t="str">
        <f>"1552380048939778"</f>
        <v>1552380048939778</v>
      </c>
      <c r="C3191" t="s">
        <v>40</v>
      </c>
      <c r="D3191">
        <v>5.4765509999999997</v>
      </c>
      <c r="E3191">
        <v>0.44704749999999999</v>
      </c>
      <c r="F3191" t="s">
        <v>42</v>
      </c>
      <c r="G3191">
        <v>-490.11680000000001</v>
      </c>
      <c r="H3191">
        <v>1.0093650000000001</v>
      </c>
      <c r="I3191">
        <v>226.7174</v>
      </c>
      <c r="J3191">
        <v>-490.73059999999998</v>
      </c>
      <c r="K3191">
        <v>1.1174770000000001</v>
      </c>
      <c r="L3191">
        <v>227.19</v>
      </c>
      <c r="M3191">
        <v>0.33333980000000002</v>
      </c>
      <c r="N3191">
        <v>0</v>
      </c>
      <c r="O3191">
        <v>-0.94270100000000001</v>
      </c>
      <c r="P3191">
        <v>0.60595319999999997</v>
      </c>
      <c r="Q3191">
        <v>0.10983329999999999</v>
      </c>
      <c r="R3191">
        <v>-0.78788179999999997</v>
      </c>
      <c r="S3191">
        <v>2.1911930000000002</v>
      </c>
      <c r="T3191">
        <v>-0.33575769999999999</v>
      </c>
      <c r="U3191">
        <v>-2.1770939999999999</v>
      </c>
      <c r="V3191">
        <v>-0.31072129999999998</v>
      </c>
      <c r="W3191">
        <v>0.11779009999999999</v>
      </c>
      <c r="X3191">
        <v>0.94317430000000002</v>
      </c>
      <c r="Y3191">
        <v>-0.42936000000000002</v>
      </c>
      <c r="Z3191">
        <v>0.11007740000000001</v>
      </c>
      <c r="AA3191">
        <v>0.89639999999999997</v>
      </c>
      <c r="AB3191">
        <v>25</v>
      </c>
      <c r="AC3191">
        <v>0.61379999999996904</v>
      </c>
      <c r="AD3191">
        <v>-0.108112</v>
      </c>
      <c r="AE3191">
        <v>-0.47259999999999902</v>
      </c>
      <c r="AF3191">
        <v>-0.41308970292708003</v>
      </c>
      <c r="AG3191">
        <v>-0.108112</v>
      </c>
      <c r="AH3191">
        <v>0.637767457363557</v>
      </c>
      <c r="AI3191">
        <v>98.097605919038401</v>
      </c>
      <c r="AJ3191">
        <v>122.93161887769899</v>
      </c>
      <c r="AK3191">
        <v>0.76751458414831397</v>
      </c>
      <c r="AL3191">
        <v>83.235419910274103</v>
      </c>
      <c r="AM3191">
        <v>108.234057801251</v>
      </c>
      <c r="AN3191">
        <v>0.99999999705609499</v>
      </c>
    </row>
    <row r="3192" spans="1:40" x14ac:dyDescent="0.25">
      <c r="A3192" t="str">
        <f>"20190312164048968"</f>
        <v>20190312164048968</v>
      </c>
      <c r="B3192" t="str">
        <f>"1552380048959297"</f>
        <v>1552380048959297</v>
      </c>
      <c r="C3192" t="s">
        <v>40</v>
      </c>
      <c r="D3192">
        <v>5.5076669999999996</v>
      </c>
      <c r="E3192">
        <v>0.44734249999999998</v>
      </c>
      <c r="F3192" t="s">
        <v>42</v>
      </c>
      <c r="G3192">
        <v>-490.024</v>
      </c>
      <c r="H3192">
        <v>1.007374</v>
      </c>
      <c r="I3192">
        <v>226.5034</v>
      </c>
      <c r="J3192">
        <v>-490.63940000000002</v>
      </c>
      <c r="K3192">
        <v>1.117604</v>
      </c>
      <c r="L3192">
        <v>226.96809999999999</v>
      </c>
      <c r="M3192">
        <v>0.34354410000000002</v>
      </c>
      <c r="N3192">
        <v>0</v>
      </c>
      <c r="O3192">
        <v>-0.93902980000000003</v>
      </c>
      <c r="P3192">
        <v>0.61533269999999995</v>
      </c>
      <c r="Q3192">
        <v>0.1088682</v>
      </c>
      <c r="R3192">
        <v>-0.78071369999999995</v>
      </c>
      <c r="S3192">
        <v>2.214874</v>
      </c>
      <c r="T3192">
        <v>-0.345124599999999</v>
      </c>
      <c r="U3192">
        <v>-2.1523590000000001</v>
      </c>
      <c r="V3192">
        <v>-0.31174800000000003</v>
      </c>
      <c r="W3192">
        <v>0.1167417</v>
      </c>
      <c r="X3192">
        <v>0.94296579999999997</v>
      </c>
      <c r="Y3192">
        <v>-0.4292685</v>
      </c>
      <c r="Z3192">
        <v>0.1129805</v>
      </c>
      <c r="AA3192">
        <v>0.89608259999999995</v>
      </c>
      <c r="AB3192">
        <v>25</v>
      </c>
      <c r="AC3192">
        <v>0.61540000000002204</v>
      </c>
      <c r="AD3192">
        <v>-0.11022999999999999</v>
      </c>
      <c r="AE3192">
        <v>-0.46469999999999301</v>
      </c>
      <c r="AF3192">
        <v>-0.40990049990223498</v>
      </c>
      <c r="AG3192">
        <v>-0.11022999999999999</v>
      </c>
      <c r="AH3192">
        <v>0.63487680323393803</v>
      </c>
      <c r="AI3192">
        <v>98.298876010398899</v>
      </c>
      <c r="AJ3192">
        <v>122.84781788397</v>
      </c>
      <c r="AK3192">
        <v>0.76369995941118596</v>
      </c>
      <c r="AL3192">
        <v>83.295905947814504</v>
      </c>
      <c r="AM3192">
        <v>108.294077886409</v>
      </c>
      <c r="AN3192">
        <v>0.99999996999626395</v>
      </c>
    </row>
    <row r="3193" spans="1:40" x14ac:dyDescent="0.25">
      <c r="A3193" t="str">
        <f>"20190312164048996"</f>
        <v>20190312164048996</v>
      </c>
      <c r="B3193" t="str">
        <f>"1552380048989554"</f>
        <v>1552380048989554</v>
      </c>
      <c r="C3193" t="s">
        <v>40</v>
      </c>
      <c r="D3193">
        <v>5.4729010000000002</v>
      </c>
      <c r="E3193">
        <v>0.4480788</v>
      </c>
      <c r="F3193" t="s">
        <v>42</v>
      </c>
      <c r="G3193">
        <v>-489.91539999999998</v>
      </c>
      <c r="H3193">
        <v>1.003703</v>
      </c>
      <c r="I3193">
        <v>226.27959999999999</v>
      </c>
      <c r="J3193">
        <v>-490.52350000000001</v>
      </c>
      <c r="K3193">
        <v>1.1177569999999999</v>
      </c>
      <c r="L3193">
        <v>226.69589999999999</v>
      </c>
      <c r="M3193">
        <v>0.35635359999999899</v>
      </c>
      <c r="N3193">
        <v>0</v>
      </c>
      <c r="O3193">
        <v>-0.9342435</v>
      </c>
      <c r="P3193">
        <v>0.62670729999999997</v>
      </c>
      <c r="Q3193">
        <v>0.10839310000000001</v>
      </c>
      <c r="R3193">
        <v>-0.77167969999999997</v>
      </c>
      <c r="S3193">
        <v>2.2381899999999999</v>
      </c>
      <c r="T3193">
        <v>-0.35196110000000003</v>
      </c>
      <c r="U3193">
        <v>-2.1276549999999999</v>
      </c>
      <c r="V3193">
        <v>-0.31268380000000001</v>
      </c>
      <c r="W3193">
        <v>0.11617619999999999</v>
      </c>
      <c r="X3193">
        <v>0.94272579999999995</v>
      </c>
      <c r="Y3193">
        <v>-0.42661169999999998</v>
      </c>
      <c r="Z3193">
        <v>0.1149318</v>
      </c>
      <c r="AA3193">
        <v>0.89710259999999997</v>
      </c>
      <c r="AB3193">
        <v>25</v>
      </c>
      <c r="AC3193">
        <v>0.60810000000003495</v>
      </c>
      <c r="AD3193">
        <v>-0.114053999999999</v>
      </c>
      <c r="AE3193">
        <v>-0.416300000000006</v>
      </c>
      <c r="AF3193">
        <v>-0.40998558240142502</v>
      </c>
      <c r="AG3193">
        <v>-0.114053999999999</v>
      </c>
      <c r="AH3193">
        <v>0.59151690440404803</v>
      </c>
      <c r="AI3193">
        <v>99.004920637356307</v>
      </c>
      <c r="AJ3193">
        <v>124.726171054289</v>
      </c>
      <c r="AK3193">
        <v>0.72868974254396102</v>
      </c>
      <c r="AL3193">
        <v>83.328528902352204</v>
      </c>
      <c r="AM3193">
        <v>108.34967819904899</v>
      </c>
      <c r="AN3193">
        <v>1.0000000011072501</v>
      </c>
    </row>
    <row r="3194" spans="1:40" x14ac:dyDescent="0.25">
      <c r="A3194" t="str">
        <f>"20190312164049012"</f>
        <v>20190312164049012</v>
      </c>
      <c r="B3194" t="str">
        <f>"1552380049009073"</f>
        <v>1552380049009073</v>
      </c>
      <c r="C3194" t="s">
        <v>40</v>
      </c>
      <c r="D3194">
        <v>5.5408499999999998</v>
      </c>
      <c r="E3194">
        <v>0.44834740000000001</v>
      </c>
      <c r="F3194" t="s">
        <v>46</v>
      </c>
      <c r="G3194">
        <v>-483.45670000000001</v>
      </c>
      <c r="H3194" s="1">
        <v>2.4988640000000002E-6</v>
      </c>
      <c r="I3194">
        <v>220.14580000000001</v>
      </c>
      <c r="J3194">
        <v>-490.45100000000002</v>
      </c>
      <c r="K3194">
        <v>1.1178399999999999</v>
      </c>
      <c r="L3194">
        <v>226.5316</v>
      </c>
      <c r="M3194">
        <v>0.36425839999999998</v>
      </c>
      <c r="N3194">
        <v>0</v>
      </c>
      <c r="O3194">
        <v>-0.93118909999999999</v>
      </c>
      <c r="P3194">
        <v>0.63387419999999906</v>
      </c>
      <c r="Q3194">
        <v>0.1085656</v>
      </c>
      <c r="R3194">
        <v>-0.76577910000000005</v>
      </c>
      <c r="S3194">
        <v>2.2644350000000002</v>
      </c>
      <c r="T3194">
        <v>-0.35816740000000002</v>
      </c>
      <c r="U3194">
        <v>-2.0988769999999999</v>
      </c>
      <c r="V3194">
        <v>-0.31352239999999998</v>
      </c>
      <c r="W3194">
        <v>0.116288</v>
      </c>
      <c r="X3194">
        <v>0.94243350000000004</v>
      </c>
      <c r="Y3194">
        <v>-0.43008990000000002</v>
      </c>
      <c r="Z3194">
        <v>0.11689670000000001</v>
      </c>
      <c r="AA3194">
        <v>0.89518589999999998</v>
      </c>
      <c r="AB3194">
        <v>25</v>
      </c>
      <c r="AC3194">
        <v>6.9942999999999502</v>
      </c>
      <c r="AD3194">
        <v>-1.117837501136</v>
      </c>
      <c r="AE3194">
        <v>-6.3857999999999802</v>
      </c>
      <c r="AF3194">
        <v>-4.12982781712814</v>
      </c>
      <c r="AG3194">
        <v>-1.117837501136</v>
      </c>
      <c r="AH3194">
        <v>8.3782661203092701</v>
      </c>
      <c r="AI3194">
        <v>96.824267702725294</v>
      </c>
      <c r="AJ3194">
        <v>116.23968059142901</v>
      </c>
      <c r="AK3194">
        <v>9.4074641461338295</v>
      </c>
      <c r="AL3194">
        <v>83.322079835945203</v>
      </c>
      <c r="AM3194">
        <v>108.40090325457101</v>
      </c>
      <c r="AN3194">
        <v>1.0000000480839999</v>
      </c>
    </row>
    <row r="3195" spans="1:40" x14ac:dyDescent="0.25">
      <c r="A3195" t="str">
        <f>"20190312164049035"</f>
        <v>20190312164049035</v>
      </c>
      <c r="B3195" t="str">
        <f>"1552380049029569"</f>
        <v>1552380049029569</v>
      </c>
      <c r="C3195" t="s">
        <v>40</v>
      </c>
      <c r="D3195">
        <v>5.4358069999999996</v>
      </c>
      <c r="E3195">
        <v>0.45704869999999997</v>
      </c>
      <c r="F3195" t="s">
        <v>46</v>
      </c>
      <c r="G3195">
        <v>-483.34010000000001</v>
      </c>
      <c r="H3195" s="1">
        <v>2.4570189999999998E-6</v>
      </c>
      <c r="I3195">
        <v>220.05009999999999</v>
      </c>
      <c r="J3195">
        <v>-490.34769999999997</v>
      </c>
      <c r="K3195">
        <v>1.117977</v>
      </c>
      <c r="L3195">
        <v>226.30350000000001</v>
      </c>
      <c r="M3195">
        <v>0.37540050000000003</v>
      </c>
      <c r="N3195">
        <v>0</v>
      </c>
      <c r="O3195">
        <v>-0.92675280000000004</v>
      </c>
      <c r="P3195">
        <v>0.64325469999999996</v>
      </c>
      <c r="Q3195">
        <v>0.1098218</v>
      </c>
      <c r="R3195">
        <v>-0.75773519999999905</v>
      </c>
      <c r="S3195">
        <v>2.2816770000000002</v>
      </c>
      <c r="T3195">
        <v>-0.35868290000000003</v>
      </c>
      <c r="U3195">
        <v>-2.0797270000000001</v>
      </c>
      <c r="V3195">
        <v>-0.31395190000000001</v>
      </c>
      <c r="W3195">
        <v>0.11747290000000001</v>
      </c>
      <c r="X3195">
        <v>0.94214350000000002</v>
      </c>
      <c r="Y3195">
        <v>-0.4267494</v>
      </c>
      <c r="Z3195">
        <v>0.11677120000000001</v>
      </c>
      <c r="AA3195">
        <v>0.89679959999999903</v>
      </c>
      <c r="AB3195">
        <v>24</v>
      </c>
      <c r="AC3195">
        <v>7.0075999999999601</v>
      </c>
      <c r="AD3195">
        <v>-1.117974542981</v>
      </c>
      <c r="AE3195">
        <v>-6.2534000000000196</v>
      </c>
      <c r="AF3195">
        <v>-4.0892651338422299</v>
      </c>
      <c r="AG3195">
        <v>-1.117974542981</v>
      </c>
      <c r="AH3195">
        <v>8.3091388037811509</v>
      </c>
      <c r="AI3195">
        <v>96.883444908418596</v>
      </c>
      <c r="AJ3195">
        <v>116.20367470914501</v>
      </c>
      <c r="AK3195">
        <v>9.3281157836999906</v>
      </c>
      <c r="AL3195">
        <v>83.253721389032904</v>
      </c>
      <c r="AM3195">
        <v>108.429697957518</v>
      </c>
      <c r="AN3195">
        <v>1.0000000261701301</v>
      </c>
    </row>
    <row r="3196" spans="1:40" x14ac:dyDescent="0.25">
      <c r="A3196" t="str">
        <f>"20190312164049057"</f>
        <v>20190312164049057</v>
      </c>
      <c r="B3196" t="str">
        <f>"1552380049049089"</f>
        <v>1552380049049089</v>
      </c>
      <c r="C3196" t="s">
        <v>40</v>
      </c>
      <c r="D3196">
        <v>5.4047710000000002</v>
      </c>
      <c r="E3196">
        <v>0.45640609999999998</v>
      </c>
      <c r="F3196" t="s">
        <v>46</v>
      </c>
      <c r="G3196">
        <v>-483.26209999999998</v>
      </c>
      <c r="H3196" s="1">
        <v>2.3692269999999998E-6</v>
      </c>
      <c r="I3196">
        <v>219.71559999999999</v>
      </c>
      <c r="J3196">
        <v>-490.24740000000003</v>
      </c>
      <c r="K3196">
        <v>1.1181049999999999</v>
      </c>
      <c r="L3196">
        <v>226.08959999999999</v>
      </c>
      <c r="M3196">
        <v>0.38605410000000001</v>
      </c>
      <c r="N3196">
        <v>0</v>
      </c>
      <c r="O3196">
        <v>-0.9223654</v>
      </c>
      <c r="P3196">
        <v>0.65240259999999894</v>
      </c>
      <c r="Q3196">
        <v>0.1114899</v>
      </c>
      <c r="R3196">
        <v>-0.74962759999999995</v>
      </c>
      <c r="S3196">
        <v>2.2549130000000002</v>
      </c>
      <c r="T3196">
        <v>-0.35578259999999901</v>
      </c>
      <c r="U3196">
        <v>-2.0965120000000002</v>
      </c>
      <c r="V3196">
        <v>-0.31469130000000001</v>
      </c>
      <c r="W3196">
        <v>0.1190662</v>
      </c>
      <c r="X3196">
        <v>0.94169659999999999</v>
      </c>
      <c r="Y3196">
        <v>-0.40748580000000001</v>
      </c>
      <c r="Z3196">
        <v>0.1154263</v>
      </c>
      <c r="AA3196">
        <v>0.90588749999999996</v>
      </c>
      <c r="AB3196">
        <v>24</v>
      </c>
      <c r="AC3196">
        <v>6.9853000000000502</v>
      </c>
      <c r="AD3196">
        <v>-1.118102630773</v>
      </c>
      <c r="AE3196">
        <v>-6.3739999999999899</v>
      </c>
      <c r="AF3196">
        <v>-3.9277853004002301</v>
      </c>
      <c r="AG3196">
        <v>-1.118102630773</v>
      </c>
      <c r="AH3196">
        <v>8.45848448936386</v>
      </c>
      <c r="AI3196">
        <v>96.836643565119303</v>
      </c>
      <c r="AJ3196">
        <v>114.908289369009</v>
      </c>
      <c r="AK3196">
        <v>9.3927424491354294</v>
      </c>
      <c r="AL3196">
        <v>83.161786116903798</v>
      </c>
      <c r="AM3196">
        <v>108.478330583073</v>
      </c>
      <c r="AN3196">
        <v>0.99999993036484203</v>
      </c>
    </row>
    <row r="3197" spans="1:40" x14ac:dyDescent="0.25">
      <c r="A3197" t="str">
        <f>"20190312164049081"</f>
        <v>20190312164049081</v>
      </c>
      <c r="B3197" t="str">
        <f>"1552380049069585"</f>
        <v>1552380049069585</v>
      </c>
      <c r="C3197" t="s">
        <v>40</v>
      </c>
      <c r="D3197">
        <v>5.4683859999999997</v>
      </c>
      <c r="E3197">
        <v>0.45627020000000001</v>
      </c>
      <c r="F3197" t="s">
        <v>46</v>
      </c>
      <c r="G3197">
        <v>-483.20679999999999</v>
      </c>
      <c r="H3197" s="1">
        <v>2.3617359999999999E-6</v>
      </c>
      <c r="I3197">
        <v>219.7261</v>
      </c>
      <c r="J3197">
        <v>-490.13959999999997</v>
      </c>
      <c r="K3197">
        <v>1.118234</v>
      </c>
      <c r="L3197">
        <v>225.8674</v>
      </c>
      <c r="M3197">
        <v>0.39733410000000002</v>
      </c>
      <c r="N3197">
        <v>0</v>
      </c>
      <c r="O3197">
        <v>-0.91756179999999998</v>
      </c>
      <c r="P3197">
        <v>0.66174480000000002</v>
      </c>
      <c r="Q3197">
        <v>0.1132761</v>
      </c>
      <c r="R3197">
        <v>-0.74112259999999996</v>
      </c>
      <c r="S3197">
        <v>2.2861630000000002</v>
      </c>
      <c r="T3197">
        <v>-0.36305920000000003</v>
      </c>
      <c r="U3197">
        <v>-2.066284</v>
      </c>
      <c r="V3197">
        <v>-0.31512240000000002</v>
      </c>
      <c r="W3197">
        <v>0.12078700000000001</v>
      </c>
      <c r="X3197">
        <v>0.94133330000000004</v>
      </c>
      <c r="Y3197">
        <v>-0.4088733</v>
      </c>
      <c r="Z3197">
        <v>0.1174216</v>
      </c>
      <c r="AA3197">
        <v>0.90500539999999996</v>
      </c>
      <c r="AB3197">
        <v>24</v>
      </c>
      <c r="AC3197">
        <v>6.9327999999999799</v>
      </c>
      <c r="AD3197">
        <v>-1.1182316382639901</v>
      </c>
      <c r="AE3197">
        <v>-6.1413000000000002</v>
      </c>
      <c r="AF3197">
        <v>-3.86518391929468</v>
      </c>
      <c r="AG3197">
        <v>-1.1182316382639901</v>
      </c>
      <c r="AH3197">
        <v>8.2699692666893903</v>
      </c>
      <c r="AI3197">
        <v>96.983773212062005</v>
      </c>
      <c r="AJ3197">
        <v>115.05025111904099</v>
      </c>
      <c r="AK3197">
        <v>9.1968734034331394</v>
      </c>
      <c r="AL3197">
        <v>83.062475279412695</v>
      </c>
      <c r="AM3197">
        <v>108.50857619250699</v>
      </c>
      <c r="AN3197">
        <v>1.00000000401982</v>
      </c>
    </row>
    <row r="3198" spans="1:40" x14ac:dyDescent="0.25">
      <c r="A3198" t="str">
        <f>"20190312164049103"</f>
        <v>20190312164049103</v>
      </c>
      <c r="B3198" t="str">
        <f>"1552380049098865"</f>
        <v>1552380049098865</v>
      </c>
      <c r="C3198" t="s">
        <v>40</v>
      </c>
      <c r="D3198">
        <v>5.4482599999999897</v>
      </c>
      <c r="E3198">
        <v>0.43696649999999998</v>
      </c>
      <c r="F3198" t="s">
        <v>42</v>
      </c>
      <c r="G3198">
        <v>-489.34980000000002</v>
      </c>
      <c r="H3198">
        <v>0.99420070000000005</v>
      </c>
      <c r="I3198">
        <v>225.17189999999999</v>
      </c>
      <c r="J3198">
        <v>-490.02969999999999</v>
      </c>
      <c r="K3198">
        <v>1.118341</v>
      </c>
      <c r="L3198">
        <v>225.64869999999999</v>
      </c>
      <c r="M3198">
        <v>0.40863450000000001</v>
      </c>
      <c r="N3198">
        <v>0</v>
      </c>
      <c r="O3198">
        <v>-0.91258470000000003</v>
      </c>
      <c r="P3198">
        <v>0.67106580000000005</v>
      </c>
      <c r="Q3198">
        <v>0.11481769999999999</v>
      </c>
      <c r="R3198">
        <v>-0.73245340000000003</v>
      </c>
      <c r="S3198">
        <v>2.3140869999999998</v>
      </c>
      <c r="T3198">
        <v>-0.36327290000000001</v>
      </c>
      <c r="U3198">
        <v>-2.0371250000000001</v>
      </c>
      <c r="V3198">
        <v>-0.31556410000000001</v>
      </c>
      <c r="W3198">
        <v>0.122271699999999</v>
      </c>
      <c r="X3198">
        <v>0.94099359999999999</v>
      </c>
      <c r="Y3198">
        <v>-0.4094814</v>
      </c>
      <c r="Z3198">
        <v>0.1171581</v>
      </c>
      <c r="AA3198">
        <v>0.90476460000000003</v>
      </c>
      <c r="AB3198">
        <v>24</v>
      </c>
      <c r="AC3198">
        <v>0.67989999999997497</v>
      </c>
      <c r="AD3198">
        <v>-0.1241403</v>
      </c>
      <c r="AE3198">
        <v>-0.476799999999997</v>
      </c>
      <c r="AF3198">
        <v>-0.41636871346691401</v>
      </c>
      <c r="AG3198">
        <v>-0.1241403</v>
      </c>
      <c r="AH3198">
        <v>0.69743884563804104</v>
      </c>
      <c r="AI3198">
        <v>98.689344180473299</v>
      </c>
      <c r="AJ3198">
        <v>120.83706355840199</v>
      </c>
      <c r="AK3198">
        <v>0.82170229587308896</v>
      </c>
      <c r="AL3198">
        <v>82.976773048513493</v>
      </c>
      <c r="AM3198">
        <v>108.538981459159</v>
      </c>
      <c r="AN3198">
        <v>1.0000000125353199</v>
      </c>
    </row>
    <row r="3199" spans="1:40" x14ac:dyDescent="0.25">
      <c r="A3199" t="str">
        <f>"20190312164049125"</f>
        <v>20190312164049125</v>
      </c>
      <c r="B3199" t="str">
        <f>"1552380049119362"</f>
        <v>1552380049119362</v>
      </c>
      <c r="C3199" t="s">
        <v>40</v>
      </c>
      <c r="D3199">
        <v>5.4211830000000001</v>
      </c>
      <c r="E3199">
        <v>0.43402109999999999</v>
      </c>
      <c r="F3199" t="s">
        <v>42</v>
      </c>
      <c r="G3199">
        <v>-489.24639999999999</v>
      </c>
      <c r="H3199">
        <v>1.009838</v>
      </c>
      <c r="I3199">
        <v>225.041</v>
      </c>
      <c r="J3199">
        <v>-489.92469999999997</v>
      </c>
      <c r="K3199">
        <v>1.118428</v>
      </c>
      <c r="L3199">
        <v>225.44579999999999</v>
      </c>
      <c r="M3199">
        <v>0.41925370000000001</v>
      </c>
      <c r="N3199">
        <v>0</v>
      </c>
      <c r="O3199">
        <v>-0.90775470000000003</v>
      </c>
      <c r="P3199">
        <v>0.679477</v>
      </c>
      <c r="Q3199">
        <v>0.1158107</v>
      </c>
      <c r="R3199">
        <v>-0.72449949999999996</v>
      </c>
      <c r="S3199">
        <v>2.4523009999999998</v>
      </c>
      <c r="T3199">
        <v>-0.339655599999999</v>
      </c>
      <c r="U3199">
        <v>-1.9022220000000001</v>
      </c>
      <c r="V3199">
        <v>-0.31555809999999901</v>
      </c>
      <c r="W3199">
        <v>0.1232343</v>
      </c>
      <c r="X3199">
        <v>0.94086999999999998</v>
      </c>
      <c r="Y3199">
        <v>-0.45522069999999998</v>
      </c>
      <c r="Z3199">
        <v>0.1098539</v>
      </c>
      <c r="AA3199">
        <v>0.88357589999999997</v>
      </c>
      <c r="AB3199">
        <v>24</v>
      </c>
      <c r="AC3199">
        <v>0.67829999999997803</v>
      </c>
      <c r="AD3199">
        <v>-0.10858999999999901</v>
      </c>
      <c r="AE3199">
        <v>-0.404799999999994</v>
      </c>
      <c r="AF3199">
        <v>-0.43778890023801498</v>
      </c>
      <c r="AG3199">
        <v>-0.10858999999999901</v>
      </c>
      <c r="AH3199">
        <v>0.63981506459773596</v>
      </c>
      <c r="AI3199">
        <v>97.973532391103006</v>
      </c>
      <c r="AJ3199">
        <v>124.381607203467</v>
      </c>
      <c r="AK3199">
        <v>0.782824518112339</v>
      </c>
      <c r="AL3199">
        <v>82.921199626497696</v>
      </c>
      <c r="AM3199">
        <v>108.54092195858701</v>
      </c>
      <c r="AN3199">
        <v>0.99999998203604901</v>
      </c>
    </row>
    <row r="3200" spans="1:40" x14ac:dyDescent="0.25">
      <c r="A3200" t="str">
        <f>"20190312164049148"</f>
        <v>20190312164049148</v>
      </c>
      <c r="B3200" t="str">
        <f>"1552380049138882"</f>
        <v>1552380049138882</v>
      </c>
      <c r="C3200" t="s">
        <v>40</v>
      </c>
      <c r="D3200">
        <v>5.3716869999999997</v>
      </c>
      <c r="E3200">
        <v>0.43325730000000001</v>
      </c>
      <c r="F3200" t="s">
        <v>42</v>
      </c>
      <c r="G3200">
        <v>-489.14069999999998</v>
      </c>
      <c r="H3200">
        <v>1.013266</v>
      </c>
      <c r="I3200">
        <v>224.8612</v>
      </c>
      <c r="J3200">
        <v>-489.80840000000001</v>
      </c>
      <c r="K3200">
        <v>1.1185</v>
      </c>
      <c r="L3200">
        <v>225.22790000000001</v>
      </c>
      <c r="M3200">
        <v>0.43080239999999997</v>
      </c>
      <c r="N3200">
        <v>0</v>
      </c>
      <c r="O3200">
        <v>-0.90233059999999998</v>
      </c>
      <c r="P3200">
        <v>0.68840619999999997</v>
      </c>
      <c r="Q3200">
        <v>0.1158521</v>
      </c>
      <c r="R3200">
        <v>-0.71601369999999998</v>
      </c>
      <c r="S3200">
        <v>2.4917600000000002</v>
      </c>
      <c r="T3200">
        <v>-0.33413619999999999</v>
      </c>
      <c r="U3200">
        <v>-1.8572850000000001</v>
      </c>
      <c r="V3200">
        <v>-0.31524069999999998</v>
      </c>
      <c r="W3200">
        <v>0.1232622</v>
      </c>
      <c r="X3200">
        <v>0.9409727</v>
      </c>
      <c r="Y3200">
        <v>-0.4610264</v>
      </c>
      <c r="Z3200">
        <v>0.10782310000000001</v>
      </c>
      <c r="AA3200">
        <v>0.88081149999999997</v>
      </c>
      <c r="AB3200">
        <v>24</v>
      </c>
      <c r="AC3200">
        <v>0.66770000000002405</v>
      </c>
      <c r="AD3200">
        <v>-0.10523399999999999</v>
      </c>
      <c r="AE3200">
        <v>-0.36670000000000802</v>
      </c>
      <c r="AF3200">
        <v>-0.436232329704005</v>
      </c>
      <c r="AG3200">
        <v>-0.10523399999999999</v>
      </c>
      <c r="AH3200">
        <v>0.607011863706307</v>
      </c>
      <c r="AI3200">
        <v>98.013467665323205</v>
      </c>
      <c r="AJ3200">
        <v>125.70311584679</v>
      </c>
      <c r="AK3200">
        <v>0.75487498495789895</v>
      </c>
      <c r="AL3200">
        <v>82.919588533111195</v>
      </c>
      <c r="AM3200">
        <v>108.521662206405</v>
      </c>
      <c r="AN3200">
        <v>0.99999994551530802</v>
      </c>
    </row>
    <row r="3201" spans="1:40" x14ac:dyDescent="0.25">
      <c r="A3201" t="str">
        <f>"20190312164049171"</f>
        <v>20190312164049171</v>
      </c>
      <c r="B3201" t="str">
        <f>"1552380049159377"</f>
        <v>1552380049159377</v>
      </c>
      <c r="C3201" t="s">
        <v>40</v>
      </c>
      <c r="D3201">
        <v>5.3131209999999998</v>
      </c>
      <c r="E3201">
        <v>0.43244769999999999</v>
      </c>
      <c r="F3201" t="s">
        <v>42</v>
      </c>
      <c r="G3201">
        <v>-489.04360000000003</v>
      </c>
      <c r="H3201">
        <v>1.0150239999999999</v>
      </c>
      <c r="I3201">
        <v>224.67500000000001</v>
      </c>
      <c r="J3201">
        <v>-489.69529999999997</v>
      </c>
      <c r="K3201">
        <v>1.1185499999999999</v>
      </c>
      <c r="L3201">
        <v>225.02250000000001</v>
      </c>
      <c r="M3201">
        <v>0.44181379999999998</v>
      </c>
      <c r="N3201">
        <v>0</v>
      </c>
      <c r="O3201">
        <v>-0.89698979999999995</v>
      </c>
      <c r="P3201">
        <v>0.69725419999999905</v>
      </c>
      <c r="Q3201">
        <v>0.1146611</v>
      </c>
      <c r="R3201">
        <v>-0.70759419999999995</v>
      </c>
      <c r="S3201">
        <v>2.5202330000000002</v>
      </c>
      <c r="T3201">
        <v>-0.34095629999999999</v>
      </c>
      <c r="U3201">
        <v>-1.82193</v>
      </c>
      <c r="V3201">
        <v>-0.31532880000000002</v>
      </c>
      <c r="W3201">
        <v>0.12205829999999999</v>
      </c>
      <c r="X3201">
        <v>0.94110020000000005</v>
      </c>
      <c r="Y3201">
        <v>-0.46284160000000002</v>
      </c>
      <c r="Z3201">
        <v>0.1096992</v>
      </c>
      <c r="AA3201">
        <v>0.87962700000000005</v>
      </c>
      <c r="AB3201">
        <v>24</v>
      </c>
      <c r="AC3201">
        <v>0.65169999999994799</v>
      </c>
      <c r="AD3201">
        <v>-0.10352599999999899</v>
      </c>
      <c r="AE3201">
        <v>-0.34749999999999598</v>
      </c>
      <c r="AF3201">
        <v>-0.42277628797411698</v>
      </c>
      <c r="AG3201">
        <v>-0.10352599999999899</v>
      </c>
      <c r="AH3201">
        <v>0.58814087307178797</v>
      </c>
      <c r="AI3201">
        <v>98.1340346583371</v>
      </c>
      <c r="AJ3201">
        <v>125.70990528391</v>
      </c>
      <c r="AK3201">
        <v>0.73168784937760101</v>
      </c>
      <c r="AL3201">
        <v>82.989092389127293</v>
      </c>
      <c r="AM3201">
        <v>108.524146487255</v>
      </c>
      <c r="AN3201">
        <v>1.0000000335741801</v>
      </c>
    </row>
    <row r="3202" spans="1:40" x14ac:dyDescent="0.25">
      <c r="A3202" t="str">
        <f>"20190312164049193"</f>
        <v>20190312164049193</v>
      </c>
      <c r="B3202" t="str">
        <f>"1552380049189634"</f>
        <v>1552380049189634</v>
      </c>
      <c r="C3202" t="s">
        <v>40</v>
      </c>
      <c r="D3202">
        <v>5.3628489999999998</v>
      </c>
      <c r="E3202">
        <v>0.43290309999999999</v>
      </c>
      <c r="F3202" t="s">
        <v>42</v>
      </c>
      <c r="G3202">
        <v>-488.94099999999997</v>
      </c>
      <c r="H3202">
        <v>1.0174110000000001</v>
      </c>
      <c r="I3202">
        <v>224.49279999999999</v>
      </c>
      <c r="J3202">
        <v>-489.57670000000002</v>
      </c>
      <c r="K3202">
        <v>1.1185879999999999</v>
      </c>
      <c r="L3202">
        <v>224.8134</v>
      </c>
      <c r="M3202">
        <v>0.45312750000000002</v>
      </c>
      <c r="N3202">
        <v>0</v>
      </c>
      <c r="O3202">
        <v>-0.8913276</v>
      </c>
      <c r="P3202">
        <v>0.70663209999999999</v>
      </c>
      <c r="Q3202">
        <v>0.113692</v>
      </c>
      <c r="R3202">
        <v>-0.69838769999999994</v>
      </c>
      <c r="S3202">
        <v>2.5457459999999998</v>
      </c>
      <c r="T3202">
        <v>-0.34114339999999999</v>
      </c>
      <c r="U3202">
        <v>-1.7865599999999999</v>
      </c>
      <c r="V3202">
        <v>-0.31590040000000003</v>
      </c>
      <c r="W3202">
        <v>0.1210686</v>
      </c>
      <c r="X3202">
        <v>0.94103630000000005</v>
      </c>
      <c r="Y3202">
        <v>-0.46399089999999998</v>
      </c>
      <c r="Z3202">
        <v>0.1094736</v>
      </c>
      <c r="AA3202">
        <v>0.87904950000000004</v>
      </c>
      <c r="AB3202">
        <v>24</v>
      </c>
      <c r="AC3202">
        <v>0.63570000000004201</v>
      </c>
      <c r="AD3202">
        <v>-0.101176999999999</v>
      </c>
      <c r="AE3202">
        <v>-0.32060000000001299</v>
      </c>
      <c r="AF3202">
        <v>-0.41304719087852299</v>
      </c>
      <c r="AG3202">
        <v>-0.101176999999999</v>
      </c>
      <c r="AH3202">
        <v>0.56251329117604598</v>
      </c>
      <c r="AI3202">
        <v>98.249193894997603</v>
      </c>
      <c r="AJ3202">
        <v>126.28941984011701</v>
      </c>
      <c r="AK3202">
        <v>0.70517087997970196</v>
      </c>
      <c r="AL3202">
        <v>83.046221431326998</v>
      </c>
      <c r="AM3202">
        <v>108.556601876651</v>
      </c>
      <c r="AN3202">
        <v>0.99999999327190503</v>
      </c>
    </row>
    <row r="3203" spans="1:40" x14ac:dyDescent="0.25">
      <c r="A3203" t="str">
        <f>"20190312164049215"</f>
        <v>20190312164049215</v>
      </c>
      <c r="B3203" t="str">
        <f>"1552380049209154"</f>
        <v>1552380049209154</v>
      </c>
      <c r="C3203" t="s">
        <v>40</v>
      </c>
      <c r="D3203">
        <v>5.4026259999999997</v>
      </c>
      <c r="E3203">
        <v>0.43273830000000002</v>
      </c>
      <c r="F3203" t="s">
        <v>42</v>
      </c>
      <c r="G3203">
        <v>-488.83879999999999</v>
      </c>
      <c r="H3203">
        <v>1.0191669999999999</v>
      </c>
      <c r="I3203">
        <v>224.30860000000001</v>
      </c>
      <c r="J3203">
        <v>-489.4588</v>
      </c>
      <c r="K3203">
        <v>1.1186160000000001</v>
      </c>
      <c r="L3203">
        <v>224.61179999999999</v>
      </c>
      <c r="M3203">
        <v>0.46412419999999999</v>
      </c>
      <c r="N3203">
        <v>0</v>
      </c>
      <c r="O3203">
        <v>-0.88565090000000002</v>
      </c>
      <c r="P3203">
        <v>0.71511289999999905</v>
      </c>
      <c r="Q3203">
        <v>0.11323709999999999</v>
      </c>
      <c r="R3203">
        <v>-0.68977630000000001</v>
      </c>
      <c r="S3203">
        <v>2.5654910000000002</v>
      </c>
      <c r="T3203">
        <v>-0.34582249999999998</v>
      </c>
      <c r="U3203">
        <v>-1.756165</v>
      </c>
      <c r="V3203">
        <v>-0.3157182</v>
      </c>
      <c r="W3203">
        <v>0.1206166</v>
      </c>
      <c r="X3203">
        <v>0.94115550000000003</v>
      </c>
      <c r="Y3203">
        <v>-0.46315719999999999</v>
      </c>
      <c r="Z3203">
        <v>0.11064889999999999</v>
      </c>
      <c r="AA3203">
        <v>0.87934199999999996</v>
      </c>
      <c r="AB3203">
        <v>24</v>
      </c>
      <c r="AC3203">
        <v>0.62000000000000399</v>
      </c>
      <c r="AD3203">
        <v>-9.9449000000000107E-2</v>
      </c>
      <c r="AE3203">
        <v>-0.30319999999997499</v>
      </c>
      <c r="AF3203">
        <v>-0.40011656488889402</v>
      </c>
      <c r="AG3203">
        <v>-9.9449000000000107E-2</v>
      </c>
      <c r="AH3203">
        <v>0.54502861641773004</v>
      </c>
      <c r="AI3203">
        <v>98.367409841075002</v>
      </c>
      <c r="AJ3203">
        <v>126.28314773709</v>
      </c>
      <c r="AK3203">
        <v>0.683402927864458</v>
      </c>
      <c r="AL3203">
        <v>83.072310432305301</v>
      </c>
      <c r="AM3203">
        <v>108.54444307868999</v>
      </c>
      <c r="AN3203">
        <v>1.0000000105935201</v>
      </c>
    </row>
    <row r="3204" spans="1:40" x14ac:dyDescent="0.25">
      <c r="A3204" t="str">
        <f>"20190312164049237"</f>
        <v>20190312164049237</v>
      </c>
      <c r="B3204" t="str">
        <f>"1552380049229650"</f>
        <v>1552380049229650</v>
      </c>
      <c r="C3204" t="s">
        <v>40</v>
      </c>
      <c r="D3204">
        <v>5.356859</v>
      </c>
      <c r="E3204">
        <v>0.43380960000000002</v>
      </c>
      <c r="F3204" t="s">
        <v>42</v>
      </c>
      <c r="G3204">
        <v>-488.71159999999998</v>
      </c>
      <c r="H3204">
        <v>1.015749</v>
      </c>
      <c r="I3204">
        <v>224.11369999999999</v>
      </c>
      <c r="J3204">
        <v>-489.33699999999999</v>
      </c>
      <c r="K3204">
        <v>1.118635</v>
      </c>
      <c r="L3204">
        <v>224.40940000000001</v>
      </c>
      <c r="M3204">
        <v>0.47522969999999998</v>
      </c>
      <c r="N3204">
        <v>0</v>
      </c>
      <c r="O3204">
        <v>-0.8797412</v>
      </c>
      <c r="P3204">
        <v>0.7233967</v>
      </c>
      <c r="Q3204">
        <v>0.11281140000000001</v>
      </c>
      <c r="R3204">
        <v>-0.6811545</v>
      </c>
      <c r="S3204">
        <v>2.587952</v>
      </c>
      <c r="T3204">
        <v>-0.35614869999999998</v>
      </c>
      <c r="U3204">
        <v>-1.7246859999999999</v>
      </c>
      <c r="V3204">
        <v>-0.31521559999999998</v>
      </c>
      <c r="W3204">
        <v>0.1202071</v>
      </c>
      <c r="X3204">
        <v>0.94137630000000005</v>
      </c>
      <c r="Y3204">
        <v>-0.46264860000000002</v>
      </c>
      <c r="Z3204">
        <v>0.1135089</v>
      </c>
      <c r="AA3204">
        <v>0.879245099999999</v>
      </c>
      <c r="AB3204">
        <v>24</v>
      </c>
      <c r="AC3204">
        <v>0.62540000000001295</v>
      </c>
      <c r="AD3204">
        <v>-0.10288600000000001</v>
      </c>
      <c r="AE3204">
        <v>-0.29570000000001001</v>
      </c>
      <c r="AF3204">
        <v>-0.40084181637289001</v>
      </c>
      <c r="AG3204">
        <v>-0.10288600000000001</v>
      </c>
      <c r="AH3204">
        <v>0.54534457685763704</v>
      </c>
      <c r="AI3204">
        <v>98.643674089013302</v>
      </c>
      <c r="AJ3204">
        <v>126.316810862322</v>
      </c>
      <c r="AK3204">
        <v>0.68458775789313697</v>
      </c>
      <c r="AL3204">
        <v>83.095944804917195</v>
      </c>
      <c r="AM3204">
        <v>108.51288913035999</v>
      </c>
      <c r="AN3204">
        <v>0.99999997978772903</v>
      </c>
    </row>
    <row r="3205" spans="1:40" x14ac:dyDescent="0.25">
      <c r="A3205" t="str">
        <f>"20190312164049270"</f>
        <v>20190312164049270</v>
      </c>
      <c r="B3205" t="str">
        <f>"1552380049258945"</f>
        <v>1552380049258945</v>
      </c>
      <c r="C3205" t="s">
        <v>40</v>
      </c>
      <c r="D3205">
        <v>5.3775890000000004</v>
      </c>
      <c r="E3205">
        <v>0.4351642</v>
      </c>
      <c r="F3205" t="s">
        <v>42</v>
      </c>
      <c r="G3205">
        <v>-488.56830000000002</v>
      </c>
      <c r="H3205">
        <v>1.012745</v>
      </c>
      <c r="I3205">
        <v>223.90729999999999</v>
      </c>
      <c r="J3205">
        <v>-489.15199999999999</v>
      </c>
      <c r="K3205">
        <v>1.1186339999999999</v>
      </c>
      <c r="L3205">
        <v>224.11340000000001</v>
      </c>
      <c r="M3205">
        <v>0.4915638</v>
      </c>
      <c r="N3205">
        <v>0</v>
      </c>
      <c r="O3205">
        <v>-0.87071939999999903</v>
      </c>
      <c r="P3205">
        <v>0.73563650000000003</v>
      </c>
      <c r="Q3205">
        <v>0.1122499</v>
      </c>
      <c r="R3205">
        <v>-0.66801119999999903</v>
      </c>
      <c r="S3205">
        <v>2.602417</v>
      </c>
      <c r="T3205">
        <v>-0.35847279999999998</v>
      </c>
      <c r="U3205">
        <v>-1.6998599999999999</v>
      </c>
      <c r="V3205">
        <v>-0.31467200000000001</v>
      </c>
      <c r="W3205">
        <v>0.1196788</v>
      </c>
      <c r="X3205">
        <v>0.9416255</v>
      </c>
      <c r="Y3205">
        <v>-0.4542022</v>
      </c>
      <c r="Z3205">
        <v>0.1134469</v>
      </c>
      <c r="AA3205">
        <v>0.88364599999999904</v>
      </c>
      <c r="AB3205">
        <v>24</v>
      </c>
      <c r="AC3205">
        <v>0.58369999999996403</v>
      </c>
      <c r="AD3205">
        <v>-0.105888999999999</v>
      </c>
      <c r="AE3205">
        <v>-0.20610000000001999</v>
      </c>
      <c r="AF3205">
        <v>-0.39540091298107499</v>
      </c>
      <c r="AG3205">
        <v>-0.105888999999999</v>
      </c>
      <c r="AH3205">
        <v>0.45317026830368101</v>
      </c>
      <c r="AI3205">
        <v>99.985451834254206</v>
      </c>
      <c r="AJ3205">
        <v>131.105405178647</v>
      </c>
      <c r="AK3205">
        <v>0.61066984073368002</v>
      </c>
      <c r="AL3205">
        <v>83.126434640332704</v>
      </c>
      <c r="AM3205">
        <v>108.478574692838</v>
      </c>
      <c r="AN3205">
        <v>1.0000000325018401</v>
      </c>
    </row>
    <row r="3206" spans="1:40" x14ac:dyDescent="0.25">
      <c r="A3206" t="str">
        <f>"20190312164049293"</f>
        <v>20190312164049293</v>
      </c>
      <c r="B3206" t="str">
        <f>"1552380049289406"</f>
        <v>1552380049289406</v>
      </c>
      <c r="C3206" t="s">
        <v>40</v>
      </c>
      <c r="D3206">
        <v>5.448785</v>
      </c>
      <c r="E3206">
        <v>0.43664579999999997</v>
      </c>
      <c r="F3206" t="s">
        <v>42</v>
      </c>
      <c r="G3206">
        <v>-488.37470000000002</v>
      </c>
      <c r="H3206">
        <v>1.01214</v>
      </c>
      <c r="I3206">
        <v>223.62200000000001</v>
      </c>
      <c r="J3206">
        <v>-489.02</v>
      </c>
      <c r="K3206">
        <v>1.1186229999999999</v>
      </c>
      <c r="L3206">
        <v>223.9091</v>
      </c>
      <c r="M3206">
        <v>0.50286160000000002</v>
      </c>
      <c r="N3206">
        <v>0</v>
      </c>
      <c r="O3206">
        <v>-0.86424369999999995</v>
      </c>
      <c r="P3206">
        <v>0.74343539999999997</v>
      </c>
      <c r="Q3206">
        <v>0.11256480000000001</v>
      </c>
      <c r="R3206">
        <v>-0.65926680000000004</v>
      </c>
      <c r="S3206">
        <v>2.6256409999999999</v>
      </c>
      <c r="T3206">
        <v>-0.3597455</v>
      </c>
      <c r="U3206">
        <v>-1.6599119999999901</v>
      </c>
      <c r="V3206">
        <v>-0.31350169999999999</v>
      </c>
      <c r="W3206">
        <v>0.12004380000000001</v>
      </c>
      <c r="X3206">
        <v>0.94196930000000001</v>
      </c>
      <c r="Y3206">
        <v>-0.45571929999999999</v>
      </c>
      <c r="Z3206">
        <v>0.1135451</v>
      </c>
      <c r="AA3206">
        <v>0.88285190000000002</v>
      </c>
      <c r="AB3206">
        <v>24</v>
      </c>
      <c r="AC3206">
        <v>0.64529999999996301</v>
      </c>
      <c r="AD3206">
        <v>-0.106482999999999</v>
      </c>
      <c r="AE3206">
        <v>-0.28709999999998098</v>
      </c>
      <c r="AF3206">
        <v>-0.40418185037752402</v>
      </c>
      <c r="AG3206">
        <v>-0.106482999999999</v>
      </c>
      <c r="AH3206">
        <v>0.55995416942917797</v>
      </c>
      <c r="AI3206">
        <v>98.765508194167296</v>
      </c>
      <c r="AJ3206">
        <v>125.82221732088099</v>
      </c>
      <c r="AK3206">
        <v>0.69874907465034997</v>
      </c>
      <c r="AL3206">
        <v>83.105369564620503</v>
      </c>
      <c r="AM3206">
        <v>108.408226449938</v>
      </c>
      <c r="AN3206">
        <v>0.99999999598191003</v>
      </c>
    </row>
    <row r="3207" spans="1:40" x14ac:dyDescent="0.25">
      <c r="A3207" t="str">
        <f>"20190312164049316"</f>
        <v>20190312164049316</v>
      </c>
      <c r="B3207" t="str">
        <f>"1552380049308926"</f>
        <v>1552380049308926</v>
      </c>
      <c r="C3207" t="s">
        <v>40</v>
      </c>
      <c r="D3207">
        <v>5.3436969999999997</v>
      </c>
      <c r="E3207">
        <v>0.4378129</v>
      </c>
      <c r="F3207" t="s">
        <v>42</v>
      </c>
      <c r="G3207">
        <v>-488.23129999999998</v>
      </c>
      <c r="H3207">
        <v>1.0134609999999999</v>
      </c>
      <c r="I3207">
        <v>223.41980000000001</v>
      </c>
      <c r="J3207">
        <v>-488.88339999999999</v>
      </c>
      <c r="K3207">
        <v>1.1186</v>
      </c>
      <c r="L3207">
        <v>223.70349999999999</v>
      </c>
      <c r="M3207">
        <v>0.51425109999999996</v>
      </c>
      <c r="N3207">
        <v>0</v>
      </c>
      <c r="O3207">
        <v>-0.85751540000000004</v>
      </c>
      <c r="P3207">
        <v>0.75129809999999997</v>
      </c>
      <c r="Q3207">
        <v>0.113410999999999</v>
      </c>
      <c r="R3207">
        <v>-0.65014550000000004</v>
      </c>
      <c r="S3207">
        <v>2.6380919999999999</v>
      </c>
      <c r="T3207">
        <v>-0.35156890000000002</v>
      </c>
      <c r="U3207">
        <v>-1.6356660000000001</v>
      </c>
      <c r="V3207">
        <v>-0.31243500000000002</v>
      </c>
      <c r="W3207">
        <v>0.1209403</v>
      </c>
      <c r="X3207">
        <v>0.94220899999999996</v>
      </c>
      <c r="Y3207">
        <v>-0.45198719999999998</v>
      </c>
      <c r="Z3207">
        <v>0.1104996</v>
      </c>
      <c r="AA3207">
        <v>0.88515390000000005</v>
      </c>
      <c r="AB3207">
        <v>24</v>
      </c>
      <c r="AC3207">
        <v>0.652100000000018</v>
      </c>
      <c r="AD3207">
        <v>-0.105138999999999</v>
      </c>
      <c r="AE3207">
        <v>-0.28369999999998102</v>
      </c>
      <c r="AF3207">
        <v>-0.40449520820385598</v>
      </c>
      <c r="AG3207">
        <v>-0.105138999999999</v>
      </c>
      <c r="AH3207">
        <v>0.56630347393471603</v>
      </c>
      <c r="AI3207">
        <v>98.591126830265793</v>
      </c>
      <c r="AJ3207">
        <v>125.53719052763699</v>
      </c>
      <c r="AK3207">
        <v>0.70382540972275798</v>
      </c>
      <c r="AL3207">
        <v>83.053626890362295</v>
      </c>
      <c r="AM3207">
        <v>108.34543855707</v>
      </c>
      <c r="AN3207">
        <v>0.99999999253504401</v>
      </c>
    </row>
    <row r="3208" spans="1:40" x14ac:dyDescent="0.25">
      <c r="A3208" t="str">
        <f>"20190312164049337"</f>
        <v>20190312164049337</v>
      </c>
      <c r="B3208" t="str">
        <f>"1552380049329424"</f>
        <v>1552380049329424</v>
      </c>
      <c r="C3208" t="s">
        <v>40</v>
      </c>
      <c r="D3208">
        <v>5.5690980000000003</v>
      </c>
      <c r="E3208">
        <v>0.43891540000000001</v>
      </c>
      <c r="F3208" t="s">
        <v>46</v>
      </c>
      <c r="G3208">
        <v>-480.2826</v>
      </c>
      <c r="H3208" s="1">
        <v>1.769287E-6</v>
      </c>
      <c r="I3208">
        <v>218.4845</v>
      </c>
      <c r="J3208">
        <v>-488.76130000000001</v>
      </c>
      <c r="K3208">
        <v>1.1185849999999999</v>
      </c>
      <c r="L3208">
        <v>223.5249</v>
      </c>
      <c r="M3208">
        <v>0.52415670000000003</v>
      </c>
      <c r="N3208">
        <v>0</v>
      </c>
      <c r="O3208">
        <v>-0.85149660000000005</v>
      </c>
      <c r="P3208">
        <v>0.75788100000000003</v>
      </c>
      <c r="Q3208">
        <v>0.113549499999999</v>
      </c>
      <c r="R3208">
        <v>-0.64243530000000004</v>
      </c>
      <c r="S3208">
        <v>2.6524049999999999</v>
      </c>
      <c r="T3208">
        <v>-0.34496450000000001</v>
      </c>
      <c r="U3208">
        <v>-1.609497</v>
      </c>
      <c r="V3208">
        <v>-0.3111159</v>
      </c>
      <c r="W3208">
        <v>0.1211349</v>
      </c>
      <c r="X3208">
        <v>0.94262040000000002</v>
      </c>
      <c r="Y3208">
        <v>-0.45040390000000002</v>
      </c>
      <c r="Z3208">
        <v>0.1080407</v>
      </c>
      <c r="AA3208">
        <v>0.88626380000000005</v>
      </c>
      <c r="AB3208">
        <v>24</v>
      </c>
      <c r="AC3208">
        <v>8.4786999999999999</v>
      </c>
      <c r="AD3208">
        <v>-1.1185832307129999</v>
      </c>
      <c r="AE3208">
        <v>-5.0404</v>
      </c>
      <c r="AF3208">
        <v>-4.51998476494692</v>
      </c>
      <c r="AG3208">
        <v>-1.1185832307129999</v>
      </c>
      <c r="AH3208">
        <v>8.6260492410247398</v>
      </c>
      <c r="AI3208">
        <v>96.552369858543898</v>
      </c>
      <c r="AJ3208">
        <v>117.654199545919</v>
      </c>
      <c r="AK3208">
        <v>9.8025617176311606</v>
      </c>
      <c r="AL3208">
        <v>83.042394552837095</v>
      </c>
      <c r="AM3208">
        <v>108.265694632029</v>
      </c>
      <c r="AN3208">
        <v>0.99999999286348995</v>
      </c>
    </row>
    <row r="3209" spans="1:40" x14ac:dyDescent="0.25">
      <c r="A3209" t="str">
        <f>"20190312164049361"</f>
        <v>20190312164049361</v>
      </c>
      <c r="B3209" t="str">
        <f>"1552380049348945"</f>
        <v>1552380049348945</v>
      </c>
      <c r="C3209" t="s">
        <v>40</v>
      </c>
      <c r="D3209">
        <v>5.42408</v>
      </c>
      <c r="E3209">
        <v>0.43977149999999998</v>
      </c>
      <c r="F3209" t="s">
        <v>46</v>
      </c>
      <c r="G3209">
        <v>-480.01060000000001</v>
      </c>
      <c r="H3209" s="1">
        <v>1.7133200000000001E-6</v>
      </c>
      <c r="I3209">
        <v>218.30789999999999</v>
      </c>
      <c r="J3209">
        <v>-488.62049999999999</v>
      </c>
      <c r="K3209">
        <v>1.1185529999999999</v>
      </c>
      <c r="L3209">
        <v>223.32470000000001</v>
      </c>
      <c r="M3209">
        <v>0.53526770000000001</v>
      </c>
      <c r="N3209">
        <v>0</v>
      </c>
      <c r="O3209">
        <v>-0.84455599999999997</v>
      </c>
      <c r="P3209">
        <v>0.76544140000000005</v>
      </c>
      <c r="Q3209">
        <v>0.11313330000000001</v>
      </c>
      <c r="R3209">
        <v>-0.63348289999999996</v>
      </c>
      <c r="S3209">
        <v>2.6634220000000002</v>
      </c>
      <c r="T3209">
        <v>-0.34045879999999901</v>
      </c>
      <c r="U3209">
        <v>-1.5878749999999999</v>
      </c>
      <c r="V3209">
        <v>-0.30987920000000002</v>
      </c>
      <c r="W3209">
        <v>0.1207761</v>
      </c>
      <c r="X3209">
        <v>0.94307370000000001</v>
      </c>
      <c r="Y3209">
        <v>-0.44581850000000001</v>
      </c>
      <c r="Z3209">
        <v>0.1060765</v>
      </c>
      <c r="AA3209">
        <v>0.88881589999999999</v>
      </c>
      <c r="AB3209">
        <v>24</v>
      </c>
      <c r="AC3209">
        <v>8.6098999999999801</v>
      </c>
      <c r="AD3209">
        <v>-1.11855128668</v>
      </c>
      <c r="AE3209">
        <v>-5.0168000000000097</v>
      </c>
      <c r="AF3209">
        <v>-4.5296286714138896</v>
      </c>
      <c r="AG3209">
        <v>-1.11855128668</v>
      </c>
      <c r="AH3209">
        <v>8.7364364411030593</v>
      </c>
      <c r="AI3209">
        <v>96.484624636262893</v>
      </c>
      <c r="AJ3209">
        <v>117.405635058686</v>
      </c>
      <c r="AK3209">
        <v>9.9042422512407207</v>
      </c>
      <c r="AL3209">
        <v>83.0631043412845</v>
      </c>
      <c r="AM3209">
        <v>108.189710681934</v>
      </c>
      <c r="AN3209">
        <v>0.99999999427776998</v>
      </c>
    </row>
    <row r="3210" spans="1:40" x14ac:dyDescent="0.25">
      <c r="A3210" t="str">
        <f>"20190312164049382"</f>
        <v>20190312164049382</v>
      </c>
      <c r="B3210" t="str">
        <f>"1552380049379198"</f>
        <v>1552380049379198</v>
      </c>
      <c r="C3210" t="s">
        <v>40</v>
      </c>
      <c r="D3210">
        <v>5.4104619999999999</v>
      </c>
      <c r="E3210">
        <v>0.44079160000000001</v>
      </c>
      <c r="F3210" t="s">
        <v>42</v>
      </c>
      <c r="G3210">
        <v>-487.7423</v>
      </c>
      <c r="H3210">
        <v>1.0065040000000001</v>
      </c>
      <c r="I3210">
        <v>222.8126</v>
      </c>
      <c r="J3210">
        <v>-488.49209999999999</v>
      </c>
      <c r="K3210">
        <v>1.118527</v>
      </c>
      <c r="L3210">
        <v>223.1464</v>
      </c>
      <c r="M3210">
        <v>0.5451627</v>
      </c>
      <c r="N3210">
        <v>0</v>
      </c>
      <c r="O3210">
        <v>-0.83820300000000003</v>
      </c>
      <c r="P3210">
        <v>0.77265139999999999</v>
      </c>
      <c r="Q3210">
        <v>0.1116231</v>
      </c>
      <c r="R3210">
        <v>-0.62494019999999995</v>
      </c>
      <c r="S3210">
        <v>2.6784669999999999</v>
      </c>
      <c r="T3210">
        <v>-0.34148779999999901</v>
      </c>
      <c r="U3210">
        <v>-1.5602720000000001</v>
      </c>
      <c r="V3210">
        <v>-0.3094113</v>
      </c>
      <c r="W3210">
        <v>0.1193015</v>
      </c>
      <c r="X3210">
        <v>0.943415</v>
      </c>
      <c r="Y3210">
        <v>-0.4443088</v>
      </c>
      <c r="Z3210">
        <v>0.10593950000000001</v>
      </c>
      <c r="AA3210">
        <v>0.88958780000000004</v>
      </c>
      <c r="AB3210">
        <v>24</v>
      </c>
      <c r="AC3210">
        <v>0.74979999999999303</v>
      </c>
      <c r="AD3210">
        <v>-0.112022999999999</v>
      </c>
      <c r="AE3210">
        <v>-0.33379999999999599</v>
      </c>
      <c r="AF3210">
        <v>-0.43839001825336399</v>
      </c>
      <c r="AG3210">
        <v>-0.112022999999999</v>
      </c>
      <c r="AH3210">
        <v>0.676034533602073</v>
      </c>
      <c r="AI3210">
        <v>97.915212977287695</v>
      </c>
      <c r="AJ3210">
        <v>122.96231239050501</v>
      </c>
      <c r="AK3210">
        <v>0.81348488077883596</v>
      </c>
      <c r="AL3210">
        <v>83.148208329550101</v>
      </c>
      <c r="AM3210">
        <v>108.15791016115701</v>
      </c>
      <c r="AN3210">
        <v>1.00000003134746</v>
      </c>
    </row>
    <row r="3211" spans="1:40" x14ac:dyDescent="0.25">
      <c r="A3211" t="str">
        <f>"20190312164049404"</f>
        <v>20190312164049404</v>
      </c>
      <c r="B3211" t="str">
        <f>"1552380049399694"</f>
        <v>1552380049399694</v>
      </c>
      <c r="C3211" t="s">
        <v>40</v>
      </c>
      <c r="D3211">
        <v>5.4359129999999896</v>
      </c>
      <c r="E3211">
        <v>0.441554</v>
      </c>
      <c r="F3211" t="s">
        <v>42</v>
      </c>
      <c r="G3211">
        <v>-487.61829999999998</v>
      </c>
      <c r="H3211">
        <v>1.0058750000000001</v>
      </c>
      <c r="I3211">
        <v>222.64769999999999</v>
      </c>
      <c r="J3211">
        <v>-488.35149999999999</v>
      </c>
      <c r="K3211">
        <v>1.118485</v>
      </c>
      <c r="L3211">
        <v>222.95650000000001</v>
      </c>
      <c r="M3211">
        <v>0.55570790000000003</v>
      </c>
      <c r="N3211">
        <v>0</v>
      </c>
      <c r="O3211">
        <v>-0.83124920000000002</v>
      </c>
      <c r="P3211">
        <v>0.78019649999999996</v>
      </c>
      <c r="Q3211">
        <v>0.1089792</v>
      </c>
      <c r="R3211">
        <v>-0.61596859999999998</v>
      </c>
      <c r="S3211">
        <v>2.6908569999999998</v>
      </c>
      <c r="T3211">
        <v>-0.34689999999999999</v>
      </c>
      <c r="U3211">
        <v>-1.5355989999999999</v>
      </c>
      <c r="V3211">
        <v>-0.30864580000000003</v>
      </c>
      <c r="W3211">
        <v>0.116701</v>
      </c>
      <c r="X3211">
        <v>0.94399080000000002</v>
      </c>
      <c r="Y3211">
        <v>-0.4407742</v>
      </c>
      <c r="Z3211">
        <v>0.1070335</v>
      </c>
      <c r="AA3211">
        <v>0.891213699999999</v>
      </c>
      <c r="AB3211">
        <v>24</v>
      </c>
      <c r="AC3211">
        <v>0.73320000000000995</v>
      </c>
      <c r="AD3211">
        <v>-0.112609999999999</v>
      </c>
      <c r="AE3211">
        <v>-0.308800000000019</v>
      </c>
      <c r="AF3211">
        <v>-0.42931469888539397</v>
      </c>
      <c r="AG3211">
        <v>-0.112609999999999</v>
      </c>
      <c r="AH3211">
        <v>0.65115964120000003</v>
      </c>
      <c r="AI3211">
        <v>98.215664632431</v>
      </c>
      <c r="AJ3211">
        <v>123.397180409071</v>
      </c>
      <c r="AK3211">
        <v>0.78803616738495497</v>
      </c>
      <c r="AL3211">
        <v>83.298254082580101</v>
      </c>
      <c r="AM3211">
        <v>108.10559575707499</v>
      </c>
      <c r="AN3211">
        <v>0.99999999187164001</v>
      </c>
    </row>
    <row r="3212" spans="1:40" x14ac:dyDescent="0.25">
      <c r="A3212" t="str">
        <f>"20190312164049427"</f>
        <v>20190312164049427</v>
      </c>
      <c r="B3212" t="str">
        <f>"1552380049419214"</f>
        <v>1552380049419214</v>
      </c>
      <c r="C3212" t="s">
        <v>40</v>
      </c>
      <c r="D3212">
        <v>5.4851279999999996</v>
      </c>
      <c r="E3212">
        <v>0.44218239999999998</v>
      </c>
      <c r="F3212" t="s">
        <v>42</v>
      </c>
      <c r="G3212">
        <v>-487.49689999999998</v>
      </c>
      <c r="H3212">
        <v>1.0058800000000001</v>
      </c>
      <c r="I3212">
        <v>222.47989999999999</v>
      </c>
      <c r="J3212">
        <v>-488.20870000000002</v>
      </c>
      <c r="K3212">
        <v>1.1184559999999999</v>
      </c>
      <c r="L3212">
        <v>222.76830000000001</v>
      </c>
      <c r="M3212">
        <v>0.56615509999999902</v>
      </c>
      <c r="N3212">
        <v>0</v>
      </c>
      <c r="O3212">
        <v>-0.82416909999999899</v>
      </c>
      <c r="P3212">
        <v>0.7873812</v>
      </c>
      <c r="Q3212">
        <v>0.10762919999999999</v>
      </c>
      <c r="R3212">
        <v>-0.60699859999999894</v>
      </c>
      <c r="S3212">
        <v>2.7046809999999999</v>
      </c>
      <c r="T3212">
        <v>-0.35629480000000002</v>
      </c>
      <c r="U3212">
        <v>-1.507614</v>
      </c>
      <c r="V3212">
        <v>-0.30765300000000001</v>
      </c>
      <c r="W3212">
        <v>0.1153976</v>
      </c>
      <c r="X3212">
        <v>0.94447499999999995</v>
      </c>
      <c r="Y3212">
        <v>-0.43814530000000002</v>
      </c>
      <c r="Z3212">
        <v>0.1093359</v>
      </c>
      <c r="AA3212">
        <v>0.89222999999999997</v>
      </c>
      <c r="AB3212">
        <v>24</v>
      </c>
      <c r="AC3212">
        <v>0.71180000000003896</v>
      </c>
      <c r="AD3212">
        <v>-0.112576</v>
      </c>
      <c r="AE3212">
        <v>-0.28840000000002403</v>
      </c>
      <c r="AF3212">
        <v>-0.41450352377105298</v>
      </c>
      <c r="AG3212">
        <v>-0.112576</v>
      </c>
      <c r="AH3212">
        <v>0.62727030693935903</v>
      </c>
      <c r="AI3212">
        <v>98.515726646441095</v>
      </c>
      <c r="AJ3212">
        <v>123.45693811389</v>
      </c>
      <c r="AK3212">
        <v>0.76023323063545301</v>
      </c>
      <c r="AL3212">
        <v>83.373441468919907</v>
      </c>
      <c r="AM3212">
        <v>108.042485881348</v>
      </c>
      <c r="AN3212">
        <v>1.0000000000598701</v>
      </c>
    </row>
    <row r="3213" spans="1:40" x14ac:dyDescent="0.25">
      <c r="A3213" t="str">
        <f>"20190312164049449"</f>
        <v>20190312164049449</v>
      </c>
      <c r="B3213" t="str">
        <f>"1552380049439711"</f>
        <v>1552380049439711</v>
      </c>
      <c r="C3213" t="s">
        <v>40</v>
      </c>
      <c r="D3213">
        <v>5.3727519999999904</v>
      </c>
      <c r="E3213">
        <v>0.45715479999999997</v>
      </c>
      <c r="F3213" t="s">
        <v>42</v>
      </c>
      <c r="G3213">
        <v>-487.36369999999999</v>
      </c>
      <c r="H3213">
        <v>1.005868</v>
      </c>
      <c r="I3213">
        <v>222.30850000000001</v>
      </c>
      <c r="J3213">
        <v>-488.0634</v>
      </c>
      <c r="K3213">
        <v>1.118428</v>
      </c>
      <c r="L3213">
        <v>222.58189999999999</v>
      </c>
      <c r="M3213">
        <v>0.57651140000000001</v>
      </c>
      <c r="N3213">
        <v>0</v>
      </c>
      <c r="O3213">
        <v>-0.81695839999999997</v>
      </c>
      <c r="P3213">
        <v>0.79411219999999905</v>
      </c>
      <c r="Q3213">
        <v>0.1075233</v>
      </c>
      <c r="R3213">
        <v>-0.59818509999999903</v>
      </c>
      <c r="S3213">
        <v>2.718842</v>
      </c>
      <c r="T3213">
        <v>-0.36226419999999998</v>
      </c>
      <c r="U3213">
        <v>-1.4798279999999999</v>
      </c>
      <c r="V3213">
        <v>-0.30626009999999998</v>
      </c>
      <c r="W3213">
        <v>0.115346</v>
      </c>
      <c r="X3213">
        <v>0.94493389999999999</v>
      </c>
      <c r="Y3213">
        <v>-0.43563380000000002</v>
      </c>
      <c r="Z3213">
        <v>0.1105299</v>
      </c>
      <c r="AA3213">
        <v>0.89331199999999999</v>
      </c>
      <c r="AB3213">
        <v>24</v>
      </c>
      <c r="AC3213">
        <v>0.69970000000000698</v>
      </c>
      <c r="AD3213">
        <v>-0.11255999999999999</v>
      </c>
      <c r="AE3213">
        <v>-0.27339999999998099</v>
      </c>
      <c r="AF3213">
        <v>-0.40496001301538298</v>
      </c>
      <c r="AG3213">
        <v>-0.11255999999999999</v>
      </c>
      <c r="AH3213">
        <v>0.61304488590443695</v>
      </c>
      <c r="AI3213">
        <v>98.710035985233802</v>
      </c>
      <c r="AJ3213">
        <v>123.447616304731</v>
      </c>
      <c r="AK3213">
        <v>0.74329428753018401</v>
      </c>
      <c r="AL3213">
        <v>83.3764178852269</v>
      </c>
      <c r="AM3213">
        <v>107.957894767098</v>
      </c>
      <c r="AN3213">
        <v>1.0000000119685999</v>
      </c>
    </row>
    <row r="3214" spans="1:40" x14ac:dyDescent="0.25">
      <c r="A3214" t="str">
        <f>"20190312164049471"</f>
        <v>20190312164049471</v>
      </c>
      <c r="B3214" t="str">
        <f>"1552380049468990"</f>
        <v>1552380049468990</v>
      </c>
      <c r="C3214" t="s">
        <v>40</v>
      </c>
      <c r="D3214">
        <v>5.3668139999999998</v>
      </c>
      <c r="E3214">
        <v>0.45767619999999998</v>
      </c>
      <c r="F3214" t="s">
        <v>46</v>
      </c>
      <c r="G3214">
        <v>-479.69130000000001</v>
      </c>
      <c r="H3214" s="1">
        <v>1.796804E-6</v>
      </c>
      <c r="I3214">
        <v>217.7287</v>
      </c>
      <c r="J3214">
        <v>-487.91609999999997</v>
      </c>
      <c r="K3214">
        <v>1.118404</v>
      </c>
      <c r="L3214">
        <v>222.39760000000001</v>
      </c>
      <c r="M3214">
        <v>0.58674130000000002</v>
      </c>
      <c r="N3214">
        <v>0</v>
      </c>
      <c r="O3214">
        <v>-0.80964250000000004</v>
      </c>
      <c r="P3214">
        <v>0.80050410000000005</v>
      </c>
      <c r="Q3214">
        <v>0.1085537</v>
      </c>
      <c r="R3214">
        <v>-0.58941449999999995</v>
      </c>
      <c r="S3214">
        <v>2.663116</v>
      </c>
      <c r="T3214">
        <v>-0.35576629999999998</v>
      </c>
      <c r="U3214">
        <v>-1.543777</v>
      </c>
      <c r="V3214">
        <v>-0.30466399999999999</v>
      </c>
      <c r="W3214">
        <v>0.1164343</v>
      </c>
      <c r="X3214">
        <v>0.9453163</v>
      </c>
      <c r="Y3214">
        <v>-0.40027439999999997</v>
      </c>
      <c r="Z3214">
        <v>0.1072176</v>
      </c>
      <c r="AA3214">
        <v>0.91010150000000001</v>
      </c>
      <c r="AB3214">
        <v>24</v>
      </c>
      <c r="AC3214">
        <v>8.2247999999999593</v>
      </c>
      <c r="AD3214">
        <v>-1.1184022031959999</v>
      </c>
      <c r="AE3214">
        <v>-4.6688999999999998</v>
      </c>
      <c r="AF3214">
        <v>-3.8660664508020099</v>
      </c>
      <c r="AG3214">
        <v>-1.1184022031959999</v>
      </c>
      <c r="AH3214">
        <v>8.4881893760862699</v>
      </c>
      <c r="AI3214">
        <v>96.8375869532411</v>
      </c>
      <c r="AJ3214">
        <v>114.487566551277</v>
      </c>
      <c r="AK3214">
        <v>9.3939689255625307</v>
      </c>
      <c r="AL3214">
        <v>83.313639830342197</v>
      </c>
      <c r="AM3214">
        <v>107.863502823929</v>
      </c>
      <c r="AN3214">
        <v>1.0000000030790801</v>
      </c>
    </row>
    <row r="3215" spans="1:40" x14ac:dyDescent="0.25">
      <c r="A3215" t="str">
        <f>"20190312164049495"</f>
        <v>20190312164049495</v>
      </c>
      <c r="B3215" t="str">
        <f>"1552380049489487"</f>
        <v>1552380049489487</v>
      </c>
      <c r="C3215" t="s">
        <v>40</v>
      </c>
      <c r="D3215">
        <v>5.7281399999999998</v>
      </c>
      <c r="E3215">
        <v>0.4561152</v>
      </c>
      <c r="F3215" t="s">
        <v>46</v>
      </c>
      <c r="G3215">
        <v>-479.47669999999999</v>
      </c>
      <c r="H3215" s="1">
        <v>1.8870610000000001E-6</v>
      </c>
      <c r="I3215">
        <v>217.6163</v>
      </c>
      <c r="J3215">
        <v>-487.76499999999999</v>
      </c>
      <c r="K3215">
        <v>1.1183689999999999</v>
      </c>
      <c r="L3215">
        <v>222.21340000000001</v>
      </c>
      <c r="M3215">
        <v>0.59696149999999903</v>
      </c>
      <c r="N3215">
        <v>0</v>
      </c>
      <c r="O3215">
        <v>-0.80213669999999904</v>
      </c>
      <c r="P3215">
        <v>0.80685499999999999</v>
      </c>
      <c r="Q3215">
        <v>0.1093703</v>
      </c>
      <c r="R3215">
        <v>-0.58053719999999998</v>
      </c>
      <c r="S3215">
        <v>2.6784669999999999</v>
      </c>
      <c r="T3215">
        <v>-0.35495470000000001</v>
      </c>
      <c r="U3215">
        <v>-1.517487</v>
      </c>
      <c r="V3215">
        <v>-0.30303140000000001</v>
      </c>
      <c r="W3215">
        <v>0.11731279999999999</v>
      </c>
      <c r="X3215">
        <v>0.94573240000000003</v>
      </c>
      <c r="Y3215">
        <v>-0.39774189999999998</v>
      </c>
      <c r="Z3215">
        <v>0.1062565</v>
      </c>
      <c r="AA3215">
        <v>0.91132369999999996</v>
      </c>
      <c r="AB3215">
        <v>24</v>
      </c>
      <c r="AC3215">
        <v>8.2882999999999907</v>
      </c>
      <c r="AD3215">
        <v>-1.118367112939</v>
      </c>
      <c r="AE3215">
        <v>-4.59710000000001</v>
      </c>
      <c r="AF3215">
        <v>-3.85085734546346</v>
      </c>
      <c r="AG3215">
        <v>-1.118367112939</v>
      </c>
      <c r="AH3215">
        <v>8.5176255058708001</v>
      </c>
      <c r="AI3215">
        <v>96.822506290235793</v>
      </c>
      <c r="AJ3215">
        <v>114.327942809775</v>
      </c>
      <c r="AK3215">
        <v>9.4143396769329701</v>
      </c>
      <c r="AL3215">
        <v>83.262958455117598</v>
      </c>
      <c r="AM3215">
        <v>107.766488258244</v>
      </c>
      <c r="AN3215">
        <v>1.0000000474197701</v>
      </c>
    </row>
    <row r="3216" spans="1:40" x14ac:dyDescent="0.25">
      <c r="A3216" t="str">
        <f>"20190312164049519"</f>
        <v>20190312164049519</v>
      </c>
      <c r="B3216" t="str">
        <f>"1552380049509006"</f>
        <v>1552380049509006</v>
      </c>
      <c r="C3216" t="s">
        <v>40</v>
      </c>
      <c r="D3216">
        <v>5.4282009999999996</v>
      </c>
      <c r="E3216">
        <v>0.45568639999999999</v>
      </c>
      <c r="F3216" t="s">
        <v>46</v>
      </c>
      <c r="G3216">
        <v>-480.33440000000002</v>
      </c>
      <c r="H3216" s="1">
        <v>1.764092E-6</v>
      </c>
      <c r="I3216">
        <v>218.15549999999999</v>
      </c>
      <c r="J3216">
        <v>-487.60739999999998</v>
      </c>
      <c r="K3216">
        <v>1.1183339999999999</v>
      </c>
      <c r="L3216">
        <v>222.02610000000001</v>
      </c>
      <c r="M3216">
        <v>0.60733570000000003</v>
      </c>
      <c r="N3216">
        <v>0</v>
      </c>
      <c r="O3216">
        <v>-0.794311199999999</v>
      </c>
      <c r="P3216">
        <v>0.81308950000000002</v>
      </c>
      <c r="Q3216">
        <v>0.1102981</v>
      </c>
      <c r="R3216">
        <v>-0.5715943</v>
      </c>
      <c r="S3216">
        <v>2.7089840000000001</v>
      </c>
      <c r="T3216">
        <v>-0.40772199999999997</v>
      </c>
      <c r="U3216">
        <v>-1.479401</v>
      </c>
      <c r="V3216">
        <v>-0.30108359999999901</v>
      </c>
      <c r="W3216">
        <v>0.1183134</v>
      </c>
      <c r="X3216">
        <v>0.94622969999999895</v>
      </c>
      <c r="Y3216">
        <v>-0.39824229999999999</v>
      </c>
      <c r="Z3216">
        <v>0.12083199999999999</v>
      </c>
      <c r="AA3216">
        <v>0.90928690000000001</v>
      </c>
      <c r="AB3216">
        <v>24</v>
      </c>
      <c r="AC3216">
        <v>7.2729999999999597</v>
      </c>
      <c r="AD3216">
        <v>-1.1183322359079999</v>
      </c>
      <c r="AE3216">
        <v>-3.87060000000002</v>
      </c>
      <c r="AF3216">
        <v>-3.36464265539965</v>
      </c>
      <c r="AG3216">
        <v>-1.1183322359079999</v>
      </c>
      <c r="AH3216">
        <v>7.3568600957525199</v>
      </c>
      <c r="AI3216">
        <v>97.870711365183297</v>
      </c>
      <c r="AJ3216">
        <v>114.576875947589</v>
      </c>
      <c r="AK3216">
        <v>8.1666931898340298</v>
      </c>
      <c r="AL3216">
        <v>83.205226051602196</v>
      </c>
      <c r="AM3216">
        <v>107.65070231034299</v>
      </c>
      <c r="AN3216">
        <v>1.0000000199853001</v>
      </c>
    </row>
    <row r="3217" spans="1:40" x14ac:dyDescent="0.25">
      <c r="A3217" t="str">
        <f>"20190312164049540"</f>
        <v>20190312164049540</v>
      </c>
      <c r="B3217" t="str">
        <f>"1552380049529503"</f>
        <v>1552380049529503</v>
      </c>
      <c r="C3217" t="s">
        <v>40</v>
      </c>
      <c r="D3217">
        <v>5.3651559999999998</v>
      </c>
      <c r="E3217">
        <v>0.4470034</v>
      </c>
      <c r="F3217" t="s">
        <v>42</v>
      </c>
      <c r="G3217">
        <v>-486.63799999999998</v>
      </c>
      <c r="H3217">
        <v>0.97758270000000003</v>
      </c>
      <c r="I3217">
        <v>221.5121</v>
      </c>
      <c r="J3217">
        <v>-487.45949999999999</v>
      </c>
      <c r="K3217">
        <v>1.11829</v>
      </c>
      <c r="L3217">
        <v>221.85489999999999</v>
      </c>
      <c r="M3217">
        <v>0.61680000000000001</v>
      </c>
      <c r="N3217">
        <v>0</v>
      </c>
      <c r="O3217">
        <v>-0.78698429999999997</v>
      </c>
      <c r="P3217">
        <v>0.81862829999999998</v>
      </c>
      <c r="Q3217">
        <v>0.11054949999999999</v>
      </c>
      <c r="R3217">
        <v>-0.56358409999999903</v>
      </c>
      <c r="S3217">
        <v>2.7271420000000002</v>
      </c>
      <c r="T3217">
        <v>-0.39589540000000001</v>
      </c>
      <c r="U3217">
        <v>-1.4456020000000001</v>
      </c>
      <c r="V3217">
        <v>-0.29900779999999999</v>
      </c>
      <c r="W3217">
        <v>0.118642</v>
      </c>
      <c r="X3217">
        <v>0.94684659999999998</v>
      </c>
      <c r="Y3217">
        <v>-0.39907579999999998</v>
      </c>
      <c r="Z3217">
        <v>0.11673070000000001</v>
      </c>
      <c r="AA3217">
        <v>0.90945730000000002</v>
      </c>
      <c r="AB3217">
        <v>24</v>
      </c>
      <c r="AC3217">
        <v>0.82149999999995704</v>
      </c>
      <c r="AD3217">
        <v>-0.14070730000000001</v>
      </c>
      <c r="AE3217">
        <v>-0.34279999999998201</v>
      </c>
      <c r="AF3217">
        <v>-0.42450809517494398</v>
      </c>
      <c r="AG3217">
        <v>-0.14070730000000001</v>
      </c>
      <c r="AH3217">
        <v>0.75763184735415501</v>
      </c>
      <c r="AI3217">
        <v>99.2031096617158</v>
      </c>
      <c r="AJ3217">
        <v>119.262311101344</v>
      </c>
      <c r="AK3217">
        <v>0.87977933782717299</v>
      </c>
      <c r="AL3217">
        <v>83.186265222951306</v>
      </c>
      <c r="AM3217">
        <v>107.525767042556</v>
      </c>
      <c r="AN3217">
        <v>1.00000003627819</v>
      </c>
    </row>
    <row r="3218" spans="1:40" x14ac:dyDescent="0.25">
      <c r="A3218" t="str">
        <f>"20190312164049561"</f>
        <v>20190312164049561</v>
      </c>
      <c r="B3218" t="str">
        <f>"1552380049549026"</f>
        <v>1552380049549026</v>
      </c>
      <c r="C3218" t="s">
        <v>40</v>
      </c>
      <c r="D3218">
        <v>5.3635820000000001</v>
      </c>
      <c r="E3218">
        <v>0.4430827</v>
      </c>
      <c r="F3218" t="s">
        <v>42</v>
      </c>
      <c r="G3218">
        <v>-486.54570000000001</v>
      </c>
      <c r="H3218">
        <v>0.99572939999999999</v>
      </c>
      <c r="I3218">
        <v>221.4074</v>
      </c>
      <c r="J3218">
        <v>-487.31270000000001</v>
      </c>
      <c r="K3218">
        <v>1.118247</v>
      </c>
      <c r="L3218">
        <v>221.68879999999999</v>
      </c>
      <c r="M3218">
        <v>0.62595310000000004</v>
      </c>
      <c r="N3218">
        <v>0</v>
      </c>
      <c r="O3218">
        <v>-0.77972410000000003</v>
      </c>
      <c r="P3218">
        <v>0.82357250000000004</v>
      </c>
      <c r="Q3218">
        <v>0.1110252</v>
      </c>
      <c r="R3218">
        <v>-0.55623919999999905</v>
      </c>
      <c r="S3218">
        <v>2.7782290000000001</v>
      </c>
      <c r="T3218">
        <v>-0.37265300000000001</v>
      </c>
      <c r="U3218">
        <v>-1.360687</v>
      </c>
      <c r="V3218">
        <v>-0.29635329999999999</v>
      </c>
      <c r="W3218">
        <v>0.1192073</v>
      </c>
      <c r="X3218">
        <v>0.94760979999999995</v>
      </c>
      <c r="Y3218">
        <v>-0.41824270000000002</v>
      </c>
      <c r="Z3218">
        <v>0.1098997</v>
      </c>
      <c r="AA3218">
        <v>0.90166239999999998</v>
      </c>
      <c r="AB3218">
        <v>24</v>
      </c>
      <c r="AC3218">
        <v>0.76699999999999502</v>
      </c>
      <c r="AD3218">
        <v>-0.1225176</v>
      </c>
      <c r="AE3218">
        <v>-0.28139999999998999</v>
      </c>
      <c r="AF3218">
        <v>-0.41266977563166501</v>
      </c>
      <c r="AG3218">
        <v>-0.1225176</v>
      </c>
      <c r="AH3218">
        <v>0.684208050124541</v>
      </c>
      <c r="AI3218">
        <v>98.717513884133396</v>
      </c>
      <c r="AJ3218">
        <v>121.095646211058</v>
      </c>
      <c r="AK3218">
        <v>0.80836103436823004</v>
      </c>
      <c r="AL3218">
        <v>83.1536441412903</v>
      </c>
      <c r="AM3218">
        <v>107.366430815125</v>
      </c>
      <c r="AN3218">
        <v>0.99999999592511002</v>
      </c>
    </row>
    <row r="3219" spans="1:40" x14ac:dyDescent="0.25">
      <c r="A3219" t="str">
        <f>"20190312164049583"</f>
        <v>20190312164049583</v>
      </c>
      <c r="B3219" t="str">
        <f>"1552380049579278"</f>
        <v>1552380049579278</v>
      </c>
      <c r="C3219" t="s">
        <v>40</v>
      </c>
      <c r="D3219">
        <v>5.358034</v>
      </c>
      <c r="E3219">
        <v>0.44017319999999999</v>
      </c>
      <c r="F3219" t="s">
        <v>42</v>
      </c>
      <c r="G3219">
        <v>-486.40109999999999</v>
      </c>
      <c r="H3219">
        <v>1.001125</v>
      </c>
      <c r="I3219">
        <v>221.26400000000001</v>
      </c>
      <c r="J3219">
        <v>-487.16140000000001</v>
      </c>
      <c r="K3219">
        <v>1.118201</v>
      </c>
      <c r="L3219">
        <v>221.52180000000001</v>
      </c>
      <c r="M3219">
        <v>0.63513549999999996</v>
      </c>
      <c r="N3219">
        <v>0</v>
      </c>
      <c r="O3219">
        <v>-0.77226309999999998</v>
      </c>
      <c r="P3219">
        <v>0.82858140000000002</v>
      </c>
      <c r="Q3219">
        <v>0.11257979999999999</v>
      </c>
      <c r="R3219">
        <v>-0.54843339999999996</v>
      </c>
      <c r="S3219">
        <v>2.8080750000000001</v>
      </c>
      <c r="T3219">
        <v>-0.3606528</v>
      </c>
      <c r="U3219">
        <v>-1.3077700000000001</v>
      </c>
      <c r="V3219">
        <v>-0.29394229999999999</v>
      </c>
      <c r="W3219">
        <v>0.1208442</v>
      </c>
      <c r="X3219">
        <v>0.94815329999999998</v>
      </c>
      <c r="Y3219">
        <v>-0.4256122</v>
      </c>
      <c r="Z3219">
        <v>0.1059441</v>
      </c>
      <c r="AA3219">
        <v>0.89868239999999999</v>
      </c>
      <c r="AB3219">
        <v>24</v>
      </c>
      <c r="AC3219">
        <v>0.76030000000002895</v>
      </c>
      <c r="AD3219">
        <v>-0.117075999999999</v>
      </c>
      <c r="AE3219">
        <v>-0.25780000000000303</v>
      </c>
      <c r="AF3219">
        <v>-0.41464065415020301</v>
      </c>
      <c r="AG3219">
        <v>-0.117075999999999</v>
      </c>
      <c r="AH3219">
        <v>0.66785239491286497</v>
      </c>
      <c r="AI3219">
        <v>98.470947176474795</v>
      </c>
      <c r="AJ3219">
        <v>121.834356475465</v>
      </c>
      <c r="AK3219">
        <v>0.79477071111167497</v>
      </c>
      <c r="AL3219">
        <v>83.059174016691699</v>
      </c>
      <c r="AM3219">
        <v>107.22425085462</v>
      </c>
      <c r="AN3219">
        <v>1.0000000383519001</v>
      </c>
    </row>
    <row r="3220" spans="1:40" x14ac:dyDescent="0.25">
      <c r="A3220" t="str">
        <f>"20190312164049605"</f>
        <v>20190312164049605</v>
      </c>
      <c r="B3220" t="str">
        <f>"1552380049598799"</f>
        <v>1552380049598799</v>
      </c>
      <c r="C3220" t="s">
        <v>40</v>
      </c>
      <c r="D3220">
        <v>5.3213939999999997</v>
      </c>
      <c r="E3220">
        <v>0.43918960000000001</v>
      </c>
      <c r="F3220" t="s">
        <v>42</v>
      </c>
      <c r="G3220">
        <v>-486.25740000000002</v>
      </c>
      <c r="H3220">
        <v>1.008192</v>
      </c>
      <c r="I3220">
        <v>221.11949999999999</v>
      </c>
      <c r="J3220">
        <v>-487.00360000000001</v>
      </c>
      <c r="K3220">
        <v>1.118144</v>
      </c>
      <c r="L3220">
        <v>221.35149999999999</v>
      </c>
      <c r="M3220">
        <v>0.64445589999999997</v>
      </c>
      <c r="N3220">
        <v>0</v>
      </c>
      <c r="O3220">
        <v>-0.76450240000000003</v>
      </c>
      <c r="P3220">
        <v>0.83369400000000005</v>
      </c>
      <c r="Q3220">
        <v>0.1134773</v>
      </c>
      <c r="R3220">
        <v>-0.54044190000000003</v>
      </c>
      <c r="S3220">
        <v>2.8332820000000001</v>
      </c>
      <c r="T3220">
        <v>-0.34476459999999998</v>
      </c>
      <c r="U3220">
        <v>-1.2603759999999999</v>
      </c>
      <c r="V3220">
        <v>-0.29145910000000003</v>
      </c>
      <c r="W3220">
        <v>0.1218287</v>
      </c>
      <c r="X3220">
        <v>0.94879360000000001</v>
      </c>
      <c r="Y3220">
        <v>-0.43076690000000001</v>
      </c>
      <c r="Z3220">
        <v>0.10080160000000001</v>
      </c>
      <c r="AA3220">
        <v>0.89681599999999995</v>
      </c>
      <c r="AB3220">
        <v>24</v>
      </c>
      <c r="AC3220">
        <v>0.74619999999998698</v>
      </c>
      <c r="AD3220">
        <v>-0.10995199999999999</v>
      </c>
      <c r="AE3220">
        <v>-0.23199999999999901</v>
      </c>
      <c r="AF3220">
        <v>-0.41282947926598501</v>
      </c>
      <c r="AG3220">
        <v>-0.10995199999999999</v>
      </c>
      <c r="AH3220">
        <v>0.64554699431884599</v>
      </c>
      <c r="AI3220">
        <v>98.165700809973998</v>
      </c>
      <c r="AJ3220">
        <v>122.59905213834099</v>
      </c>
      <c r="AK3220">
        <v>0.77411145394517999</v>
      </c>
      <c r="AL3220">
        <v>83.002345947521803</v>
      </c>
      <c r="AM3220">
        <v>107.076389763347</v>
      </c>
      <c r="AN3220">
        <v>0.99999996725872897</v>
      </c>
    </row>
    <row r="3221" spans="1:40" x14ac:dyDescent="0.25">
      <c r="A3221" t="str">
        <f>"20190312164049628"</f>
        <v>20190312164049628</v>
      </c>
      <c r="B3221" t="str">
        <f>"1552380049619295"</f>
        <v>1552380049619295</v>
      </c>
      <c r="C3221" t="s">
        <v>40</v>
      </c>
      <c r="D3221">
        <v>5.2805689999999998</v>
      </c>
      <c r="E3221">
        <v>0.43900909999999899</v>
      </c>
      <c r="F3221" t="s">
        <v>42</v>
      </c>
      <c r="G3221">
        <v>-486.10379999999998</v>
      </c>
      <c r="H3221">
        <v>1.012052</v>
      </c>
      <c r="I3221">
        <v>220.9641</v>
      </c>
      <c r="J3221">
        <v>-486.83780000000002</v>
      </c>
      <c r="K3221">
        <v>1.1180749999999999</v>
      </c>
      <c r="L3221">
        <v>221.17679999999999</v>
      </c>
      <c r="M3221">
        <v>0.65395899999999996</v>
      </c>
      <c r="N3221">
        <v>0</v>
      </c>
      <c r="O3221">
        <v>-0.75639000000000001</v>
      </c>
      <c r="P3221">
        <v>0.83863589999999999</v>
      </c>
      <c r="Q3221">
        <v>0.11443109999999999</v>
      </c>
      <c r="R3221">
        <v>-0.53253719999999904</v>
      </c>
      <c r="S3221">
        <v>2.849548</v>
      </c>
      <c r="T3221">
        <v>-0.33585910000000002</v>
      </c>
      <c r="U3221">
        <v>-1.2258</v>
      </c>
      <c r="V3221">
        <v>-0.28846559999999999</v>
      </c>
      <c r="W3221">
        <v>0.12288499999999999</v>
      </c>
      <c r="X3221">
        <v>0.94957199999999997</v>
      </c>
      <c r="Y3221">
        <v>-0.43089300000000003</v>
      </c>
      <c r="Z3221">
        <v>9.7552769999999997E-2</v>
      </c>
      <c r="AA3221">
        <v>0.89711459999999998</v>
      </c>
      <c r="AB3221">
        <v>24</v>
      </c>
      <c r="AC3221">
        <v>0.73400000000003696</v>
      </c>
      <c r="AD3221">
        <v>-0.10602299999999901</v>
      </c>
      <c r="AE3221">
        <v>-0.21269999999998301</v>
      </c>
      <c r="AF3221">
        <v>-0.40827863598247999</v>
      </c>
      <c r="AG3221">
        <v>-0.10602299999999901</v>
      </c>
      <c r="AH3221">
        <v>0.62885365884399902</v>
      </c>
      <c r="AI3221">
        <v>98.048728272427397</v>
      </c>
      <c r="AJ3221">
        <v>122.993353567589</v>
      </c>
      <c r="AK3221">
        <v>0.75722469939259096</v>
      </c>
      <c r="AL3221">
        <v>82.941366837626504</v>
      </c>
      <c r="AM3221">
        <v>106.89798748692699</v>
      </c>
      <c r="AN3221">
        <v>1.00000005439617</v>
      </c>
    </row>
    <row r="3222" spans="1:40" x14ac:dyDescent="0.25">
      <c r="A3222" t="str">
        <f>"20190312164049650"</f>
        <v>20190312164049650</v>
      </c>
      <c r="B3222" t="str">
        <f>"1552380049638814"</f>
        <v>1552380049638814</v>
      </c>
      <c r="C3222" t="s">
        <v>40</v>
      </c>
      <c r="D3222">
        <v>5.3979850000000003</v>
      </c>
      <c r="E3222">
        <v>0.43881629999999999</v>
      </c>
      <c r="F3222" t="s">
        <v>42</v>
      </c>
      <c r="G3222">
        <v>-485.91250000000002</v>
      </c>
      <c r="H3222">
        <v>1.011803</v>
      </c>
      <c r="I3222">
        <v>220.78980000000001</v>
      </c>
      <c r="J3222">
        <v>-486.68110000000001</v>
      </c>
      <c r="K3222">
        <v>1.11799</v>
      </c>
      <c r="L3222">
        <v>221.0155</v>
      </c>
      <c r="M3222">
        <v>0.66267379999999998</v>
      </c>
      <c r="N3222">
        <v>0</v>
      </c>
      <c r="O3222">
        <v>-0.74876690000000001</v>
      </c>
      <c r="P3222">
        <v>0.84311190000000003</v>
      </c>
      <c r="Q3222">
        <v>0.114367</v>
      </c>
      <c r="R3222">
        <v>-0.52543549999999895</v>
      </c>
      <c r="S3222">
        <v>2.8619080000000001</v>
      </c>
      <c r="T3222">
        <v>-0.32871790000000001</v>
      </c>
      <c r="U3222">
        <v>-1.1972050000000001</v>
      </c>
      <c r="V3222">
        <v>-0.2854662</v>
      </c>
      <c r="W3222">
        <v>0.1229262</v>
      </c>
      <c r="X3222">
        <v>0.95047269999999995</v>
      </c>
      <c r="Y3222">
        <v>-0.4297414</v>
      </c>
      <c r="Z3222">
        <v>9.4848189999999999E-2</v>
      </c>
      <c r="AA3222">
        <v>0.89795669999999905</v>
      </c>
      <c r="AB3222">
        <v>24</v>
      </c>
      <c r="AC3222">
        <v>0.76859999999999196</v>
      </c>
      <c r="AD3222">
        <v>-0.106187</v>
      </c>
      <c r="AE3222">
        <v>-0.22569999999998899</v>
      </c>
      <c r="AF3222">
        <v>-0.41862575756512599</v>
      </c>
      <c r="AG3222">
        <v>-0.106187</v>
      </c>
      <c r="AH3222">
        <v>0.66668459338524699</v>
      </c>
      <c r="AI3222">
        <v>97.682175578323793</v>
      </c>
      <c r="AJ3222">
        <v>122.125605586963</v>
      </c>
      <c r="AK3222">
        <v>0.79434976611265395</v>
      </c>
      <c r="AL3222">
        <v>82.938988383324201</v>
      </c>
      <c r="AM3222">
        <v>106.717182610601</v>
      </c>
      <c r="AN3222">
        <v>1.0000000777170801</v>
      </c>
    </row>
    <row r="3223" spans="1:40" x14ac:dyDescent="0.25">
      <c r="A3223" t="str">
        <f>"20190312164049672"</f>
        <v>20190312164049672</v>
      </c>
      <c r="B3223" t="str">
        <f>"1552380049659314"</f>
        <v>1552380049659314</v>
      </c>
      <c r="C3223" t="s">
        <v>40</v>
      </c>
      <c r="D3223">
        <v>5.4427649999999996</v>
      </c>
      <c r="E3223">
        <v>0.43916129999999998</v>
      </c>
      <c r="F3223" t="s">
        <v>46</v>
      </c>
      <c r="G3223">
        <v>-476.90730000000002</v>
      </c>
      <c r="H3223" s="1">
        <v>3.0011809999999999E-6</v>
      </c>
      <c r="I3223">
        <v>217.03819999999999</v>
      </c>
      <c r="J3223">
        <v>-486.52499999999998</v>
      </c>
      <c r="K3223">
        <v>1.1179059999999901</v>
      </c>
      <c r="L3223">
        <v>220.85830000000001</v>
      </c>
      <c r="M3223">
        <v>0.67109890000000005</v>
      </c>
      <c r="N3223">
        <v>0</v>
      </c>
      <c r="O3223">
        <v>-0.74122540000000003</v>
      </c>
      <c r="P3223">
        <v>0.84748760000000001</v>
      </c>
      <c r="Q3223">
        <v>0.11381810000000001</v>
      </c>
      <c r="R3223">
        <v>-0.51846949999999903</v>
      </c>
      <c r="S3223">
        <v>2.8739620000000001</v>
      </c>
      <c r="T3223">
        <v>-0.32874379999999997</v>
      </c>
      <c r="U3223">
        <v>-1.1695249999999999</v>
      </c>
      <c r="V3223">
        <v>-0.28256429999999999</v>
      </c>
      <c r="W3223">
        <v>0.1224851</v>
      </c>
      <c r="X3223">
        <v>0.95139620000000003</v>
      </c>
      <c r="Y3223">
        <v>-0.42832160000000002</v>
      </c>
      <c r="Z3223">
        <v>9.4187279999999998E-2</v>
      </c>
      <c r="AA3223">
        <v>0.89870430000000001</v>
      </c>
      <c r="AB3223">
        <v>24</v>
      </c>
      <c r="AC3223">
        <v>9.6176999999999495</v>
      </c>
      <c r="AD3223">
        <v>-1.1179029988189999</v>
      </c>
      <c r="AE3223">
        <v>-3.82010000000002</v>
      </c>
      <c r="AF3223">
        <v>-4.5130366156426396</v>
      </c>
      <c r="AG3223">
        <v>-1.1179029988189999</v>
      </c>
      <c r="AH3223">
        <v>9.1798410874509209</v>
      </c>
      <c r="AI3223">
        <v>96.2368323471445</v>
      </c>
      <c r="AJ3223">
        <v>116.17987106187699</v>
      </c>
      <c r="AK3223">
        <v>10.2901258009682</v>
      </c>
      <c r="AL3223">
        <v>82.964453132632798</v>
      </c>
      <c r="AM3223">
        <v>106.541398959106</v>
      </c>
      <c r="AN3223">
        <v>0.99999995636546901</v>
      </c>
    </row>
    <row r="3224" spans="1:40" x14ac:dyDescent="0.25">
      <c r="A3224" t="str">
        <f>"20190312164049696"</f>
        <v>20190312164049696</v>
      </c>
      <c r="B3224" t="str">
        <f>"1552380049689566"</f>
        <v>1552380049689566</v>
      </c>
      <c r="C3224" t="s">
        <v>40</v>
      </c>
      <c r="D3224">
        <v>5.3725610000000001</v>
      </c>
      <c r="E3224">
        <v>0.43965520000000002</v>
      </c>
      <c r="F3224" t="s">
        <v>46</v>
      </c>
      <c r="G3224">
        <v>-476.81740000000002</v>
      </c>
      <c r="H3224" s="1">
        <v>3.0394379999999998E-6</v>
      </c>
      <c r="I3224">
        <v>217.00049999999999</v>
      </c>
      <c r="J3224">
        <v>-486.34339999999997</v>
      </c>
      <c r="K3224">
        <v>1.1177950000000001</v>
      </c>
      <c r="L3224">
        <v>220.67949999999999</v>
      </c>
      <c r="M3224">
        <v>0.68058299999999905</v>
      </c>
      <c r="N3224">
        <v>0</v>
      </c>
      <c r="O3224">
        <v>-0.73252729999999999</v>
      </c>
      <c r="P3224">
        <v>0.8528405</v>
      </c>
      <c r="Q3224">
        <v>0.11187519999999999</v>
      </c>
      <c r="R3224">
        <v>-0.51004609999999995</v>
      </c>
      <c r="S3224">
        <v>2.8834529999999998</v>
      </c>
      <c r="T3224">
        <v>-0.33205059999999997</v>
      </c>
      <c r="U3224">
        <v>-1.1458889999999999</v>
      </c>
      <c r="V3224">
        <v>-0.27986109999999997</v>
      </c>
      <c r="W3224">
        <v>0.120659199999999</v>
      </c>
      <c r="X3224">
        <v>0.95242800000000005</v>
      </c>
      <c r="Y3224">
        <v>-0.42403010000000002</v>
      </c>
      <c r="Z3224">
        <v>9.4250379999999995E-2</v>
      </c>
      <c r="AA3224">
        <v>0.90073049999999999</v>
      </c>
      <c r="AB3224">
        <v>24</v>
      </c>
      <c r="AC3224">
        <v>9.5259999999999501</v>
      </c>
      <c r="AD3224">
        <v>-1.1177919605619999</v>
      </c>
      <c r="AE3224">
        <v>-3.6789999999999998</v>
      </c>
      <c r="AF3224">
        <v>-4.42168155313803</v>
      </c>
      <c r="AG3224">
        <v>-1.1177919605619999</v>
      </c>
      <c r="AH3224">
        <v>9.0704871368387305</v>
      </c>
      <c r="AI3224">
        <v>96.321052704416203</v>
      </c>
      <c r="AJ3224">
        <v>115.98831016964</v>
      </c>
      <c r="AK3224">
        <v>10.1525594568076</v>
      </c>
      <c r="AL3224">
        <v>83.069851507067</v>
      </c>
      <c r="AM3224">
        <v>106.374878767179</v>
      </c>
      <c r="AN3224">
        <v>0.99999998651092503</v>
      </c>
    </row>
    <row r="3225" spans="1:40" x14ac:dyDescent="0.25">
      <c r="A3225" t="str">
        <f>"20190312164049718"</f>
        <v>20190312164049718</v>
      </c>
      <c r="B3225" t="str">
        <f>"1552380049709087"</f>
        <v>1552380049709087</v>
      </c>
      <c r="C3225" t="s">
        <v>40</v>
      </c>
      <c r="D3225">
        <v>5.4023830000000004</v>
      </c>
      <c r="E3225">
        <v>0.43997700000000001</v>
      </c>
      <c r="F3225" t="s">
        <v>46</v>
      </c>
      <c r="G3225">
        <v>-476.78300000000002</v>
      </c>
      <c r="H3225" s="1">
        <v>3.0540779999999999E-6</v>
      </c>
      <c r="I3225">
        <v>216.98679999999999</v>
      </c>
      <c r="J3225">
        <v>-486.17919999999998</v>
      </c>
      <c r="K3225">
        <v>1.11768</v>
      </c>
      <c r="L3225">
        <v>220.52160000000001</v>
      </c>
      <c r="M3225">
        <v>0.68886179999999997</v>
      </c>
      <c r="N3225">
        <v>0</v>
      </c>
      <c r="O3225">
        <v>-0.72474799999999995</v>
      </c>
      <c r="P3225">
        <v>0.85701779999999905</v>
      </c>
      <c r="Q3225">
        <v>0.1106352</v>
      </c>
      <c r="R3225">
        <v>-0.50326990000000005</v>
      </c>
      <c r="S3225">
        <v>2.8936459999999999</v>
      </c>
      <c r="T3225">
        <v>-0.33832309999999999</v>
      </c>
      <c r="U3225">
        <v>-1.117661</v>
      </c>
      <c r="V3225">
        <v>-0.27664539999999999</v>
      </c>
      <c r="W3225">
        <v>0.11954339999999999</v>
      </c>
      <c r="X3225">
        <v>0.95350760000000001</v>
      </c>
      <c r="Y3225">
        <v>-0.42230059999999903</v>
      </c>
      <c r="Z3225">
        <v>9.5325099999999996E-2</v>
      </c>
      <c r="AA3225">
        <v>0.90142960000000005</v>
      </c>
      <c r="AB3225">
        <v>24</v>
      </c>
      <c r="AC3225">
        <v>9.3961999999999595</v>
      </c>
      <c r="AD3225">
        <v>-1.117676945922</v>
      </c>
      <c r="AE3225">
        <v>-3.5348000000000099</v>
      </c>
      <c r="AF3225">
        <v>-4.32177927304304</v>
      </c>
      <c r="AG3225">
        <v>-1.117676945922</v>
      </c>
      <c r="AH3225">
        <v>8.9248474039038896</v>
      </c>
      <c r="AI3225">
        <v>96.430805152814699</v>
      </c>
      <c r="AJ3225">
        <v>115.838180257578</v>
      </c>
      <c r="AK3225">
        <v>9.9789718419945395</v>
      </c>
      <c r="AL3225">
        <v>83.1342485176217</v>
      </c>
      <c r="AM3225">
        <v>106.179264406792</v>
      </c>
      <c r="AN3225">
        <v>1.00000002254123</v>
      </c>
    </row>
    <row r="3226" spans="1:40" x14ac:dyDescent="0.25">
      <c r="A3226" t="str">
        <f>"20190312164049741"</f>
        <v>20190312164049741</v>
      </c>
      <c r="B3226" t="str">
        <f>"1552380049729582"</f>
        <v>1552380049729582</v>
      </c>
      <c r="C3226" t="s">
        <v>40</v>
      </c>
      <c r="D3226">
        <v>5.579866</v>
      </c>
      <c r="E3226">
        <v>0.4400675</v>
      </c>
      <c r="F3226" t="s">
        <v>42</v>
      </c>
      <c r="G3226">
        <v>-485.2133</v>
      </c>
      <c r="H3226">
        <v>1.0037180000000001</v>
      </c>
      <c r="I3226">
        <v>220.15700000000001</v>
      </c>
      <c r="J3226">
        <v>-486.01060000000001</v>
      </c>
      <c r="K3226">
        <v>1.1175539999999999</v>
      </c>
      <c r="L3226">
        <v>220.363</v>
      </c>
      <c r="M3226">
        <v>0.69706239999999997</v>
      </c>
      <c r="N3226">
        <v>0</v>
      </c>
      <c r="O3226">
        <v>-0.71686459999999996</v>
      </c>
      <c r="P3226">
        <v>0.86140749999999999</v>
      </c>
      <c r="Q3226">
        <v>0.1097041</v>
      </c>
      <c r="R3226">
        <v>-0.49592609999999898</v>
      </c>
      <c r="S3226">
        <v>2.9019469999999998</v>
      </c>
      <c r="T3226">
        <v>-0.34230759999999899</v>
      </c>
      <c r="U3226">
        <v>-1.094589</v>
      </c>
      <c r="V3226">
        <v>-0.27397739999999998</v>
      </c>
      <c r="W3226">
        <v>0.11872530000000001</v>
      </c>
      <c r="X3226">
        <v>0.95437969999999905</v>
      </c>
      <c r="Y3226">
        <v>-0.41904409999999997</v>
      </c>
      <c r="Z3226">
        <v>9.5645270000000004E-2</v>
      </c>
      <c r="AA3226">
        <v>0.9029142</v>
      </c>
      <c r="AB3226">
        <v>24</v>
      </c>
      <c r="AC3226">
        <v>0.797300000000007</v>
      </c>
      <c r="AD3226">
        <v>-0.11383600000000001</v>
      </c>
      <c r="AE3226">
        <v>-0.205999999999988</v>
      </c>
      <c r="AF3226">
        <v>-0.41998041429848798</v>
      </c>
      <c r="AG3226">
        <v>-0.11383600000000001</v>
      </c>
      <c r="AH3226">
        <v>0.69032375477596397</v>
      </c>
      <c r="AI3226">
        <v>98.018997639794094</v>
      </c>
      <c r="AJ3226">
        <v>121.315570434458</v>
      </c>
      <c r="AK3226">
        <v>0.81602026304394903</v>
      </c>
      <c r="AL3226">
        <v>83.181458003723904</v>
      </c>
      <c r="AM3226">
        <v>106.01738522108801</v>
      </c>
      <c r="AN3226">
        <v>0.99999996217146903</v>
      </c>
    </row>
    <row r="3227" spans="1:40" x14ac:dyDescent="0.25">
      <c r="A3227" t="str">
        <f>"20190312164049761"</f>
        <v>20190312164049761</v>
      </c>
      <c r="B3227" t="str">
        <f>"1552380049758863"</f>
        <v>1552380049758863</v>
      </c>
      <c r="C3227" t="s">
        <v>40</v>
      </c>
      <c r="D3227">
        <v>5.4359289999999998</v>
      </c>
      <c r="E3227">
        <v>0.44076939999999998</v>
      </c>
      <c r="F3227" t="s">
        <v>42</v>
      </c>
      <c r="G3227">
        <v>-485.05130000000003</v>
      </c>
      <c r="H3227">
        <v>1.003145</v>
      </c>
      <c r="I3227">
        <v>220.01079999999999</v>
      </c>
      <c r="J3227">
        <v>-485.8485</v>
      </c>
      <c r="K3227">
        <v>1.1174489999999999</v>
      </c>
      <c r="L3227">
        <v>220.2139</v>
      </c>
      <c r="M3227">
        <v>0.70469499999999996</v>
      </c>
      <c r="N3227">
        <v>0</v>
      </c>
      <c r="O3227">
        <v>-0.70936359999999998</v>
      </c>
      <c r="P3227">
        <v>0.86569339999999995</v>
      </c>
      <c r="Q3227">
        <v>0.1101077</v>
      </c>
      <c r="R3227">
        <v>-0.48831560000000002</v>
      </c>
      <c r="S3227">
        <v>2.9114990000000001</v>
      </c>
      <c r="T3227">
        <v>-0.34724949999999999</v>
      </c>
      <c r="U3227">
        <v>-1.0690459999999999</v>
      </c>
      <c r="V3227">
        <v>-0.2721114</v>
      </c>
      <c r="W3227">
        <v>0.119213899999999</v>
      </c>
      <c r="X3227">
        <v>0.95485260000000005</v>
      </c>
      <c r="Y3227">
        <v>-0.41716019999999998</v>
      </c>
      <c r="Z3227">
        <v>9.6281919999999993E-2</v>
      </c>
      <c r="AA3227">
        <v>0.90371849999999998</v>
      </c>
      <c r="AB3227">
        <v>24</v>
      </c>
      <c r="AC3227">
        <v>0.79719999999997504</v>
      </c>
      <c r="AD3227">
        <v>-0.114303999999999</v>
      </c>
      <c r="AE3227">
        <v>-0.203100000000006</v>
      </c>
      <c r="AF3227">
        <v>-0.414424495605976</v>
      </c>
      <c r="AG3227">
        <v>-0.114303999999999</v>
      </c>
      <c r="AH3227">
        <v>0.69255805223794198</v>
      </c>
      <c r="AI3227">
        <v>98.060958114505098</v>
      </c>
      <c r="AJ3227">
        <v>120.896165520289</v>
      </c>
      <c r="AK3227">
        <v>0.81513785502446201</v>
      </c>
      <c r="AL3227">
        <v>83.153263492762903</v>
      </c>
      <c r="AM3227">
        <v>105.906353685694</v>
      </c>
      <c r="AN3227">
        <v>1.0000000278449599</v>
      </c>
    </row>
    <row r="3228" spans="1:40" x14ac:dyDescent="0.25">
      <c r="A3228" t="str">
        <f>"20190312164049785"</f>
        <v>20190312164049785</v>
      </c>
      <c r="B3228" t="str">
        <f>"1552380049779358"</f>
        <v>1552380049779358</v>
      </c>
      <c r="C3228" t="s">
        <v>40</v>
      </c>
      <c r="D3228">
        <v>5.3820309999999996</v>
      </c>
      <c r="E3228">
        <v>0.4412644</v>
      </c>
      <c r="F3228" t="s">
        <v>42</v>
      </c>
      <c r="G3228">
        <v>-484.86410000000001</v>
      </c>
      <c r="H3228">
        <v>1.000337</v>
      </c>
      <c r="I3228">
        <v>219.85990000000001</v>
      </c>
      <c r="J3228">
        <v>-485.67610000000002</v>
      </c>
      <c r="K3228">
        <v>1.1173360000000001</v>
      </c>
      <c r="L3228">
        <v>220.05840000000001</v>
      </c>
      <c r="M3228">
        <v>0.71255210000000002</v>
      </c>
      <c r="N3228">
        <v>0</v>
      </c>
      <c r="O3228">
        <v>-0.70147130000000002</v>
      </c>
      <c r="P3228">
        <v>0.86963089999999998</v>
      </c>
      <c r="Q3228">
        <v>0.11044900000000001</v>
      </c>
      <c r="R3228">
        <v>-0.4811898</v>
      </c>
      <c r="S3228">
        <v>2.9181819999999998</v>
      </c>
      <c r="T3228">
        <v>-0.3470163</v>
      </c>
      <c r="U3228">
        <v>-1.048416</v>
      </c>
      <c r="V3228">
        <v>-0.26925680000000002</v>
      </c>
      <c r="W3228">
        <v>0.1196598</v>
      </c>
      <c r="X3228">
        <v>0.9556057</v>
      </c>
      <c r="Y3228">
        <v>-0.41342830000000003</v>
      </c>
      <c r="Z3228">
        <v>9.5385040000000004E-2</v>
      </c>
      <c r="AA3228">
        <v>0.90552679999999997</v>
      </c>
      <c r="AB3228">
        <v>24</v>
      </c>
      <c r="AC3228">
        <v>0.81200000000001105</v>
      </c>
      <c r="AD3228">
        <v>-0.11699900000000001</v>
      </c>
      <c r="AE3228">
        <v>-0.19849999999999501</v>
      </c>
      <c r="AF3228">
        <v>-0.419970124588041</v>
      </c>
      <c r="AG3228">
        <v>-0.11699900000000001</v>
      </c>
      <c r="AH3228">
        <v>0.70411491176261998</v>
      </c>
      <c r="AI3228">
        <v>98.121725091194193</v>
      </c>
      <c r="AJ3228">
        <v>120.81401057817099</v>
      </c>
      <c r="AK3228">
        <v>0.82815546880641799</v>
      </c>
      <c r="AL3228">
        <v>83.127530728709104</v>
      </c>
      <c r="AM3228">
        <v>105.736009606324</v>
      </c>
      <c r="AN3228">
        <v>0.99999997297738397</v>
      </c>
    </row>
    <row r="3229" spans="1:40" x14ac:dyDescent="0.25">
      <c r="A3229" t="str">
        <f>"20190312164049807"</f>
        <v>20190312164049807</v>
      </c>
      <c r="B3229" t="str">
        <f>"1552380049798879"</f>
        <v>1552380049798879</v>
      </c>
      <c r="C3229" t="s">
        <v>40</v>
      </c>
      <c r="D3229">
        <v>5.4225070000000004</v>
      </c>
      <c r="E3229">
        <v>0.44177620000000001</v>
      </c>
      <c r="F3229" t="s">
        <v>46</v>
      </c>
      <c r="G3229">
        <v>-476.25909999999999</v>
      </c>
      <c r="H3229" s="1">
        <v>3.276173E-6</v>
      </c>
      <c r="I3229">
        <v>216.75280000000001</v>
      </c>
      <c r="J3229">
        <v>-485.50029999999998</v>
      </c>
      <c r="K3229">
        <v>1.117237</v>
      </c>
      <c r="L3229">
        <v>219.9032</v>
      </c>
      <c r="M3229">
        <v>0.72029399999999999</v>
      </c>
      <c r="N3229">
        <v>0</v>
      </c>
      <c r="O3229">
        <v>-0.69351960000000001</v>
      </c>
      <c r="P3229">
        <v>0.8732683</v>
      </c>
      <c r="Q3229">
        <v>0.1105583</v>
      </c>
      <c r="R3229">
        <v>-0.47453079999999997</v>
      </c>
      <c r="S3229">
        <v>2.9255979999999999</v>
      </c>
      <c r="T3229">
        <v>-0.34712389999999999</v>
      </c>
      <c r="U3229">
        <v>-1.0269619999999999</v>
      </c>
      <c r="V3229">
        <v>-0.26590609999999998</v>
      </c>
      <c r="W3229">
        <v>0.1198819</v>
      </c>
      <c r="X3229">
        <v>0.95651569999999997</v>
      </c>
      <c r="Y3229">
        <v>-0.4100163</v>
      </c>
      <c r="Z3229">
        <v>9.4565789999999997E-2</v>
      </c>
      <c r="AA3229">
        <v>0.90716249999999998</v>
      </c>
      <c r="AB3229">
        <v>23</v>
      </c>
      <c r="AC3229">
        <v>9.2411999999999903</v>
      </c>
      <c r="AD3229">
        <v>-1.117233723827</v>
      </c>
      <c r="AE3229">
        <v>-3.1503999999999901</v>
      </c>
      <c r="AF3229">
        <v>-4.0866559971176804</v>
      </c>
      <c r="AG3229">
        <v>-1.117233723827</v>
      </c>
      <c r="AH3229">
        <v>8.7278754022133906</v>
      </c>
      <c r="AI3229">
        <v>96.612706844734504</v>
      </c>
      <c r="AJ3229">
        <v>115.090418979665</v>
      </c>
      <c r="AK3229">
        <v>9.7017924874218906</v>
      </c>
      <c r="AL3229">
        <v>83.114713284294496</v>
      </c>
      <c r="AM3229">
        <v>105.535637922596</v>
      </c>
      <c r="AN3229">
        <v>1.00000000415565</v>
      </c>
    </row>
    <row r="3230" spans="1:40" x14ac:dyDescent="0.25">
      <c r="A3230" t="str">
        <f>"20190312164049830"</f>
        <v>20190312164049830</v>
      </c>
      <c r="B3230" t="str">
        <f>"1552380049819374"</f>
        <v>1552380049819374</v>
      </c>
      <c r="C3230" t="s">
        <v>40</v>
      </c>
      <c r="D3230">
        <v>5.407953</v>
      </c>
      <c r="E3230">
        <v>0.4422275</v>
      </c>
      <c r="F3230" t="s">
        <v>46</v>
      </c>
      <c r="G3230">
        <v>-476.0308</v>
      </c>
      <c r="H3230" s="1">
        <v>3.3731349999999999E-6</v>
      </c>
      <c r="I3230">
        <v>216.65430000000001</v>
      </c>
      <c r="J3230">
        <v>-485.32429999999999</v>
      </c>
      <c r="K3230">
        <v>1.117124</v>
      </c>
      <c r="L3230">
        <v>219.751</v>
      </c>
      <c r="M3230">
        <v>0.72777460000000005</v>
      </c>
      <c r="N3230">
        <v>0</v>
      </c>
      <c r="O3230">
        <v>-0.685666199999999</v>
      </c>
      <c r="P3230">
        <v>0.87655879999999997</v>
      </c>
      <c r="Q3230">
        <v>0.11097799999999999</v>
      </c>
      <c r="R3230">
        <v>-0.4683253</v>
      </c>
      <c r="S3230">
        <v>2.9324340000000002</v>
      </c>
      <c r="T3230">
        <v>-0.34597359999999999</v>
      </c>
      <c r="U3230">
        <v>-1.006073</v>
      </c>
      <c r="V3230">
        <v>-0.26224449999999999</v>
      </c>
      <c r="W3230">
        <v>0.1204201</v>
      </c>
      <c r="X3230">
        <v>0.95745849999999999</v>
      </c>
      <c r="Y3230">
        <v>-0.40665879999999999</v>
      </c>
      <c r="Z3230">
        <v>9.3419070000000007E-2</v>
      </c>
      <c r="AA3230">
        <v>0.90879120000000002</v>
      </c>
      <c r="AB3230">
        <v>23</v>
      </c>
      <c r="AC3230">
        <v>9.2934999999999892</v>
      </c>
      <c r="AD3230">
        <v>-1.117120626865</v>
      </c>
      <c r="AE3230">
        <v>-3.09669999999997</v>
      </c>
      <c r="AF3230">
        <v>-4.0660834085499902</v>
      </c>
      <c r="AG3230">
        <v>-1.117120626865</v>
      </c>
      <c r="AH3230">
        <v>8.7736879817767992</v>
      </c>
      <c r="AI3230">
        <v>96.589785891742594</v>
      </c>
      <c r="AJ3230">
        <v>114.864922280993</v>
      </c>
      <c r="AK3230">
        <v>9.7344025796053497</v>
      </c>
      <c r="AL3230">
        <v>83.083651497018394</v>
      </c>
      <c r="AM3230">
        <v>105.31745228826399</v>
      </c>
      <c r="AN3230">
        <v>0.99999997874325397</v>
      </c>
    </row>
    <row r="3231" spans="1:40" x14ac:dyDescent="0.25">
      <c r="A3231" t="str">
        <f>"20190312164049851"</f>
        <v>20190312164049851</v>
      </c>
      <c r="B3231" t="str">
        <f>"1552380049849631"</f>
        <v>1552380049849631</v>
      </c>
      <c r="C3231" t="s">
        <v>40</v>
      </c>
      <c r="D3231">
        <v>5.411861</v>
      </c>
      <c r="E3231">
        <v>0.44287520000000002</v>
      </c>
      <c r="F3231" t="s">
        <v>46</v>
      </c>
      <c r="G3231">
        <v>-475.75729999999999</v>
      </c>
      <c r="H3231" s="1">
        <v>3.489393E-6</v>
      </c>
      <c r="I3231">
        <v>216.54</v>
      </c>
      <c r="J3231">
        <v>-485.15219999999999</v>
      </c>
      <c r="K3231">
        <v>1.117008</v>
      </c>
      <c r="L3231">
        <v>219.60509999999999</v>
      </c>
      <c r="M3231">
        <v>0.73483719999999997</v>
      </c>
      <c r="N3231">
        <v>0</v>
      </c>
      <c r="O3231">
        <v>-0.67809209999999998</v>
      </c>
      <c r="P3231">
        <v>0.87987039999999905</v>
      </c>
      <c r="Q3231">
        <v>0.11110159999999999</v>
      </c>
      <c r="R3231">
        <v>-0.46204430000000002</v>
      </c>
      <c r="S3231">
        <v>2.938965</v>
      </c>
      <c r="T3231">
        <v>-0.34317799999999998</v>
      </c>
      <c r="U3231">
        <v>-0.98640439999999996</v>
      </c>
      <c r="V3231">
        <v>-0.25912570000000001</v>
      </c>
      <c r="W3231">
        <v>0.1206535</v>
      </c>
      <c r="X3231">
        <v>0.95827790000000002</v>
      </c>
      <c r="Y3231">
        <v>-0.40342939999999999</v>
      </c>
      <c r="Z3231">
        <v>9.1857220000000003E-2</v>
      </c>
      <c r="AA3231">
        <v>0.91038839999999999</v>
      </c>
      <c r="AB3231">
        <v>23</v>
      </c>
      <c r="AC3231">
        <v>9.3948999999999998</v>
      </c>
      <c r="AD3231">
        <v>-1.1170045106069999</v>
      </c>
      <c r="AE3231">
        <v>-3.0651000000000002</v>
      </c>
      <c r="AF3231">
        <v>-4.0667241684446003</v>
      </c>
      <c r="AG3231">
        <v>-1.1170045106069999</v>
      </c>
      <c r="AH3231">
        <v>8.8697441164709598</v>
      </c>
      <c r="AI3231">
        <v>96.530530964075794</v>
      </c>
      <c r="AJ3231">
        <v>114.631170205393</v>
      </c>
      <c r="AK3231">
        <v>9.8213189150235305</v>
      </c>
      <c r="AL3231">
        <v>83.070180343538397</v>
      </c>
      <c r="AM3231">
        <v>105.13134390121</v>
      </c>
      <c r="AN3231">
        <v>0.99999996454557405</v>
      </c>
    </row>
    <row r="3232" spans="1:40" x14ac:dyDescent="0.25">
      <c r="A3232" t="str">
        <f>"20190312164049874"</f>
        <v>20190312164049874</v>
      </c>
      <c r="B3232" t="str">
        <f>"1552380049869150"</f>
        <v>1552380049869150</v>
      </c>
      <c r="C3232" t="s">
        <v>40</v>
      </c>
      <c r="D3232">
        <v>5.4122479999999999</v>
      </c>
      <c r="E3232">
        <v>0.44334829999999997</v>
      </c>
      <c r="F3232" t="s">
        <v>46</v>
      </c>
      <c r="G3232">
        <v>-475.55560000000003</v>
      </c>
      <c r="H3232" s="1">
        <v>3.5747799999999999E-6</v>
      </c>
      <c r="I3232">
        <v>216.447</v>
      </c>
      <c r="J3232">
        <v>-484.9769</v>
      </c>
      <c r="K3232">
        <v>1.11687</v>
      </c>
      <c r="L3232">
        <v>219.45920000000001</v>
      </c>
      <c r="M3232">
        <v>0.74178259999999996</v>
      </c>
      <c r="N3232">
        <v>0</v>
      </c>
      <c r="O3232">
        <v>-0.67048819999999998</v>
      </c>
      <c r="P3232">
        <v>0.88323839999999998</v>
      </c>
      <c r="Q3232">
        <v>0.1111968</v>
      </c>
      <c r="R3232">
        <v>-0.4555498</v>
      </c>
      <c r="S3232">
        <v>2.944061</v>
      </c>
      <c r="T3232">
        <v>-0.34267599999999998</v>
      </c>
      <c r="U3232">
        <v>-0.96884159999999997</v>
      </c>
      <c r="V3232">
        <v>-0.25626510000000002</v>
      </c>
      <c r="W3232">
        <v>0.12085609999999999</v>
      </c>
      <c r="X3232">
        <v>0.95902140000000002</v>
      </c>
      <c r="Y3232">
        <v>-0.39945360000000002</v>
      </c>
      <c r="Z3232">
        <v>9.0885149999999998E-2</v>
      </c>
      <c r="AA3232">
        <v>0.91223719999999997</v>
      </c>
      <c r="AB3232">
        <v>23</v>
      </c>
      <c r="AC3232">
        <v>9.4212999999999703</v>
      </c>
      <c r="AD3232">
        <v>-1.11686642522</v>
      </c>
      <c r="AE3232">
        <v>-3.0122</v>
      </c>
      <c r="AF3232">
        <v>-4.0314880705586802</v>
      </c>
      <c r="AG3232">
        <v>-1.11686642522</v>
      </c>
      <c r="AH3232">
        <v>8.8957000679791598</v>
      </c>
      <c r="AI3232">
        <v>96.523763555046202</v>
      </c>
      <c r="AJ3232">
        <v>114.37980285491901</v>
      </c>
      <c r="AK3232">
        <v>9.8302475235512308</v>
      </c>
      <c r="AL3232">
        <v>83.058487048911402</v>
      </c>
      <c r="AM3232">
        <v>104.960755532284</v>
      </c>
      <c r="AN3232">
        <v>1.0000000220215799</v>
      </c>
    </row>
    <row r="3233" spans="1:40" x14ac:dyDescent="0.25">
      <c r="A3233" t="str">
        <f>"20190312164049897"</f>
        <v>20190312164049897</v>
      </c>
      <c r="B3233" t="str">
        <f>"1552380049889207"</f>
        <v>1552380049889207</v>
      </c>
      <c r="C3233" t="s">
        <v>40</v>
      </c>
      <c r="D3233">
        <v>5.3796160000000004</v>
      </c>
      <c r="E3233">
        <v>0.44353579999999998</v>
      </c>
      <c r="F3233" t="s">
        <v>46</v>
      </c>
      <c r="G3233">
        <v>-475.39359999999999</v>
      </c>
      <c r="H3233" s="1">
        <v>3.643479E-6</v>
      </c>
      <c r="I3233">
        <v>216.37440000000001</v>
      </c>
      <c r="J3233">
        <v>-484.7921</v>
      </c>
      <c r="K3233">
        <v>1.1167149999999999</v>
      </c>
      <c r="L3233">
        <v>219.30850000000001</v>
      </c>
      <c r="M3233">
        <v>0.74883420000000001</v>
      </c>
      <c r="N3233">
        <v>0</v>
      </c>
      <c r="O3233">
        <v>-0.66260410000000003</v>
      </c>
      <c r="P3233">
        <v>0.88660249999999996</v>
      </c>
      <c r="Q3233">
        <v>0.11046590000000001</v>
      </c>
      <c r="R3233">
        <v>-0.44914759999999998</v>
      </c>
      <c r="S3233">
        <v>2.9500730000000002</v>
      </c>
      <c r="T3233">
        <v>-0.34380939999999999</v>
      </c>
      <c r="U3233">
        <v>-0.94961549999999995</v>
      </c>
      <c r="V3233">
        <v>-0.25305860000000002</v>
      </c>
      <c r="W3233">
        <v>0.1202464</v>
      </c>
      <c r="X3233">
        <v>0.95994900000000005</v>
      </c>
      <c r="Y3233">
        <v>-0.39571590000000001</v>
      </c>
      <c r="Z3233">
        <v>9.0307819999999997E-2</v>
      </c>
      <c r="AA3233">
        <v>0.91392200000000001</v>
      </c>
      <c r="AB3233">
        <v>23</v>
      </c>
      <c r="AC3233">
        <v>9.3985000000000092</v>
      </c>
      <c r="AD3233">
        <v>-1.1167113565209901</v>
      </c>
      <c r="AE3233">
        <v>-2.9340999999999999</v>
      </c>
      <c r="AF3233">
        <v>-3.9795468168563999</v>
      </c>
      <c r="AG3233">
        <v>-1.1167113565209901</v>
      </c>
      <c r="AH3233">
        <v>8.8688881589861808</v>
      </c>
      <c r="AI3233">
        <v>96.553327656845696</v>
      </c>
      <c r="AJ3233">
        <v>114.166186272627</v>
      </c>
      <c r="AK3233">
        <v>9.7847337366910594</v>
      </c>
      <c r="AL3233">
        <v>83.093676540882001</v>
      </c>
      <c r="AM3233">
        <v>104.76814579417</v>
      </c>
      <c r="AN3233">
        <v>0.999999967173959</v>
      </c>
    </row>
    <row r="3234" spans="1:40" x14ac:dyDescent="0.25">
      <c r="A3234" t="str">
        <f>"20190312164049920"</f>
        <v>20190312164049920</v>
      </c>
      <c r="B3234" t="str">
        <f>"1552380049909703"</f>
        <v>1552380049909703</v>
      </c>
      <c r="C3234" t="s">
        <v>40</v>
      </c>
      <c r="D3234">
        <v>5.3639519999999896</v>
      </c>
      <c r="E3234">
        <v>0.46788439999999998</v>
      </c>
      <c r="F3234" t="s">
        <v>46</v>
      </c>
      <c r="G3234">
        <v>-475.2559</v>
      </c>
      <c r="H3234" s="1">
        <v>3.7019320000000001E-6</v>
      </c>
      <c r="I3234">
        <v>216.31549999999999</v>
      </c>
      <c r="J3234">
        <v>-484.61020000000002</v>
      </c>
      <c r="K3234">
        <v>1.1165609999999999</v>
      </c>
      <c r="L3234">
        <v>219.16309999999999</v>
      </c>
      <c r="M3234">
        <v>0.75549639999999996</v>
      </c>
      <c r="N3234">
        <v>0</v>
      </c>
      <c r="O3234">
        <v>-0.65499839999999998</v>
      </c>
      <c r="P3234">
        <v>0.88964430000000005</v>
      </c>
      <c r="Q3234">
        <v>0.1096039</v>
      </c>
      <c r="R3234">
        <v>-0.44330589999999997</v>
      </c>
      <c r="S3234">
        <v>2.9567570000000001</v>
      </c>
      <c r="T3234">
        <v>-0.34624339999999998</v>
      </c>
      <c r="U3234">
        <v>-0.92800899999999997</v>
      </c>
      <c r="V3234">
        <v>-0.24967200000000001</v>
      </c>
      <c r="W3234">
        <v>0.1195069</v>
      </c>
      <c r="X3234">
        <v>0.96092770000000005</v>
      </c>
      <c r="Y3234">
        <v>-0.39308349999999997</v>
      </c>
      <c r="Z3234">
        <v>9.0130669999999996E-2</v>
      </c>
      <c r="AA3234">
        <v>0.91507479999999997</v>
      </c>
      <c r="AB3234">
        <v>23</v>
      </c>
      <c r="AC3234">
        <v>9.3543000000000198</v>
      </c>
      <c r="AD3234">
        <v>-1.1165572980679901</v>
      </c>
      <c r="AE3234">
        <v>-2.8475999999999999</v>
      </c>
      <c r="AF3234">
        <v>-3.9249243098943101</v>
      </c>
      <c r="AG3234">
        <v>-1.1165572980679901</v>
      </c>
      <c r="AH3234">
        <v>8.8182343275838893</v>
      </c>
      <c r="AI3234">
        <v>96.598545717303494</v>
      </c>
      <c r="AJ3234">
        <v>113.99345703389299</v>
      </c>
      <c r="AK3234">
        <v>9.7166345868539796</v>
      </c>
      <c r="AL3234">
        <v>83.136354935559496</v>
      </c>
      <c r="AM3234">
        <v>104.564765857315</v>
      </c>
      <c r="AN3234">
        <v>1.0000000256794399</v>
      </c>
    </row>
    <row r="3235" spans="1:40" x14ac:dyDescent="0.25">
      <c r="A3235" t="str">
        <f>"20190312164049943"</f>
        <v>20190312164049943</v>
      </c>
      <c r="B3235" t="str">
        <f>"1552380049938983"</f>
        <v>1552380049938983</v>
      </c>
      <c r="C3235" t="s">
        <v>40</v>
      </c>
      <c r="D3235">
        <v>5.4890230000000004</v>
      </c>
      <c r="E3235">
        <v>0.4747227</v>
      </c>
      <c r="F3235" t="s">
        <v>46</v>
      </c>
      <c r="G3235">
        <v>-475.64479999999998</v>
      </c>
      <c r="H3235" s="1">
        <v>3.5067050000000002E-6</v>
      </c>
      <c r="I3235">
        <v>215.7945</v>
      </c>
      <c r="J3235">
        <v>-484.42520000000002</v>
      </c>
      <c r="K3235">
        <v>1.116412</v>
      </c>
      <c r="L3235">
        <v>219.0181</v>
      </c>
      <c r="M3235">
        <v>0.76200429999999997</v>
      </c>
      <c r="N3235">
        <v>0</v>
      </c>
      <c r="O3235">
        <v>-0.64741660000000001</v>
      </c>
      <c r="P3235">
        <v>0.89269469999999995</v>
      </c>
      <c r="Q3235">
        <v>0.1089524</v>
      </c>
      <c r="R3235">
        <v>-0.43729410000000002</v>
      </c>
      <c r="S3235">
        <v>2.8775629999999999</v>
      </c>
      <c r="T3235">
        <v>-0.35837540000000001</v>
      </c>
      <c r="U3235">
        <v>-1.081207</v>
      </c>
      <c r="V3235">
        <v>-0.24654580000000001</v>
      </c>
      <c r="W3235">
        <v>0.1189687</v>
      </c>
      <c r="X3235">
        <v>0.96180120000000002</v>
      </c>
      <c r="Y3235">
        <v>-0.33236949999999998</v>
      </c>
      <c r="Z3235">
        <v>9.0293540000000005E-2</v>
      </c>
      <c r="AA3235">
        <v>0.93881709999999996</v>
      </c>
      <c r="AB3235">
        <v>23</v>
      </c>
      <c r="AC3235">
        <v>8.7804000000000393</v>
      </c>
      <c r="AD3235">
        <v>-1.116408493295</v>
      </c>
      <c r="AE3235">
        <v>-3.2235999999999998</v>
      </c>
      <c r="AF3235">
        <v>-3.1831561901299699</v>
      </c>
      <c r="AG3235">
        <v>-1.116408493295</v>
      </c>
      <c r="AH3235">
        <v>8.6552918078642502</v>
      </c>
      <c r="AI3235">
        <v>96.902544194713201</v>
      </c>
      <c r="AJ3235">
        <v>110.19200525294301</v>
      </c>
      <c r="AK3235">
        <v>9.2893986637427695</v>
      </c>
      <c r="AL3235">
        <v>83.167412689418896</v>
      </c>
      <c r="AM3235">
        <v>104.377487797293</v>
      </c>
      <c r="AN3235">
        <v>0.99999996569938399</v>
      </c>
    </row>
    <row r="3236" spans="1:40" x14ac:dyDescent="0.25">
      <c r="A3236" t="str">
        <f>"20190312164049964"</f>
        <v>20190312164049964</v>
      </c>
      <c r="B3236" t="str">
        <f>"1552380049959479"</f>
        <v>1552380049959479</v>
      </c>
      <c r="C3236" t="s">
        <v>40</v>
      </c>
      <c r="D3236">
        <v>5.3558529999999998</v>
      </c>
      <c r="E3236">
        <v>0.47626020000000002</v>
      </c>
      <c r="F3236" t="s">
        <v>46</v>
      </c>
      <c r="G3236">
        <v>-475.17500000000001</v>
      </c>
      <c r="H3236" s="1">
        <v>3.6988160000000001E-6</v>
      </c>
      <c r="I3236">
        <v>215.42310000000001</v>
      </c>
      <c r="J3236">
        <v>-484.2518</v>
      </c>
      <c r="K3236">
        <v>1.1162840000000001</v>
      </c>
      <c r="L3236">
        <v>218.88460000000001</v>
      </c>
      <c r="M3236">
        <v>0.76789980000000002</v>
      </c>
      <c r="N3236">
        <v>0</v>
      </c>
      <c r="O3236">
        <v>-0.64041340000000002</v>
      </c>
      <c r="P3236">
        <v>0.89503779999999999</v>
      </c>
      <c r="Q3236">
        <v>0.107753</v>
      </c>
      <c r="R3236">
        <v>-0.43277759999999998</v>
      </c>
      <c r="S3236">
        <v>2.8585509999999998</v>
      </c>
      <c r="T3236">
        <v>-0.34499740000000001</v>
      </c>
      <c r="U3236">
        <v>-1.1109469999999999</v>
      </c>
      <c r="V3236">
        <v>-0.24263209999999999</v>
      </c>
      <c r="W3236">
        <v>0.1178829</v>
      </c>
      <c r="X3236">
        <v>0.96292949999999999</v>
      </c>
      <c r="Y3236">
        <v>-0.3136195</v>
      </c>
      <c r="Z3236">
        <v>8.5602460000000005E-2</v>
      </c>
      <c r="AA3236">
        <v>0.94568229999999998</v>
      </c>
      <c r="AB3236">
        <v>23</v>
      </c>
      <c r="AC3236">
        <v>9.0767999999999898</v>
      </c>
      <c r="AD3236">
        <v>-1.1162803011839999</v>
      </c>
      <c r="AE3236">
        <v>-3.4615</v>
      </c>
      <c r="AF3236">
        <v>-3.1140175931227998</v>
      </c>
      <c r="AG3236">
        <v>-1.1162803011839999</v>
      </c>
      <c r="AH3236">
        <v>9.0680492412892697</v>
      </c>
      <c r="AI3236">
        <v>96.640860535187201</v>
      </c>
      <c r="AJ3236">
        <v>108.95275122723299</v>
      </c>
      <c r="AK3236">
        <v>9.65260090978264</v>
      </c>
      <c r="AL3236">
        <v>83.230065360685003</v>
      </c>
      <c r="AM3236">
        <v>104.142581320921</v>
      </c>
      <c r="AN3236">
        <v>0.99999996801653401</v>
      </c>
    </row>
    <row r="3237" spans="1:40" x14ac:dyDescent="0.25">
      <c r="A3237" t="str">
        <f>"20190312164049987"</f>
        <v>20190312164049987</v>
      </c>
      <c r="B3237" t="str">
        <f>"1552380049978999"</f>
        <v>1552380049978999</v>
      </c>
      <c r="C3237" t="s">
        <v>40</v>
      </c>
      <c r="D3237">
        <v>5.51858</v>
      </c>
      <c r="E3237">
        <v>0.47735919999999998</v>
      </c>
      <c r="F3237" t="s">
        <v>46</v>
      </c>
      <c r="G3237">
        <v>-475.05770000000001</v>
      </c>
      <c r="H3237" s="1">
        <v>3.746484E-6</v>
      </c>
      <c r="I3237">
        <v>215.3236</v>
      </c>
      <c r="J3237">
        <v>-484.06490000000002</v>
      </c>
      <c r="K3237">
        <v>1.1161669999999999</v>
      </c>
      <c r="L3237">
        <v>218.7431</v>
      </c>
      <c r="M3237">
        <v>0.77404309999999998</v>
      </c>
      <c r="N3237">
        <v>0</v>
      </c>
      <c r="O3237">
        <v>-0.63297530000000002</v>
      </c>
      <c r="P3237">
        <v>0.89776900000000004</v>
      </c>
      <c r="Q3237">
        <v>0.1066105</v>
      </c>
      <c r="R3237">
        <v>-0.42737009999999998</v>
      </c>
      <c r="S3237">
        <v>2.858276</v>
      </c>
      <c r="T3237">
        <v>-0.34703060000000002</v>
      </c>
      <c r="U3237">
        <v>-1.10704</v>
      </c>
      <c r="V3237">
        <v>-0.23918300000000001</v>
      </c>
      <c r="W3237">
        <v>0.11683780000000001</v>
      </c>
      <c r="X3237">
        <v>0.96391930000000003</v>
      </c>
      <c r="Y3237">
        <v>-0.3055599</v>
      </c>
      <c r="Z3237">
        <v>8.5044010000000003E-2</v>
      </c>
      <c r="AA3237">
        <v>0.94836739999999997</v>
      </c>
      <c r="AB3237">
        <v>23</v>
      </c>
      <c r="AC3237">
        <v>9.0072000000000099</v>
      </c>
      <c r="AD3237">
        <v>-1.116163253516</v>
      </c>
      <c r="AE3237">
        <v>-3.4195000000000002</v>
      </c>
      <c r="AF3237">
        <v>-3.0143425028592299</v>
      </c>
      <c r="AG3237">
        <v>-1.116163253516</v>
      </c>
      <c r="AH3237">
        <v>9.01631909874013</v>
      </c>
      <c r="AI3237">
        <v>96.696222639201196</v>
      </c>
      <c r="AJ3237">
        <v>108.485850712229</v>
      </c>
      <c r="AK3237">
        <v>9.5721518596054995</v>
      </c>
      <c r="AL3237">
        <v>83.290362071779995</v>
      </c>
      <c r="AM3237">
        <v>103.93567799973</v>
      </c>
      <c r="AN3237">
        <v>0.99999999795516503</v>
      </c>
    </row>
    <row r="3238" spans="1:40" x14ac:dyDescent="0.25">
      <c r="A3238" t="str">
        <f>"20190312164050008"</f>
        <v>20190312164050008</v>
      </c>
      <c r="B3238" t="str">
        <f>"1552380049999495"</f>
        <v>1552380049999495</v>
      </c>
      <c r="C3238" t="s">
        <v>40</v>
      </c>
      <c r="D3238">
        <v>5.4878429999999998</v>
      </c>
      <c r="E3238">
        <v>0.47808970000000001</v>
      </c>
      <c r="F3238" t="s">
        <v>46</v>
      </c>
      <c r="G3238">
        <v>-474.9289</v>
      </c>
      <c r="H3238" s="1">
        <v>3.7999970000000002E-6</v>
      </c>
      <c r="I3238">
        <v>215.24109999999999</v>
      </c>
      <c r="J3238">
        <v>-483.88679999999999</v>
      </c>
      <c r="K3238">
        <v>1.1160810000000001</v>
      </c>
      <c r="L3238">
        <v>218.61089999999999</v>
      </c>
      <c r="M3238">
        <v>0.77970799999999996</v>
      </c>
      <c r="N3238">
        <v>0</v>
      </c>
      <c r="O3238">
        <v>-0.6259846</v>
      </c>
      <c r="P3238">
        <v>0.90012590000000003</v>
      </c>
      <c r="Q3238">
        <v>0.10596650000000001</v>
      </c>
      <c r="R3238">
        <v>-0.42254560000000002</v>
      </c>
      <c r="S3238">
        <v>2.8610530000000001</v>
      </c>
      <c r="T3238">
        <v>-0.34954079999999998</v>
      </c>
      <c r="U3238">
        <v>-1.0967100000000001</v>
      </c>
      <c r="V3238">
        <v>-0.2356886</v>
      </c>
      <c r="W3238">
        <v>0.11627949999999999</v>
      </c>
      <c r="X3238">
        <v>0.96484709999999996</v>
      </c>
      <c r="Y3238">
        <v>-0.30027229999999999</v>
      </c>
      <c r="Z3238">
        <v>8.47416E-2</v>
      </c>
      <c r="AA3238">
        <v>0.95008179999999998</v>
      </c>
      <c r="AB3238">
        <v>23</v>
      </c>
      <c r="AC3238">
        <v>8.9578999999999898</v>
      </c>
      <c r="AD3238">
        <v>-1.1160772000029999</v>
      </c>
      <c r="AE3238">
        <v>-3.3697999999999899</v>
      </c>
      <c r="AF3238">
        <v>-2.9403587056442499</v>
      </c>
      <c r="AG3238">
        <v>-1.1160772000029999</v>
      </c>
      <c r="AH3238">
        <v>8.9728740688988804</v>
      </c>
      <c r="AI3238">
        <v>96.741024528929699</v>
      </c>
      <c r="AJ3238">
        <v>108.143669388964</v>
      </c>
      <c r="AK3238">
        <v>9.5080916429398403</v>
      </c>
      <c r="AL3238">
        <v>83.322569735463603</v>
      </c>
      <c r="AM3238">
        <v>103.727139100035</v>
      </c>
      <c r="AN3238">
        <v>0.99999998233430898</v>
      </c>
    </row>
    <row r="3239" spans="1:40" x14ac:dyDescent="0.25">
      <c r="A3239" t="str">
        <f>"20190312164050031"</f>
        <v>20190312164050031</v>
      </c>
      <c r="B3239" t="str">
        <f>"1552380050019015"</f>
        <v>1552380050019015</v>
      </c>
      <c r="C3239" t="s">
        <v>40</v>
      </c>
      <c r="D3239">
        <v>5.5455480000000001</v>
      </c>
      <c r="E3239">
        <v>0.47871209999999997</v>
      </c>
      <c r="F3239" t="s">
        <v>46</v>
      </c>
      <c r="G3239">
        <v>-474.77760000000001</v>
      </c>
      <c r="H3239" s="1">
        <v>3.8634129999999999E-6</v>
      </c>
      <c r="I3239">
        <v>215.15729999999999</v>
      </c>
      <c r="J3239">
        <v>-483.69889999999998</v>
      </c>
      <c r="K3239">
        <v>1.1160000000000001</v>
      </c>
      <c r="L3239">
        <v>218.47380000000001</v>
      </c>
      <c r="M3239">
        <v>0.78551389999999999</v>
      </c>
      <c r="N3239">
        <v>0</v>
      </c>
      <c r="O3239">
        <v>-0.61868409999999996</v>
      </c>
      <c r="P3239">
        <v>0.90242820000000001</v>
      </c>
      <c r="Q3239">
        <v>0.1054768</v>
      </c>
      <c r="R3239">
        <v>-0.4177303</v>
      </c>
      <c r="S3239">
        <v>2.864471</v>
      </c>
      <c r="T3239">
        <v>-0.35095999999999999</v>
      </c>
      <c r="U3239">
        <v>-1.086014</v>
      </c>
      <c r="V3239">
        <v>-0.23184189999999999</v>
      </c>
      <c r="W3239">
        <v>0.11587500000000001</v>
      </c>
      <c r="X3239">
        <v>0.96582730000000006</v>
      </c>
      <c r="Y3239">
        <v>-0.29487729999999901</v>
      </c>
      <c r="Z3239">
        <v>8.4111089999999999E-2</v>
      </c>
      <c r="AA3239">
        <v>0.95182599999999995</v>
      </c>
      <c r="AB3239">
        <v>23</v>
      </c>
      <c r="AC3239">
        <v>8.9212999999999703</v>
      </c>
      <c r="AD3239">
        <v>-1.1159961365869999</v>
      </c>
      <c r="AE3239">
        <v>-3.3165000000000102</v>
      </c>
      <c r="AF3239">
        <v>-2.8750705044517701</v>
      </c>
      <c r="AG3239">
        <v>-1.1159961365869999</v>
      </c>
      <c r="AH3239">
        <v>8.9376889433802802</v>
      </c>
      <c r="AI3239">
        <v>96.778683422744393</v>
      </c>
      <c r="AJ3239">
        <v>107.83191412799501</v>
      </c>
      <c r="AK3239">
        <v>9.4548274141344297</v>
      </c>
      <c r="AL3239">
        <v>83.345903915515905</v>
      </c>
      <c r="AM3239">
        <v>103.498164736457</v>
      </c>
      <c r="AN3239">
        <v>1.00000002782294</v>
      </c>
    </row>
    <row r="3240" spans="1:40" x14ac:dyDescent="0.25">
      <c r="A3240" t="str">
        <f>"20190312164050052"</f>
        <v>20190312164050052</v>
      </c>
      <c r="B3240" t="str">
        <f>"1552380050049271"</f>
        <v>1552380050049271</v>
      </c>
      <c r="C3240" t="s">
        <v>40</v>
      </c>
      <c r="D3240">
        <v>5.4700410000000002</v>
      </c>
      <c r="E3240">
        <v>0.4794255</v>
      </c>
      <c r="F3240" t="s">
        <v>46</v>
      </c>
      <c r="G3240">
        <v>-474.62130000000002</v>
      </c>
      <c r="H3240" s="1">
        <v>3.9290909999999997E-6</v>
      </c>
      <c r="I3240">
        <v>215.07400000000001</v>
      </c>
      <c r="J3240">
        <v>-483.52769999999998</v>
      </c>
      <c r="K3240">
        <v>1.115942</v>
      </c>
      <c r="L3240">
        <v>218.3511</v>
      </c>
      <c r="M3240">
        <v>0.79066719999999902</v>
      </c>
      <c r="N3240">
        <v>0</v>
      </c>
      <c r="O3240">
        <v>-0.61208509999999905</v>
      </c>
      <c r="P3240">
        <v>0.9042751</v>
      </c>
      <c r="Q3240">
        <v>0.1053365</v>
      </c>
      <c r="R3240">
        <v>-0.41375319999999999</v>
      </c>
      <c r="S3240">
        <v>2.8682859999999999</v>
      </c>
      <c r="T3240">
        <v>-0.35262549999999998</v>
      </c>
      <c r="U3240">
        <v>-1.074249</v>
      </c>
      <c r="V3240">
        <v>-0.22799079999999999</v>
      </c>
      <c r="W3240">
        <v>0.1158097</v>
      </c>
      <c r="X3240">
        <v>0.96675149999999999</v>
      </c>
      <c r="Y3240">
        <v>-0.29072619999999999</v>
      </c>
      <c r="Z3240">
        <v>8.3655560000000004E-2</v>
      </c>
      <c r="AA3240">
        <v>0.95314219999999905</v>
      </c>
      <c r="AB3240">
        <v>23</v>
      </c>
      <c r="AC3240">
        <v>8.9063999999999606</v>
      </c>
      <c r="AD3240">
        <v>-1.1159380709090001</v>
      </c>
      <c r="AE3240">
        <v>-3.2770999999999901</v>
      </c>
      <c r="AF3240">
        <v>-2.821646068732</v>
      </c>
      <c r="AG3240">
        <v>-1.1159380709090001</v>
      </c>
      <c r="AH3240">
        <v>8.92534282936791</v>
      </c>
      <c r="AI3240">
        <v>96.798416068343798</v>
      </c>
      <c r="AJ3240">
        <v>107.54376007903601</v>
      </c>
      <c r="AK3240">
        <v>9.4270222730745701</v>
      </c>
      <c r="AL3240">
        <v>83.349671018552002</v>
      </c>
      <c r="AM3240">
        <v>103.269710251536</v>
      </c>
      <c r="AN3240">
        <v>1.00000007712548</v>
      </c>
    </row>
    <row r="3241" spans="1:40" x14ac:dyDescent="0.25">
      <c r="A3241" t="str">
        <f>"20190312164050074"</f>
        <v>20190312164050074</v>
      </c>
      <c r="B3241" t="str">
        <f>"1552380050069768"</f>
        <v>1552380050069768</v>
      </c>
      <c r="C3241" t="s">
        <v>40</v>
      </c>
      <c r="D3241">
        <v>5.467047</v>
      </c>
      <c r="E3241">
        <v>0.47982639999999999</v>
      </c>
      <c r="F3241" t="s">
        <v>46</v>
      </c>
      <c r="G3241">
        <v>-474.46390000000002</v>
      </c>
      <c r="H3241" s="1">
        <v>3.9949310000000003E-6</v>
      </c>
      <c r="I3241">
        <v>214.98330000000001</v>
      </c>
      <c r="J3241">
        <v>-483.33879999999999</v>
      </c>
      <c r="K3241">
        <v>1.1158920000000001</v>
      </c>
      <c r="L3241">
        <v>218.21809999999999</v>
      </c>
      <c r="M3241">
        <v>0.79622789999999999</v>
      </c>
      <c r="N3241">
        <v>0</v>
      </c>
      <c r="O3241">
        <v>-0.60483390000000004</v>
      </c>
      <c r="P3241">
        <v>0.90673820000000005</v>
      </c>
      <c r="Q3241">
        <v>0.1044783</v>
      </c>
      <c r="R3241">
        <v>-0.40854689999999999</v>
      </c>
      <c r="S3241">
        <v>2.8706969999999998</v>
      </c>
      <c r="T3241">
        <v>-0.3534409</v>
      </c>
      <c r="U3241">
        <v>-1.0666500000000001</v>
      </c>
      <c r="V3241">
        <v>-0.22474340000000001</v>
      </c>
      <c r="W3241">
        <v>0.115013</v>
      </c>
      <c r="X3241">
        <v>0.96760650000000004</v>
      </c>
      <c r="Y3241">
        <v>-0.28450900000000001</v>
      </c>
      <c r="Z3241">
        <v>8.281761E-2</v>
      </c>
      <c r="AA3241">
        <v>0.95508939999999998</v>
      </c>
      <c r="AB3241">
        <v>23</v>
      </c>
      <c r="AC3241">
        <v>8.8748999999999594</v>
      </c>
      <c r="AD3241">
        <v>-1.1158880050689901</v>
      </c>
      <c r="AE3241">
        <v>-3.2347999999999701</v>
      </c>
      <c r="AF3241">
        <v>-2.75404387803728</v>
      </c>
      <c r="AG3241">
        <v>-1.1158880050689901</v>
      </c>
      <c r="AH3241">
        <v>8.8996511060765897</v>
      </c>
      <c r="AI3241">
        <v>96.830426259418701</v>
      </c>
      <c r="AJ3241">
        <v>107.19495712045099</v>
      </c>
      <c r="AK3241">
        <v>9.38263041646114</v>
      </c>
      <c r="AL3241">
        <v>83.395624881630098</v>
      </c>
      <c r="AM3241">
        <v>103.076086021826</v>
      </c>
      <c r="AN3241">
        <v>0.99999996242740397</v>
      </c>
    </row>
    <row r="3242" spans="1:40" x14ac:dyDescent="0.25">
      <c r="A3242" t="str">
        <f>"20190312164050098"</f>
        <v>20190312164050098</v>
      </c>
      <c r="B3242" t="str">
        <f>"1552380050089795"</f>
        <v>1552380050089795</v>
      </c>
      <c r="C3242" t="s">
        <v>40</v>
      </c>
      <c r="D3242">
        <v>5.4062789999999996</v>
      </c>
      <c r="E3242">
        <v>0.48031370000000001</v>
      </c>
      <c r="F3242" t="s">
        <v>46</v>
      </c>
      <c r="G3242">
        <v>-474.37079999999997</v>
      </c>
      <c r="H3242" s="1">
        <v>4.0340249999999999E-6</v>
      </c>
      <c r="I3242">
        <v>214.9333</v>
      </c>
      <c r="J3242">
        <v>-483.14</v>
      </c>
      <c r="K3242">
        <v>1.115861</v>
      </c>
      <c r="L3242">
        <v>218.08070000000001</v>
      </c>
      <c r="M3242">
        <v>0.80195079999999996</v>
      </c>
      <c r="N3242">
        <v>0</v>
      </c>
      <c r="O3242">
        <v>-0.59722580000000003</v>
      </c>
      <c r="P3242">
        <v>0.90916390000000002</v>
      </c>
      <c r="Q3242">
        <v>0.1037377</v>
      </c>
      <c r="R3242">
        <v>-0.40331070000000002</v>
      </c>
      <c r="S3242">
        <v>2.8752749999999998</v>
      </c>
      <c r="T3242">
        <v>-0.35777059999999999</v>
      </c>
      <c r="U3242">
        <v>-1.0531459999999999</v>
      </c>
      <c r="V3242">
        <v>-0.22113459999999999</v>
      </c>
      <c r="W3242">
        <v>0.1143328</v>
      </c>
      <c r="X3242">
        <v>0.9685182</v>
      </c>
      <c r="Y3242">
        <v>-0.27977279999999999</v>
      </c>
      <c r="Z3242">
        <v>8.2812070000000002E-2</v>
      </c>
      <c r="AA3242">
        <v>0.956488</v>
      </c>
      <c r="AB3242">
        <v>23</v>
      </c>
      <c r="AC3242">
        <v>8.7692000000000103</v>
      </c>
      <c r="AD3242">
        <v>-1.1158569659749999</v>
      </c>
      <c r="AE3242">
        <v>-3.1474000000000002</v>
      </c>
      <c r="AF3242">
        <v>-2.6750280295601501</v>
      </c>
      <c r="AG3242">
        <v>-1.1158569659749999</v>
      </c>
      <c r="AH3242">
        <v>8.7870086598317592</v>
      </c>
      <c r="AI3242">
        <v>96.926616167198702</v>
      </c>
      <c r="AJ3242">
        <v>106.93181597685999</v>
      </c>
      <c r="AK3242">
        <v>9.2526986828387408</v>
      </c>
      <c r="AL3242">
        <v>83.434856532261904</v>
      </c>
      <c r="AM3242">
        <v>102.86145222616599</v>
      </c>
      <c r="AN3242">
        <v>1.00000000210212</v>
      </c>
    </row>
    <row r="3243" spans="1:40" x14ac:dyDescent="0.25">
      <c r="A3243" t="str">
        <f>"20190312164050122"</f>
        <v>20190312164050122</v>
      </c>
      <c r="B3243" t="str">
        <f>"1552380050109313"</f>
        <v>1552380050109313</v>
      </c>
      <c r="C3243" t="s">
        <v>40</v>
      </c>
      <c r="D3243">
        <v>5.5223930000000001</v>
      </c>
      <c r="E3243">
        <v>0.49299359999999998</v>
      </c>
      <c r="F3243" t="s">
        <v>46</v>
      </c>
      <c r="G3243">
        <v>-474.2226</v>
      </c>
      <c r="H3243" s="1">
        <v>4.0967629999999999E-6</v>
      </c>
      <c r="I3243">
        <v>214.86449999999999</v>
      </c>
      <c r="J3243">
        <v>-482.94389999999999</v>
      </c>
      <c r="K3243">
        <v>1.115845</v>
      </c>
      <c r="L3243">
        <v>217.94810000000001</v>
      </c>
      <c r="M3243">
        <v>0.80748059999999999</v>
      </c>
      <c r="N3243">
        <v>0</v>
      </c>
      <c r="O3243">
        <v>-0.58972789999999997</v>
      </c>
      <c r="P3243">
        <v>0.91147579999999995</v>
      </c>
      <c r="Q3243">
        <v>0.1025268</v>
      </c>
      <c r="R3243">
        <v>-0.39837230000000001</v>
      </c>
      <c r="S3243">
        <v>2.880096</v>
      </c>
      <c r="T3243">
        <v>-0.36039159999999998</v>
      </c>
      <c r="U3243">
        <v>-1.0387420000000001</v>
      </c>
      <c r="V3243">
        <v>-0.2174179</v>
      </c>
      <c r="W3243">
        <v>0.11317869999999999</v>
      </c>
      <c r="X3243">
        <v>0.96949479999999999</v>
      </c>
      <c r="Y3243">
        <v>-0.27556520000000001</v>
      </c>
      <c r="Z3243">
        <v>8.2428109999999999E-2</v>
      </c>
      <c r="AA3243">
        <v>0.95774190000000003</v>
      </c>
      <c r="AB3243">
        <v>23</v>
      </c>
      <c r="AC3243">
        <v>8.7212999999999798</v>
      </c>
      <c r="AD3243">
        <v>-1.115840903237</v>
      </c>
      <c r="AE3243">
        <v>-3.0836000000000099</v>
      </c>
      <c r="AF3243">
        <v>-2.61545021896133</v>
      </c>
      <c r="AG3243">
        <v>-1.115840903237</v>
      </c>
      <c r="AH3243">
        <v>8.7345404410225402</v>
      </c>
      <c r="AI3243">
        <v>96.977253958842596</v>
      </c>
      <c r="AJ3243">
        <v>106.66967950132801</v>
      </c>
      <c r="AK3243">
        <v>9.1857431645490593</v>
      </c>
      <c r="AL3243">
        <v>83.501414040086999</v>
      </c>
      <c r="AM3243">
        <v>102.639964755412</v>
      </c>
      <c r="AN3243">
        <v>1.00000006430056</v>
      </c>
    </row>
    <row r="3244" spans="1:40" x14ac:dyDescent="0.25">
      <c r="A3244" t="str">
        <f>"20190312164050144"</f>
        <v>20190312164050144</v>
      </c>
      <c r="B3244" t="str">
        <f>"1552380050139570"</f>
        <v>1552380050139570</v>
      </c>
      <c r="C3244" t="s">
        <v>40</v>
      </c>
      <c r="D3244">
        <v>5.6063910000000003</v>
      </c>
      <c r="E3244">
        <v>0.48691279999999998</v>
      </c>
      <c r="F3244" t="s">
        <v>46</v>
      </c>
      <c r="G3244">
        <v>-475.78410000000002</v>
      </c>
      <c r="H3244" s="1">
        <v>3.4173669999999998E-6</v>
      </c>
      <c r="I3244">
        <v>215.16380000000001</v>
      </c>
      <c r="J3244">
        <v>-482.75549999999998</v>
      </c>
      <c r="K3244">
        <v>1.1158399999999999</v>
      </c>
      <c r="L3244">
        <v>217.82320000000001</v>
      </c>
      <c r="M3244">
        <v>0.81269309999999995</v>
      </c>
      <c r="N3244">
        <v>0</v>
      </c>
      <c r="O3244">
        <v>-0.58252419999999905</v>
      </c>
      <c r="P3244">
        <v>0.91347299999999998</v>
      </c>
      <c r="Q3244">
        <v>0.1019668</v>
      </c>
      <c r="R3244">
        <v>-0.39391700000000002</v>
      </c>
      <c r="S3244">
        <v>2.8559269999999999</v>
      </c>
      <c r="T3244">
        <v>-0.44509159999999998</v>
      </c>
      <c r="U3244">
        <v>-1.110641</v>
      </c>
      <c r="V3244">
        <v>-0.2135494</v>
      </c>
      <c r="W3244">
        <v>0.1126751</v>
      </c>
      <c r="X3244">
        <v>0.97041279999999996</v>
      </c>
      <c r="Y3244">
        <v>-0.2408063</v>
      </c>
      <c r="Z3244">
        <v>9.8403959999999999E-2</v>
      </c>
      <c r="AA3244">
        <v>0.96557179999999998</v>
      </c>
      <c r="AB3244">
        <v>23</v>
      </c>
      <c r="AC3244">
        <v>6.9713999999999503</v>
      </c>
      <c r="AD3244">
        <v>-1.1158365826329999</v>
      </c>
      <c r="AE3244">
        <v>-2.6594000000000002</v>
      </c>
      <c r="AF3244">
        <v>-1.85835776585206</v>
      </c>
      <c r="AG3244">
        <v>-1.1158365826329999</v>
      </c>
      <c r="AH3244">
        <v>7.0576387170576602</v>
      </c>
      <c r="AI3244">
        <v>98.692748316399005</v>
      </c>
      <c r="AJ3244">
        <v>104.75179594617499</v>
      </c>
      <c r="AK3244">
        <v>7.3830108441987301</v>
      </c>
      <c r="AL3244">
        <v>83.530453622040696</v>
      </c>
      <c r="AM3244">
        <v>102.41071775762801</v>
      </c>
      <c r="AN3244">
        <v>1.0000000134021001</v>
      </c>
    </row>
    <row r="3245" spans="1:40" x14ac:dyDescent="0.25">
      <c r="A3245" t="str">
        <f>"20190312164050166"</f>
        <v>20190312164050166</v>
      </c>
      <c r="B3245" t="str">
        <f>"1552380050159090"</f>
        <v>1552380050159090</v>
      </c>
      <c r="C3245" t="s">
        <v>40</v>
      </c>
      <c r="D3245">
        <v>5.3774649999999999</v>
      </c>
      <c r="E3245">
        <v>0.46424720000000003</v>
      </c>
      <c r="F3245" t="s">
        <v>46</v>
      </c>
      <c r="G3245">
        <v>-474.56380000000001</v>
      </c>
      <c r="H3245" s="1">
        <v>3.9434259999999997E-6</v>
      </c>
      <c r="I3245">
        <v>214.81909999999999</v>
      </c>
      <c r="J3245">
        <v>-482.5634</v>
      </c>
      <c r="K3245">
        <v>1.115826</v>
      </c>
      <c r="L3245">
        <v>217.69820000000001</v>
      </c>
      <c r="M3245">
        <v>0.81791899999999995</v>
      </c>
      <c r="N3245">
        <v>0</v>
      </c>
      <c r="O3245">
        <v>-0.5751638</v>
      </c>
      <c r="P3245">
        <v>0.91568819999999995</v>
      </c>
      <c r="Q3245">
        <v>0.1010669</v>
      </c>
      <c r="R3245">
        <v>-0.38897419999999999</v>
      </c>
      <c r="S3245">
        <v>2.8734440000000001</v>
      </c>
      <c r="T3245">
        <v>-0.39141039999999999</v>
      </c>
      <c r="U3245">
        <v>-1.0537719999999999</v>
      </c>
      <c r="V3245">
        <v>-0.21007100000000001</v>
      </c>
      <c r="W3245">
        <v>0.1118246</v>
      </c>
      <c r="X3245">
        <v>0.97126999999999997</v>
      </c>
      <c r="Y3245">
        <v>-0.25245410000000001</v>
      </c>
      <c r="Z3245">
        <v>8.655185E-2</v>
      </c>
      <c r="AA3245">
        <v>0.96373010000000003</v>
      </c>
      <c r="AB3245">
        <v>23</v>
      </c>
      <c r="AC3245">
        <v>7.9995999999999796</v>
      </c>
      <c r="AD3245">
        <v>-1.115822056574</v>
      </c>
      <c r="AE3245">
        <v>-2.8791000000000202</v>
      </c>
      <c r="AF3245">
        <v>-2.2083897784397002</v>
      </c>
      <c r="AG3245">
        <v>-1.115822056574</v>
      </c>
      <c r="AH3245">
        <v>8.0609307871961704</v>
      </c>
      <c r="AI3245">
        <v>97.604252206552403</v>
      </c>
      <c r="AJ3245">
        <v>105.320951992191</v>
      </c>
      <c r="AK3245">
        <v>8.4321201030002602</v>
      </c>
      <c r="AL3245">
        <v>83.579493461680897</v>
      </c>
      <c r="AM3245">
        <v>102.20422624635199</v>
      </c>
      <c r="AN3245">
        <v>0.99999998955308</v>
      </c>
    </row>
    <row r="3246" spans="1:40" x14ac:dyDescent="0.25">
      <c r="A3246" t="str">
        <f>"20190312164050187"</f>
        <v>20190312164050187</v>
      </c>
      <c r="B3246" t="str">
        <f>"1552380050179586"</f>
        <v>1552380050179586</v>
      </c>
      <c r="C3246" t="s">
        <v>40</v>
      </c>
      <c r="D3246">
        <v>5.3030929999999996</v>
      </c>
      <c r="E3246">
        <v>0.4567254</v>
      </c>
      <c r="F3246" t="s">
        <v>46</v>
      </c>
      <c r="G3246">
        <v>-473.13839999999999</v>
      </c>
      <c r="H3246" s="1">
        <v>4.579327E-6</v>
      </c>
      <c r="I3246">
        <v>214.90549999999999</v>
      </c>
      <c r="J3246">
        <v>-482.37990000000002</v>
      </c>
      <c r="K3246">
        <v>1.1158129999999999</v>
      </c>
      <c r="L3246">
        <v>217.58109999999999</v>
      </c>
      <c r="M3246">
        <v>0.82282789999999995</v>
      </c>
      <c r="N3246">
        <v>0</v>
      </c>
      <c r="O3246">
        <v>-0.56811899999999904</v>
      </c>
      <c r="P3246">
        <v>0.91779739999999999</v>
      </c>
      <c r="Q3246">
        <v>9.9982340000000003E-2</v>
      </c>
      <c r="R3246">
        <v>-0.38425429999999999</v>
      </c>
      <c r="S3246">
        <v>2.9441220000000001</v>
      </c>
      <c r="T3246">
        <v>-0.34855429999999998</v>
      </c>
      <c r="U3246">
        <v>-0.87239069999999996</v>
      </c>
      <c r="V3246">
        <v>-0.20677789999999999</v>
      </c>
      <c r="W3246">
        <v>0.1107868</v>
      </c>
      <c r="X3246">
        <v>0.9720953</v>
      </c>
      <c r="Y3246">
        <v>-0.30592550000000002</v>
      </c>
      <c r="Z3246">
        <v>7.8832050000000001E-2</v>
      </c>
      <c r="AA3246">
        <v>0.94878609999999997</v>
      </c>
      <c r="AB3246">
        <v>23</v>
      </c>
      <c r="AC3246">
        <v>9.2415000000000305</v>
      </c>
      <c r="AD3246">
        <v>-1.1158084206729999</v>
      </c>
      <c r="AE3246">
        <v>-2.6756000000000002</v>
      </c>
      <c r="AF3246">
        <v>-3.0085445360048899</v>
      </c>
      <c r="AG3246">
        <v>-1.1158084206729999</v>
      </c>
      <c r="AH3246">
        <v>9.0040053857849092</v>
      </c>
      <c r="AI3246">
        <v>96.703557579043604</v>
      </c>
      <c r="AJ3246">
        <v>108.476227386983</v>
      </c>
      <c r="AK3246">
        <v>9.5586861881753098</v>
      </c>
      <c r="AL3246">
        <v>83.639327162096095</v>
      </c>
      <c r="AM3246">
        <v>102.00860893383199</v>
      </c>
      <c r="AN3246">
        <v>1.0000000436323599</v>
      </c>
    </row>
    <row r="3247" spans="1:40" x14ac:dyDescent="0.25">
      <c r="A3247" t="str">
        <f>"20190312164050210"</f>
        <v>20190312164050210</v>
      </c>
      <c r="B3247" t="str">
        <f>"1552380050199614"</f>
        <v>1552380050199614</v>
      </c>
      <c r="C3247" t="s">
        <v>40</v>
      </c>
      <c r="D3247">
        <v>5.3455659999999998</v>
      </c>
      <c r="E3247">
        <v>0.45267049999999998</v>
      </c>
      <c r="F3247" t="s">
        <v>46</v>
      </c>
      <c r="G3247">
        <v>-472.01839999999999</v>
      </c>
      <c r="H3247" s="1">
        <v>5.0705979999999997E-6</v>
      </c>
      <c r="I3247">
        <v>214.78210000000001</v>
      </c>
      <c r="J3247">
        <v>-482.18920000000003</v>
      </c>
      <c r="K3247">
        <v>1.115804</v>
      </c>
      <c r="L3247">
        <v>217.46180000000001</v>
      </c>
      <c r="M3247">
        <v>0.827843199999999</v>
      </c>
      <c r="N3247">
        <v>0</v>
      </c>
      <c r="O3247">
        <v>-0.56078589999999995</v>
      </c>
      <c r="P3247">
        <v>0.92044939999999997</v>
      </c>
      <c r="Q3247">
        <v>9.8895360000000002E-2</v>
      </c>
      <c r="R3247">
        <v>-0.37814389999999998</v>
      </c>
      <c r="S3247">
        <v>2.9678650000000002</v>
      </c>
      <c r="T3247">
        <v>-0.31960450000000001</v>
      </c>
      <c r="U3247">
        <v>-0.80174259999999997</v>
      </c>
      <c r="V3247">
        <v>-0.20465130000000001</v>
      </c>
      <c r="W3247">
        <v>0.10972709999999999</v>
      </c>
      <c r="X3247">
        <v>0.97266529999999995</v>
      </c>
      <c r="Y3247">
        <v>-0.32121230000000001</v>
      </c>
      <c r="Z3247">
        <v>7.227778E-2</v>
      </c>
      <c r="AA3247">
        <v>0.944245</v>
      </c>
      <c r="AB3247">
        <v>23</v>
      </c>
      <c r="AC3247">
        <v>10.1708</v>
      </c>
      <c r="AD3247">
        <v>-1.1157989294020001</v>
      </c>
      <c r="AE3247">
        <v>-2.6796999999999902</v>
      </c>
      <c r="AF3247">
        <v>-3.4468181450708002</v>
      </c>
      <c r="AG3247">
        <v>-1.1157989294020001</v>
      </c>
      <c r="AH3247">
        <v>9.8130936814704004</v>
      </c>
      <c r="AI3247">
        <v>96.123257713992402</v>
      </c>
      <c r="AJ3247">
        <v>109.35366392178101</v>
      </c>
      <c r="AK3247">
        <v>10.4605148141646</v>
      </c>
      <c r="AL3247">
        <v>83.700415602112301</v>
      </c>
      <c r="AM3247">
        <v>101.88186985733699</v>
      </c>
      <c r="AN3247">
        <v>0.99999998844509497</v>
      </c>
    </row>
    <row r="3248" spans="1:40" x14ac:dyDescent="0.25">
      <c r="A3248" t="str">
        <f>"20190312164050231"</f>
        <v>20190312164050231</v>
      </c>
      <c r="B3248" t="str">
        <f>"1552380050228895"</f>
        <v>1552380050228895</v>
      </c>
      <c r="C3248" t="s">
        <v>40</v>
      </c>
      <c r="D3248">
        <v>5.347683</v>
      </c>
      <c r="E3248">
        <v>0.44954139999999998</v>
      </c>
      <c r="F3248" t="s">
        <v>46</v>
      </c>
      <c r="G3248">
        <v>-471.92590000000001</v>
      </c>
      <c r="H3248" s="1">
        <v>5.1159179999999997E-6</v>
      </c>
      <c r="I3248">
        <v>214.88040000000001</v>
      </c>
      <c r="J3248">
        <v>-482.00630000000001</v>
      </c>
      <c r="K3248">
        <v>1.1157919999999999</v>
      </c>
      <c r="L3248">
        <v>217.34950000000001</v>
      </c>
      <c r="M3248">
        <v>0.83257380000000003</v>
      </c>
      <c r="N3248">
        <v>0</v>
      </c>
      <c r="O3248">
        <v>-0.55373869999999903</v>
      </c>
      <c r="P3248">
        <v>0.92304799999999998</v>
      </c>
      <c r="Q3248">
        <v>9.8152180000000006E-2</v>
      </c>
      <c r="R3248">
        <v>-0.37195299999999998</v>
      </c>
      <c r="S3248">
        <v>2.9856569999999998</v>
      </c>
      <c r="T3248">
        <v>-0.32459329999999997</v>
      </c>
      <c r="U3248">
        <v>-0.750946</v>
      </c>
      <c r="V3248">
        <v>-0.20295849999999999</v>
      </c>
      <c r="W3248">
        <v>0.109006199999999</v>
      </c>
      <c r="X3248">
        <v>0.97310099999999999</v>
      </c>
      <c r="Y3248">
        <v>-0.32950580000000002</v>
      </c>
      <c r="Z3248">
        <v>7.3033249999999994E-2</v>
      </c>
      <c r="AA3248">
        <v>0.94132459999999996</v>
      </c>
      <c r="AB3248">
        <v>23</v>
      </c>
      <c r="AC3248">
        <v>10.0803999999999</v>
      </c>
      <c r="AD3248">
        <v>-1.115786884082</v>
      </c>
      <c r="AE3248">
        <v>-2.4690999999999899</v>
      </c>
      <c r="AF3248">
        <v>-3.4862463778619102</v>
      </c>
      <c r="AG3248">
        <v>-1.115786884082</v>
      </c>
      <c r="AH3248">
        <v>9.6493294602277402</v>
      </c>
      <c r="AI3248">
        <v>96.206711736900402</v>
      </c>
      <c r="AJ3248">
        <v>109.86449186403701</v>
      </c>
      <c r="AK3248">
        <v>10.3202932715046</v>
      </c>
      <c r="AL3248">
        <v>83.741969655215001</v>
      </c>
      <c r="AM3248">
        <v>101.781217927345</v>
      </c>
      <c r="AN3248">
        <v>1.0000000302808401</v>
      </c>
    </row>
    <row r="3249" spans="1:40" x14ac:dyDescent="0.25">
      <c r="A3249" t="str">
        <f>"20190312164050253"</f>
        <v>20190312164050253</v>
      </c>
      <c r="B3249" t="str">
        <f>"1552380050249389"</f>
        <v>1552380050249389</v>
      </c>
      <c r="C3249" t="s">
        <v>40</v>
      </c>
      <c r="D3249">
        <v>5.325882</v>
      </c>
      <c r="E3249">
        <v>0.44899460000000002</v>
      </c>
      <c r="F3249" t="s">
        <v>46</v>
      </c>
      <c r="G3249">
        <v>-472.1678</v>
      </c>
      <c r="H3249" s="1">
        <v>5.0153699999999999E-6</v>
      </c>
      <c r="I3249">
        <v>215.03440000000001</v>
      </c>
      <c r="J3249">
        <v>-481.81630000000001</v>
      </c>
      <c r="K3249">
        <v>1.115785</v>
      </c>
      <c r="L3249">
        <v>217.23509999999999</v>
      </c>
      <c r="M3249">
        <v>0.83740499999999995</v>
      </c>
      <c r="N3249">
        <v>0</v>
      </c>
      <c r="O3249">
        <v>-0.54640509999999998</v>
      </c>
      <c r="P3249">
        <v>0.92562370000000005</v>
      </c>
      <c r="Q3249">
        <v>9.8168400000000003E-2</v>
      </c>
      <c r="R3249">
        <v>-0.36549150000000002</v>
      </c>
      <c r="S3249">
        <v>3.0016780000000001</v>
      </c>
      <c r="T3249">
        <v>-0.3404219</v>
      </c>
      <c r="U3249">
        <v>-0.70634459999999999</v>
      </c>
      <c r="V3249">
        <v>-0.20121030000000001</v>
      </c>
      <c r="W3249">
        <v>0.1090455</v>
      </c>
      <c r="X3249">
        <v>0.97345950000000003</v>
      </c>
      <c r="Y3249">
        <v>-0.33519280000000001</v>
      </c>
      <c r="Z3249">
        <v>7.6018559999999999E-2</v>
      </c>
      <c r="AA3249">
        <v>0.93907770000000002</v>
      </c>
      <c r="AB3249">
        <v>23</v>
      </c>
      <c r="AC3249">
        <v>9.6485000000000092</v>
      </c>
      <c r="AD3249">
        <v>-1.1157799846300001</v>
      </c>
      <c r="AE3249">
        <v>-2.2006999999999799</v>
      </c>
      <c r="AF3249">
        <v>-3.3863979659825301</v>
      </c>
      <c r="AG3249">
        <v>-1.1157799846300001</v>
      </c>
      <c r="AH3249">
        <v>9.1665531833838898</v>
      </c>
      <c r="AI3249">
        <v>96.513850684251906</v>
      </c>
      <c r="AJ3249">
        <v>110.27573260736099</v>
      </c>
      <c r="AK3249">
        <v>9.8355657397994598</v>
      </c>
      <c r="AL3249">
        <v>83.739703936030295</v>
      </c>
      <c r="AM3249">
        <v>101.678356156541</v>
      </c>
      <c r="AN3249">
        <v>0.99999995201829395</v>
      </c>
    </row>
    <row r="3250" spans="1:40" x14ac:dyDescent="0.25">
      <c r="A3250" t="str">
        <f>"20190312164050275"</f>
        <v>20190312164050275</v>
      </c>
      <c r="B3250" t="str">
        <f>"1552380050268910"</f>
        <v>1552380050268910</v>
      </c>
      <c r="C3250" t="s">
        <v>40</v>
      </c>
      <c r="D3250">
        <v>5.3495410000000003</v>
      </c>
      <c r="E3250">
        <v>0.44872689999999998</v>
      </c>
      <c r="F3250" t="s">
        <v>46</v>
      </c>
      <c r="G3250">
        <v>-471.84800000000001</v>
      </c>
      <c r="H3250" s="1">
        <v>5.1547869999999996E-6</v>
      </c>
      <c r="I3250">
        <v>214.9794</v>
      </c>
      <c r="J3250">
        <v>-481.6191</v>
      </c>
      <c r="K3250">
        <v>1.115777</v>
      </c>
      <c r="L3250">
        <v>217.11869999999999</v>
      </c>
      <c r="M3250">
        <v>0.84232719999999905</v>
      </c>
      <c r="N3250">
        <v>0</v>
      </c>
      <c r="O3250">
        <v>-0.5387866</v>
      </c>
      <c r="P3250">
        <v>0.92800070000000001</v>
      </c>
      <c r="Q3250">
        <v>9.8346439999999993E-2</v>
      </c>
      <c r="R3250">
        <v>-0.35936469999999998</v>
      </c>
      <c r="S3250">
        <v>3.0079959999999999</v>
      </c>
      <c r="T3250">
        <v>-0.33669519999999997</v>
      </c>
      <c r="U3250">
        <v>-0.68066409999999999</v>
      </c>
      <c r="V3250">
        <v>-0.19880200000000001</v>
      </c>
      <c r="W3250">
        <v>0.1092588</v>
      </c>
      <c r="X3250">
        <v>0.97393039999999997</v>
      </c>
      <c r="Y3250">
        <v>-0.33485860000000001</v>
      </c>
      <c r="Z3250">
        <v>7.4431269999999994E-2</v>
      </c>
      <c r="AA3250">
        <v>0.9393241</v>
      </c>
      <c r="AB3250">
        <v>23</v>
      </c>
      <c r="AC3250">
        <v>9.7710999999999899</v>
      </c>
      <c r="AD3250">
        <v>-1.1157718452130001</v>
      </c>
      <c r="AE3250">
        <v>-2.1392999999999902</v>
      </c>
      <c r="AF3250">
        <v>-3.42032338823272</v>
      </c>
      <c r="AG3250">
        <v>-1.1157718452130001</v>
      </c>
      <c r="AH3250">
        <v>9.2686680738695006</v>
      </c>
      <c r="AI3250">
        <v>96.443497164572094</v>
      </c>
      <c r="AJ3250">
        <v>110.25506665221801</v>
      </c>
      <c r="AK3250">
        <v>9.9424225797453101</v>
      </c>
      <c r="AL3250">
        <v>83.727410043359299</v>
      </c>
      <c r="AM3250">
        <v>101.536918911203</v>
      </c>
      <c r="AN3250">
        <v>1.00000007231279</v>
      </c>
    </row>
    <row r="3251" spans="1:40" x14ac:dyDescent="0.25">
      <c r="A3251" t="str">
        <f>"20190312164050309"</f>
        <v>20190312164050309</v>
      </c>
      <c r="B3251" t="str">
        <f>"1552380050299170"</f>
        <v>1552380050299170</v>
      </c>
      <c r="C3251" t="s">
        <v>40</v>
      </c>
      <c r="D3251">
        <v>5.3687509999999996</v>
      </c>
      <c r="E3251">
        <v>0.44860549999999999</v>
      </c>
      <c r="F3251" t="s">
        <v>46</v>
      </c>
      <c r="G3251">
        <v>-471.58210000000003</v>
      </c>
      <c r="H3251" s="1">
        <v>5.2704649999999999E-6</v>
      </c>
      <c r="I3251">
        <v>214.92789999999999</v>
      </c>
      <c r="J3251">
        <v>-481.3211</v>
      </c>
      <c r="K3251">
        <v>1.115777</v>
      </c>
      <c r="L3251">
        <v>216.9477</v>
      </c>
      <c r="M3251">
        <v>0.84958619999999996</v>
      </c>
      <c r="N3251">
        <v>0</v>
      </c>
      <c r="O3251">
        <v>-0.52726580000000001</v>
      </c>
      <c r="P3251">
        <v>0.93225809999999998</v>
      </c>
      <c r="Q3251">
        <v>9.8374310000000006E-2</v>
      </c>
      <c r="R3251">
        <v>-0.3481631</v>
      </c>
      <c r="S3251">
        <v>3.0135190000000001</v>
      </c>
      <c r="T3251">
        <v>-0.33500150000000001</v>
      </c>
      <c r="U3251">
        <v>-0.65776060000000003</v>
      </c>
      <c r="V3251">
        <v>-0.1972612</v>
      </c>
      <c r="W3251">
        <v>0.1093076</v>
      </c>
      <c r="X3251">
        <v>0.9742381</v>
      </c>
      <c r="Y3251">
        <v>-0.32934720000000001</v>
      </c>
      <c r="Z3251">
        <v>7.2662710000000005E-2</v>
      </c>
      <c r="AA3251">
        <v>0.94140880000000005</v>
      </c>
      <c r="AB3251">
        <v>23</v>
      </c>
      <c r="AC3251">
        <v>9.7389999999999706</v>
      </c>
      <c r="AD3251">
        <v>-1.115771729535</v>
      </c>
      <c r="AE3251">
        <v>-2.0198</v>
      </c>
      <c r="AF3251">
        <v>-3.3768831560658201</v>
      </c>
      <c r="AG3251">
        <v>-1.115771729535</v>
      </c>
      <c r="AH3251">
        <v>9.22392023011672</v>
      </c>
      <c r="AI3251">
        <v>96.480562130063902</v>
      </c>
      <c r="AJ3251">
        <v>110.107711001683</v>
      </c>
      <c r="AK3251">
        <v>9.8857974293279494</v>
      </c>
      <c r="AL3251">
        <v>83.7245967315895</v>
      </c>
      <c r="AM3251">
        <v>101.446352523358</v>
      </c>
      <c r="AN3251">
        <v>1.0000000039674</v>
      </c>
    </row>
    <row r="3252" spans="1:40" x14ac:dyDescent="0.25">
      <c r="A3252" t="str">
        <f>"20190312164050333"</f>
        <v>20190312164050333</v>
      </c>
      <c r="B3252" t="str">
        <f>"1552380050329421"</f>
        <v>1552380050329421</v>
      </c>
      <c r="C3252" t="s">
        <v>40</v>
      </c>
      <c r="D3252">
        <v>5.3818020000000004</v>
      </c>
      <c r="E3252">
        <v>0.44886979999999999</v>
      </c>
      <c r="F3252" t="s">
        <v>46</v>
      </c>
      <c r="G3252">
        <v>-471.29180000000002</v>
      </c>
      <c r="H3252" s="1">
        <v>5.3975819999999997E-6</v>
      </c>
      <c r="I3252">
        <v>214.8913</v>
      </c>
      <c r="J3252">
        <v>-481.11599999999999</v>
      </c>
      <c r="K3252">
        <v>1.1157699999999999</v>
      </c>
      <c r="L3252">
        <v>216.8329</v>
      </c>
      <c r="M3252">
        <v>0.85446029999999995</v>
      </c>
      <c r="N3252">
        <v>0</v>
      </c>
      <c r="O3252">
        <v>-0.51933030000000002</v>
      </c>
      <c r="P3252">
        <v>0.93515720000000002</v>
      </c>
      <c r="Q3252">
        <v>9.8354440000000001E-2</v>
      </c>
      <c r="R3252">
        <v>-0.34030549999999998</v>
      </c>
      <c r="S3252">
        <v>3.0220639999999999</v>
      </c>
      <c r="T3252">
        <v>-0.3362097</v>
      </c>
      <c r="U3252">
        <v>-0.61962890000000004</v>
      </c>
      <c r="V3252">
        <v>-0.19638320000000001</v>
      </c>
      <c r="W3252">
        <v>0.109301</v>
      </c>
      <c r="X3252">
        <v>0.97441619999999995</v>
      </c>
      <c r="Y3252">
        <v>-0.33247959999999999</v>
      </c>
      <c r="Z3252">
        <v>7.2300550000000005E-2</v>
      </c>
      <c r="AA3252">
        <v>0.94033500000000003</v>
      </c>
      <c r="AB3252">
        <v>23</v>
      </c>
      <c r="AC3252">
        <v>9.8241999999999603</v>
      </c>
      <c r="AD3252">
        <v>-1.1157646024179999</v>
      </c>
      <c r="AE3252">
        <v>-1.94159999999999</v>
      </c>
      <c r="AF3252">
        <v>-3.4010969171358201</v>
      </c>
      <c r="AG3252">
        <v>-1.1157646024179999</v>
      </c>
      <c r="AH3252">
        <v>9.2883261438848201</v>
      </c>
      <c r="AI3252">
        <v>96.4358222379051</v>
      </c>
      <c r="AJ3252">
        <v>110.111163468722</v>
      </c>
      <c r="AK3252">
        <v>9.9541646280807505</v>
      </c>
      <c r="AL3252">
        <v>83.724977140252605</v>
      </c>
      <c r="AM3252">
        <v>101.39471290387399</v>
      </c>
      <c r="AN3252">
        <v>1.00000000033284</v>
      </c>
    </row>
    <row r="3253" spans="1:40" x14ac:dyDescent="0.25">
      <c r="A3253" t="str">
        <f>"20190312164050355"</f>
        <v>20190312164050355</v>
      </c>
      <c r="B3253" t="str">
        <f>"1552380050348941"</f>
        <v>1552380050348941</v>
      </c>
      <c r="C3253" t="s">
        <v>40</v>
      </c>
      <c r="D3253">
        <v>5.4884750000000002</v>
      </c>
      <c r="E3253">
        <v>0.4493181</v>
      </c>
      <c r="F3253" t="s">
        <v>46</v>
      </c>
      <c r="G3253">
        <v>-471.17829999999998</v>
      </c>
      <c r="H3253" s="1">
        <v>5.447302E-6</v>
      </c>
      <c r="I3253">
        <v>214.87739999999999</v>
      </c>
      <c r="J3253">
        <v>-480.92290000000003</v>
      </c>
      <c r="K3253">
        <v>1.1157589999999999</v>
      </c>
      <c r="L3253">
        <v>216.72720000000001</v>
      </c>
      <c r="M3253">
        <v>0.8589618</v>
      </c>
      <c r="N3253">
        <v>0</v>
      </c>
      <c r="O3253">
        <v>-0.51185049999999999</v>
      </c>
      <c r="P3253">
        <v>0.93767769999999995</v>
      </c>
      <c r="Q3253">
        <v>9.8684830000000001E-2</v>
      </c>
      <c r="R3253">
        <v>-0.33319969999999999</v>
      </c>
      <c r="S3253">
        <v>3.027069</v>
      </c>
      <c r="T3253">
        <v>-0.3398679</v>
      </c>
      <c r="U3253">
        <v>-0.5956726</v>
      </c>
      <c r="V3253">
        <v>-0.19525210000000001</v>
      </c>
      <c r="W3253">
        <v>0.10964939999999999</v>
      </c>
      <c r="X3253">
        <v>0.97460440000000004</v>
      </c>
      <c r="Y3253">
        <v>-0.3316577</v>
      </c>
      <c r="Z3253">
        <v>7.2300080000000003E-2</v>
      </c>
      <c r="AA3253">
        <v>0.9406253</v>
      </c>
      <c r="AB3253">
        <v>23</v>
      </c>
      <c r="AC3253">
        <v>9.7446000000000392</v>
      </c>
      <c r="AD3253">
        <v>-1.115753552698</v>
      </c>
      <c r="AE3253">
        <v>-1.8498000000000101</v>
      </c>
      <c r="AF3253">
        <v>-3.35672345747229</v>
      </c>
      <c r="AG3253">
        <v>-1.115753552698</v>
      </c>
      <c r="AH3253">
        <v>9.20152485778795</v>
      </c>
      <c r="AI3253">
        <v>96.498795014278897</v>
      </c>
      <c r="AJ3253">
        <v>110.042009016919</v>
      </c>
      <c r="AK3253">
        <v>9.8580199872384302</v>
      </c>
      <c r="AL3253">
        <v>83.7048949303678</v>
      </c>
      <c r="AM3253">
        <v>101.328654337755</v>
      </c>
      <c r="AN3253">
        <v>1.00000005498706</v>
      </c>
    </row>
    <row r="3254" spans="1:40" x14ac:dyDescent="0.25">
      <c r="A3254" t="str">
        <f>"20190312164050377"</f>
        <v>20190312164050377</v>
      </c>
      <c r="B3254" t="str">
        <f>"1552380050369438"</f>
        <v>1552380050369438</v>
      </c>
      <c r="C3254" t="s">
        <v>40</v>
      </c>
      <c r="D3254">
        <v>5.4331630000000004</v>
      </c>
      <c r="E3254">
        <v>0.44952799999999998</v>
      </c>
      <c r="F3254" t="s">
        <v>46</v>
      </c>
      <c r="G3254">
        <v>-471.01179999999999</v>
      </c>
      <c r="H3254" s="1">
        <v>5.5196039999999997E-6</v>
      </c>
      <c r="I3254">
        <v>214.84219999999999</v>
      </c>
      <c r="J3254">
        <v>-480.72879999999998</v>
      </c>
      <c r="K3254">
        <v>1.1157570000000001</v>
      </c>
      <c r="L3254">
        <v>216.62299999999999</v>
      </c>
      <c r="M3254">
        <v>0.86339759999999999</v>
      </c>
      <c r="N3254">
        <v>0</v>
      </c>
      <c r="O3254">
        <v>-0.50433229999999996</v>
      </c>
      <c r="P3254">
        <v>0.94018299999999999</v>
      </c>
      <c r="Q3254">
        <v>9.9728369999999997E-2</v>
      </c>
      <c r="R3254">
        <v>-0.32574579999999997</v>
      </c>
      <c r="S3254">
        <v>3.0305179999999998</v>
      </c>
      <c r="T3254">
        <v>-0.34116639999999998</v>
      </c>
      <c r="U3254">
        <v>-0.57635499999999995</v>
      </c>
      <c r="V3254">
        <v>-0.19443489999999999</v>
      </c>
      <c r="W3254">
        <v>0.11070530000000001</v>
      </c>
      <c r="X3254">
        <v>0.97464839999999997</v>
      </c>
      <c r="Y3254">
        <v>-0.32942909999999997</v>
      </c>
      <c r="Z3254">
        <v>7.1721430000000003E-2</v>
      </c>
      <c r="AA3254">
        <v>0.94145230000000002</v>
      </c>
      <c r="AB3254">
        <v>23</v>
      </c>
      <c r="AC3254">
        <v>9.7169999999999792</v>
      </c>
      <c r="AD3254">
        <v>-1.11575148039599</v>
      </c>
      <c r="AE3254">
        <v>-1.7807999999999899</v>
      </c>
      <c r="AF3254">
        <v>-3.32102013563604</v>
      </c>
      <c r="AG3254">
        <v>-1.11575148039599</v>
      </c>
      <c r="AH3254">
        <v>9.1716521679237193</v>
      </c>
      <c r="AI3254">
        <v>96.5253827393596</v>
      </c>
      <c r="AJ3254">
        <v>109.905127645703</v>
      </c>
      <c r="AK3254">
        <v>9.8180079240488407</v>
      </c>
      <c r="AL3254">
        <v>83.644025702046505</v>
      </c>
      <c r="AM3254">
        <v>101.281962257987</v>
      </c>
      <c r="AN3254">
        <v>1.0000000487043199</v>
      </c>
    </row>
    <row r="3255" spans="1:40" x14ac:dyDescent="0.25">
      <c r="A3255" t="str">
        <f>"20190312164050399"</f>
        <v>20190312164050399</v>
      </c>
      <c r="B3255" t="str">
        <f>"1552380050388957"</f>
        <v>1552380050388957</v>
      </c>
      <c r="C3255" t="s">
        <v>40</v>
      </c>
      <c r="D3255">
        <v>5.4464880000000004</v>
      </c>
      <c r="E3255">
        <v>0.44987860000000002</v>
      </c>
      <c r="F3255" t="s">
        <v>46</v>
      </c>
      <c r="G3255">
        <v>-470.73849999999999</v>
      </c>
      <c r="H3255" s="1">
        <v>5.639012E-6</v>
      </c>
      <c r="I3255">
        <v>214.80029999999999</v>
      </c>
      <c r="J3255">
        <v>-480.53199999999998</v>
      </c>
      <c r="K3255">
        <v>1.1157509999999999</v>
      </c>
      <c r="L3255">
        <v>216.5197</v>
      </c>
      <c r="M3255">
        <v>0.86780840000000004</v>
      </c>
      <c r="N3255">
        <v>0</v>
      </c>
      <c r="O3255">
        <v>-0.49670449999999999</v>
      </c>
      <c r="P3255">
        <v>0.94251779999999996</v>
      </c>
      <c r="Q3255">
        <v>0.10059079999999999</v>
      </c>
      <c r="R3255">
        <v>-0.31865640000000001</v>
      </c>
      <c r="S3255">
        <v>3.0349430000000002</v>
      </c>
      <c r="T3255">
        <v>-0.3389508</v>
      </c>
      <c r="U3255">
        <v>-0.55371090000000001</v>
      </c>
      <c r="V3255">
        <v>-0.1931467</v>
      </c>
      <c r="W3255">
        <v>0.1115881</v>
      </c>
      <c r="X3255">
        <v>0.9748038</v>
      </c>
      <c r="Y3255">
        <v>-0.32826860000000002</v>
      </c>
      <c r="Z3255">
        <v>7.0441889999999993E-2</v>
      </c>
      <c r="AA3255">
        <v>0.94195419999999996</v>
      </c>
      <c r="AB3255">
        <v>23</v>
      </c>
      <c r="AC3255">
        <v>9.7934999999999892</v>
      </c>
      <c r="AD3255">
        <v>-1.1157453609879999</v>
      </c>
      <c r="AE3255">
        <v>-1.7194</v>
      </c>
      <c r="AF3255">
        <v>-3.3307531406486</v>
      </c>
      <c r="AG3255">
        <v>-1.1157453609879999</v>
      </c>
      <c r="AH3255">
        <v>9.2375068985661599</v>
      </c>
      <c r="AI3255">
        <v>96.482362176788598</v>
      </c>
      <c r="AJ3255">
        <v>109.827701939787</v>
      </c>
      <c r="AK3255">
        <v>9.8828304597197398</v>
      </c>
      <c r="AL3255">
        <v>83.5931293247139</v>
      </c>
      <c r="AM3255">
        <v>101.20737230831099</v>
      </c>
      <c r="AN3255">
        <v>1.0000000001384699</v>
      </c>
    </row>
    <row r="3256" spans="1:40" x14ac:dyDescent="0.25">
      <c r="A3256" t="str">
        <f>"20190312164050421"</f>
        <v>20190312164050421</v>
      </c>
      <c r="B3256" t="str">
        <f>"1552380050409457"</f>
        <v>1552380050409457</v>
      </c>
      <c r="C3256" t="s">
        <v>40</v>
      </c>
      <c r="D3256">
        <v>5.4405530000000004</v>
      </c>
      <c r="E3256">
        <v>0.45023190000000002</v>
      </c>
      <c r="F3256" t="s">
        <v>46</v>
      </c>
      <c r="G3256">
        <v>-470.3981</v>
      </c>
      <c r="H3256" s="1">
        <v>5.7872999999999996E-6</v>
      </c>
      <c r="I3256">
        <v>214.74029999999999</v>
      </c>
      <c r="J3256">
        <v>-480.33339999999998</v>
      </c>
      <c r="K3256">
        <v>1.115748</v>
      </c>
      <c r="L3256">
        <v>216.4178</v>
      </c>
      <c r="M3256">
        <v>0.87216819999999895</v>
      </c>
      <c r="N3256">
        <v>0</v>
      </c>
      <c r="O3256">
        <v>-0.48900870000000002</v>
      </c>
      <c r="P3256">
        <v>0.94484330000000005</v>
      </c>
      <c r="Q3256">
        <v>0.1014707</v>
      </c>
      <c r="R3256">
        <v>-0.31140820000000002</v>
      </c>
      <c r="S3256">
        <v>3.0382690000000001</v>
      </c>
      <c r="T3256">
        <v>-0.33451710000000001</v>
      </c>
      <c r="U3256">
        <v>-0.53350830000000005</v>
      </c>
      <c r="V3256">
        <v>-0.19197149999999999</v>
      </c>
      <c r="W3256">
        <v>0.1124865</v>
      </c>
      <c r="X3256">
        <v>0.97493269999999999</v>
      </c>
      <c r="Y3256">
        <v>-0.32634370000000001</v>
      </c>
      <c r="Z3256">
        <v>6.8682850000000004E-2</v>
      </c>
      <c r="AA3256">
        <v>0.94275260000000005</v>
      </c>
      <c r="AB3256">
        <v>23</v>
      </c>
      <c r="AC3256">
        <v>9.9352999999999803</v>
      </c>
      <c r="AD3256">
        <v>-1.1157422127000001</v>
      </c>
      <c r="AE3256">
        <v>-1.6775</v>
      </c>
      <c r="AF3256">
        <v>-3.3545803235398899</v>
      </c>
      <c r="AG3256">
        <v>-1.1157422127000001</v>
      </c>
      <c r="AH3256">
        <v>9.3715675470677091</v>
      </c>
      <c r="AI3256">
        <v>96.395662769842502</v>
      </c>
      <c r="AJ3256">
        <v>109.694978239264</v>
      </c>
      <c r="AK3256">
        <v>10.0162052755289</v>
      </c>
      <c r="AL3256">
        <v>83.541328783345094</v>
      </c>
      <c r="AM3256">
        <v>101.139455858586</v>
      </c>
      <c r="AN3256">
        <v>1.0000000195118901</v>
      </c>
    </row>
    <row r="3257" spans="1:40" x14ac:dyDescent="0.25">
      <c r="A3257" t="str">
        <f>"20190312164050443"</f>
        <v>20190312164050443</v>
      </c>
      <c r="B3257" t="str">
        <f>"1552380050439710"</f>
        <v>1552380050439710</v>
      </c>
      <c r="C3257" t="s">
        <v>40</v>
      </c>
      <c r="D3257">
        <v>5.4390219999999996</v>
      </c>
      <c r="E3257">
        <v>0.45113550000000002</v>
      </c>
      <c r="F3257" t="s">
        <v>46</v>
      </c>
      <c r="G3257">
        <v>-470.1574</v>
      </c>
      <c r="H3257" s="1">
        <v>5.8923810000000002E-6</v>
      </c>
      <c r="I3257">
        <v>214.70230000000001</v>
      </c>
      <c r="J3257">
        <v>-480.13639999999998</v>
      </c>
      <c r="K3257">
        <v>1.1157330000000001</v>
      </c>
      <c r="L3257">
        <v>216.31890000000001</v>
      </c>
      <c r="M3257">
        <v>0.87640720000000005</v>
      </c>
      <c r="N3257">
        <v>0</v>
      </c>
      <c r="O3257">
        <v>-0.48137010000000002</v>
      </c>
      <c r="P3257">
        <v>0.94710680000000003</v>
      </c>
      <c r="Q3257">
        <v>0.10234650000000001</v>
      </c>
      <c r="R3257">
        <v>-0.30416090000000001</v>
      </c>
      <c r="S3257">
        <v>3.0419619999999998</v>
      </c>
      <c r="T3257">
        <v>-0.33353539999999998</v>
      </c>
      <c r="U3257">
        <v>-0.51283259999999997</v>
      </c>
      <c r="V3257">
        <v>-0.190884</v>
      </c>
      <c r="W3257">
        <v>0.1133801</v>
      </c>
      <c r="X3257">
        <v>0.97504270000000004</v>
      </c>
      <c r="Y3257">
        <v>-0.3245885</v>
      </c>
      <c r="Z3257">
        <v>6.7643999999999996E-2</v>
      </c>
      <c r="AA3257">
        <v>0.94343339999999998</v>
      </c>
      <c r="AB3257">
        <v>23</v>
      </c>
      <c r="AC3257">
        <v>9.9789999999999797</v>
      </c>
      <c r="AD3257">
        <v>-1.1157271076189901</v>
      </c>
      <c r="AE3257">
        <v>-1.6166</v>
      </c>
      <c r="AF3257">
        <v>-3.3463568845290101</v>
      </c>
      <c r="AG3257">
        <v>-1.1157271076189901</v>
      </c>
      <c r="AH3257">
        <v>9.4101435564607492</v>
      </c>
      <c r="AI3257">
        <v>96.374257525651004</v>
      </c>
      <c r="AJ3257">
        <v>109.575980168199</v>
      </c>
      <c r="AK3257">
        <v>10.0495648229418</v>
      </c>
      <c r="AL3257">
        <v>83.489799542467196</v>
      </c>
      <c r="AM3257">
        <v>101.076698284277</v>
      </c>
      <c r="AN3257">
        <v>1.0000000076776401</v>
      </c>
    </row>
    <row r="3258" spans="1:40" x14ac:dyDescent="0.25">
      <c r="A3258" t="str">
        <f>"20190312164050466"</f>
        <v>20190312164050466</v>
      </c>
      <c r="B3258" t="str">
        <f>"1552380050459230"</f>
        <v>1552380050459230</v>
      </c>
      <c r="C3258" t="s">
        <v>40</v>
      </c>
      <c r="D3258">
        <v>5.4201949999999997</v>
      </c>
      <c r="E3258">
        <v>0.45160549999999999</v>
      </c>
      <c r="F3258" t="s">
        <v>48</v>
      </c>
      <c r="G3258">
        <v>-469.94569999999999</v>
      </c>
      <c r="H3258" s="1">
        <v>3.7541059999999999E-6</v>
      </c>
      <c r="I3258">
        <v>214.65549999999999</v>
      </c>
      <c r="J3258">
        <v>-479.93380000000002</v>
      </c>
      <c r="K3258">
        <v>1.1157250000000001</v>
      </c>
      <c r="L3258">
        <v>216.2193</v>
      </c>
      <c r="M3258">
        <v>0.88068049999999998</v>
      </c>
      <c r="N3258">
        <v>0</v>
      </c>
      <c r="O3258">
        <v>-0.4735067</v>
      </c>
      <c r="P3258">
        <v>0.94939189999999996</v>
      </c>
      <c r="Q3258">
        <v>0.1032925</v>
      </c>
      <c r="R3258">
        <v>-0.2966242</v>
      </c>
      <c r="S3258">
        <v>3.0440369999999999</v>
      </c>
      <c r="T3258">
        <v>-0.33327620000000002</v>
      </c>
      <c r="U3258">
        <v>-0.49685669999999998</v>
      </c>
      <c r="V3258">
        <v>-0.18986549999999999</v>
      </c>
      <c r="W3258">
        <v>0.11434270000000001</v>
      </c>
      <c r="X3258">
        <v>0.97512909999999997</v>
      </c>
      <c r="Y3258">
        <v>-0.32111919999999999</v>
      </c>
      <c r="Z3258">
        <v>6.6656049999999994E-2</v>
      </c>
      <c r="AA3258">
        <v>0.94469009999999998</v>
      </c>
      <c r="AB3258">
        <v>23</v>
      </c>
      <c r="AC3258">
        <v>9.9881000000000295</v>
      </c>
      <c r="AD3258">
        <v>-1.115721245894</v>
      </c>
      <c r="AE3258">
        <v>-1.5638000000000101</v>
      </c>
      <c r="AF3258">
        <v>-3.3122071730976801</v>
      </c>
      <c r="AG3258">
        <v>-1.115721245894</v>
      </c>
      <c r="AH3258">
        <v>9.4229498871077002</v>
      </c>
      <c r="AI3258">
        <v>96.373787223622401</v>
      </c>
      <c r="AJ3258">
        <v>109.366792926271</v>
      </c>
      <c r="AK3258">
        <v>10.050250485983</v>
      </c>
      <c r="AL3258">
        <v>83.434285291156797</v>
      </c>
      <c r="AM3258">
        <v>101.01809419747499</v>
      </c>
      <c r="AN3258">
        <v>0.999999961400174</v>
      </c>
    </row>
    <row r="3259" spans="1:40" x14ac:dyDescent="0.25">
      <c r="A3259" t="str">
        <f>"20190312164050488"</f>
        <v>20190312164050488</v>
      </c>
      <c r="B3259" t="str">
        <f>"1552380050479726"</f>
        <v>1552380050479726</v>
      </c>
      <c r="C3259" t="s">
        <v>40</v>
      </c>
      <c r="D3259">
        <v>5.3751470000000001</v>
      </c>
      <c r="E3259">
        <v>0.45215739999999999</v>
      </c>
      <c r="F3259" t="s">
        <v>48</v>
      </c>
      <c r="G3259">
        <v>-469.67219999999998</v>
      </c>
      <c r="H3259" s="1">
        <v>3.610261E-6</v>
      </c>
      <c r="I3259">
        <v>214.61660000000001</v>
      </c>
      <c r="J3259">
        <v>-479.7276</v>
      </c>
      <c r="K3259">
        <v>1.1157170000000001</v>
      </c>
      <c r="L3259">
        <v>216.12039999999999</v>
      </c>
      <c r="M3259">
        <v>0.88493829999999996</v>
      </c>
      <c r="N3259">
        <v>0</v>
      </c>
      <c r="O3259">
        <v>-0.46550150000000001</v>
      </c>
      <c r="P3259">
        <v>0.95149950000000005</v>
      </c>
      <c r="Q3259">
        <v>0.1044085</v>
      </c>
      <c r="R3259">
        <v>-0.28939199999999998</v>
      </c>
      <c r="S3259">
        <v>3.0473020000000002</v>
      </c>
      <c r="T3259">
        <v>-0.33132729999999999</v>
      </c>
      <c r="U3259">
        <v>-0.47595209999999999</v>
      </c>
      <c r="V3259">
        <v>-0.1883947</v>
      </c>
      <c r="W3259">
        <v>0.1154829</v>
      </c>
      <c r="X3259">
        <v>0.97528000000000004</v>
      </c>
      <c r="Y3259">
        <v>-0.3191235</v>
      </c>
      <c r="Z3259">
        <v>6.5386589999999994E-2</v>
      </c>
      <c r="AA3259">
        <v>0.94545480000000004</v>
      </c>
      <c r="AB3259">
        <v>23</v>
      </c>
      <c r="AC3259">
        <v>10.055400000000001</v>
      </c>
      <c r="AD3259">
        <v>-1.1157133897389999</v>
      </c>
      <c r="AE3259">
        <v>-1.50379999999998</v>
      </c>
      <c r="AF3259">
        <v>-3.3104910622364501</v>
      </c>
      <c r="AG3259">
        <v>-1.1157133897389999</v>
      </c>
      <c r="AH3259">
        <v>9.4851335715743392</v>
      </c>
      <c r="AI3259">
        <v>96.337169560842796</v>
      </c>
      <c r="AJ3259">
        <v>109.239953561611</v>
      </c>
      <c r="AK3259">
        <v>10.1080129754466</v>
      </c>
      <c r="AL3259">
        <v>83.368521049428196</v>
      </c>
      <c r="AM3259">
        <v>100.93315622034299</v>
      </c>
      <c r="AN3259">
        <v>0.99999997079024905</v>
      </c>
    </row>
    <row r="3260" spans="1:40" x14ac:dyDescent="0.25">
      <c r="A3260" t="str">
        <f>"20190312164050512"</f>
        <v>20190312164050512</v>
      </c>
      <c r="B3260" t="str">
        <f>"1552380050509006"</f>
        <v>1552380050509006</v>
      </c>
      <c r="C3260" t="s">
        <v>40</v>
      </c>
      <c r="D3260">
        <v>5.7391430000000003</v>
      </c>
      <c r="E3260">
        <v>0.46849089999999999</v>
      </c>
      <c r="F3260" t="s">
        <v>48</v>
      </c>
      <c r="G3260">
        <v>-469.37049999999999</v>
      </c>
      <c r="H3260" s="1">
        <v>3.4517419999999998E-6</v>
      </c>
      <c r="I3260">
        <v>214.57040000000001</v>
      </c>
      <c r="J3260">
        <v>-479.52</v>
      </c>
      <c r="K3260">
        <v>1.1157090000000001</v>
      </c>
      <c r="L3260">
        <v>216.02289999999999</v>
      </c>
      <c r="M3260">
        <v>0.8891348</v>
      </c>
      <c r="N3260">
        <v>0</v>
      </c>
      <c r="O3260">
        <v>-0.45743499999999998</v>
      </c>
      <c r="P3260">
        <v>0.95376950000000005</v>
      </c>
      <c r="Q3260">
        <v>0.1050103</v>
      </c>
      <c r="R3260">
        <v>-0.28159820000000002</v>
      </c>
      <c r="S3260">
        <v>3.0501710000000002</v>
      </c>
      <c r="T3260">
        <v>-0.3285788</v>
      </c>
      <c r="U3260">
        <v>-0.4564667</v>
      </c>
      <c r="V3260">
        <v>-0.1874779</v>
      </c>
      <c r="W3260">
        <v>0.11609999999999999</v>
      </c>
      <c r="X3260">
        <v>0.97538340000000001</v>
      </c>
      <c r="Y3260">
        <v>-0.31667529999999999</v>
      </c>
      <c r="Z3260">
        <v>6.3941719999999994E-2</v>
      </c>
      <c r="AA3260">
        <v>0.94637629999999995</v>
      </c>
      <c r="AB3260">
        <v>23</v>
      </c>
      <c r="AC3260">
        <v>10.1494999999999</v>
      </c>
      <c r="AD3260">
        <v>-1.1157055482580001</v>
      </c>
      <c r="AE3260">
        <v>-1.4524999999999799</v>
      </c>
      <c r="AF3260">
        <v>-3.31236763110015</v>
      </c>
      <c r="AG3260">
        <v>-1.1157055482580001</v>
      </c>
      <c r="AH3260">
        <v>9.5762342357308103</v>
      </c>
      <c r="AI3260">
        <v>96.283357273693895</v>
      </c>
      <c r="AJ3260">
        <v>109.080226169688</v>
      </c>
      <c r="AK3260">
        <v>10.194157166316201</v>
      </c>
      <c r="AL3260">
        <v>83.332924411105296</v>
      </c>
      <c r="AM3260">
        <v>100.880098442235</v>
      </c>
      <c r="AN3260">
        <v>0.99999997499198401</v>
      </c>
    </row>
    <row r="3261" spans="1:40" x14ac:dyDescent="0.25">
      <c r="A3261" t="str">
        <f>"20190312164050535"</f>
        <v>20190312164050535</v>
      </c>
      <c r="B3261" t="str">
        <f>"1552380050529502"</f>
        <v>1552380050529502</v>
      </c>
      <c r="C3261" t="s">
        <v>40</v>
      </c>
      <c r="D3261">
        <v>5.499225</v>
      </c>
      <c r="E3261">
        <v>0.46904129999999999</v>
      </c>
      <c r="F3261" t="s">
        <v>48</v>
      </c>
      <c r="G3261">
        <v>-468.44940000000003</v>
      </c>
      <c r="H3261" s="1">
        <v>2.987662E-6</v>
      </c>
      <c r="I3261">
        <v>213.97389999999999</v>
      </c>
      <c r="J3261">
        <v>-479.30880000000002</v>
      </c>
      <c r="K3261">
        <v>1.1157049999999999</v>
      </c>
      <c r="L3261">
        <v>215.92619999999999</v>
      </c>
      <c r="M3261">
        <v>0.89331340000000004</v>
      </c>
      <c r="N3261">
        <v>0</v>
      </c>
      <c r="O3261">
        <v>-0.44921929999999999</v>
      </c>
      <c r="P3261">
        <v>0.95590109999999995</v>
      </c>
      <c r="Q3261">
        <v>0.1053963</v>
      </c>
      <c r="R3261">
        <v>-0.2741249</v>
      </c>
      <c r="S3261">
        <v>3.0141300000000002</v>
      </c>
      <c r="T3261">
        <v>-0.30376730000000002</v>
      </c>
      <c r="U3261">
        <v>-0.55789180000000005</v>
      </c>
      <c r="V3261">
        <v>-0.1861014</v>
      </c>
      <c r="W3261">
        <v>0.11650870000000001</v>
      </c>
      <c r="X3261">
        <v>0.97559830000000003</v>
      </c>
      <c r="Y3261">
        <v>-0.27580310000000002</v>
      </c>
      <c r="Z3261">
        <v>5.6819450000000001E-2</v>
      </c>
      <c r="AA3261">
        <v>0.95953330000000003</v>
      </c>
      <c r="AB3261">
        <v>23</v>
      </c>
      <c r="AC3261">
        <v>10.8593999999999</v>
      </c>
      <c r="AD3261">
        <v>-1.1157020123379999</v>
      </c>
      <c r="AE3261">
        <v>-1.9522999999999999</v>
      </c>
      <c r="AF3261">
        <v>-3.1028123578942299</v>
      </c>
      <c r="AG3261">
        <v>-1.1157020123379999</v>
      </c>
      <c r="AH3261">
        <v>10.471804414916299</v>
      </c>
      <c r="AI3261">
        <v>95.832731546533296</v>
      </c>
      <c r="AJ3261">
        <v>106.50464050919901</v>
      </c>
      <c r="AK3261">
        <v>10.9786576234481</v>
      </c>
      <c r="AL3261">
        <v>83.309347964473204</v>
      </c>
      <c r="AM3261">
        <v>100.799777356465</v>
      </c>
      <c r="AN3261">
        <v>1.0000000256102599</v>
      </c>
    </row>
    <row r="3262" spans="1:40" x14ac:dyDescent="0.25">
      <c r="A3262" t="str">
        <f>"20190312164050557"</f>
        <v>20190312164050557</v>
      </c>
      <c r="B3262" t="str">
        <f>"1552380050549022"</f>
        <v>1552380050549022</v>
      </c>
      <c r="C3262" t="s">
        <v>40</v>
      </c>
      <c r="D3262">
        <v>5.6530129999999996</v>
      </c>
      <c r="E3262">
        <v>0.46998390000000001</v>
      </c>
      <c r="F3262" t="s">
        <v>48</v>
      </c>
      <c r="G3262">
        <v>-467.95679999999999</v>
      </c>
      <c r="H3262" s="1">
        <v>2.7287580000000001E-6</v>
      </c>
      <c r="I3262">
        <v>213.89949999999999</v>
      </c>
      <c r="J3262">
        <v>-479.10570000000001</v>
      </c>
      <c r="K3262">
        <v>1.1156999999999999</v>
      </c>
      <c r="L3262">
        <v>215.83529999999999</v>
      </c>
      <c r="M3262">
        <v>0.89725309999999903</v>
      </c>
      <c r="N3262">
        <v>0</v>
      </c>
      <c r="O3262">
        <v>-0.44129839999999998</v>
      </c>
      <c r="P3262">
        <v>0.95772650000000004</v>
      </c>
      <c r="Q3262">
        <v>0.1060765</v>
      </c>
      <c r="R3262">
        <v>-0.26740999999999998</v>
      </c>
      <c r="S3262">
        <v>3.0166629999999999</v>
      </c>
      <c r="T3262">
        <v>-0.29648400000000003</v>
      </c>
      <c r="U3262">
        <v>-0.53855900000000001</v>
      </c>
      <c r="V3262">
        <v>-0.18428810000000001</v>
      </c>
      <c r="W3262">
        <v>0.11721579999999999</v>
      </c>
      <c r="X3262">
        <v>0.97585770000000005</v>
      </c>
      <c r="Y3262">
        <v>-0.27360109999999999</v>
      </c>
      <c r="Z3262">
        <v>5.467002E-2</v>
      </c>
      <c r="AA3262">
        <v>0.96028829999999998</v>
      </c>
      <c r="AB3262">
        <v>23</v>
      </c>
      <c r="AC3262">
        <v>11.148899999999999</v>
      </c>
      <c r="AD3262">
        <v>-1.1156972712419999</v>
      </c>
      <c r="AE3262">
        <v>-1.9358</v>
      </c>
      <c r="AF3262">
        <v>-3.1527466183788402</v>
      </c>
      <c r="AG3262">
        <v>-1.1156972712419999</v>
      </c>
      <c r="AH3262">
        <v>10.7541507779663</v>
      </c>
      <c r="AI3262">
        <v>95.685387501084705</v>
      </c>
      <c r="AJ3262">
        <v>106.339319949383</v>
      </c>
      <c r="AK3262">
        <v>11.262164560864299</v>
      </c>
      <c r="AL3262">
        <v>83.268554090960293</v>
      </c>
      <c r="AM3262">
        <v>100.694210403231</v>
      </c>
      <c r="AN3262">
        <v>0.99999994911026802</v>
      </c>
    </row>
    <row r="3263" spans="1:40" x14ac:dyDescent="0.25">
      <c r="A3263" t="str">
        <f>"20190312164050579"</f>
        <v>20190312164050579</v>
      </c>
      <c r="B3263" t="str">
        <f>"1552380050569518"</f>
        <v>1552380050569518</v>
      </c>
      <c r="C3263" t="s">
        <v>40</v>
      </c>
      <c r="D3263">
        <v>5.5236020000000003</v>
      </c>
      <c r="E3263">
        <v>0.47006569999999998</v>
      </c>
      <c r="F3263" t="s">
        <v>48</v>
      </c>
      <c r="G3263">
        <v>-467.72840000000002</v>
      </c>
      <c r="H3263" s="1">
        <v>2.608979E-6</v>
      </c>
      <c r="I3263">
        <v>213.85910000000001</v>
      </c>
      <c r="J3263">
        <v>-478.90690000000001</v>
      </c>
      <c r="K3263">
        <v>1.115715</v>
      </c>
      <c r="L3263">
        <v>215.74860000000001</v>
      </c>
      <c r="M3263">
        <v>0.90104030000000002</v>
      </c>
      <c r="N3263">
        <v>0</v>
      </c>
      <c r="O3263">
        <v>-0.43351329999999999</v>
      </c>
      <c r="P3263">
        <v>0.95930190000000004</v>
      </c>
      <c r="Q3263">
        <v>0.107072</v>
      </c>
      <c r="R3263">
        <v>-0.26129609999999998</v>
      </c>
      <c r="S3263">
        <v>3.0188290000000002</v>
      </c>
      <c r="T3263">
        <v>-0.2960354</v>
      </c>
      <c r="U3263">
        <v>-0.52436830000000001</v>
      </c>
      <c r="V3263">
        <v>-0.1820262</v>
      </c>
      <c r="W3263">
        <v>0.1182414</v>
      </c>
      <c r="X3263">
        <v>0.97615850000000004</v>
      </c>
      <c r="Y3263">
        <v>-0.26983220000000002</v>
      </c>
      <c r="Z3263">
        <v>5.3721280000000003E-2</v>
      </c>
      <c r="AA3263">
        <v>0.96140760000000003</v>
      </c>
      <c r="AB3263">
        <v>23</v>
      </c>
      <c r="AC3263">
        <v>11.1784999999999</v>
      </c>
      <c r="AD3263">
        <v>-1.1157123910210001</v>
      </c>
      <c r="AE3263">
        <v>-1.88949999999999</v>
      </c>
      <c r="AF3263">
        <v>-3.1136594994537199</v>
      </c>
      <c r="AG3263">
        <v>-1.1157123910210001</v>
      </c>
      <c r="AH3263">
        <v>10.787969023009</v>
      </c>
      <c r="AI3263">
        <v>95.674621125811399</v>
      </c>
      <c r="AJ3263">
        <v>106.099373636172</v>
      </c>
      <c r="AK3263">
        <v>11.283614902123199</v>
      </c>
      <c r="AL3263">
        <v>83.209380316098702</v>
      </c>
      <c r="AM3263">
        <v>100.56274343848899</v>
      </c>
      <c r="AN3263">
        <v>0.99999999164132403</v>
      </c>
    </row>
    <row r="3264" spans="1:40" x14ac:dyDescent="0.25">
      <c r="A3264" t="str">
        <f>"20190312164050600"</f>
        <v>20190312164050600</v>
      </c>
      <c r="B3264" t="str">
        <f>"1552380050589038"</f>
        <v>1552380050589038</v>
      </c>
      <c r="C3264" t="s">
        <v>40</v>
      </c>
      <c r="D3264">
        <v>5.5118499999999999</v>
      </c>
      <c r="E3264">
        <v>0.46972199999999997</v>
      </c>
      <c r="F3264" t="s">
        <v>48</v>
      </c>
      <c r="G3264">
        <v>-467.43079999999998</v>
      </c>
      <c r="H3264" s="1">
        <v>2.4519179999999998E-6</v>
      </c>
      <c r="I3264">
        <v>213.82859999999999</v>
      </c>
      <c r="J3264">
        <v>-478.71080000000001</v>
      </c>
      <c r="K3264">
        <v>1.115731</v>
      </c>
      <c r="L3264">
        <v>215.6651</v>
      </c>
      <c r="M3264">
        <v>0.90471360000000001</v>
      </c>
      <c r="N3264">
        <v>0</v>
      </c>
      <c r="O3264">
        <v>-0.42579410000000001</v>
      </c>
      <c r="P3264">
        <v>0.96102189999999998</v>
      </c>
      <c r="Q3264">
        <v>0.1069975</v>
      </c>
      <c r="R3264">
        <v>-0.25492930000000003</v>
      </c>
      <c r="S3264">
        <v>3.0223080000000002</v>
      </c>
      <c r="T3264">
        <v>-0.29382999999999998</v>
      </c>
      <c r="U3264">
        <v>-0.50564579999999903</v>
      </c>
      <c r="V3264">
        <v>-0.1801586</v>
      </c>
      <c r="W3264">
        <v>0.1181898</v>
      </c>
      <c r="X3264">
        <v>0.97651120000000002</v>
      </c>
      <c r="Y3264">
        <v>-0.26766709999999999</v>
      </c>
      <c r="Z3264">
        <v>5.2529560000000003E-2</v>
      </c>
      <c r="AA3264">
        <v>0.96207849999999995</v>
      </c>
      <c r="AB3264">
        <v>23</v>
      </c>
      <c r="AC3264">
        <v>11.28</v>
      </c>
      <c r="AD3264">
        <v>-1.1157285480820001</v>
      </c>
      <c r="AE3264">
        <v>-1.8365</v>
      </c>
      <c r="AF3264">
        <v>-3.1120923777208498</v>
      </c>
      <c r="AG3264">
        <v>-1.1157285480820001</v>
      </c>
      <c r="AH3264">
        <v>10.884459553500999</v>
      </c>
      <c r="AI3264">
        <v>95.628730231161498</v>
      </c>
      <c r="AJ3264">
        <v>105.95632979757301</v>
      </c>
      <c r="AK3264">
        <v>11.375474888209</v>
      </c>
      <c r="AL3264">
        <v>83.212357963911501</v>
      </c>
      <c r="AM3264">
        <v>100.453077958707</v>
      </c>
      <c r="AN3264">
        <v>1.0000000368517099</v>
      </c>
    </row>
    <row r="3265" spans="1:40" x14ac:dyDescent="0.25">
      <c r="A3265" t="str">
        <f>"20190312164050623"</f>
        <v>20190312164050623</v>
      </c>
      <c r="B3265" t="str">
        <f>"1552380050619294"</f>
        <v>1552380050619294</v>
      </c>
      <c r="C3265" t="s">
        <v>40</v>
      </c>
      <c r="D3265">
        <v>5.4459379999999999</v>
      </c>
      <c r="E3265">
        <v>0.467532</v>
      </c>
      <c r="F3265" t="s">
        <v>48</v>
      </c>
      <c r="G3265">
        <v>-467.35239999999999</v>
      </c>
      <c r="H3265" s="1">
        <v>2.4091329999999998E-6</v>
      </c>
      <c r="I3265">
        <v>213.85400000000001</v>
      </c>
      <c r="J3265">
        <v>-478.50839999999999</v>
      </c>
      <c r="K3265">
        <v>1.1157490000000001</v>
      </c>
      <c r="L3265">
        <v>215.58109999999999</v>
      </c>
      <c r="M3265">
        <v>0.9084411</v>
      </c>
      <c r="N3265">
        <v>0</v>
      </c>
      <c r="O3265">
        <v>-0.4177824</v>
      </c>
      <c r="P3265">
        <v>0.96272899999999995</v>
      </c>
      <c r="Q3265">
        <v>0.1066071</v>
      </c>
      <c r="R3265">
        <v>-0.24857219999999999</v>
      </c>
      <c r="S3265">
        <v>3.0267330000000001</v>
      </c>
      <c r="T3265">
        <v>-0.29731449999999998</v>
      </c>
      <c r="U3265">
        <v>-0.48260500000000001</v>
      </c>
      <c r="V3265">
        <v>-0.1779983</v>
      </c>
      <c r="W3265">
        <v>0.1178256</v>
      </c>
      <c r="X3265">
        <v>0.97695120000000002</v>
      </c>
      <c r="Y3265">
        <v>-0.26648889999999997</v>
      </c>
      <c r="Z3265">
        <v>5.2357979999999998E-2</v>
      </c>
      <c r="AA3265">
        <v>0.96241489999999996</v>
      </c>
      <c r="AB3265">
        <v>23</v>
      </c>
      <c r="AC3265">
        <v>11.156000000000001</v>
      </c>
      <c r="AD3265">
        <v>-1.1157465908669999</v>
      </c>
      <c r="AE3265">
        <v>-1.7270999999999701</v>
      </c>
      <c r="AF3265">
        <v>-3.06219658772849</v>
      </c>
      <c r="AG3265">
        <v>-1.1157465908669999</v>
      </c>
      <c r="AH3265">
        <v>10.7521344056667</v>
      </c>
      <c r="AI3265">
        <v>95.699316460728596</v>
      </c>
      <c r="AJ3265">
        <v>105.896897410354</v>
      </c>
      <c r="AK3265">
        <v>11.235227308535</v>
      </c>
      <c r="AL3265">
        <v>83.233371374514206</v>
      </c>
      <c r="AM3265">
        <v>100.32589619546999</v>
      </c>
      <c r="AN3265">
        <v>0.99999995699984401</v>
      </c>
    </row>
    <row r="3266" spans="1:40" x14ac:dyDescent="0.25">
      <c r="A3266" t="str">
        <f>"20190312164050644"</f>
        <v>20190312164050644</v>
      </c>
      <c r="B3266" t="str">
        <f>"1552380050638814"</f>
        <v>1552380050638814</v>
      </c>
      <c r="C3266" t="s">
        <v>40</v>
      </c>
      <c r="D3266">
        <v>5.3968290000000003</v>
      </c>
      <c r="E3266">
        <v>0.44349070000000002</v>
      </c>
      <c r="F3266" t="s">
        <v>48</v>
      </c>
      <c r="G3266">
        <v>-467.57089999999999</v>
      </c>
      <c r="H3266" s="1">
        <v>2.5198629999999998E-6</v>
      </c>
      <c r="I3266">
        <v>213.98060000000001</v>
      </c>
      <c r="J3266">
        <v>-478.3091</v>
      </c>
      <c r="K3266">
        <v>1.1157779999999999</v>
      </c>
      <c r="L3266">
        <v>215.50040000000001</v>
      </c>
      <c r="M3266">
        <v>0.91205210000000003</v>
      </c>
      <c r="N3266">
        <v>0</v>
      </c>
      <c r="O3266">
        <v>-0.40983940000000002</v>
      </c>
      <c r="P3266">
        <v>0.96435760000000004</v>
      </c>
      <c r="Q3266">
        <v>0.10585029999999999</v>
      </c>
      <c r="R3266">
        <v>-0.2425089</v>
      </c>
      <c r="S3266">
        <v>3.0357669999999999</v>
      </c>
      <c r="T3266">
        <v>-0.30968319999999999</v>
      </c>
      <c r="U3266">
        <v>-0.44422909999999999</v>
      </c>
      <c r="V3266">
        <v>-0.17564839999999901</v>
      </c>
      <c r="W3266">
        <v>0.1170983</v>
      </c>
      <c r="X3266">
        <v>0.97746390000000005</v>
      </c>
      <c r="Y3266">
        <v>-0.27018180000000003</v>
      </c>
      <c r="Z3266">
        <v>5.3899339999999997E-2</v>
      </c>
      <c r="AA3266">
        <v>0.96129949999999997</v>
      </c>
      <c r="AB3266">
        <v>23</v>
      </c>
      <c r="AC3266">
        <v>10.738200000000001</v>
      </c>
      <c r="AD3266">
        <v>-1.1157754801369999</v>
      </c>
      <c r="AE3266">
        <v>-1.5198</v>
      </c>
      <c r="AF3266">
        <v>-2.98351160838545</v>
      </c>
      <c r="AG3266">
        <v>-1.1157754801369999</v>
      </c>
      <c r="AH3266">
        <v>10.3085625373671</v>
      </c>
      <c r="AI3266">
        <v>95.935759418055696</v>
      </c>
      <c r="AJ3266">
        <v>106.14153882638</v>
      </c>
      <c r="AK3266">
        <v>10.789474409175501</v>
      </c>
      <c r="AL3266">
        <v>83.275333535472797</v>
      </c>
      <c r="AM3266">
        <v>100.187217777317</v>
      </c>
      <c r="AN3266">
        <v>1.0000000240443201</v>
      </c>
    </row>
    <row r="3267" spans="1:40" x14ac:dyDescent="0.25">
      <c r="A3267" t="str">
        <f>"20190312164050667"</f>
        <v>20190312164050667</v>
      </c>
      <c r="B3267" t="str">
        <f>"1552380050659310"</f>
        <v>1552380050659310</v>
      </c>
      <c r="C3267" t="s">
        <v>40</v>
      </c>
      <c r="D3267">
        <v>5.396998</v>
      </c>
      <c r="E3267">
        <v>0.44330029999999998</v>
      </c>
      <c r="F3267" t="s">
        <v>48</v>
      </c>
      <c r="G3267">
        <v>-465.55059999999997</v>
      </c>
      <c r="H3267" s="1">
        <v>1.4219220000000001E-6</v>
      </c>
      <c r="I3267">
        <v>214.50319999999999</v>
      </c>
      <c r="J3267">
        <v>-478.0951</v>
      </c>
      <c r="K3267">
        <v>1.1158170000000001</v>
      </c>
      <c r="L3267">
        <v>215.4162</v>
      </c>
      <c r="M3267">
        <v>0.9158674</v>
      </c>
      <c r="N3267">
        <v>0</v>
      </c>
      <c r="O3267">
        <v>-0.40124029999999999</v>
      </c>
      <c r="P3267">
        <v>0.96612430000000005</v>
      </c>
      <c r="Q3267">
        <v>0.1063981</v>
      </c>
      <c r="R3267">
        <v>-0.23512350000000001</v>
      </c>
      <c r="S3267">
        <v>3.0799560000000001</v>
      </c>
      <c r="T3267">
        <v>-0.26935409999999999</v>
      </c>
      <c r="U3267">
        <v>-0.2407379</v>
      </c>
      <c r="V3267">
        <v>-0.17392079999999999</v>
      </c>
      <c r="W3267">
        <v>0.1176623</v>
      </c>
      <c r="X3267">
        <v>0.97770509999999999</v>
      </c>
      <c r="Y3267">
        <v>-0.32601200000000002</v>
      </c>
      <c r="Z3267">
        <v>4.8276649999999997E-2</v>
      </c>
      <c r="AA3267">
        <v>0.94413210000000003</v>
      </c>
      <c r="AB3267">
        <v>23</v>
      </c>
      <c r="AC3267">
        <v>12.544499999999999</v>
      </c>
      <c r="AD3267">
        <v>-1.1158155780779999</v>
      </c>
      <c r="AE3267">
        <v>-0.91300000000001003</v>
      </c>
      <c r="AF3267">
        <v>-4.16479970826959</v>
      </c>
      <c r="AG3267">
        <v>-1.1158155780779999</v>
      </c>
      <c r="AH3267">
        <v>11.7639914346558</v>
      </c>
      <c r="AI3267">
        <v>95.109351044166701</v>
      </c>
      <c r="AJ3267">
        <v>109.495463771492</v>
      </c>
      <c r="AK3267">
        <v>12.5292495979982</v>
      </c>
      <c r="AL3267">
        <v>83.2427940279441</v>
      </c>
      <c r="AM3267">
        <v>100.08665122056399</v>
      </c>
      <c r="AN3267">
        <v>1.0000000620399601</v>
      </c>
    </row>
    <row r="3268" spans="1:40" x14ac:dyDescent="0.25">
      <c r="A3268" t="str">
        <f>"20190312164050690"</f>
        <v>20190312164050690</v>
      </c>
      <c r="B3268" t="str">
        <f>"1552380050678830"</f>
        <v>1552380050678830</v>
      </c>
      <c r="C3268" t="s">
        <v>40</v>
      </c>
      <c r="D3268">
        <v>5.4451109999999998</v>
      </c>
      <c r="E3268">
        <v>0.4431524</v>
      </c>
      <c r="F3268" t="s">
        <v>48</v>
      </c>
      <c r="G3268">
        <v>-464.90899999999999</v>
      </c>
      <c r="H3268" s="1">
        <v>1.080941E-6</v>
      </c>
      <c r="I3268">
        <v>214.49279999999999</v>
      </c>
      <c r="J3268">
        <v>-477.88909999999998</v>
      </c>
      <c r="K3268">
        <v>1.1158539999999999</v>
      </c>
      <c r="L3268">
        <v>215.3373</v>
      </c>
      <c r="M3268">
        <v>0.91948470000000004</v>
      </c>
      <c r="N3268">
        <v>0</v>
      </c>
      <c r="O3268">
        <v>-0.39288030000000002</v>
      </c>
      <c r="P3268">
        <v>0.96748849999999997</v>
      </c>
      <c r="Q3268">
        <v>0.1074978</v>
      </c>
      <c r="R3268">
        <v>-0.22893350000000001</v>
      </c>
      <c r="S3268">
        <v>3.0813899999999999</v>
      </c>
      <c r="T3268">
        <v>-0.26074950000000002</v>
      </c>
      <c r="U3268">
        <v>-0.2157898</v>
      </c>
      <c r="V3268">
        <v>-0.1712465</v>
      </c>
      <c r="W3268">
        <v>0.11879199999999999</v>
      </c>
      <c r="X3268">
        <v>0.97804040000000003</v>
      </c>
      <c r="Y3268">
        <v>-0.32523970000000002</v>
      </c>
      <c r="Z3268">
        <v>4.6060810000000001E-2</v>
      </c>
      <c r="AA3268">
        <v>0.94450909999999999</v>
      </c>
      <c r="AB3268">
        <v>23</v>
      </c>
      <c r="AC3268">
        <v>12.980099999999901</v>
      </c>
      <c r="AD3268">
        <v>-1.1158529190590001</v>
      </c>
      <c r="AE3268">
        <v>-0.84450000000001002</v>
      </c>
      <c r="AF3268">
        <v>-4.2919530855746704</v>
      </c>
      <c r="AG3268">
        <v>-1.1158529190590001</v>
      </c>
      <c r="AH3268">
        <v>12.1783529759076</v>
      </c>
      <c r="AI3268">
        <v>94.939022765175196</v>
      </c>
      <c r="AJ3268">
        <v>109.41371941051401</v>
      </c>
      <c r="AK3268">
        <v>12.960643125691799</v>
      </c>
      <c r="AL3268">
        <v>83.177609146541599</v>
      </c>
      <c r="AM3268">
        <v>99.931328758784801</v>
      </c>
      <c r="AN3268">
        <v>0.99999996352920395</v>
      </c>
    </row>
    <row r="3269" spans="1:40" x14ac:dyDescent="0.25">
      <c r="A3269" t="str">
        <f>"20190312164050712"</f>
        <v>20190312164050712</v>
      </c>
      <c r="B3269" t="str">
        <f>"1552380050709085"</f>
        <v>1552380050709085</v>
      </c>
      <c r="C3269" t="s">
        <v>40</v>
      </c>
      <c r="D3269">
        <v>5.4710029999999996</v>
      </c>
      <c r="E3269">
        <v>0.4438356</v>
      </c>
      <c r="F3269" t="s">
        <v>48</v>
      </c>
      <c r="G3269">
        <v>-464.59140000000002</v>
      </c>
      <c r="H3269" s="1">
        <v>9.1176280000000005E-7</v>
      </c>
      <c r="I3269">
        <v>214.4966</v>
      </c>
      <c r="J3269">
        <v>-477.68400000000003</v>
      </c>
      <c r="K3269">
        <v>1.1158889999999999</v>
      </c>
      <c r="L3269">
        <v>215.261</v>
      </c>
      <c r="M3269">
        <v>0.92303120000000005</v>
      </c>
      <c r="N3269">
        <v>0</v>
      </c>
      <c r="O3269">
        <v>-0.38447389999999998</v>
      </c>
      <c r="P3269">
        <v>0.96902849999999996</v>
      </c>
      <c r="Q3269">
        <v>0.1076522</v>
      </c>
      <c r="R3269">
        <v>-0.22224959999999999</v>
      </c>
      <c r="S3269">
        <v>3.0834350000000001</v>
      </c>
      <c r="T3269">
        <v>-0.25874069999999999</v>
      </c>
      <c r="U3269">
        <v>-0.19493099999999999</v>
      </c>
      <c r="V3269">
        <v>-0.16907759999999999</v>
      </c>
      <c r="W3269">
        <v>0.1189701</v>
      </c>
      <c r="X3269">
        <v>0.97839609999999999</v>
      </c>
      <c r="Y3269">
        <v>-0.3230944</v>
      </c>
      <c r="Z3269">
        <v>4.495474E-2</v>
      </c>
      <c r="AA3269">
        <v>0.94529839999999998</v>
      </c>
      <c r="AB3269">
        <v>22</v>
      </c>
      <c r="AC3269">
        <v>13.092599999999999</v>
      </c>
      <c r="AD3269">
        <v>-1.1158880882372</v>
      </c>
      <c r="AE3269">
        <v>-0.76439999999999397</v>
      </c>
      <c r="AF3269">
        <v>-4.2975041508730998</v>
      </c>
      <c r="AG3269">
        <v>-1.1158880882372</v>
      </c>
      <c r="AH3269">
        <v>12.2909850392445</v>
      </c>
      <c r="AI3269">
        <v>94.898366989593796</v>
      </c>
      <c r="AJ3269">
        <v>109.27201818154199</v>
      </c>
      <c r="AK3269">
        <v>13.068361082674899</v>
      </c>
      <c r="AL3269">
        <v>83.167332301848603</v>
      </c>
      <c r="AM3269">
        <v>99.804506365738604</v>
      </c>
      <c r="AN3269">
        <v>1.00000002400548</v>
      </c>
    </row>
    <row r="3270" spans="1:40" x14ac:dyDescent="0.25">
      <c r="A3270" t="str">
        <f>"20190312164050735"</f>
        <v>20190312164050735</v>
      </c>
      <c r="B3270" t="str">
        <f>"1552380050729583"</f>
        <v>1552380050729583</v>
      </c>
      <c r="C3270" t="s">
        <v>40</v>
      </c>
      <c r="D3270">
        <v>5.4757339999999903</v>
      </c>
      <c r="E3270">
        <v>0.44424019999999997</v>
      </c>
      <c r="F3270" t="s">
        <v>48</v>
      </c>
      <c r="G3270">
        <v>-464.70150000000001</v>
      </c>
      <c r="H3270" s="1">
        <v>9.6980060000000007E-7</v>
      </c>
      <c r="I3270">
        <v>214.50970000000001</v>
      </c>
      <c r="J3270">
        <v>-477.47050000000002</v>
      </c>
      <c r="K3270">
        <v>1.1159349999999999</v>
      </c>
      <c r="L3270">
        <v>215.18379999999999</v>
      </c>
      <c r="M3270">
        <v>0.92665960000000003</v>
      </c>
      <c r="N3270">
        <v>0</v>
      </c>
      <c r="O3270">
        <v>-0.37564409999999998</v>
      </c>
      <c r="P3270">
        <v>0.97054750000000001</v>
      </c>
      <c r="Q3270">
        <v>0.1080795</v>
      </c>
      <c r="R3270">
        <v>-0.2153051</v>
      </c>
      <c r="S3270">
        <v>3.0844420000000001</v>
      </c>
      <c r="T3270">
        <v>-0.26511960000000001</v>
      </c>
      <c r="U3270">
        <v>-0.1784821</v>
      </c>
      <c r="V3270">
        <v>-0.166739</v>
      </c>
      <c r="W3270">
        <v>0.11942410000000001</v>
      </c>
      <c r="X3270">
        <v>0.97874209999999995</v>
      </c>
      <c r="Y3270">
        <v>-0.31902940000000002</v>
      </c>
      <c r="Z3270">
        <v>4.5179339999999998E-2</v>
      </c>
      <c r="AA3270">
        <v>0.94666740000000005</v>
      </c>
      <c r="AB3270">
        <v>22</v>
      </c>
      <c r="AC3270">
        <v>12.769</v>
      </c>
      <c r="AD3270">
        <v>-1.1159340301993901</v>
      </c>
      <c r="AE3270">
        <v>-0.67409999999998105</v>
      </c>
      <c r="AF3270">
        <v>-4.14080359389067</v>
      </c>
      <c r="AG3270">
        <v>-1.1159340301993901</v>
      </c>
      <c r="AH3270">
        <v>11.995543683951899</v>
      </c>
      <c r="AI3270">
        <v>95.025502124537695</v>
      </c>
      <c r="AJ3270">
        <v>109.044426125087</v>
      </c>
      <c r="AK3270">
        <v>12.739098533119799</v>
      </c>
      <c r="AL3270">
        <v>83.1411334420646</v>
      </c>
      <c r="AM3270">
        <v>99.668119449960898</v>
      </c>
      <c r="AN3270">
        <v>1.0000000540470999</v>
      </c>
    </row>
    <row r="3271" spans="1:40" x14ac:dyDescent="0.25">
      <c r="A3271" t="str">
        <f>"20190312164050757"</f>
        <v>20190312164050757</v>
      </c>
      <c r="B3271" t="str">
        <f>"1552380050749102"</f>
        <v>1552380050749102</v>
      </c>
      <c r="C3271" t="s">
        <v>40</v>
      </c>
      <c r="D3271">
        <v>5.4815750000000003</v>
      </c>
      <c r="E3271">
        <v>0.45596219999999998</v>
      </c>
      <c r="F3271" t="s">
        <v>48</v>
      </c>
      <c r="G3271">
        <v>-464.84859999999998</v>
      </c>
      <c r="H3271" s="1">
        <v>1.047234E-6</v>
      </c>
      <c r="I3271">
        <v>214.52879999999999</v>
      </c>
      <c r="J3271">
        <v>-477.25850000000003</v>
      </c>
      <c r="K3271">
        <v>1.1159779999999999</v>
      </c>
      <c r="L3271">
        <v>215.1096</v>
      </c>
      <c r="M3271">
        <v>0.93019510000000005</v>
      </c>
      <c r="N3271">
        <v>0</v>
      </c>
      <c r="O3271">
        <v>-0.36680170000000001</v>
      </c>
      <c r="P3271">
        <v>0.97201740000000003</v>
      </c>
      <c r="Q3271">
        <v>0.1094289</v>
      </c>
      <c r="R3271">
        <v>-0.20786479999999999</v>
      </c>
      <c r="S3271">
        <v>3.0859070000000002</v>
      </c>
      <c r="T3271">
        <v>-0.27283299999999999</v>
      </c>
      <c r="U3271">
        <v>-0.16014100000000001</v>
      </c>
      <c r="V3271">
        <v>-0.16488549999999999</v>
      </c>
      <c r="W3271">
        <v>0.1207931</v>
      </c>
      <c r="X3271">
        <v>0.97888799999999998</v>
      </c>
      <c r="Y3271">
        <v>-0.31554209999999999</v>
      </c>
      <c r="Z3271">
        <v>4.5599210000000001E-2</v>
      </c>
      <c r="AA3271">
        <v>0.94781539999999997</v>
      </c>
      <c r="AB3271">
        <v>22</v>
      </c>
      <c r="AC3271">
        <v>12.4099</v>
      </c>
      <c r="AD3271">
        <v>-1.115976952766</v>
      </c>
      <c r="AE3271">
        <v>-0.58080000000000997</v>
      </c>
      <c r="AF3271">
        <v>-3.9799886503301498</v>
      </c>
      <c r="AG3271">
        <v>-1.115976952766</v>
      </c>
      <c r="AH3271">
        <v>11.663689576825499</v>
      </c>
      <c r="AI3271">
        <v>95.174184456666595</v>
      </c>
      <c r="AJ3271">
        <v>108.841127307831</v>
      </c>
      <c r="AK3271">
        <v>12.374464382768601</v>
      </c>
      <c r="AL3271">
        <v>83.062122882184099</v>
      </c>
      <c r="AM3271">
        <v>99.561243504521002</v>
      </c>
      <c r="AN3271">
        <v>0.99999995883092896</v>
      </c>
    </row>
    <row r="3272" spans="1:40" x14ac:dyDescent="0.25">
      <c r="A3272" t="str">
        <f>"20190312164050779"</f>
        <v>20190312164050779</v>
      </c>
      <c r="B3272" t="str">
        <f>"1552380050769598"</f>
        <v>1552380050769598</v>
      </c>
      <c r="C3272" t="s">
        <v>40</v>
      </c>
      <c r="D3272">
        <v>5.5220539999999998</v>
      </c>
      <c r="E3272">
        <v>0.4562851</v>
      </c>
      <c r="F3272" t="s">
        <v>48</v>
      </c>
      <c r="G3272">
        <v>-465.69889999999998</v>
      </c>
      <c r="H3272" s="1">
        <v>1.511688E-6</v>
      </c>
      <c r="I3272">
        <v>214.2544</v>
      </c>
      <c r="J3272">
        <v>-477.06139999999999</v>
      </c>
      <c r="K3272">
        <v>1.1160079999999999</v>
      </c>
      <c r="L3272">
        <v>215.0428</v>
      </c>
      <c r="M3272">
        <v>0.93341510000000005</v>
      </c>
      <c r="N3272">
        <v>0</v>
      </c>
      <c r="O3272">
        <v>-0.35852820000000002</v>
      </c>
      <c r="P3272">
        <v>0.97332759999999996</v>
      </c>
      <c r="Q3272">
        <v>0.1095344</v>
      </c>
      <c r="R3272">
        <v>-0.20158290000000001</v>
      </c>
      <c r="S3272">
        <v>3.0711059999999999</v>
      </c>
      <c r="T3272">
        <v>-0.29648770000000002</v>
      </c>
      <c r="U3272">
        <v>-0.2271881</v>
      </c>
      <c r="V3272">
        <v>-0.1625162</v>
      </c>
      <c r="W3272">
        <v>0.1209332</v>
      </c>
      <c r="X3272">
        <v>0.97926690000000005</v>
      </c>
      <c r="Y3272">
        <v>-0.28581410000000002</v>
      </c>
      <c r="Z3272">
        <v>4.752733E-2</v>
      </c>
      <c r="AA3272">
        <v>0.95710580000000001</v>
      </c>
      <c r="AB3272">
        <v>22</v>
      </c>
      <c r="AC3272">
        <v>11.362500000000001</v>
      </c>
      <c r="AD3272">
        <v>-1.11600648831199</v>
      </c>
      <c r="AE3272">
        <v>-0.78839999999999499</v>
      </c>
      <c r="AF3272">
        <v>-3.306451640288</v>
      </c>
      <c r="AG3272">
        <v>-1.11600648831199</v>
      </c>
      <c r="AH3272">
        <v>10.786094546293</v>
      </c>
      <c r="AI3272">
        <v>95.649518814384905</v>
      </c>
      <c r="AJ3272">
        <v>107.04279635312299</v>
      </c>
      <c r="AK3272">
        <v>11.336574813103301</v>
      </c>
      <c r="AL3272">
        <v>83.054036804715807</v>
      </c>
      <c r="AM3272">
        <v>99.422755874660496</v>
      </c>
      <c r="AN3272">
        <v>1.0000000077801401</v>
      </c>
    </row>
    <row r="3273" spans="1:40" x14ac:dyDescent="0.25">
      <c r="A3273" t="str">
        <f>"20190312164050801"</f>
        <v>20190312164050801</v>
      </c>
      <c r="B3273" t="str">
        <f>"1552380050798878"</f>
        <v>1552380050798878</v>
      </c>
      <c r="C3273" t="s">
        <v>40</v>
      </c>
      <c r="D3273">
        <v>5.5125780000000004</v>
      </c>
      <c r="E3273">
        <v>0.4561287</v>
      </c>
      <c r="F3273" t="s">
        <v>48</v>
      </c>
      <c r="G3273">
        <v>-465.09980000000002</v>
      </c>
      <c r="H3273" s="1">
        <v>1.194356E-6</v>
      </c>
      <c r="I3273">
        <v>214.22130000000001</v>
      </c>
      <c r="J3273">
        <v>-476.85320000000002</v>
      </c>
      <c r="K3273">
        <v>1.1160099999999999</v>
      </c>
      <c r="L3273">
        <v>214.97450000000001</v>
      </c>
      <c r="M3273">
        <v>0.93673810000000002</v>
      </c>
      <c r="N3273">
        <v>0</v>
      </c>
      <c r="O3273">
        <v>-0.34975390000000001</v>
      </c>
      <c r="P3273">
        <v>0.97501649999999995</v>
      </c>
      <c r="Q3273">
        <v>0.10874830000000001</v>
      </c>
      <c r="R3273">
        <v>-0.19369330000000001</v>
      </c>
      <c r="S3273">
        <v>3.0707399999999998</v>
      </c>
      <c r="T3273">
        <v>-0.28649819999999998</v>
      </c>
      <c r="U3273">
        <v>-0.21089169999999999</v>
      </c>
      <c r="V3273">
        <v>-0.161278799999999</v>
      </c>
      <c r="W3273">
        <v>0.1201692</v>
      </c>
      <c r="X3273">
        <v>0.97956549999999998</v>
      </c>
      <c r="Y3273">
        <v>-0.28211180000000002</v>
      </c>
      <c r="Z3273">
        <v>4.5014619999999998E-2</v>
      </c>
      <c r="AA3273">
        <v>0.95832490000000004</v>
      </c>
      <c r="AB3273">
        <v>22</v>
      </c>
      <c r="AC3273">
        <v>11.753399999999999</v>
      </c>
      <c r="AD3273">
        <v>-1.1160088056439901</v>
      </c>
      <c r="AE3273">
        <v>-0.75319999999999199</v>
      </c>
      <c r="AF3273">
        <v>-3.3752700330997198</v>
      </c>
      <c r="AG3273">
        <v>-1.1160088056439901</v>
      </c>
      <c r="AH3273">
        <v>11.1740536470693</v>
      </c>
      <c r="AI3273">
        <v>95.461360621524904</v>
      </c>
      <c r="AJ3273">
        <v>106.80763279787</v>
      </c>
      <c r="AK3273">
        <v>11.725928464654601</v>
      </c>
      <c r="AL3273">
        <v>83.098132507903202</v>
      </c>
      <c r="AM3273">
        <v>99.349482719704696</v>
      </c>
      <c r="AN3273">
        <v>1.0000000283741599</v>
      </c>
    </row>
    <row r="3274" spans="1:40" x14ac:dyDescent="0.25">
      <c r="A3274" t="str">
        <f>"20190312164050823"</f>
        <v>20190312164050823</v>
      </c>
      <c r="B3274" t="str">
        <f>"1552380050819373"</f>
        <v>1552380050819373</v>
      </c>
      <c r="C3274" t="s">
        <v>40</v>
      </c>
      <c r="D3274">
        <v>5.526402</v>
      </c>
      <c r="E3274">
        <v>0.45656029999999997</v>
      </c>
      <c r="F3274" t="s">
        <v>48</v>
      </c>
      <c r="G3274">
        <v>-464.97640000000001</v>
      </c>
      <c r="H3274" s="1">
        <v>1.1268439999999999E-6</v>
      </c>
      <c r="I3274">
        <v>214.26300000000001</v>
      </c>
      <c r="J3274">
        <v>-476.64780000000002</v>
      </c>
      <c r="K3274">
        <v>1.1160030000000001</v>
      </c>
      <c r="L3274">
        <v>214.9091</v>
      </c>
      <c r="M3274">
        <v>0.9399324</v>
      </c>
      <c r="N3274">
        <v>0</v>
      </c>
      <c r="O3274">
        <v>-0.3410764</v>
      </c>
      <c r="P3274">
        <v>0.97632859999999999</v>
      </c>
      <c r="Q3274">
        <v>0.108472</v>
      </c>
      <c r="R3274">
        <v>-0.18712599999999999</v>
      </c>
      <c r="S3274">
        <v>3.07254</v>
      </c>
      <c r="T3274">
        <v>-0.28871210000000003</v>
      </c>
      <c r="U3274">
        <v>-0.1840668</v>
      </c>
      <c r="V3274">
        <v>-0.1588146</v>
      </c>
      <c r="W3274">
        <v>0.1199373</v>
      </c>
      <c r="X3274">
        <v>0.97999639999999999</v>
      </c>
      <c r="Y3274">
        <v>-0.28161269999999999</v>
      </c>
      <c r="Z3274">
        <v>4.4567820000000001E-2</v>
      </c>
      <c r="AA3274">
        <v>0.95849260000000003</v>
      </c>
      <c r="AB3274">
        <v>22</v>
      </c>
      <c r="AC3274">
        <v>11.6714</v>
      </c>
      <c r="AD3274">
        <v>-1.116001873156</v>
      </c>
      <c r="AE3274">
        <v>-0.64609999999998902</v>
      </c>
      <c r="AF3274">
        <v>-3.3434010174762601</v>
      </c>
      <c r="AG3274">
        <v>-1.116001873156</v>
      </c>
      <c r="AH3274">
        <v>11.090690699420501</v>
      </c>
      <c r="AI3274">
        <v>95.503038004310895</v>
      </c>
      <c r="AJ3274">
        <v>106.77596479377</v>
      </c>
      <c r="AK3274">
        <v>11.6373197401619</v>
      </c>
      <c r="AL3274">
        <v>83.111515921374604</v>
      </c>
      <c r="AM3274">
        <v>99.205116936335799</v>
      </c>
      <c r="AN3274">
        <v>0.99999998855870398</v>
      </c>
    </row>
    <row r="3275" spans="1:40" x14ac:dyDescent="0.25">
      <c r="A3275" t="str">
        <f>"20190312164050845"</f>
        <v>20190312164050845</v>
      </c>
      <c r="B3275" t="str">
        <f>"1552380050838894"</f>
        <v>1552380050838894</v>
      </c>
      <c r="C3275" t="s">
        <v>40</v>
      </c>
      <c r="D3275">
        <v>5.6022369999999997</v>
      </c>
      <c r="E3275">
        <v>0.45748820000000001</v>
      </c>
      <c r="F3275" t="s">
        <v>48</v>
      </c>
      <c r="G3275">
        <v>-464.65660000000003</v>
      </c>
      <c r="H3275" s="1">
        <v>9.5690929999999996E-7</v>
      </c>
      <c r="I3275">
        <v>214.25729999999999</v>
      </c>
      <c r="J3275">
        <v>-476.43389999999999</v>
      </c>
      <c r="K3275">
        <v>1.11599</v>
      </c>
      <c r="L3275">
        <v>214.8433</v>
      </c>
      <c r="M3275">
        <v>0.94316639999999996</v>
      </c>
      <c r="N3275">
        <v>0</v>
      </c>
      <c r="O3275">
        <v>-0.33202880000000001</v>
      </c>
      <c r="P3275">
        <v>0.97761370000000003</v>
      </c>
      <c r="Q3275">
        <v>0.108954</v>
      </c>
      <c r="R3275">
        <v>-0.1800011</v>
      </c>
      <c r="S3275">
        <v>3.07254</v>
      </c>
      <c r="T3275">
        <v>-0.28595569999999998</v>
      </c>
      <c r="U3275">
        <v>-0.1670227</v>
      </c>
      <c r="V3275">
        <v>-0.1565242</v>
      </c>
      <c r="W3275">
        <v>0.12046370000000001</v>
      </c>
      <c r="X3275">
        <v>0.98030030000000001</v>
      </c>
      <c r="Y3275">
        <v>-0.27779769999999998</v>
      </c>
      <c r="Z3275">
        <v>4.3185050000000003E-2</v>
      </c>
      <c r="AA3275">
        <v>0.95966850000000004</v>
      </c>
      <c r="AB3275">
        <v>22</v>
      </c>
      <c r="AC3275">
        <v>11.777299999999901</v>
      </c>
      <c r="AD3275">
        <v>-1.1159890430907</v>
      </c>
      <c r="AE3275">
        <v>-0.58600000000001196</v>
      </c>
      <c r="AF3275">
        <v>-3.3282227130683202</v>
      </c>
      <c r="AG3275">
        <v>-1.1159890430907</v>
      </c>
      <c r="AH3275">
        <v>11.2032732677753</v>
      </c>
      <c r="AI3275">
        <v>95.454534558712197</v>
      </c>
      <c r="AJ3275">
        <v>106.545416728096</v>
      </c>
      <c r="AK3275">
        <v>11.7403505009233</v>
      </c>
      <c r="AL3275">
        <v>83.081135252412906</v>
      </c>
      <c r="AM3275">
        <v>99.071820432508403</v>
      </c>
      <c r="AN3275">
        <v>1.00000000319171</v>
      </c>
    </row>
    <row r="3276" spans="1:40" x14ac:dyDescent="0.25">
      <c r="A3276" t="str">
        <f>"20190312164050868"</f>
        <v>20190312164050868</v>
      </c>
      <c r="B3276" t="str">
        <f>"1552380050859390"</f>
        <v>1552380050859390</v>
      </c>
      <c r="C3276" t="s">
        <v>40</v>
      </c>
      <c r="D3276">
        <v>6.2424390000000001</v>
      </c>
      <c r="E3276">
        <v>0.45789439999999998</v>
      </c>
      <c r="F3276" t="s">
        <v>48</v>
      </c>
      <c r="G3276">
        <v>-464.45569999999998</v>
      </c>
      <c r="H3276" s="1">
        <v>8.5047740000000002E-7</v>
      </c>
      <c r="I3276">
        <v>214.2465</v>
      </c>
      <c r="J3276">
        <v>-476.2278</v>
      </c>
      <c r="K3276">
        <v>1.1159619999999999</v>
      </c>
      <c r="L3276">
        <v>214.78200000000001</v>
      </c>
      <c r="M3276">
        <v>0.94618239999999998</v>
      </c>
      <c r="N3276">
        <v>0</v>
      </c>
      <c r="O3276">
        <v>-0.32333430000000002</v>
      </c>
      <c r="P3276">
        <v>0.97870860000000004</v>
      </c>
      <c r="Q3276">
        <v>0.10950940000000001</v>
      </c>
      <c r="R3276">
        <v>-0.17360139999999999</v>
      </c>
      <c r="S3276">
        <v>3.0724179999999999</v>
      </c>
      <c r="T3276">
        <v>-0.28625299999999998</v>
      </c>
      <c r="U3276">
        <v>-0.1530762</v>
      </c>
      <c r="V3276">
        <v>-0.15389029999999901</v>
      </c>
      <c r="W3276">
        <v>0.12107</v>
      </c>
      <c r="X3276">
        <v>0.98064260000000003</v>
      </c>
      <c r="Y3276">
        <v>-0.2733486</v>
      </c>
      <c r="Z3276">
        <v>4.226676E-2</v>
      </c>
      <c r="AA3276">
        <v>0.96098600000000001</v>
      </c>
      <c r="AB3276">
        <v>22</v>
      </c>
      <c r="AC3276">
        <v>11.7721</v>
      </c>
      <c r="AD3276">
        <v>-1.1159611495226001</v>
      </c>
      <c r="AE3276">
        <v>-0.53550000000001297</v>
      </c>
      <c r="AF3276">
        <v>-3.2706319930338701</v>
      </c>
      <c r="AG3276">
        <v>-1.1159611495226001</v>
      </c>
      <c r="AH3276">
        <v>11.212244888688501</v>
      </c>
      <c r="AI3276">
        <v>95.457953522422102</v>
      </c>
      <c r="AJ3276">
        <v>106.262059755469</v>
      </c>
      <c r="AK3276">
        <v>11.732725103957</v>
      </c>
      <c r="AL3276">
        <v>83.046140943308998</v>
      </c>
      <c r="AM3276">
        <v>98.918576993351493</v>
      </c>
      <c r="AN3276">
        <v>1.0000000391344199</v>
      </c>
    </row>
    <row r="3277" spans="1:40" x14ac:dyDescent="0.25">
      <c r="A3277" t="str">
        <f>"20190312164050890"</f>
        <v>20190312164050890</v>
      </c>
      <c r="B3277" t="str">
        <f>"1552380050878910"</f>
        <v>1552380050878910</v>
      </c>
      <c r="C3277" t="s">
        <v>40</v>
      </c>
      <c r="D3277">
        <v>5.5832540000000002</v>
      </c>
      <c r="E3277">
        <v>0.4573258</v>
      </c>
      <c r="F3277" t="s">
        <v>48</v>
      </c>
      <c r="G3277">
        <v>-464.3415</v>
      </c>
      <c r="H3277" s="1">
        <v>7.8944899999999999E-7</v>
      </c>
      <c r="I3277">
        <v>214.2525</v>
      </c>
      <c r="J3277">
        <v>-476.01589999999999</v>
      </c>
      <c r="K3277">
        <v>1.11592</v>
      </c>
      <c r="L3277">
        <v>214.721</v>
      </c>
      <c r="M3277">
        <v>0.94917799999999997</v>
      </c>
      <c r="N3277">
        <v>0</v>
      </c>
      <c r="O3277">
        <v>-0.31443159999999998</v>
      </c>
      <c r="P3277">
        <v>0.97974910000000004</v>
      </c>
      <c r="Q3277">
        <v>0.1104084</v>
      </c>
      <c r="R3277">
        <v>-0.16703889999999999</v>
      </c>
      <c r="S3277">
        <v>3.0732729999999999</v>
      </c>
      <c r="T3277">
        <v>-0.28853810000000002</v>
      </c>
      <c r="U3277">
        <v>-0.13691710000000001</v>
      </c>
      <c r="V3277">
        <v>-0.15121270000000001</v>
      </c>
      <c r="W3277">
        <v>0.1220228</v>
      </c>
      <c r="X3277">
        <v>0.9809409</v>
      </c>
      <c r="Y3277">
        <v>-0.26938400000000001</v>
      </c>
      <c r="Z3277">
        <v>4.1620999999999998E-2</v>
      </c>
      <c r="AA3277">
        <v>0.96213300000000002</v>
      </c>
      <c r="AB3277">
        <v>22</v>
      </c>
      <c r="AC3277">
        <v>11.674399999999901</v>
      </c>
      <c r="AD3277">
        <v>-1.1159192105509901</v>
      </c>
      <c r="AE3277">
        <v>-0.46849999999997699</v>
      </c>
      <c r="AF3277">
        <v>-3.1972573026098701</v>
      </c>
      <c r="AG3277">
        <v>-1.1159192105509901</v>
      </c>
      <c r="AH3277">
        <v>11.1279724550299</v>
      </c>
      <c r="AI3277">
        <v>95.505233518615498</v>
      </c>
      <c r="AJ3277">
        <v>106.030266006913</v>
      </c>
      <c r="AK3277">
        <v>11.6318313649861</v>
      </c>
      <c r="AL3277">
        <v>82.991141096600899</v>
      </c>
      <c r="AM3277">
        <v>98.763205735418296</v>
      </c>
      <c r="AN3277">
        <v>0.99999994682696802</v>
      </c>
    </row>
    <row r="3278" spans="1:40" x14ac:dyDescent="0.25">
      <c r="A3278" t="str">
        <f>"20190312164050912"</f>
        <v>20190312164050912</v>
      </c>
      <c r="B3278" t="str">
        <f>"1552380050909166"</f>
        <v>1552380050909166</v>
      </c>
      <c r="C3278" t="s">
        <v>40</v>
      </c>
      <c r="D3278">
        <v>5.5590799999999998</v>
      </c>
      <c r="E3278">
        <v>0.45616089999999998</v>
      </c>
      <c r="F3278" t="s">
        <v>48</v>
      </c>
      <c r="G3278">
        <v>-463.83909999999997</v>
      </c>
      <c r="H3278" s="1">
        <v>5.2089400000000001E-7</v>
      </c>
      <c r="I3278">
        <v>214.28030000000001</v>
      </c>
      <c r="J3278">
        <v>-475.81240000000003</v>
      </c>
      <c r="K3278">
        <v>1.115869</v>
      </c>
      <c r="L3278">
        <v>214.6644</v>
      </c>
      <c r="M3278">
        <v>0.95194630000000002</v>
      </c>
      <c r="N3278">
        <v>0</v>
      </c>
      <c r="O3278">
        <v>-0.3059482</v>
      </c>
      <c r="P3278">
        <v>0.98071719999999896</v>
      </c>
      <c r="Q3278">
        <v>0.11053689999999999</v>
      </c>
      <c r="R3278">
        <v>-0.16116810000000001</v>
      </c>
      <c r="S3278">
        <v>3.0748600000000001</v>
      </c>
      <c r="T3278">
        <v>-0.28179120000000002</v>
      </c>
      <c r="U3278">
        <v>-0.1112823</v>
      </c>
      <c r="V3278">
        <v>-0.14830850000000001</v>
      </c>
      <c r="W3278">
        <v>0.1222126</v>
      </c>
      <c r="X3278">
        <v>0.98136060000000003</v>
      </c>
      <c r="Y3278">
        <v>-0.26897700000000002</v>
      </c>
      <c r="Z3278">
        <v>3.9885589999999999E-2</v>
      </c>
      <c r="AA3278">
        <v>0.96232039999999996</v>
      </c>
      <c r="AB3278">
        <v>22</v>
      </c>
      <c r="AC3278">
        <v>11.9733</v>
      </c>
      <c r="AD3278">
        <v>-1.1158684791060001</v>
      </c>
      <c r="AE3278">
        <v>-0.38409999999998901</v>
      </c>
      <c r="AF3278">
        <v>-3.2695183877390499</v>
      </c>
      <c r="AG3278">
        <v>-1.1158684791060001</v>
      </c>
      <c r="AH3278">
        <v>11.417504579718701</v>
      </c>
      <c r="AI3278">
        <v>95.367564684094404</v>
      </c>
      <c r="AJ3278">
        <v>105.97960280134301</v>
      </c>
      <c r="AK3278">
        <v>11.928718446602799</v>
      </c>
      <c r="AL3278">
        <v>82.980184579670293</v>
      </c>
      <c r="AM3278">
        <v>98.593816200658196</v>
      </c>
      <c r="AN3278">
        <v>0.99999997900168403</v>
      </c>
    </row>
    <row r="3279" spans="1:40" x14ac:dyDescent="0.25">
      <c r="A3279" t="str">
        <f>"20190312164050936"</f>
        <v>20190312164050936</v>
      </c>
      <c r="B3279" t="str">
        <f>"1552380050929662"</f>
        <v>1552380050929662</v>
      </c>
      <c r="C3279" t="s">
        <v>40</v>
      </c>
      <c r="D3279">
        <v>5.6056970000000002</v>
      </c>
      <c r="E3279">
        <v>0.4557985</v>
      </c>
      <c r="F3279" t="s">
        <v>48</v>
      </c>
      <c r="G3279">
        <v>-463.35219999999998</v>
      </c>
      <c r="H3279" s="1">
        <v>2.5997270000000002E-7</v>
      </c>
      <c r="I3279">
        <v>214.32159999999999</v>
      </c>
      <c r="J3279">
        <v>-475.58589999999998</v>
      </c>
      <c r="K3279">
        <v>1.1157820000000001</v>
      </c>
      <c r="L3279">
        <v>214.6035</v>
      </c>
      <c r="M3279">
        <v>0.95489659999999998</v>
      </c>
      <c r="N3279">
        <v>0</v>
      </c>
      <c r="O3279">
        <v>-0.29661290000000001</v>
      </c>
      <c r="P3279">
        <v>0.98175290000000004</v>
      </c>
      <c r="Q3279">
        <v>0.110703</v>
      </c>
      <c r="R3279">
        <v>-0.15461629999999901</v>
      </c>
      <c r="S3279">
        <v>3.0760800000000001</v>
      </c>
      <c r="T3279">
        <v>-0.2754779</v>
      </c>
      <c r="U3279">
        <v>-8.4640499999999994E-2</v>
      </c>
      <c r="V3279">
        <v>-0.1452174</v>
      </c>
      <c r="W3279">
        <v>0.12244679999999999</v>
      </c>
      <c r="X3279">
        <v>0.98179360000000004</v>
      </c>
      <c r="Y3279">
        <v>-0.26803589999999999</v>
      </c>
      <c r="Z3279">
        <v>3.8150719999999999E-2</v>
      </c>
      <c r="AA3279">
        <v>0.96265330000000005</v>
      </c>
      <c r="AB3279">
        <v>22</v>
      </c>
      <c r="AC3279">
        <v>12.233700000000001</v>
      </c>
      <c r="AD3279">
        <v>-1.1157817400273</v>
      </c>
      <c r="AE3279">
        <v>-0.28190000000000698</v>
      </c>
      <c r="AF3279">
        <v>-3.3321092733508499</v>
      </c>
      <c r="AG3279">
        <v>-1.1157817400273</v>
      </c>
      <c r="AH3279">
        <v>11.6696488722614</v>
      </c>
      <c r="AI3279">
        <v>95.252975609287802</v>
      </c>
      <c r="AJ3279">
        <v>105.935971415537</v>
      </c>
      <c r="AK3279">
        <v>12.1872320853753</v>
      </c>
      <c r="AL3279">
        <v>82.966664460214702</v>
      </c>
      <c r="AM3279">
        <v>98.413634346621294</v>
      </c>
      <c r="AN3279">
        <v>0.99999999254697902</v>
      </c>
    </row>
    <row r="3280" spans="1:40" x14ac:dyDescent="0.25">
      <c r="A3280" t="str">
        <f>"20190312164050960"</f>
        <v>20190312164050960</v>
      </c>
      <c r="B3280" t="str">
        <f>"1552380050949182"</f>
        <v>1552380050949182</v>
      </c>
      <c r="C3280" t="s">
        <v>40</v>
      </c>
      <c r="D3280">
        <v>5.7389999999999999</v>
      </c>
      <c r="E3280">
        <v>0.45564640000000001</v>
      </c>
      <c r="F3280" t="s">
        <v>48</v>
      </c>
      <c r="G3280">
        <v>-463.01280000000003</v>
      </c>
      <c r="H3280" s="1">
        <v>7.8264699999999897E-8</v>
      </c>
      <c r="I3280">
        <v>214.34610000000001</v>
      </c>
      <c r="J3280">
        <v>-475.36160000000001</v>
      </c>
      <c r="K3280">
        <v>1.1156710000000001</v>
      </c>
      <c r="L3280">
        <v>214.54560000000001</v>
      </c>
      <c r="M3280">
        <v>0.95767389999999997</v>
      </c>
      <c r="N3280">
        <v>0</v>
      </c>
      <c r="O3280">
        <v>-0.28751959999999999</v>
      </c>
      <c r="P3280">
        <v>0.98271390000000003</v>
      </c>
      <c r="Q3280">
        <v>0.11061609999999999</v>
      </c>
      <c r="R3280">
        <v>-0.14845050000000001</v>
      </c>
      <c r="S3280">
        <v>3.0766300000000002</v>
      </c>
      <c r="T3280">
        <v>-0.27303090000000002</v>
      </c>
      <c r="U3280">
        <v>-6.3003539999999997E-2</v>
      </c>
      <c r="V3280">
        <v>-0.14200769999999999</v>
      </c>
      <c r="W3280">
        <v>0.1224336</v>
      </c>
      <c r="X3280">
        <v>0.98226460000000004</v>
      </c>
      <c r="Y3280">
        <v>-0.26573210000000003</v>
      </c>
      <c r="Z3280">
        <v>3.6938039999999998E-2</v>
      </c>
      <c r="AA3280">
        <v>0.96333899999999995</v>
      </c>
      <c r="AB3280">
        <v>22</v>
      </c>
      <c r="AC3280">
        <v>12.348799999999899</v>
      </c>
      <c r="AD3280">
        <v>-1.11567092173529</v>
      </c>
      <c r="AE3280">
        <v>-0.19950000000000001</v>
      </c>
      <c r="AF3280">
        <v>-3.3325954503302802</v>
      </c>
      <c r="AG3280">
        <v>-1.11567092173529</v>
      </c>
      <c r="AH3280">
        <v>11.788433737116399</v>
      </c>
      <c r="AI3280">
        <v>95.203679515142497</v>
      </c>
      <c r="AJ3280">
        <v>105.785621184611</v>
      </c>
      <c r="AK3280">
        <v>12.301141573673201</v>
      </c>
      <c r="AL3280">
        <v>82.967426259925901</v>
      </c>
      <c r="AM3280">
        <v>98.226353420382196</v>
      </c>
      <c r="AN3280">
        <v>0.99999995884070403</v>
      </c>
    </row>
    <row r="3281" spans="1:40" x14ac:dyDescent="0.25">
      <c r="A3281" t="str">
        <f>"20190312164050981"</f>
        <v>20190312164050981</v>
      </c>
      <c r="B3281" t="str">
        <f>"1552380050969678"</f>
        <v>1552380050969678</v>
      </c>
      <c r="C3281" t="s">
        <v>40</v>
      </c>
      <c r="D3281">
        <v>5.8309439999999997</v>
      </c>
      <c r="E3281">
        <v>0.45558209999999999</v>
      </c>
      <c r="F3281" t="s">
        <v>48</v>
      </c>
      <c r="G3281">
        <v>-462.83460000000002</v>
      </c>
      <c r="H3281" s="1">
        <v>-1.7580529999999999E-8</v>
      </c>
      <c r="I3281">
        <v>214.36959999999999</v>
      </c>
      <c r="J3281">
        <v>-475.16090000000003</v>
      </c>
      <c r="K3281">
        <v>1.1155440000000001</v>
      </c>
      <c r="L3281">
        <v>214.49539999999999</v>
      </c>
      <c r="M3281">
        <v>0.96003539999999998</v>
      </c>
      <c r="N3281">
        <v>0</v>
      </c>
      <c r="O3281">
        <v>-0.27953420000000001</v>
      </c>
      <c r="P3281">
        <v>0.98366050000000005</v>
      </c>
      <c r="Q3281">
        <v>0.10918460000000001</v>
      </c>
      <c r="R3281">
        <v>-0.14314649999999901</v>
      </c>
      <c r="S3281">
        <v>3.0770569999999999</v>
      </c>
      <c r="T3281">
        <v>-0.27404620000000002</v>
      </c>
      <c r="U3281">
        <v>-4.322815E-2</v>
      </c>
      <c r="V3281">
        <v>-0.1391125</v>
      </c>
      <c r="W3281">
        <v>0.1210719</v>
      </c>
      <c r="X3281">
        <v>0.98284760000000004</v>
      </c>
      <c r="Y3281">
        <v>-0.2639205</v>
      </c>
      <c r="Z3281">
        <v>3.6311019999999999E-2</v>
      </c>
      <c r="AA3281">
        <v>0.96386079999999996</v>
      </c>
      <c r="AB3281">
        <v>22</v>
      </c>
      <c r="AC3281">
        <v>12.3263</v>
      </c>
      <c r="AD3281">
        <v>-1.11554401758053</v>
      </c>
      <c r="AE3281">
        <v>-0.125799999999998</v>
      </c>
      <c r="AF3281">
        <v>-3.29815967765435</v>
      </c>
      <c r="AG3281">
        <v>-1.11554401758053</v>
      </c>
      <c r="AH3281">
        <v>11.773572399694601</v>
      </c>
      <c r="AI3281">
        <v>95.213092942116702</v>
      </c>
      <c r="AJ3281">
        <v>105.64928331356199</v>
      </c>
      <c r="AK3281">
        <v>12.2775935250078</v>
      </c>
      <c r="AL3281">
        <v>83.046031341621003</v>
      </c>
      <c r="AM3281">
        <v>98.056145690265396</v>
      </c>
      <c r="AN3281">
        <v>1.0000000487258001</v>
      </c>
    </row>
    <row r="3282" spans="1:40" x14ac:dyDescent="0.25">
      <c r="A3282" t="str">
        <f>"20190312164051002"</f>
        <v>20190312164051002</v>
      </c>
      <c r="B3282" t="str">
        <f>"1552380050998958"</f>
        <v>1552380050998958</v>
      </c>
      <c r="C3282" t="s">
        <v>40</v>
      </c>
      <c r="D3282">
        <v>5.66073</v>
      </c>
      <c r="E3282">
        <v>0.45604070000000002</v>
      </c>
      <c r="F3282" t="s">
        <v>48</v>
      </c>
      <c r="G3282">
        <v>-462.87549999999999</v>
      </c>
      <c r="H3282" s="1">
        <v>3.315884E-9</v>
      </c>
      <c r="I3282">
        <v>214.39</v>
      </c>
      <c r="J3282">
        <v>-474.95530000000002</v>
      </c>
      <c r="K3282">
        <v>1.1154219999999999</v>
      </c>
      <c r="L3282">
        <v>214.44569999999999</v>
      </c>
      <c r="M3282">
        <v>0.96234140000000001</v>
      </c>
      <c r="N3282">
        <v>0</v>
      </c>
      <c r="O3282">
        <v>-0.27149000000000001</v>
      </c>
      <c r="P3282">
        <v>0.98454419999999998</v>
      </c>
      <c r="Q3282">
        <v>0.1079348</v>
      </c>
      <c r="R3282">
        <v>-0.1379233</v>
      </c>
      <c r="S3282">
        <v>3.077026</v>
      </c>
      <c r="T3282">
        <v>-0.27940090000000001</v>
      </c>
      <c r="U3282">
        <v>-2.6397710000000001E-2</v>
      </c>
      <c r="V3282">
        <v>-0.1360847</v>
      </c>
      <c r="W3282">
        <v>0.1198914</v>
      </c>
      <c r="X3282">
        <v>0.98341599999999996</v>
      </c>
      <c r="Y3282">
        <v>-0.26108150000000002</v>
      </c>
      <c r="Z3282">
        <v>3.6188959999999999E-2</v>
      </c>
      <c r="AA3282">
        <v>0.9646382</v>
      </c>
      <c r="AB3282">
        <v>22</v>
      </c>
      <c r="AC3282">
        <v>12.079800000000001</v>
      </c>
      <c r="AD3282">
        <v>-1.1154219966841099</v>
      </c>
      <c r="AE3282">
        <v>-5.5700000000001602E-2</v>
      </c>
      <c r="AF3282">
        <v>-3.1989778009801899</v>
      </c>
      <c r="AG3282">
        <v>-1.1154219966841099</v>
      </c>
      <c r="AH3282">
        <v>11.542718256243299</v>
      </c>
      <c r="AI3282">
        <v>95.320272668824501</v>
      </c>
      <c r="AJ3282">
        <v>105.490314118329</v>
      </c>
      <c r="AK3282">
        <v>12.0296288365378</v>
      </c>
      <c r="AL3282">
        <v>83.114165068907297</v>
      </c>
      <c r="AM3282">
        <v>97.878532122980602</v>
      </c>
      <c r="AN3282">
        <v>1.00000001121202</v>
      </c>
    </row>
    <row r="3283" spans="1:40" x14ac:dyDescent="0.25">
      <c r="A3283" t="str">
        <f>"20190312164051024"</f>
        <v>20190312164051024</v>
      </c>
      <c r="B3283" t="str">
        <f>"1552380051019455"</f>
        <v>1552380051019455</v>
      </c>
      <c r="C3283" t="s">
        <v>40</v>
      </c>
      <c r="D3283">
        <v>5.6238330000000003</v>
      </c>
      <c r="E3283">
        <v>0.45611669999999999</v>
      </c>
      <c r="F3283" t="s">
        <v>48</v>
      </c>
      <c r="G3283">
        <v>-462.7808</v>
      </c>
      <c r="H3283" s="1">
        <v>-4.725051E-8</v>
      </c>
      <c r="I3283">
        <v>214.3938</v>
      </c>
      <c r="J3283">
        <v>-474.75420000000003</v>
      </c>
      <c r="K3283">
        <v>1.1153</v>
      </c>
      <c r="L3283">
        <v>214.39869999999999</v>
      </c>
      <c r="M3283">
        <v>0.96448560000000005</v>
      </c>
      <c r="N3283">
        <v>0</v>
      </c>
      <c r="O3283">
        <v>-0.26377279999999997</v>
      </c>
      <c r="P3283">
        <v>0.9853073</v>
      </c>
      <c r="Q3283">
        <v>0.1073201</v>
      </c>
      <c r="R3283">
        <v>-0.1328618</v>
      </c>
      <c r="S3283">
        <v>3.0761409999999998</v>
      </c>
      <c r="T3283">
        <v>-0.28183520000000001</v>
      </c>
      <c r="U3283">
        <v>-1.312256E-2</v>
      </c>
      <c r="V3283">
        <v>-0.13323160000000001</v>
      </c>
      <c r="W3283">
        <v>0.1193393</v>
      </c>
      <c r="X3283">
        <v>0.98387369999999996</v>
      </c>
      <c r="Y3283">
        <v>-0.25751810000000003</v>
      </c>
      <c r="Z3283">
        <v>3.5669390000000002E-2</v>
      </c>
      <c r="AA3283">
        <v>0.96561490000000005</v>
      </c>
      <c r="AB3283">
        <v>22</v>
      </c>
      <c r="AC3283">
        <v>11.9734</v>
      </c>
      <c r="AD3283">
        <v>-1.1153000472505099</v>
      </c>
      <c r="AE3283">
        <v>-4.8999999999921303E-3</v>
      </c>
      <c r="AF3283">
        <v>-3.1267040731222502</v>
      </c>
      <c r="AG3283">
        <v>-1.1153000472505099</v>
      </c>
      <c r="AH3283">
        <v>11.4512127083173</v>
      </c>
      <c r="AI3283">
        <v>95.367544689196606</v>
      </c>
      <c r="AJ3283">
        <v>105.272097310874</v>
      </c>
      <c r="AK3283">
        <v>11.922686150671</v>
      </c>
      <c r="AL3283">
        <v>83.146026698598703</v>
      </c>
      <c r="AM3283">
        <v>97.711818249253298</v>
      </c>
      <c r="AN3283">
        <v>0.99999999265736905</v>
      </c>
    </row>
    <row r="3284" spans="1:40" x14ac:dyDescent="0.25">
      <c r="A3284" t="str">
        <f>"20190312164051048"</f>
        <v>20190312164051048</v>
      </c>
      <c r="B3284" t="str">
        <f>"1552380051038975"</f>
        <v>1552380051038975</v>
      </c>
      <c r="C3284" t="s">
        <v>40</v>
      </c>
      <c r="D3284">
        <v>5.6042009999999998</v>
      </c>
      <c r="E3284">
        <v>0.4565707</v>
      </c>
      <c r="F3284" t="s">
        <v>48</v>
      </c>
      <c r="G3284">
        <v>-462.60739999999998</v>
      </c>
      <c r="H3284" s="1">
        <v>-1.4025719999999999E-7</v>
      </c>
      <c r="I3284">
        <v>214.41</v>
      </c>
      <c r="J3284">
        <v>-474.5163</v>
      </c>
      <c r="K3284">
        <v>1.115157</v>
      </c>
      <c r="L3284">
        <v>214.345</v>
      </c>
      <c r="M3284">
        <v>0.96687809999999996</v>
      </c>
      <c r="N3284">
        <v>0</v>
      </c>
      <c r="O3284">
        <v>-0.25486419999999999</v>
      </c>
      <c r="P3284">
        <v>0.98621499999999995</v>
      </c>
      <c r="Q3284">
        <v>0.1066994</v>
      </c>
      <c r="R3284">
        <v>-0.12647349999999999</v>
      </c>
      <c r="S3284">
        <v>3.0758969999999999</v>
      </c>
      <c r="T3284">
        <v>-0.28242309999999998</v>
      </c>
      <c r="U3284">
        <v>2.8686520000000002E-3</v>
      </c>
      <c r="V3284">
        <v>-0.13049450000000001</v>
      </c>
      <c r="W3284">
        <v>0.1187807</v>
      </c>
      <c r="X3284">
        <v>0.98430810000000002</v>
      </c>
      <c r="Y3284">
        <v>-0.25366889999999997</v>
      </c>
      <c r="Z3284">
        <v>3.4779730000000002E-2</v>
      </c>
      <c r="AA3284">
        <v>0.96666560000000001</v>
      </c>
      <c r="AB3284">
        <v>22</v>
      </c>
      <c r="AC3284">
        <v>11.908899999999999</v>
      </c>
      <c r="AD3284">
        <v>-1.1151571402572</v>
      </c>
      <c r="AE3284">
        <v>6.4999999999997699E-2</v>
      </c>
      <c r="AF3284">
        <v>-3.0713645401932999</v>
      </c>
      <c r="AG3284">
        <v>-1.1151571402572</v>
      </c>
      <c r="AH3284">
        <v>11.3990362333632</v>
      </c>
      <c r="AI3284">
        <v>95.396165760661702</v>
      </c>
      <c r="AJ3284">
        <v>105.079703894582</v>
      </c>
      <c r="AK3284">
        <v>11.858114632425799</v>
      </c>
      <c r="AL3284">
        <v>83.178261815200798</v>
      </c>
      <c r="AM3284">
        <v>97.5519404030629</v>
      </c>
      <c r="AN3284">
        <v>1.0000000524741699</v>
      </c>
    </row>
    <row r="3285" spans="1:40" x14ac:dyDescent="0.25">
      <c r="A3285" t="str">
        <f>"20190312164051070"</f>
        <v>20190312164051070</v>
      </c>
      <c r="B3285" t="str">
        <f>"1552380051059470"</f>
        <v>1552380051059470</v>
      </c>
      <c r="C3285" t="s">
        <v>40</v>
      </c>
      <c r="D3285">
        <v>5.5924129999999996</v>
      </c>
      <c r="E3285">
        <v>0.45690150000000002</v>
      </c>
      <c r="F3285" t="s">
        <v>48</v>
      </c>
      <c r="G3285">
        <v>-462.44349999999997</v>
      </c>
      <c r="H3285" s="1">
        <v>-2.279974E-7</v>
      </c>
      <c r="I3285">
        <v>214.42150000000001</v>
      </c>
      <c r="J3285">
        <v>-474.31389999999999</v>
      </c>
      <c r="K3285">
        <v>1.1150199999999999</v>
      </c>
      <c r="L3285">
        <v>214.30090000000001</v>
      </c>
      <c r="M3285">
        <v>0.96879329999999997</v>
      </c>
      <c r="N3285">
        <v>0</v>
      </c>
      <c r="O3285">
        <v>-0.2474856</v>
      </c>
      <c r="P3285">
        <v>0.9867977</v>
      </c>
      <c r="Q3285">
        <v>0.10701040000000001</v>
      </c>
      <c r="R3285">
        <v>-0.1215681</v>
      </c>
      <c r="S3285">
        <v>3.0751650000000001</v>
      </c>
      <c r="T3285">
        <v>-0.284049</v>
      </c>
      <c r="U3285">
        <v>1.9485470000000001E-2</v>
      </c>
      <c r="V3285">
        <v>-0.12783599999999901</v>
      </c>
      <c r="W3285">
        <v>0.119146699999999</v>
      </c>
      <c r="X3285">
        <v>0.98461259999999995</v>
      </c>
      <c r="Y3285">
        <v>-0.25153490000000001</v>
      </c>
      <c r="Z3285">
        <v>3.4229339999999997E-2</v>
      </c>
      <c r="AA3285">
        <v>0.96724279999999996</v>
      </c>
      <c r="AB3285">
        <v>22</v>
      </c>
      <c r="AC3285">
        <v>11.8704</v>
      </c>
      <c r="AD3285">
        <v>-1.1150202279974</v>
      </c>
      <c r="AE3285">
        <v>0.120599999999996</v>
      </c>
      <c r="AF3285">
        <v>-3.0281645302101601</v>
      </c>
      <c r="AG3285">
        <v>-1.1150202279974</v>
      </c>
      <c r="AH3285">
        <v>11.3708901649079</v>
      </c>
      <c r="AI3285">
        <v>95.412994287626006</v>
      </c>
      <c r="AJ3285">
        <v>104.91225563580601</v>
      </c>
      <c r="AK3285">
        <v>11.819906669397399</v>
      </c>
      <c r="AL3285">
        <v>83.1571410488109</v>
      </c>
      <c r="AM3285">
        <v>97.397547891808102</v>
      </c>
      <c r="AN3285">
        <v>0.99999997554782405</v>
      </c>
    </row>
    <row r="3286" spans="1:40" x14ac:dyDescent="0.25">
      <c r="A3286" t="str">
        <f>"20190312164051092"</f>
        <v>20190312164051092</v>
      </c>
      <c r="B3286" t="str">
        <f>"1552380051089727"</f>
        <v>1552380051089727</v>
      </c>
      <c r="C3286" t="s">
        <v>40</v>
      </c>
      <c r="D3286">
        <v>6.2223839999999999</v>
      </c>
      <c r="E3286">
        <v>0.45758969999999999</v>
      </c>
      <c r="F3286" t="s">
        <v>48</v>
      </c>
      <c r="G3286">
        <v>-462.1832</v>
      </c>
      <c r="H3286" s="1">
        <v>-3.6679070000000002E-7</v>
      </c>
      <c r="I3286">
        <v>214.42840000000001</v>
      </c>
      <c r="J3286">
        <v>-474.10789999999997</v>
      </c>
      <c r="K3286">
        <v>1.114876</v>
      </c>
      <c r="L3286">
        <v>214.25739999999999</v>
      </c>
      <c r="M3286">
        <v>0.97063189999999999</v>
      </c>
      <c r="N3286">
        <v>0</v>
      </c>
      <c r="O3286">
        <v>-0.24017520000000001</v>
      </c>
      <c r="P3286">
        <v>0.98721910000000002</v>
      </c>
      <c r="Q3286">
        <v>0.1077574</v>
      </c>
      <c r="R3286">
        <v>-0.1174178</v>
      </c>
      <c r="S3286">
        <v>3.0747990000000001</v>
      </c>
      <c r="T3286">
        <v>-0.28262589999999999</v>
      </c>
      <c r="U3286">
        <v>3.2318119999999999E-2</v>
      </c>
      <c r="V3286">
        <v>-0.1244929</v>
      </c>
      <c r="W3286">
        <v>0.1199571</v>
      </c>
      <c r="X3286">
        <v>0.9849426</v>
      </c>
      <c r="Y3286">
        <v>-0.2483417</v>
      </c>
      <c r="Z3286">
        <v>3.3263250000000001E-2</v>
      </c>
      <c r="AA3286">
        <v>0.9681012</v>
      </c>
      <c r="AB3286">
        <v>22</v>
      </c>
      <c r="AC3286">
        <v>11.9246999999999</v>
      </c>
      <c r="AD3286">
        <v>-1.1148763667907</v>
      </c>
      <c r="AE3286">
        <v>0.17100000000002</v>
      </c>
      <c r="AF3286">
        <v>-3.0040298607612699</v>
      </c>
      <c r="AG3286">
        <v>-1.1148763667907</v>
      </c>
      <c r="AH3286">
        <v>11.434589123184301</v>
      </c>
      <c r="AI3286">
        <v>95.387083550977493</v>
      </c>
      <c r="AJ3286">
        <v>104.71978924220301</v>
      </c>
      <c r="AK3286">
        <v>11.8750567633851</v>
      </c>
      <c r="AL3286">
        <v>83.110373686245396</v>
      </c>
      <c r="AM3286">
        <v>97.203762588470497</v>
      </c>
      <c r="AN3286">
        <v>1.00000005664278</v>
      </c>
    </row>
    <row r="3287" spans="1:40" x14ac:dyDescent="0.25">
      <c r="A3287" t="str">
        <f>"20190312164051114"</f>
        <v>20190312164051114</v>
      </c>
      <c r="B3287" t="str">
        <f>"1552380051109246"</f>
        <v>1552380051109246</v>
      </c>
      <c r="C3287" t="s">
        <v>40</v>
      </c>
      <c r="D3287">
        <v>5.785069</v>
      </c>
      <c r="E3287">
        <v>0.45810679999999998</v>
      </c>
      <c r="F3287" t="s">
        <v>48</v>
      </c>
      <c r="G3287">
        <v>-461.81970000000001</v>
      </c>
      <c r="H3287" s="1">
        <v>-5.5974230000000004E-7</v>
      </c>
      <c r="I3287">
        <v>214.417</v>
      </c>
      <c r="J3287">
        <v>-473.89859999999999</v>
      </c>
      <c r="K3287">
        <v>1.114727</v>
      </c>
      <c r="L3287">
        <v>214.21459999999999</v>
      </c>
      <c r="M3287">
        <v>0.97239050000000005</v>
      </c>
      <c r="N3287">
        <v>0</v>
      </c>
      <c r="O3287">
        <v>-0.23295440000000001</v>
      </c>
      <c r="P3287">
        <v>0.98758670000000004</v>
      </c>
      <c r="Q3287">
        <v>0.1084494</v>
      </c>
      <c r="R3287">
        <v>-0.1136296</v>
      </c>
      <c r="S3287">
        <v>3.0740050000000001</v>
      </c>
      <c r="T3287">
        <v>-0.27889609999999998</v>
      </c>
      <c r="U3287">
        <v>3.9932250000000002E-2</v>
      </c>
      <c r="V3287">
        <v>-0.1208885</v>
      </c>
      <c r="W3287">
        <v>0.1207145</v>
      </c>
      <c r="X3287">
        <v>0.98529889999999998</v>
      </c>
      <c r="Y3287">
        <v>-0.2436431</v>
      </c>
      <c r="Z3287">
        <v>3.1983070000000002E-2</v>
      </c>
      <c r="AA3287">
        <v>0.96933749999999996</v>
      </c>
      <c r="AB3287">
        <v>22</v>
      </c>
      <c r="AC3287">
        <v>12.0788999999999</v>
      </c>
      <c r="AD3287">
        <v>-1.1147275597423001</v>
      </c>
      <c r="AE3287">
        <v>0.20240000000001099</v>
      </c>
      <c r="AF3287">
        <v>-2.9855090179349699</v>
      </c>
      <c r="AG3287">
        <v>-1.1147275597423001</v>
      </c>
      <c r="AH3287">
        <v>11.600589475542799</v>
      </c>
      <c r="AI3287">
        <v>95.3166268372362</v>
      </c>
      <c r="AJ3287">
        <v>104.432355679803</v>
      </c>
      <c r="AK3287">
        <v>12.030359837041299</v>
      </c>
      <c r="AL3287">
        <v>83.066659613380494</v>
      </c>
      <c r="AM3287">
        <v>96.994787237866106</v>
      </c>
      <c r="AN3287">
        <v>0.99999997114185402</v>
      </c>
    </row>
    <row r="3288" spans="1:40" x14ac:dyDescent="0.25">
      <c r="A3288" t="str">
        <f>"20190312164051137"</f>
        <v>20190312164051137</v>
      </c>
      <c r="B3288" t="str">
        <f>"1552380051129742"</f>
        <v>1552380051129742</v>
      </c>
      <c r="C3288" t="s">
        <v>40</v>
      </c>
      <c r="D3288">
        <v>5.6382269999999997</v>
      </c>
      <c r="E3288">
        <v>0.45836670000000002</v>
      </c>
      <c r="F3288" t="s">
        <v>48</v>
      </c>
      <c r="G3288">
        <v>-461.46440000000001</v>
      </c>
      <c r="H3288" s="1">
        <v>-7.4840149999999899E-7</v>
      </c>
      <c r="I3288">
        <v>214.4085</v>
      </c>
      <c r="J3288">
        <v>-473.68099999999998</v>
      </c>
      <c r="K3288">
        <v>1.1145719999999999</v>
      </c>
      <c r="L3288">
        <v>214.17150000000001</v>
      </c>
      <c r="M3288">
        <v>0.97410980000000003</v>
      </c>
      <c r="N3288">
        <v>0</v>
      </c>
      <c r="O3288">
        <v>-0.22565869999999999</v>
      </c>
      <c r="P3288">
        <v>0.98788920000000002</v>
      </c>
      <c r="Q3288">
        <v>0.1092868</v>
      </c>
      <c r="R3288">
        <v>-0.1101425</v>
      </c>
      <c r="S3288">
        <v>3.073547</v>
      </c>
      <c r="T3288">
        <v>-0.2755457</v>
      </c>
      <c r="U3288">
        <v>4.7943119999999999E-2</v>
      </c>
      <c r="V3288">
        <v>-0.1169139</v>
      </c>
      <c r="W3288">
        <v>0.12161810000000001</v>
      </c>
      <c r="X3288">
        <v>0.98566730000000002</v>
      </c>
      <c r="Y3288">
        <v>-0.23899390000000001</v>
      </c>
      <c r="Z3288">
        <v>3.0758250000000001E-2</v>
      </c>
      <c r="AA3288">
        <v>0.9705338</v>
      </c>
      <c r="AB3288">
        <v>22</v>
      </c>
      <c r="AC3288">
        <v>12.2165999999999</v>
      </c>
      <c r="AD3288">
        <v>-1.1145727484015</v>
      </c>
      <c r="AE3288">
        <v>0.23699999999999399</v>
      </c>
      <c r="AF3288">
        <v>-2.9632712616317698</v>
      </c>
      <c r="AG3288">
        <v>-1.1145727484015</v>
      </c>
      <c r="AH3288">
        <v>11.7501758245775</v>
      </c>
      <c r="AI3288">
        <v>95.255056949850101</v>
      </c>
      <c r="AJ3288">
        <v>104.154253610331</v>
      </c>
      <c r="AK3288">
        <v>12.169218581732199</v>
      </c>
      <c r="AL3288">
        <v>83.014502535249505</v>
      </c>
      <c r="AM3288">
        <v>96.764473615143203</v>
      </c>
      <c r="AN3288">
        <v>0.99999992427505202</v>
      </c>
    </row>
    <row r="3289" spans="1:40" x14ac:dyDescent="0.25">
      <c r="A3289" t="str">
        <f>"20190312164051162"</f>
        <v>20190312164051162</v>
      </c>
      <c r="B3289" t="str">
        <f>"1552380051149263"</f>
        <v>1552380051149263</v>
      </c>
      <c r="C3289" t="s">
        <v>40</v>
      </c>
      <c r="D3289">
        <v>5.6594350000000002</v>
      </c>
      <c r="E3289">
        <v>0.45889190000000002</v>
      </c>
      <c r="F3289" t="s">
        <v>48</v>
      </c>
      <c r="G3289">
        <v>-461.10289999999998</v>
      </c>
      <c r="H3289" s="1">
        <v>-9.4049559999999996E-7</v>
      </c>
      <c r="I3289">
        <v>214.40119999999999</v>
      </c>
      <c r="J3289">
        <v>-473.44349999999997</v>
      </c>
      <c r="K3289">
        <v>1.1144240000000001</v>
      </c>
      <c r="L3289">
        <v>214.12620000000001</v>
      </c>
      <c r="M3289">
        <v>0.9758656</v>
      </c>
      <c r="N3289">
        <v>0</v>
      </c>
      <c r="O3289">
        <v>-0.2179422</v>
      </c>
      <c r="P3289">
        <v>0.98820129999999995</v>
      </c>
      <c r="Q3289">
        <v>0.1103876</v>
      </c>
      <c r="R3289">
        <v>-0.1061745</v>
      </c>
      <c r="S3289">
        <v>3.073242</v>
      </c>
      <c r="T3289">
        <v>-0.2723254</v>
      </c>
      <c r="U3289">
        <v>5.6137079999999999E-2</v>
      </c>
      <c r="V3289">
        <v>-0.1130028</v>
      </c>
      <c r="W3289">
        <v>0.1227776</v>
      </c>
      <c r="X3289">
        <v>0.98597970000000001</v>
      </c>
      <c r="Y3289">
        <v>-0.2339889</v>
      </c>
      <c r="Z3289">
        <v>2.9512730000000001E-2</v>
      </c>
      <c r="AA3289">
        <v>0.97179130000000002</v>
      </c>
      <c r="AB3289">
        <v>22</v>
      </c>
      <c r="AC3289">
        <v>12.340599999999901</v>
      </c>
      <c r="AD3289">
        <v>-1.1144249404955999</v>
      </c>
      <c r="AE3289">
        <v>0.27499999999997699</v>
      </c>
      <c r="AF3289">
        <v>-2.9342606360629402</v>
      </c>
      <c r="AG3289">
        <v>-1.1144249404955999</v>
      </c>
      <c r="AH3289">
        <v>11.887064594310999</v>
      </c>
      <c r="AI3289">
        <v>95.200677993061802</v>
      </c>
      <c r="AJ3289">
        <v>103.86597452797</v>
      </c>
      <c r="AK3289">
        <v>12.2944757146317</v>
      </c>
      <c r="AL3289">
        <v>82.947566761233205</v>
      </c>
      <c r="AM3289">
        <v>96.538122607679995</v>
      </c>
      <c r="AN3289">
        <v>0.99999997034084398</v>
      </c>
    </row>
    <row r="3290" spans="1:40" x14ac:dyDescent="0.25">
      <c r="A3290" t="str">
        <f>"20190312164051184"</f>
        <v>20190312164051184</v>
      </c>
      <c r="B3290" t="str">
        <f>"1552380051179518"</f>
        <v>1552380051179518</v>
      </c>
      <c r="C3290" t="s">
        <v>40</v>
      </c>
      <c r="D3290">
        <v>5.6716369999999996</v>
      </c>
      <c r="E3290">
        <v>0.45941080000000001</v>
      </c>
      <c r="F3290" t="s">
        <v>48</v>
      </c>
      <c r="G3290">
        <v>-460.84190000000001</v>
      </c>
      <c r="H3290" s="1">
        <v>-1.078926E-6</v>
      </c>
      <c r="I3290">
        <v>214.3913</v>
      </c>
      <c r="J3290">
        <v>-473.23489999999998</v>
      </c>
      <c r="K3290">
        <v>1.1143130000000001</v>
      </c>
      <c r="L3290">
        <v>214.08779999999999</v>
      </c>
      <c r="M3290">
        <v>0.97731840000000003</v>
      </c>
      <c r="N3290">
        <v>0</v>
      </c>
      <c r="O3290">
        <v>-0.21133350000000001</v>
      </c>
      <c r="P3290">
        <v>0.9883866</v>
      </c>
      <c r="Q3290">
        <v>0.1104894</v>
      </c>
      <c r="R3290">
        <v>-0.1043273</v>
      </c>
      <c r="S3290">
        <v>3.0730900000000001</v>
      </c>
      <c r="T3290">
        <v>-0.27176889999999998</v>
      </c>
      <c r="U3290">
        <v>6.4666749999999995E-2</v>
      </c>
      <c r="V3290">
        <v>-0.1081303</v>
      </c>
      <c r="W3290">
        <v>0.12294090000000001</v>
      </c>
      <c r="X3290">
        <v>0.98650559999999998</v>
      </c>
      <c r="Y3290">
        <v>-0.23015469999999999</v>
      </c>
      <c r="Z3290">
        <v>2.8712129999999999E-2</v>
      </c>
      <c r="AA3290">
        <v>0.9727304</v>
      </c>
      <c r="AB3290">
        <v>22</v>
      </c>
      <c r="AC3290">
        <v>12.392999999999899</v>
      </c>
      <c r="AD3290">
        <v>-1.114314078926</v>
      </c>
      <c r="AE3290">
        <v>0.30350000000001298</v>
      </c>
      <c r="AF3290">
        <v>-2.8925732178746899</v>
      </c>
      <c r="AG3290">
        <v>-1.114314078926</v>
      </c>
      <c r="AH3290">
        <v>11.952320559031101</v>
      </c>
      <c r="AI3290">
        <v>95.177666648871806</v>
      </c>
      <c r="AJ3290">
        <v>103.60454013588701</v>
      </c>
      <c r="AK3290">
        <v>12.347738352957499</v>
      </c>
      <c r="AL3290">
        <v>82.9381388820632</v>
      </c>
      <c r="AM3290">
        <v>96.255186128855996</v>
      </c>
      <c r="AN3290">
        <v>0.99999996275112901</v>
      </c>
    </row>
    <row r="3291" spans="1:40" x14ac:dyDescent="0.25">
      <c r="A3291" t="str">
        <f>"20190312164051209"</f>
        <v>20190312164051209</v>
      </c>
      <c r="B3291" t="str">
        <f>"1552380051199039"</f>
        <v>1552380051199039</v>
      </c>
      <c r="C3291" t="s">
        <v>40</v>
      </c>
      <c r="D3291">
        <v>5.705997</v>
      </c>
      <c r="E3291">
        <v>0.45985870000000001</v>
      </c>
      <c r="F3291" t="s">
        <v>48</v>
      </c>
      <c r="G3291">
        <v>-460.53449999999998</v>
      </c>
      <c r="H3291" s="1">
        <v>-1.2413160000000001E-6</v>
      </c>
      <c r="I3291">
        <v>214.3631</v>
      </c>
      <c r="J3291">
        <v>-472.99430000000001</v>
      </c>
      <c r="K3291">
        <v>1.114225</v>
      </c>
      <c r="L3291">
        <v>214.04499999999999</v>
      </c>
      <c r="M3291">
        <v>0.97890679999999997</v>
      </c>
      <c r="N3291">
        <v>0</v>
      </c>
      <c r="O3291">
        <v>-0.2038518</v>
      </c>
      <c r="P3291">
        <v>0.98876969999999997</v>
      </c>
      <c r="Q3291">
        <v>0.1102809</v>
      </c>
      <c r="R3291">
        <v>-0.10086100000000001</v>
      </c>
      <c r="S3291">
        <v>3.0724179999999999</v>
      </c>
      <c r="T3291">
        <v>-0.26956839999999999</v>
      </c>
      <c r="U3291">
        <v>6.6619869999999998E-2</v>
      </c>
      <c r="V3291">
        <v>-0.1040127</v>
      </c>
      <c r="W3291">
        <v>0.1227762</v>
      </c>
      <c r="X3291">
        <v>0.98696879999999998</v>
      </c>
      <c r="Y3291">
        <v>-0.22341159999999999</v>
      </c>
      <c r="Z3291">
        <v>2.7546770000000002E-2</v>
      </c>
      <c r="AA3291">
        <v>0.9743349</v>
      </c>
      <c r="AB3291">
        <v>22</v>
      </c>
      <c r="AC3291">
        <v>12.4598</v>
      </c>
      <c r="AD3291">
        <v>-1.114226241316</v>
      </c>
      <c r="AE3291">
        <v>0.31810000000001498</v>
      </c>
      <c r="AF3291">
        <v>-2.8289993662424502</v>
      </c>
      <c r="AG3291">
        <v>-1.114226241316</v>
      </c>
      <c r="AH3291">
        <v>12.037068464995601</v>
      </c>
      <c r="AI3291">
        <v>95.149073108979195</v>
      </c>
      <c r="AJ3291">
        <v>103.225851554782</v>
      </c>
      <c r="AK3291">
        <v>12.4151421563359</v>
      </c>
      <c r="AL3291">
        <v>82.9476479715034</v>
      </c>
      <c r="AM3291">
        <v>96.015967417151003</v>
      </c>
      <c r="AN3291">
        <v>1.00000002461058</v>
      </c>
    </row>
    <row r="3292" spans="1:40" x14ac:dyDescent="0.25">
      <c r="A3292" t="str">
        <f>"20190312164051227"</f>
        <v>20190312164051227</v>
      </c>
      <c r="B3292" t="str">
        <f>"1552380051219535"</f>
        <v>1552380051219535</v>
      </c>
      <c r="C3292" t="s">
        <v>40</v>
      </c>
      <c r="D3292">
        <v>5.66676</v>
      </c>
      <c r="E3292">
        <v>0.46040589999999998</v>
      </c>
      <c r="F3292" t="s">
        <v>48</v>
      </c>
      <c r="G3292">
        <v>-460.24130000000002</v>
      </c>
      <c r="H3292" s="1">
        <v>-1.39687999999999E-6</v>
      </c>
      <c r="I3292">
        <v>214.3528</v>
      </c>
      <c r="J3292">
        <v>-472.82470000000001</v>
      </c>
      <c r="K3292">
        <v>1.1141779999999999</v>
      </c>
      <c r="L3292">
        <v>214.01599999999999</v>
      </c>
      <c r="M3292">
        <v>0.97997610000000002</v>
      </c>
      <c r="N3292">
        <v>0</v>
      </c>
      <c r="O3292">
        <v>-0.19864860000000001</v>
      </c>
      <c r="P3292">
        <v>0.98894590000000004</v>
      </c>
      <c r="Q3292">
        <v>0.109671</v>
      </c>
      <c r="R3292">
        <v>-9.9791599999999994E-2</v>
      </c>
      <c r="S3292">
        <v>3.071564</v>
      </c>
      <c r="T3292">
        <v>-0.26836189999999999</v>
      </c>
      <c r="U3292">
        <v>7.4127199999999893E-2</v>
      </c>
      <c r="V3292">
        <v>-9.9823659999999995E-2</v>
      </c>
      <c r="W3292">
        <v>0.12220780000000001</v>
      </c>
      <c r="X3292">
        <v>0.98747180000000001</v>
      </c>
      <c r="Y3292">
        <v>-0.2206639</v>
      </c>
      <c r="Z3292">
        <v>2.686498E-2</v>
      </c>
      <c r="AA3292">
        <v>0.97497990000000001</v>
      </c>
      <c r="AB3292">
        <v>22</v>
      </c>
      <c r="AC3292">
        <v>12.5833999999999</v>
      </c>
      <c r="AD3292">
        <v>-1.11417939688</v>
      </c>
      <c r="AE3292">
        <v>0.33680000000000998</v>
      </c>
      <c r="AF3292">
        <v>-2.8079945218585598</v>
      </c>
      <c r="AG3292">
        <v>-1.11417939688</v>
      </c>
      <c r="AH3292">
        <v>12.1703179866187</v>
      </c>
      <c r="AI3292">
        <v>95.097595608745394</v>
      </c>
      <c r="AJ3292">
        <v>102.99220130064801</v>
      </c>
      <c r="AK3292">
        <v>12.5396518635341</v>
      </c>
      <c r="AL3292">
        <v>82.9804620548516</v>
      </c>
      <c r="AM3292">
        <v>95.772428296333601</v>
      </c>
      <c r="AN3292">
        <v>1.00000003263593</v>
      </c>
    </row>
    <row r="3293" spans="1:40" x14ac:dyDescent="0.25">
      <c r="A3293" t="str">
        <f>"20190312164051248"</f>
        <v>20190312164051248</v>
      </c>
      <c r="B3293" t="str">
        <f>"1552380051239055"</f>
        <v>1552380051239055</v>
      </c>
      <c r="C3293" t="s">
        <v>40</v>
      </c>
      <c r="D3293">
        <v>5.5788719999999996</v>
      </c>
      <c r="E3293">
        <v>0.46090680000000001</v>
      </c>
      <c r="F3293" t="s">
        <v>48</v>
      </c>
      <c r="G3293">
        <v>-460.10359999999997</v>
      </c>
      <c r="H3293" s="1">
        <v>-1.4689009999999901E-6</v>
      </c>
      <c r="I3293">
        <v>214.3244</v>
      </c>
      <c r="J3293">
        <v>-472.61450000000002</v>
      </c>
      <c r="K3293">
        <v>1.1141399999999999</v>
      </c>
      <c r="L3293">
        <v>213.9812</v>
      </c>
      <c r="M3293">
        <v>0.98125019999999996</v>
      </c>
      <c r="N3293">
        <v>0</v>
      </c>
      <c r="O3293">
        <v>-0.1922567</v>
      </c>
      <c r="P3293">
        <v>0.9892417</v>
      </c>
      <c r="Q3293">
        <v>0.1091095</v>
      </c>
      <c r="R3293">
        <v>-9.7446569999999996E-2</v>
      </c>
      <c r="S3293">
        <v>3.070862</v>
      </c>
      <c r="T3293">
        <v>-0.26896239999999999</v>
      </c>
      <c r="U3293">
        <v>7.4447630000000001E-2</v>
      </c>
      <c r="V3293">
        <v>-9.5716529999999994E-2</v>
      </c>
      <c r="W3293">
        <v>0.121683</v>
      </c>
      <c r="X3293">
        <v>0.98794309999999996</v>
      </c>
      <c r="Y3293">
        <v>-0.2144509</v>
      </c>
      <c r="Z3293">
        <v>2.6108360000000001E-2</v>
      </c>
      <c r="AA3293">
        <v>0.97638579999999997</v>
      </c>
      <c r="AB3293">
        <v>22</v>
      </c>
      <c r="AC3293">
        <v>12.510899999999999</v>
      </c>
      <c r="AD3293">
        <v>-1.1141414689010001</v>
      </c>
      <c r="AE3293">
        <v>0.34319999999999501</v>
      </c>
      <c r="AF3293">
        <v>-2.7207627175655502</v>
      </c>
      <c r="AG3293">
        <v>-1.1141414689010001</v>
      </c>
      <c r="AH3293">
        <v>12.115462630802201</v>
      </c>
      <c r="AI3293">
        <v>95.127169837352398</v>
      </c>
      <c r="AJ3293">
        <v>102.656901027361</v>
      </c>
      <c r="AK3293">
        <v>12.4670885027894</v>
      </c>
      <c r="AL3293">
        <v>83.010756660571403</v>
      </c>
      <c r="AM3293">
        <v>95.533810544414607</v>
      </c>
      <c r="AN3293">
        <v>0.99999998772092502</v>
      </c>
    </row>
    <row r="3294" spans="1:40" x14ac:dyDescent="0.25">
      <c r="A3294" t="str">
        <f>"20190312164051271"</f>
        <v>20190312164051271</v>
      </c>
      <c r="B3294" t="str">
        <f>"1552380051259551"</f>
        <v>1552380051259551</v>
      </c>
      <c r="C3294" t="s">
        <v>40</v>
      </c>
      <c r="D3294">
        <v>5.7256799999999997</v>
      </c>
      <c r="E3294">
        <v>0.46139849999999999</v>
      </c>
      <c r="F3294" t="s">
        <v>48</v>
      </c>
      <c r="G3294">
        <v>-459.90269999999998</v>
      </c>
      <c r="H3294" s="1">
        <v>3.7465219999999998E-6</v>
      </c>
      <c r="I3294">
        <v>214.30529999999999</v>
      </c>
      <c r="J3294">
        <v>-472.4</v>
      </c>
      <c r="K3294">
        <v>1.1141049999999999</v>
      </c>
      <c r="L3294">
        <v>213.947</v>
      </c>
      <c r="M3294">
        <v>0.98249699999999995</v>
      </c>
      <c r="N3294">
        <v>0</v>
      </c>
      <c r="O3294">
        <v>-0.18578259999999999</v>
      </c>
      <c r="P3294">
        <v>0.98949350000000003</v>
      </c>
      <c r="Q3294">
        <v>0.1085819</v>
      </c>
      <c r="R3294">
        <v>-9.5461820000000003E-2</v>
      </c>
      <c r="S3294">
        <v>3.0700379999999998</v>
      </c>
      <c r="T3294">
        <v>-0.26907560000000003</v>
      </c>
      <c r="U3294">
        <v>7.8277589999999994E-2</v>
      </c>
      <c r="V3294">
        <v>-9.1173119999999996E-2</v>
      </c>
      <c r="W3294">
        <v>0.121195</v>
      </c>
      <c r="X3294">
        <v>0.98843270000000005</v>
      </c>
      <c r="Y3294">
        <v>-0.2092754</v>
      </c>
      <c r="Z3294">
        <v>2.53409E-2</v>
      </c>
      <c r="AA3294">
        <v>0.97752830000000002</v>
      </c>
      <c r="AB3294">
        <v>22</v>
      </c>
      <c r="AC3294">
        <v>12.4972999999999</v>
      </c>
      <c r="AD3294">
        <v>-1.1141012534779999</v>
      </c>
      <c r="AE3294">
        <v>0.35829999999998502</v>
      </c>
      <c r="AF3294">
        <v>-2.6529895579224498</v>
      </c>
      <c r="AG3294">
        <v>-1.1141012534779999</v>
      </c>
      <c r="AH3294">
        <v>12.1169033994125</v>
      </c>
      <c r="AI3294">
        <v>95.132439885439993</v>
      </c>
      <c r="AJ3294">
        <v>102.34999361439201</v>
      </c>
      <c r="AK3294">
        <v>12.4538718151481</v>
      </c>
      <c r="AL3294">
        <v>83.038925456876399</v>
      </c>
      <c r="AM3294">
        <v>95.270055261964004</v>
      </c>
      <c r="AN3294">
        <v>0.99999998413241198</v>
      </c>
    </row>
    <row r="3295" spans="1:40" x14ac:dyDescent="0.25">
      <c r="A3295" t="str">
        <f>"20190312164051292"</f>
        <v>20190312164051292</v>
      </c>
      <c r="B3295" t="str">
        <f>"1552380051289807"</f>
        <v>1552380051289807</v>
      </c>
      <c r="C3295" t="s">
        <v>40</v>
      </c>
      <c r="D3295">
        <v>5.6916869999999999</v>
      </c>
      <c r="E3295">
        <v>0.46207379999999998</v>
      </c>
      <c r="F3295" t="s">
        <v>48</v>
      </c>
      <c r="G3295">
        <v>-459.73829999999998</v>
      </c>
      <c r="H3295" s="1">
        <v>3.6599790000000002E-6</v>
      </c>
      <c r="I3295">
        <v>214.28370000000001</v>
      </c>
      <c r="J3295">
        <v>-472.1952</v>
      </c>
      <c r="K3295">
        <v>1.114072</v>
      </c>
      <c r="L3295">
        <v>213.91560000000001</v>
      </c>
      <c r="M3295">
        <v>0.98363999999999996</v>
      </c>
      <c r="N3295">
        <v>0</v>
      </c>
      <c r="O3295">
        <v>-0.1796326</v>
      </c>
      <c r="P3295">
        <v>0.98967620000000001</v>
      </c>
      <c r="Q3295">
        <v>0.1079246</v>
      </c>
      <c r="R3295">
        <v>-9.4305659999999999E-2</v>
      </c>
      <c r="S3295">
        <v>3.0693969999999999</v>
      </c>
      <c r="T3295">
        <v>-0.27007500000000001</v>
      </c>
      <c r="U3295">
        <v>8.1619259999999999E-2</v>
      </c>
      <c r="V3295">
        <v>-8.6133870000000001E-2</v>
      </c>
      <c r="W3295">
        <v>0.12058290000000001</v>
      </c>
      <c r="X3295">
        <v>0.98895940000000004</v>
      </c>
      <c r="Y3295">
        <v>-0.20425679999999999</v>
      </c>
      <c r="Z3295">
        <v>2.468594E-2</v>
      </c>
      <c r="AA3295">
        <v>0.97860599999999998</v>
      </c>
      <c r="AB3295">
        <v>22</v>
      </c>
      <c r="AC3295">
        <v>12.456899999999999</v>
      </c>
      <c r="AD3295">
        <v>-1.1140683400210001</v>
      </c>
      <c r="AE3295">
        <v>0.36809999999999798</v>
      </c>
      <c r="AF3295">
        <v>-2.5793701882369402</v>
      </c>
      <c r="AG3295">
        <v>-1.1140683400210001</v>
      </c>
      <c r="AH3295">
        <v>12.091478398508199</v>
      </c>
      <c r="AI3295">
        <v>95.148971301541906</v>
      </c>
      <c r="AJ3295">
        <v>102.041917041871</v>
      </c>
      <c r="AK3295">
        <v>12.413627539756201</v>
      </c>
      <c r="AL3295">
        <v>83.074255333092594</v>
      </c>
      <c r="AM3295">
        <v>94.977641245429794</v>
      </c>
      <c r="AN3295">
        <v>0.99999998709097304</v>
      </c>
    </row>
    <row r="3296" spans="1:40" x14ac:dyDescent="0.25">
      <c r="A3296" t="str">
        <f>"20190312164051315"</f>
        <v>20190312164051315</v>
      </c>
      <c r="B3296" t="str">
        <f>"1552380051309327"</f>
        <v>1552380051309327</v>
      </c>
      <c r="C3296" t="s">
        <v>40</v>
      </c>
      <c r="D3296">
        <v>5.6651680000000004</v>
      </c>
      <c r="E3296">
        <v>0.46237660000000003</v>
      </c>
      <c r="F3296" t="s">
        <v>48</v>
      </c>
      <c r="G3296">
        <v>-459.55669999999998</v>
      </c>
      <c r="H3296" s="1">
        <v>3.564842E-6</v>
      </c>
      <c r="I3296">
        <v>214.24940000000001</v>
      </c>
      <c r="J3296">
        <v>-471.98239999999998</v>
      </c>
      <c r="K3296">
        <v>1.114025</v>
      </c>
      <c r="L3296">
        <v>213.8844</v>
      </c>
      <c r="M3296">
        <v>0.98477709999999996</v>
      </c>
      <c r="N3296">
        <v>0</v>
      </c>
      <c r="O3296">
        <v>-0.17329140000000001</v>
      </c>
      <c r="P3296">
        <v>0.98968789999999995</v>
      </c>
      <c r="Q3296">
        <v>0.1069022</v>
      </c>
      <c r="R3296">
        <v>-9.53407E-2</v>
      </c>
      <c r="S3296">
        <v>3.0684809999999998</v>
      </c>
      <c r="T3296">
        <v>-0.27048280000000002</v>
      </c>
      <c r="U3296">
        <v>8.1039429999999996E-2</v>
      </c>
      <c r="V3296">
        <v>-7.8712879999999999E-2</v>
      </c>
      <c r="W3296">
        <v>0.1196319</v>
      </c>
      <c r="X3296">
        <v>0.98969309999999999</v>
      </c>
      <c r="Y3296">
        <v>-0.19781399999999999</v>
      </c>
      <c r="Z3296">
        <v>2.389527E-2</v>
      </c>
      <c r="AA3296">
        <v>0.97994829999999999</v>
      </c>
      <c r="AB3296">
        <v>22</v>
      </c>
      <c r="AC3296">
        <v>12.425700000000001</v>
      </c>
      <c r="AD3296">
        <v>-1.114021435158</v>
      </c>
      <c r="AE3296">
        <v>0.36500000000000898</v>
      </c>
      <c r="AF3296">
        <v>-2.49292128084151</v>
      </c>
      <c r="AG3296">
        <v>-1.114021435158</v>
      </c>
      <c r="AH3296">
        <v>12.077420462022999</v>
      </c>
      <c r="AI3296">
        <v>95.161842192010596</v>
      </c>
      <c r="AJ3296">
        <v>101.662728779451</v>
      </c>
      <c r="AK3296">
        <v>12.38223668353</v>
      </c>
      <c r="AL3296">
        <v>83.129140830528698</v>
      </c>
      <c r="AM3296">
        <v>94.547311365461795</v>
      </c>
      <c r="AN3296">
        <v>0.99999997058155599</v>
      </c>
    </row>
    <row r="3297" spans="1:40" x14ac:dyDescent="0.25">
      <c r="A3297" t="str">
        <f>"20190312164051350"</f>
        <v>20190312164051350</v>
      </c>
      <c r="B3297" t="str">
        <f>"1552380051339583"</f>
        <v>1552380051339583</v>
      </c>
      <c r="C3297" t="s">
        <v>40</v>
      </c>
      <c r="D3297">
        <v>5.7771699999999999</v>
      </c>
      <c r="E3297">
        <v>0.46280979999999999</v>
      </c>
      <c r="F3297" t="s">
        <v>48</v>
      </c>
      <c r="G3297">
        <v>-459.45030000000003</v>
      </c>
      <c r="H3297" s="1">
        <v>3.5105429999999998E-6</v>
      </c>
      <c r="I3297">
        <v>214.1969</v>
      </c>
      <c r="J3297">
        <v>-471.65480000000002</v>
      </c>
      <c r="K3297">
        <v>1.113945</v>
      </c>
      <c r="L3297">
        <v>213.8389</v>
      </c>
      <c r="M3297">
        <v>0.98642019999999997</v>
      </c>
      <c r="N3297">
        <v>0</v>
      </c>
      <c r="O3297">
        <v>-0.16368160000000001</v>
      </c>
      <c r="P3297">
        <v>0.98986540000000001</v>
      </c>
      <c r="Q3297">
        <v>0.1063433</v>
      </c>
      <c r="R3297">
        <v>-9.4115279999999996E-2</v>
      </c>
      <c r="S3297">
        <v>3.068146</v>
      </c>
      <c r="T3297">
        <v>-0.27273819999999999</v>
      </c>
      <c r="U3297">
        <v>7.6507569999999997E-2</v>
      </c>
      <c r="V3297">
        <v>-7.0253099999999999E-2</v>
      </c>
      <c r="W3297">
        <v>0.1191514</v>
      </c>
      <c r="X3297">
        <v>0.99038749999999998</v>
      </c>
      <c r="Y3297">
        <v>-0.18685930000000001</v>
      </c>
      <c r="Z3297">
        <v>2.2766350000000001E-2</v>
      </c>
      <c r="AA3297">
        <v>0.98212279999999996</v>
      </c>
      <c r="AB3297">
        <v>22</v>
      </c>
      <c r="AC3297">
        <v>12.2044999999999</v>
      </c>
      <c r="AD3297">
        <v>-1.1139414894569999</v>
      </c>
      <c r="AE3297">
        <v>0.35800000000000398</v>
      </c>
      <c r="AF3297">
        <v>-2.3315989612058701</v>
      </c>
      <c r="AG3297">
        <v>-1.1139414894569999</v>
      </c>
      <c r="AH3297">
        <v>11.882362741625</v>
      </c>
      <c r="AI3297">
        <v>95.256026556469195</v>
      </c>
      <c r="AJ3297">
        <v>101.10172760442801</v>
      </c>
      <c r="AK3297">
        <v>12.1600889668369</v>
      </c>
      <c r="AL3297">
        <v>83.156869837702303</v>
      </c>
      <c r="AM3297">
        <v>94.057477638827606</v>
      </c>
      <c r="AN3297">
        <v>0.99999997716890898</v>
      </c>
    </row>
    <row r="3298" spans="1:40" x14ac:dyDescent="0.25">
      <c r="A3298" t="str">
        <f>"20190312164051372"</f>
        <v>20190312164051372</v>
      </c>
      <c r="B3298" t="str">
        <f>"1552380051359103"</f>
        <v>1552380051359103</v>
      </c>
      <c r="C3298" t="s">
        <v>40</v>
      </c>
      <c r="D3298">
        <v>5.6668760000000002</v>
      </c>
      <c r="E3298">
        <v>0.46311770000000002</v>
      </c>
      <c r="F3298" t="s">
        <v>48</v>
      </c>
      <c r="G3298">
        <v>-459.20850000000002</v>
      </c>
      <c r="H3298" s="1">
        <v>3.3836000000000001E-6</v>
      </c>
      <c r="I3298">
        <v>214.15729999999999</v>
      </c>
      <c r="J3298">
        <v>-471.43439999999998</v>
      </c>
      <c r="K3298">
        <v>1.1138709999999901</v>
      </c>
      <c r="L3298">
        <v>213.8099</v>
      </c>
      <c r="M3298">
        <v>0.98745139999999998</v>
      </c>
      <c r="N3298">
        <v>0</v>
      </c>
      <c r="O3298">
        <v>-0.15734239999999999</v>
      </c>
      <c r="P3298">
        <v>0.98988149999999997</v>
      </c>
      <c r="Q3298">
        <v>0.1065188</v>
      </c>
      <c r="R3298">
        <v>-9.3746940000000001E-2</v>
      </c>
      <c r="S3298">
        <v>3.0676570000000001</v>
      </c>
      <c r="T3298">
        <v>-0.27455590000000002</v>
      </c>
      <c r="U3298">
        <v>7.8475950000000003E-2</v>
      </c>
      <c r="V3298">
        <v>-6.4227400000000004E-2</v>
      </c>
      <c r="W3298">
        <v>0.1193815</v>
      </c>
      <c r="X3298">
        <v>0.99076880000000001</v>
      </c>
      <c r="Y3298">
        <v>-0.18121029999999999</v>
      </c>
      <c r="Z3298">
        <v>2.2107709999999999E-2</v>
      </c>
      <c r="AA3298">
        <v>0.98319579999999995</v>
      </c>
      <c r="AB3298">
        <v>22</v>
      </c>
      <c r="AC3298">
        <v>12.2258999999999</v>
      </c>
      <c r="AD3298">
        <v>-1.1138676164000001</v>
      </c>
      <c r="AE3298">
        <v>0.34739999999999299</v>
      </c>
      <c r="AF3298">
        <v>-2.2482539816784</v>
      </c>
      <c r="AG3298">
        <v>-1.1138676164000001</v>
      </c>
      <c r="AH3298">
        <v>11.9200588117049</v>
      </c>
      <c r="AI3298">
        <v>95.246516049931699</v>
      </c>
      <c r="AJ3298">
        <v>100.68113553102199</v>
      </c>
      <c r="AK3298">
        <v>12.1812622132315</v>
      </c>
      <c r="AL3298">
        <v>83.143591169746102</v>
      </c>
      <c r="AM3298">
        <v>93.709056075822105</v>
      </c>
      <c r="AN3298">
        <v>0.99999995825322396</v>
      </c>
    </row>
    <row r="3299" spans="1:40" x14ac:dyDescent="0.25">
      <c r="A3299" t="str">
        <f>"20190312164051394"</f>
        <v>20190312164051394</v>
      </c>
      <c r="B3299" t="str">
        <f>"1552380051389359"</f>
        <v>1552380051389359</v>
      </c>
      <c r="C3299" t="s">
        <v>40</v>
      </c>
      <c r="D3299">
        <v>5.6618009999999996</v>
      </c>
      <c r="E3299">
        <v>0.46358050000000001</v>
      </c>
      <c r="F3299" t="s">
        <v>48</v>
      </c>
      <c r="G3299">
        <v>-458.9554</v>
      </c>
      <c r="H3299" s="1">
        <v>3.2502560000000001E-6</v>
      </c>
      <c r="I3299">
        <v>214.1267</v>
      </c>
      <c r="J3299">
        <v>-471.23540000000003</v>
      </c>
      <c r="K3299">
        <v>1.113799</v>
      </c>
      <c r="L3299">
        <v>213.78489999999999</v>
      </c>
      <c r="M3299">
        <v>0.98832960000000003</v>
      </c>
      <c r="N3299">
        <v>0</v>
      </c>
      <c r="O3299">
        <v>-0.1517299</v>
      </c>
      <c r="P3299">
        <v>0.98962110000000003</v>
      </c>
      <c r="Q3299">
        <v>0.10812960000000001</v>
      </c>
      <c r="R3299">
        <v>-9.4648570000000001E-2</v>
      </c>
      <c r="S3299">
        <v>3.0674739999999998</v>
      </c>
      <c r="T3299">
        <v>-0.27380280000000001</v>
      </c>
      <c r="U3299">
        <v>7.7865599999999993E-2</v>
      </c>
      <c r="V3299">
        <v>-5.7649829999999999E-2</v>
      </c>
      <c r="W3299">
        <v>0.1210487</v>
      </c>
      <c r="X3299">
        <v>0.99097109999999999</v>
      </c>
      <c r="Y3299">
        <v>-0.17547929999999901</v>
      </c>
      <c r="Z3299">
        <v>2.1297529999999999E-2</v>
      </c>
      <c r="AA3299">
        <v>0.98425280000000004</v>
      </c>
      <c r="AB3299">
        <v>22</v>
      </c>
      <c r="AC3299">
        <v>12.28</v>
      </c>
      <c r="AD3299">
        <v>-1.1137957497440001</v>
      </c>
      <c r="AE3299">
        <v>0.34180000000000599</v>
      </c>
      <c r="AF3299">
        <v>-2.1833082051969299</v>
      </c>
      <c r="AG3299">
        <v>-1.1137957497440001</v>
      </c>
      <c r="AH3299">
        <v>11.9873921631313</v>
      </c>
      <c r="AI3299">
        <v>95.222900428839694</v>
      </c>
      <c r="AJ3299">
        <v>100.322345407242</v>
      </c>
      <c r="AK3299">
        <v>12.2353972785411</v>
      </c>
      <c r="AL3299">
        <v>83.047370153042905</v>
      </c>
      <c r="AM3299">
        <v>93.3294343640015</v>
      </c>
      <c r="AN3299">
        <v>1.0000000058529599</v>
      </c>
    </row>
    <row r="3300" spans="1:40" x14ac:dyDescent="0.25">
      <c r="A3300" t="str">
        <f>"20190312164051415"</f>
        <v>20190312164051415</v>
      </c>
      <c r="B3300" t="str">
        <f>"1552380051408878"</f>
        <v>1552380051408878</v>
      </c>
      <c r="C3300" t="s">
        <v>40</v>
      </c>
      <c r="D3300">
        <v>5.5865720000000003</v>
      </c>
      <c r="E3300">
        <v>0.46388849999999998</v>
      </c>
      <c r="F3300" t="s">
        <v>48</v>
      </c>
      <c r="G3300">
        <v>-458.48779999999999</v>
      </c>
      <c r="H3300" s="1">
        <v>3.0033620000000001E-6</v>
      </c>
      <c r="I3300">
        <v>214.0822</v>
      </c>
      <c r="J3300">
        <v>-471.01859999999999</v>
      </c>
      <c r="K3300">
        <v>1.11371</v>
      </c>
      <c r="L3300">
        <v>213.7587</v>
      </c>
      <c r="M3300">
        <v>0.98922710000000003</v>
      </c>
      <c r="N3300">
        <v>0</v>
      </c>
      <c r="O3300">
        <v>-0.14576500000000001</v>
      </c>
      <c r="P3300">
        <v>0.98935709999999999</v>
      </c>
      <c r="Q3300">
        <v>0.10971160000000001</v>
      </c>
      <c r="R3300">
        <v>-9.5581879999999994E-2</v>
      </c>
      <c r="S3300">
        <v>3.0675659999999998</v>
      </c>
      <c r="T3300">
        <v>-0.26802399999999998</v>
      </c>
      <c r="U3300">
        <v>7.1533200000000005E-2</v>
      </c>
      <c r="V3300">
        <v>-5.0684880000000002E-2</v>
      </c>
      <c r="W3300">
        <v>0.1226887</v>
      </c>
      <c r="X3300">
        <v>0.99115010000000003</v>
      </c>
      <c r="Y3300">
        <v>-0.16761119999999999</v>
      </c>
      <c r="Z3300">
        <v>1.9989900000000001E-2</v>
      </c>
      <c r="AA3300">
        <v>0.98565049999999998</v>
      </c>
      <c r="AB3300">
        <v>22</v>
      </c>
      <c r="AC3300">
        <v>12.530799999999999</v>
      </c>
      <c r="AD3300">
        <v>-1.113706996638</v>
      </c>
      <c r="AE3300">
        <v>0.32349999999999501</v>
      </c>
      <c r="AF3300">
        <v>-2.1299489922416401</v>
      </c>
      <c r="AG3300">
        <v>-1.113706996638</v>
      </c>
      <c r="AH3300">
        <v>12.253052646172801</v>
      </c>
      <c r="AI3300">
        <v>95.117149211304906</v>
      </c>
      <c r="AJ3300">
        <v>99.861192384627799</v>
      </c>
      <c r="AK3300">
        <v>12.4865657862277</v>
      </c>
      <c r="AL3300">
        <v>82.952699350619994</v>
      </c>
      <c r="AM3300">
        <v>92.927409572918506</v>
      </c>
      <c r="AN3300">
        <v>0.99999999744915702</v>
      </c>
    </row>
    <row r="3301" spans="1:40" x14ac:dyDescent="0.25">
      <c r="A3301" t="str">
        <f>"20190312164051439"</f>
        <v>20190312164051439</v>
      </c>
      <c r="B3301" t="str">
        <f>"1552380051429375"</f>
        <v>1552380051429375</v>
      </c>
      <c r="C3301" t="s">
        <v>40</v>
      </c>
      <c r="D3301">
        <v>5.6697930000000003</v>
      </c>
      <c r="E3301">
        <v>0.46426260000000003</v>
      </c>
      <c r="F3301" t="s">
        <v>48</v>
      </c>
      <c r="G3301">
        <v>-458.09359999999998</v>
      </c>
      <c r="H3301" s="1">
        <v>2.795533E-6</v>
      </c>
      <c r="I3301">
        <v>214.03710000000001</v>
      </c>
      <c r="J3301">
        <v>-470.80560000000003</v>
      </c>
      <c r="K3301">
        <v>1.1136090000000001</v>
      </c>
      <c r="L3301">
        <v>213.73410000000001</v>
      </c>
      <c r="M3301">
        <v>0.99004829999999999</v>
      </c>
      <c r="N3301">
        <v>0</v>
      </c>
      <c r="O3301">
        <v>-0.1400817</v>
      </c>
      <c r="P3301">
        <v>0.98924570000000001</v>
      </c>
      <c r="Q3301">
        <v>0.1108272</v>
      </c>
      <c r="R3301">
        <v>-9.5449720000000002E-2</v>
      </c>
      <c r="S3301">
        <v>3.0679630000000002</v>
      </c>
      <c r="T3301">
        <v>-0.2643567</v>
      </c>
      <c r="U3301">
        <v>6.607056E-2</v>
      </c>
      <c r="V3301">
        <v>-4.5075150000000001E-2</v>
      </c>
      <c r="W3301">
        <v>0.1238475</v>
      </c>
      <c r="X3301">
        <v>0.99127699999999996</v>
      </c>
      <c r="Y3301">
        <v>-0.16026949999999901</v>
      </c>
      <c r="Z3301">
        <v>1.891381E-2</v>
      </c>
      <c r="AA3301">
        <v>0.98689199999999999</v>
      </c>
      <c r="AB3301">
        <v>22</v>
      </c>
      <c r="AC3301">
        <v>12.712</v>
      </c>
      <c r="AD3301">
        <v>-1.1136062044670001</v>
      </c>
      <c r="AE3301">
        <v>0.30299999999999699</v>
      </c>
      <c r="AF3301">
        <v>-2.0650533138993299</v>
      </c>
      <c r="AG3301">
        <v>-1.1136062044670001</v>
      </c>
      <c r="AH3301">
        <v>12.448707399560201</v>
      </c>
      <c r="AI3301">
        <v>95.043263894666893</v>
      </c>
      <c r="AJ3301">
        <v>99.418738630867793</v>
      </c>
      <c r="AK3301">
        <v>12.6678680087747</v>
      </c>
      <c r="AL3301">
        <v>82.885794986845895</v>
      </c>
      <c r="AM3301">
        <v>92.603548805480798</v>
      </c>
      <c r="AN3301">
        <v>1.00000003156638</v>
      </c>
    </row>
    <row r="3302" spans="1:40" x14ac:dyDescent="0.25">
      <c r="A3302" t="str">
        <f>"20190312164051460"</f>
        <v>20190312164051460</v>
      </c>
      <c r="B3302" t="str">
        <f>"1552380051448894"</f>
        <v>1552380051448894</v>
      </c>
      <c r="C3302" t="s">
        <v>40</v>
      </c>
      <c r="D3302">
        <v>5.7317080000000002</v>
      </c>
      <c r="E3302">
        <v>0.46446409999999999</v>
      </c>
      <c r="F3302" t="s">
        <v>48</v>
      </c>
      <c r="G3302">
        <v>-457.67899999999997</v>
      </c>
      <c r="H3302" s="1">
        <v>2.576338E-6</v>
      </c>
      <c r="I3302">
        <v>214.0042</v>
      </c>
      <c r="J3302">
        <v>-470.59210000000002</v>
      </c>
      <c r="K3302">
        <v>1.1134919999999999</v>
      </c>
      <c r="L3302">
        <v>213.7106</v>
      </c>
      <c r="M3302">
        <v>0.990811</v>
      </c>
      <c r="N3302">
        <v>0</v>
      </c>
      <c r="O3302">
        <v>-0.13458229999999999</v>
      </c>
      <c r="P3302">
        <v>0.98922560000000004</v>
      </c>
      <c r="Q3302">
        <v>0.1115781</v>
      </c>
      <c r="R3302">
        <v>-9.4779779999999994E-2</v>
      </c>
      <c r="S3302">
        <v>3.0678709999999998</v>
      </c>
      <c r="T3302">
        <v>-0.26026500000000002</v>
      </c>
      <c r="U3302">
        <v>6.3110349999999996E-2</v>
      </c>
      <c r="V3302">
        <v>-4.0192650000000003E-2</v>
      </c>
      <c r="W3302">
        <v>0.1246244</v>
      </c>
      <c r="X3302">
        <v>0.99138959999999998</v>
      </c>
      <c r="Y3302">
        <v>-0.15391150000000001</v>
      </c>
      <c r="Z3302">
        <v>1.789081E-2</v>
      </c>
      <c r="AA3302">
        <v>0.98792270000000004</v>
      </c>
      <c r="AB3302">
        <v>22</v>
      </c>
      <c r="AC3302">
        <v>12.913099999999901</v>
      </c>
      <c r="AD3302">
        <v>-1.1134894236620001</v>
      </c>
      <c r="AE3302">
        <v>0.29359999999999697</v>
      </c>
      <c r="AF3302">
        <v>-2.0139932627158501</v>
      </c>
      <c r="AG3302">
        <v>-1.1134894236620001</v>
      </c>
      <c r="AH3302">
        <v>12.6619839523199</v>
      </c>
      <c r="AI3302">
        <v>94.963559670882404</v>
      </c>
      <c r="AJ3302">
        <v>99.0376588773712</v>
      </c>
      <c r="AK3302">
        <v>12.869415882924899</v>
      </c>
      <c r="AL3302">
        <v>82.840934225148402</v>
      </c>
      <c r="AM3302">
        <v>92.321598658552702</v>
      </c>
      <c r="AN3302">
        <v>1.00000001458877</v>
      </c>
    </row>
    <row r="3303" spans="1:40" x14ac:dyDescent="0.25">
      <c r="A3303" t="str">
        <f>"20190312164051483"</f>
        <v>20190312164051483</v>
      </c>
      <c r="B3303" t="str">
        <f>"1552380051479151"</f>
        <v>1552380051479151</v>
      </c>
      <c r="C3303" t="s">
        <v>40</v>
      </c>
      <c r="D3303">
        <v>5.7125120000000003</v>
      </c>
      <c r="E3303">
        <v>0.4648062</v>
      </c>
      <c r="F3303" t="s">
        <v>48</v>
      </c>
      <c r="G3303">
        <v>-457.3682</v>
      </c>
      <c r="H3303" s="1">
        <v>2.4117199999999998E-6</v>
      </c>
      <c r="I3303">
        <v>213.9863</v>
      </c>
      <c r="J3303">
        <v>-470.37799999999999</v>
      </c>
      <c r="K3303">
        <v>1.113378</v>
      </c>
      <c r="L3303">
        <v>213.68799999999999</v>
      </c>
      <c r="M3303">
        <v>0.99152459999999998</v>
      </c>
      <c r="N3303">
        <v>0</v>
      </c>
      <c r="O3303">
        <v>-0.12922410000000001</v>
      </c>
      <c r="P3303">
        <v>0.98921990000000004</v>
      </c>
      <c r="Q3303">
        <v>0.1124015</v>
      </c>
      <c r="R3303">
        <v>-9.3860780000000005E-2</v>
      </c>
      <c r="S3303">
        <v>3.0679319999999999</v>
      </c>
      <c r="T3303">
        <v>-0.25832759999999999</v>
      </c>
      <c r="U3303">
        <v>6.3949580000000006E-2</v>
      </c>
      <c r="V3303">
        <v>-3.5706960000000003E-2</v>
      </c>
      <c r="W3303">
        <v>0.12546179999999901</v>
      </c>
      <c r="X3303">
        <v>0.99145570000000005</v>
      </c>
      <c r="Y3303">
        <v>-0.14889040000000001</v>
      </c>
      <c r="Z3303">
        <v>1.7099050000000001E-2</v>
      </c>
      <c r="AA3303">
        <v>0.98870590000000003</v>
      </c>
      <c r="AB3303">
        <v>22</v>
      </c>
      <c r="AC3303">
        <v>13.0098</v>
      </c>
      <c r="AD3303">
        <v>-1.1133755882800001</v>
      </c>
      <c r="AE3303">
        <v>0.298300000000011</v>
      </c>
      <c r="AF3303">
        <v>-1.96276202166958</v>
      </c>
      <c r="AG3303">
        <v>-1.1133755882800001</v>
      </c>
      <c r="AH3303">
        <v>12.7686801355322</v>
      </c>
      <c r="AI3303">
        <v>94.925782617663899</v>
      </c>
      <c r="AJ3303">
        <v>98.738928064935095</v>
      </c>
      <c r="AK3303">
        <v>12.966542806693701</v>
      </c>
      <c r="AL3303">
        <v>82.792575278194903</v>
      </c>
      <c r="AM3303">
        <v>92.062597716994105</v>
      </c>
      <c r="AN3303">
        <v>1.00000002765708</v>
      </c>
    </row>
    <row r="3304" spans="1:40" x14ac:dyDescent="0.25">
      <c r="A3304" t="str">
        <f>"20190312164051506"</f>
        <v>20190312164051506</v>
      </c>
      <c r="B3304" t="str">
        <f>"1552380051499647"</f>
        <v>1552380051499647</v>
      </c>
      <c r="C3304" t="s">
        <v>40</v>
      </c>
      <c r="D3304">
        <v>5.687881</v>
      </c>
      <c r="E3304">
        <v>0.46505859999999899</v>
      </c>
      <c r="F3304" t="s">
        <v>48</v>
      </c>
      <c r="G3304">
        <v>-457.01029999999997</v>
      </c>
      <c r="H3304" s="1">
        <v>2.2220710000000001E-6</v>
      </c>
      <c r="I3304">
        <v>213.96870000000001</v>
      </c>
      <c r="J3304">
        <v>-470.16489999999999</v>
      </c>
      <c r="K3304">
        <v>1.113283</v>
      </c>
      <c r="L3304">
        <v>213.66650000000001</v>
      </c>
      <c r="M3304">
        <v>0.99218629999999997</v>
      </c>
      <c r="N3304">
        <v>0</v>
      </c>
      <c r="O3304">
        <v>-0.1240464</v>
      </c>
      <c r="P3304">
        <v>0.9892107</v>
      </c>
      <c r="Q3304">
        <v>0.1137418</v>
      </c>
      <c r="R3304">
        <v>-9.2331830000000004E-2</v>
      </c>
      <c r="S3304">
        <v>3.067841</v>
      </c>
      <c r="T3304">
        <v>-0.25551679999999999</v>
      </c>
      <c r="U3304">
        <v>6.4407350000000002E-2</v>
      </c>
      <c r="V3304">
        <v>-3.2017499999999997E-2</v>
      </c>
      <c r="W3304">
        <v>0.12679199999999999</v>
      </c>
      <c r="X3304">
        <v>0.99141250000000003</v>
      </c>
      <c r="Y3304">
        <v>-0.14393129999999901</v>
      </c>
      <c r="Z3304">
        <v>1.627986E-2</v>
      </c>
      <c r="AA3304">
        <v>0.98945369999999999</v>
      </c>
      <c r="AB3304">
        <v>22</v>
      </c>
      <c r="AC3304">
        <v>13.1546</v>
      </c>
      <c r="AD3304">
        <v>-1.1132807779289999</v>
      </c>
      <c r="AE3304">
        <v>0.30219999999999902</v>
      </c>
      <c r="AF3304">
        <v>-1.9180616807068001</v>
      </c>
      <c r="AG3304">
        <v>-1.1132807779289999</v>
      </c>
      <c r="AH3304">
        <v>12.922981165382</v>
      </c>
      <c r="AI3304">
        <v>94.870629175423005</v>
      </c>
      <c r="AJ3304">
        <v>98.442352225691494</v>
      </c>
      <c r="AK3304">
        <v>13.1118952444839</v>
      </c>
      <c r="AL3304">
        <v>82.715746964172993</v>
      </c>
      <c r="AM3304">
        <v>91.849714687797302</v>
      </c>
      <c r="AN3304">
        <v>1.0000000383632399</v>
      </c>
    </row>
    <row r="3305" spans="1:40" x14ac:dyDescent="0.25">
      <c r="A3305" t="str">
        <f>"20190312164051527"</f>
        <v>20190312164051527</v>
      </c>
      <c r="B3305" t="str">
        <f>"1552380051519167"</f>
        <v>1552380051519167</v>
      </c>
      <c r="C3305" t="s">
        <v>40</v>
      </c>
      <c r="D3305">
        <v>5.8223710000000004</v>
      </c>
      <c r="E3305">
        <v>0.46529949999999998</v>
      </c>
      <c r="F3305" t="s">
        <v>48</v>
      </c>
      <c r="G3305">
        <v>-456.52960000000002</v>
      </c>
      <c r="H3305" s="1">
        <v>1.9662809999999998E-6</v>
      </c>
      <c r="I3305">
        <v>213.96780000000001</v>
      </c>
      <c r="J3305">
        <v>-469.95179999999999</v>
      </c>
      <c r="K3305">
        <v>1.113178</v>
      </c>
      <c r="L3305">
        <v>213.64590000000001</v>
      </c>
      <c r="M3305">
        <v>0.99280109999999999</v>
      </c>
      <c r="N3305">
        <v>0</v>
      </c>
      <c r="O3305">
        <v>-0.1190322</v>
      </c>
      <c r="P3305">
        <v>0.98924889999999999</v>
      </c>
      <c r="Q3305">
        <v>0.11481520000000001</v>
      </c>
      <c r="R3305">
        <v>-9.0576920000000005E-2</v>
      </c>
      <c r="S3305">
        <v>3.0678100000000001</v>
      </c>
      <c r="T3305">
        <v>-0.2504768</v>
      </c>
      <c r="U3305">
        <v>6.7794800000000002E-2</v>
      </c>
      <c r="V3305">
        <v>-2.8725090000000002E-2</v>
      </c>
      <c r="W3305">
        <v>0.12782579999999999</v>
      </c>
      <c r="X3305">
        <v>0.99138059999999995</v>
      </c>
      <c r="Y3305">
        <v>-0.14008899999999999</v>
      </c>
      <c r="Z3305">
        <v>1.5396699999999999E-2</v>
      </c>
      <c r="AA3305">
        <v>0.99001919999999999</v>
      </c>
      <c r="AB3305">
        <v>22</v>
      </c>
      <c r="AC3305">
        <v>13.422199999999901</v>
      </c>
      <c r="AD3305">
        <v>-1.113176033719</v>
      </c>
      <c r="AE3305">
        <v>0.32189999999999902</v>
      </c>
      <c r="AF3305">
        <v>-1.90433562990286</v>
      </c>
      <c r="AG3305">
        <v>-1.113176033719</v>
      </c>
      <c r="AH3305">
        <v>13.197711145154299</v>
      </c>
      <c r="AI3305">
        <v>94.772075730430501</v>
      </c>
      <c r="AJ3305">
        <v>98.210702032226706</v>
      </c>
      <c r="AK3305">
        <v>13.3807785477637</v>
      </c>
      <c r="AL3305">
        <v>82.656028604269906</v>
      </c>
      <c r="AM3305">
        <v>91.659671447429702</v>
      </c>
      <c r="AN3305">
        <v>1.0000000299987499</v>
      </c>
    </row>
    <row r="3306" spans="1:40" x14ac:dyDescent="0.25">
      <c r="A3306" t="str">
        <f>"20190312164051551"</f>
        <v>20190312164051551</v>
      </c>
      <c r="B3306" t="str">
        <f>"1552380051539663"</f>
        <v>1552380051539663</v>
      </c>
      <c r="C3306" t="s">
        <v>40</v>
      </c>
      <c r="D3306">
        <v>5.771865</v>
      </c>
      <c r="E3306">
        <v>0.46553600000000001</v>
      </c>
      <c r="F3306" t="s">
        <v>48</v>
      </c>
      <c r="G3306">
        <v>-456.11320000000001</v>
      </c>
      <c r="H3306" s="1">
        <v>1.744693E-6</v>
      </c>
      <c r="I3306">
        <v>213.9674</v>
      </c>
      <c r="J3306">
        <v>-469.72750000000002</v>
      </c>
      <c r="K3306">
        <v>1.113059</v>
      </c>
      <c r="L3306">
        <v>213.62520000000001</v>
      </c>
      <c r="M3306">
        <v>0.99339940000000004</v>
      </c>
      <c r="N3306">
        <v>0</v>
      </c>
      <c r="O3306">
        <v>-0.113941899999999</v>
      </c>
      <c r="P3306">
        <v>0.98946710000000004</v>
      </c>
      <c r="Q3306">
        <v>0.11445859999999999</v>
      </c>
      <c r="R3306">
        <v>-8.8625179999999998E-2</v>
      </c>
      <c r="S3306">
        <v>3.06778</v>
      </c>
      <c r="T3306">
        <v>-0.2467715</v>
      </c>
      <c r="U3306">
        <v>7.1273799999999998E-2</v>
      </c>
      <c r="V3306">
        <v>-2.556282E-2</v>
      </c>
      <c r="W3306">
        <v>0.12741530000000001</v>
      </c>
      <c r="X3306">
        <v>0.99151999999999996</v>
      </c>
      <c r="Y3306">
        <v>-0.1361897</v>
      </c>
      <c r="Z3306">
        <v>1.4606269999999999E-2</v>
      </c>
      <c r="AA3306">
        <v>0.99057510000000004</v>
      </c>
      <c r="AB3306">
        <v>22</v>
      </c>
      <c r="AC3306">
        <v>13.6143</v>
      </c>
      <c r="AD3306">
        <v>-1.1130572553069999</v>
      </c>
      <c r="AE3306">
        <v>0.34219999999999101</v>
      </c>
      <c r="AF3306">
        <v>-1.8787956952235301</v>
      </c>
      <c r="AG3306">
        <v>-1.1130572553069999</v>
      </c>
      <c r="AH3306">
        <v>13.397134282625199</v>
      </c>
      <c r="AI3306">
        <v>94.703508765204802</v>
      </c>
      <c r="AJ3306">
        <v>97.983019355060193</v>
      </c>
      <c r="AK3306">
        <v>13.5739447731554</v>
      </c>
      <c r="AL3306">
        <v>82.679742305551699</v>
      </c>
      <c r="AM3306">
        <v>91.4768409314309</v>
      </c>
      <c r="AN3306">
        <v>1.00000001342022</v>
      </c>
    </row>
    <row r="3307" spans="1:40" x14ac:dyDescent="0.25">
      <c r="A3307" t="str">
        <f>"20190312164051574"</f>
        <v>20190312164051574</v>
      </c>
      <c r="B3307" t="str">
        <f>"1552380051568943"</f>
        <v>1552380051568943</v>
      </c>
      <c r="C3307" t="s">
        <v>40</v>
      </c>
      <c r="D3307">
        <v>5.6618009999999996</v>
      </c>
      <c r="E3307">
        <v>0.46584039999999999</v>
      </c>
      <c r="F3307" t="s">
        <v>48</v>
      </c>
      <c r="G3307">
        <v>-455.95609999999999</v>
      </c>
      <c r="H3307" s="1">
        <v>1.6612850000000001E-6</v>
      </c>
      <c r="I3307">
        <v>213.9641</v>
      </c>
      <c r="J3307">
        <v>-469.51670000000001</v>
      </c>
      <c r="K3307">
        <v>1.1129439999999999</v>
      </c>
      <c r="L3307">
        <v>213.60659999999999</v>
      </c>
      <c r="M3307">
        <v>0.99391989999999997</v>
      </c>
      <c r="N3307">
        <v>0</v>
      </c>
      <c r="O3307">
        <v>-0.1093187</v>
      </c>
      <c r="P3307">
        <v>0.98957379999999995</v>
      </c>
      <c r="Q3307">
        <v>0.1147478</v>
      </c>
      <c r="R3307">
        <v>-8.7043529999999994E-2</v>
      </c>
      <c r="S3307">
        <v>3.0673520000000001</v>
      </c>
      <c r="T3307">
        <v>-0.2479151</v>
      </c>
      <c r="U3307">
        <v>7.5469969999999997E-2</v>
      </c>
      <c r="V3307">
        <v>-2.249313E-2</v>
      </c>
      <c r="W3307">
        <v>0.12764329999999999</v>
      </c>
      <c r="X3307">
        <v>0.99156500000000003</v>
      </c>
      <c r="Y3307">
        <v>-0.1329553</v>
      </c>
      <c r="Z3307">
        <v>1.4173710000000001E-2</v>
      </c>
      <c r="AA3307">
        <v>0.99102069999999998</v>
      </c>
      <c r="AB3307">
        <v>22</v>
      </c>
      <c r="AC3307">
        <v>13.560600000000001</v>
      </c>
      <c r="AD3307">
        <v>-1.1129423387149999</v>
      </c>
      <c r="AE3307">
        <v>0.35750000000001497</v>
      </c>
      <c r="AF3307">
        <v>-1.8256237473689501</v>
      </c>
      <c r="AG3307">
        <v>-1.1129423387149999</v>
      </c>
      <c r="AH3307">
        <v>13.3503664693361</v>
      </c>
      <c r="AI3307">
        <v>94.721655808762307</v>
      </c>
      <c r="AJ3307">
        <v>97.786734030385801</v>
      </c>
      <c r="AK3307">
        <v>13.520496573049201</v>
      </c>
      <c r="AL3307">
        <v>82.666570864630998</v>
      </c>
      <c r="AM3307">
        <v>91.299501723056494</v>
      </c>
      <c r="AN3307">
        <v>0.999999951078542</v>
      </c>
    </row>
    <row r="3308" spans="1:40" x14ac:dyDescent="0.25">
      <c r="A3308" t="str">
        <f>"20190312164051596"</f>
        <v>20190312164051596</v>
      </c>
      <c r="B3308" t="str">
        <f>"1552380051589439"</f>
        <v>1552380051589439</v>
      </c>
      <c r="C3308" t="s">
        <v>40</v>
      </c>
      <c r="D3308">
        <v>5.7555269999999998</v>
      </c>
      <c r="E3308">
        <v>0.46598309999999998</v>
      </c>
      <c r="F3308" t="s">
        <v>48</v>
      </c>
      <c r="G3308">
        <v>-455.69970000000001</v>
      </c>
      <c r="H3308" s="1">
        <v>1.5250509999999999E-6</v>
      </c>
      <c r="I3308">
        <v>213.95930000000001</v>
      </c>
      <c r="J3308">
        <v>-469.30380000000002</v>
      </c>
      <c r="K3308">
        <v>1.112808</v>
      </c>
      <c r="L3308">
        <v>213.58860000000001</v>
      </c>
      <c r="M3308">
        <v>0.99440660000000003</v>
      </c>
      <c r="N3308">
        <v>0</v>
      </c>
      <c r="O3308">
        <v>-0.10481310000000001</v>
      </c>
      <c r="P3308">
        <v>0.98961920000000003</v>
      </c>
      <c r="Q3308">
        <v>0.1153757</v>
      </c>
      <c r="R3308">
        <v>-8.568808E-2</v>
      </c>
      <c r="S3308">
        <v>3.0671689999999998</v>
      </c>
      <c r="T3308">
        <v>-0.24705820000000001</v>
      </c>
      <c r="U3308">
        <v>7.8292849999999997E-2</v>
      </c>
      <c r="V3308">
        <v>-1.931244E-2</v>
      </c>
      <c r="W3308">
        <v>0.12819</v>
      </c>
      <c r="X3308">
        <v>0.99156160000000004</v>
      </c>
      <c r="Y3308">
        <v>-0.12940739999999901</v>
      </c>
      <c r="Z3308">
        <v>1.362204E-2</v>
      </c>
      <c r="AA3308">
        <v>0.99149790000000004</v>
      </c>
      <c r="AB3308">
        <v>22</v>
      </c>
      <c r="AC3308">
        <v>13.604100000000001</v>
      </c>
      <c r="AD3308">
        <v>-1.1128064749490001</v>
      </c>
      <c r="AE3308">
        <v>0.37069999999999897</v>
      </c>
      <c r="AF3308">
        <v>-1.7827469829296501</v>
      </c>
      <c r="AG3308">
        <v>-1.1128064749490001</v>
      </c>
      <c r="AH3308">
        <v>13.400698176011</v>
      </c>
      <c r="AI3308">
        <v>94.705733699005506</v>
      </c>
      <c r="AJ3308">
        <v>97.577785449928498</v>
      </c>
      <c r="AK3308">
        <v>13.564484386086299</v>
      </c>
      <c r="AL3308">
        <v>82.634988361349002</v>
      </c>
      <c r="AM3308">
        <v>91.115796959050599</v>
      </c>
      <c r="AN3308">
        <v>1.00000002651665</v>
      </c>
    </row>
    <row r="3309" spans="1:40" x14ac:dyDescent="0.25">
      <c r="A3309" t="str">
        <f>"20190312164051617"</f>
        <v>20190312164051617</v>
      </c>
      <c r="B3309" t="str">
        <f>"1552380051608959"</f>
        <v>1552380051608959</v>
      </c>
      <c r="C3309" t="s">
        <v>40</v>
      </c>
      <c r="D3309">
        <v>5.6905000000000001</v>
      </c>
      <c r="E3309">
        <v>0.46616249999999998</v>
      </c>
      <c r="F3309" t="s">
        <v>48</v>
      </c>
      <c r="G3309">
        <v>-455.49779999999998</v>
      </c>
      <c r="H3309" s="1">
        <v>1.4178199999999999E-6</v>
      </c>
      <c r="I3309">
        <v>213.95339999999999</v>
      </c>
      <c r="J3309">
        <v>-469.09620000000001</v>
      </c>
      <c r="K3309">
        <v>1.1126750000000001</v>
      </c>
      <c r="L3309">
        <v>213.5718</v>
      </c>
      <c r="M3309">
        <v>0.99484459999999997</v>
      </c>
      <c r="N3309">
        <v>0</v>
      </c>
      <c r="O3309">
        <v>-0.1005858</v>
      </c>
      <c r="P3309">
        <v>0.98971120000000001</v>
      </c>
      <c r="Q3309">
        <v>0.11574230000000001</v>
      </c>
      <c r="R3309">
        <v>-8.4116399999999994E-2</v>
      </c>
      <c r="S3309">
        <v>3.0673219999999999</v>
      </c>
      <c r="T3309">
        <v>-0.24723539999999999</v>
      </c>
      <c r="U3309">
        <v>8.1054689999999999E-2</v>
      </c>
      <c r="V3309">
        <v>-1.6629519999999998E-2</v>
      </c>
      <c r="W3309">
        <v>0.12845860000000001</v>
      </c>
      <c r="X3309">
        <v>0.9915754</v>
      </c>
      <c r="Y3309">
        <v>-0.12610669999999999</v>
      </c>
      <c r="Z3309">
        <v>1.3159219999999999E-2</v>
      </c>
      <c r="AA3309">
        <v>0.99192939999999996</v>
      </c>
      <c r="AB3309">
        <v>22</v>
      </c>
      <c r="AC3309">
        <v>13.5984</v>
      </c>
      <c r="AD3309">
        <v>-1.11267358218</v>
      </c>
      <c r="AE3309">
        <v>0.381599999999991</v>
      </c>
      <c r="AF3309">
        <v>-1.7359708956825399</v>
      </c>
      <c r="AG3309">
        <v>-1.11267358218</v>
      </c>
      <c r="AH3309">
        <v>13.4013823327165</v>
      </c>
      <c r="AI3309">
        <v>94.707049632234003</v>
      </c>
      <c r="AJ3309">
        <v>97.380806828976205</v>
      </c>
      <c r="AK3309">
        <v>13.5590813065924</v>
      </c>
      <c r="AL3309">
        <v>82.619469948325403</v>
      </c>
      <c r="AM3309">
        <v>90.960806407770704</v>
      </c>
      <c r="AN3309">
        <v>0.99999996336727404</v>
      </c>
    </row>
    <row r="3310" spans="1:40" x14ac:dyDescent="0.25">
      <c r="A3310" t="str">
        <f>"20190312164051640"</f>
        <v>20190312164051640</v>
      </c>
      <c r="B3310" t="str">
        <f>"1552380051629455"</f>
        <v>1552380051629455</v>
      </c>
      <c r="C3310" t="s">
        <v>40</v>
      </c>
      <c r="D3310">
        <v>5.7139670000000002</v>
      </c>
      <c r="E3310">
        <v>0.46633580000000002</v>
      </c>
      <c r="F3310" t="s">
        <v>48</v>
      </c>
      <c r="G3310">
        <v>-455.30650000000003</v>
      </c>
      <c r="H3310" s="1">
        <v>1.316345E-6</v>
      </c>
      <c r="I3310">
        <v>213.94710000000001</v>
      </c>
      <c r="J3310">
        <v>-468.88119999999998</v>
      </c>
      <c r="K3310">
        <v>1.1125350000000001</v>
      </c>
      <c r="L3310">
        <v>213.55510000000001</v>
      </c>
      <c r="M3310">
        <v>0.99526079999999995</v>
      </c>
      <c r="N3310">
        <v>0</v>
      </c>
      <c r="O3310">
        <v>-9.6399979999999996E-2</v>
      </c>
      <c r="P3310">
        <v>0.98980049999999997</v>
      </c>
      <c r="Q3310">
        <v>0.11606379999999999</v>
      </c>
      <c r="R3310">
        <v>-8.2609639999999998E-2</v>
      </c>
      <c r="S3310">
        <v>3.0672299999999999</v>
      </c>
      <c r="T3310">
        <v>-0.24749209999999999</v>
      </c>
      <c r="U3310">
        <v>8.3480830000000006E-2</v>
      </c>
      <c r="V3310">
        <v>-1.392503E-2</v>
      </c>
      <c r="W3310">
        <v>0.1286629</v>
      </c>
      <c r="X3310">
        <v>0.99159059999999999</v>
      </c>
      <c r="Y3310">
        <v>-0.1227409</v>
      </c>
      <c r="Z3310">
        <v>1.2701459999999999E-2</v>
      </c>
      <c r="AA3310">
        <v>0.9923575</v>
      </c>
      <c r="AB3310">
        <v>22</v>
      </c>
      <c r="AC3310">
        <v>13.574699999999901</v>
      </c>
      <c r="AD3310">
        <v>-1.1125336836549999</v>
      </c>
      <c r="AE3310">
        <v>0.39199999999999502</v>
      </c>
      <c r="AF3310">
        <v>-1.68755587218873</v>
      </c>
      <c r="AG3310">
        <v>-1.1125336836549999</v>
      </c>
      <c r="AH3310">
        <v>13.3838535530858</v>
      </c>
      <c r="AI3310">
        <v>94.714631293393097</v>
      </c>
      <c r="AJ3310">
        <v>97.186439738211007</v>
      </c>
      <c r="AK3310">
        <v>13.535623810873</v>
      </c>
      <c r="AL3310">
        <v>82.607666617627402</v>
      </c>
      <c r="AM3310">
        <v>90.804558864589495</v>
      </c>
      <c r="AN3310">
        <v>0.99999998315263505</v>
      </c>
    </row>
    <row r="3311" spans="1:40" x14ac:dyDescent="0.25">
      <c r="A3311" t="str">
        <f>"20190312164051662"</f>
        <v>20190312164051662</v>
      </c>
      <c r="B3311" t="str">
        <f>"1552380051648978"</f>
        <v>1552380051648978</v>
      </c>
      <c r="C3311" t="s">
        <v>40</v>
      </c>
      <c r="D3311">
        <v>5.7314920000000003</v>
      </c>
      <c r="E3311">
        <v>0.46649770000000002</v>
      </c>
      <c r="F3311" t="s">
        <v>48</v>
      </c>
      <c r="G3311">
        <v>-455.14060000000001</v>
      </c>
      <c r="H3311" s="1">
        <v>1.228096E-6</v>
      </c>
      <c r="I3311">
        <v>213.9452</v>
      </c>
      <c r="J3311">
        <v>-468.6678</v>
      </c>
      <c r="K3311">
        <v>1.1124050000000001</v>
      </c>
      <c r="L3311">
        <v>213.53919999999999</v>
      </c>
      <c r="M3311">
        <v>0.9956391</v>
      </c>
      <c r="N3311">
        <v>0</v>
      </c>
      <c r="O3311">
        <v>-9.2430960000000006E-2</v>
      </c>
      <c r="P3311">
        <v>0.98990560000000005</v>
      </c>
      <c r="Q3311">
        <v>0.1158878</v>
      </c>
      <c r="R3311">
        <v>-8.1591120000000003E-2</v>
      </c>
      <c r="S3311">
        <v>3.067291</v>
      </c>
      <c r="T3311">
        <v>-0.24834909999999999</v>
      </c>
      <c r="U3311">
        <v>8.7081909999999998E-2</v>
      </c>
      <c r="V3311">
        <v>-1.095369E-2</v>
      </c>
      <c r="W3311">
        <v>0.1283579</v>
      </c>
      <c r="X3311">
        <v>0.99166739999999998</v>
      </c>
      <c r="Y3311">
        <v>-0.1199643</v>
      </c>
      <c r="Z3311">
        <v>1.231281E-2</v>
      </c>
      <c r="AA3311">
        <v>0.99270179999999997</v>
      </c>
      <c r="AB3311">
        <v>22</v>
      </c>
      <c r="AC3311">
        <v>13.527199999999899</v>
      </c>
      <c r="AD3311">
        <v>-1.1124037719040001</v>
      </c>
      <c r="AE3311">
        <v>0.40600000000000502</v>
      </c>
      <c r="AF3311">
        <v>-1.64358854807794</v>
      </c>
      <c r="AG3311">
        <v>-1.1124037719040001</v>
      </c>
      <c r="AH3311">
        <v>13.3416103329855</v>
      </c>
      <c r="AI3311">
        <v>94.730615412219706</v>
      </c>
      <c r="AJ3311">
        <v>97.023034288538199</v>
      </c>
      <c r="AK3311">
        <v>13.488416947305</v>
      </c>
      <c r="AL3311">
        <v>82.625287942962601</v>
      </c>
      <c r="AM3311">
        <v>90.632847953709998</v>
      </c>
      <c r="AN3311">
        <v>0.99999998301989201</v>
      </c>
    </row>
    <row r="3312" spans="1:40" x14ac:dyDescent="0.25">
      <c r="A3312" t="str">
        <f>"20190312164051683"</f>
        <v>20190312164051683</v>
      </c>
      <c r="B3312" t="str">
        <f>"1552380051679231"</f>
        <v>1552380051679231</v>
      </c>
      <c r="C3312" t="s">
        <v>40</v>
      </c>
      <c r="D3312">
        <v>5.7528509999999997</v>
      </c>
      <c r="E3312">
        <v>0.46683059999999998</v>
      </c>
      <c r="F3312" t="s">
        <v>48</v>
      </c>
      <c r="G3312">
        <v>-454.97239999999999</v>
      </c>
      <c r="H3312" s="1">
        <v>1.138822E-6</v>
      </c>
      <c r="I3312">
        <v>213.94030000000001</v>
      </c>
      <c r="J3312">
        <v>-468.46530000000001</v>
      </c>
      <c r="K3312">
        <v>1.112303</v>
      </c>
      <c r="L3312">
        <v>213.5247</v>
      </c>
      <c r="M3312">
        <v>0.99597159999999996</v>
      </c>
      <c r="N3312">
        <v>0</v>
      </c>
      <c r="O3312">
        <v>-8.8795799999999994E-2</v>
      </c>
      <c r="P3312">
        <v>0.99003920000000001</v>
      </c>
      <c r="Q3312">
        <v>0.1158183</v>
      </c>
      <c r="R3312">
        <v>-8.0053810000000003E-2</v>
      </c>
      <c r="S3312">
        <v>3.0672000000000001</v>
      </c>
      <c r="T3312">
        <v>-0.24913109999999999</v>
      </c>
      <c r="U3312">
        <v>8.9813229999999994E-2</v>
      </c>
      <c r="V3312">
        <v>-8.8435019999999996E-3</v>
      </c>
      <c r="W3312">
        <v>0.1281649</v>
      </c>
      <c r="X3312">
        <v>0.99171350000000003</v>
      </c>
      <c r="Y3312">
        <v>-0.1172405</v>
      </c>
      <c r="Z3312">
        <v>1.1947289999999999E-2</v>
      </c>
      <c r="AA3312">
        <v>0.99303169999999996</v>
      </c>
      <c r="AB3312">
        <v>22</v>
      </c>
      <c r="AC3312">
        <v>13.492900000000001</v>
      </c>
      <c r="AD3312">
        <v>-1.112301861178</v>
      </c>
      <c r="AE3312">
        <v>0.41560000000001202</v>
      </c>
      <c r="AF3312">
        <v>-1.60129269826225</v>
      </c>
      <c r="AG3312">
        <v>-1.112301861178</v>
      </c>
      <c r="AH3312">
        <v>13.312305501618001</v>
      </c>
      <c r="AI3312">
        <v>94.742194655312304</v>
      </c>
      <c r="AJ3312">
        <v>96.858963831190195</v>
      </c>
      <c r="AK3312">
        <v>13.4543238962163</v>
      </c>
      <c r="AL3312">
        <v>82.636438676928194</v>
      </c>
      <c r="AM3312">
        <v>90.510915612785297</v>
      </c>
      <c r="AN3312">
        <v>1.00000005760094</v>
      </c>
    </row>
    <row r="3313" spans="1:40" x14ac:dyDescent="0.25">
      <c r="A3313" t="str">
        <f>"20190312164051706"</f>
        <v>20190312164051706</v>
      </c>
      <c r="B3313" t="str">
        <f>"1552380051699373"</f>
        <v>1552380051699373</v>
      </c>
      <c r="C3313" t="s">
        <v>40</v>
      </c>
      <c r="D3313">
        <v>5.7264309999999998</v>
      </c>
      <c r="E3313">
        <v>0.4670397</v>
      </c>
      <c r="F3313" t="s">
        <v>48</v>
      </c>
      <c r="G3313">
        <v>-454.85270000000003</v>
      </c>
      <c r="H3313" s="1">
        <v>1.075543E-6</v>
      </c>
      <c r="I3313">
        <v>213.93109999999999</v>
      </c>
      <c r="J3313">
        <v>-468.25069999999999</v>
      </c>
      <c r="K3313">
        <v>1.1122209999999999</v>
      </c>
      <c r="L3313">
        <v>213.51009999999999</v>
      </c>
      <c r="M3313">
        <v>0.99629780000000001</v>
      </c>
      <c r="N3313">
        <v>0</v>
      </c>
      <c r="O3313">
        <v>-8.5079009999999997E-2</v>
      </c>
      <c r="P3313">
        <v>0.99004259999999999</v>
      </c>
      <c r="Q3313">
        <v>0.1163628</v>
      </c>
      <c r="R3313">
        <v>-7.9216780000000001E-2</v>
      </c>
      <c r="S3313">
        <v>3.0669249999999999</v>
      </c>
      <c r="T3313">
        <v>-0.25060310000000002</v>
      </c>
      <c r="U3313">
        <v>9.1552729999999999E-2</v>
      </c>
      <c r="V3313">
        <v>-5.9514429999999998E-3</v>
      </c>
      <c r="W3313">
        <v>0.1285848</v>
      </c>
      <c r="X3313">
        <v>0.99168069999999997</v>
      </c>
      <c r="Y3313">
        <v>-0.11411449999999999</v>
      </c>
      <c r="Z3313">
        <v>1.15887E-2</v>
      </c>
      <c r="AA3313">
        <v>0.99339999999999995</v>
      </c>
      <c r="AB3313">
        <v>22</v>
      </c>
      <c r="AC3313">
        <v>13.3979999999999</v>
      </c>
      <c r="AD3313">
        <v>-1.1122199244569999</v>
      </c>
      <c r="AE3313">
        <v>0.42099999999999199</v>
      </c>
      <c r="AF3313">
        <v>-1.5487860447688799</v>
      </c>
      <c r="AG3313">
        <v>-1.1122199244569999</v>
      </c>
      <c r="AH3313">
        <v>13.222562423067799</v>
      </c>
      <c r="AI3313">
        <v>94.775637188970094</v>
      </c>
      <c r="AJ3313">
        <v>96.680730939114795</v>
      </c>
      <c r="AK3313">
        <v>13.359338621531901</v>
      </c>
      <c r="AL3313">
        <v>82.612179326409105</v>
      </c>
      <c r="AM3313">
        <v>90.343849055670006</v>
      </c>
      <c r="AN3313">
        <v>1.00000004060865</v>
      </c>
    </row>
    <row r="3314" spans="1:40" x14ac:dyDescent="0.25">
      <c r="A3314" t="str">
        <f>"20190312164051728"</f>
        <v>20190312164051728</v>
      </c>
      <c r="B3314" t="str">
        <f>"1552380051718893"</f>
        <v>1552380051718893</v>
      </c>
      <c r="C3314" t="s">
        <v>40</v>
      </c>
      <c r="D3314">
        <v>5.7421829999999998</v>
      </c>
      <c r="E3314">
        <v>0.4925329</v>
      </c>
      <c r="F3314" t="s">
        <v>48</v>
      </c>
      <c r="G3314">
        <v>-454.64080000000001</v>
      </c>
      <c r="H3314" s="1">
        <v>9.6336120000000003E-7</v>
      </c>
      <c r="I3314">
        <v>213.9178</v>
      </c>
      <c r="J3314">
        <v>-468.02960000000002</v>
      </c>
      <c r="K3314">
        <v>1.1121369999999999</v>
      </c>
      <c r="L3314">
        <v>213.4956</v>
      </c>
      <c r="M3314">
        <v>0.99660859999999996</v>
      </c>
      <c r="N3314">
        <v>0</v>
      </c>
      <c r="O3314">
        <v>-8.1381999999999996E-2</v>
      </c>
      <c r="P3314">
        <v>0.99001119999999998</v>
      </c>
      <c r="Q3314">
        <v>0.1173695</v>
      </c>
      <c r="R3314">
        <v>-7.8118220000000002E-2</v>
      </c>
      <c r="S3314">
        <v>3.0669559999999998</v>
      </c>
      <c r="T3314">
        <v>-0.2506369</v>
      </c>
      <c r="U3314">
        <v>9.1888429999999993E-2</v>
      </c>
      <c r="V3314">
        <v>-3.342692E-3</v>
      </c>
      <c r="W3314">
        <v>0.12945299999999901</v>
      </c>
      <c r="X3314">
        <v>0.99157989999999996</v>
      </c>
      <c r="Y3314">
        <v>-0.1105603</v>
      </c>
      <c r="Z3314">
        <v>1.114418E-2</v>
      </c>
      <c r="AA3314">
        <v>0.993807</v>
      </c>
      <c r="AB3314">
        <v>22</v>
      </c>
      <c r="AC3314">
        <v>13.3888</v>
      </c>
      <c r="AD3314">
        <v>-1.1121360366388</v>
      </c>
      <c r="AE3314">
        <v>0.42220000000000302</v>
      </c>
      <c r="AF3314">
        <v>-1.50014711761927</v>
      </c>
      <c r="AG3314">
        <v>-1.1121360366388</v>
      </c>
      <c r="AH3314">
        <v>13.218904154320899</v>
      </c>
      <c r="AI3314">
        <v>94.778567694138204</v>
      </c>
      <c r="AJ3314">
        <v>96.474510669345506</v>
      </c>
      <c r="AK3314">
        <v>13.350157863471599</v>
      </c>
      <c r="AL3314">
        <v>82.562015384171502</v>
      </c>
      <c r="AM3314">
        <v>90.193147741620294</v>
      </c>
      <c r="AN3314">
        <v>0.99999997544140795</v>
      </c>
    </row>
    <row r="3315" spans="1:40" x14ac:dyDescent="0.25">
      <c r="A3315" t="str">
        <f>"20190312164051752"</f>
        <v>20190312164051752</v>
      </c>
      <c r="B3315" t="str">
        <f>"1552380051739389"</f>
        <v>1552380051739389</v>
      </c>
      <c r="C3315" t="s">
        <v>40</v>
      </c>
      <c r="D3315">
        <v>5.7943089999999904</v>
      </c>
      <c r="E3315">
        <v>0.49469429999999998</v>
      </c>
      <c r="F3315" t="s">
        <v>48</v>
      </c>
      <c r="G3315">
        <v>-452.79910000000001</v>
      </c>
      <c r="H3315" s="1">
        <v>2.6164489999999999E-8</v>
      </c>
      <c r="I3315">
        <v>212.93680000000001</v>
      </c>
      <c r="J3315">
        <v>-467.80869999999999</v>
      </c>
      <c r="K3315">
        <v>1.112069</v>
      </c>
      <c r="L3315">
        <v>213.48179999999999</v>
      </c>
      <c r="M3315">
        <v>0.99689669999999997</v>
      </c>
      <c r="N3315">
        <v>0</v>
      </c>
      <c r="O3315">
        <v>-7.7794779999999994E-2</v>
      </c>
      <c r="P3315">
        <v>0.99032569999999998</v>
      </c>
      <c r="Q3315">
        <v>0.1156219</v>
      </c>
      <c r="R3315">
        <v>-7.672474E-2</v>
      </c>
      <c r="S3315">
        <v>3.0478209999999999</v>
      </c>
      <c r="T3315">
        <v>-0.2225529</v>
      </c>
      <c r="U3315">
        <v>-0.11183170000000001</v>
      </c>
      <c r="V3315">
        <v>-1.1580609999999999E-3</v>
      </c>
      <c r="W3315">
        <v>0.12756429999999999</v>
      </c>
      <c r="X3315">
        <v>0.99182959999999998</v>
      </c>
      <c r="Y3315">
        <v>-4.0876570000000001E-2</v>
      </c>
      <c r="Z3315">
        <v>7.1551569999999997E-3</v>
      </c>
      <c r="AA3315">
        <v>0.99913859999999999</v>
      </c>
      <c r="AB3315">
        <v>22</v>
      </c>
      <c r="AC3315">
        <v>15.009599999999899</v>
      </c>
      <c r="AD3315">
        <v>-1.1120689738355101</v>
      </c>
      <c r="AE3315">
        <v>-0.54499999999998705</v>
      </c>
      <c r="AF3315">
        <v>-0.62100064612682804</v>
      </c>
      <c r="AG3315">
        <v>-1.1120689738355101</v>
      </c>
      <c r="AH3315">
        <v>14.924686672500901</v>
      </c>
      <c r="AI3315">
        <v>94.257680612877493</v>
      </c>
      <c r="AJ3315">
        <v>92.382643233176793</v>
      </c>
      <c r="AK3315">
        <v>14.9789389302908</v>
      </c>
      <c r="AL3315">
        <v>82.671134704335302</v>
      </c>
      <c r="AM3315">
        <v>90.066898565606706</v>
      </c>
      <c r="AN3315">
        <v>0.999999973587964</v>
      </c>
    </row>
    <row r="3316" spans="1:40" x14ac:dyDescent="0.25">
      <c r="A3316" t="str">
        <f>"20190312164051775"</f>
        <v>20190312164051775</v>
      </c>
      <c r="B3316" t="str">
        <f>"1552380051769645"</f>
        <v>1552380051769645</v>
      </c>
      <c r="C3316" t="s">
        <v>40</v>
      </c>
      <c r="D3316">
        <v>5.6591550000000002</v>
      </c>
      <c r="E3316">
        <v>0.49547980000000003</v>
      </c>
      <c r="F3316" t="s">
        <v>48</v>
      </c>
      <c r="G3316">
        <v>-452.83659999999998</v>
      </c>
      <c r="H3316" s="1">
        <v>4.9149110000000001E-8</v>
      </c>
      <c r="I3316">
        <v>212.86789999999999</v>
      </c>
      <c r="J3316">
        <v>-467.5822</v>
      </c>
      <c r="K3316">
        <v>1.112006</v>
      </c>
      <c r="L3316">
        <v>213.4684</v>
      </c>
      <c r="M3316">
        <v>0.99717319999999998</v>
      </c>
      <c r="N3316">
        <v>0</v>
      </c>
      <c r="O3316">
        <v>-7.4193629999999997E-2</v>
      </c>
      <c r="P3316">
        <v>0.99068999999999996</v>
      </c>
      <c r="Q3316">
        <v>0.1140318</v>
      </c>
      <c r="R3316">
        <v>-7.4366189999999999E-2</v>
      </c>
      <c r="S3316">
        <v>3.0460509999999998</v>
      </c>
      <c r="T3316">
        <v>-0.22624929999999999</v>
      </c>
      <c r="U3316">
        <v>-0.1249084</v>
      </c>
      <c r="V3316" s="1">
        <v>7.0483419999999998E-5</v>
      </c>
      <c r="W3316">
        <v>0.12582750000000001</v>
      </c>
      <c r="X3316">
        <v>0.99205209999999999</v>
      </c>
      <c r="Y3316">
        <v>-3.2982989999999997E-2</v>
      </c>
      <c r="Z3316">
        <v>6.7181740000000004E-3</v>
      </c>
      <c r="AA3316">
        <v>0.99943329999999997</v>
      </c>
      <c r="AB3316">
        <v>22</v>
      </c>
      <c r="AC3316">
        <v>14.7456</v>
      </c>
      <c r="AD3316">
        <v>-1.1120059508508899</v>
      </c>
      <c r="AE3316">
        <v>-0.60050000000001003</v>
      </c>
      <c r="AF3316">
        <v>-0.49246592402422801</v>
      </c>
      <c r="AG3316">
        <v>-1.1120059508508899</v>
      </c>
      <c r="AH3316">
        <v>14.666239681688401</v>
      </c>
      <c r="AI3316">
        <v>94.333482494602194</v>
      </c>
      <c r="AJ3316">
        <v>91.923166553098099</v>
      </c>
      <c r="AK3316">
        <v>14.716577941960001</v>
      </c>
      <c r="AL3316">
        <v>82.771454397782193</v>
      </c>
      <c r="AM3316">
        <v>89.995929243549895</v>
      </c>
      <c r="AN3316">
        <v>0.99999996691928505</v>
      </c>
    </row>
    <row r="3317" spans="1:40" x14ac:dyDescent="0.25">
      <c r="A3317" t="str">
        <f>"20190312164051796"</f>
        <v>20190312164051796</v>
      </c>
      <c r="B3317" t="str">
        <f>"1552380051789165"</f>
        <v>1552380051789165</v>
      </c>
      <c r="C3317" t="s">
        <v>40</v>
      </c>
      <c r="D3317">
        <v>5.847537</v>
      </c>
      <c r="E3317">
        <v>0.49587969999999998</v>
      </c>
      <c r="F3317" t="s">
        <v>48</v>
      </c>
      <c r="G3317">
        <v>-452.98950000000002</v>
      </c>
      <c r="H3317" s="1">
        <v>1.3024710000000001E-7</v>
      </c>
      <c r="I3317">
        <v>212.8734</v>
      </c>
      <c r="J3317">
        <v>-467.37729999999999</v>
      </c>
      <c r="K3317">
        <v>1.111972</v>
      </c>
      <c r="L3317">
        <v>213.45689999999999</v>
      </c>
      <c r="M3317">
        <v>0.99740839999999997</v>
      </c>
      <c r="N3317">
        <v>0</v>
      </c>
      <c r="O3317">
        <v>-7.0981580000000002E-2</v>
      </c>
      <c r="P3317">
        <v>0.9908652</v>
      </c>
      <c r="Q3317">
        <v>0.11368789999999999</v>
      </c>
      <c r="R3317">
        <v>-7.2535230000000006E-2</v>
      </c>
      <c r="S3317">
        <v>3.045563</v>
      </c>
      <c r="T3317">
        <v>-0.23208090000000001</v>
      </c>
      <c r="U3317">
        <v>-0.1241913</v>
      </c>
      <c r="V3317">
        <v>1.439648E-3</v>
      </c>
      <c r="W3317">
        <v>0.12535299999999999</v>
      </c>
      <c r="X3317">
        <v>0.99211110000000002</v>
      </c>
      <c r="Y3317">
        <v>-2.99946E-2</v>
      </c>
      <c r="Z3317">
        <v>6.5346680000000004E-3</v>
      </c>
      <c r="AA3317">
        <v>0.99952870000000005</v>
      </c>
      <c r="AB3317">
        <v>22</v>
      </c>
      <c r="AC3317">
        <v>14.387799999999899</v>
      </c>
      <c r="AD3317">
        <v>-1.1119718697529</v>
      </c>
      <c r="AE3317">
        <v>-0.58349999999998603</v>
      </c>
      <c r="AF3317">
        <v>-0.43670710438947202</v>
      </c>
      <c r="AG3317">
        <v>-1.1119718697529</v>
      </c>
      <c r="AH3317">
        <v>14.307603956928199</v>
      </c>
      <c r="AI3317">
        <v>94.4419737865136</v>
      </c>
      <c r="AJ3317">
        <v>91.748280709409599</v>
      </c>
      <c r="AK3317">
        <v>14.357392713248901</v>
      </c>
      <c r="AL3317">
        <v>82.798858036538903</v>
      </c>
      <c r="AM3317">
        <v>89.916858407804895</v>
      </c>
      <c r="AN3317">
        <v>0.99999994096928502</v>
      </c>
    </row>
    <row r="3318" spans="1:40" x14ac:dyDescent="0.25">
      <c r="A3318" t="str">
        <f>"20190312164051818"</f>
        <v>20190312164051818</v>
      </c>
      <c r="B3318" t="str">
        <f>"1552380051809288"</f>
        <v>1552380051809288</v>
      </c>
      <c r="C3318" t="s">
        <v>40</v>
      </c>
      <c r="D3318">
        <v>5.7124920000000001</v>
      </c>
      <c r="E3318">
        <v>0.4962027</v>
      </c>
      <c r="F3318" t="s">
        <v>48</v>
      </c>
      <c r="G3318">
        <v>-452.76859999999999</v>
      </c>
      <c r="H3318" s="1">
        <v>1.2829069999999999E-8</v>
      </c>
      <c r="I3318">
        <v>212.87039999999999</v>
      </c>
      <c r="J3318">
        <v>-467.16719999999998</v>
      </c>
      <c r="K3318">
        <v>1.1119559999999999</v>
      </c>
      <c r="L3318">
        <v>213.44579999999999</v>
      </c>
      <c r="M3318">
        <v>0.9976372</v>
      </c>
      <c r="N3318">
        <v>0</v>
      </c>
      <c r="O3318">
        <v>-6.7716499999999999E-2</v>
      </c>
      <c r="P3318">
        <v>0.99090889999999998</v>
      </c>
      <c r="Q3318">
        <v>0.1145366</v>
      </c>
      <c r="R3318">
        <v>-7.0577000000000001E-2</v>
      </c>
      <c r="S3318">
        <v>3.0453190000000001</v>
      </c>
      <c r="T3318">
        <v>-0.23180020000000001</v>
      </c>
      <c r="U3318">
        <v>-0.12226869999999999</v>
      </c>
      <c r="V3318">
        <v>2.734134E-3</v>
      </c>
      <c r="W3318">
        <v>0.12606539999999999</v>
      </c>
      <c r="X3318">
        <v>0.99201819999999996</v>
      </c>
      <c r="Y3318">
        <v>-2.7367030000000001E-2</v>
      </c>
      <c r="Z3318">
        <v>6.1801290000000004E-3</v>
      </c>
      <c r="AA3318">
        <v>0.99960640000000001</v>
      </c>
      <c r="AB3318">
        <v>22</v>
      </c>
      <c r="AC3318">
        <v>14.398599999999901</v>
      </c>
      <c r="AD3318">
        <v>-1.1119559871709299</v>
      </c>
      <c r="AE3318">
        <v>-0.57540000000000102</v>
      </c>
      <c r="AF3318">
        <v>-0.398635663222077</v>
      </c>
      <c r="AG3318">
        <v>-1.1119559871709299</v>
      </c>
      <c r="AH3318">
        <v>14.319248496476799</v>
      </c>
      <c r="AI3318">
        <v>94.438658723377699</v>
      </c>
      <c r="AJ3318">
        <v>91.594653749204795</v>
      </c>
      <c r="AK3318">
        <v>14.367888989453199</v>
      </c>
      <c r="AL3318">
        <v>82.757714814272205</v>
      </c>
      <c r="AM3318">
        <v>89.842085616814003</v>
      </c>
      <c r="AN3318">
        <v>1.00000003484856</v>
      </c>
    </row>
    <row r="3319" spans="1:40" x14ac:dyDescent="0.25">
      <c r="A3319" t="str">
        <f>"20190312164051841"</f>
        <v>20190312164051841</v>
      </c>
      <c r="B3319" t="str">
        <f>"1552380051829783"</f>
        <v>1552380051829783</v>
      </c>
      <c r="C3319" t="s">
        <v>40</v>
      </c>
      <c r="D3319">
        <v>5.6295390000000003</v>
      </c>
      <c r="E3319">
        <v>0.49651339999999999</v>
      </c>
      <c r="F3319" t="s">
        <v>48</v>
      </c>
      <c r="G3319">
        <v>-452.34699999999998</v>
      </c>
      <c r="H3319" s="1">
        <v>-2.1114660000000001E-7</v>
      </c>
      <c r="I3319">
        <v>212.86199999999999</v>
      </c>
      <c r="J3319">
        <v>-466.93770000000001</v>
      </c>
      <c r="K3319">
        <v>1.111945</v>
      </c>
      <c r="L3319">
        <v>213.43440000000001</v>
      </c>
      <c r="M3319">
        <v>0.99787269999999995</v>
      </c>
      <c r="N3319">
        <v>0</v>
      </c>
      <c r="O3319">
        <v>-6.4183089999999998E-2</v>
      </c>
      <c r="P3319">
        <v>0.99094409999999999</v>
      </c>
      <c r="Q3319">
        <v>0.1157768</v>
      </c>
      <c r="R3319">
        <v>-6.8013089999999998E-2</v>
      </c>
      <c r="S3319">
        <v>3.0453489999999999</v>
      </c>
      <c r="T3319">
        <v>-0.22849179999999999</v>
      </c>
      <c r="U3319">
        <v>-0.11994929999999999</v>
      </c>
      <c r="V3319">
        <v>3.6865040000000002E-3</v>
      </c>
      <c r="W3319">
        <v>0.12715000000000001</v>
      </c>
      <c r="X3319">
        <v>0.99187669999999994</v>
      </c>
      <c r="Y3319">
        <v>-2.461265E-2</v>
      </c>
      <c r="Z3319">
        <v>5.7250299999999999E-3</v>
      </c>
      <c r="AA3319">
        <v>0.99968069999999998</v>
      </c>
      <c r="AB3319">
        <v>22</v>
      </c>
      <c r="AC3319">
        <v>14.5907</v>
      </c>
      <c r="AD3319">
        <v>-1.1119452111465999</v>
      </c>
      <c r="AE3319">
        <v>-0.57240000000001601</v>
      </c>
      <c r="AF3319">
        <v>-0.36321150267658397</v>
      </c>
      <c r="AG3319">
        <v>-1.1119452111465999</v>
      </c>
      <c r="AH3319">
        <v>14.5131921351455</v>
      </c>
      <c r="AI3319">
        <v>94.379857938377199</v>
      </c>
      <c r="AJ3319">
        <v>91.433602130215903</v>
      </c>
      <c r="AK3319">
        <v>14.560257233301799</v>
      </c>
      <c r="AL3319">
        <v>82.695067795226294</v>
      </c>
      <c r="AM3319">
        <v>89.787049995452605</v>
      </c>
      <c r="AN3319">
        <v>1.0000000504073101</v>
      </c>
    </row>
    <row r="3320" spans="1:40" x14ac:dyDescent="0.25">
      <c r="A3320" t="str">
        <f>"20190312164051862"</f>
        <v>20190312164051862</v>
      </c>
      <c r="B3320" t="str">
        <f>"1552380051859063"</f>
        <v>1552380051859063</v>
      </c>
      <c r="C3320" t="s">
        <v>40</v>
      </c>
      <c r="D3320">
        <v>5.663602</v>
      </c>
      <c r="E3320">
        <v>0.4969209</v>
      </c>
      <c r="F3320" t="s">
        <v>48</v>
      </c>
      <c r="G3320">
        <v>-451.95030000000003</v>
      </c>
      <c r="H3320" s="1">
        <v>-4.2279889999999998E-7</v>
      </c>
      <c r="I3320">
        <v>212.874</v>
      </c>
      <c r="J3320">
        <v>-466.72519999999997</v>
      </c>
      <c r="K3320">
        <v>1.1119300000000001</v>
      </c>
      <c r="L3320">
        <v>213.42439999999999</v>
      </c>
      <c r="M3320">
        <v>0.99807760000000001</v>
      </c>
      <c r="N3320">
        <v>0</v>
      </c>
      <c r="O3320">
        <v>-6.094024E-2</v>
      </c>
      <c r="P3320">
        <v>0.99095390000000005</v>
      </c>
      <c r="Q3320">
        <v>0.1163918</v>
      </c>
      <c r="R3320">
        <v>-6.6806669999999999E-2</v>
      </c>
      <c r="S3320">
        <v>3.0460210000000001</v>
      </c>
      <c r="T3320">
        <v>-0.2259901</v>
      </c>
      <c r="U3320">
        <v>-0.1138916</v>
      </c>
      <c r="V3320">
        <v>5.7078340000000002E-3</v>
      </c>
      <c r="W3320">
        <v>0.1276272</v>
      </c>
      <c r="X3320">
        <v>0.99180579999999996</v>
      </c>
      <c r="Y3320">
        <v>-2.3375699999999999E-2</v>
      </c>
      <c r="Z3320">
        <v>5.3760530000000004E-3</v>
      </c>
      <c r="AA3320">
        <v>0.9997123</v>
      </c>
      <c r="AB3320">
        <v>22</v>
      </c>
      <c r="AC3320">
        <v>14.774899999999899</v>
      </c>
      <c r="AD3320">
        <v>-1.11193042279889</v>
      </c>
      <c r="AE3320">
        <v>-0.55039999999996703</v>
      </c>
      <c r="AF3320">
        <v>-0.34909196415083199</v>
      </c>
      <c r="AG3320">
        <v>-1.11193042279889</v>
      </c>
      <c r="AH3320">
        <v>14.6978497791492</v>
      </c>
      <c r="AI3320">
        <v>94.325117954730899</v>
      </c>
      <c r="AJ3320">
        <v>91.360589249056801</v>
      </c>
      <c r="AK3320">
        <v>14.743983267591499</v>
      </c>
      <c r="AL3320">
        <v>82.667501391837405</v>
      </c>
      <c r="AM3320">
        <v>89.670266913163104</v>
      </c>
      <c r="AN3320">
        <v>1.0000000132312199</v>
      </c>
    </row>
    <row r="3321" spans="1:40" x14ac:dyDescent="0.25">
      <c r="A3321" t="str">
        <f>"20190312164051884"</f>
        <v>20190312164051884</v>
      </c>
      <c r="B3321" t="str">
        <f>"1552380051879560"</f>
        <v>1552380051879560</v>
      </c>
      <c r="C3321" t="s">
        <v>40</v>
      </c>
      <c r="D3321">
        <v>5.6539510000000002</v>
      </c>
      <c r="E3321">
        <v>0.49725780000000003</v>
      </c>
      <c r="F3321" t="s">
        <v>48</v>
      </c>
      <c r="G3321">
        <v>-451.58769999999998</v>
      </c>
      <c r="H3321" s="1">
        <v>-6.151933E-7</v>
      </c>
      <c r="I3321">
        <v>212.86179999999999</v>
      </c>
      <c r="J3321">
        <v>-466.5224</v>
      </c>
      <c r="K3321">
        <v>1.1119129999999999</v>
      </c>
      <c r="L3321">
        <v>213.41560000000001</v>
      </c>
      <c r="M3321">
        <v>0.99826219999999999</v>
      </c>
      <c r="N3321">
        <v>0</v>
      </c>
      <c r="O3321">
        <v>-5.7864930000000002E-2</v>
      </c>
      <c r="P3321">
        <v>0.99099579999999998</v>
      </c>
      <c r="Q3321">
        <v>0.1165915</v>
      </c>
      <c r="R3321">
        <v>-6.5832230000000005E-2</v>
      </c>
      <c r="S3321">
        <v>3.0460210000000001</v>
      </c>
      <c r="T3321">
        <v>-0.22374649999999999</v>
      </c>
      <c r="U3321">
        <v>-0.11322019999999999</v>
      </c>
      <c r="V3321">
        <v>7.7930539999999998E-3</v>
      </c>
      <c r="W3321">
        <v>0.12770190000000001</v>
      </c>
      <c r="X3321">
        <v>0.99178189999999999</v>
      </c>
      <c r="Y3321">
        <v>-2.0535919999999999E-2</v>
      </c>
      <c r="Z3321">
        <v>4.9936190000000004E-3</v>
      </c>
      <c r="AA3321">
        <v>0.99977669999999996</v>
      </c>
      <c r="AB3321">
        <v>22</v>
      </c>
      <c r="AC3321">
        <v>14.934699999999999</v>
      </c>
      <c r="AD3321">
        <v>-1.1119136151933</v>
      </c>
      <c r="AE3321">
        <v>-0.55380000000002305</v>
      </c>
      <c r="AF3321">
        <v>-0.309662983897526</v>
      </c>
      <c r="AG3321">
        <v>-1.1119136151933</v>
      </c>
      <c r="AH3321">
        <v>14.859466489870901</v>
      </c>
      <c r="AI3321">
        <v>94.278464233824195</v>
      </c>
      <c r="AJ3321">
        <v>91.193839249135095</v>
      </c>
      <c r="AK3321">
        <v>14.904227165970299</v>
      </c>
      <c r="AL3321">
        <v>82.663185414186103</v>
      </c>
      <c r="AM3321">
        <v>89.549800299285707</v>
      </c>
      <c r="AN3321">
        <v>0.99999992206093002</v>
      </c>
    </row>
    <row r="3322" spans="1:40" x14ac:dyDescent="0.25">
      <c r="A3322" t="str">
        <f>"20190312164051907"</f>
        <v>20190312164051907</v>
      </c>
      <c r="B3322" t="str">
        <f>"1552380051899079"</f>
        <v>1552380051899079</v>
      </c>
      <c r="C3322" t="s">
        <v>40</v>
      </c>
      <c r="D3322">
        <v>5.6928109999999998</v>
      </c>
      <c r="E3322">
        <v>0.49751640000000003</v>
      </c>
      <c r="F3322" t="s">
        <v>48</v>
      </c>
      <c r="G3322">
        <v>-451.3802</v>
      </c>
      <c r="H3322" s="1">
        <v>-7.2527130000000004E-7</v>
      </c>
      <c r="I3322">
        <v>212.8537</v>
      </c>
      <c r="J3322">
        <v>-466.29250000000002</v>
      </c>
      <c r="K3322">
        <v>1.111885</v>
      </c>
      <c r="L3322">
        <v>213.40629999999999</v>
      </c>
      <c r="M3322">
        <v>0.99845819999999996</v>
      </c>
      <c r="N3322">
        <v>0</v>
      </c>
      <c r="O3322">
        <v>-5.4408739999999997E-2</v>
      </c>
      <c r="P3322">
        <v>0.99109729999999996</v>
      </c>
      <c r="Q3322">
        <v>0.1166687</v>
      </c>
      <c r="R3322">
        <v>-6.4147289999999996E-2</v>
      </c>
      <c r="S3322">
        <v>3.0460509999999998</v>
      </c>
      <c r="T3322">
        <v>-0.2236754</v>
      </c>
      <c r="U3322">
        <v>-0.1130371</v>
      </c>
      <c r="V3322">
        <v>9.5462259999999997E-3</v>
      </c>
      <c r="W3322">
        <v>0.1276301</v>
      </c>
      <c r="X3322">
        <v>0.99177590000000004</v>
      </c>
      <c r="Y3322">
        <v>-1.7153450000000001E-2</v>
      </c>
      <c r="Z3322">
        <v>4.6150590000000003E-3</v>
      </c>
      <c r="AA3322">
        <v>0.99984220000000001</v>
      </c>
      <c r="AB3322">
        <v>22</v>
      </c>
      <c r="AC3322">
        <v>14.9123</v>
      </c>
      <c r="AD3322">
        <v>-1.1118857252712999</v>
      </c>
      <c r="AE3322">
        <v>-0.55259999999998399</v>
      </c>
      <c r="AF3322">
        <v>-0.25819370465542901</v>
      </c>
      <c r="AG3322">
        <v>-1.1118857252712999</v>
      </c>
      <c r="AH3322">
        <v>14.83789924211</v>
      </c>
      <c r="AI3322">
        <v>94.2848334146083</v>
      </c>
      <c r="AJ3322">
        <v>90.996901009209907</v>
      </c>
      <c r="AK3322">
        <v>14.8817407508058</v>
      </c>
      <c r="AL3322">
        <v>82.6673337984775</v>
      </c>
      <c r="AM3322">
        <v>89.448523028770296</v>
      </c>
      <c r="AN3322">
        <v>1.00000000433883</v>
      </c>
    </row>
    <row r="3323" spans="1:40" x14ac:dyDescent="0.25">
      <c r="A3323" t="str">
        <f>"20190312164051931"</f>
        <v>20190312164051931</v>
      </c>
      <c r="B3323" t="str">
        <f>"1552380051919575"</f>
        <v>1552380051919575</v>
      </c>
      <c r="C3323" t="s">
        <v>40</v>
      </c>
      <c r="D3323">
        <v>5.695233</v>
      </c>
      <c r="E3323">
        <v>0.49752079999999999</v>
      </c>
      <c r="F3323" t="s">
        <v>48</v>
      </c>
      <c r="G3323">
        <v>-451.32580000000002</v>
      </c>
      <c r="H3323" s="1">
        <v>-7.5475359999999999E-7</v>
      </c>
      <c r="I3323">
        <v>212.8663</v>
      </c>
      <c r="J3323">
        <v>-466.0668</v>
      </c>
      <c r="K3323">
        <v>1.111845</v>
      </c>
      <c r="L3323">
        <v>213.39789999999999</v>
      </c>
      <c r="M3323">
        <v>0.99863679999999999</v>
      </c>
      <c r="N3323">
        <v>0</v>
      </c>
      <c r="O3323">
        <v>-5.1061189999999999E-2</v>
      </c>
      <c r="P3323">
        <v>0.99118079999999997</v>
      </c>
      <c r="Q3323">
        <v>0.1166142</v>
      </c>
      <c r="R3323">
        <v>-6.2946799999999997E-2</v>
      </c>
      <c r="S3323">
        <v>3.046478</v>
      </c>
      <c r="T3323">
        <v>-0.2263252</v>
      </c>
      <c r="U3323">
        <v>-0.1099243</v>
      </c>
      <c r="V3323">
        <v>1.16779E-2</v>
      </c>
      <c r="W3323">
        <v>0.1274267</v>
      </c>
      <c r="X3323">
        <v>0.99177930000000003</v>
      </c>
      <c r="Y3323">
        <v>-1.483786E-2</v>
      </c>
      <c r="Z3323">
        <v>4.3352629999999998E-3</v>
      </c>
      <c r="AA3323">
        <v>0.99988049999999995</v>
      </c>
      <c r="AB3323">
        <v>22</v>
      </c>
      <c r="AC3323">
        <v>14.7409999999999</v>
      </c>
      <c r="AD3323">
        <v>-1.1118457547536</v>
      </c>
      <c r="AE3323">
        <v>-0.53159999999999696</v>
      </c>
      <c r="AF3323">
        <v>-0.220577456126586</v>
      </c>
      <c r="AG3323">
        <v>-1.1118457547536</v>
      </c>
      <c r="AH3323">
        <v>14.6655901855009</v>
      </c>
      <c r="AI3323">
        <v>94.334996073611407</v>
      </c>
      <c r="AJ3323">
        <v>90.8616908202914</v>
      </c>
      <c r="AK3323">
        <v>14.709330062432301</v>
      </c>
      <c r="AL3323">
        <v>82.679084098044299</v>
      </c>
      <c r="AM3323">
        <v>89.325390775657695</v>
      </c>
      <c r="AN3323">
        <v>1.00000005856489</v>
      </c>
    </row>
    <row r="3324" spans="1:40" x14ac:dyDescent="0.25">
      <c r="A3324" t="str">
        <f>"20190312164051953"</f>
        <v>20190312164051953</v>
      </c>
      <c r="B3324" t="str">
        <f>"1552380051949832"</f>
        <v>1552380051949832</v>
      </c>
      <c r="C3324" t="s">
        <v>40</v>
      </c>
      <c r="D3324">
        <v>5.6047229999999999</v>
      </c>
      <c r="E3324">
        <v>0.49967020000000001</v>
      </c>
      <c r="F3324" t="s">
        <v>48</v>
      </c>
      <c r="G3324">
        <v>-451.24520000000001</v>
      </c>
      <c r="H3324" s="1">
        <v>-7.9837279999999996E-7</v>
      </c>
      <c r="I3324">
        <v>212.88229999999999</v>
      </c>
      <c r="J3324">
        <v>-465.84039999999999</v>
      </c>
      <c r="K3324">
        <v>1.111802</v>
      </c>
      <c r="L3324">
        <v>213.39009999999999</v>
      </c>
      <c r="M3324">
        <v>0.99880179999999996</v>
      </c>
      <c r="N3324">
        <v>0</v>
      </c>
      <c r="O3324">
        <v>-4.7759099999999999E-2</v>
      </c>
      <c r="P3324">
        <v>0.99128649999999996</v>
      </c>
      <c r="Q3324">
        <v>0.1162415</v>
      </c>
      <c r="R3324">
        <v>-6.1961120000000001E-2</v>
      </c>
      <c r="S3324">
        <v>3.0468139999999999</v>
      </c>
      <c r="T3324">
        <v>-0.2285576</v>
      </c>
      <c r="U3324">
        <v>-0.10597230000000001</v>
      </c>
      <c r="V3324">
        <v>1.398076E-2</v>
      </c>
      <c r="W3324">
        <v>0.12690879999999999</v>
      </c>
      <c r="X3324">
        <v>0.99181589999999997</v>
      </c>
      <c r="Y3324">
        <v>-1.284238E-2</v>
      </c>
      <c r="Z3324">
        <v>4.0558670000000003E-3</v>
      </c>
      <c r="AA3324">
        <v>0.9999093</v>
      </c>
      <c r="AB3324">
        <v>22</v>
      </c>
      <c r="AC3324">
        <v>14.595199999999901</v>
      </c>
      <c r="AD3324">
        <v>-1.1118027983728</v>
      </c>
      <c r="AE3324">
        <v>-0.50780000000000303</v>
      </c>
      <c r="AF3324">
        <v>-0.18877877290452399</v>
      </c>
      <c r="AG3324">
        <v>-1.1118027983728</v>
      </c>
      <c r="AH3324">
        <v>14.518650182839</v>
      </c>
      <c r="AI3324">
        <v>94.378655913725197</v>
      </c>
      <c r="AJ3324">
        <v>90.744946487866301</v>
      </c>
      <c r="AK3324">
        <v>14.562381193308299</v>
      </c>
      <c r="AL3324">
        <v>82.709000346101604</v>
      </c>
      <c r="AM3324">
        <v>89.192405069261099</v>
      </c>
      <c r="AN3324">
        <v>1.00000004233021</v>
      </c>
    </row>
    <row r="3325" spans="1:40" x14ac:dyDescent="0.25">
      <c r="A3325" t="str">
        <f>"20190312164051975"</f>
        <v>20190312164051975</v>
      </c>
      <c r="B3325" t="str">
        <f>"1552380051969351"</f>
        <v>1552380051969351</v>
      </c>
      <c r="C3325" t="s">
        <v>40</v>
      </c>
      <c r="D3325">
        <v>5.7902389999999997</v>
      </c>
      <c r="E3325">
        <v>0.50095559999999995</v>
      </c>
      <c r="F3325" t="s">
        <v>42</v>
      </c>
      <c r="G3325">
        <v>-465.0702</v>
      </c>
      <c r="H3325">
        <v>1.037083</v>
      </c>
      <c r="I3325">
        <v>213.36150000000001</v>
      </c>
      <c r="J3325">
        <v>-465.63490000000002</v>
      </c>
      <c r="K3325">
        <v>1.1117589999999999</v>
      </c>
      <c r="L3325">
        <v>213.3836</v>
      </c>
      <c r="M3325">
        <v>0.99893960000000004</v>
      </c>
      <c r="N3325">
        <v>0</v>
      </c>
      <c r="O3325">
        <v>-4.4816839999999997E-2</v>
      </c>
      <c r="P3325">
        <v>0.99137889999999995</v>
      </c>
      <c r="Q3325">
        <v>0.11603960000000001</v>
      </c>
      <c r="R3325">
        <v>-6.0849149999999998E-2</v>
      </c>
      <c r="S3325">
        <v>3.0540470000000002</v>
      </c>
      <c r="T3325">
        <v>-0.29636099999999999</v>
      </c>
      <c r="U3325">
        <v>-0.1131592</v>
      </c>
      <c r="V3325">
        <v>1.579943E-2</v>
      </c>
      <c r="W3325">
        <v>0.12657199999999999</v>
      </c>
      <c r="X3325">
        <v>0.99183160000000004</v>
      </c>
      <c r="Y3325">
        <v>-7.5535350000000001E-3</v>
      </c>
      <c r="Z3325">
        <v>4.7010639999999996E-3</v>
      </c>
      <c r="AA3325">
        <v>0.99996039999999997</v>
      </c>
      <c r="AB3325">
        <v>22</v>
      </c>
      <c r="AC3325">
        <v>0.56470000000001597</v>
      </c>
      <c r="AD3325">
        <v>-7.4675999999999895E-2</v>
      </c>
      <c r="AE3325">
        <v>-2.20999999999946E-2</v>
      </c>
      <c r="AF3325">
        <v>-3.1762248206837099E-3</v>
      </c>
      <c r="AG3325">
        <v>-7.4675999999999895E-2</v>
      </c>
      <c r="AH3325">
        <v>0.55542493248581504</v>
      </c>
      <c r="AI3325">
        <v>97.657283773042593</v>
      </c>
      <c r="AJ3325">
        <v>90.327645164390006</v>
      </c>
      <c r="AK3325">
        <v>0.560431484667826</v>
      </c>
      <c r="AL3325">
        <v>82.728454192053505</v>
      </c>
      <c r="AM3325">
        <v>89.087381264182397</v>
      </c>
      <c r="AN3325">
        <v>1.0000000079654401</v>
      </c>
    </row>
    <row r="3326" spans="1:40" x14ac:dyDescent="0.25">
      <c r="A3326" t="str">
        <f>"20190312164052001"</f>
        <v>20190312164052001</v>
      </c>
      <c r="B3326" t="str">
        <f>"1552380051988871"</f>
        <v>1552380051988871</v>
      </c>
      <c r="C3326" t="s">
        <v>40</v>
      </c>
      <c r="D3326">
        <v>5.8502850000000004</v>
      </c>
      <c r="E3326">
        <v>0.50029869999999999</v>
      </c>
      <c r="F3326" t="s">
        <v>48</v>
      </c>
      <c r="G3326">
        <v>-450.65719999999999</v>
      </c>
      <c r="H3326" s="1">
        <v>-1.1056489999999999E-6</v>
      </c>
      <c r="I3326">
        <v>212.7535</v>
      </c>
      <c r="J3326">
        <v>-465.38409999999999</v>
      </c>
      <c r="K3326">
        <v>1.1117079999999999</v>
      </c>
      <c r="L3326">
        <v>213.37649999999999</v>
      </c>
      <c r="M3326">
        <v>0.99909320000000001</v>
      </c>
      <c r="N3326">
        <v>0</v>
      </c>
      <c r="O3326">
        <v>-4.1298050000000003E-2</v>
      </c>
      <c r="P3326">
        <v>0.99157139999999999</v>
      </c>
      <c r="Q3326">
        <v>0.11534220000000001</v>
      </c>
      <c r="R3326">
        <v>-5.9014850000000001E-2</v>
      </c>
      <c r="S3326">
        <v>3.0446780000000002</v>
      </c>
      <c r="T3326">
        <v>-0.22599910000000001</v>
      </c>
      <c r="U3326">
        <v>-0.1280975</v>
      </c>
      <c r="V3326">
        <v>1.7469149999999999E-2</v>
      </c>
      <c r="W3326">
        <v>0.12570919999999999</v>
      </c>
      <c r="X3326">
        <v>0.9919133</v>
      </c>
      <c r="Y3326">
        <v>8.4679820000000002E-4</v>
      </c>
      <c r="Z3326">
        <v>3.027372E-3</v>
      </c>
      <c r="AA3326">
        <v>0.99999510000000003</v>
      </c>
      <c r="AB3326">
        <v>22</v>
      </c>
      <c r="AC3326">
        <v>14.726900000000001</v>
      </c>
      <c r="AD3326">
        <v>-1.1117091056489901</v>
      </c>
      <c r="AE3326">
        <v>-0.62299999999999001</v>
      </c>
      <c r="AF3326">
        <v>1.4163011302047101E-2</v>
      </c>
      <c r="AG3326">
        <v>-1.1117091056489901</v>
      </c>
      <c r="AH3326">
        <v>14.656692990264901</v>
      </c>
      <c r="AI3326">
        <v>94.337573118500401</v>
      </c>
      <c r="AJ3326">
        <v>89.944634132627002</v>
      </c>
      <c r="AK3326">
        <v>14.698800874131001</v>
      </c>
      <c r="AL3326">
        <v>82.778286867228005</v>
      </c>
      <c r="AM3326">
        <v>88.991035705567697</v>
      </c>
      <c r="AN3326">
        <v>0.99999998444162597</v>
      </c>
    </row>
    <row r="3327" spans="1:40" x14ac:dyDescent="0.25">
      <c r="A3327" t="str">
        <f>"20190312164052042"</f>
        <v>20190312164052042</v>
      </c>
      <c r="B3327" t="str">
        <f>"1552380052039154"</f>
        <v>1552380052039154</v>
      </c>
      <c r="C3327" t="s">
        <v>40</v>
      </c>
      <c r="D3327">
        <v>5.7133770000000004</v>
      </c>
      <c r="E3327">
        <v>0.48447010000000001</v>
      </c>
      <c r="F3327" t="s">
        <v>42</v>
      </c>
      <c r="G3327">
        <v>-464.4742</v>
      </c>
      <c r="H3327">
        <v>1.0447090000000001</v>
      </c>
      <c r="I3327">
        <v>213.34049999999999</v>
      </c>
      <c r="J3327">
        <v>-464.96980000000002</v>
      </c>
      <c r="K3327">
        <v>1.1116349999999999</v>
      </c>
      <c r="L3327">
        <v>213.3664</v>
      </c>
      <c r="M3327">
        <v>0.99931289999999995</v>
      </c>
      <c r="N3327">
        <v>0</v>
      </c>
      <c r="O3327">
        <v>-3.565666E-2</v>
      </c>
      <c r="P3327">
        <v>0.99181370000000002</v>
      </c>
      <c r="Q3327">
        <v>0.1143755</v>
      </c>
      <c r="R3327">
        <v>-5.6778549999999997E-2</v>
      </c>
      <c r="S3327">
        <v>3.044556</v>
      </c>
      <c r="T3327">
        <v>-0.2248009</v>
      </c>
      <c r="U3327">
        <v>-0.1187744</v>
      </c>
      <c r="V3327">
        <v>2.0850520000000001E-2</v>
      </c>
      <c r="W3327">
        <v>0.12450940000000001</v>
      </c>
      <c r="X3327">
        <v>0.99199930000000003</v>
      </c>
      <c r="Y3327">
        <v>3.4138179999999999E-3</v>
      </c>
      <c r="Z3327">
        <v>2.5016539999999999E-3</v>
      </c>
      <c r="AA3327">
        <v>0.99999110000000002</v>
      </c>
      <c r="AB3327">
        <v>22</v>
      </c>
      <c r="AC3327">
        <v>0.49560000000002402</v>
      </c>
      <c r="AD3327">
        <v>-6.6925999999999805E-2</v>
      </c>
      <c r="AE3327">
        <v>-2.5900000000007101E-2</v>
      </c>
      <c r="AF3327">
        <v>8.0645203369172098E-3</v>
      </c>
      <c r="AG3327">
        <v>-6.6925999999999805E-2</v>
      </c>
      <c r="AH3327">
        <v>0.48734539496483997</v>
      </c>
      <c r="AI3327">
        <v>97.818327702802506</v>
      </c>
      <c r="AJ3327">
        <v>89.051964346005406</v>
      </c>
      <c r="AK3327">
        <v>0.49198542657044297</v>
      </c>
      <c r="AL3327">
        <v>82.847574664251297</v>
      </c>
      <c r="AM3327">
        <v>88.795895402789995</v>
      </c>
      <c r="AN3327">
        <v>0.99999997303655896</v>
      </c>
    </row>
    <row r="3328" spans="1:40" x14ac:dyDescent="0.25">
      <c r="A3328" t="str">
        <f>"20190312164052063"</f>
        <v>20190312164052063</v>
      </c>
      <c r="B3328" t="str">
        <f>"1552380052059650"</f>
        <v>1552380052059650</v>
      </c>
      <c r="C3328" t="s">
        <v>40</v>
      </c>
      <c r="D3328">
        <v>5.8595129999999997</v>
      </c>
      <c r="E3328">
        <v>0.48827900000000002</v>
      </c>
      <c r="F3328" t="s">
        <v>48</v>
      </c>
      <c r="G3328">
        <v>-451.8</v>
      </c>
      <c r="H3328" s="1">
        <v>-5.275051E-7</v>
      </c>
      <c r="I3328">
        <v>213.43950000000001</v>
      </c>
      <c r="J3328">
        <v>-464.75779999999997</v>
      </c>
      <c r="K3328">
        <v>1.1116109999999999</v>
      </c>
      <c r="L3328">
        <v>213.3621</v>
      </c>
      <c r="M3328">
        <v>0.99941060000000004</v>
      </c>
      <c r="N3328">
        <v>0</v>
      </c>
      <c r="O3328">
        <v>-3.2840679999999997E-2</v>
      </c>
      <c r="P3328">
        <v>0.99176350000000002</v>
      </c>
      <c r="Q3328">
        <v>0.1153183</v>
      </c>
      <c r="R3328">
        <v>-5.5743130000000002E-2</v>
      </c>
      <c r="S3328">
        <v>3.0554809999999999</v>
      </c>
      <c r="T3328">
        <v>-0.25790669999999999</v>
      </c>
      <c r="U3328">
        <v>1.696777E-2</v>
      </c>
      <c r="V3328">
        <v>2.2617419999999999E-2</v>
      </c>
      <c r="W3328">
        <v>0.12534729999999999</v>
      </c>
      <c r="X3328">
        <v>0.99185509999999999</v>
      </c>
      <c r="Y3328">
        <v>-3.8139579999999999E-2</v>
      </c>
      <c r="Z3328">
        <v>4.3736699999999996E-3</v>
      </c>
      <c r="AA3328">
        <v>0.99926289999999995</v>
      </c>
      <c r="AB3328">
        <v>22</v>
      </c>
      <c r="AC3328">
        <v>12.957799999999899</v>
      </c>
      <c r="AD3328">
        <v>-1.1116115275051</v>
      </c>
      <c r="AE3328">
        <v>7.7400000000011404E-2</v>
      </c>
      <c r="AF3328">
        <v>-0.49924842863833202</v>
      </c>
      <c r="AG3328">
        <v>-1.1116115275051</v>
      </c>
      <c r="AH3328">
        <v>12.8536756485958</v>
      </c>
      <c r="AI3328">
        <v>94.939049631027402</v>
      </c>
      <c r="AJ3328">
        <v>92.224301990308703</v>
      </c>
      <c r="AK3328">
        <v>12.911309262072701</v>
      </c>
      <c r="AL3328">
        <v>82.7991877645877</v>
      </c>
      <c r="AM3328">
        <v>88.693702167855903</v>
      </c>
      <c r="AN3328">
        <v>1.0000000163503699</v>
      </c>
    </row>
    <row r="3329" spans="1:40" x14ac:dyDescent="0.25">
      <c r="A3329" t="str">
        <f>"20190312164052086"</f>
        <v>20190312164052086</v>
      </c>
      <c r="B3329" t="str">
        <f>"1552380052079170"</f>
        <v>1552380052079170</v>
      </c>
      <c r="C3329" t="s">
        <v>40</v>
      </c>
      <c r="D3329">
        <v>5.8120320000000003</v>
      </c>
      <c r="E3329">
        <v>0.48819509999999999</v>
      </c>
      <c r="F3329" t="s">
        <v>48</v>
      </c>
      <c r="G3329">
        <v>-450.11529999999999</v>
      </c>
      <c r="H3329" s="1">
        <v>-1.4177789999999899E-6</v>
      </c>
      <c r="I3329">
        <v>213.29769999999999</v>
      </c>
      <c r="J3329">
        <v>-464.53</v>
      </c>
      <c r="K3329">
        <v>1.111588</v>
      </c>
      <c r="L3329">
        <v>213.35810000000001</v>
      </c>
      <c r="M3329">
        <v>0.99950479999999997</v>
      </c>
      <c r="N3329">
        <v>0</v>
      </c>
      <c r="O3329">
        <v>-2.987107E-2</v>
      </c>
      <c r="P3329">
        <v>0.99175619999999998</v>
      </c>
      <c r="Q3329">
        <v>0.1159419</v>
      </c>
      <c r="R3329">
        <v>-5.4562449999999998E-2</v>
      </c>
      <c r="S3329">
        <v>3.0511170000000001</v>
      </c>
      <c r="T3329">
        <v>-0.231631</v>
      </c>
      <c r="U3329">
        <v>-1.3412479999999999E-2</v>
      </c>
      <c r="V3329">
        <v>2.4391949999999999E-2</v>
      </c>
      <c r="W3329">
        <v>0.12586249999999999</v>
      </c>
      <c r="X3329">
        <v>0.99174779999999996</v>
      </c>
      <c r="Y3329">
        <v>-2.531953E-2</v>
      </c>
      <c r="Z3329">
        <v>3.223971E-3</v>
      </c>
      <c r="AA3329">
        <v>0.99967419999999996</v>
      </c>
      <c r="AB3329">
        <v>22</v>
      </c>
      <c r="AC3329">
        <v>14.4146999999999</v>
      </c>
      <c r="AD3329">
        <v>-1.111589417779</v>
      </c>
      <c r="AE3329">
        <v>-6.0400000000015497E-2</v>
      </c>
      <c r="AF3329">
        <v>-0.36804193678910202</v>
      </c>
      <c r="AG3329">
        <v>-1.111589417779</v>
      </c>
      <c r="AH3329">
        <v>14.324886641782699</v>
      </c>
      <c r="AI3329">
        <v>94.435715497338904</v>
      </c>
      <c r="AJ3329">
        <v>91.471747183861893</v>
      </c>
      <c r="AK3329">
        <v>14.3726637475758</v>
      </c>
      <c r="AL3329">
        <v>82.769433342398699</v>
      </c>
      <c r="AM3329">
        <v>88.591099377306307</v>
      </c>
      <c r="AN3329">
        <v>1.00000001746794</v>
      </c>
    </row>
    <row r="3330" spans="1:40" x14ac:dyDescent="0.25">
      <c r="A3330" t="str">
        <f>"20190312164052108"</f>
        <v>20190312164052108</v>
      </c>
      <c r="B3330" t="str">
        <f>"1552380052099666"</f>
        <v>1552380052099666</v>
      </c>
      <c r="C3330" t="s">
        <v>40</v>
      </c>
      <c r="D3330">
        <v>5.7122840000000004</v>
      </c>
      <c r="E3330">
        <v>0.48845949999999999</v>
      </c>
      <c r="F3330" t="s">
        <v>48</v>
      </c>
      <c r="G3330">
        <v>-450.34789999999998</v>
      </c>
      <c r="H3330" s="1">
        <v>-1.2949789999999999E-6</v>
      </c>
      <c r="I3330">
        <v>213.32</v>
      </c>
      <c r="J3330">
        <v>-464.30799999999999</v>
      </c>
      <c r="K3330">
        <v>1.111553</v>
      </c>
      <c r="L3330">
        <v>213.35470000000001</v>
      </c>
      <c r="M3330">
        <v>0.99958619999999998</v>
      </c>
      <c r="N3330">
        <v>0</v>
      </c>
      <c r="O3330">
        <v>-2.7048050000000001E-2</v>
      </c>
      <c r="P3330">
        <v>0.99172099999999996</v>
      </c>
      <c r="Q3330">
        <v>0.1168428</v>
      </c>
      <c r="R3330">
        <v>-5.3267330000000002E-2</v>
      </c>
      <c r="S3330">
        <v>3.05246</v>
      </c>
      <c r="T3330">
        <v>-0.23925150000000001</v>
      </c>
      <c r="U3330">
        <v>-8.1939700000000001E-3</v>
      </c>
      <c r="V3330">
        <v>2.5908460000000001E-2</v>
      </c>
      <c r="W3330">
        <v>0.1266661</v>
      </c>
      <c r="X3330">
        <v>0.99160700000000002</v>
      </c>
      <c r="Y3330">
        <v>-2.4208670000000002E-2</v>
      </c>
      <c r="Z3330">
        <v>3.0639439999999999E-3</v>
      </c>
      <c r="AA3330">
        <v>0.99970219999999999</v>
      </c>
      <c r="AB3330">
        <v>22</v>
      </c>
      <c r="AC3330">
        <v>13.960100000000001</v>
      </c>
      <c r="AD3330">
        <v>-1.111554294979</v>
      </c>
      <c r="AE3330">
        <v>-3.4700000000014997E-2</v>
      </c>
      <c r="AF3330">
        <v>-0.34076386864309499</v>
      </c>
      <c r="AG3330">
        <v>-1.111554294979</v>
      </c>
      <c r="AH3330">
        <v>13.8680089739838</v>
      </c>
      <c r="AI3330">
        <v>94.581220954937507</v>
      </c>
      <c r="AJ3330">
        <v>91.407585146159406</v>
      </c>
      <c r="AK3330">
        <v>13.916657136947601</v>
      </c>
      <c r="AL3330">
        <v>82.723018824086196</v>
      </c>
      <c r="AM3330">
        <v>88.503330694717803</v>
      </c>
      <c r="AN3330">
        <v>0.99999999581888999</v>
      </c>
    </row>
    <row r="3331" spans="1:40" x14ac:dyDescent="0.25">
      <c r="A3331" t="str">
        <f>"20190312164052130"</f>
        <v>20190312164052130</v>
      </c>
      <c r="B3331" t="str">
        <f>"1552380052119189"</f>
        <v>1552380052119189</v>
      </c>
      <c r="C3331" t="s">
        <v>40</v>
      </c>
      <c r="D3331">
        <v>5.2690669999999997</v>
      </c>
      <c r="E3331">
        <v>0.48837570000000002</v>
      </c>
      <c r="F3331" t="s">
        <v>48</v>
      </c>
      <c r="G3331">
        <v>-450.1311</v>
      </c>
      <c r="H3331" s="1">
        <v>-1.4105469999999999E-6</v>
      </c>
      <c r="I3331">
        <v>213.32400000000001</v>
      </c>
      <c r="J3331">
        <v>-464.08359999999999</v>
      </c>
      <c r="K3331">
        <v>1.1115079999999999</v>
      </c>
      <c r="L3331">
        <v>213.3519</v>
      </c>
      <c r="M3331">
        <v>0.99965800000000005</v>
      </c>
      <c r="N3331">
        <v>0</v>
      </c>
      <c r="O3331">
        <v>-2.4287659999999999E-2</v>
      </c>
      <c r="P3331">
        <v>0.99155090000000001</v>
      </c>
      <c r="Q3331">
        <v>0.1185229</v>
      </c>
      <c r="R3331">
        <v>-5.2720599999999999E-2</v>
      </c>
      <c r="S3331">
        <v>3.0528870000000001</v>
      </c>
      <c r="T3331">
        <v>-0.2393651</v>
      </c>
      <c r="U3331">
        <v>-6.6223139999999998E-3</v>
      </c>
      <c r="V3331">
        <v>2.8116120000000001E-2</v>
      </c>
      <c r="W3331">
        <v>0.12826000000000001</v>
      </c>
      <c r="X3331">
        <v>0.9913419</v>
      </c>
      <c r="Y3331">
        <v>-2.1978210000000001E-2</v>
      </c>
      <c r="Z3331">
        <v>2.7616110000000002E-3</v>
      </c>
      <c r="AA3331">
        <v>0.99975460000000005</v>
      </c>
      <c r="AB3331">
        <v>22</v>
      </c>
      <c r="AC3331">
        <v>13.952499999999899</v>
      </c>
      <c r="AD3331">
        <v>-1.111509410547</v>
      </c>
      <c r="AE3331">
        <v>-2.7899999999988202E-2</v>
      </c>
      <c r="AF3331">
        <v>-0.30903649621387402</v>
      </c>
      <c r="AG3331">
        <v>-1.111509410547</v>
      </c>
      <c r="AH3331">
        <v>13.861094796622901</v>
      </c>
      <c r="AI3331">
        <v>94.583555483401895</v>
      </c>
      <c r="AJ3331">
        <v>91.277211811074906</v>
      </c>
      <c r="AK3331">
        <v>13.9090224561863</v>
      </c>
      <c r="AL3331">
        <v>82.630943730455698</v>
      </c>
      <c r="AM3331">
        <v>88.375431036031898</v>
      </c>
      <c r="AN3331">
        <v>0.99999995324973101</v>
      </c>
    </row>
    <row r="3332" spans="1:40" x14ac:dyDescent="0.25">
      <c r="A3332" t="str">
        <f>"20190312164052154"</f>
        <v>20190312164052154</v>
      </c>
      <c r="B3332" t="str">
        <f>"1552380052149442"</f>
        <v>1552380052149442</v>
      </c>
      <c r="C3332" t="s">
        <v>40</v>
      </c>
      <c r="D3332">
        <v>5.727411</v>
      </c>
      <c r="E3332">
        <v>0.48896129999999999</v>
      </c>
      <c r="F3332" t="s">
        <v>48</v>
      </c>
      <c r="G3332">
        <v>-449.0838</v>
      </c>
      <c r="H3332" s="1">
        <v>3.353708E-6</v>
      </c>
      <c r="I3332">
        <v>213.32300000000001</v>
      </c>
      <c r="J3332">
        <v>-463.84870000000001</v>
      </c>
      <c r="K3332">
        <v>1.1114360000000001</v>
      </c>
      <c r="L3332">
        <v>213.3494</v>
      </c>
      <c r="M3332">
        <v>0.99972220000000001</v>
      </c>
      <c r="N3332">
        <v>0</v>
      </c>
      <c r="O3332">
        <v>-2.1521620000000002E-2</v>
      </c>
      <c r="P3332">
        <v>0.99144549999999998</v>
      </c>
      <c r="Q3332">
        <v>0.1197637</v>
      </c>
      <c r="R3332">
        <v>-5.1892050000000002E-2</v>
      </c>
      <c r="S3332">
        <v>3.0522459999999998</v>
      </c>
      <c r="T3332">
        <v>-0.22617570000000001</v>
      </c>
      <c r="U3332">
        <v>-5.8746340000000001E-3</v>
      </c>
      <c r="V3332">
        <v>3.0054830000000001E-2</v>
      </c>
      <c r="W3332">
        <v>0.12941749999999999</v>
      </c>
      <c r="X3332">
        <v>0.99113459999999998</v>
      </c>
      <c r="Y3332">
        <v>-1.9485909999999999E-2</v>
      </c>
      <c r="Z3332">
        <v>2.3135479999999999E-3</v>
      </c>
      <c r="AA3332">
        <v>0.99980749999999996</v>
      </c>
      <c r="AB3332">
        <v>22</v>
      </c>
      <c r="AC3332">
        <v>14.764900000000001</v>
      </c>
      <c r="AD3332">
        <v>-1.1114326462919999</v>
      </c>
      <c r="AE3332">
        <v>-2.64000000000237E-2</v>
      </c>
      <c r="AF3332">
        <v>-0.28974356470980001</v>
      </c>
      <c r="AG3332">
        <v>-1.1114326462919999</v>
      </c>
      <c r="AH3332">
        <v>14.678872358046799</v>
      </c>
      <c r="AI3332">
        <v>94.329133119448301</v>
      </c>
      <c r="AJ3332">
        <v>91.130804019212505</v>
      </c>
      <c r="AK3332">
        <v>14.7237402708811</v>
      </c>
      <c r="AL3332">
        <v>82.564066739070199</v>
      </c>
      <c r="AM3332">
        <v>88.263114422204595</v>
      </c>
      <c r="AN3332">
        <v>0.99999998871486895</v>
      </c>
    </row>
    <row r="3333" spans="1:40" x14ac:dyDescent="0.25">
      <c r="A3333" t="str">
        <f>"20190312164052177"</f>
        <v>20190312164052177</v>
      </c>
      <c r="B3333" t="str">
        <f>"1552380052168962"</f>
        <v>1552380052168962</v>
      </c>
      <c r="C3333" t="s">
        <v>40</v>
      </c>
      <c r="D3333">
        <v>5.5696810000000001</v>
      </c>
      <c r="E3333">
        <v>0.4894213</v>
      </c>
      <c r="F3333" t="s">
        <v>48</v>
      </c>
      <c r="G3333">
        <v>-448.38979999999998</v>
      </c>
      <c r="H3333" s="1">
        <v>2.9852630000000001E-6</v>
      </c>
      <c r="I3333">
        <v>213.30289999999999</v>
      </c>
      <c r="J3333">
        <v>-463.61500000000001</v>
      </c>
      <c r="K3333">
        <v>1.111335</v>
      </c>
      <c r="L3333">
        <v>213.34739999999999</v>
      </c>
      <c r="M3333">
        <v>0.99977550000000004</v>
      </c>
      <c r="N3333">
        <v>0</v>
      </c>
      <c r="O3333">
        <v>-1.8926100000000001E-2</v>
      </c>
      <c r="P3333">
        <v>0.99145159999999999</v>
      </c>
      <c r="Q3333">
        <v>0.1201747</v>
      </c>
      <c r="R3333">
        <v>-5.0813980000000002E-2</v>
      </c>
      <c r="S3333">
        <v>3.0519409999999998</v>
      </c>
      <c r="T3333">
        <v>-0.2194226</v>
      </c>
      <c r="U3333">
        <v>-9.1857910000000004E-3</v>
      </c>
      <c r="V3333">
        <v>3.1581730000000002E-2</v>
      </c>
      <c r="W3333">
        <v>0.12974659999999999</v>
      </c>
      <c r="X3333">
        <v>0.99104409999999998</v>
      </c>
      <c r="Y3333">
        <v>-1.5827899999999999E-2</v>
      </c>
      <c r="Z3333">
        <v>1.9271939999999999E-3</v>
      </c>
      <c r="AA3333">
        <v>0.99987289999999995</v>
      </c>
      <c r="AB3333">
        <v>23</v>
      </c>
      <c r="AC3333">
        <v>15.225199999999999</v>
      </c>
      <c r="AD3333">
        <v>-1.1113320147370001</v>
      </c>
      <c r="AE3333">
        <v>-4.4499999999999297E-2</v>
      </c>
      <c r="AF3333">
        <v>-0.24238330569007199</v>
      </c>
      <c r="AG3333">
        <v>-1.1113320147370001</v>
      </c>
      <c r="AH3333">
        <v>15.1426361481317</v>
      </c>
      <c r="AI3333">
        <v>94.196928961501499</v>
      </c>
      <c r="AJ3333">
        <v>90.917036797775296</v>
      </c>
      <c r="AK3333">
        <v>15.185296771171799</v>
      </c>
      <c r="AL3333">
        <v>82.545050427237499</v>
      </c>
      <c r="AM3333">
        <v>88.174765696513106</v>
      </c>
      <c r="AN3333">
        <v>0.99999999701308095</v>
      </c>
    </row>
    <row r="3334" spans="1:40" x14ac:dyDescent="0.25">
      <c r="A3334" t="str">
        <f>"20190312164052200"</f>
        <v>20190312164052200</v>
      </c>
      <c r="B3334" t="str">
        <f>"1552380052189458"</f>
        <v>1552380052189458</v>
      </c>
      <c r="C3334" t="s">
        <v>40</v>
      </c>
      <c r="D3334">
        <v>6.1531010000000004</v>
      </c>
      <c r="E3334">
        <v>0.48991679999999999</v>
      </c>
      <c r="F3334" t="s">
        <v>48</v>
      </c>
      <c r="G3334">
        <v>-447.9058</v>
      </c>
      <c r="H3334" s="1">
        <v>2.7282369999999999E-6</v>
      </c>
      <c r="I3334">
        <v>213.29079999999999</v>
      </c>
      <c r="J3334">
        <v>-463.39690000000002</v>
      </c>
      <c r="K3334">
        <v>1.111218</v>
      </c>
      <c r="L3334">
        <v>213.3459</v>
      </c>
      <c r="M3334">
        <v>0.99981609999999999</v>
      </c>
      <c r="N3334">
        <v>0</v>
      </c>
      <c r="O3334">
        <v>-1.668043E-2</v>
      </c>
      <c r="P3334">
        <v>0.99141809999999997</v>
      </c>
      <c r="Q3334">
        <v>0.1206493</v>
      </c>
      <c r="R3334">
        <v>-5.033965E-2</v>
      </c>
      <c r="S3334">
        <v>3.0514830000000002</v>
      </c>
      <c r="T3334">
        <v>-0.21587429999999999</v>
      </c>
      <c r="U3334">
        <v>-1.100159E-2</v>
      </c>
      <c r="V3334">
        <v>3.3368540000000002E-2</v>
      </c>
      <c r="W3334">
        <v>0.1301428</v>
      </c>
      <c r="X3334">
        <v>0.99093359999999997</v>
      </c>
      <c r="Y3334">
        <v>-1.3002089999999999E-2</v>
      </c>
      <c r="Z3334">
        <v>1.6379020000000001E-3</v>
      </c>
      <c r="AA3334">
        <v>0.99991410000000003</v>
      </c>
      <c r="AB3334">
        <v>23</v>
      </c>
      <c r="AC3334">
        <v>15.491099999999999</v>
      </c>
      <c r="AD3334">
        <v>-1.1112152717629999</v>
      </c>
      <c r="AE3334">
        <v>-5.5100000000010099E-2</v>
      </c>
      <c r="AF3334">
        <v>-0.20227663215357999</v>
      </c>
      <c r="AG3334">
        <v>-1.1112152717629999</v>
      </c>
      <c r="AH3334">
        <v>15.410568828493901</v>
      </c>
      <c r="AI3334">
        <v>94.123954594700294</v>
      </c>
      <c r="AJ3334">
        <v>90.752011942770096</v>
      </c>
      <c r="AK3334">
        <v>15.451904310921099</v>
      </c>
      <c r="AL3334">
        <v>82.522155771032004</v>
      </c>
      <c r="AM3334">
        <v>88.071359818022799</v>
      </c>
      <c r="AN3334">
        <v>1.00000000373126</v>
      </c>
    </row>
    <row r="3335" spans="1:40" x14ac:dyDescent="0.25">
      <c r="A3335" t="str">
        <f>"20190312164052222"</f>
        <v>20190312164052222</v>
      </c>
      <c r="B3335" t="str">
        <f>"1552380052208978"</f>
        <v>1552380052208978</v>
      </c>
      <c r="C3335" t="s">
        <v>40</v>
      </c>
      <c r="D3335">
        <v>5.7471480000000001</v>
      </c>
      <c r="E3335">
        <v>0.49017860000000002</v>
      </c>
      <c r="F3335" t="s">
        <v>48</v>
      </c>
      <c r="G3335">
        <v>-447.3639</v>
      </c>
      <c r="H3335" s="1">
        <v>2.4408130000000001E-6</v>
      </c>
      <c r="I3335">
        <v>213.2689</v>
      </c>
      <c r="J3335">
        <v>-463.17989999999998</v>
      </c>
      <c r="K3335">
        <v>1.1110949999999999</v>
      </c>
      <c r="L3335">
        <v>213.34469999999999</v>
      </c>
      <c r="M3335">
        <v>0.99984899999999999</v>
      </c>
      <c r="N3335">
        <v>0</v>
      </c>
      <c r="O3335">
        <v>-1.463068E-2</v>
      </c>
      <c r="P3335">
        <v>0.99130949999999995</v>
      </c>
      <c r="Q3335">
        <v>0.12159349999999999</v>
      </c>
      <c r="R3335">
        <v>-5.0206639999999997E-2</v>
      </c>
      <c r="S3335">
        <v>3.0509339999999998</v>
      </c>
      <c r="T3335">
        <v>-0.2114549</v>
      </c>
      <c r="U3335">
        <v>-1.464844E-2</v>
      </c>
      <c r="V3335">
        <v>3.5304099999999998E-2</v>
      </c>
      <c r="W3335">
        <v>0.1310018</v>
      </c>
      <c r="X3335">
        <v>0.99075329999999995</v>
      </c>
      <c r="Y3335">
        <v>-9.7718930000000002E-3</v>
      </c>
      <c r="Z3335">
        <v>1.351044E-3</v>
      </c>
      <c r="AA3335">
        <v>0.99995140000000005</v>
      </c>
      <c r="AB3335">
        <v>23</v>
      </c>
      <c r="AC3335">
        <v>15.815999999999899</v>
      </c>
      <c r="AD3335">
        <v>-1.111092559187</v>
      </c>
      <c r="AE3335">
        <v>-7.5799999999986697E-2</v>
      </c>
      <c r="AF3335">
        <v>-0.15485290504837801</v>
      </c>
      <c r="AG3335">
        <v>-1.111092559187</v>
      </c>
      <c r="AH3335">
        <v>15.737748470653701</v>
      </c>
      <c r="AI3335">
        <v>94.038213744842807</v>
      </c>
      <c r="AJ3335">
        <v>90.563748467762807</v>
      </c>
      <c r="AK3335">
        <v>15.777681484389401</v>
      </c>
      <c r="AL3335">
        <v>82.472513490887906</v>
      </c>
      <c r="AM3335">
        <v>87.959208978398706</v>
      </c>
      <c r="AN3335">
        <v>0.99999997627046899</v>
      </c>
    </row>
    <row r="3336" spans="1:40" x14ac:dyDescent="0.25">
      <c r="A3336" t="str">
        <f>"20190312164052244"</f>
        <v>20190312164052244</v>
      </c>
      <c r="B3336" t="str">
        <f>"1552380052239235"</f>
        <v>1552380052239235</v>
      </c>
      <c r="C3336" t="s">
        <v>40</v>
      </c>
      <c r="D3336">
        <v>5.8551039999999999</v>
      </c>
      <c r="E3336">
        <v>0.52135450000000005</v>
      </c>
      <c r="F3336" t="s">
        <v>48</v>
      </c>
      <c r="G3336">
        <v>-446.88130000000001</v>
      </c>
      <c r="H3336" s="1">
        <v>2.184546E-6</v>
      </c>
      <c r="I3336">
        <v>213.25630000000001</v>
      </c>
      <c r="J3336">
        <v>-462.9436</v>
      </c>
      <c r="K3336">
        <v>1.1109800000000001</v>
      </c>
      <c r="L3336">
        <v>213.34370000000001</v>
      </c>
      <c r="M3336">
        <v>0.99987769999999998</v>
      </c>
      <c r="N3336">
        <v>0</v>
      </c>
      <c r="O3336">
        <v>-1.2578310000000001E-2</v>
      </c>
      <c r="P3336">
        <v>0.99120430000000004</v>
      </c>
      <c r="Q3336">
        <v>0.1223735</v>
      </c>
      <c r="R3336">
        <v>-5.0387889999999998E-2</v>
      </c>
      <c r="S3336">
        <v>3.0509339999999998</v>
      </c>
      <c r="T3336">
        <v>-0.2079859</v>
      </c>
      <c r="U3336">
        <v>-1.6555790000000001E-2</v>
      </c>
      <c r="V3336">
        <v>3.7556449999999998E-2</v>
      </c>
      <c r="W3336">
        <v>0.13169429999999999</v>
      </c>
      <c r="X3336">
        <v>0.99057870000000003</v>
      </c>
      <c r="Y3336">
        <v>-7.1070229999999996E-3</v>
      </c>
      <c r="Z3336">
        <v>1.098456E-3</v>
      </c>
      <c r="AA3336">
        <v>0.99997409999999998</v>
      </c>
      <c r="AB3336">
        <v>23</v>
      </c>
      <c r="AC3336">
        <v>16.062299999999901</v>
      </c>
      <c r="AD3336">
        <v>-1.11097781545399</v>
      </c>
      <c r="AE3336">
        <v>-8.7400000000002295E-2</v>
      </c>
      <c r="AF3336">
        <v>-0.11410635532187299</v>
      </c>
      <c r="AG3336">
        <v>-1.11097781545399</v>
      </c>
      <c r="AH3336">
        <v>15.9856547557967</v>
      </c>
      <c r="AI3336">
        <v>93.975472945729294</v>
      </c>
      <c r="AJ3336">
        <v>90.408973022452997</v>
      </c>
      <c r="AK3336">
        <v>16.024620118376699</v>
      </c>
      <c r="AL3336">
        <v>82.432489725183203</v>
      </c>
      <c r="AM3336">
        <v>87.828748060831998</v>
      </c>
      <c r="AN3336">
        <v>1.00000001824139</v>
      </c>
    </row>
    <row r="3337" spans="1:40" x14ac:dyDescent="0.25">
      <c r="A3337" t="str">
        <f>"20190312164052266"</f>
        <v>20190312164052266</v>
      </c>
      <c r="B3337" t="str">
        <f>"1552380052259730"</f>
        <v>1552380052259730</v>
      </c>
      <c r="C3337" t="s">
        <v>40</v>
      </c>
      <c r="D3337">
        <v>5.8176829999999997</v>
      </c>
      <c r="E3337">
        <v>0.52304359999999905</v>
      </c>
      <c r="F3337" t="s">
        <v>42</v>
      </c>
      <c r="G3337">
        <v>-462.06259999999997</v>
      </c>
      <c r="H3337">
        <v>1.0552969999999999</v>
      </c>
      <c r="I3337">
        <v>213.26560000000001</v>
      </c>
      <c r="J3337">
        <v>-462.72030000000001</v>
      </c>
      <c r="K3337">
        <v>1.1108769999999999</v>
      </c>
      <c r="L3337">
        <v>213.34309999999999</v>
      </c>
      <c r="M3337">
        <v>0.99989910000000004</v>
      </c>
      <c r="N3337">
        <v>0</v>
      </c>
      <c r="O3337">
        <v>-1.0805499999999999E-2</v>
      </c>
      <c r="P3337">
        <v>0.99117120000000003</v>
      </c>
      <c r="Q3337">
        <v>0.1225793</v>
      </c>
      <c r="R3337">
        <v>-5.0542179999999999E-2</v>
      </c>
      <c r="S3337">
        <v>3.0367130000000002</v>
      </c>
      <c r="T3337">
        <v>-0.1921349</v>
      </c>
      <c r="U3337">
        <v>-0.2683258</v>
      </c>
      <c r="V3337">
        <v>3.9499550000000001E-2</v>
      </c>
      <c r="W3337">
        <v>0.13181960000000001</v>
      </c>
      <c r="X3337">
        <v>0.99048639999999999</v>
      </c>
      <c r="Y3337">
        <v>7.7116989999999996E-2</v>
      </c>
      <c r="Z3337">
        <v>-1.7508580000000001E-3</v>
      </c>
      <c r="AA3337">
        <v>0.99702049999999998</v>
      </c>
      <c r="AB3337">
        <v>23</v>
      </c>
      <c r="AC3337">
        <v>0.65770000000003304</v>
      </c>
      <c r="AD3337">
        <v>-5.5580000000000102E-2</v>
      </c>
      <c r="AE3337">
        <v>-7.7499999999986302E-2</v>
      </c>
      <c r="AF3337">
        <v>6.9896077822083499E-2</v>
      </c>
      <c r="AG3337">
        <v>-5.5580000000000102E-2</v>
      </c>
      <c r="AH3337">
        <v>0.65389331962341202</v>
      </c>
      <c r="AI3337">
        <v>94.830992269867295</v>
      </c>
      <c r="AJ3337">
        <v>83.898696944129696</v>
      </c>
      <c r="AK3337">
        <v>0.65996293194620903</v>
      </c>
      <c r="AL3337">
        <v>82.425247020415</v>
      </c>
      <c r="AM3337">
        <v>87.716315005754893</v>
      </c>
      <c r="AN3337">
        <v>0.99999996498966004</v>
      </c>
    </row>
    <row r="3338" spans="1:40" x14ac:dyDescent="0.25">
      <c r="A3338" t="str">
        <f>"20190312164052287"</f>
        <v>20190312164052287</v>
      </c>
      <c r="B3338" t="str">
        <f>"1552380052279251"</f>
        <v>1552380052279251</v>
      </c>
      <c r="C3338" t="s">
        <v>40</v>
      </c>
      <c r="D3338">
        <v>5.7397539999999996</v>
      </c>
      <c r="E3338">
        <v>0.52360669999999998</v>
      </c>
      <c r="F3338" t="s">
        <v>42</v>
      </c>
      <c r="G3338">
        <v>-461.86439999999999</v>
      </c>
      <c r="H3338">
        <v>1.0486279999999999</v>
      </c>
      <c r="I3338">
        <v>213.26390000000001</v>
      </c>
      <c r="J3338">
        <v>-462.50310000000002</v>
      </c>
      <c r="K3338">
        <v>1.110771</v>
      </c>
      <c r="L3338">
        <v>213.3426</v>
      </c>
      <c r="M3338">
        <v>0.99991549999999996</v>
      </c>
      <c r="N3338">
        <v>0</v>
      </c>
      <c r="O3338">
        <v>-9.2459210000000007E-3</v>
      </c>
      <c r="P3338">
        <v>0.99112310000000003</v>
      </c>
      <c r="Q3338">
        <v>0.12293949999999999</v>
      </c>
      <c r="R3338">
        <v>-5.0610170000000003E-2</v>
      </c>
      <c r="S3338">
        <v>3.0397340000000002</v>
      </c>
      <c r="T3338">
        <v>-0.22119240000000001</v>
      </c>
      <c r="U3338">
        <v>-0.28051759999999998</v>
      </c>
      <c r="V3338">
        <v>4.1143039999999999E-2</v>
      </c>
      <c r="W3338">
        <v>0.13209560000000001</v>
      </c>
      <c r="X3338">
        <v>0.99038269999999995</v>
      </c>
      <c r="Y3338">
        <v>8.2490040000000001E-2</v>
      </c>
      <c r="Z3338">
        <v>-2.3205439999999999E-3</v>
      </c>
      <c r="AA3338">
        <v>0.99658919999999995</v>
      </c>
      <c r="AB3338">
        <v>23</v>
      </c>
      <c r="AC3338">
        <v>0.63870000000002802</v>
      </c>
      <c r="AD3338">
        <v>-6.2142999999999803E-2</v>
      </c>
      <c r="AE3338">
        <v>-7.8699999999997702E-2</v>
      </c>
      <c r="AF3338">
        <v>7.2118518172867394E-2</v>
      </c>
      <c r="AG3338">
        <v>-6.2142999999999803E-2</v>
      </c>
      <c r="AH3338">
        <v>0.63349309279872201</v>
      </c>
      <c r="AI3338">
        <v>95.566820216905299</v>
      </c>
      <c r="AJ3338">
        <v>83.505259193230899</v>
      </c>
      <c r="AK3338">
        <v>0.64060622205543805</v>
      </c>
      <c r="AL3338">
        <v>82.409293726583201</v>
      </c>
      <c r="AM3338">
        <v>87.621154051289494</v>
      </c>
      <c r="AN3338">
        <v>0.99999994486954402</v>
      </c>
    </row>
    <row r="3339" spans="1:40" x14ac:dyDescent="0.25">
      <c r="A3339" t="str">
        <f>"20190312164052309"</f>
        <v>20190312164052309</v>
      </c>
      <c r="B3339" t="str">
        <f>"1552380052299746"</f>
        <v>1552380052299746</v>
      </c>
      <c r="C3339" t="s">
        <v>40</v>
      </c>
      <c r="D3339">
        <v>5.8847170000000002</v>
      </c>
      <c r="E3339">
        <v>0.52448899999999998</v>
      </c>
      <c r="F3339" t="s">
        <v>42</v>
      </c>
      <c r="G3339">
        <v>-461.65870000000001</v>
      </c>
      <c r="H3339">
        <v>1.04957099999999</v>
      </c>
      <c r="I3339">
        <v>213.26249999999999</v>
      </c>
      <c r="J3339">
        <v>-462.2756</v>
      </c>
      <c r="K3339">
        <v>1.11066</v>
      </c>
      <c r="L3339">
        <v>213.34229999999999</v>
      </c>
      <c r="M3339">
        <v>0.99992879999999995</v>
      </c>
      <c r="N3339">
        <v>0</v>
      </c>
      <c r="O3339">
        <v>-7.7894979999999997E-3</v>
      </c>
      <c r="P3339">
        <v>0.99105200000000004</v>
      </c>
      <c r="Q3339">
        <v>0.12334059999999999</v>
      </c>
      <c r="R3339">
        <v>-5.1024279999999998E-2</v>
      </c>
      <c r="S3339">
        <v>3.0396420000000002</v>
      </c>
      <c r="T3339">
        <v>-0.22066160000000001</v>
      </c>
      <c r="U3339">
        <v>-0.286026</v>
      </c>
      <c r="V3339">
        <v>4.3033450000000001E-2</v>
      </c>
      <c r="W3339">
        <v>0.13239809999999999</v>
      </c>
      <c r="X3339">
        <v>0.99026199999999998</v>
      </c>
      <c r="Y3339">
        <v>8.5723060000000004E-2</v>
      </c>
      <c r="Z3339">
        <v>-2.5371450000000002E-3</v>
      </c>
      <c r="AA3339">
        <v>0.99631579999999997</v>
      </c>
      <c r="AB3339">
        <v>23</v>
      </c>
      <c r="AC3339">
        <v>0.61689999999998602</v>
      </c>
      <c r="AD3339">
        <v>-6.1089000000000102E-2</v>
      </c>
      <c r="AE3339">
        <v>-7.9800000000005797E-2</v>
      </c>
      <c r="AF3339">
        <v>7.4275673191894404E-2</v>
      </c>
      <c r="AG3339">
        <v>-6.1089000000000102E-2</v>
      </c>
      <c r="AH3339">
        <v>0.61160416030304099</v>
      </c>
      <c r="AI3339">
        <v>95.662637038607897</v>
      </c>
      <c r="AJ3339">
        <v>83.075678319717099</v>
      </c>
      <c r="AK3339">
        <v>0.61911904384302197</v>
      </c>
      <c r="AL3339">
        <v>82.391808455022996</v>
      </c>
      <c r="AM3339">
        <v>87.511684059999794</v>
      </c>
      <c r="AN3339">
        <v>0.99999998167325599</v>
      </c>
    </row>
    <row r="3340" spans="1:40" x14ac:dyDescent="0.25">
      <c r="A3340" t="str">
        <f>"20190312164052330"</f>
        <v>20190312164052330</v>
      </c>
      <c r="B3340" t="str">
        <f>"1552380052319269"</f>
        <v>1552380052319269</v>
      </c>
      <c r="C3340" t="s">
        <v>40</v>
      </c>
      <c r="D3340">
        <v>5.7113800000000001</v>
      </c>
      <c r="E3340">
        <v>0.52475649999999996</v>
      </c>
      <c r="F3340" t="s">
        <v>42</v>
      </c>
      <c r="G3340">
        <v>-461.45499999999998</v>
      </c>
      <c r="H3340">
        <v>1.0477129999999999</v>
      </c>
      <c r="I3340">
        <v>213.2629</v>
      </c>
      <c r="J3340">
        <v>-462.05079999999998</v>
      </c>
      <c r="K3340">
        <v>1.1105389999999999</v>
      </c>
      <c r="L3340">
        <v>213.34219999999999</v>
      </c>
      <c r="M3340">
        <v>0.99993869999999896</v>
      </c>
      <c r="N3340">
        <v>0</v>
      </c>
      <c r="O3340">
        <v>-6.5227820000000004E-3</v>
      </c>
      <c r="P3340">
        <v>0.99089210000000005</v>
      </c>
      <c r="Q3340">
        <v>0.124225</v>
      </c>
      <c r="R3340">
        <v>-5.197421E-2</v>
      </c>
      <c r="S3340">
        <v>3.041077</v>
      </c>
      <c r="T3340">
        <v>-0.23357449999999999</v>
      </c>
      <c r="U3340">
        <v>-0.29284670000000002</v>
      </c>
      <c r="V3340">
        <v>4.5273359999999999E-2</v>
      </c>
      <c r="W3340">
        <v>0.13317370000000001</v>
      </c>
      <c r="X3340">
        <v>0.99005810000000005</v>
      </c>
      <c r="Y3340">
        <v>8.9117589999999997E-2</v>
      </c>
      <c r="Z3340">
        <v>-2.910438E-3</v>
      </c>
      <c r="AA3340">
        <v>0.99601689999999998</v>
      </c>
      <c r="AB3340">
        <v>23</v>
      </c>
      <c r="AC3340">
        <v>0.595799999999997</v>
      </c>
      <c r="AD3340">
        <v>-6.2826000000000007E-2</v>
      </c>
      <c r="AE3340">
        <v>-7.9299999999989199E-2</v>
      </c>
      <c r="AF3340">
        <v>7.4596856602963196E-2</v>
      </c>
      <c r="AG3340">
        <v>-6.2826000000000007E-2</v>
      </c>
      <c r="AH3340">
        <v>0.58985993466535702</v>
      </c>
      <c r="AI3340">
        <v>96.031968059344393</v>
      </c>
      <c r="AJ3340">
        <v>82.792330619410095</v>
      </c>
      <c r="AK3340">
        <v>0.59786832983062599</v>
      </c>
      <c r="AL3340">
        <v>82.346972775051796</v>
      </c>
      <c r="AM3340">
        <v>87.381803475232999</v>
      </c>
      <c r="AN3340">
        <v>0.99999997643649396</v>
      </c>
    </row>
    <row r="3341" spans="1:40" x14ac:dyDescent="0.25">
      <c r="A3341" t="str">
        <f>"20190312164052353"</f>
        <v>20190312164052353</v>
      </c>
      <c r="B3341" t="str">
        <f>"1552380052349521"</f>
        <v>1552380052349521</v>
      </c>
      <c r="C3341" t="s">
        <v>40</v>
      </c>
      <c r="D3341">
        <v>5.8982349999999997</v>
      </c>
      <c r="E3341">
        <v>0.52554860000000003</v>
      </c>
      <c r="F3341" t="s">
        <v>42</v>
      </c>
      <c r="G3341">
        <v>-461.24720000000002</v>
      </c>
      <c r="H3341">
        <v>1.0496080000000001</v>
      </c>
      <c r="I3341">
        <v>213.26310000000001</v>
      </c>
      <c r="J3341">
        <v>-461.82229999999998</v>
      </c>
      <c r="K3341">
        <v>1.1104099999999999</v>
      </c>
      <c r="L3341">
        <v>213.34209999999999</v>
      </c>
      <c r="M3341">
        <v>0.99994640000000001</v>
      </c>
      <c r="N3341">
        <v>0</v>
      </c>
      <c r="O3341">
        <v>-5.4076489999999996E-3</v>
      </c>
      <c r="P3341">
        <v>0.99065669999999995</v>
      </c>
      <c r="Q3341">
        <v>0.125135199999999</v>
      </c>
      <c r="R3341">
        <v>-5.4229600000000003E-2</v>
      </c>
      <c r="S3341">
        <v>3.0408940000000002</v>
      </c>
      <c r="T3341">
        <v>-0.23081650000000001</v>
      </c>
      <c r="U3341">
        <v>-0.2981567</v>
      </c>
      <c r="V3341">
        <v>4.8671840000000001E-2</v>
      </c>
      <c r="W3341">
        <v>0.13396949999999999</v>
      </c>
      <c r="X3341">
        <v>0.98978949999999999</v>
      </c>
      <c r="Y3341">
        <v>9.1951099999999994E-2</v>
      </c>
      <c r="Z3341">
        <v>-3.0675400000000001E-3</v>
      </c>
      <c r="AA3341">
        <v>0.99575880000000005</v>
      </c>
      <c r="AB3341">
        <v>23</v>
      </c>
      <c r="AC3341">
        <v>0.57509999999996297</v>
      </c>
      <c r="AD3341">
        <v>-6.0802000000000002E-2</v>
      </c>
      <c r="AE3341">
        <v>-7.8999999999979295E-2</v>
      </c>
      <c r="AF3341">
        <v>7.5065273708548694E-2</v>
      </c>
      <c r="AG3341">
        <v>-6.0802000000000002E-2</v>
      </c>
      <c r="AH3341">
        <v>0.56927354029808297</v>
      </c>
      <c r="AI3341">
        <v>96.044507877895398</v>
      </c>
      <c r="AJ3341">
        <v>82.488228314848797</v>
      </c>
      <c r="AK3341">
        <v>0.57741150162120303</v>
      </c>
      <c r="AL3341">
        <v>82.300964814758999</v>
      </c>
      <c r="AM3341">
        <v>87.1848089784921</v>
      </c>
      <c r="AN3341">
        <v>1.0000000146247401</v>
      </c>
    </row>
    <row r="3342" spans="1:40" x14ac:dyDescent="0.25">
      <c r="A3342" t="str">
        <f>"20190312164052389"</f>
        <v>20190312164052389</v>
      </c>
      <c r="B3342" t="str">
        <f>"1552380052379778"</f>
        <v>1552380052379778</v>
      </c>
      <c r="C3342" t="s">
        <v>40</v>
      </c>
      <c r="D3342">
        <v>5.7963750000000003</v>
      </c>
      <c r="E3342">
        <v>0.52594969999999996</v>
      </c>
      <c r="F3342" t="s">
        <v>42</v>
      </c>
      <c r="G3342">
        <v>-461.03719999999998</v>
      </c>
      <c r="H3342">
        <v>1.0531189999999999</v>
      </c>
      <c r="I3342">
        <v>213.2612</v>
      </c>
      <c r="J3342">
        <v>-461.45650000000001</v>
      </c>
      <c r="K3342">
        <v>1.110206</v>
      </c>
      <c r="L3342">
        <v>213.34200000000001</v>
      </c>
      <c r="M3342">
        <v>0.99995440000000002</v>
      </c>
      <c r="N3342">
        <v>0</v>
      </c>
      <c r="O3342">
        <v>-3.9915749999999998E-3</v>
      </c>
      <c r="P3342">
        <v>0.99017639999999996</v>
      </c>
      <c r="Q3342">
        <v>0.12768969999999999</v>
      </c>
      <c r="R3342">
        <v>-5.6976609999999997E-2</v>
      </c>
      <c r="S3342">
        <v>3.0391849999999998</v>
      </c>
      <c r="T3342">
        <v>-0.22189249999999999</v>
      </c>
      <c r="U3342">
        <v>-0.31239319999999998</v>
      </c>
      <c r="V3342">
        <v>5.2881730000000002E-2</v>
      </c>
      <c r="W3342">
        <v>0.13633700000000001</v>
      </c>
      <c r="X3342">
        <v>0.98925010000000002</v>
      </c>
      <c r="Y3342">
        <v>9.8030480000000003E-2</v>
      </c>
      <c r="Z3342">
        <v>-3.2742460000000002E-3</v>
      </c>
      <c r="AA3342">
        <v>0.99517800000000001</v>
      </c>
      <c r="AB3342">
        <v>23</v>
      </c>
      <c r="AC3342">
        <v>0.41930000000002099</v>
      </c>
      <c r="AD3342">
        <v>-5.7086999999999798E-2</v>
      </c>
      <c r="AE3342">
        <v>-8.0800000000010599E-2</v>
      </c>
      <c r="AF3342">
        <v>7.7736270020659096E-2</v>
      </c>
      <c r="AG3342">
        <v>-5.7086999999999798E-2</v>
      </c>
      <c r="AH3342">
        <v>0.41225115582253202</v>
      </c>
      <c r="AI3342">
        <v>97.749106208978802</v>
      </c>
      <c r="AJ3342">
        <v>79.321390928291194</v>
      </c>
      <c r="AK3342">
        <v>0.42338265047441198</v>
      </c>
      <c r="AL3342">
        <v>82.1640608359818</v>
      </c>
      <c r="AM3342">
        <v>86.940087430472204</v>
      </c>
      <c r="AN3342">
        <v>1.0000000076433999</v>
      </c>
    </row>
    <row r="3343" spans="1:40" x14ac:dyDescent="0.25">
      <c r="A3343" t="str">
        <f>"20190312164052409"</f>
        <v>20190312164052409</v>
      </c>
      <c r="B3343" t="str">
        <f>"1552380052399301"</f>
        <v>1552380052399301</v>
      </c>
      <c r="C3343" t="s">
        <v>40</v>
      </c>
      <c r="D3343">
        <v>5.7667909999999996</v>
      </c>
      <c r="E3343">
        <v>0.52601869999999995</v>
      </c>
      <c r="F3343" t="s">
        <v>42</v>
      </c>
      <c r="G3343">
        <v>-460.61939999999998</v>
      </c>
      <c r="H3343">
        <v>1.0556430000000001</v>
      </c>
      <c r="I3343">
        <v>213.25219999999999</v>
      </c>
      <c r="J3343">
        <v>-461.2407</v>
      </c>
      <c r="K3343">
        <v>1.110106</v>
      </c>
      <c r="L3343">
        <v>213.34200000000001</v>
      </c>
      <c r="M3343">
        <v>0.9999576</v>
      </c>
      <c r="N3343">
        <v>0</v>
      </c>
      <c r="O3343">
        <v>-3.3438460000000001E-3</v>
      </c>
      <c r="P3343">
        <v>0.9897262</v>
      </c>
      <c r="Q3343">
        <v>0.13049050000000001</v>
      </c>
      <c r="R3343">
        <v>-5.8431490000000003E-2</v>
      </c>
      <c r="S3343">
        <v>3.03653</v>
      </c>
      <c r="T3343">
        <v>-0.19784189999999999</v>
      </c>
      <c r="U3343">
        <v>-0.32566830000000002</v>
      </c>
      <c r="V3343">
        <v>5.5008899999999999E-2</v>
      </c>
      <c r="W3343">
        <v>0.13902809999999999</v>
      </c>
      <c r="X3343">
        <v>0.98875939999999995</v>
      </c>
      <c r="Y3343">
        <v>0.103104</v>
      </c>
      <c r="Z3343">
        <v>-3.128685E-3</v>
      </c>
      <c r="AA3343">
        <v>0.99466569999999999</v>
      </c>
      <c r="AB3343">
        <v>23</v>
      </c>
      <c r="AC3343">
        <v>0.62130000000001895</v>
      </c>
      <c r="AD3343">
        <v>-5.44629999999999E-2</v>
      </c>
      <c r="AE3343">
        <v>-8.9800000000025096E-2</v>
      </c>
      <c r="AF3343">
        <v>8.7066541110789902E-2</v>
      </c>
      <c r="AG3343">
        <v>-5.44629999999999E-2</v>
      </c>
      <c r="AH3343">
        <v>0.61695301669485803</v>
      </c>
      <c r="AI3343">
        <v>94.995597862425996</v>
      </c>
      <c r="AJ3343">
        <v>81.967267538845107</v>
      </c>
      <c r="AK3343">
        <v>0.62544210424217705</v>
      </c>
      <c r="AL3343">
        <v>82.008389273431405</v>
      </c>
      <c r="AM3343">
        <v>86.815674200141501</v>
      </c>
      <c r="AN3343">
        <v>0.99999997137858898</v>
      </c>
    </row>
    <row r="3344" spans="1:40" x14ac:dyDescent="0.25">
      <c r="A3344" t="str">
        <f>"20190312164052431"</f>
        <v>20190312164052431</v>
      </c>
      <c r="B3344" t="str">
        <f>"1552380052419794"</f>
        <v>1552380052419794</v>
      </c>
      <c r="C3344" t="s">
        <v>40</v>
      </c>
      <c r="D3344">
        <v>5.7181610000000003</v>
      </c>
      <c r="E3344">
        <v>0.525999199999999</v>
      </c>
      <c r="F3344" t="s">
        <v>48</v>
      </c>
      <c r="G3344">
        <v>-443.36770000000001</v>
      </c>
      <c r="H3344" s="1">
        <v>3.962894E-7</v>
      </c>
      <c r="I3344">
        <v>211.3914</v>
      </c>
      <c r="J3344">
        <v>-461.00869999999998</v>
      </c>
      <c r="K3344">
        <v>1.110015</v>
      </c>
      <c r="L3344">
        <v>213.34190000000001</v>
      </c>
      <c r="M3344">
        <v>0.99996019999999997</v>
      </c>
      <c r="N3344">
        <v>0</v>
      </c>
      <c r="O3344">
        <v>-2.7859080000000001E-3</v>
      </c>
      <c r="P3344">
        <v>0.98916409999999999</v>
      </c>
      <c r="Q3344">
        <v>0.13361789999999901</v>
      </c>
      <c r="R3344">
        <v>-6.083761E-2</v>
      </c>
      <c r="S3344">
        <v>3.0364070000000001</v>
      </c>
      <c r="T3344">
        <v>-0.18859310000000001</v>
      </c>
      <c r="U3344">
        <v>-0.33139039999999997</v>
      </c>
      <c r="V3344">
        <v>5.7995690000000003E-2</v>
      </c>
      <c r="W3344">
        <v>0.142043</v>
      </c>
      <c r="X3344">
        <v>0.98816009999999999</v>
      </c>
      <c r="Y3344">
        <v>0.1055291</v>
      </c>
      <c r="Z3344">
        <v>-3.0920629999999999E-3</v>
      </c>
      <c r="AA3344">
        <v>0.99441139999999995</v>
      </c>
      <c r="AB3344">
        <v>23</v>
      </c>
      <c r="AC3344">
        <v>17.640999999999899</v>
      </c>
      <c r="AD3344">
        <v>-1.1100146037106</v>
      </c>
      <c r="AE3344">
        <v>-1.9504999999999999</v>
      </c>
      <c r="AF3344">
        <v>1.8939364890883801</v>
      </c>
      <c r="AG3344">
        <v>-1.1100146037106</v>
      </c>
      <c r="AH3344">
        <v>17.577612297889502</v>
      </c>
      <c r="AI3344">
        <v>93.592653286899207</v>
      </c>
      <c r="AJ3344">
        <v>83.850271823071097</v>
      </c>
      <c r="AK3344">
        <v>17.7141633147058</v>
      </c>
      <c r="AL3344">
        <v>81.833917255991594</v>
      </c>
      <c r="AM3344">
        <v>86.641130534273799</v>
      </c>
      <c r="AN3344">
        <v>1.00000004856979</v>
      </c>
    </row>
    <row r="3345" spans="1:40" x14ac:dyDescent="0.25">
      <c r="A3345" t="str">
        <f>"20190312164052452"</f>
        <v>20190312164052452</v>
      </c>
      <c r="B3345" t="str">
        <f>"1552380052449075"</f>
        <v>1552380052449075</v>
      </c>
      <c r="C3345" t="s">
        <v>40</v>
      </c>
      <c r="D3345">
        <v>5.7726439999999997</v>
      </c>
      <c r="E3345">
        <v>0.52630100000000002</v>
      </c>
      <c r="F3345" t="s">
        <v>48</v>
      </c>
      <c r="G3345">
        <v>-442.31689999999998</v>
      </c>
      <c r="H3345" s="1">
        <v>-1.5698819999999999E-7</v>
      </c>
      <c r="I3345">
        <v>211.25620000000001</v>
      </c>
      <c r="J3345">
        <v>-460.78919999999999</v>
      </c>
      <c r="K3345">
        <v>1.1099399999999999</v>
      </c>
      <c r="L3345">
        <v>213.34190000000001</v>
      </c>
      <c r="M3345">
        <v>0.99996200000000002</v>
      </c>
      <c r="N3345">
        <v>0</v>
      </c>
      <c r="O3345">
        <v>-2.3906019999999999E-3</v>
      </c>
      <c r="P3345">
        <v>0.98880270000000003</v>
      </c>
      <c r="Q3345">
        <v>0.13525519999999999</v>
      </c>
      <c r="R3345">
        <v>-6.3052330000000004E-2</v>
      </c>
      <c r="S3345">
        <v>3.0363769999999999</v>
      </c>
      <c r="T3345">
        <v>-0.18031510000000001</v>
      </c>
      <c r="U3345">
        <v>-0.33882139999999999</v>
      </c>
      <c r="V3345">
        <v>6.0626930000000002E-2</v>
      </c>
      <c r="W3345">
        <v>0.1435797</v>
      </c>
      <c r="X3345">
        <v>0.98777999999999999</v>
      </c>
      <c r="Y3345">
        <v>0.1083385</v>
      </c>
      <c r="Z3345">
        <v>-3.062688E-3</v>
      </c>
      <c r="AA3345">
        <v>0.99410929999999997</v>
      </c>
      <c r="AB3345">
        <v>23</v>
      </c>
      <c r="AC3345">
        <v>18.472300000000001</v>
      </c>
      <c r="AD3345">
        <v>-1.1099401569881999</v>
      </c>
      <c r="AE3345">
        <v>-2.0857000000000001</v>
      </c>
      <c r="AF3345">
        <v>2.0342804274142199</v>
      </c>
      <c r="AG3345">
        <v>-1.1099401569881999</v>
      </c>
      <c r="AH3345">
        <v>18.4115967269443</v>
      </c>
      <c r="AI3345">
        <v>93.429074603208804</v>
      </c>
      <c r="AJ3345">
        <v>83.6950156451189</v>
      </c>
      <c r="AK3345">
        <v>18.556862828751001</v>
      </c>
      <c r="AL3345">
        <v>81.744958940409106</v>
      </c>
      <c r="AM3345">
        <v>86.487765365791304</v>
      </c>
      <c r="AN3345">
        <v>1.0000000416466499</v>
      </c>
    </row>
    <row r="3346" spans="1:40" x14ac:dyDescent="0.25">
      <c r="A3346" t="str">
        <f>"20190312164052476"</f>
        <v>20190312164052476</v>
      </c>
      <c r="B3346" t="str">
        <f>"1552380052469570"</f>
        <v>1552380052469570</v>
      </c>
      <c r="C3346" t="s">
        <v>40</v>
      </c>
      <c r="D3346">
        <v>5.7955629999999996</v>
      </c>
      <c r="E3346">
        <v>0.52646309999999996</v>
      </c>
      <c r="F3346" t="s">
        <v>48</v>
      </c>
      <c r="G3346">
        <v>-441.96269999999998</v>
      </c>
      <c r="H3346" s="1">
        <v>-3.4235679999999999E-7</v>
      </c>
      <c r="I3346">
        <v>211.1848</v>
      </c>
      <c r="J3346">
        <v>-460.5317</v>
      </c>
      <c r="K3346">
        <v>1.109845</v>
      </c>
      <c r="L3346">
        <v>213.34180000000001</v>
      </c>
      <c r="M3346">
        <v>0.99996350000000001</v>
      </c>
      <c r="N3346">
        <v>0</v>
      </c>
      <c r="O3346">
        <v>-2.0716459999999999E-3</v>
      </c>
      <c r="P3346">
        <v>0.9886433</v>
      </c>
      <c r="Q3346">
        <v>0.13557710000000001</v>
      </c>
      <c r="R3346">
        <v>-6.4834450000000002E-2</v>
      </c>
      <c r="S3346">
        <v>3.0362550000000001</v>
      </c>
      <c r="T3346">
        <v>-0.1790059</v>
      </c>
      <c r="U3346">
        <v>-0.347885099999999</v>
      </c>
      <c r="V3346">
        <v>6.2752599999999895E-2</v>
      </c>
      <c r="W3346">
        <v>0.14379439999999999</v>
      </c>
      <c r="X3346">
        <v>0.98761589999999999</v>
      </c>
      <c r="Y3346">
        <v>0.11158609999999999</v>
      </c>
      <c r="Z3346">
        <v>-3.1541669999999998E-3</v>
      </c>
      <c r="AA3346">
        <v>0.99374969999999996</v>
      </c>
      <c r="AB3346">
        <v>23</v>
      </c>
      <c r="AC3346">
        <v>18.568999999999999</v>
      </c>
      <c r="AD3346">
        <v>-1.1098453423568</v>
      </c>
      <c r="AE3346">
        <v>-2.1570000000000098</v>
      </c>
      <c r="AF3346">
        <v>2.1110846328720498</v>
      </c>
      <c r="AG3346">
        <v>-1.1098453423568</v>
      </c>
      <c r="AH3346">
        <v>18.508192300251999</v>
      </c>
      <c r="AI3346">
        <v>93.409581809799306</v>
      </c>
      <c r="AJ3346">
        <v>83.492841405750994</v>
      </c>
      <c r="AK3346">
        <v>18.661233004124</v>
      </c>
      <c r="AL3346">
        <v>81.732527720355804</v>
      </c>
      <c r="AM3346">
        <v>86.364343452744706</v>
      </c>
      <c r="AN3346">
        <v>0.99999994210546295</v>
      </c>
    </row>
    <row r="3347" spans="1:40" x14ac:dyDescent="0.25">
      <c r="A3347" t="str">
        <f>"20190312164052498"</f>
        <v>20190312164052498</v>
      </c>
      <c r="B3347" t="str">
        <f>"1552380052489090"</f>
        <v>1552380052489090</v>
      </c>
      <c r="C3347" t="s">
        <v>40</v>
      </c>
      <c r="D3347">
        <v>5.8380650000000003</v>
      </c>
      <c r="E3347">
        <v>0.52654669999999903</v>
      </c>
      <c r="F3347" t="s">
        <v>48</v>
      </c>
      <c r="G3347">
        <v>-441.45190000000002</v>
      </c>
      <c r="H3347" s="1">
        <v>-6.1075419999999897E-7</v>
      </c>
      <c r="I3347">
        <v>211.10720000000001</v>
      </c>
      <c r="J3347">
        <v>-460.30259999999998</v>
      </c>
      <c r="K3347">
        <v>1.1097629999999901</v>
      </c>
      <c r="L3347">
        <v>213.3415</v>
      </c>
      <c r="M3347">
        <v>0.99996450000000003</v>
      </c>
      <c r="N3347">
        <v>0</v>
      </c>
      <c r="O3347">
        <v>-1.91456E-3</v>
      </c>
      <c r="P3347">
        <v>0.98858089999999998</v>
      </c>
      <c r="Q3347">
        <v>0.13508310000000001</v>
      </c>
      <c r="R3347">
        <v>-6.6786650000000003E-2</v>
      </c>
      <c r="S3347">
        <v>3.0353699999999999</v>
      </c>
      <c r="T3347">
        <v>-0.17656359999999999</v>
      </c>
      <c r="U3347">
        <v>-0.35548400000000002</v>
      </c>
      <c r="V3347">
        <v>6.4885120000000004E-2</v>
      </c>
      <c r="W3347">
        <v>0.14321439999999999</v>
      </c>
      <c r="X3347">
        <v>0.98756239999999995</v>
      </c>
      <c r="Y3347">
        <v>0.11422980000000001</v>
      </c>
      <c r="Z3347">
        <v>-3.1973240000000001E-3</v>
      </c>
      <c r="AA3347">
        <v>0.99344920000000003</v>
      </c>
      <c r="AB3347">
        <v>24</v>
      </c>
      <c r="AC3347">
        <v>18.8506999999999</v>
      </c>
      <c r="AD3347">
        <v>-1.1097636107541999</v>
      </c>
      <c r="AE3347">
        <v>-2.23429999999999</v>
      </c>
      <c r="AF3347">
        <v>2.19071645154101</v>
      </c>
      <c r="AG3347">
        <v>-1.1097636107541999</v>
      </c>
      <c r="AH3347">
        <v>18.7907202740356</v>
      </c>
      <c r="AI3347">
        <v>93.357226629060705</v>
      </c>
      <c r="AJ3347">
        <v>83.350190331539295</v>
      </c>
      <c r="AK3347">
        <v>18.9505140368239</v>
      </c>
      <c r="AL3347">
        <v>81.766107048582398</v>
      </c>
      <c r="AM3347">
        <v>86.240938384585604</v>
      </c>
      <c r="AN3347">
        <v>0.99999996852926598</v>
      </c>
    </row>
    <row r="3348" spans="1:40" x14ac:dyDescent="0.25">
      <c r="A3348" t="str">
        <f>"20190312164052521"</f>
        <v>20190312164052521</v>
      </c>
      <c r="B3348" t="str">
        <f>"1552380052509586"</f>
        <v>1552380052509586</v>
      </c>
      <c r="C3348" t="s">
        <v>40</v>
      </c>
      <c r="D3348">
        <v>5.7933830000000004</v>
      </c>
      <c r="E3348">
        <v>0.52662580000000003</v>
      </c>
      <c r="F3348" t="s">
        <v>48</v>
      </c>
      <c r="G3348">
        <v>-441.00290000000001</v>
      </c>
      <c r="H3348" s="1">
        <v>-8.4668319999999896E-7</v>
      </c>
      <c r="I3348">
        <v>211.0378</v>
      </c>
      <c r="J3348">
        <v>-460.06610000000001</v>
      </c>
      <c r="K3348">
        <v>1.109688</v>
      </c>
      <c r="L3348">
        <v>213.34119999999999</v>
      </c>
      <c r="M3348">
        <v>0.99996510000000005</v>
      </c>
      <c r="N3348">
        <v>0</v>
      </c>
      <c r="O3348">
        <v>-1.851737E-3</v>
      </c>
      <c r="P3348">
        <v>0.98859430000000004</v>
      </c>
      <c r="Q3348">
        <v>0.13390250000000001</v>
      </c>
      <c r="R3348">
        <v>-6.8933579999999994E-2</v>
      </c>
      <c r="S3348">
        <v>3.0340579999999999</v>
      </c>
      <c r="T3348">
        <v>-0.17446349999999999</v>
      </c>
      <c r="U3348">
        <v>-0.36216739999999997</v>
      </c>
      <c r="V3348">
        <v>6.711636E-2</v>
      </c>
      <c r="W3348">
        <v>0.14195429999999901</v>
      </c>
      <c r="X3348">
        <v>0.98759529999999995</v>
      </c>
      <c r="Y3348">
        <v>0.1165003</v>
      </c>
      <c r="Z3348">
        <v>-3.2288939999999999E-3</v>
      </c>
      <c r="AA3348">
        <v>0.9931854</v>
      </c>
      <c r="AB3348">
        <v>24</v>
      </c>
      <c r="AC3348">
        <v>19.063199999999899</v>
      </c>
      <c r="AD3348">
        <v>-1.1096888466832</v>
      </c>
      <c r="AE3348">
        <v>-2.3033999999999799</v>
      </c>
      <c r="AF3348">
        <v>2.2605451541922301</v>
      </c>
      <c r="AG3348">
        <v>-1.1096888466832</v>
      </c>
      <c r="AH3348">
        <v>19.0039639517205</v>
      </c>
      <c r="AI3348">
        <v>93.318506548288994</v>
      </c>
      <c r="AJ3348">
        <v>83.216470202654605</v>
      </c>
      <c r="AK3348">
        <v>19.170083975008801</v>
      </c>
      <c r="AL3348">
        <v>81.839051451561104</v>
      </c>
      <c r="AM3348">
        <v>86.112192491817595</v>
      </c>
      <c r="AN3348">
        <v>1.0000000528251101</v>
      </c>
    </row>
    <row r="3349" spans="1:40" x14ac:dyDescent="0.25">
      <c r="A3349" t="str">
        <f>"20190312164052541"</f>
        <v>20190312164052541</v>
      </c>
      <c r="B3349" t="str">
        <f>"1552380052529110"</f>
        <v>1552380052529110</v>
      </c>
      <c r="C3349" t="s">
        <v>40</v>
      </c>
      <c r="D3349">
        <v>6.0374819999999998</v>
      </c>
      <c r="E3349">
        <v>0.52662519999999902</v>
      </c>
      <c r="F3349" t="s">
        <v>48</v>
      </c>
      <c r="G3349">
        <v>-440.81439999999998</v>
      </c>
      <c r="H3349" s="1">
        <v>-9.4537500000000003E-7</v>
      </c>
      <c r="I3349">
        <v>211.0009</v>
      </c>
      <c r="J3349">
        <v>-459.84629999999999</v>
      </c>
      <c r="K3349">
        <v>1.1096349999999999</v>
      </c>
      <c r="L3349">
        <v>213.3409</v>
      </c>
      <c r="M3349">
        <v>0.99996560000000001</v>
      </c>
      <c r="N3349">
        <v>0</v>
      </c>
      <c r="O3349">
        <v>-1.8542179999999999E-3</v>
      </c>
      <c r="P3349">
        <v>0.98849860000000001</v>
      </c>
      <c r="Q3349">
        <v>0.13387779999999999</v>
      </c>
      <c r="R3349">
        <v>-7.0338479999999995E-2</v>
      </c>
      <c r="S3349">
        <v>3.0325929999999999</v>
      </c>
      <c r="T3349">
        <v>-0.17480179999999901</v>
      </c>
      <c r="U3349">
        <v>-0.36866759999999998</v>
      </c>
      <c r="V3349">
        <v>6.8534780000000003E-2</v>
      </c>
      <c r="W3349">
        <v>0.14186319999999999</v>
      </c>
      <c r="X3349">
        <v>0.98751089999999997</v>
      </c>
      <c r="Y3349">
        <v>0.118648</v>
      </c>
      <c r="Z3349">
        <v>-3.2977620000000001E-3</v>
      </c>
      <c r="AA3349">
        <v>0.99293089999999995</v>
      </c>
      <c r="AB3349">
        <v>24</v>
      </c>
      <c r="AC3349">
        <v>19.0319</v>
      </c>
      <c r="AD3349">
        <v>-1.109635945375</v>
      </c>
      <c r="AE3349">
        <v>-2.34</v>
      </c>
      <c r="AF3349">
        <v>2.2970134459363898</v>
      </c>
      <c r="AG3349">
        <v>-1.109635945375</v>
      </c>
      <c r="AH3349">
        <v>18.972671867249499</v>
      </c>
      <c r="AI3349">
        <v>93.322978454719703</v>
      </c>
      <c r="AJ3349">
        <v>83.096821678764798</v>
      </c>
      <c r="AK3349">
        <v>19.143402009162301</v>
      </c>
      <c r="AL3349">
        <v>81.844323867958806</v>
      </c>
      <c r="AM3349">
        <v>86.029950351900197</v>
      </c>
      <c r="AN3349">
        <v>0.99999998060134898</v>
      </c>
    </row>
    <row r="3350" spans="1:40" x14ac:dyDescent="0.25">
      <c r="A3350" t="str">
        <f>"20190312164052568"</f>
        <v>20190312164052568</v>
      </c>
      <c r="B3350" t="str">
        <f>"1552380052559362"</f>
        <v>1552380052559362</v>
      </c>
      <c r="C3350" t="s">
        <v>40</v>
      </c>
      <c r="D3350">
        <v>5.7579409999999998</v>
      </c>
      <c r="E3350">
        <v>0.52659869999999898</v>
      </c>
      <c r="F3350" t="s">
        <v>48</v>
      </c>
      <c r="G3350">
        <v>-440.26929999999999</v>
      </c>
      <c r="H3350" s="1">
        <v>-1.232459E-6</v>
      </c>
      <c r="I3350">
        <v>210.93190000000001</v>
      </c>
      <c r="J3350">
        <v>-459.56490000000002</v>
      </c>
      <c r="K3350">
        <v>1.1095930000000001</v>
      </c>
      <c r="L3350">
        <v>213.34030000000001</v>
      </c>
      <c r="M3350">
        <v>0.99996589999999996</v>
      </c>
      <c r="N3350">
        <v>0</v>
      </c>
      <c r="O3350">
        <v>-1.9472560000000001E-3</v>
      </c>
      <c r="P3350">
        <v>0.98833360000000003</v>
      </c>
      <c r="Q3350">
        <v>0.1341475</v>
      </c>
      <c r="R3350">
        <v>-7.2120290000000004E-2</v>
      </c>
      <c r="S3350">
        <v>3.031647</v>
      </c>
      <c r="T3350">
        <v>-0.17183470000000001</v>
      </c>
      <c r="U3350">
        <v>-0.37304690000000001</v>
      </c>
      <c r="V3350">
        <v>7.0240199999999905E-2</v>
      </c>
      <c r="W3350">
        <v>0.14205809999999999</v>
      </c>
      <c r="X3350">
        <v>0.98736299999999999</v>
      </c>
      <c r="Y3350">
        <v>0.12001009999999999</v>
      </c>
      <c r="Z3350">
        <v>-3.2757720000000001E-3</v>
      </c>
      <c r="AA3350">
        <v>0.99276730000000002</v>
      </c>
      <c r="AB3350">
        <v>24</v>
      </c>
      <c r="AC3350">
        <v>19.2956</v>
      </c>
      <c r="AD3350">
        <v>-1.109594232459</v>
      </c>
      <c r="AE3350">
        <v>-2.4083999999999999</v>
      </c>
      <c r="AF3350">
        <v>2.36312616947759</v>
      </c>
      <c r="AG3350">
        <v>-1.109594232459</v>
      </c>
      <c r="AH3350">
        <v>19.237613693956899</v>
      </c>
      <c r="AI3350">
        <v>93.276496511963202</v>
      </c>
      <c r="AJ3350">
        <v>82.996936190955793</v>
      </c>
      <c r="AK3350">
        <v>19.413947184730201</v>
      </c>
      <c r="AL3350">
        <v>81.833042347169695</v>
      </c>
      <c r="AM3350">
        <v>85.930879963394005</v>
      </c>
      <c r="AN3350">
        <v>0.99999994162032302</v>
      </c>
    </row>
    <row r="3351" spans="1:40" x14ac:dyDescent="0.25">
      <c r="A3351" t="str">
        <f>"20190312164052590"</f>
        <v>20190312164052590</v>
      </c>
      <c r="B3351" t="str">
        <f>"1552380052579860"</f>
        <v>1552380052579860</v>
      </c>
      <c r="C3351" t="s">
        <v>40</v>
      </c>
      <c r="D3351">
        <v>5.791804</v>
      </c>
      <c r="E3351">
        <v>0.52667640000000004</v>
      </c>
      <c r="F3351" t="s">
        <v>48</v>
      </c>
      <c r="G3351">
        <v>-440.4</v>
      </c>
      <c r="H3351" s="1">
        <v>-1.1635519999999999E-6</v>
      </c>
      <c r="I3351">
        <v>210.9469</v>
      </c>
      <c r="J3351">
        <v>-459.33120000000002</v>
      </c>
      <c r="K3351">
        <v>1.1095549999999901</v>
      </c>
      <c r="L3351">
        <v>213.3398</v>
      </c>
      <c r="M3351">
        <v>0.99996600000000002</v>
      </c>
      <c r="N3351">
        <v>0</v>
      </c>
      <c r="O3351">
        <v>-2.1028539999999999E-3</v>
      </c>
      <c r="P3351">
        <v>0.98803030000000003</v>
      </c>
      <c r="Q3351">
        <v>0.13612260000000001</v>
      </c>
      <c r="R3351">
        <v>-7.2575150000000005E-2</v>
      </c>
      <c r="S3351">
        <v>3.0316160000000001</v>
      </c>
      <c r="T3351">
        <v>-0.17552200000000001</v>
      </c>
      <c r="U3351">
        <v>-0.37860110000000002</v>
      </c>
      <c r="V3351">
        <v>7.0555019999999996E-2</v>
      </c>
      <c r="W3351">
        <v>0.14397460000000001</v>
      </c>
      <c r="X3351">
        <v>0.98706300000000002</v>
      </c>
      <c r="Y3351">
        <v>0.1216375</v>
      </c>
      <c r="Z3351">
        <v>-3.3835319999999999E-3</v>
      </c>
      <c r="AA3351">
        <v>0.99256880000000003</v>
      </c>
      <c r="AB3351">
        <v>24</v>
      </c>
      <c r="AC3351">
        <v>18.9312</v>
      </c>
      <c r="AD3351">
        <v>-1.1095561635519999</v>
      </c>
      <c r="AE3351">
        <v>-2.3928999999999898</v>
      </c>
      <c r="AF3351">
        <v>2.34515468325487</v>
      </c>
      <c r="AG3351">
        <v>-1.1095561635519999</v>
      </c>
      <c r="AH3351">
        <v>18.872380748672899</v>
      </c>
      <c r="AI3351">
        <v>93.339071530235699</v>
      </c>
      <c r="AJ3351">
        <v>82.916516819853101</v>
      </c>
      <c r="AK3351">
        <v>19.0498719284763</v>
      </c>
      <c r="AL3351">
        <v>81.722095198925999</v>
      </c>
      <c r="AM3351">
        <v>85.911465595729695</v>
      </c>
      <c r="AN3351">
        <v>1.00000003113067</v>
      </c>
    </row>
    <row r="3352" spans="1:40" x14ac:dyDescent="0.25">
      <c r="A3352" t="str">
        <f>"20190312164052611"</f>
        <v>20190312164052611</v>
      </c>
      <c r="B3352" t="str">
        <f>"1552380052599381"</f>
        <v>1552380052599381</v>
      </c>
      <c r="C3352" t="s">
        <v>40</v>
      </c>
      <c r="D3352">
        <v>5.7486899999999999</v>
      </c>
      <c r="E3352">
        <v>0.52677010000000002</v>
      </c>
      <c r="F3352" t="s">
        <v>49</v>
      </c>
      <c r="G3352">
        <v>-439.33499999999998</v>
      </c>
      <c r="H3352" s="1">
        <v>6.6886349999999997E-6</v>
      </c>
      <c r="I3352">
        <v>210.81909999999999</v>
      </c>
      <c r="J3352">
        <v>-459.10320000000002</v>
      </c>
      <c r="K3352">
        <v>1.1095109999999999</v>
      </c>
      <c r="L3352">
        <v>213.3391</v>
      </c>
      <c r="M3352">
        <v>0.99996589999999996</v>
      </c>
      <c r="N3352">
        <v>0</v>
      </c>
      <c r="O3352">
        <v>-2.3269419999999998E-3</v>
      </c>
      <c r="P3352">
        <v>0.98774280000000003</v>
      </c>
      <c r="Q3352">
        <v>0.1381812</v>
      </c>
      <c r="R3352">
        <v>-7.2596320000000006E-2</v>
      </c>
      <c r="S3352">
        <v>3.0314640000000002</v>
      </c>
      <c r="T3352">
        <v>-0.1682099</v>
      </c>
      <c r="U3352">
        <v>-0.38214110000000001</v>
      </c>
      <c r="V3352">
        <v>7.0370719999999998E-2</v>
      </c>
      <c r="W3352">
        <v>0.14597650000000001</v>
      </c>
      <c r="X3352">
        <v>0.9867821</v>
      </c>
      <c r="Y3352">
        <v>0.1225774</v>
      </c>
      <c r="Z3352">
        <v>-3.2563010000000001E-3</v>
      </c>
      <c r="AA3352">
        <v>0.99245360000000005</v>
      </c>
      <c r="AB3352">
        <v>24</v>
      </c>
      <c r="AC3352">
        <v>19.7682</v>
      </c>
      <c r="AD3352">
        <v>-1.1095043113650001</v>
      </c>
      <c r="AE3352">
        <v>-2.5200000000000098</v>
      </c>
      <c r="AF3352">
        <v>2.4663472834206401</v>
      </c>
      <c r="AG3352">
        <v>-1.1095043113650001</v>
      </c>
      <c r="AH3352">
        <v>19.7129059966427</v>
      </c>
      <c r="AI3352">
        <v>93.196519189950095</v>
      </c>
      <c r="AJ3352">
        <v>82.868590392272694</v>
      </c>
      <c r="AK3352">
        <v>19.897550893812198</v>
      </c>
      <c r="AL3352">
        <v>81.606170154844904</v>
      </c>
      <c r="AM3352">
        <v>85.920952461908797</v>
      </c>
      <c r="AN3352">
        <v>1.00000004483298</v>
      </c>
    </row>
    <row r="3353" spans="1:40" x14ac:dyDescent="0.25">
      <c r="A3353" t="str">
        <f>"20190312164052633"</f>
        <v>20190312164052633</v>
      </c>
      <c r="B3353" t="str">
        <f>"1552380052629634"</f>
        <v>1552380052629634</v>
      </c>
      <c r="C3353" t="s">
        <v>40</v>
      </c>
      <c r="D3353">
        <v>5.7103900000000003</v>
      </c>
      <c r="E3353">
        <v>0.52686659999999996</v>
      </c>
      <c r="F3353" t="s">
        <v>49</v>
      </c>
      <c r="G3353">
        <v>-438.49740000000003</v>
      </c>
      <c r="H3353" s="1">
        <v>6.3251480000000003E-6</v>
      </c>
      <c r="I3353">
        <v>210.72839999999999</v>
      </c>
      <c r="J3353">
        <v>-458.86419999999998</v>
      </c>
      <c r="K3353">
        <v>1.1094569999999999</v>
      </c>
      <c r="L3353">
        <v>213.3383</v>
      </c>
      <c r="M3353">
        <v>0.99996549999999995</v>
      </c>
      <c r="N3353">
        <v>0</v>
      </c>
      <c r="O3353">
        <v>-2.6360009999999998E-3</v>
      </c>
      <c r="P3353">
        <v>0.98770519999999995</v>
      </c>
      <c r="Q3353">
        <v>0.1384793</v>
      </c>
      <c r="R3353">
        <v>-7.2540129999999994E-2</v>
      </c>
      <c r="S3353">
        <v>3.0318299999999998</v>
      </c>
      <c r="T3353">
        <v>-0.1632468</v>
      </c>
      <c r="U3353">
        <v>-0.38412479999999999</v>
      </c>
      <c r="V3353">
        <v>7.0027370000000005E-2</v>
      </c>
      <c r="W3353">
        <v>0.1462175</v>
      </c>
      <c r="X3353">
        <v>0.98677079999999995</v>
      </c>
      <c r="Y3353">
        <v>0.1229055</v>
      </c>
      <c r="Z3353">
        <v>-3.152083E-3</v>
      </c>
      <c r="AA3353">
        <v>0.9924134</v>
      </c>
      <c r="AB3353">
        <v>24</v>
      </c>
      <c r="AC3353">
        <v>20.366799999999898</v>
      </c>
      <c r="AD3353">
        <v>-1.1094506748520001</v>
      </c>
      <c r="AE3353">
        <v>-2.6099000000000099</v>
      </c>
      <c r="AF3353">
        <v>2.5487614533407301</v>
      </c>
      <c r="AG3353">
        <v>-1.1094506748520001</v>
      </c>
      <c r="AH3353">
        <v>20.314303145105399</v>
      </c>
      <c r="AI3353">
        <v>93.101790615929005</v>
      </c>
      <c r="AJ3353">
        <v>82.848676393153596</v>
      </c>
      <c r="AK3353">
        <v>20.503608902269001</v>
      </c>
      <c r="AL3353">
        <v>81.592211733533205</v>
      </c>
      <c r="AM3353">
        <v>85.940741766913504</v>
      </c>
      <c r="AN3353">
        <v>1.000000000794</v>
      </c>
    </row>
    <row r="3354" spans="1:40" x14ac:dyDescent="0.25">
      <c r="A3354" t="str">
        <f>"20190312164052655"</f>
        <v>20190312164052655</v>
      </c>
      <c r="B3354" t="str">
        <f>"1552380052649154"</f>
        <v>1552380052649154</v>
      </c>
      <c r="C3354" t="s">
        <v>40</v>
      </c>
      <c r="D3354">
        <v>5.7734439999999996</v>
      </c>
      <c r="E3354">
        <v>0.52695080000000005</v>
      </c>
      <c r="F3354" t="s">
        <v>49</v>
      </c>
      <c r="G3354">
        <v>-438.57490000000001</v>
      </c>
      <c r="H3354" s="1">
        <v>6.3560809999999997E-6</v>
      </c>
      <c r="I3354">
        <v>210.76730000000001</v>
      </c>
      <c r="J3354">
        <v>-458.62830000000002</v>
      </c>
      <c r="K3354">
        <v>1.109397</v>
      </c>
      <c r="L3354">
        <v>213.3373</v>
      </c>
      <c r="M3354">
        <v>0.99996499999999999</v>
      </c>
      <c r="N3354">
        <v>0</v>
      </c>
      <c r="O3354">
        <v>-3.0121969999999999E-3</v>
      </c>
      <c r="P3354">
        <v>0.98786289999999999</v>
      </c>
      <c r="Q3354">
        <v>0.1379484</v>
      </c>
      <c r="R3354">
        <v>-7.1396660000000001E-2</v>
      </c>
      <c r="S3354">
        <v>3.0323790000000002</v>
      </c>
      <c r="T3354">
        <v>-0.1658154</v>
      </c>
      <c r="U3354">
        <v>-0.3842468</v>
      </c>
      <c r="V3354">
        <v>6.8530250000000001E-2</v>
      </c>
      <c r="W3354">
        <v>0.1456297</v>
      </c>
      <c r="X3354">
        <v>0.98696280000000003</v>
      </c>
      <c r="Y3354">
        <v>0.1225448</v>
      </c>
      <c r="Z3354">
        <v>-3.170736E-3</v>
      </c>
      <c r="AA3354">
        <v>0.9924579</v>
      </c>
      <c r="AB3354">
        <v>24</v>
      </c>
      <c r="AC3354">
        <v>20.0534</v>
      </c>
      <c r="AD3354">
        <v>-1.109390643919</v>
      </c>
      <c r="AE3354">
        <v>-2.5699999999999901</v>
      </c>
      <c r="AF3354">
        <v>2.50204791881586</v>
      </c>
      <c r="AG3354">
        <v>-1.109390643919</v>
      </c>
      <c r="AH3354">
        <v>20.000827123622798</v>
      </c>
      <c r="AI3354">
        <v>93.150281311804406</v>
      </c>
      <c r="AJ3354">
        <v>82.869498982668105</v>
      </c>
      <c r="AK3354">
        <v>20.1872255899099</v>
      </c>
      <c r="AL3354">
        <v>81.626254473275793</v>
      </c>
      <c r="AM3354">
        <v>86.028014396620094</v>
      </c>
      <c r="AN3354">
        <v>0.99999998663549605</v>
      </c>
    </row>
    <row r="3355" spans="1:40" x14ac:dyDescent="0.25">
      <c r="A3355" t="str">
        <f>"20190312164052677"</f>
        <v>20190312164052677</v>
      </c>
      <c r="B3355" t="str">
        <f>"1552380052669650"</f>
        <v>1552380052669650</v>
      </c>
      <c r="C3355" t="s">
        <v>40</v>
      </c>
      <c r="D3355">
        <v>5.7761829999999996</v>
      </c>
      <c r="E3355">
        <v>0.52702369999999898</v>
      </c>
      <c r="F3355" t="s">
        <v>49</v>
      </c>
      <c r="G3355">
        <v>-438.8417</v>
      </c>
      <c r="H3355" s="1">
        <v>6.4668420000000004E-6</v>
      </c>
      <c r="I3355">
        <v>210.85390000000001</v>
      </c>
      <c r="J3355">
        <v>-458.38380000000001</v>
      </c>
      <c r="K3355">
        <v>1.1093329999999999</v>
      </c>
      <c r="L3355">
        <v>213.33609999999999</v>
      </c>
      <c r="M3355">
        <v>0.99996390000000002</v>
      </c>
      <c r="N3355">
        <v>0</v>
      </c>
      <c r="O3355">
        <v>-3.4711949999999998E-3</v>
      </c>
      <c r="P3355">
        <v>0.98798629999999998</v>
      </c>
      <c r="Q3355">
        <v>0.13781689999999999</v>
      </c>
      <c r="R3355">
        <v>-6.9928320000000002E-2</v>
      </c>
      <c r="S3355">
        <v>3.0330810000000001</v>
      </c>
      <c r="T3355">
        <v>-0.1700583</v>
      </c>
      <c r="U3355">
        <v>-0.38067630000000002</v>
      </c>
      <c r="V3355">
        <v>6.6625719999999999E-2</v>
      </c>
      <c r="W3355">
        <v>0.1454368</v>
      </c>
      <c r="X3355">
        <v>0.98712160000000004</v>
      </c>
      <c r="Y3355">
        <v>0.1209045</v>
      </c>
      <c r="Z3355">
        <v>-3.1798590000000002E-3</v>
      </c>
      <c r="AA3355">
        <v>0.99265899999999996</v>
      </c>
      <c r="AB3355">
        <v>24</v>
      </c>
      <c r="AC3355">
        <v>19.542100000000001</v>
      </c>
      <c r="AD3355">
        <v>-1.109326533158</v>
      </c>
      <c r="AE3355">
        <v>-2.48219999999997</v>
      </c>
      <c r="AF3355">
        <v>2.4067163525597901</v>
      </c>
      <c r="AG3355">
        <v>-1.109326533158</v>
      </c>
      <c r="AH3355">
        <v>19.488795580151301</v>
      </c>
      <c r="AI3355">
        <v>93.233323062304095</v>
      </c>
      <c r="AJ3355">
        <v>82.960054754354204</v>
      </c>
      <c r="AK3355">
        <v>19.668147907817101</v>
      </c>
      <c r="AL3355">
        <v>81.637425468195204</v>
      </c>
      <c r="AM3355">
        <v>86.138680797182005</v>
      </c>
      <c r="AN3355">
        <v>0.99999995127315799</v>
      </c>
    </row>
    <row r="3356" spans="1:40" x14ac:dyDescent="0.25">
      <c r="A3356" t="str">
        <f>"20190312164052699"</f>
        <v>20190312164052699</v>
      </c>
      <c r="B3356" t="str">
        <f>"1552380052689170"</f>
        <v>1552380052689170</v>
      </c>
      <c r="C3356" t="s">
        <v>40</v>
      </c>
      <c r="D3356">
        <v>5.7955990000000002</v>
      </c>
      <c r="E3356">
        <v>0.52712060000000005</v>
      </c>
      <c r="F3356" t="s">
        <v>49</v>
      </c>
      <c r="G3356">
        <v>-438.98399999999998</v>
      </c>
      <c r="H3356" s="1">
        <v>6.5235759999999999E-6</v>
      </c>
      <c r="I3356">
        <v>210.92689999999999</v>
      </c>
      <c r="J3356">
        <v>-458.13510000000002</v>
      </c>
      <c r="K3356">
        <v>1.109278</v>
      </c>
      <c r="L3356">
        <v>213.3347</v>
      </c>
      <c r="M3356">
        <v>0.99996220000000002</v>
      </c>
      <c r="N3356">
        <v>0</v>
      </c>
      <c r="O3356">
        <v>-4.0071940000000004E-3</v>
      </c>
      <c r="P3356">
        <v>0.98814429999999998</v>
      </c>
      <c r="Q3356">
        <v>0.137453399999999</v>
      </c>
      <c r="R3356">
        <v>-6.8389920000000007E-2</v>
      </c>
      <c r="S3356">
        <v>3.0340579999999999</v>
      </c>
      <c r="T3356">
        <v>-0.1734947</v>
      </c>
      <c r="U3356">
        <v>-0.37680049999999998</v>
      </c>
      <c r="V3356">
        <v>6.4570909999999995E-2</v>
      </c>
      <c r="W3356">
        <v>0.14501029999999901</v>
      </c>
      <c r="X3356">
        <v>0.98732089999999995</v>
      </c>
      <c r="Y3356">
        <v>0.1190807</v>
      </c>
      <c r="Z3356">
        <v>-3.1608230000000001E-3</v>
      </c>
      <c r="AA3356">
        <v>0.99287959999999997</v>
      </c>
      <c r="AB3356">
        <v>24</v>
      </c>
      <c r="AC3356">
        <v>19.1510999999999</v>
      </c>
      <c r="AD3356">
        <v>-1.1092714764239999</v>
      </c>
      <c r="AE3356">
        <v>-2.4077999999999999</v>
      </c>
      <c r="AF3356">
        <v>2.32336270047885</v>
      </c>
      <c r="AG3356">
        <v>-1.1092714764239999</v>
      </c>
      <c r="AH3356">
        <v>19.097520517010398</v>
      </c>
      <c r="AI3356">
        <v>93.299989324614003</v>
      </c>
      <c r="AJ3356">
        <v>83.063607363069906</v>
      </c>
      <c r="AK3356">
        <v>19.270282492584801</v>
      </c>
      <c r="AL3356">
        <v>81.662124146915801</v>
      </c>
      <c r="AM3356">
        <v>86.258177614010606</v>
      </c>
      <c r="AN3356">
        <v>0.999999974550563</v>
      </c>
    </row>
    <row r="3357" spans="1:40" x14ac:dyDescent="0.25">
      <c r="A3357" t="str">
        <f>"20190312164052721"</f>
        <v>20190312164052721</v>
      </c>
      <c r="B3357" t="str">
        <f>"1552380052709666"</f>
        <v>1552380052709666</v>
      </c>
      <c r="C3357" t="s">
        <v>40</v>
      </c>
      <c r="D3357">
        <v>5.8053660000000002</v>
      </c>
      <c r="E3357">
        <v>0.52711390000000002</v>
      </c>
      <c r="F3357" t="s">
        <v>49</v>
      </c>
      <c r="G3357">
        <v>-438.91750000000002</v>
      </c>
      <c r="H3357" s="1">
        <v>6.4903759999999999E-6</v>
      </c>
      <c r="I3357">
        <v>210.9693</v>
      </c>
      <c r="J3357">
        <v>-457.90609999999998</v>
      </c>
      <c r="K3357">
        <v>1.1092360000000001</v>
      </c>
      <c r="L3357">
        <v>213.33330000000001</v>
      </c>
      <c r="M3357">
        <v>0.99996030000000002</v>
      </c>
      <c r="N3357">
        <v>0</v>
      </c>
      <c r="O3357">
        <v>-4.5471060000000004E-3</v>
      </c>
      <c r="P3357">
        <v>0.98830530000000005</v>
      </c>
      <c r="Q3357">
        <v>0.13736880000000001</v>
      </c>
      <c r="R3357">
        <v>-6.620065E-2</v>
      </c>
      <c r="S3357">
        <v>3.0345149999999999</v>
      </c>
      <c r="T3357">
        <v>-0.17515720000000001</v>
      </c>
      <c r="U3357">
        <v>-0.37350460000000002</v>
      </c>
      <c r="V3357">
        <v>6.1856149999999999E-2</v>
      </c>
      <c r="W3357">
        <v>0.14486779999999999</v>
      </c>
      <c r="X3357">
        <v>0.98751560000000005</v>
      </c>
      <c r="Y3357">
        <v>0.117464</v>
      </c>
      <c r="Z3357">
        <v>-3.1133319999999999E-3</v>
      </c>
      <c r="AA3357">
        <v>0.99307230000000002</v>
      </c>
      <c r="AB3357">
        <v>24</v>
      </c>
      <c r="AC3357">
        <v>18.988599999999899</v>
      </c>
      <c r="AD3357">
        <v>-1.1092295096239999</v>
      </c>
      <c r="AE3357">
        <v>-2.3639999999999999</v>
      </c>
      <c r="AF3357">
        <v>2.2700019715714999</v>
      </c>
      <c r="AG3357">
        <v>-1.1092295096239999</v>
      </c>
      <c r="AH3357">
        <v>18.935524415210502</v>
      </c>
      <c r="AI3357">
        <v>93.328734907589094</v>
      </c>
      <c r="AJ3357">
        <v>83.163970853985305</v>
      </c>
      <c r="AK3357">
        <v>19.103334366936899</v>
      </c>
      <c r="AL3357">
        <v>81.670375820288996</v>
      </c>
      <c r="AM3357">
        <v>86.415781096384407</v>
      </c>
      <c r="AN3357">
        <v>0.99999996150651005</v>
      </c>
    </row>
    <row r="3358" spans="1:40" x14ac:dyDescent="0.25">
      <c r="A3358" t="str">
        <f>"20190312164052743"</f>
        <v>20190312164052743</v>
      </c>
      <c r="B3358" t="str">
        <f>"1552380052738947"</f>
        <v>1552380052738947</v>
      </c>
      <c r="C3358" t="s">
        <v>40</v>
      </c>
      <c r="D3358">
        <v>5.7161589999999904</v>
      </c>
      <c r="E3358">
        <v>0.48237140000000001</v>
      </c>
      <c r="F3358" t="s">
        <v>49</v>
      </c>
      <c r="G3358">
        <v>-438.58879999999999</v>
      </c>
      <c r="H3358" s="1">
        <v>6.3424630000000003E-6</v>
      </c>
      <c r="I3358">
        <v>210.9939</v>
      </c>
      <c r="J3358">
        <v>-457.65800000000002</v>
      </c>
      <c r="K3358">
        <v>1.1092040000000001</v>
      </c>
      <c r="L3358">
        <v>213.33150000000001</v>
      </c>
      <c r="M3358">
        <v>0.99995789999999996</v>
      </c>
      <c r="N3358">
        <v>0</v>
      </c>
      <c r="O3358">
        <v>-5.164872E-3</v>
      </c>
      <c r="P3358">
        <v>0.98852229999999996</v>
      </c>
      <c r="Q3358">
        <v>0.1366676</v>
      </c>
      <c r="R3358">
        <v>-6.4386929999999995E-2</v>
      </c>
      <c r="S3358">
        <v>3.0350950000000001</v>
      </c>
      <c r="T3358">
        <v>-0.1742805</v>
      </c>
      <c r="U3358">
        <v>-0.36755369999999998</v>
      </c>
      <c r="V3358">
        <v>5.943565E-2</v>
      </c>
      <c r="W3358">
        <v>0.1441096</v>
      </c>
      <c r="X3358">
        <v>0.98777519999999996</v>
      </c>
      <c r="Y3358">
        <v>0.11491560000000001</v>
      </c>
      <c r="Z3358">
        <v>-2.9894019999999999E-3</v>
      </c>
      <c r="AA3358">
        <v>0.9933708</v>
      </c>
      <c r="AB3358">
        <v>24</v>
      </c>
      <c r="AC3358">
        <v>19.069199999999999</v>
      </c>
      <c r="AD3358">
        <v>-1.1091976575369999</v>
      </c>
      <c r="AE3358">
        <v>-2.3376000000000001</v>
      </c>
      <c r="AF3358">
        <v>2.2316372773659099</v>
      </c>
      <c r="AG3358">
        <v>-1.1091976575369999</v>
      </c>
      <c r="AH3358">
        <v>19.017627802094999</v>
      </c>
      <c r="AI3358">
        <v>93.315281789248104</v>
      </c>
      <c r="AJ3358">
        <v>83.307193375043198</v>
      </c>
      <c r="AK3358">
        <v>19.180216151029999</v>
      </c>
      <c r="AL3358">
        <v>81.714278575298806</v>
      </c>
      <c r="AM3358">
        <v>86.556594101031394</v>
      </c>
      <c r="AN3358">
        <v>1.00000000951906</v>
      </c>
    </row>
    <row r="3359" spans="1:40" x14ac:dyDescent="0.25">
      <c r="A3359" t="str">
        <f>"20190312164052767"</f>
        <v>20190312164052767</v>
      </c>
      <c r="B3359" t="str">
        <f>"1552380052759442"</f>
        <v>1552380052759442</v>
      </c>
      <c r="C3359" t="s">
        <v>40</v>
      </c>
      <c r="D3359">
        <v>5.7865320000000002</v>
      </c>
      <c r="E3359">
        <v>0.47518379999999999</v>
      </c>
      <c r="F3359" t="s">
        <v>49</v>
      </c>
      <c r="G3359">
        <v>-434.92970000000003</v>
      </c>
      <c r="H3359" s="1">
        <v>4.5201010000000004E-6</v>
      </c>
      <c r="I3359">
        <v>213.2782</v>
      </c>
      <c r="J3359">
        <v>-457.39670000000001</v>
      </c>
      <c r="K3359">
        <v>1.109178</v>
      </c>
      <c r="L3359">
        <v>213.3295</v>
      </c>
      <c r="M3359">
        <v>0.99995460000000003</v>
      </c>
      <c r="N3359">
        <v>0</v>
      </c>
      <c r="O3359">
        <v>-5.8360840000000001E-3</v>
      </c>
      <c r="P3359">
        <v>0.98874859999999998</v>
      </c>
      <c r="Q3359">
        <v>0.13598189999999999</v>
      </c>
      <c r="R3359">
        <v>-6.2333430000000002E-2</v>
      </c>
      <c r="S3359">
        <v>3.0550229999999998</v>
      </c>
      <c r="T3359">
        <v>-0.14909320000000001</v>
      </c>
      <c r="U3359">
        <v>-7.1563719999999898E-3</v>
      </c>
      <c r="V3359">
        <v>5.6719230000000002E-2</v>
      </c>
      <c r="W3359">
        <v>0.1433683</v>
      </c>
      <c r="X3359">
        <v>0.9880428</v>
      </c>
      <c r="Y3359">
        <v>-3.482696E-3</v>
      </c>
      <c r="Z3359">
        <v>3.6958459999999999E-4</v>
      </c>
      <c r="AA3359">
        <v>0.99999389999999999</v>
      </c>
      <c r="AB3359">
        <v>25</v>
      </c>
      <c r="AC3359">
        <v>22.466999999999899</v>
      </c>
      <c r="AD3359">
        <v>-1.1091734798989901</v>
      </c>
      <c r="AE3359">
        <v>-5.1299999999997598E-2</v>
      </c>
      <c r="AF3359">
        <v>-7.9629812168836203E-2</v>
      </c>
      <c r="AG3359">
        <v>-1.1091734798989901</v>
      </c>
      <c r="AH3359">
        <v>22.4122915952677</v>
      </c>
      <c r="AI3359">
        <v>92.833211034707602</v>
      </c>
      <c r="AJ3359">
        <v>90.2035683385364</v>
      </c>
      <c r="AK3359">
        <v>22.439862327269399</v>
      </c>
      <c r="AL3359">
        <v>81.7571980229459</v>
      </c>
      <c r="AM3359">
        <v>86.714504915173904</v>
      </c>
      <c r="AN3359">
        <v>1.00000005756425</v>
      </c>
    </row>
    <row r="3360" spans="1:40" x14ac:dyDescent="0.25">
      <c r="A3360" t="str">
        <f>"20190312164052791"</f>
        <v>20190312164052791</v>
      </c>
      <c r="B3360" t="str">
        <f>"1552380052778962"</f>
        <v>1552380052778962</v>
      </c>
      <c r="C3360" t="s">
        <v>40</v>
      </c>
      <c r="D3360">
        <v>5.7279600000000004</v>
      </c>
      <c r="E3360">
        <v>0.47340359999999998</v>
      </c>
      <c r="F3360" t="s">
        <v>49</v>
      </c>
      <c r="G3360">
        <v>-439.26799999999997</v>
      </c>
      <c r="H3360" s="1">
        <v>6.4087220000000003E-6</v>
      </c>
      <c r="I3360">
        <v>213.68129999999999</v>
      </c>
      <c r="J3360">
        <v>-457.13080000000002</v>
      </c>
      <c r="K3360">
        <v>1.1091610000000001</v>
      </c>
      <c r="L3360">
        <v>213.3272</v>
      </c>
      <c r="M3360">
        <v>0.99995089999999998</v>
      </c>
      <c r="N3360">
        <v>0</v>
      </c>
      <c r="O3360">
        <v>-6.5262970000000003E-3</v>
      </c>
      <c r="P3360">
        <v>0.98889079999999996</v>
      </c>
      <c r="Q3360">
        <v>0.13581579999999999</v>
      </c>
      <c r="R3360">
        <v>-6.0412309999999997E-2</v>
      </c>
      <c r="S3360">
        <v>3.0636899999999998</v>
      </c>
      <c r="T3360">
        <v>-0.18744720000000001</v>
      </c>
      <c r="U3360">
        <v>5.9463500000000002E-2</v>
      </c>
      <c r="V3360">
        <v>5.4115240000000002E-2</v>
      </c>
      <c r="W3360">
        <v>0.1431422</v>
      </c>
      <c r="X3360">
        <v>0.98822160000000003</v>
      </c>
      <c r="Y3360">
        <v>-2.5869739999999999E-2</v>
      </c>
      <c r="Z3360">
        <v>1.189493E-3</v>
      </c>
      <c r="AA3360">
        <v>0.99966460000000001</v>
      </c>
      <c r="AB3360">
        <v>25</v>
      </c>
      <c r="AC3360">
        <v>17.862799999999901</v>
      </c>
      <c r="AD3360">
        <v>-1.1091545912780001</v>
      </c>
      <c r="AE3360">
        <v>0.35409999999998798</v>
      </c>
      <c r="AF3360">
        <v>-0.46886661445218403</v>
      </c>
      <c r="AG3360">
        <v>-1.1091545912780001</v>
      </c>
      <c r="AH3360">
        <v>17.791539509836198</v>
      </c>
      <c r="AI3360">
        <v>93.566064023977205</v>
      </c>
      <c r="AJ3360">
        <v>91.509586155475603</v>
      </c>
      <c r="AK3360">
        <v>17.8322443326566</v>
      </c>
      <c r="AL3360">
        <v>81.770287458538604</v>
      </c>
      <c r="AM3360">
        <v>86.865600579558802</v>
      </c>
      <c r="AN3360">
        <v>1.00000003966382</v>
      </c>
    </row>
    <row r="3361" spans="1:40" x14ac:dyDescent="0.25">
      <c r="A3361" t="str">
        <f>"20190312164052812"</f>
        <v>20190312164052812</v>
      </c>
      <c r="B3361" t="str">
        <f>"1552380052799458"</f>
        <v>1552380052799458</v>
      </c>
      <c r="C3361" t="s">
        <v>40</v>
      </c>
      <c r="D3361">
        <v>5.9534050000000001</v>
      </c>
      <c r="E3361">
        <v>0.47283530000000001</v>
      </c>
      <c r="F3361" t="s">
        <v>49</v>
      </c>
      <c r="G3361">
        <v>-438.85849999999999</v>
      </c>
      <c r="H3361" s="1">
        <v>6.2170760000000003E-6</v>
      </c>
      <c r="I3361">
        <v>213.7961</v>
      </c>
      <c r="J3361">
        <v>-456.9049</v>
      </c>
      <c r="K3361">
        <v>1.1091489999999999</v>
      </c>
      <c r="L3361">
        <v>213.3252</v>
      </c>
      <c r="M3361">
        <v>0.99994729999999998</v>
      </c>
      <c r="N3361">
        <v>0</v>
      </c>
      <c r="O3361">
        <v>-7.1107540000000004E-3</v>
      </c>
      <c r="P3361">
        <v>0.9891008</v>
      </c>
      <c r="Q3361">
        <v>0.13528219999999999</v>
      </c>
      <c r="R3361">
        <v>-5.8125240000000002E-2</v>
      </c>
      <c r="S3361">
        <v>3.0640559999999999</v>
      </c>
      <c r="T3361">
        <v>-0.18599280000000001</v>
      </c>
      <c r="U3361">
        <v>7.8628539999999997E-2</v>
      </c>
      <c r="V3361">
        <v>5.1248460000000003E-2</v>
      </c>
      <c r="W3361">
        <v>0.14255229999999999</v>
      </c>
      <c r="X3361">
        <v>0.98845959999999999</v>
      </c>
      <c r="Y3361">
        <v>-3.2687880000000002E-2</v>
      </c>
      <c r="Z3361">
        <v>1.422212E-3</v>
      </c>
      <c r="AA3361">
        <v>0.99946460000000004</v>
      </c>
      <c r="AB3361">
        <v>25</v>
      </c>
      <c r="AC3361">
        <v>18.046399999999998</v>
      </c>
      <c r="AD3361">
        <v>-1.1091427829239999</v>
      </c>
      <c r="AE3361">
        <v>0.47089999999999999</v>
      </c>
      <c r="AF3361">
        <v>-0.59696169077487404</v>
      </c>
      <c r="AG3361">
        <v>-1.1091427829239999</v>
      </c>
      <c r="AH3361">
        <v>17.974743466343799</v>
      </c>
      <c r="AI3361">
        <v>93.529054135995693</v>
      </c>
      <c r="AJ3361">
        <v>91.902158914181996</v>
      </c>
      <c r="AK3361">
        <v>18.0188224824497</v>
      </c>
      <c r="AL3361">
        <v>81.804435885033101</v>
      </c>
      <c r="AM3361">
        <v>87.032055059468703</v>
      </c>
      <c r="AN3361">
        <v>0.99999997185990996</v>
      </c>
    </row>
    <row r="3362" spans="1:40" x14ac:dyDescent="0.25">
      <c r="A3362" t="str">
        <f>"20190312164052833"</f>
        <v>20190312164052833</v>
      </c>
      <c r="B3362" t="str">
        <f>"1552380052829714"</f>
        <v>1552380052829714</v>
      </c>
      <c r="C3362" t="s">
        <v>40</v>
      </c>
      <c r="D3362">
        <v>5.788678</v>
      </c>
      <c r="E3362">
        <v>0.47224339999999998</v>
      </c>
      <c r="F3362" t="s">
        <v>49</v>
      </c>
      <c r="G3362">
        <v>-438.90050000000002</v>
      </c>
      <c r="H3362" s="1">
        <v>6.2312770000000004E-6</v>
      </c>
      <c r="I3362">
        <v>213.84649999999999</v>
      </c>
      <c r="J3362">
        <v>-456.65949999999998</v>
      </c>
      <c r="K3362">
        <v>1.1091409999999999</v>
      </c>
      <c r="L3362">
        <v>213.3228</v>
      </c>
      <c r="M3362">
        <v>0.99994320000000003</v>
      </c>
      <c r="N3362">
        <v>0</v>
      </c>
      <c r="O3362">
        <v>-7.7391250000000003E-3</v>
      </c>
      <c r="P3362">
        <v>0.98935340000000005</v>
      </c>
      <c r="Q3362">
        <v>0.13462180000000001</v>
      </c>
      <c r="R3362">
        <v>-5.5289419999999999E-2</v>
      </c>
      <c r="S3362">
        <v>3.0640559999999999</v>
      </c>
      <c r="T3362">
        <v>-0.18875739999999999</v>
      </c>
      <c r="U3362">
        <v>8.8729859999999994E-2</v>
      </c>
      <c r="V3362">
        <v>4.7787700000000002E-2</v>
      </c>
      <c r="W3362">
        <v>0.14182210000000001</v>
      </c>
      <c r="X3362">
        <v>0.98873800000000001</v>
      </c>
      <c r="Y3362">
        <v>-3.6597400000000002E-2</v>
      </c>
      <c r="Z3362">
        <v>1.6021970000000001E-3</v>
      </c>
      <c r="AA3362">
        <v>0.99932880000000002</v>
      </c>
      <c r="AB3362">
        <v>25</v>
      </c>
      <c r="AC3362">
        <v>17.758999999999901</v>
      </c>
      <c r="AD3362">
        <v>-1.109134768723</v>
      </c>
      <c r="AE3362">
        <v>0.52369999999999095</v>
      </c>
      <c r="AF3362">
        <v>-0.65856057641540799</v>
      </c>
      <c r="AG3362">
        <v>-1.109134768723</v>
      </c>
      <c r="AH3362">
        <v>17.685490924226901</v>
      </c>
      <c r="AI3362">
        <v>93.586091118971595</v>
      </c>
      <c r="AJ3362">
        <v>92.132556903530698</v>
      </c>
      <c r="AK3362">
        <v>17.732469404990098</v>
      </c>
      <c r="AL3362">
        <v>81.846702956789898</v>
      </c>
      <c r="AM3362">
        <v>87.232932783708094</v>
      </c>
      <c r="AN3362">
        <v>1.0000000024818501</v>
      </c>
    </row>
    <row r="3363" spans="1:40" x14ac:dyDescent="0.25">
      <c r="A3363" t="str">
        <f>"20190312164052856"</f>
        <v>20190312164052856</v>
      </c>
      <c r="B3363" t="str">
        <f>"1552380052849235"</f>
        <v>1552380052849235</v>
      </c>
      <c r="C3363" t="s">
        <v>40</v>
      </c>
      <c r="D3363">
        <v>5.7664970000000002</v>
      </c>
      <c r="E3363">
        <v>0.47207729999999998</v>
      </c>
      <c r="F3363" t="s">
        <v>49</v>
      </c>
      <c r="G3363">
        <v>-438.63990000000001</v>
      </c>
      <c r="H3363" s="1">
        <v>6.1099099999999996E-6</v>
      </c>
      <c r="I3363">
        <v>213.91300000000001</v>
      </c>
      <c r="J3363">
        <v>-456.40589999999997</v>
      </c>
      <c r="K3363">
        <v>1.1091230000000001</v>
      </c>
      <c r="L3363">
        <v>213.3202</v>
      </c>
      <c r="M3363">
        <v>0.99993869999999896</v>
      </c>
      <c r="N3363">
        <v>0</v>
      </c>
      <c r="O3363">
        <v>-8.3817579999999996E-3</v>
      </c>
      <c r="P3363">
        <v>0.98955139999999997</v>
      </c>
      <c r="Q3363">
        <v>0.13424510000000001</v>
      </c>
      <c r="R3363">
        <v>-5.2597539999999998E-2</v>
      </c>
      <c r="S3363">
        <v>3.0635680000000001</v>
      </c>
      <c r="T3363">
        <v>-0.18856700000000001</v>
      </c>
      <c r="U3363">
        <v>0.1003571</v>
      </c>
      <c r="V3363">
        <v>4.4457200000000002E-2</v>
      </c>
      <c r="W3363">
        <v>0.14136609999999999</v>
      </c>
      <c r="X3363">
        <v>0.98895869999999997</v>
      </c>
      <c r="Y3363">
        <v>-4.1023589999999999E-2</v>
      </c>
      <c r="Z3363">
        <v>1.7763099999999999E-3</v>
      </c>
      <c r="AA3363">
        <v>0.99915659999999895</v>
      </c>
      <c r="AB3363">
        <v>25</v>
      </c>
      <c r="AC3363">
        <v>17.765999999999899</v>
      </c>
      <c r="AD3363">
        <v>-1.1091168900899999</v>
      </c>
      <c r="AE3363">
        <v>0.59279999999998201</v>
      </c>
      <c r="AF3363">
        <v>-0.73881711946276596</v>
      </c>
      <c r="AG3363">
        <v>-1.1091168900899999</v>
      </c>
      <c r="AH3363">
        <v>17.691532703504802</v>
      </c>
      <c r="AI3363">
        <v>93.584174182180803</v>
      </c>
      <c r="AJ3363">
        <v>92.391342848657004</v>
      </c>
      <c r="AK3363">
        <v>17.741654951302401</v>
      </c>
      <c r="AL3363">
        <v>81.873096244954397</v>
      </c>
      <c r="AM3363">
        <v>87.426084438380798</v>
      </c>
      <c r="AN3363">
        <v>1.0000000635833599</v>
      </c>
    </row>
    <row r="3364" spans="1:40" x14ac:dyDescent="0.25">
      <c r="A3364" t="str">
        <f>"20190312164052878"</f>
        <v>20190312164052878</v>
      </c>
      <c r="B3364" t="str">
        <f>"1552380052869731"</f>
        <v>1552380052869731</v>
      </c>
      <c r="C3364" t="s">
        <v>40</v>
      </c>
      <c r="D3364">
        <v>5.7194839999999996</v>
      </c>
      <c r="E3364">
        <v>0.47130290000000002</v>
      </c>
      <c r="F3364" t="s">
        <v>49</v>
      </c>
      <c r="G3364">
        <v>-438.34480000000002</v>
      </c>
      <c r="H3364" s="1">
        <v>5.9752549999999996E-6</v>
      </c>
      <c r="I3364">
        <v>213.9563</v>
      </c>
      <c r="J3364">
        <v>-456.15379999999999</v>
      </c>
      <c r="K3364">
        <v>1.109111</v>
      </c>
      <c r="L3364">
        <v>213.31739999999999</v>
      </c>
      <c r="M3364">
        <v>0.99993379999999998</v>
      </c>
      <c r="N3364">
        <v>0</v>
      </c>
      <c r="O3364">
        <v>-9.0134010000000007E-3</v>
      </c>
      <c r="P3364">
        <v>0.98958060000000003</v>
      </c>
      <c r="Q3364">
        <v>0.1345286</v>
      </c>
      <c r="R3364">
        <v>-5.1311540000000003E-2</v>
      </c>
      <c r="S3364">
        <v>3.0629580000000001</v>
      </c>
      <c r="T3364">
        <v>-0.18809400000000001</v>
      </c>
      <c r="U3364">
        <v>0.10787960000000001</v>
      </c>
      <c r="V3364">
        <v>4.2545100000000002E-2</v>
      </c>
      <c r="W3364">
        <v>0.1415611</v>
      </c>
      <c r="X3364">
        <v>0.98901490000000003</v>
      </c>
      <c r="Y3364">
        <v>-4.410559E-2</v>
      </c>
      <c r="Z3364">
        <v>1.9053989999999999E-3</v>
      </c>
      <c r="AA3364">
        <v>0.99902500000000005</v>
      </c>
      <c r="AB3364">
        <v>25</v>
      </c>
      <c r="AC3364">
        <v>17.808999999999902</v>
      </c>
      <c r="AD3364">
        <v>-1.1091050247450001</v>
      </c>
      <c r="AE3364">
        <v>0.63890000000000602</v>
      </c>
      <c r="AF3364">
        <v>-0.79631326103060296</v>
      </c>
      <c r="AG3364">
        <v>-1.1091050247450001</v>
      </c>
      <c r="AH3364">
        <v>17.733825100397802</v>
      </c>
      <c r="AI3364">
        <v>93.575125834308494</v>
      </c>
      <c r="AJ3364">
        <v>92.571061822976205</v>
      </c>
      <c r="AK3364">
        <v>17.786308820469401</v>
      </c>
      <c r="AL3364">
        <v>81.861809969701497</v>
      </c>
      <c r="AM3364">
        <v>87.536788682768602</v>
      </c>
      <c r="AN3364">
        <v>1.0000000514946099</v>
      </c>
    </row>
    <row r="3365" spans="1:40" x14ac:dyDescent="0.25">
      <c r="A3365" t="str">
        <f>"20190312164052899"</f>
        <v>20190312164052899</v>
      </c>
      <c r="B3365" t="str">
        <f>"1552380052889250"</f>
        <v>1552380052889250</v>
      </c>
      <c r="C3365" t="s">
        <v>40</v>
      </c>
      <c r="D3365">
        <v>5.7163019999999998</v>
      </c>
      <c r="E3365">
        <v>0.4709296</v>
      </c>
      <c r="F3365" t="s">
        <v>49</v>
      </c>
      <c r="G3365">
        <v>-438.9864</v>
      </c>
      <c r="H3365" s="1">
        <v>6.2578689999999899E-6</v>
      </c>
      <c r="I3365">
        <v>213.97829999999999</v>
      </c>
      <c r="J3365">
        <v>-455.9083</v>
      </c>
      <c r="K3365">
        <v>1.1090990000000001</v>
      </c>
      <c r="L3365">
        <v>213.31450000000001</v>
      </c>
      <c r="M3365">
        <v>0.99992890000000001</v>
      </c>
      <c r="N3365">
        <v>0</v>
      </c>
      <c r="O3365">
        <v>-9.6238279999999992E-3</v>
      </c>
      <c r="P3365">
        <v>0.98959540000000001</v>
      </c>
      <c r="Q3365">
        <v>0.1351347</v>
      </c>
      <c r="R3365">
        <v>-4.9396080000000002E-2</v>
      </c>
      <c r="S3365">
        <v>3.0646360000000001</v>
      </c>
      <c r="T3365">
        <v>-0.19799220000000001</v>
      </c>
      <c r="U3365">
        <v>0.1179962</v>
      </c>
      <c r="V3365">
        <v>4.0025489999999997E-2</v>
      </c>
      <c r="W3365">
        <v>0.14207839999999999</v>
      </c>
      <c r="X3365">
        <v>0.98904590000000003</v>
      </c>
      <c r="Y3365">
        <v>-4.7969270000000001E-2</v>
      </c>
      <c r="Z3365">
        <v>2.1682649999999999E-3</v>
      </c>
      <c r="AA3365">
        <v>0.99884649999999997</v>
      </c>
      <c r="AB3365">
        <v>25</v>
      </c>
      <c r="AC3365">
        <v>16.921899999999901</v>
      </c>
      <c r="AD3365">
        <v>-1.109092742131</v>
      </c>
      <c r="AE3365">
        <v>0.66379999999997996</v>
      </c>
      <c r="AF3365">
        <v>-0.82309637846884098</v>
      </c>
      <c r="AG3365">
        <v>-1.109092742131</v>
      </c>
      <c r="AH3365">
        <v>16.842488146614802</v>
      </c>
      <c r="AI3365">
        <v>93.763060217501405</v>
      </c>
      <c r="AJ3365">
        <v>92.797832355974506</v>
      </c>
      <c r="AK3365">
        <v>16.899023087970399</v>
      </c>
      <c r="AL3365">
        <v>81.831868231716101</v>
      </c>
      <c r="AM3365">
        <v>87.682573727593805</v>
      </c>
      <c r="AN3365">
        <v>1.00000005195155</v>
      </c>
    </row>
    <row r="3366" spans="1:40" x14ac:dyDescent="0.25">
      <c r="A3366" t="str">
        <f>"20190312164052922"</f>
        <v>20190312164052922</v>
      </c>
      <c r="B3366" t="str">
        <f>"1552380052919506"</f>
        <v>1552380052919506</v>
      </c>
      <c r="C3366" t="s">
        <v>40</v>
      </c>
      <c r="D3366">
        <v>5.6744909999999997</v>
      </c>
      <c r="E3366">
        <v>0.47079310000000002</v>
      </c>
      <c r="F3366" t="s">
        <v>49</v>
      </c>
      <c r="G3366">
        <v>-439.26299999999998</v>
      </c>
      <c r="H3366" s="1">
        <v>6.3783649999999999E-6</v>
      </c>
      <c r="I3366">
        <v>214.00280000000001</v>
      </c>
      <c r="J3366">
        <v>-455.65870000000001</v>
      </c>
      <c r="K3366">
        <v>1.109092</v>
      </c>
      <c r="L3366">
        <v>213.31139999999999</v>
      </c>
      <c r="M3366">
        <v>0.99992329999999996</v>
      </c>
      <c r="N3366">
        <v>0</v>
      </c>
      <c r="O3366">
        <v>-1.0241190000000001E-2</v>
      </c>
      <c r="P3366">
        <v>0.98961429999999995</v>
      </c>
      <c r="Q3366">
        <v>0.1358511</v>
      </c>
      <c r="R3366">
        <v>-4.6989759999999998E-2</v>
      </c>
      <c r="S3366">
        <v>3.0657649999999999</v>
      </c>
      <c r="T3366">
        <v>-0.2042747</v>
      </c>
      <c r="U3366">
        <v>0.12676999999999999</v>
      </c>
      <c r="V3366">
        <v>3.7008190000000003E-2</v>
      </c>
      <c r="W3366">
        <v>0.14270849999999999</v>
      </c>
      <c r="X3366">
        <v>0.98907259999999997</v>
      </c>
      <c r="Y3366">
        <v>-5.140894E-2</v>
      </c>
      <c r="Z3366">
        <v>2.3914639999999998E-3</v>
      </c>
      <c r="AA3366">
        <v>0.99867479999999997</v>
      </c>
      <c r="AB3366">
        <v>25</v>
      </c>
      <c r="AC3366">
        <v>16.395699999999898</v>
      </c>
      <c r="AD3366">
        <v>-1.109085621635</v>
      </c>
      <c r="AE3366">
        <v>0.691400000000015</v>
      </c>
      <c r="AF3366">
        <v>-0.85537219852756996</v>
      </c>
      <c r="AG3366">
        <v>-1.109085621635</v>
      </c>
      <c r="AH3366">
        <v>16.3132450104569</v>
      </c>
      <c r="AI3366">
        <v>93.884053338831805</v>
      </c>
      <c r="AJ3366">
        <v>93.001510512265</v>
      </c>
      <c r="AK3366">
        <v>16.373261595825301</v>
      </c>
      <c r="AL3366">
        <v>81.795393782329498</v>
      </c>
      <c r="AM3366">
        <v>87.857159956765202</v>
      </c>
      <c r="AN3366">
        <v>0.99999996508504196</v>
      </c>
    </row>
    <row r="3367" spans="1:40" x14ac:dyDescent="0.25">
      <c r="A3367" t="str">
        <f>"20190312164052945"</f>
        <v>20190312164052945</v>
      </c>
      <c r="B3367" t="str">
        <f>"1552380052939026"</f>
        <v>1552380052939026</v>
      </c>
      <c r="C3367" t="s">
        <v>40</v>
      </c>
      <c r="D3367">
        <v>5.5551629999999896</v>
      </c>
      <c r="E3367">
        <v>0.47101979999999999</v>
      </c>
      <c r="F3367" t="s">
        <v>49</v>
      </c>
      <c r="G3367">
        <v>-439.75749999999999</v>
      </c>
      <c r="H3367" s="1">
        <v>6.5970030000000004E-6</v>
      </c>
      <c r="I3367">
        <v>214.0103</v>
      </c>
      <c r="J3367">
        <v>-455.3972</v>
      </c>
      <c r="K3367">
        <v>1.109075</v>
      </c>
      <c r="L3367">
        <v>213.3081</v>
      </c>
      <c r="M3367">
        <v>0.99991719999999895</v>
      </c>
      <c r="N3367">
        <v>0</v>
      </c>
      <c r="O3367">
        <v>-1.088679E-2</v>
      </c>
      <c r="P3367">
        <v>0.98965840000000005</v>
      </c>
      <c r="Q3367">
        <v>0.13632</v>
      </c>
      <c r="R3367">
        <v>-4.4646730000000003E-2</v>
      </c>
      <c r="S3367">
        <v>3.0672609999999998</v>
      </c>
      <c r="T3367">
        <v>-0.21393670000000001</v>
      </c>
      <c r="U3367">
        <v>0.1347961</v>
      </c>
      <c r="V3367">
        <v>3.4025779999999999E-2</v>
      </c>
      <c r="W3367">
        <v>0.1430874</v>
      </c>
      <c r="X3367">
        <v>0.98912500000000003</v>
      </c>
      <c r="Y3367">
        <v>-5.4619470000000003E-2</v>
      </c>
      <c r="Z3367">
        <v>2.6596889999999998E-3</v>
      </c>
      <c r="AA3367">
        <v>0.99850369999999999</v>
      </c>
      <c r="AB3367">
        <v>25</v>
      </c>
      <c r="AC3367">
        <v>15.639699999999999</v>
      </c>
      <c r="AD3367">
        <v>-1.1090684029969999</v>
      </c>
      <c r="AE3367">
        <v>0.70220000000000404</v>
      </c>
      <c r="AF3367">
        <v>-0.86807198808240105</v>
      </c>
      <c r="AG3367">
        <v>-1.1090684029969999</v>
      </c>
      <c r="AH3367">
        <v>15.5530730918004</v>
      </c>
      <c r="AI3367">
        <v>94.072462859296806</v>
      </c>
      <c r="AJ3367">
        <v>93.194565557238604</v>
      </c>
      <c r="AK3367">
        <v>15.616711058923601</v>
      </c>
      <c r="AL3367">
        <v>81.773459692419394</v>
      </c>
      <c r="AM3367">
        <v>88.029809033665302</v>
      </c>
      <c r="AN3367">
        <v>1.0000000116841801</v>
      </c>
    </row>
    <row r="3368" spans="1:40" x14ac:dyDescent="0.25">
      <c r="A3368" t="str">
        <f>"20190312164052967"</f>
        <v>20190312164052967</v>
      </c>
      <c r="B3368" t="str">
        <f>"1552380052959523"</f>
        <v>1552380052959523</v>
      </c>
      <c r="C3368" t="s">
        <v>40</v>
      </c>
      <c r="D3368">
        <v>5.5413230000000002</v>
      </c>
      <c r="E3368">
        <v>0.4711901</v>
      </c>
      <c r="F3368" t="s">
        <v>49</v>
      </c>
      <c r="G3368">
        <v>-439.85579999999999</v>
      </c>
      <c r="H3368" s="1">
        <v>6.6403249999999998E-6</v>
      </c>
      <c r="I3368">
        <v>214.01339999999999</v>
      </c>
      <c r="J3368">
        <v>-455.14229999999998</v>
      </c>
      <c r="K3368">
        <v>1.109057</v>
      </c>
      <c r="L3368">
        <v>213.30459999999999</v>
      </c>
      <c r="M3368">
        <v>0.99991079999999999</v>
      </c>
      <c r="N3368">
        <v>0</v>
      </c>
      <c r="O3368">
        <v>-1.1515009999999999E-2</v>
      </c>
      <c r="P3368">
        <v>0.9897435</v>
      </c>
      <c r="Q3368">
        <v>0.13643150000000001</v>
      </c>
      <c r="R3368">
        <v>-4.236024E-2</v>
      </c>
      <c r="S3368">
        <v>3.06778</v>
      </c>
      <c r="T3368">
        <v>-0.2189237</v>
      </c>
      <c r="U3368">
        <v>0.13922119999999999</v>
      </c>
      <c r="V3368">
        <v>3.111645E-2</v>
      </c>
      <c r="W3368">
        <v>0.14311009999999999</v>
      </c>
      <c r="X3368">
        <v>0.98921749999999997</v>
      </c>
      <c r="Y3368">
        <v>-5.666247E-2</v>
      </c>
      <c r="Z3368">
        <v>2.8385110000000002E-3</v>
      </c>
      <c r="AA3368">
        <v>0.99838939999999998</v>
      </c>
      <c r="AB3368">
        <v>25</v>
      </c>
      <c r="AC3368">
        <v>15.286499999999901</v>
      </c>
      <c r="AD3368">
        <v>-1.1090503596750001</v>
      </c>
      <c r="AE3368">
        <v>0.70879999999999599</v>
      </c>
      <c r="AF3368">
        <v>-0.88015833557003498</v>
      </c>
      <c r="AG3368">
        <v>-1.1090503596750001</v>
      </c>
      <c r="AH3368">
        <v>15.1975018279102</v>
      </c>
      <c r="AI3368">
        <v>94.166851046507205</v>
      </c>
      <c r="AJ3368">
        <v>93.314563790722602</v>
      </c>
      <c r="AK3368">
        <v>15.2633133101991</v>
      </c>
      <c r="AL3368">
        <v>81.772145442323193</v>
      </c>
      <c r="AM3368">
        <v>88.198319790218804</v>
      </c>
      <c r="AN3368">
        <v>0.99999999824443098</v>
      </c>
    </row>
    <row r="3369" spans="1:40" x14ac:dyDescent="0.25">
      <c r="A3369" t="str">
        <f>"20190312164052993"</f>
        <v>20190312164052993</v>
      </c>
      <c r="B3369" t="str">
        <f>"1552380052989778"</f>
        <v>1552380052989778</v>
      </c>
      <c r="C3369" t="s">
        <v>40</v>
      </c>
      <c r="D3369">
        <v>5.5644640000000001</v>
      </c>
      <c r="E3369">
        <v>0.47112300000000001</v>
      </c>
      <c r="F3369" t="s">
        <v>49</v>
      </c>
      <c r="G3369">
        <v>-439.3313</v>
      </c>
      <c r="H3369" s="1">
        <v>6.4046880000000004E-6</v>
      </c>
      <c r="I3369">
        <v>214.04820000000001</v>
      </c>
      <c r="J3369">
        <v>-454.84910000000002</v>
      </c>
      <c r="K3369">
        <v>1.109038</v>
      </c>
      <c r="L3369">
        <v>213.3005</v>
      </c>
      <c r="M3369">
        <v>0.99990290000000004</v>
      </c>
      <c r="N3369">
        <v>0</v>
      </c>
      <c r="O3369">
        <v>-1.22369E-2</v>
      </c>
      <c r="P3369">
        <v>0.98981410000000003</v>
      </c>
      <c r="Q3369">
        <v>0.1366174</v>
      </c>
      <c r="R3369">
        <v>-4.0048819999999999E-2</v>
      </c>
      <c r="S3369">
        <v>3.0669249999999999</v>
      </c>
      <c r="T3369">
        <v>-0.2151266</v>
      </c>
      <c r="U3369">
        <v>0.1442261</v>
      </c>
      <c r="V3369">
        <v>2.8089909999999999E-2</v>
      </c>
      <c r="W3369">
        <v>0.1431955</v>
      </c>
      <c r="X3369">
        <v>0.9892957</v>
      </c>
      <c r="Y3369">
        <v>-5.9019790000000003E-2</v>
      </c>
      <c r="Z3369">
        <v>2.923152E-3</v>
      </c>
      <c r="AA3369">
        <v>0.99825249999999999</v>
      </c>
      <c r="AB3369">
        <v>26</v>
      </c>
      <c r="AC3369">
        <v>15.517799999999999</v>
      </c>
      <c r="AD3369">
        <v>-1.109031595312</v>
      </c>
      <c r="AE3369">
        <v>0.74770000000000802</v>
      </c>
      <c r="AF3369">
        <v>-0.932784629523283</v>
      </c>
      <c r="AG3369">
        <v>-1.109031595312</v>
      </c>
      <c r="AH3369">
        <v>15.428864474088099</v>
      </c>
      <c r="AI3369">
        <v>94.103899913305497</v>
      </c>
      <c r="AJ3369">
        <v>93.459726443275599</v>
      </c>
      <c r="AK3369">
        <v>15.496770541124199</v>
      </c>
      <c r="AL3369">
        <v>81.767201379042803</v>
      </c>
      <c r="AM3369">
        <v>88.373589428325602</v>
      </c>
      <c r="AN3369">
        <v>0.999999988151273</v>
      </c>
    </row>
    <row r="3370" spans="1:40" x14ac:dyDescent="0.25">
      <c r="A3370" t="str">
        <f>"20190312164053015"</f>
        <v>20190312164053015</v>
      </c>
      <c r="B3370" t="str">
        <f>"1552380053009299"</f>
        <v>1552380053009299</v>
      </c>
      <c r="C3370" t="s">
        <v>40</v>
      </c>
      <c r="D3370">
        <v>5.6781870000000003</v>
      </c>
      <c r="E3370">
        <v>0.47124820000000001</v>
      </c>
      <c r="F3370" t="s">
        <v>49</v>
      </c>
      <c r="G3370">
        <v>-439.154</v>
      </c>
      <c r="H3370" s="1">
        <v>6.3233439999999996E-6</v>
      </c>
      <c r="I3370">
        <v>214.0795</v>
      </c>
      <c r="J3370">
        <v>-454.60019999999997</v>
      </c>
      <c r="K3370">
        <v>1.1090249999999999</v>
      </c>
      <c r="L3370">
        <v>213.29679999999999</v>
      </c>
      <c r="M3370">
        <v>0.9998958</v>
      </c>
      <c r="N3370">
        <v>0</v>
      </c>
      <c r="O3370">
        <v>-1.284572E-2</v>
      </c>
      <c r="P3370">
        <v>0.98993100000000001</v>
      </c>
      <c r="Q3370">
        <v>0.13644239999999999</v>
      </c>
      <c r="R3370">
        <v>-3.768353E-2</v>
      </c>
      <c r="S3370">
        <v>3.0669559999999998</v>
      </c>
      <c r="T3370">
        <v>-0.21671489999999999</v>
      </c>
      <c r="U3370">
        <v>0.15222169999999999</v>
      </c>
      <c r="V3370">
        <v>2.5120199999999999E-2</v>
      </c>
      <c r="W3370">
        <v>0.14294019999999999</v>
      </c>
      <c r="X3370">
        <v>0.98941250000000003</v>
      </c>
      <c r="Y3370">
        <v>-6.2211219999999998E-2</v>
      </c>
      <c r="Z3370">
        <v>3.099961E-3</v>
      </c>
      <c r="AA3370">
        <v>0.99805820000000001</v>
      </c>
      <c r="AB3370">
        <v>26</v>
      </c>
      <c r="AC3370">
        <v>15.4461999999999</v>
      </c>
      <c r="AD3370">
        <v>-1.109018676656</v>
      </c>
      <c r="AE3370">
        <v>0.78270000000000495</v>
      </c>
      <c r="AF3370">
        <v>-0.97603862150531295</v>
      </c>
      <c r="AG3370">
        <v>-1.109018676656</v>
      </c>
      <c r="AH3370">
        <v>15.355912885127101</v>
      </c>
      <c r="AI3370">
        <v>94.122493640181801</v>
      </c>
      <c r="AJ3370">
        <v>93.636889995741399</v>
      </c>
      <c r="AK3370">
        <v>15.4268154313019</v>
      </c>
      <c r="AL3370">
        <v>81.781981214161505</v>
      </c>
      <c r="AM3370">
        <v>88.545629547141203</v>
      </c>
      <c r="AN3370">
        <v>1.00000001019016</v>
      </c>
    </row>
    <row r="3371" spans="1:40" x14ac:dyDescent="0.25">
      <c r="A3371" t="str">
        <f>"20190312164053034"</f>
        <v>20190312164053034</v>
      </c>
      <c r="B3371" t="str">
        <f>"1552380053029795"</f>
        <v>1552380053029795</v>
      </c>
      <c r="C3371" t="s">
        <v>40</v>
      </c>
      <c r="D3371">
        <v>5.348992</v>
      </c>
      <c r="E3371">
        <v>0.47140330000000003</v>
      </c>
      <c r="F3371" t="s">
        <v>49</v>
      </c>
      <c r="G3371">
        <v>-439.15899999999999</v>
      </c>
      <c r="H3371" s="1">
        <v>6.3245880000000001E-6</v>
      </c>
      <c r="I3371">
        <v>214.09039999999999</v>
      </c>
      <c r="J3371">
        <v>-454.37209999999999</v>
      </c>
      <c r="K3371">
        <v>1.1090120000000001</v>
      </c>
      <c r="L3371">
        <v>213.29329999999999</v>
      </c>
      <c r="M3371">
        <v>0.99988909999999998</v>
      </c>
      <c r="N3371">
        <v>0</v>
      </c>
      <c r="O3371">
        <v>-1.3397360000000001E-2</v>
      </c>
      <c r="P3371">
        <v>0.99015379999999997</v>
      </c>
      <c r="Q3371">
        <v>0.13550599999999999</v>
      </c>
      <c r="R3371">
        <v>-3.5126449999999997E-2</v>
      </c>
      <c r="S3371">
        <v>3.0668950000000001</v>
      </c>
      <c r="T3371">
        <v>-0.2202702</v>
      </c>
      <c r="U3371">
        <v>0.15762329999999999</v>
      </c>
      <c r="V3371">
        <v>2.2012139999999999E-2</v>
      </c>
      <c r="W3371">
        <v>0.14193539999999999</v>
      </c>
      <c r="X3371">
        <v>0.98963120000000004</v>
      </c>
      <c r="Y3371">
        <v>-6.450256E-2</v>
      </c>
      <c r="Z3371">
        <v>3.2722839999999999E-3</v>
      </c>
      <c r="AA3371">
        <v>0.99791220000000003</v>
      </c>
      <c r="AB3371">
        <v>26</v>
      </c>
      <c r="AC3371">
        <v>15.213099999999899</v>
      </c>
      <c r="AD3371">
        <v>-1.1090056754119999</v>
      </c>
      <c r="AE3371">
        <v>0.79710000000000003</v>
      </c>
      <c r="AF3371">
        <v>-0.99557203267053496</v>
      </c>
      <c r="AG3371">
        <v>-1.1090056754119999</v>
      </c>
      <c r="AH3371">
        <v>15.1209207944132</v>
      </c>
      <c r="AI3371">
        <v>94.185673146507497</v>
      </c>
      <c r="AJ3371">
        <v>93.766957344367199</v>
      </c>
      <c r="AK3371">
        <v>15.1941864846805</v>
      </c>
      <c r="AL3371">
        <v>81.840145412232403</v>
      </c>
      <c r="AM3371">
        <v>88.725793212394706</v>
      </c>
      <c r="AN3371">
        <v>1.0000000520469801</v>
      </c>
    </row>
    <row r="3372" spans="1:40" x14ac:dyDescent="0.25">
      <c r="A3372" t="str">
        <f>"20190312164053057"</f>
        <v>20190312164053057</v>
      </c>
      <c r="B3372" t="str">
        <f>"1552380053049315"</f>
        <v>1552380053049315</v>
      </c>
      <c r="C3372" t="s">
        <v>40</v>
      </c>
      <c r="D3372">
        <v>5.5544880000000001</v>
      </c>
      <c r="E3372">
        <v>0.4715548</v>
      </c>
      <c r="F3372" t="s">
        <v>49</v>
      </c>
      <c r="G3372">
        <v>-439.03309999999999</v>
      </c>
      <c r="H3372" s="1">
        <v>6.2670929999999997E-6</v>
      </c>
      <c r="I3372">
        <v>214.1097</v>
      </c>
      <c r="J3372">
        <v>-454.1028</v>
      </c>
      <c r="K3372">
        <v>1.1090009999999999</v>
      </c>
      <c r="L3372">
        <v>213.28899999999999</v>
      </c>
      <c r="M3372">
        <v>0.99988089999999996</v>
      </c>
      <c r="N3372">
        <v>0</v>
      </c>
      <c r="O3372">
        <v>-1.4038119999999999E-2</v>
      </c>
      <c r="P3372">
        <v>0.99037419999999998</v>
      </c>
      <c r="Q3372">
        <v>0.13436919999999999</v>
      </c>
      <c r="R3372">
        <v>-3.3226650000000003E-2</v>
      </c>
      <c r="S3372">
        <v>3.065979</v>
      </c>
      <c r="T3372">
        <v>-0.22166939999999999</v>
      </c>
      <c r="U3372">
        <v>0.1631775</v>
      </c>
      <c r="V3372">
        <v>1.9471949999999998E-2</v>
      </c>
      <c r="W3372">
        <v>0.14072270000000001</v>
      </c>
      <c r="X3372">
        <v>0.9898576</v>
      </c>
      <c r="Y3372">
        <v>-6.6949259999999997E-2</v>
      </c>
      <c r="Z3372">
        <v>3.4283550000000001E-3</v>
      </c>
      <c r="AA3372">
        <v>0.99775049999999998</v>
      </c>
      <c r="AB3372">
        <v>26</v>
      </c>
      <c r="AC3372">
        <v>15.069699999999999</v>
      </c>
      <c r="AD3372">
        <v>-1.108994732907</v>
      </c>
      <c r="AE3372">
        <v>0.820699999999987</v>
      </c>
      <c r="AF3372">
        <v>-1.0266303133413801</v>
      </c>
      <c r="AG3372">
        <v>-1.108994732907</v>
      </c>
      <c r="AH3372">
        <v>14.9758297991344</v>
      </c>
      <c r="AI3372">
        <v>94.2252738523445</v>
      </c>
      <c r="AJ3372">
        <v>93.921632451355606</v>
      </c>
      <c r="AK3372">
        <v>15.051887499265</v>
      </c>
      <c r="AL3372">
        <v>81.910332492686095</v>
      </c>
      <c r="AM3372">
        <v>88.873053377057502</v>
      </c>
      <c r="AN3372">
        <v>1.0000000517049199</v>
      </c>
    </row>
    <row r="3373" spans="1:40" x14ac:dyDescent="0.25">
      <c r="A3373" t="str">
        <f>"20190312164053081"</f>
        <v>20190312164053081</v>
      </c>
      <c r="B3373" t="str">
        <f>"1552380053069811"</f>
        <v>1552380053069811</v>
      </c>
      <c r="C3373" t="s">
        <v>40</v>
      </c>
      <c r="D3373">
        <v>5.2537770000000004</v>
      </c>
      <c r="E3373">
        <v>0.4715743</v>
      </c>
      <c r="F3373" t="s">
        <v>49</v>
      </c>
      <c r="G3373">
        <v>-438.92200000000003</v>
      </c>
      <c r="H3373" s="1">
        <v>6.2172399999999998E-6</v>
      </c>
      <c r="I3373">
        <v>214.1163</v>
      </c>
      <c r="J3373">
        <v>-453.82650000000001</v>
      </c>
      <c r="K3373">
        <v>1.1089899999999999</v>
      </c>
      <c r="L3373">
        <v>213.28450000000001</v>
      </c>
      <c r="M3373">
        <v>0.99987199999999998</v>
      </c>
      <c r="N3373">
        <v>0</v>
      </c>
      <c r="O3373">
        <v>-1.467828E-2</v>
      </c>
      <c r="P3373">
        <v>0.9904965</v>
      </c>
      <c r="Q3373">
        <v>0.13382089999999999</v>
      </c>
      <c r="R3373">
        <v>-3.1760040000000003E-2</v>
      </c>
      <c r="S3373">
        <v>3.0651250000000001</v>
      </c>
      <c r="T3373">
        <v>-0.22391549999999999</v>
      </c>
      <c r="U3373">
        <v>0.1670227</v>
      </c>
      <c r="V3373">
        <v>1.736615E-2</v>
      </c>
      <c r="W3373">
        <v>0.14010520000000001</v>
      </c>
      <c r="X3373">
        <v>0.98998430000000004</v>
      </c>
      <c r="Y3373">
        <v>-6.8839639999999994E-2</v>
      </c>
      <c r="Z3373">
        <v>3.5794289999999999E-3</v>
      </c>
      <c r="AA3373">
        <v>0.99762130000000004</v>
      </c>
      <c r="AB3373">
        <v>26</v>
      </c>
      <c r="AC3373">
        <v>14.904500000000001</v>
      </c>
      <c r="AD3373">
        <v>-1.10898378276</v>
      </c>
      <c r="AE3373">
        <v>0.83179999999998699</v>
      </c>
      <c r="AF3373">
        <v>-1.04472136455103</v>
      </c>
      <c r="AG3373">
        <v>-1.10898378276</v>
      </c>
      <c r="AH3373">
        <v>14.808953124477499</v>
      </c>
      <c r="AI3373">
        <v>94.272082036328101</v>
      </c>
      <c r="AJ3373">
        <v>94.035337192251902</v>
      </c>
      <c r="AK3373">
        <v>14.887121293351001</v>
      </c>
      <c r="AL3373">
        <v>81.946066094546097</v>
      </c>
      <c r="AM3373">
        <v>88.995029456257797</v>
      </c>
      <c r="AN3373">
        <v>0.99999998223967601</v>
      </c>
    </row>
    <row r="3374" spans="1:40" x14ac:dyDescent="0.25">
      <c r="A3374" t="str">
        <f>"20190312164053101"</f>
        <v>20190312164053101</v>
      </c>
      <c r="B3374" t="str">
        <f>"1552380053089334"</f>
        <v>1552380053089334</v>
      </c>
      <c r="C3374" t="s">
        <v>40</v>
      </c>
      <c r="D3374">
        <v>5.3121980000000004</v>
      </c>
      <c r="E3374">
        <v>0.47177249999999998</v>
      </c>
      <c r="F3374" t="s">
        <v>49</v>
      </c>
      <c r="G3374">
        <v>-438.88479999999998</v>
      </c>
      <c r="H3374" s="1">
        <v>6.2004129999999997E-6</v>
      </c>
      <c r="I3374">
        <v>214.1198</v>
      </c>
      <c r="J3374">
        <v>-453.5847</v>
      </c>
      <c r="K3374">
        <v>1.1089830000000001</v>
      </c>
      <c r="L3374">
        <v>213.28030000000001</v>
      </c>
      <c r="M3374">
        <v>0.99986430000000004</v>
      </c>
      <c r="N3374">
        <v>0</v>
      </c>
      <c r="O3374">
        <v>-1.5225529999999999E-2</v>
      </c>
      <c r="P3374">
        <v>0.99053919999999995</v>
      </c>
      <c r="Q3374">
        <v>0.13386110000000001</v>
      </c>
      <c r="R3374">
        <v>-3.0228109999999999E-2</v>
      </c>
      <c r="S3374">
        <v>3.0650019999999998</v>
      </c>
      <c r="T3374">
        <v>-0.22748640000000001</v>
      </c>
      <c r="U3374">
        <v>0.17135619999999999</v>
      </c>
      <c r="V3374">
        <v>1.528882E-2</v>
      </c>
      <c r="W3374">
        <v>0.14009050000000001</v>
      </c>
      <c r="X3374">
        <v>0.99002060000000003</v>
      </c>
      <c r="Y3374">
        <v>-7.0779949999999994E-2</v>
      </c>
      <c r="Z3374">
        <v>3.7487499999999999E-3</v>
      </c>
      <c r="AA3374">
        <v>0.99748490000000001</v>
      </c>
      <c r="AB3374">
        <v>26</v>
      </c>
      <c r="AC3374">
        <v>14.6999</v>
      </c>
      <c r="AD3374">
        <v>-1.1089767995869999</v>
      </c>
      <c r="AE3374">
        <v>0.83949999999998604</v>
      </c>
      <c r="AF3374">
        <v>-1.0572234017351101</v>
      </c>
      <c r="AG3374">
        <v>-1.1089767995869999</v>
      </c>
      <c r="AH3374">
        <v>14.6025755471504</v>
      </c>
      <c r="AI3374">
        <v>94.331635059794905</v>
      </c>
      <c r="AJ3374">
        <v>94.140977190956406</v>
      </c>
      <c r="AK3374">
        <v>14.682736920391701</v>
      </c>
      <c r="AL3374">
        <v>81.946916408146706</v>
      </c>
      <c r="AM3374">
        <v>89.115255547675204</v>
      </c>
      <c r="AN3374">
        <v>0.99999994231579903</v>
      </c>
    </row>
    <row r="3375" spans="1:40" x14ac:dyDescent="0.25">
      <c r="A3375" t="str">
        <f>"20190312164053124"</f>
        <v>20190312164053124</v>
      </c>
      <c r="B3375" t="str">
        <f>"1552380053119587"</f>
        <v>1552380053119587</v>
      </c>
      <c r="C3375" t="s">
        <v>40</v>
      </c>
      <c r="D3375">
        <v>5.2357779999999998</v>
      </c>
      <c r="E3375">
        <v>0.47216150000000001</v>
      </c>
      <c r="F3375" t="s">
        <v>49</v>
      </c>
      <c r="G3375">
        <v>-438.56849999999997</v>
      </c>
      <c r="H3375" s="1">
        <v>6.0590029999999998E-6</v>
      </c>
      <c r="I3375">
        <v>214.13319999999999</v>
      </c>
      <c r="J3375">
        <v>-453.3152</v>
      </c>
      <c r="K3375">
        <v>1.1089789999999999</v>
      </c>
      <c r="L3375">
        <v>213.2756</v>
      </c>
      <c r="M3375">
        <v>0.9998553</v>
      </c>
      <c r="N3375">
        <v>0</v>
      </c>
      <c r="O3375">
        <v>-1.5822619999999999E-2</v>
      </c>
      <c r="P3375">
        <v>0.99056549999999999</v>
      </c>
      <c r="Q3375">
        <v>0.1339436</v>
      </c>
      <c r="R3375">
        <v>-2.8973240000000001E-2</v>
      </c>
      <c r="S3375">
        <v>3.064575</v>
      </c>
      <c r="T3375">
        <v>-0.226326</v>
      </c>
      <c r="U3375">
        <v>0.17405699999999999</v>
      </c>
      <c r="V3375">
        <v>1.3440000000000001E-2</v>
      </c>
      <c r="W3375">
        <v>0.14011789999999999</v>
      </c>
      <c r="X3375">
        <v>0.99004360000000002</v>
      </c>
      <c r="Y3375">
        <v>-7.2256290000000001E-2</v>
      </c>
      <c r="Z3375">
        <v>3.8285120000000001E-3</v>
      </c>
      <c r="AA3375">
        <v>0.99737880000000001</v>
      </c>
      <c r="AB3375">
        <v>26</v>
      </c>
      <c r="AC3375">
        <v>14.746700000000001</v>
      </c>
      <c r="AD3375">
        <v>-1.1089729409969999</v>
      </c>
      <c r="AE3375">
        <v>0.85759999999999004</v>
      </c>
      <c r="AF3375">
        <v>-1.08471495675508</v>
      </c>
      <c r="AG3375">
        <v>-1.1089729409969999</v>
      </c>
      <c r="AH3375">
        <v>14.648721087371401</v>
      </c>
      <c r="AI3375">
        <v>94.317510015854495</v>
      </c>
      <c r="AJ3375">
        <v>94.234934134524707</v>
      </c>
      <c r="AK3375">
        <v>14.7306298920607</v>
      </c>
      <c r="AL3375">
        <v>81.945331289856497</v>
      </c>
      <c r="AM3375">
        <v>89.222248415440305</v>
      </c>
      <c r="AN3375">
        <v>0.99999999470068501</v>
      </c>
    </row>
    <row r="3376" spans="1:40" x14ac:dyDescent="0.25">
      <c r="A3376" t="str">
        <f>"20190312164053146"</f>
        <v>20190312164053146</v>
      </c>
      <c r="B3376" t="str">
        <f>"1552380053139107"</f>
        <v>1552380053139107</v>
      </c>
      <c r="C3376" t="s">
        <v>40</v>
      </c>
      <c r="D3376">
        <v>5.1447029999999998</v>
      </c>
      <c r="E3376">
        <v>0.47239100000000001</v>
      </c>
      <c r="F3376" t="s">
        <v>49</v>
      </c>
      <c r="G3376">
        <v>-438.21839999999997</v>
      </c>
      <c r="H3376" s="1">
        <v>5.9037029999999998E-6</v>
      </c>
      <c r="I3376">
        <v>214.13339999999999</v>
      </c>
      <c r="J3376">
        <v>-453.05070000000001</v>
      </c>
      <c r="K3376">
        <v>1.1089690000000001</v>
      </c>
      <c r="L3376">
        <v>213.27080000000001</v>
      </c>
      <c r="M3376">
        <v>0.99984649999999997</v>
      </c>
      <c r="N3376">
        <v>0</v>
      </c>
      <c r="O3376">
        <v>-1.639902E-2</v>
      </c>
      <c r="P3376">
        <v>0.99070469999999999</v>
      </c>
      <c r="Q3376">
        <v>0.13314619999999999</v>
      </c>
      <c r="R3376">
        <v>-2.7868540000000001E-2</v>
      </c>
      <c r="S3376">
        <v>3.0641780000000001</v>
      </c>
      <c r="T3376">
        <v>-0.22508539999999999</v>
      </c>
      <c r="U3376">
        <v>0.174102799999999</v>
      </c>
      <c r="V3376">
        <v>1.1760039999999999E-2</v>
      </c>
      <c r="W3376">
        <v>0.1392727</v>
      </c>
      <c r="X3376">
        <v>0.99018419999999896</v>
      </c>
      <c r="Y3376">
        <v>-7.2852790000000001E-2</v>
      </c>
      <c r="Z3376">
        <v>3.8721889999999998E-3</v>
      </c>
      <c r="AA3376">
        <v>0.99733519999999998</v>
      </c>
      <c r="AB3376">
        <v>26</v>
      </c>
      <c r="AC3376">
        <v>14.8323</v>
      </c>
      <c r="AD3376">
        <v>-1.1089630962970001</v>
      </c>
      <c r="AE3376">
        <v>0.86259999999998604</v>
      </c>
      <c r="AF3376">
        <v>-1.0995977036174001</v>
      </c>
      <c r="AG3376">
        <v>-1.1089630962970001</v>
      </c>
      <c r="AH3376">
        <v>14.7340724676226</v>
      </c>
      <c r="AI3376">
        <v>94.292371646502104</v>
      </c>
      <c r="AJ3376">
        <v>94.268048204717203</v>
      </c>
      <c r="AK3376">
        <v>14.8166057428786</v>
      </c>
      <c r="AL3376">
        <v>81.994237004361807</v>
      </c>
      <c r="AM3376">
        <v>89.319551876497798</v>
      </c>
      <c r="AN3376">
        <v>0.99999996671786495</v>
      </c>
    </row>
    <row r="3377" spans="1:40" x14ac:dyDescent="0.25">
      <c r="A3377" t="str">
        <f>"20190312164053169"</f>
        <v>20190312164053169</v>
      </c>
      <c r="B3377" t="str">
        <f>"1552380053159602"</f>
        <v>1552380053159602</v>
      </c>
      <c r="C3377" t="s">
        <v>40</v>
      </c>
      <c r="D3377">
        <v>5.1830089999999904</v>
      </c>
      <c r="E3377">
        <v>0.4726534</v>
      </c>
      <c r="F3377" t="s">
        <v>49</v>
      </c>
      <c r="G3377">
        <v>-438.12479999999999</v>
      </c>
      <c r="H3377" s="1">
        <v>5.8631790000000001E-6</v>
      </c>
      <c r="I3377">
        <v>214.12209999999999</v>
      </c>
      <c r="J3377">
        <v>-452.779</v>
      </c>
      <c r="K3377">
        <v>1.1089610000000001</v>
      </c>
      <c r="L3377">
        <v>213.26580000000001</v>
      </c>
      <c r="M3377">
        <v>0.99983690000000003</v>
      </c>
      <c r="N3377">
        <v>0</v>
      </c>
      <c r="O3377">
        <v>-1.6983809999999998E-2</v>
      </c>
      <c r="P3377">
        <v>0.9907802</v>
      </c>
      <c r="Q3377">
        <v>0.13275890000000001</v>
      </c>
      <c r="R3377">
        <v>-2.7015750000000002E-2</v>
      </c>
      <c r="S3377">
        <v>3.06366</v>
      </c>
      <c r="T3377">
        <v>-0.2276232</v>
      </c>
      <c r="U3377">
        <v>0.17472839999999901</v>
      </c>
      <c r="V3377">
        <v>1.0325869999999999E-2</v>
      </c>
      <c r="W3377">
        <v>0.1388421</v>
      </c>
      <c r="X3377">
        <v>0.99026069999999999</v>
      </c>
      <c r="Y3377">
        <v>-7.3639380000000004E-2</v>
      </c>
      <c r="Z3377">
        <v>3.9888839999999998E-3</v>
      </c>
      <c r="AA3377">
        <v>0.99727699999999997</v>
      </c>
      <c r="AB3377">
        <v>26</v>
      </c>
      <c r="AC3377">
        <v>14.654199999999999</v>
      </c>
      <c r="AD3377">
        <v>-1.108955136821</v>
      </c>
      <c r="AE3377">
        <v>0.85629999999997597</v>
      </c>
      <c r="AF3377">
        <v>-1.09879428719839</v>
      </c>
      <c r="AG3377">
        <v>-1.108955136821</v>
      </c>
      <c r="AH3377">
        <v>14.554477393624101</v>
      </c>
      <c r="AI3377">
        <v>94.344825029022502</v>
      </c>
      <c r="AJ3377">
        <v>94.317370777081905</v>
      </c>
      <c r="AK3377">
        <v>14.637962378096701</v>
      </c>
      <c r="AL3377">
        <v>82.019150913330805</v>
      </c>
      <c r="AM3377">
        <v>89.402574161165504</v>
      </c>
      <c r="AN3377">
        <v>1.0000000031440699</v>
      </c>
    </row>
    <row r="3378" spans="1:40" x14ac:dyDescent="0.25">
      <c r="A3378" t="str">
        <f>"20190312164053192"</f>
        <v>20190312164053192</v>
      </c>
      <c r="B3378" t="str">
        <f>"1552380053189858"</f>
        <v>1552380053189858</v>
      </c>
      <c r="C3378" t="s">
        <v>40</v>
      </c>
      <c r="D3378">
        <v>5.1172129999999996</v>
      </c>
      <c r="E3378">
        <v>0.47301369999999998</v>
      </c>
      <c r="F3378" t="s">
        <v>49</v>
      </c>
      <c r="G3378">
        <v>-437.90859999999998</v>
      </c>
      <c r="H3378" s="1">
        <v>5.768143E-6</v>
      </c>
      <c r="I3378">
        <v>214.113</v>
      </c>
      <c r="J3378">
        <v>-452.4984</v>
      </c>
      <c r="K3378">
        <v>1.1089500000000001</v>
      </c>
      <c r="L3378">
        <v>213.2604</v>
      </c>
      <c r="M3378">
        <v>0.99982680000000002</v>
      </c>
      <c r="N3378">
        <v>0</v>
      </c>
      <c r="O3378">
        <v>-1.7582819999999999E-2</v>
      </c>
      <c r="P3378">
        <v>0.99078109999999997</v>
      </c>
      <c r="Q3378">
        <v>0.13290669999999999</v>
      </c>
      <c r="R3378">
        <v>-2.624363E-2</v>
      </c>
      <c r="S3378">
        <v>3.0632929999999998</v>
      </c>
      <c r="T3378">
        <v>-0.22844490000000001</v>
      </c>
      <c r="U3378">
        <v>0.17452999999999999</v>
      </c>
      <c r="V3378">
        <v>8.9607969999999995E-3</v>
      </c>
      <c r="W3378">
        <v>0.13894970000000001</v>
      </c>
      <c r="X3378">
        <v>0.99025890000000005</v>
      </c>
      <c r="Y3378">
        <v>-7.4174260000000006E-2</v>
      </c>
      <c r="Z3378">
        <v>4.0682080000000002E-3</v>
      </c>
      <c r="AA3378">
        <v>0.99723700000000004</v>
      </c>
      <c r="AB3378">
        <v>27</v>
      </c>
      <c r="AC3378">
        <v>14.5898</v>
      </c>
      <c r="AD3378">
        <v>-1.108944231857</v>
      </c>
      <c r="AE3378">
        <v>0.85259999999999503</v>
      </c>
      <c r="AF3378">
        <v>-1.10265417061358</v>
      </c>
      <c r="AG3378">
        <v>-1.108944231857</v>
      </c>
      <c r="AH3378">
        <v>14.4891307312881</v>
      </c>
      <c r="AI3378">
        <v>94.364103262403603</v>
      </c>
      <c r="AJ3378">
        <v>94.351944131798405</v>
      </c>
      <c r="AK3378">
        <v>14.573280786346499</v>
      </c>
      <c r="AL3378">
        <v>82.012925535868106</v>
      </c>
      <c r="AM3378">
        <v>89.4815478694982</v>
      </c>
      <c r="AN3378">
        <v>1.00000000202108</v>
      </c>
    </row>
    <row r="3379" spans="1:40" x14ac:dyDescent="0.25">
      <c r="A3379" t="str">
        <f>"20190312164053215"</f>
        <v>20190312164053215</v>
      </c>
      <c r="B3379" t="str">
        <f>"1552380053209379"</f>
        <v>1552380053209379</v>
      </c>
      <c r="C3379" t="s">
        <v>40</v>
      </c>
      <c r="D3379">
        <v>5.2988030000000004</v>
      </c>
      <c r="E3379">
        <v>0.47334739999999997</v>
      </c>
      <c r="F3379" t="s">
        <v>49</v>
      </c>
      <c r="G3379">
        <v>-437.56229999999999</v>
      </c>
      <c r="H3379" s="1">
        <v>5.6152710000000001E-6</v>
      </c>
      <c r="I3379">
        <v>214.1046</v>
      </c>
      <c r="J3379">
        <v>-452.23059999999998</v>
      </c>
      <c r="K3379">
        <v>1.108941</v>
      </c>
      <c r="L3379">
        <v>213.2551</v>
      </c>
      <c r="M3379">
        <v>0.99981690000000001</v>
      </c>
      <c r="N3379">
        <v>0</v>
      </c>
      <c r="O3379">
        <v>-1.8149660000000001E-2</v>
      </c>
      <c r="P3379">
        <v>0.99078489999999997</v>
      </c>
      <c r="Q3379">
        <v>0.13304759999999999</v>
      </c>
      <c r="R3379">
        <v>-2.5372329999999998E-2</v>
      </c>
      <c r="S3379">
        <v>3.0629879999999998</v>
      </c>
      <c r="T3379">
        <v>-0.22741310000000001</v>
      </c>
      <c r="U3379">
        <v>0.17312620000000001</v>
      </c>
      <c r="V3379">
        <v>7.5283299999999997E-3</v>
      </c>
      <c r="W3379">
        <v>0.1390574</v>
      </c>
      <c r="X3379">
        <v>0.99025569999999896</v>
      </c>
      <c r="Y3379">
        <v>-7.4290010000000004E-2</v>
      </c>
      <c r="Z3379">
        <v>4.0966229999999998E-3</v>
      </c>
      <c r="AA3379">
        <v>0.99722829999999996</v>
      </c>
      <c r="AB3379">
        <v>27</v>
      </c>
      <c r="AC3379">
        <v>14.668299999999901</v>
      </c>
      <c r="AD3379">
        <v>-1.108935384729</v>
      </c>
      <c r="AE3379">
        <v>0.84950000000000603</v>
      </c>
      <c r="AF3379">
        <v>-1.10927079249865</v>
      </c>
      <c r="AG3379">
        <v>-1.108935384729</v>
      </c>
      <c r="AH3379">
        <v>14.5674834730337</v>
      </c>
      <c r="AI3379">
        <v>94.340671241458196</v>
      </c>
      <c r="AJ3379">
        <v>94.354500829882895</v>
      </c>
      <c r="AK3379">
        <v>14.6516822964363</v>
      </c>
      <c r="AL3379">
        <v>82.006694220703594</v>
      </c>
      <c r="AM3379">
        <v>89.564422374908403</v>
      </c>
      <c r="AN3379">
        <v>0.999999993814919</v>
      </c>
    </row>
    <row r="3380" spans="1:40" x14ac:dyDescent="0.25">
      <c r="A3380" t="str">
        <f>"20190312164053235"</f>
        <v>20190312164053235</v>
      </c>
      <c r="B3380" t="str">
        <f>"1552380053229875"</f>
        <v>1552380053229875</v>
      </c>
      <c r="C3380" t="s">
        <v>40</v>
      </c>
      <c r="D3380">
        <v>5.1866949999999896</v>
      </c>
      <c r="E3380">
        <v>0.47383609999999998</v>
      </c>
      <c r="F3380" t="s">
        <v>49</v>
      </c>
      <c r="G3380">
        <v>-437.29169999999999</v>
      </c>
      <c r="H3380" s="1">
        <v>5.49595299999999E-6</v>
      </c>
      <c r="I3380">
        <v>214.09719999999999</v>
      </c>
      <c r="J3380">
        <v>-451.9821</v>
      </c>
      <c r="K3380">
        <v>1.108948</v>
      </c>
      <c r="L3380">
        <v>213.25</v>
      </c>
      <c r="M3380">
        <v>0.99980760000000002</v>
      </c>
      <c r="N3380">
        <v>0</v>
      </c>
      <c r="O3380">
        <v>-1.866572E-2</v>
      </c>
      <c r="P3380">
        <v>0.9907608</v>
      </c>
      <c r="Q3380">
        <v>0.13323380000000001</v>
      </c>
      <c r="R3380">
        <v>-2.5337019999999998E-2</v>
      </c>
      <c r="S3380">
        <v>3.0628660000000001</v>
      </c>
      <c r="T3380">
        <v>-0.22736139999999999</v>
      </c>
      <c r="U3380">
        <v>0.17265320000000001</v>
      </c>
      <c r="V3380">
        <v>6.9811600000000001E-3</v>
      </c>
      <c r="W3380">
        <v>0.13921939999999999</v>
      </c>
      <c r="X3380">
        <v>0.99023689999999998</v>
      </c>
      <c r="Y3380">
        <v>-7.4651140000000005E-2</v>
      </c>
      <c r="Z3380">
        <v>4.1474800000000003E-3</v>
      </c>
      <c r="AA3380">
        <v>0.99720109999999995</v>
      </c>
      <c r="AB3380">
        <v>27</v>
      </c>
      <c r="AC3380">
        <v>14.6904</v>
      </c>
      <c r="AD3380">
        <v>-1.108942504047</v>
      </c>
      <c r="AE3380">
        <v>0.84719999999998596</v>
      </c>
      <c r="AF3380">
        <v>-1.1149320355371299</v>
      </c>
      <c r="AG3380">
        <v>-1.108942504047</v>
      </c>
      <c r="AH3380">
        <v>14.589167733020799</v>
      </c>
      <c r="AI3380">
        <v>94.334181901551304</v>
      </c>
      <c r="AJ3380">
        <v>94.370158315022493</v>
      </c>
      <c r="AK3380">
        <v>14.6736717308029</v>
      </c>
      <c r="AL3380">
        <v>81.997320762969906</v>
      </c>
      <c r="AM3380">
        <v>89.596072033397803</v>
      </c>
      <c r="AN3380">
        <v>0.99999994802645598</v>
      </c>
    </row>
    <row r="3381" spans="1:40" x14ac:dyDescent="0.25">
      <c r="A3381" t="str">
        <f>"20190312164053259"</f>
        <v>20190312164053259</v>
      </c>
      <c r="B3381" t="str">
        <f>"1552380053249395"</f>
        <v>1552380053249395</v>
      </c>
      <c r="C3381" t="s">
        <v>40</v>
      </c>
      <c r="D3381">
        <v>5.319979</v>
      </c>
      <c r="E3381">
        <v>0.49273509999999998</v>
      </c>
      <c r="F3381" t="s">
        <v>49</v>
      </c>
      <c r="G3381">
        <v>-437.13060000000002</v>
      </c>
      <c r="H3381" s="1">
        <v>5.4266620000000003E-6</v>
      </c>
      <c r="I3381">
        <v>214.07249999999999</v>
      </c>
      <c r="J3381">
        <v>-451.70510000000002</v>
      </c>
      <c r="K3381">
        <v>1.108954</v>
      </c>
      <c r="L3381">
        <v>213.24430000000001</v>
      </c>
      <c r="M3381">
        <v>0.99979720000000005</v>
      </c>
      <c r="N3381">
        <v>0</v>
      </c>
      <c r="O3381">
        <v>-1.921809E-2</v>
      </c>
      <c r="P3381">
        <v>0.99080060000000003</v>
      </c>
      <c r="Q3381">
        <v>0.1328828</v>
      </c>
      <c r="R3381">
        <v>-2.5624620000000001E-2</v>
      </c>
      <c r="S3381">
        <v>3.0630799999999998</v>
      </c>
      <c r="T3381">
        <v>-0.22871720000000001</v>
      </c>
      <c r="U3381">
        <v>0.16963200000000001</v>
      </c>
      <c r="V3381">
        <v>6.7161779999999997E-3</v>
      </c>
      <c r="W3381">
        <v>0.13884920000000001</v>
      </c>
      <c r="X3381">
        <v>0.99029080000000003</v>
      </c>
      <c r="Y3381">
        <v>-7.4214260000000004E-2</v>
      </c>
      <c r="Z3381">
        <v>4.196852E-3</v>
      </c>
      <c r="AA3381">
        <v>0.99723349999999999</v>
      </c>
      <c r="AB3381">
        <v>27</v>
      </c>
      <c r="AC3381">
        <v>14.5745</v>
      </c>
      <c r="AD3381">
        <v>-1.108948573338</v>
      </c>
      <c r="AE3381">
        <v>0.82819999999998095</v>
      </c>
      <c r="AF3381">
        <v>-1.10178797629637</v>
      </c>
      <c r="AG3381">
        <v>-1.108948573338</v>
      </c>
      <c r="AH3381">
        <v>14.4723744565914</v>
      </c>
      <c r="AI3381">
        <v>94.369144246161497</v>
      </c>
      <c r="AJ3381">
        <v>94.353554003651595</v>
      </c>
      <c r="AK3381">
        <v>14.556556120690701</v>
      </c>
      <c r="AL3381">
        <v>82.018740414323403</v>
      </c>
      <c r="AM3381">
        <v>89.611424488492702</v>
      </c>
      <c r="AN3381">
        <v>1.0000000379761</v>
      </c>
    </row>
    <row r="3382" spans="1:40" x14ac:dyDescent="0.25">
      <c r="A3382" t="str">
        <f>"20190312164053280"</f>
        <v>20190312164053280</v>
      </c>
      <c r="B3382" t="str">
        <f>"1552380053269895"</f>
        <v>1552380053269895</v>
      </c>
      <c r="C3382" t="s">
        <v>40</v>
      </c>
      <c r="D3382">
        <v>5.1951019999999897</v>
      </c>
      <c r="E3382">
        <v>0.49049579999999998</v>
      </c>
      <c r="F3382" t="s">
        <v>42</v>
      </c>
      <c r="G3382">
        <v>-450.74090000000001</v>
      </c>
      <c r="H3382">
        <v>1.0320129999999901</v>
      </c>
      <c r="I3382">
        <v>213.25040000000001</v>
      </c>
      <c r="J3382">
        <v>-451.4409</v>
      </c>
      <c r="K3382">
        <v>1.1089659999999999</v>
      </c>
      <c r="L3382">
        <v>213.23859999999999</v>
      </c>
      <c r="M3382">
        <v>0.99978769999999995</v>
      </c>
      <c r="N3382">
        <v>0</v>
      </c>
      <c r="O3382">
        <v>-1.9709589999999999E-2</v>
      </c>
      <c r="P3382">
        <v>0.99080570000000001</v>
      </c>
      <c r="Q3382">
        <v>0.13276379999999999</v>
      </c>
      <c r="R3382">
        <v>-2.6043770000000001E-2</v>
      </c>
      <c r="S3382">
        <v>3.061096</v>
      </c>
      <c r="T3382">
        <v>-0.24432780000000001</v>
      </c>
      <c r="U3382">
        <v>2.003479E-2</v>
      </c>
      <c r="V3382">
        <v>6.6406769999999898E-3</v>
      </c>
      <c r="W3382">
        <v>0.13871410000000001</v>
      </c>
      <c r="X3382">
        <v>0.99031020000000003</v>
      </c>
      <c r="Y3382">
        <v>-2.6107370000000001E-2</v>
      </c>
      <c r="Z3382">
        <v>2.6108659999999999E-3</v>
      </c>
      <c r="AA3382">
        <v>0.99965570000000004</v>
      </c>
      <c r="AB3382">
        <v>27</v>
      </c>
      <c r="AC3382">
        <v>0.69999999999998797</v>
      </c>
      <c r="AD3382">
        <v>-7.6952999999999994E-2</v>
      </c>
      <c r="AE3382">
        <v>1.1800000000022201E-2</v>
      </c>
      <c r="AF3382">
        <v>-2.5289131456203501E-2</v>
      </c>
      <c r="AG3382">
        <v>-7.6952999999999994E-2</v>
      </c>
      <c r="AH3382">
        <v>0.69127953969168998</v>
      </c>
      <c r="AI3382">
        <v>96.347782884945602</v>
      </c>
      <c r="AJ3382">
        <v>92.095121501174106</v>
      </c>
      <c r="AK3382">
        <v>0.69600912808322002</v>
      </c>
      <c r="AL3382">
        <v>82.026556376667699</v>
      </c>
      <c r="AM3382">
        <v>89.615800117517693</v>
      </c>
      <c r="AN3382">
        <v>0.99999999617693403</v>
      </c>
    </row>
    <row r="3383" spans="1:40" x14ac:dyDescent="0.25">
      <c r="A3383" t="str">
        <f>"20190312164053302"</f>
        <v>20190312164053302</v>
      </c>
      <c r="B3383" t="str">
        <f>"1552380053289411"</f>
        <v>1552380053289411</v>
      </c>
      <c r="C3383" t="s">
        <v>40</v>
      </c>
      <c r="D3383">
        <v>5.3210610000000003</v>
      </c>
      <c r="E3383">
        <v>0.49003360000000001</v>
      </c>
      <c r="F3383" t="s">
        <v>42</v>
      </c>
      <c r="G3383">
        <v>-450.49419999999998</v>
      </c>
      <c r="H3383">
        <v>1.0310539999999999</v>
      </c>
      <c r="I3383">
        <v>213.2499</v>
      </c>
      <c r="J3383">
        <v>-451.17630000000003</v>
      </c>
      <c r="K3383">
        <v>1.1089789999999999</v>
      </c>
      <c r="L3383">
        <v>213.233</v>
      </c>
      <c r="M3383">
        <v>0.99977870000000002</v>
      </c>
      <c r="N3383">
        <v>0</v>
      </c>
      <c r="O3383">
        <v>-2.0167319999999999E-2</v>
      </c>
      <c r="P3383">
        <v>0.99094170000000004</v>
      </c>
      <c r="Q3383">
        <v>0.13168279999999999</v>
      </c>
      <c r="R3383">
        <v>-2.63416E-2</v>
      </c>
      <c r="S3383">
        <v>3.0626530000000001</v>
      </c>
      <c r="T3383">
        <v>-0.25215520000000002</v>
      </c>
      <c r="U3383">
        <v>3.7567139999999999E-2</v>
      </c>
      <c r="V3383">
        <v>6.4727659999999996E-3</v>
      </c>
      <c r="W3383">
        <v>0.13762079999999999</v>
      </c>
      <c r="X3383">
        <v>0.99046389999999995</v>
      </c>
      <c r="Y3383">
        <v>-3.2251620000000002E-2</v>
      </c>
      <c r="Z3383">
        <v>2.982934E-3</v>
      </c>
      <c r="AA3383">
        <v>0.99947540000000001</v>
      </c>
      <c r="AB3383">
        <v>27</v>
      </c>
      <c r="AC3383">
        <v>0.682100000000048</v>
      </c>
      <c r="AD3383">
        <v>-7.7924999999999994E-2</v>
      </c>
      <c r="AE3383">
        <v>1.6899999999992501E-2</v>
      </c>
      <c r="AF3383">
        <v>-3.02582673007297E-2</v>
      </c>
      <c r="AG3383">
        <v>-7.7924999999999994E-2</v>
      </c>
      <c r="AH3383">
        <v>0.67284425437686701</v>
      </c>
      <c r="AI3383">
        <v>96.599629144275795</v>
      </c>
      <c r="AJ3383">
        <v>92.574895620712198</v>
      </c>
      <c r="AK3383">
        <v>0.67801715244749095</v>
      </c>
      <c r="AL3383">
        <v>82.089804978028994</v>
      </c>
      <c r="AM3383">
        <v>89.625572527985199</v>
      </c>
      <c r="AN3383">
        <v>1.00000005924776</v>
      </c>
    </row>
    <row r="3384" spans="1:40" x14ac:dyDescent="0.25">
      <c r="A3384" t="str">
        <f>"20190312164053325"</f>
        <v>20190312164053325</v>
      </c>
      <c r="B3384" t="str">
        <f>"1552380053319667"</f>
        <v>1552380053319667</v>
      </c>
      <c r="C3384" t="s">
        <v>40</v>
      </c>
      <c r="D3384">
        <v>5.4024489999999998</v>
      </c>
      <c r="E3384">
        <v>0.48922179999999998</v>
      </c>
      <c r="F3384" t="s">
        <v>49</v>
      </c>
      <c r="G3384">
        <v>-437.49450000000002</v>
      </c>
      <c r="H3384" s="1">
        <v>5.6455229999999898E-6</v>
      </c>
      <c r="I3384">
        <v>213.41499999999999</v>
      </c>
      <c r="J3384">
        <v>-450.89699999999999</v>
      </c>
      <c r="K3384">
        <v>1.1089990000000001</v>
      </c>
      <c r="L3384">
        <v>213.2268</v>
      </c>
      <c r="M3384">
        <v>0.99976989999999999</v>
      </c>
      <c r="N3384">
        <v>0</v>
      </c>
      <c r="O3384">
        <v>-2.05989E-2</v>
      </c>
      <c r="P3384">
        <v>0.99112469999999997</v>
      </c>
      <c r="Q3384">
        <v>0.1301794</v>
      </c>
      <c r="R3384">
        <v>-2.6926809999999999E-2</v>
      </c>
      <c r="S3384">
        <v>3.061493</v>
      </c>
      <c r="T3384">
        <v>-0.2481488</v>
      </c>
      <c r="U3384">
        <v>4.0740970000000001E-2</v>
      </c>
      <c r="V3384">
        <v>6.6137319999999998E-3</v>
      </c>
      <c r="W3384">
        <v>0.136106</v>
      </c>
      <c r="X3384">
        <v>0.9906722</v>
      </c>
      <c r="Y3384">
        <v>-3.3722870000000002E-2</v>
      </c>
      <c r="Z3384">
        <v>3.0312350000000002E-3</v>
      </c>
      <c r="AA3384">
        <v>0.99942660000000005</v>
      </c>
      <c r="AB3384">
        <v>27</v>
      </c>
      <c r="AC3384">
        <v>13.4024999999999</v>
      </c>
      <c r="AD3384">
        <v>-1.1089933544769901</v>
      </c>
      <c r="AE3384">
        <v>0.18819999999999401</v>
      </c>
      <c r="AF3384">
        <v>-0.46108544258767398</v>
      </c>
      <c r="AG3384">
        <v>-1.1089933544769901</v>
      </c>
      <c r="AH3384">
        <v>13.304702984248101</v>
      </c>
      <c r="AI3384">
        <v>94.7619427126792</v>
      </c>
      <c r="AJ3384">
        <v>91.984838080588503</v>
      </c>
      <c r="AK3384">
        <v>13.3588018753443</v>
      </c>
      <c r="AL3384">
        <v>82.177420606651495</v>
      </c>
      <c r="AM3384">
        <v>89.617498804414097</v>
      </c>
      <c r="AN3384">
        <v>0.99999999626990299</v>
      </c>
    </row>
    <row r="3385" spans="1:40" x14ac:dyDescent="0.25">
      <c r="A3385" t="str">
        <f>"20190312164053347"</f>
        <v>20190312164053347</v>
      </c>
      <c r="B3385" t="str">
        <f>"1552380053339187"</f>
        <v>1552380053339187</v>
      </c>
      <c r="C3385" t="s">
        <v>40</v>
      </c>
      <c r="D3385">
        <v>5.3945480000000003</v>
      </c>
      <c r="E3385">
        <v>0.48928250000000001</v>
      </c>
      <c r="F3385" t="s">
        <v>49</v>
      </c>
      <c r="G3385">
        <v>-436.58859999999999</v>
      </c>
      <c r="H3385" s="1">
        <v>5.2416750000000001E-6</v>
      </c>
      <c r="I3385">
        <v>213.43889999999999</v>
      </c>
      <c r="J3385">
        <v>-450.6157</v>
      </c>
      <c r="K3385">
        <v>1.109029</v>
      </c>
      <c r="L3385">
        <v>213.22059999999999</v>
      </c>
      <c r="M3385">
        <v>0.99976229999999999</v>
      </c>
      <c r="N3385">
        <v>0</v>
      </c>
      <c r="O3385">
        <v>-2.096903E-2</v>
      </c>
      <c r="P3385">
        <v>0.99133689999999997</v>
      </c>
      <c r="Q3385">
        <v>0.1283685</v>
      </c>
      <c r="R3385">
        <v>-2.7796370000000001E-2</v>
      </c>
      <c r="S3385">
        <v>3.0592350000000001</v>
      </c>
      <c r="T3385">
        <v>-0.23710919999999999</v>
      </c>
      <c r="U3385">
        <v>4.5333859999999997E-2</v>
      </c>
      <c r="V3385">
        <v>7.0971029999999996E-3</v>
      </c>
      <c r="W3385">
        <v>0.1342856</v>
      </c>
      <c r="X3385">
        <v>0.9909173</v>
      </c>
      <c r="Y3385">
        <v>-3.5611249999999997E-2</v>
      </c>
      <c r="Z3385">
        <v>3.000609E-3</v>
      </c>
      <c r="AA3385">
        <v>0.99936119999999995</v>
      </c>
      <c r="AB3385">
        <v>27</v>
      </c>
      <c r="AC3385">
        <v>14.027100000000001</v>
      </c>
      <c r="AD3385">
        <v>-1.109023758325</v>
      </c>
      <c r="AE3385">
        <v>0.21829999999999899</v>
      </c>
      <c r="AF3385">
        <v>-0.50920965004419405</v>
      </c>
      <c r="AG3385">
        <v>-1.109023758325</v>
      </c>
      <c r="AH3385">
        <v>13.932368641332101</v>
      </c>
      <c r="AI3385">
        <v>94.548153493858806</v>
      </c>
      <c r="AJ3385">
        <v>92.093153291081705</v>
      </c>
      <c r="AK3385">
        <v>13.985711427103</v>
      </c>
      <c r="AL3385">
        <v>82.282688698379602</v>
      </c>
      <c r="AM3385">
        <v>89.589645779803007</v>
      </c>
      <c r="AN3385">
        <v>1.0000000433388201</v>
      </c>
    </row>
    <row r="3386" spans="1:40" x14ac:dyDescent="0.25">
      <c r="A3386" t="str">
        <f>"20190312164053369"</f>
        <v>20190312164053369</v>
      </c>
      <c r="B3386" t="str">
        <f>"1552380053359683"</f>
        <v>1552380053359683</v>
      </c>
      <c r="C3386" t="s">
        <v>40</v>
      </c>
      <c r="D3386">
        <v>5.2983719999999996</v>
      </c>
      <c r="E3386">
        <v>0.48905379999999998</v>
      </c>
      <c r="F3386" t="s">
        <v>49</v>
      </c>
      <c r="G3386">
        <v>-436.5016</v>
      </c>
      <c r="H3386" s="1">
        <v>5.2050719999999996E-6</v>
      </c>
      <c r="I3386">
        <v>213.41640000000001</v>
      </c>
      <c r="J3386">
        <v>-450.34410000000003</v>
      </c>
      <c r="K3386">
        <v>1.109056</v>
      </c>
      <c r="L3386">
        <v>213.21459999999999</v>
      </c>
      <c r="M3386">
        <v>0.99975619999999998</v>
      </c>
      <c r="N3386">
        <v>0</v>
      </c>
      <c r="O3386">
        <v>-2.126144E-2</v>
      </c>
      <c r="P3386">
        <v>0.99155649999999995</v>
      </c>
      <c r="Q3386">
        <v>0.12645799999999999</v>
      </c>
      <c r="R3386">
        <v>-2.8704239999999999E-2</v>
      </c>
      <c r="S3386">
        <v>3.0585330000000002</v>
      </c>
      <c r="T3386">
        <v>-0.24032529999999999</v>
      </c>
      <c r="U3386">
        <v>4.2419430000000001E-2</v>
      </c>
      <c r="V3386">
        <v>7.6950489999999998E-3</v>
      </c>
      <c r="W3386">
        <v>0.13236829999999999</v>
      </c>
      <c r="X3386">
        <v>0.99117069999999996</v>
      </c>
      <c r="Y3386">
        <v>-3.495127E-2</v>
      </c>
      <c r="Z3386">
        <v>3.0389470000000002E-3</v>
      </c>
      <c r="AA3386">
        <v>0.99938439999999995</v>
      </c>
      <c r="AB3386">
        <v>27</v>
      </c>
      <c r="AC3386">
        <v>13.842499999999999</v>
      </c>
      <c r="AD3386">
        <v>-1.109050794928</v>
      </c>
      <c r="AE3386">
        <v>0.20180000000001999</v>
      </c>
      <c r="AF3386">
        <v>-0.49290773829231599</v>
      </c>
      <c r="AG3386">
        <v>-1.109050794928</v>
      </c>
      <c r="AH3386">
        <v>13.7468565279115</v>
      </c>
      <c r="AI3386">
        <v>94.609494359447893</v>
      </c>
      <c r="AJ3386">
        <v>92.053519610599693</v>
      </c>
      <c r="AK3386">
        <v>13.800326666538799</v>
      </c>
      <c r="AL3386">
        <v>82.393530930164999</v>
      </c>
      <c r="AM3386">
        <v>89.555187645169099</v>
      </c>
      <c r="AN3386">
        <v>0.99999996858124496</v>
      </c>
    </row>
    <row r="3387" spans="1:40" x14ac:dyDescent="0.25">
      <c r="A3387" t="str">
        <f>"20190312164053393"</f>
        <v>20190312164053393</v>
      </c>
      <c r="B3387" t="str">
        <f>"1552380053389938"</f>
        <v>1552380053389938</v>
      </c>
      <c r="C3387" t="s">
        <v>40</v>
      </c>
      <c r="D3387">
        <v>5.4283320000000002</v>
      </c>
      <c r="E3387">
        <v>0.48929</v>
      </c>
      <c r="F3387" t="s">
        <v>49</v>
      </c>
      <c r="G3387">
        <v>-436.75099999999998</v>
      </c>
      <c r="H3387" s="1">
        <v>5.3174290000000003E-6</v>
      </c>
      <c r="I3387">
        <v>213.3964</v>
      </c>
      <c r="J3387">
        <v>-450.05290000000002</v>
      </c>
      <c r="K3387">
        <v>1.1090819999999999</v>
      </c>
      <c r="L3387">
        <v>213.2081</v>
      </c>
      <c r="M3387">
        <v>0.9997509</v>
      </c>
      <c r="N3387">
        <v>0</v>
      </c>
      <c r="O3387">
        <v>-2.151426E-2</v>
      </c>
      <c r="P3387">
        <v>0.99183619999999995</v>
      </c>
      <c r="Q3387">
        <v>0.1240766</v>
      </c>
      <c r="R3387">
        <v>-2.9424249999999999E-2</v>
      </c>
      <c r="S3387">
        <v>3.0585629999999999</v>
      </c>
      <c r="T3387">
        <v>-0.24954580000000001</v>
      </c>
      <c r="U3387">
        <v>4.0908809999999997E-2</v>
      </c>
      <c r="V3387">
        <v>8.1429509999999903E-3</v>
      </c>
      <c r="W3387">
        <v>0.1299807</v>
      </c>
      <c r="X3387">
        <v>0.99148309999999995</v>
      </c>
      <c r="Y3387">
        <v>-3.4696850000000001E-2</v>
      </c>
      <c r="Z3387">
        <v>3.1653689999999999E-3</v>
      </c>
      <c r="AA3387">
        <v>0.99939290000000003</v>
      </c>
      <c r="AB3387">
        <v>28</v>
      </c>
      <c r="AC3387">
        <v>13.3019</v>
      </c>
      <c r="AD3387">
        <v>-1.1090766825709999</v>
      </c>
      <c r="AE3387">
        <v>0.188299999999998</v>
      </c>
      <c r="AF3387">
        <v>-0.47116720470281598</v>
      </c>
      <c r="AG3387">
        <v>-1.1090766825709999</v>
      </c>
      <c r="AH3387">
        <v>13.203003905692199</v>
      </c>
      <c r="AI3387">
        <v>94.798637975488006</v>
      </c>
      <c r="AJ3387">
        <v>92.043810735069698</v>
      </c>
      <c r="AK3387">
        <v>13.2578792329819</v>
      </c>
      <c r="AL3387">
        <v>82.531523058602801</v>
      </c>
      <c r="AM3387">
        <v>89.529446104034506</v>
      </c>
      <c r="AN3387">
        <v>1.00000001380454</v>
      </c>
    </row>
    <row r="3388" spans="1:40" x14ac:dyDescent="0.25">
      <c r="A3388" t="str">
        <f>"20190312164053426"</f>
        <v>20190312164053426</v>
      </c>
      <c r="B3388" t="str">
        <f>"1552380053419768"</f>
        <v>1552380053419768</v>
      </c>
      <c r="C3388" t="s">
        <v>40</v>
      </c>
      <c r="D3388">
        <v>5.463387</v>
      </c>
      <c r="E3388">
        <v>0.48910490000000001</v>
      </c>
      <c r="F3388" t="s">
        <v>49</v>
      </c>
      <c r="G3388">
        <v>-436.85950000000003</v>
      </c>
      <c r="H3388" s="1">
        <v>5.36858399999999E-6</v>
      </c>
      <c r="I3388">
        <v>213.36170000000001</v>
      </c>
      <c r="J3388">
        <v>-449.64440000000002</v>
      </c>
      <c r="K3388">
        <v>1.1091169999999999</v>
      </c>
      <c r="L3388">
        <v>213.19900000000001</v>
      </c>
      <c r="M3388">
        <v>0.99974490000000005</v>
      </c>
      <c r="N3388">
        <v>0</v>
      </c>
      <c r="O3388">
        <v>-2.179213E-2</v>
      </c>
      <c r="P3388">
        <v>0.99215730000000002</v>
      </c>
      <c r="Q3388">
        <v>0.12133910000000001</v>
      </c>
      <c r="R3388">
        <v>-3.0011929999999999E-2</v>
      </c>
      <c r="S3388">
        <v>3.057922</v>
      </c>
      <c r="T3388">
        <v>-0.25705830000000002</v>
      </c>
      <c r="U3388">
        <v>3.5598749999999998E-2</v>
      </c>
      <c r="V3388">
        <v>8.4330369999999905E-3</v>
      </c>
      <c r="W3388">
        <v>0.12723609999999999</v>
      </c>
      <c r="X3388">
        <v>0.99183659999999996</v>
      </c>
      <c r="Y3388">
        <v>-3.3234909999999999E-2</v>
      </c>
      <c r="Z3388">
        <v>3.2230150000000001E-3</v>
      </c>
      <c r="AA3388">
        <v>0.99944239999999995</v>
      </c>
      <c r="AB3388">
        <v>28</v>
      </c>
      <c r="AC3388">
        <v>12.784899999999899</v>
      </c>
      <c r="AD3388">
        <v>-1.1091116314160001</v>
      </c>
      <c r="AE3388">
        <v>0.16270000000000001</v>
      </c>
      <c r="AF3388">
        <v>-0.437980826503794</v>
      </c>
      <c r="AG3388">
        <v>-1.1091116314160001</v>
      </c>
      <c r="AH3388">
        <v>12.682884044337399</v>
      </c>
      <c r="AI3388">
        <v>94.9948097700088</v>
      </c>
      <c r="AJ3388">
        <v>91.9778218032327</v>
      </c>
      <c r="AK3388">
        <v>12.7388187638193</v>
      </c>
      <c r="AL3388">
        <v>82.690093798169698</v>
      </c>
      <c r="AM3388">
        <v>89.512857474848303</v>
      </c>
      <c r="AN3388">
        <v>0.99999999117790594</v>
      </c>
    </row>
    <row r="3389" spans="1:40" x14ac:dyDescent="0.25">
      <c r="A3389" t="str">
        <f>"20190312164053448"</f>
        <v>20190312164053448</v>
      </c>
      <c r="B3389" t="str">
        <f>"1552380053439287"</f>
        <v>1552380053439287</v>
      </c>
      <c r="C3389" t="s">
        <v>40</v>
      </c>
      <c r="D3389">
        <v>5.4885580000000003</v>
      </c>
      <c r="E3389">
        <v>0.48917759999999999</v>
      </c>
      <c r="F3389" t="s">
        <v>42</v>
      </c>
      <c r="G3389">
        <v>-448.75749999999999</v>
      </c>
      <c r="H3389">
        <v>1.031987</v>
      </c>
      <c r="I3389">
        <v>213.2089</v>
      </c>
      <c r="J3389">
        <v>-449.36649999999997</v>
      </c>
      <c r="K3389">
        <v>1.1091200000000001</v>
      </c>
      <c r="L3389">
        <v>213.19280000000001</v>
      </c>
      <c r="M3389">
        <v>0.99974149999999995</v>
      </c>
      <c r="N3389">
        <v>0</v>
      </c>
      <c r="O3389">
        <v>-2.1950299999999999E-2</v>
      </c>
      <c r="P3389">
        <v>0.99234960000000005</v>
      </c>
      <c r="Q3389">
        <v>0.1196666</v>
      </c>
      <c r="R3389">
        <v>-3.0365300000000001E-2</v>
      </c>
      <c r="S3389">
        <v>3.0572810000000001</v>
      </c>
      <c r="T3389">
        <v>-0.26592169999999998</v>
      </c>
      <c r="U3389">
        <v>3.4317019999999997E-2</v>
      </c>
      <c r="V3389">
        <v>8.6196840000000007E-3</v>
      </c>
      <c r="W3389">
        <v>0.12555919999999901</v>
      </c>
      <c r="X3389">
        <v>0.99204870000000001</v>
      </c>
      <c r="Y3389">
        <v>-3.2963270000000003E-2</v>
      </c>
      <c r="Z3389">
        <v>3.3363759999999998E-3</v>
      </c>
      <c r="AA3389">
        <v>0.99945099999999998</v>
      </c>
      <c r="AB3389">
        <v>28</v>
      </c>
      <c r="AC3389">
        <v>0.60899999999998</v>
      </c>
      <c r="AD3389">
        <v>-7.7133000000000104E-2</v>
      </c>
      <c r="AE3389">
        <v>1.60999999999944E-2</v>
      </c>
      <c r="AF3389">
        <v>-2.8999221150055599E-2</v>
      </c>
      <c r="AG3389">
        <v>-7.7133000000000104E-2</v>
      </c>
      <c r="AH3389">
        <v>0.59889930533229896</v>
      </c>
      <c r="AI3389">
        <v>97.3303026287129</v>
      </c>
      <c r="AJ3389">
        <v>92.772145931085504</v>
      </c>
      <c r="AK3389">
        <v>0.60454183680190499</v>
      </c>
      <c r="AL3389">
        <v>82.786950113574207</v>
      </c>
      <c r="AM3389">
        <v>89.502182618388304</v>
      </c>
      <c r="AN3389">
        <v>1.00000001741429</v>
      </c>
    </row>
    <row r="3390" spans="1:40" x14ac:dyDescent="0.25">
      <c r="A3390" t="str">
        <f>"20190312164053470"</f>
        <v>20190312164053470</v>
      </c>
      <c r="B3390" t="str">
        <f>"1552380053459783"</f>
        <v>1552380053459783</v>
      </c>
      <c r="C3390" t="s">
        <v>40</v>
      </c>
      <c r="D3390">
        <v>5.4813320000000001</v>
      </c>
      <c r="E3390">
        <v>0.48899900000000002</v>
      </c>
      <c r="F3390" t="s">
        <v>42</v>
      </c>
      <c r="G3390">
        <v>-448.50779999999997</v>
      </c>
      <c r="H3390">
        <v>1.0326759999999999</v>
      </c>
      <c r="I3390">
        <v>213.20150000000001</v>
      </c>
      <c r="J3390">
        <v>-449.09089999999998</v>
      </c>
      <c r="K3390">
        <v>1.1091249999999999</v>
      </c>
      <c r="L3390">
        <v>213.1866</v>
      </c>
      <c r="M3390">
        <v>0.99973820000000002</v>
      </c>
      <c r="N3390">
        <v>0</v>
      </c>
      <c r="O3390">
        <v>-2.2098779999999998E-2</v>
      </c>
      <c r="P3390">
        <v>0.99237410000000004</v>
      </c>
      <c r="Q3390">
        <v>0.1194021</v>
      </c>
      <c r="R3390">
        <v>-3.0608550000000002E-2</v>
      </c>
      <c r="S3390">
        <v>3.0569459999999999</v>
      </c>
      <c r="T3390">
        <v>-0.27226810000000001</v>
      </c>
      <c r="U3390">
        <v>3.2226560000000001E-2</v>
      </c>
      <c r="V3390">
        <v>8.7131080000000007E-3</v>
      </c>
      <c r="W3390">
        <v>0.12529289999999901</v>
      </c>
      <c r="X3390">
        <v>0.99208149999999995</v>
      </c>
      <c r="Y3390">
        <v>-3.2421070000000003E-2</v>
      </c>
      <c r="Z3390">
        <v>3.4051720000000001E-3</v>
      </c>
      <c r="AA3390">
        <v>0.99946849999999998</v>
      </c>
      <c r="AB3390">
        <v>28</v>
      </c>
      <c r="AC3390">
        <v>0.58310000000000095</v>
      </c>
      <c r="AD3390">
        <v>-7.6448999999999906E-2</v>
      </c>
      <c r="AE3390">
        <v>1.4900000000011401E-2</v>
      </c>
      <c r="AF3390">
        <v>-2.7313198733482199E-2</v>
      </c>
      <c r="AG3390">
        <v>-7.6448999999999906E-2</v>
      </c>
      <c r="AH3390">
        <v>0.57278891882348604</v>
      </c>
      <c r="AI3390">
        <v>97.5936975473725</v>
      </c>
      <c r="AJ3390">
        <v>92.730057187355399</v>
      </c>
      <c r="AK3390">
        <v>0.57851327206299497</v>
      </c>
      <c r="AL3390">
        <v>82.802329057173395</v>
      </c>
      <c r="AM3390">
        <v>89.496803962631802</v>
      </c>
      <c r="AN3390">
        <v>0.99999996584183903</v>
      </c>
    </row>
    <row r="3391" spans="1:40" x14ac:dyDescent="0.25">
      <c r="A3391" t="str">
        <f>"20190312164053492"</f>
        <v>20190312164053492</v>
      </c>
      <c r="B3391" t="str">
        <f>"1552380053489063"</f>
        <v>1552380053489063</v>
      </c>
      <c r="C3391" t="s">
        <v>40</v>
      </c>
      <c r="D3391">
        <v>5.390879</v>
      </c>
      <c r="E3391">
        <v>0.48897889999999999</v>
      </c>
      <c r="F3391" t="s">
        <v>49</v>
      </c>
      <c r="G3391">
        <v>-436.42739999999998</v>
      </c>
      <c r="H3391" s="1">
        <v>5.1806720000000003E-6</v>
      </c>
      <c r="I3391">
        <v>213.31899999999999</v>
      </c>
      <c r="J3391">
        <v>-448.80270000000002</v>
      </c>
      <c r="K3391">
        <v>1.109119</v>
      </c>
      <c r="L3391">
        <v>213.18010000000001</v>
      </c>
      <c r="M3391">
        <v>0.99973460000000003</v>
      </c>
      <c r="N3391">
        <v>0</v>
      </c>
      <c r="O3391">
        <v>-2.2262259999999999E-2</v>
      </c>
      <c r="P3391">
        <v>0.9923516</v>
      </c>
      <c r="Q3391">
        <v>0.1196446</v>
      </c>
      <c r="R3391">
        <v>-3.0392840000000001E-2</v>
      </c>
      <c r="S3391">
        <v>3.056244</v>
      </c>
      <c r="T3391">
        <v>-0.26767790000000002</v>
      </c>
      <c r="U3391">
        <v>3.1967160000000001E-2</v>
      </c>
      <c r="V3391">
        <v>8.3369849999999999E-3</v>
      </c>
      <c r="W3391">
        <v>0.12553800000000001</v>
      </c>
      <c r="X3391">
        <v>0.99205379999999999</v>
      </c>
      <c r="Y3391">
        <v>-3.2508240000000001E-2</v>
      </c>
      <c r="Z3391">
        <v>3.3668499999999998E-3</v>
      </c>
      <c r="AA3391">
        <v>0.99946579999999996</v>
      </c>
      <c r="AB3391">
        <v>28</v>
      </c>
      <c r="AC3391">
        <v>12.375299999999999</v>
      </c>
      <c r="AD3391">
        <v>-1.1091138193279999</v>
      </c>
      <c r="AE3391">
        <v>0.13890000000000599</v>
      </c>
      <c r="AF3391">
        <v>-0.41107112178524302</v>
      </c>
      <c r="AG3391">
        <v>-1.1091138193279999</v>
      </c>
      <c r="AH3391">
        <v>12.270591729960501</v>
      </c>
      <c r="AI3391">
        <v>95.161933850613295</v>
      </c>
      <c r="AJ3391">
        <v>91.918720456532498</v>
      </c>
      <c r="AK3391">
        <v>12.327470719282401</v>
      </c>
      <c r="AL3391">
        <v>82.788174479203803</v>
      </c>
      <c r="AM3391">
        <v>89.518511183689299</v>
      </c>
      <c r="AN3391">
        <v>1.0000000184286599</v>
      </c>
    </row>
    <row r="3392" spans="1:40" x14ac:dyDescent="0.25">
      <c r="A3392" t="str">
        <f>"20190312164053514"</f>
        <v>20190312164053514</v>
      </c>
      <c r="B3392" t="str">
        <f>"1552380053509564"</f>
        <v>1552380053509564</v>
      </c>
      <c r="C3392" t="s">
        <v>40</v>
      </c>
      <c r="D3392">
        <v>4.4896379999999896</v>
      </c>
      <c r="E3392">
        <v>0.49278919999999998</v>
      </c>
      <c r="F3392" t="s">
        <v>49</v>
      </c>
      <c r="G3392">
        <v>-436.12830000000002</v>
      </c>
      <c r="H3392" s="1">
        <v>5.0484690000000002E-6</v>
      </c>
      <c r="I3392">
        <v>213.3143</v>
      </c>
      <c r="J3392">
        <v>-448.52510000000001</v>
      </c>
      <c r="K3392">
        <v>1.1091059999999999</v>
      </c>
      <c r="L3392">
        <v>213.1737</v>
      </c>
      <c r="M3392">
        <v>0.99973040000000002</v>
      </c>
      <c r="N3392">
        <v>0</v>
      </c>
      <c r="O3392">
        <v>-2.2443569999999999E-2</v>
      </c>
      <c r="P3392">
        <v>0.99231020000000003</v>
      </c>
      <c r="Q3392">
        <v>0.1200835</v>
      </c>
      <c r="R3392">
        <v>-3.0008170000000001E-2</v>
      </c>
      <c r="S3392">
        <v>3.0563660000000001</v>
      </c>
      <c r="T3392">
        <v>-0.26745669999999999</v>
      </c>
      <c r="U3392">
        <v>3.2363889999999999E-2</v>
      </c>
      <c r="V3392">
        <v>7.7774699999999999E-3</v>
      </c>
      <c r="W3392">
        <v>0.12598029999999999</v>
      </c>
      <c r="X3392">
        <v>0.99200219999999995</v>
      </c>
      <c r="Y3392">
        <v>-3.2817300000000001E-2</v>
      </c>
      <c r="Z3392">
        <v>3.393273E-3</v>
      </c>
      <c r="AA3392">
        <v>0.9994556</v>
      </c>
      <c r="AB3392">
        <v>28</v>
      </c>
      <c r="AC3392">
        <v>12.396799999999899</v>
      </c>
      <c r="AD3392">
        <v>-1.109100951531</v>
      </c>
      <c r="AE3392">
        <v>0.140600000000006</v>
      </c>
      <c r="AF3392">
        <v>-0.41547282005212</v>
      </c>
      <c r="AG3392">
        <v>-1.109100951531</v>
      </c>
      <c r="AH3392">
        <v>12.2921443863248</v>
      </c>
      <c r="AI3392">
        <v>95.152820817373197</v>
      </c>
      <c r="AJ3392">
        <v>91.9358526408854</v>
      </c>
      <c r="AK3392">
        <v>12.349070256466501</v>
      </c>
      <c r="AL3392">
        <v>82.762629216661693</v>
      </c>
      <c r="AM3392">
        <v>89.550800314557506</v>
      </c>
      <c r="AN3392">
        <v>0.99999994491626298</v>
      </c>
    </row>
    <row r="3393" spans="1:40" x14ac:dyDescent="0.25">
      <c r="A3393" t="str">
        <f>"20190312164053671"</f>
        <v>20190312164053671</v>
      </c>
      <c r="B3393" t="str">
        <f>"1552380053659401"</f>
        <v>1552380053659401</v>
      </c>
      <c r="C3393" t="s">
        <v>40</v>
      </c>
      <c r="D3393">
        <v>5.75814</v>
      </c>
      <c r="E3393">
        <v>0.49184670000000003</v>
      </c>
      <c r="F3393" t="s">
        <v>49</v>
      </c>
      <c r="G3393">
        <v>-428.9273</v>
      </c>
      <c r="H3393" s="1">
        <v>2.5073300000000001E-6</v>
      </c>
      <c r="I3393">
        <v>213.17179999999999</v>
      </c>
      <c r="J3393">
        <v>-446.51929999999999</v>
      </c>
      <c r="K3393">
        <v>1.10891299999999</v>
      </c>
      <c r="L3393">
        <v>213.1242</v>
      </c>
      <c r="M3393">
        <v>0.99966569999999999</v>
      </c>
      <c r="N3393">
        <v>0</v>
      </c>
      <c r="O3393">
        <v>-2.5110259999999999E-2</v>
      </c>
      <c r="P3393">
        <v>0.99191739999999995</v>
      </c>
      <c r="Q3393">
        <v>0.12451379999999999</v>
      </c>
      <c r="R3393">
        <v>-2.4425100000000002E-2</v>
      </c>
      <c r="S3393">
        <v>3.048187</v>
      </c>
      <c r="T3393">
        <v>-0.18911059999999999</v>
      </c>
      <c r="U3393">
        <v>6.8511960000000004E-3</v>
      </c>
      <c r="V3393">
        <v>-3.6620910000000002E-4</v>
      </c>
      <c r="W3393">
        <v>0.13062360000000001</v>
      </c>
      <c r="X3393">
        <v>0.99143199999999998</v>
      </c>
      <c r="Y3393">
        <v>-2.7256909999999999E-2</v>
      </c>
      <c r="Z3393">
        <v>2.400971E-3</v>
      </c>
      <c r="AA3393">
        <v>0.9996256</v>
      </c>
      <c r="AB3393">
        <v>29</v>
      </c>
      <c r="AC3393">
        <v>17.591999999999899</v>
      </c>
      <c r="AD3393">
        <v>-1.10891049266999</v>
      </c>
      <c r="AE3393">
        <v>4.7599999999988499E-2</v>
      </c>
      <c r="AF3393">
        <v>-0.487396461518881</v>
      </c>
      <c r="AG3393">
        <v>-1.10891049266999</v>
      </c>
      <c r="AH3393">
        <v>17.515661282948901</v>
      </c>
      <c r="AI3393">
        <v>93.621143478908607</v>
      </c>
      <c r="AJ3393">
        <v>91.593919602102602</v>
      </c>
      <c r="AK3393">
        <v>17.557494922979501</v>
      </c>
      <c r="AL3393">
        <v>82.494371012939197</v>
      </c>
      <c r="AM3393">
        <v>90.021163564313994</v>
      </c>
      <c r="AN3393">
        <v>1.00000003480503</v>
      </c>
    </row>
    <row r="3394" spans="1:40" x14ac:dyDescent="0.25">
      <c r="A3394" t="str">
        <f>"20190312164053692"</f>
        <v>20190312164053692</v>
      </c>
      <c r="B3394" t="str">
        <f>"1552380053689654"</f>
        <v>1552380053689654</v>
      </c>
      <c r="C3394" t="s">
        <v>40</v>
      </c>
      <c r="D3394">
        <v>5.9065279999999998</v>
      </c>
      <c r="E3394">
        <v>0.48892150000000001</v>
      </c>
      <c r="F3394" t="s">
        <v>49</v>
      </c>
      <c r="G3394">
        <v>-419.90710000000001</v>
      </c>
      <c r="H3394" s="1">
        <v>4.0800729999999996E-6</v>
      </c>
      <c r="I3394">
        <v>213.2783</v>
      </c>
      <c r="J3394">
        <v>-446.23099999999999</v>
      </c>
      <c r="K3394">
        <v>1.1088979999999999</v>
      </c>
      <c r="L3394">
        <v>213.1165</v>
      </c>
      <c r="M3394">
        <v>0.99965210000000004</v>
      </c>
      <c r="N3394">
        <v>0</v>
      </c>
      <c r="O3394">
        <v>-2.5640070000000001E-2</v>
      </c>
      <c r="P3394">
        <v>0.99191450000000003</v>
      </c>
      <c r="Q3394">
        <v>0.1247277</v>
      </c>
      <c r="R3394">
        <v>-2.3430139999999999E-2</v>
      </c>
      <c r="S3394">
        <v>3.0408330000000001</v>
      </c>
      <c r="T3394">
        <v>-0.12670890000000001</v>
      </c>
      <c r="U3394">
        <v>1.7608639999999998E-2</v>
      </c>
      <c r="V3394">
        <v>-1.8798969999999999E-3</v>
      </c>
      <c r="W3394">
        <v>0.13087080000000001</v>
      </c>
      <c r="X3394">
        <v>0.99139759999999999</v>
      </c>
      <c r="Y3394">
        <v>-3.1379379999999998E-2</v>
      </c>
      <c r="Z3394">
        <v>1.721366E-3</v>
      </c>
      <c r="AA3394">
        <v>0.99950609999999995</v>
      </c>
      <c r="AB3394">
        <v>29</v>
      </c>
      <c r="AC3394">
        <v>26.323899999999899</v>
      </c>
      <c r="AD3394">
        <v>-1.108893919927</v>
      </c>
      <c r="AE3394">
        <v>0.161799999999999</v>
      </c>
      <c r="AF3394">
        <v>-0.83522429562636202</v>
      </c>
      <c r="AG3394">
        <v>-1.108893919927</v>
      </c>
      <c r="AH3394">
        <v>26.264491804469099</v>
      </c>
      <c r="AI3394">
        <v>92.416387370970099</v>
      </c>
      <c r="AJ3394">
        <v>91.821421324209197</v>
      </c>
      <c r="AK3394">
        <v>26.301155394710001</v>
      </c>
      <c r="AL3394">
        <v>82.4800842252655</v>
      </c>
      <c r="AM3394">
        <v>90.108644639572503</v>
      </c>
      <c r="AN3394">
        <v>0.99999995079556403</v>
      </c>
    </row>
    <row r="3395" spans="1:40" x14ac:dyDescent="0.25">
      <c r="A3395" t="str">
        <f>"20190312164053715"</f>
        <v>20190312164053715</v>
      </c>
      <c r="B3395" t="str">
        <f>"1552380053709174"</f>
        <v>1552380053709174</v>
      </c>
      <c r="C3395" t="s">
        <v>40</v>
      </c>
      <c r="D3395">
        <v>5.730594</v>
      </c>
      <c r="E3395">
        <v>0.48837950000000002</v>
      </c>
      <c r="F3395" t="s">
        <v>49</v>
      </c>
      <c r="G3395">
        <v>-425.7774</v>
      </c>
      <c r="H3395" s="1">
        <v>3.0438329999999998E-6</v>
      </c>
      <c r="I3395">
        <v>213.42619999999999</v>
      </c>
      <c r="J3395">
        <v>-445.9425</v>
      </c>
      <c r="K3395">
        <v>1.1088899999999999</v>
      </c>
      <c r="L3395">
        <v>213.1086</v>
      </c>
      <c r="M3395">
        <v>0.99963809999999997</v>
      </c>
      <c r="N3395">
        <v>0</v>
      </c>
      <c r="O3395">
        <v>-2.6177430000000002E-2</v>
      </c>
      <c r="P3395">
        <v>0.99195100000000003</v>
      </c>
      <c r="Q3395">
        <v>0.12465130000000001</v>
      </c>
      <c r="R3395">
        <v>-2.225661E-2</v>
      </c>
      <c r="S3395">
        <v>3.0463559999999998</v>
      </c>
      <c r="T3395">
        <v>-0.16515829999999901</v>
      </c>
      <c r="U3395">
        <v>4.6127319999999999E-2</v>
      </c>
      <c r="V3395">
        <v>-3.5836520000000001E-3</v>
      </c>
      <c r="W3395">
        <v>0.130826</v>
      </c>
      <c r="X3395">
        <v>0.99139889999999997</v>
      </c>
      <c r="Y3395">
        <v>-4.1210869999999997E-2</v>
      </c>
      <c r="Z3395">
        <v>2.5343050000000002E-3</v>
      </c>
      <c r="AA3395">
        <v>0.99914720000000001</v>
      </c>
      <c r="AB3395">
        <v>29</v>
      </c>
      <c r="AC3395">
        <v>20.165099999999899</v>
      </c>
      <c r="AD3395">
        <v>-1.1088869561669901</v>
      </c>
      <c r="AE3395">
        <v>0.317599999999998</v>
      </c>
      <c r="AF3395">
        <v>-0.84282377019314403</v>
      </c>
      <c r="AG3395">
        <v>-1.1088869561669901</v>
      </c>
      <c r="AH3395">
        <v>20.089141911708801</v>
      </c>
      <c r="AI3395">
        <v>93.156653557641704</v>
      </c>
      <c r="AJ3395">
        <v>92.402389422046795</v>
      </c>
      <c r="AK3395">
        <v>20.137368371709801</v>
      </c>
      <c r="AL3395">
        <v>82.482673949544093</v>
      </c>
      <c r="AM3395">
        <v>90.207108602352804</v>
      </c>
      <c r="AN3395">
        <v>1.00000003187943</v>
      </c>
    </row>
    <row r="3396" spans="1:40" x14ac:dyDescent="0.25">
      <c r="A3396" t="str">
        <f>"20190312164053738"</f>
        <v>20190312164053738</v>
      </c>
      <c r="B3396" t="str">
        <f>"1552380053729670"</f>
        <v>1552380053729670</v>
      </c>
      <c r="C3396" t="s">
        <v>40</v>
      </c>
      <c r="D3396">
        <v>5.8712280000000003</v>
      </c>
      <c r="E3396">
        <v>0.48783530000000003</v>
      </c>
      <c r="F3396" t="s">
        <v>49</v>
      </c>
      <c r="G3396">
        <v>-425.59109999999998</v>
      </c>
      <c r="H3396" s="1">
        <v>3.0735350000000002E-6</v>
      </c>
      <c r="I3396">
        <v>213.46449999999999</v>
      </c>
      <c r="J3396">
        <v>-445.62970000000001</v>
      </c>
      <c r="K3396">
        <v>1.1088880000000001</v>
      </c>
      <c r="L3396">
        <v>213.09979999999999</v>
      </c>
      <c r="M3396">
        <v>0.99962269999999998</v>
      </c>
      <c r="N3396">
        <v>0</v>
      </c>
      <c r="O3396">
        <v>-2.6748210000000001E-2</v>
      </c>
      <c r="P3396">
        <v>0.99187930000000002</v>
      </c>
      <c r="Q3396">
        <v>0.12523480000000001</v>
      </c>
      <c r="R3396">
        <v>-2.2183700000000001E-2</v>
      </c>
      <c r="S3396">
        <v>3.0463559999999998</v>
      </c>
      <c r="T3396">
        <v>-0.16598640000000001</v>
      </c>
      <c r="U3396">
        <v>5.3268429999999999E-2</v>
      </c>
      <c r="V3396">
        <v>-4.220082E-3</v>
      </c>
      <c r="W3396">
        <v>0.1314391</v>
      </c>
      <c r="X3396">
        <v>0.99131519999999995</v>
      </c>
      <c r="Y3396">
        <v>-4.4116580000000002E-2</v>
      </c>
      <c r="Z3396">
        <v>2.657122E-3</v>
      </c>
      <c r="AA3396">
        <v>0.99902279999999999</v>
      </c>
      <c r="AB3396">
        <v>29</v>
      </c>
      <c r="AC3396">
        <v>20.038599999999999</v>
      </c>
      <c r="AD3396">
        <v>-1.10888492646499</v>
      </c>
      <c r="AE3396">
        <v>0.36469999999999902</v>
      </c>
      <c r="AF3396">
        <v>-0.897828188350692</v>
      </c>
      <c r="AG3396">
        <v>-1.10888492646499</v>
      </c>
      <c r="AH3396">
        <v>19.9605710233668</v>
      </c>
      <c r="AI3396">
        <v>93.1765228279545</v>
      </c>
      <c r="AJ3396">
        <v>92.575433110005307</v>
      </c>
      <c r="AK3396">
        <v>20.011499614342</v>
      </c>
      <c r="AL3396">
        <v>82.4472392004499</v>
      </c>
      <c r="AM3396">
        <v>90.243909734445694</v>
      </c>
      <c r="AN3396">
        <v>0.99999993592596603</v>
      </c>
    </row>
    <row r="3397" spans="1:40" x14ac:dyDescent="0.25">
      <c r="A3397" t="str">
        <f>"20190312164053760"</f>
        <v>20190312164053760</v>
      </c>
      <c r="B3397" t="str">
        <f>"1552380053749194"</f>
        <v>1552380053749194</v>
      </c>
      <c r="C3397" t="s">
        <v>40</v>
      </c>
      <c r="D3397">
        <v>5.5987629999999999</v>
      </c>
      <c r="E3397">
        <v>0.4874636</v>
      </c>
      <c r="F3397" t="s">
        <v>49</v>
      </c>
      <c r="G3397">
        <v>-425.2817</v>
      </c>
      <c r="H3397" s="1">
        <v>3.1267309999999999E-6</v>
      </c>
      <c r="I3397">
        <v>213.4837</v>
      </c>
      <c r="J3397">
        <v>-445.33569999999997</v>
      </c>
      <c r="K3397">
        <v>1.1088990000000001</v>
      </c>
      <c r="L3397">
        <v>213.09139999999999</v>
      </c>
      <c r="M3397">
        <v>0.99960910000000003</v>
      </c>
      <c r="N3397">
        <v>0</v>
      </c>
      <c r="O3397">
        <v>-2.7249079999999998E-2</v>
      </c>
      <c r="P3397">
        <v>0.99179680000000003</v>
      </c>
      <c r="Q3397">
        <v>0.12580089999999999</v>
      </c>
      <c r="R3397">
        <v>-2.2661690000000002E-2</v>
      </c>
      <c r="S3397">
        <v>3.046783</v>
      </c>
      <c r="T3397">
        <v>-0.16603760000000001</v>
      </c>
      <c r="U3397">
        <v>5.7479860000000001E-2</v>
      </c>
      <c r="V3397">
        <v>-4.2405460000000004E-3</v>
      </c>
      <c r="W3397">
        <v>0.13202849999999999</v>
      </c>
      <c r="X3397">
        <v>0.99123689999999998</v>
      </c>
      <c r="Y3397">
        <v>-4.5991520000000001E-2</v>
      </c>
      <c r="Z3397">
        <v>2.735857E-3</v>
      </c>
      <c r="AA3397">
        <v>0.99893810000000005</v>
      </c>
      <c r="AB3397">
        <v>29</v>
      </c>
      <c r="AC3397">
        <v>20.053999999999899</v>
      </c>
      <c r="AD3397">
        <v>-1.108895873269</v>
      </c>
      <c r="AE3397">
        <v>0.39230000000000498</v>
      </c>
      <c r="AF3397">
        <v>-0.93575799522341896</v>
      </c>
      <c r="AG3397">
        <v>-1.108895873269</v>
      </c>
      <c r="AH3397">
        <v>19.974811672827201</v>
      </c>
      <c r="AI3397">
        <v>93.174023157428707</v>
      </c>
      <c r="AJ3397">
        <v>92.682168647965099</v>
      </c>
      <c r="AK3397">
        <v>20.027441035946001</v>
      </c>
      <c r="AL3397">
        <v>82.413173042135497</v>
      </c>
      <c r="AM3397">
        <v>90.245111846048403</v>
      </c>
      <c r="AN3397">
        <v>1.00000004948211</v>
      </c>
    </row>
    <row r="3398" spans="1:40" x14ac:dyDescent="0.25">
      <c r="A3398" t="str">
        <f>"20190312164053783"</f>
        <v>20190312164053783</v>
      </c>
      <c r="B3398" t="str">
        <f>"1552380053779446"</f>
        <v>1552380053779446</v>
      </c>
      <c r="C3398" t="s">
        <v>40</v>
      </c>
      <c r="D3398">
        <v>5.6359309999999896</v>
      </c>
      <c r="E3398">
        <v>0.4882841</v>
      </c>
      <c r="F3398" t="s">
        <v>49</v>
      </c>
      <c r="G3398">
        <v>-426.34390000000002</v>
      </c>
      <c r="H3398" s="1">
        <v>2.9397049999999999E-6</v>
      </c>
      <c r="I3398">
        <v>213.46789999999999</v>
      </c>
      <c r="J3398">
        <v>-445.03680000000003</v>
      </c>
      <c r="K3398">
        <v>1.108922</v>
      </c>
      <c r="L3398">
        <v>213.08279999999999</v>
      </c>
      <c r="M3398">
        <v>0.99959589999999998</v>
      </c>
      <c r="N3398">
        <v>0</v>
      </c>
      <c r="O3398">
        <v>-2.7721030000000001E-2</v>
      </c>
      <c r="P3398">
        <v>0.99188759999999998</v>
      </c>
      <c r="Q3398">
        <v>0.12502639999999901</v>
      </c>
      <c r="R3398">
        <v>-2.2971930000000002E-2</v>
      </c>
      <c r="S3398">
        <v>3.048737</v>
      </c>
      <c r="T3398">
        <v>-0.17801020000000001</v>
      </c>
      <c r="U3398">
        <v>6.0424800000000001E-2</v>
      </c>
      <c r="V3398">
        <v>-4.4092549999999999E-3</v>
      </c>
      <c r="W3398">
        <v>0.13127649999999999</v>
      </c>
      <c r="X3398">
        <v>0.99133599999999999</v>
      </c>
      <c r="Y3398">
        <v>-4.7396349999999997E-2</v>
      </c>
      <c r="Z3398">
        <v>2.9994140000000002E-3</v>
      </c>
      <c r="AA3398">
        <v>0.99887170000000003</v>
      </c>
      <c r="AB3398">
        <v>30</v>
      </c>
      <c r="AC3398">
        <v>18.692900000000002</v>
      </c>
      <c r="AD3398">
        <v>-1.1089190602950001</v>
      </c>
      <c r="AE3398">
        <v>0.385099999999994</v>
      </c>
      <c r="AF3398">
        <v>-0.89998280361401595</v>
      </c>
      <c r="AG3398">
        <v>-1.1089190602950001</v>
      </c>
      <c r="AH3398">
        <v>18.609577025490999</v>
      </c>
      <c r="AI3398">
        <v>93.406172655786094</v>
      </c>
      <c r="AJ3398">
        <v>92.768739561948706</v>
      </c>
      <c r="AK3398">
        <v>18.664298207989699</v>
      </c>
      <c r="AL3398">
        <v>82.456637510206093</v>
      </c>
      <c r="AM3398">
        <v>90.254837952412103</v>
      </c>
      <c r="AN3398">
        <v>1.0000000129389499</v>
      </c>
    </row>
    <row r="3399" spans="1:40" x14ac:dyDescent="0.25">
      <c r="A3399" t="str">
        <f>"20190312164053806"</f>
        <v>20190312164053806</v>
      </c>
      <c r="B3399" t="str">
        <f>"1552380053799942"</f>
        <v>1552380053799942</v>
      </c>
      <c r="C3399" t="s">
        <v>40</v>
      </c>
      <c r="D3399">
        <v>5.5733110000000003</v>
      </c>
      <c r="E3399">
        <v>0.48808180000000001</v>
      </c>
      <c r="F3399" t="s">
        <v>49</v>
      </c>
      <c r="G3399">
        <v>-427.96069999999997</v>
      </c>
      <c r="H3399" s="1">
        <v>2.6598189999999998E-6</v>
      </c>
      <c r="I3399">
        <v>213.3888</v>
      </c>
      <c r="J3399">
        <v>-444.73520000000002</v>
      </c>
      <c r="K3399">
        <v>1.108948</v>
      </c>
      <c r="L3399">
        <v>213.07400000000001</v>
      </c>
      <c r="M3399">
        <v>0.99958409999999998</v>
      </c>
      <c r="N3399">
        <v>0</v>
      </c>
      <c r="O3399">
        <v>-2.814113E-2</v>
      </c>
      <c r="P3399">
        <v>0.99195889999999998</v>
      </c>
      <c r="Q3399">
        <v>0.12437810000000001</v>
      </c>
      <c r="R3399">
        <v>-2.340567E-2</v>
      </c>
      <c r="S3399">
        <v>3.050751</v>
      </c>
      <c r="T3399">
        <v>-0.19811570000000001</v>
      </c>
      <c r="U3399">
        <v>5.4656980000000001E-2</v>
      </c>
      <c r="V3399">
        <v>-4.4058430000000004E-3</v>
      </c>
      <c r="W3399">
        <v>0.13064819999999999</v>
      </c>
      <c r="X3399">
        <v>0.99141900000000005</v>
      </c>
      <c r="Y3399">
        <v>-4.5887230000000001E-2</v>
      </c>
      <c r="Z3399">
        <v>3.3136580000000001E-3</v>
      </c>
      <c r="AA3399">
        <v>0.99894110000000003</v>
      </c>
      <c r="AB3399">
        <v>30</v>
      </c>
      <c r="AC3399">
        <v>16.7745</v>
      </c>
      <c r="AD3399">
        <v>-1.1089453401809899</v>
      </c>
      <c r="AE3399">
        <v>0.31479999999999098</v>
      </c>
      <c r="AF3399">
        <v>-0.78331588038792299</v>
      </c>
      <c r="AG3399">
        <v>-1.1089453401809899</v>
      </c>
      <c r="AH3399">
        <v>16.686098122513702</v>
      </c>
      <c r="AI3399">
        <v>93.798071928686099</v>
      </c>
      <c r="AJ3399">
        <v>92.687732530953198</v>
      </c>
      <c r="AK3399">
        <v>16.7412429075661</v>
      </c>
      <c r="AL3399">
        <v>82.492949080332906</v>
      </c>
      <c r="AM3399">
        <v>90.254619436721796</v>
      </c>
      <c r="AN3399">
        <v>0.99999999858838995</v>
      </c>
    </row>
    <row r="3400" spans="1:40" x14ac:dyDescent="0.25">
      <c r="A3400" t="str">
        <f>"20190312164053827"</f>
        <v>20190312164053827</v>
      </c>
      <c r="B3400" t="str">
        <f>"1552380053818994"</f>
        <v>1552380053818994</v>
      </c>
      <c r="C3400" t="s">
        <v>40</v>
      </c>
      <c r="D3400">
        <v>5.6559160000000004</v>
      </c>
      <c r="E3400">
        <v>0.48791380000000001</v>
      </c>
      <c r="F3400" t="s">
        <v>49</v>
      </c>
      <c r="G3400">
        <v>-427.7022</v>
      </c>
      <c r="H3400" s="1">
        <v>2.7062839999999998E-6</v>
      </c>
      <c r="I3400">
        <v>213.3818</v>
      </c>
      <c r="J3400">
        <v>-444.44110000000001</v>
      </c>
      <c r="K3400">
        <v>1.1089899999999999</v>
      </c>
      <c r="L3400">
        <v>213.06540000000001</v>
      </c>
      <c r="M3400">
        <v>0.99957450000000003</v>
      </c>
      <c r="N3400">
        <v>0</v>
      </c>
      <c r="O3400">
        <v>-2.8475170000000001E-2</v>
      </c>
      <c r="P3400">
        <v>0.99209429999999998</v>
      </c>
      <c r="Q3400">
        <v>0.1232833</v>
      </c>
      <c r="R3400">
        <v>-2.3469790000000001E-2</v>
      </c>
      <c r="S3400">
        <v>3.0505070000000001</v>
      </c>
      <c r="T3400">
        <v>-0.19860549999999999</v>
      </c>
      <c r="U3400">
        <v>5.5114749999999997E-2</v>
      </c>
      <c r="V3400">
        <v>-4.692524E-3</v>
      </c>
      <c r="W3400">
        <v>0.1295703</v>
      </c>
      <c r="X3400">
        <v>0.99155910000000003</v>
      </c>
      <c r="Y3400">
        <v>-4.6369809999999997E-2</v>
      </c>
      <c r="Z3400">
        <v>3.359506E-3</v>
      </c>
      <c r="AA3400">
        <v>0.99891870000000005</v>
      </c>
      <c r="AB3400">
        <v>30</v>
      </c>
      <c r="AC3400">
        <v>16.738900000000001</v>
      </c>
      <c r="AD3400">
        <v>-1.1089872937159999</v>
      </c>
      <c r="AE3400">
        <v>0.31639999999998702</v>
      </c>
      <c r="AF3400">
        <v>-0.78946027444634503</v>
      </c>
      <c r="AG3400">
        <v>-1.1089872937159999</v>
      </c>
      <c r="AH3400">
        <v>16.650045758525501</v>
      </c>
      <c r="AI3400">
        <v>93.806331234448095</v>
      </c>
      <c r="AJ3400">
        <v>92.714640615262994</v>
      </c>
      <c r="AK3400">
        <v>16.705601578618602</v>
      </c>
      <c r="AL3400">
        <v>82.555237431468996</v>
      </c>
      <c r="AM3400">
        <v>90.271148551128206</v>
      </c>
      <c r="AN3400">
        <v>0.99999996560819404</v>
      </c>
    </row>
    <row r="3401" spans="1:40" x14ac:dyDescent="0.25">
      <c r="A3401" t="str">
        <f>"20190312164053850"</f>
        <v>20190312164053850</v>
      </c>
      <c r="B3401" t="str">
        <f>"1552380053839490"</f>
        <v>1552380053839490</v>
      </c>
      <c r="C3401" t="s">
        <v>40</v>
      </c>
      <c r="D3401">
        <v>5.5544169999999999</v>
      </c>
      <c r="E3401">
        <v>0.48788130000000002</v>
      </c>
      <c r="F3401" t="s">
        <v>49</v>
      </c>
      <c r="G3401">
        <v>-427.62349999999998</v>
      </c>
      <c r="H3401" s="1">
        <v>2.7208089999999999E-6</v>
      </c>
      <c r="I3401">
        <v>213.37540000000001</v>
      </c>
      <c r="J3401">
        <v>-444.14819999999997</v>
      </c>
      <c r="K3401">
        <v>1.1090390000000001</v>
      </c>
      <c r="L3401">
        <v>213.05670000000001</v>
      </c>
      <c r="M3401">
        <v>0.99956739999999999</v>
      </c>
      <c r="N3401">
        <v>0</v>
      </c>
      <c r="O3401">
        <v>-2.87234E-2</v>
      </c>
      <c r="P3401">
        <v>0.99213910000000005</v>
      </c>
      <c r="Q3401">
        <v>0.1228843</v>
      </c>
      <c r="R3401">
        <v>-2.366532E-2</v>
      </c>
      <c r="S3401">
        <v>3.050262</v>
      </c>
      <c r="T3401">
        <v>-0.2011405</v>
      </c>
      <c r="U3401">
        <v>5.6228640000000003E-2</v>
      </c>
      <c r="V3401">
        <v>-4.763214E-3</v>
      </c>
      <c r="W3401">
        <v>0.1291863</v>
      </c>
      <c r="X3401">
        <v>0.99160890000000002</v>
      </c>
      <c r="Y3401">
        <v>-4.6978029999999997E-2</v>
      </c>
      <c r="Z3401">
        <v>3.4389350000000002E-3</v>
      </c>
      <c r="AA3401">
        <v>0.99888999999999994</v>
      </c>
      <c r="AB3401">
        <v>30</v>
      </c>
      <c r="AC3401">
        <v>16.5246999999999</v>
      </c>
      <c r="AD3401">
        <v>-1.10903627919099</v>
      </c>
      <c r="AE3401">
        <v>0.31870000000000598</v>
      </c>
      <c r="AF3401">
        <v>-0.78966799999286696</v>
      </c>
      <c r="AG3401">
        <v>-1.10903627919099</v>
      </c>
      <c r="AH3401">
        <v>16.4347283568104</v>
      </c>
      <c r="AI3401">
        <v>93.856103662312606</v>
      </c>
      <c r="AJ3401">
        <v>92.750874385988297</v>
      </c>
      <c r="AK3401">
        <v>16.491022805785001</v>
      </c>
      <c r="AL3401">
        <v>82.577425748066602</v>
      </c>
      <c r="AM3401">
        <v>90.275219353220905</v>
      </c>
      <c r="AN3401">
        <v>0.99999999943725404</v>
      </c>
    </row>
    <row r="3402" spans="1:40" x14ac:dyDescent="0.25">
      <c r="A3402" t="str">
        <f>"20190312164053871"</f>
        <v>20190312164053871</v>
      </c>
      <c r="B3402" t="str">
        <f>"1552380053859991"</f>
        <v>1552380053859991</v>
      </c>
      <c r="C3402" t="s">
        <v>40</v>
      </c>
      <c r="D3402">
        <v>5.6107449999999996</v>
      </c>
      <c r="E3402">
        <v>0.48788320000000002</v>
      </c>
      <c r="F3402" t="s">
        <v>49</v>
      </c>
      <c r="G3402">
        <v>-427.40789999999998</v>
      </c>
      <c r="H3402" s="1">
        <v>2.7602510000000002E-6</v>
      </c>
      <c r="I3402">
        <v>213.36160000000001</v>
      </c>
      <c r="J3402">
        <v>-443.85759999999999</v>
      </c>
      <c r="K3402">
        <v>1.1090960000000001</v>
      </c>
      <c r="L3402">
        <v>213.04820000000001</v>
      </c>
      <c r="M3402">
        <v>0.99956259999999997</v>
      </c>
      <c r="N3402">
        <v>0</v>
      </c>
      <c r="O3402">
        <v>-2.8887670000000001E-2</v>
      </c>
      <c r="P3402">
        <v>0.99220059999999999</v>
      </c>
      <c r="Q3402">
        <v>0.122271699999999</v>
      </c>
      <c r="R3402">
        <v>-2.4249400000000001E-2</v>
      </c>
      <c r="S3402">
        <v>3.0501100000000001</v>
      </c>
      <c r="T3402">
        <v>-0.20206859999999999</v>
      </c>
      <c r="U3402">
        <v>5.5541989999999999E-2</v>
      </c>
      <c r="V3402">
        <v>-4.3640110000000001E-3</v>
      </c>
      <c r="W3402">
        <v>0.1285868</v>
      </c>
      <c r="X3402">
        <v>0.99168869999999998</v>
      </c>
      <c r="Y3402">
        <v>-4.6916560000000003E-2</v>
      </c>
      <c r="Z3402">
        <v>3.463781E-3</v>
      </c>
      <c r="AA3402">
        <v>0.99889280000000003</v>
      </c>
      <c r="AB3402">
        <v>30</v>
      </c>
      <c r="AC3402">
        <v>16.4497</v>
      </c>
      <c r="AD3402">
        <v>-1.1090932397490001</v>
      </c>
      <c r="AE3402">
        <v>0.31340000000000101</v>
      </c>
      <c r="AF3402">
        <v>-0.78490542831962995</v>
      </c>
      <c r="AG3402">
        <v>-1.1090932397490001</v>
      </c>
      <c r="AH3402">
        <v>16.359439658786702</v>
      </c>
      <c r="AI3402">
        <v>93.874007448802402</v>
      </c>
      <c r="AJ3402">
        <v>92.746873312236701</v>
      </c>
      <c r="AK3402">
        <v>16.415767733960699</v>
      </c>
      <c r="AL3402">
        <v>82.612063798688894</v>
      </c>
      <c r="AM3402">
        <v>90.252133353995205</v>
      </c>
      <c r="AN3402">
        <v>1.0000000437169601</v>
      </c>
    </row>
    <row r="3403" spans="1:40" x14ac:dyDescent="0.25">
      <c r="A3403" t="str">
        <f>"20190312164053894"</f>
        <v>20190312164053894</v>
      </c>
      <c r="B3403" t="str">
        <f>"1552380053889266"</f>
        <v>1552380053889266</v>
      </c>
      <c r="C3403" t="s">
        <v>40</v>
      </c>
      <c r="D3403">
        <v>5.5583559999999999</v>
      </c>
      <c r="E3403">
        <v>0.48789939999999998</v>
      </c>
      <c r="F3403" t="s">
        <v>49</v>
      </c>
      <c r="G3403">
        <v>-427.5154</v>
      </c>
      <c r="H3403" s="1">
        <v>2.7435300000000001E-6</v>
      </c>
      <c r="I3403">
        <v>213.3348</v>
      </c>
      <c r="J3403">
        <v>-443.55180000000001</v>
      </c>
      <c r="K3403">
        <v>1.1091530000000001</v>
      </c>
      <c r="L3403">
        <v>213.0393</v>
      </c>
      <c r="M3403">
        <v>0.99955950000000005</v>
      </c>
      <c r="N3403">
        <v>0</v>
      </c>
      <c r="O3403">
        <v>-2.898831E-2</v>
      </c>
      <c r="P3403">
        <v>0.99232629999999999</v>
      </c>
      <c r="Q3403">
        <v>0.12117360000000001</v>
      </c>
      <c r="R3403">
        <v>-2.461319E-2</v>
      </c>
      <c r="S3403">
        <v>3.0504150000000001</v>
      </c>
      <c r="T3403">
        <v>-0.2070215</v>
      </c>
      <c r="U3403">
        <v>5.3497309999999999E-2</v>
      </c>
      <c r="V3403">
        <v>-4.1229530000000004E-3</v>
      </c>
      <c r="W3403">
        <v>0.1275019</v>
      </c>
      <c r="X3403">
        <v>0.99182979999999998</v>
      </c>
      <c r="Y3403">
        <v>-4.6338860000000003E-2</v>
      </c>
      <c r="Z3403">
        <v>3.535392E-3</v>
      </c>
      <c r="AA3403">
        <v>0.99891949999999996</v>
      </c>
      <c r="AB3403">
        <v>30</v>
      </c>
      <c r="AC3403">
        <v>16.0364</v>
      </c>
      <c r="AD3403">
        <v>-1.10915025647</v>
      </c>
      <c r="AE3403">
        <v>0.29550000000000398</v>
      </c>
      <c r="AF3403">
        <v>-0.75663504381459601</v>
      </c>
      <c r="AG3403">
        <v>-1.10915025647</v>
      </c>
      <c r="AH3403">
        <v>15.944844221061601</v>
      </c>
      <c r="AI3403">
        <v>93.9747228370031</v>
      </c>
      <c r="AJ3403">
        <v>92.716834215447804</v>
      </c>
      <c r="AK3403">
        <v>16.001273952872499</v>
      </c>
      <c r="AL3403">
        <v>82.674739904937397</v>
      </c>
      <c r="AM3403">
        <v>90.238172361202203</v>
      </c>
      <c r="AN3403">
        <v>1.0000000427065401</v>
      </c>
    </row>
    <row r="3404" spans="1:40" x14ac:dyDescent="0.25">
      <c r="A3404" t="str">
        <f>"20190312164053916"</f>
        <v>20190312164053916</v>
      </c>
      <c r="B3404" t="str">
        <f>"1552380053909761"</f>
        <v>1552380053909761</v>
      </c>
      <c r="C3404" t="s">
        <v>40</v>
      </c>
      <c r="D3404">
        <v>5.6777749999999996</v>
      </c>
      <c r="E3404">
        <v>0.48777330000000002</v>
      </c>
      <c r="F3404" t="s">
        <v>49</v>
      </c>
      <c r="G3404">
        <v>-427.7149</v>
      </c>
      <c r="H3404" s="1">
        <v>2.7101940000000002E-6</v>
      </c>
      <c r="I3404">
        <v>213.31129999999999</v>
      </c>
      <c r="J3404">
        <v>-443.24669999999998</v>
      </c>
      <c r="K3404">
        <v>1.1092010000000001</v>
      </c>
      <c r="L3404">
        <v>213.03030000000001</v>
      </c>
      <c r="M3404">
        <v>0.99955819999999995</v>
      </c>
      <c r="N3404">
        <v>0</v>
      </c>
      <c r="O3404">
        <v>-2.902826E-2</v>
      </c>
      <c r="P3404">
        <v>0.99244920000000003</v>
      </c>
      <c r="Q3404">
        <v>0.1200392</v>
      </c>
      <c r="R3404">
        <v>-2.5202860000000001E-2</v>
      </c>
      <c r="S3404">
        <v>3.0506289999999998</v>
      </c>
      <c r="T3404">
        <v>-0.21365390000000001</v>
      </c>
      <c r="U3404">
        <v>5.2398680000000003E-2</v>
      </c>
      <c r="V3404">
        <v>-3.5918859999999999E-3</v>
      </c>
      <c r="W3404">
        <v>0.12637860000000001</v>
      </c>
      <c r="X3404">
        <v>0.99197559999999996</v>
      </c>
      <c r="Y3404">
        <v>-4.6007390000000002E-2</v>
      </c>
      <c r="Z3404">
        <v>3.6393390000000001E-3</v>
      </c>
      <c r="AA3404">
        <v>0.9989344</v>
      </c>
      <c r="AB3404">
        <v>30</v>
      </c>
      <c r="AC3404">
        <v>15.531799999999899</v>
      </c>
      <c r="AD3404">
        <v>-1.109198289806</v>
      </c>
      <c r="AE3404">
        <v>0.28099999999997699</v>
      </c>
      <c r="AF3404">
        <v>-0.72804006896172702</v>
      </c>
      <c r="AG3404">
        <v>-1.109198289806</v>
      </c>
      <c r="AH3404">
        <v>15.438386542789001</v>
      </c>
      <c r="AI3404">
        <v>94.1049095492953</v>
      </c>
      <c r="AJ3404">
        <v>92.699941645023799</v>
      </c>
      <c r="AK3404">
        <v>15.4952941963904</v>
      </c>
      <c r="AL3404">
        <v>82.739624998681293</v>
      </c>
      <c r="AM3404">
        <v>90.207463781236001</v>
      </c>
      <c r="AN3404">
        <v>1.00000002158917</v>
      </c>
    </row>
    <row r="3405" spans="1:40" x14ac:dyDescent="0.25">
      <c r="A3405" t="str">
        <f>"20190312164053939"</f>
        <v>20190312164053939</v>
      </c>
      <c r="B3405" t="str">
        <f>"1552380053929284"</f>
        <v>1552380053929284</v>
      </c>
      <c r="C3405" t="s">
        <v>40</v>
      </c>
      <c r="D3405">
        <v>5.5326839999999997</v>
      </c>
      <c r="E3405">
        <v>0.48805419999999999</v>
      </c>
      <c r="F3405" t="s">
        <v>49</v>
      </c>
      <c r="G3405">
        <v>-427.7183</v>
      </c>
      <c r="H3405" s="1">
        <v>2.71114E-6</v>
      </c>
      <c r="I3405">
        <v>213.2936</v>
      </c>
      <c r="J3405">
        <v>-442.94319999999999</v>
      </c>
      <c r="K3405">
        <v>1.1092299999999999</v>
      </c>
      <c r="L3405">
        <v>213.0215</v>
      </c>
      <c r="M3405">
        <v>0.99955850000000002</v>
      </c>
      <c r="N3405">
        <v>0</v>
      </c>
      <c r="O3405">
        <v>-2.901608E-2</v>
      </c>
      <c r="P3405">
        <v>0.9925756</v>
      </c>
      <c r="Q3405">
        <v>0.11903850000000001</v>
      </c>
      <c r="R3405">
        <v>-2.497632E-2</v>
      </c>
      <c r="S3405">
        <v>3.0505369999999998</v>
      </c>
      <c r="T3405">
        <v>-0.21789990000000001</v>
      </c>
      <c r="U3405">
        <v>5.1727290000000002E-2</v>
      </c>
      <c r="V3405">
        <v>-3.8213079999999998E-3</v>
      </c>
      <c r="W3405">
        <v>0.12538840000000001</v>
      </c>
      <c r="X3405">
        <v>0.99210039999999999</v>
      </c>
      <c r="Y3405">
        <v>-4.5769209999999998E-2</v>
      </c>
      <c r="Z3405">
        <v>3.7022359999999998E-3</v>
      </c>
      <c r="AA3405">
        <v>0.99894519999999998</v>
      </c>
      <c r="AB3405">
        <v>30</v>
      </c>
      <c r="AC3405">
        <v>15.2248999999999</v>
      </c>
      <c r="AD3405">
        <v>-1.1092272888600001</v>
      </c>
      <c r="AE3405">
        <v>0.27209999999999401</v>
      </c>
      <c r="AF3405">
        <v>-0.70999391544201296</v>
      </c>
      <c r="AG3405">
        <v>-1.1092272888600001</v>
      </c>
      <c r="AH3405">
        <v>15.130307514913101</v>
      </c>
      <c r="AI3405">
        <v>94.188352734884006</v>
      </c>
      <c r="AJ3405">
        <v>92.686649663962001</v>
      </c>
      <c r="AK3405">
        <v>15.1875173097564</v>
      </c>
      <c r="AL3405">
        <v>82.796814269018995</v>
      </c>
      <c r="AM3405">
        <v>90.220687077521603</v>
      </c>
      <c r="AN3405">
        <v>1.0000000284647701</v>
      </c>
    </row>
    <row r="3406" spans="1:40" x14ac:dyDescent="0.25">
      <c r="A3406" t="str">
        <f>"20190312164053960"</f>
        <v>20190312164053960</v>
      </c>
      <c r="B3406" t="str">
        <f>"1552380053949777"</f>
        <v>1552380053949777</v>
      </c>
      <c r="C3406" t="s">
        <v>40</v>
      </c>
      <c r="D3406">
        <v>5.6383460000000003</v>
      </c>
      <c r="E3406">
        <v>0.48869489999999999</v>
      </c>
      <c r="F3406" t="s">
        <v>49</v>
      </c>
      <c r="G3406">
        <v>-427.73399999999998</v>
      </c>
      <c r="H3406" s="1">
        <v>2.7104139999999999E-6</v>
      </c>
      <c r="I3406">
        <v>213.26990000000001</v>
      </c>
      <c r="J3406">
        <v>-442.64769999999999</v>
      </c>
      <c r="K3406">
        <v>1.1092569999999999</v>
      </c>
      <c r="L3406">
        <v>213.01300000000001</v>
      </c>
      <c r="M3406">
        <v>0.9995598</v>
      </c>
      <c r="N3406">
        <v>0</v>
      </c>
      <c r="O3406">
        <v>-2.8968210000000001E-2</v>
      </c>
      <c r="P3406">
        <v>0.99265639999999999</v>
      </c>
      <c r="Q3406">
        <v>0.1184644</v>
      </c>
      <c r="R3406">
        <v>-2.4481159999999998E-2</v>
      </c>
      <c r="S3406">
        <v>3.0503849999999999</v>
      </c>
      <c r="T3406">
        <v>-0.2224698</v>
      </c>
      <c r="U3406">
        <v>4.9819950000000002E-2</v>
      </c>
      <c r="V3406">
        <v>-4.2785999999999996E-3</v>
      </c>
      <c r="W3406">
        <v>0.12482360000000001</v>
      </c>
      <c r="X3406">
        <v>0.99216970000000004</v>
      </c>
      <c r="Y3406">
        <v>-4.5091609999999997E-2</v>
      </c>
      <c r="Z3406">
        <v>3.751721E-3</v>
      </c>
      <c r="AA3406">
        <v>0.99897579999999997</v>
      </c>
      <c r="AB3406">
        <v>30</v>
      </c>
      <c r="AC3406">
        <v>14.913699999999899</v>
      </c>
      <c r="AD3406">
        <v>-1.109254289586</v>
      </c>
      <c r="AE3406">
        <v>0.25690000000000102</v>
      </c>
      <c r="AF3406">
        <v>-0.68503567009725597</v>
      </c>
      <c r="AG3406">
        <v>-1.109254289586</v>
      </c>
      <c r="AH3406">
        <v>14.818048002767</v>
      </c>
      <c r="AI3406">
        <v>94.276530926848906</v>
      </c>
      <c r="AJ3406">
        <v>92.646888922486696</v>
      </c>
      <c r="AK3406">
        <v>14.8752904361756</v>
      </c>
      <c r="AL3406">
        <v>82.829430802171402</v>
      </c>
      <c r="AM3406">
        <v>90.247078904569705</v>
      </c>
      <c r="AN3406">
        <v>0.999999975566504</v>
      </c>
    </row>
    <row r="3407" spans="1:40" x14ac:dyDescent="0.25">
      <c r="A3407" t="str">
        <f>"20190312164053983"</f>
        <v>20190312164053983</v>
      </c>
      <c r="B3407" t="str">
        <f>"1552380053979058"</f>
        <v>1552380053979058</v>
      </c>
      <c r="C3407" t="s">
        <v>40</v>
      </c>
      <c r="D3407">
        <v>5.6014569999999999</v>
      </c>
      <c r="E3407">
        <v>0.48951519999999998</v>
      </c>
      <c r="F3407" t="s">
        <v>49</v>
      </c>
      <c r="G3407">
        <v>-427.71190000000001</v>
      </c>
      <c r="H3407" s="1">
        <v>2.7172539999999998E-6</v>
      </c>
      <c r="I3407">
        <v>213.23660000000001</v>
      </c>
      <c r="J3407">
        <v>-442.3372</v>
      </c>
      <c r="K3407">
        <v>1.1092770000000001</v>
      </c>
      <c r="L3407">
        <v>213.00399999999999</v>
      </c>
      <c r="M3407">
        <v>0.99956179999999994</v>
      </c>
      <c r="N3407">
        <v>0</v>
      </c>
      <c r="O3407">
        <v>-2.8897860000000001E-2</v>
      </c>
      <c r="P3407">
        <v>0.99267640000000001</v>
      </c>
      <c r="Q3407">
        <v>0.11840249999999999</v>
      </c>
      <c r="R3407">
        <v>-2.3970330000000001E-2</v>
      </c>
      <c r="S3407">
        <v>3.0503230000000001</v>
      </c>
      <c r="T3407">
        <v>-0.22654189999999999</v>
      </c>
      <c r="U3407">
        <v>4.5669559999999998E-2</v>
      </c>
      <c r="V3407">
        <v>-4.7266599999999997E-3</v>
      </c>
      <c r="W3407">
        <v>0.12477009999999999</v>
      </c>
      <c r="X3407">
        <v>0.99217440000000001</v>
      </c>
      <c r="Y3407">
        <v>-4.3659539999999997E-2</v>
      </c>
      <c r="Z3407">
        <v>3.761992E-3</v>
      </c>
      <c r="AA3407">
        <v>0.99903940000000002</v>
      </c>
      <c r="AB3407">
        <v>30</v>
      </c>
      <c r="AC3407">
        <v>14.6252999999999</v>
      </c>
      <c r="AD3407">
        <v>-1.109274282746</v>
      </c>
      <c r="AE3407">
        <v>0.23259999999999001</v>
      </c>
      <c r="AF3407">
        <v>-0.651405056228199</v>
      </c>
      <c r="AG3407">
        <v>-1.109274282746</v>
      </c>
      <c r="AH3407">
        <v>14.5289113208636</v>
      </c>
      <c r="AI3407">
        <v>94.361665697410302</v>
      </c>
      <c r="AJ3407">
        <v>92.567142245968398</v>
      </c>
      <c r="AK3407">
        <v>14.585749283158499</v>
      </c>
      <c r="AL3407">
        <v>82.832520308013002</v>
      </c>
      <c r="AM3407">
        <v>90.272951630755301</v>
      </c>
      <c r="AN3407">
        <v>0.99999997959206199</v>
      </c>
    </row>
    <row r="3408" spans="1:40" x14ac:dyDescent="0.25">
      <c r="A3408" t="str">
        <f>"20190312164054007"</f>
        <v>20190312164054007</v>
      </c>
      <c r="B3408" t="str">
        <f>"1552380053999554"</f>
        <v>1552380053999554</v>
      </c>
      <c r="C3408" t="s">
        <v>40</v>
      </c>
      <c r="D3408">
        <v>5.7075670000000001</v>
      </c>
      <c r="E3408">
        <v>0.49003629999999998</v>
      </c>
      <c r="F3408" t="s">
        <v>49</v>
      </c>
      <c r="G3408">
        <v>-427.60399999999998</v>
      </c>
      <c r="H3408" s="1">
        <v>2.739547E-6</v>
      </c>
      <c r="I3408">
        <v>213.20060000000001</v>
      </c>
      <c r="J3408">
        <v>-442.01609999999999</v>
      </c>
      <c r="K3408">
        <v>1.109286</v>
      </c>
      <c r="L3408">
        <v>212.9948</v>
      </c>
      <c r="M3408">
        <v>0.99956409999999996</v>
      </c>
      <c r="N3408">
        <v>0</v>
      </c>
      <c r="O3408">
        <v>-2.8816100000000001E-2</v>
      </c>
      <c r="P3408">
        <v>0.99282320000000002</v>
      </c>
      <c r="Q3408">
        <v>0.11736829999999999</v>
      </c>
      <c r="R3408">
        <v>-2.295676E-2</v>
      </c>
      <c r="S3408">
        <v>3.050446</v>
      </c>
      <c r="T3408">
        <v>-0.22967000000000001</v>
      </c>
      <c r="U3408">
        <v>4.0695189999999999E-2</v>
      </c>
      <c r="V3408">
        <v>-5.6674530000000002E-3</v>
      </c>
      <c r="W3408">
        <v>0.1237444</v>
      </c>
      <c r="X3408">
        <v>0.99229789999999995</v>
      </c>
      <c r="Y3408">
        <v>-4.1947890000000002E-2</v>
      </c>
      <c r="Z3408">
        <v>3.7431859999999999E-3</v>
      </c>
      <c r="AA3408">
        <v>0.99911280000000002</v>
      </c>
      <c r="AB3408">
        <v>31</v>
      </c>
      <c r="AC3408">
        <v>14.412099999999899</v>
      </c>
      <c r="AD3408">
        <v>-1.1092832604530001</v>
      </c>
      <c r="AE3408">
        <v>0.20580000000001</v>
      </c>
      <c r="AF3408">
        <v>-0.61736694765169897</v>
      </c>
      <c r="AG3408">
        <v>-1.1092832604530001</v>
      </c>
      <c r="AH3408">
        <v>14.315394263478099</v>
      </c>
      <c r="AI3408">
        <v>94.426830622147307</v>
      </c>
      <c r="AJ3408">
        <v>92.469412647261393</v>
      </c>
      <c r="AK3408">
        <v>14.3715748691226</v>
      </c>
      <c r="AL3408">
        <v>82.891747458443703</v>
      </c>
      <c r="AM3408">
        <v>90.327238026699007</v>
      </c>
      <c r="AN3408">
        <v>0.99999995944963704</v>
      </c>
    </row>
    <row r="3409" spans="1:40" x14ac:dyDescent="0.25">
      <c r="A3409" t="str">
        <f>"20190312164054029"</f>
        <v>20190312164054029</v>
      </c>
      <c r="B3409" t="str">
        <f>"1552380054019073"</f>
        <v>1552380054019073</v>
      </c>
      <c r="C3409" t="s">
        <v>40</v>
      </c>
      <c r="D3409">
        <v>5.6585400000000003</v>
      </c>
      <c r="E3409">
        <v>0.49026609999999998</v>
      </c>
      <c r="F3409" t="s">
        <v>49</v>
      </c>
      <c r="G3409">
        <v>-427.55720000000002</v>
      </c>
      <c r="H3409" s="1">
        <v>2.7493309999999999E-6</v>
      </c>
      <c r="I3409">
        <v>213.18369999999999</v>
      </c>
      <c r="J3409">
        <v>-441.7022</v>
      </c>
      <c r="K3409">
        <v>1.109283</v>
      </c>
      <c r="L3409">
        <v>212.98580000000001</v>
      </c>
      <c r="M3409">
        <v>0.99956659999999997</v>
      </c>
      <c r="N3409">
        <v>0</v>
      </c>
      <c r="O3409">
        <v>-2.873438E-2</v>
      </c>
      <c r="P3409">
        <v>0.99294830000000001</v>
      </c>
      <c r="Q3409">
        <v>0.11645510000000001</v>
      </c>
      <c r="R3409">
        <v>-2.2181360000000001E-2</v>
      </c>
      <c r="S3409">
        <v>3.0502929999999999</v>
      </c>
      <c r="T3409">
        <v>-0.23401810000000001</v>
      </c>
      <c r="U3409">
        <v>3.98407E-2</v>
      </c>
      <c r="V3409">
        <v>-6.3679829999999998E-3</v>
      </c>
      <c r="W3409">
        <v>0.12283910000000001</v>
      </c>
      <c r="X3409">
        <v>0.99240620000000002</v>
      </c>
      <c r="Y3409">
        <v>-4.1580689999999997E-2</v>
      </c>
      <c r="Z3409">
        <v>3.7937159999999999E-3</v>
      </c>
      <c r="AA3409">
        <v>0.99912789999999996</v>
      </c>
      <c r="AB3409">
        <v>31</v>
      </c>
      <c r="AC3409">
        <v>14.1449999999999</v>
      </c>
      <c r="AD3409">
        <v>-1.109280250669</v>
      </c>
      <c r="AE3409">
        <v>0.19789999999997501</v>
      </c>
      <c r="AF3409">
        <v>-0.60058154040971101</v>
      </c>
      <c r="AG3409">
        <v>-1.109280250669</v>
      </c>
      <c r="AH3409">
        <v>14.047099330994101</v>
      </c>
      <c r="AI3409">
        <v>94.511095184125594</v>
      </c>
      <c r="AJ3409">
        <v>92.448181101515502</v>
      </c>
      <c r="AK3409">
        <v>14.103623664718899</v>
      </c>
      <c r="AL3409">
        <v>82.944016622728995</v>
      </c>
      <c r="AM3409">
        <v>90.367645367846393</v>
      </c>
      <c r="AN3409">
        <v>1.00000003074736</v>
      </c>
    </row>
    <row r="3410" spans="1:40" x14ac:dyDescent="0.25">
      <c r="A3410" t="str">
        <f>"20190312164054051"</f>
        <v>20190312164054051</v>
      </c>
      <c r="B3410" t="str">
        <f>"1552380054039569"</f>
        <v>1552380054039569</v>
      </c>
      <c r="C3410" t="s">
        <v>40</v>
      </c>
      <c r="D3410">
        <v>5.6366440000000004</v>
      </c>
      <c r="E3410">
        <v>0.49066520000000002</v>
      </c>
      <c r="F3410" t="s">
        <v>49</v>
      </c>
      <c r="G3410">
        <v>-427.43970000000002</v>
      </c>
      <c r="H3410" s="1">
        <v>2.7708889999999999E-6</v>
      </c>
      <c r="I3410">
        <v>213.1754</v>
      </c>
      <c r="J3410">
        <v>-441.4042</v>
      </c>
      <c r="K3410">
        <v>1.109281</v>
      </c>
      <c r="L3410">
        <v>212.97730000000001</v>
      </c>
      <c r="M3410">
        <v>0.99956860000000003</v>
      </c>
      <c r="N3410">
        <v>0</v>
      </c>
      <c r="O3410">
        <v>-2.8657450000000001E-2</v>
      </c>
      <c r="P3410">
        <v>0.99307900000000005</v>
      </c>
      <c r="Q3410">
        <v>0.11543440000000001</v>
      </c>
      <c r="R3410">
        <v>-2.1665719999999999E-2</v>
      </c>
      <c r="S3410">
        <v>3.0500180000000001</v>
      </c>
      <c r="T3410">
        <v>-0.23721739999999999</v>
      </c>
      <c r="U3410">
        <v>4.0557860000000001E-2</v>
      </c>
      <c r="V3410">
        <v>-6.8127190000000001E-3</v>
      </c>
      <c r="W3410">
        <v>0.1218249</v>
      </c>
      <c r="X3410">
        <v>0.99252819999999997</v>
      </c>
      <c r="Y3410">
        <v>-4.1733909999999999E-2</v>
      </c>
      <c r="Z3410">
        <v>3.8457439999999999E-3</v>
      </c>
      <c r="AA3410">
        <v>0.99912140000000005</v>
      </c>
      <c r="AB3410">
        <v>31</v>
      </c>
      <c r="AC3410">
        <v>13.9644999999999</v>
      </c>
      <c r="AD3410">
        <v>-1.1092782291109999</v>
      </c>
      <c r="AE3410">
        <v>0.19809999999998201</v>
      </c>
      <c r="AF3410">
        <v>-0.59446355514821703</v>
      </c>
      <c r="AG3410">
        <v>-1.1092782291109999</v>
      </c>
      <c r="AH3410">
        <v>13.865612676267499</v>
      </c>
      <c r="AI3410">
        <v>94.569860987201196</v>
      </c>
      <c r="AJ3410">
        <v>92.454951518813601</v>
      </c>
      <c r="AK3410">
        <v>13.922611105545201</v>
      </c>
      <c r="AL3410">
        <v>83.002565349984394</v>
      </c>
      <c r="AM3410">
        <v>90.393272368127398</v>
      </c>
      <c r="AN3410">
        <v>0.99999997359771098</v>
      </c>
    </row>
    <row r="3411" spans="1:40" x14ac:dyDescent="0.25">
      <c r="A3411" t="str">
        <f>"20190312164054072"</f>
        <v>20190312164054072</v>
      </c>
      <c r="B3411" t="str">
        <f>"1552380054069825"</f>
        <v>1552380054069825</v>
      </c>
      <c r="C3411" t="s">
        <v>40</v>
      </c>
      <c r="D3411">
        <v>5.5492949999999999</v>
      </c>
      <c r="E3411">
        <v>0.4913613</v>
      </c>
      <c r="F3411" t="s">
        <v>49</v>
      </c>
      <c r="G3411">
        <v>-427.541</v>
      </c>
      <c r="H3411" s="1">
        <v>2.7545000000000001E-6</v>
      </c>
      <c r="I3411">
        <v>213.15729999999999</v>
      </c>
      <c r="J3411">
        <v>-441.1148</v>
      </c>
      <c r="K3411">
        <v>1.1092839999999999</v>
      </c>
      <c r="L3411">
        <v>212.9691</v>
      </c>
      <c r="M3411">
        <v>0.99957070000000003</v>
      </c>
      <c r="N3411">
        <v>0</v>
      </c>
      <c r="O3411">
        <v>-2.8584479999999999E-2</v>
      </c>
      <c r="P3411">
        <v>0.99315909999999996</v>
      </c>
      <c r="Q3411">
        <v>0.114784</v>
      </c>
      <c r="R3411">
        <v>-2.1440310000000001E-2</v>
      </c>
      <c r="S3411">
        <v>3.0501399999999999</v>
      </c>
      <c r="T3411">
        <v>-0.24405969999999999</v>
      </c>
      <c r="U3411">
        <v>3.9611819999999999E-2</v>
      </c>
      <c r="V3411">
        <v>-6.9694509999999998E-3</v>
      </c>
      <c r="W3411">
        <v>0.1211817</v>
      </c>
      <c r="X3411">
        <v>0.99260590000000004</v>
      </c>
      <c r="Y3411">
        <v>-4.13397E-2</v>
      </c>
      <c r="Z3411">
        <v>3.9345949999999999E-3</v>
      </c>
      <c r="AA3411">
        <v>0.99913739999999995</v>
      </c>
      <c r="AB3411">
        <v>31</v>
      </c>
      <c r="AC3411">
        <v>13.5738</v>
      </c>
      <c r="AD3411">
        <v>-1.1092812454999901</v>
      </c>
      <c r="AE3411">
        <v>0.18819999999999401</v>
      </c>
      <c r="AF3411">
        <v>-0.57230968109094305</v>
      </c>
      <c r="AG3411">
        <v>-1.1092812454999901</v>
      </c>
      <c r="AH3411">
        <v>13.4729116764063</v>
      </c>
      <c r="AI3411">
        <v>94.7025632556484</v>
      </c>
      <c r="AJ3411">
        <v>92.432379018754105</v>
      </c>
      <c r="AK3411">
        <v>13.5306094575571</v>
      </c>
      <c r="AL3411">
        <v>83.039693436184905</v>
      </c>
      <c r="AM3411">
        <v>90.402288124530799</v>
      </c>
      <c r="AN3411">
        <v>1.00000002518847</v>
      </c>
    </row>
    <row r="3412" spans="1:40" x14ac:dyDescent="0.25">
      <c r="A3412" t="str">
        <f>"20190312164054095"</f>
        <v>20190312164054095</v>
      </c>
      <c r="B3412" t="str">
        <f>"1552380054089346"</f>
        <v>1552380054089346</v>
      </c>
      <c r="C3412" t="s">
        <v>40</v>
      </c>
      <c r="D3412">
        <v>5.5450369999999998</v>
      </c>
      <c r="E3412">
        <v>0.49180200000000002</v>
      </c>
      <c r="F3412" t="s">
        <v>49</v>
      </c>
      <c r="G3412">
        <v>-427.42090000000002</v>
      </c>
      <c r="H3412" s="1">
        <v>2.7787880000000001E-6</v>
      </c>
      <c r="I3412">
        <v>213.1233</v>
      </c>
      <c r="J3412">
        <v>-440.7953</v>
      </c>
      <c r="K3412">
        <v>1.1092839999999999</v>
      </c>
      <c r="L3412">
        <v>212.96</v>
      </c>
      <c r="M3412">
        <v>0.99957289999999999</v>
      </c>
      <c r="N3412">
        <v>0</v>
      </c>
      <c r="O3412">
        <v>-2.8505920000000001E-2</v>
      </c>
      <c r="P3412">
        <v>0.99321919999999997</v>
      </c>
      <c r="Q3412">
        <v>0.11439009999999999</v>
      </c>
      <c r="R3412">
        <v>-2.0750979999999999E-2</v>
      </c>
      <c r="S3412">
        <v>3.0499269999999998</v>
      </c>
      <c r="T3412">
        <v>-0.24706020000000001</v>
      </c>
      <c r="U3412">
        <v>3.4347530000000001E-2</v>
      </c>
      <c r="V3412">
        <v>-7.583696E-3</v>
      </c>
      <c r="W3412">
        <v>0.1207941</v>
      </c>
      <c r="X3412">
        <v>0.99264859999999999</v>
      </c>
      <c r="Y3412">
        <v>-3.9538320000000002E-2</v>
      </c>
      <c r="Z3412">
        <v>3.903924E-3</v>
      </c>
      <c r="AA3412">
        <v>0.99921040000000005</v>
      </c>
      <c r="AB3412">
        <v>31</v>
      </c>
      <c r="AC3412">
        <v>13.3743999999999</v>
      </c>
      <c r="AD3412">
        <v>-1.109281221212</v>
      </c>
      <c r="AE3412">
        <v>0.16329999999999201</v>
      </c>
      <c r="AF3412">
        <v>-0.54077161636812898</v>
      </c>
      <c r="AG3412">
        <v>-1.109281221212</v>
      </c>
      <c r="AH3412">
        <v>13.2730161786086</v>
      </c>
      <c r="AI3412">
        <v>94.773403012121506</v>
      </c>
      <c r="AJ3412">
        <v>92.333064637747597</v>
      </c>
      <c r="AK3412">
        <v>13.330262459772101</v>
      </c>
      <c r="AL3412">
        <v>83.062065346643905</v>
      </c>
      <c r="AM3412">
        <v>90.437723198708099</v>
      </c>
      <c r="AN3412">
        <v>0.99999998506089505</v>
      </c>
    </row>
    <row r="3413" spans="1:40" x14ac:dyDescent="0.25">
      <c r="A3413" t="str">
        <f>"20190312164054117"</f>
        <v>20190312164054117</v>
      </c>
      <c r="B3413" t="str">
        <f>"1552380054109842"</f>
        <v>1552380054109842</v>
      </c>
      <c r="C3413" t="s">
        <v>40</v>
      </c>
      <c r="D3413">
        <v>5.56121</v>
      </c>
      <c r="E3413">
        <v>0.49206889999999998</v>
      </c>
      <c r="F3413" t="s">
        <v>49</v>
      </c>
      <c r="G3413">
        <v>-427.20609999999999</v>
      </c>
      <c r="H3413" s="1">
        <v>2.8187429999999999E-6</v>
      </c>
      <c r="I3413">
        <v>213.102</v>
      </c>
      <c r="J3413">
        <v>-440.488</v>
      </c>
      <c r="K3413">
        <v>1.1092869999999999</v>
      </c>
      <c r="L3413">
        <v>212.9513</v>
      </c>
      <c r="M3413">
        <v>0.99957499999999999</v>
      </c>
      <c r="N3413">
        <v>0</v>
      </c>
      <c r="O3413">
        <v>-2.843248E-2</v>
      </c>
      <c r="P3413">
        <v>0.99328780000000005</v>
      </c>
      <c r="Q3413">
        <v>0.113867</v>
      </c>
      <c r="R3413">
        <v>-2.0343110000000001E-2</v>
      </c>
      <c r="S3413">
        <v>3.0498050000000001</v>
      </c>
      <c r="T3413">
        <v>-0.2489547</v>
      </c>
      <c r="U3413">
        <v>3.1875609999999999E-2</v>
      </c>
      <c r="V3413">
        <v>-7.9202630000000003E-3</v>
      </c>
      <c r="W3413">
        <v>0.1202762</v>
      </c>
      <c r="X3413">
        <v>0.99270890000000001</v>
      </c>
      <c r="Y3413">
        <v>-3.8655299999999997E-2</v>
      </c>
      <c r="Z3413">
        <v>3.8919670000000001E-3</v>
      </c>
      <c r="AA3413">
        <v>0.99924500000000005</v>
      </c>
      <c r="AB3413">
        <v>31</v>
      </c>
      <c r="AC3413">
        <v>13.2819</v>
      </c>
      <c r="AD3413">
        <v>-1.109284181257</v>
      </c>
      <c r="AE3413">
        <v>0.1507</v>
      </c>
      <c r="AF3413">
        <v>-0.52462528040356204</v>
      </c>
      <c r="AG3413">
        <v>-1.109284181257</v>
      </c>
      <c r="AH3413">
        <v>13.1803198996018</v>
      </c>
      <c r="AI3413">
        <v>94.807010574543398</v>
      </c>
      <c r="AJ3413">
        <v>92.279379810378103</v>
      </c>
      <c r="AK3413">
        <v>13.2373175430471</v>
      </c>
      <c r="AL3413">
        <v>83.091957062790101</v>
      </c>
      <c r="AM3413">
        <v>90.457120928409594</v>
      </c>
      <c r="AN3413">
        <v>1.0000000274958101</v>
      </c>
    </row>
    <row r="3414" spans="1:40" x14ac:dyDescent="0.25">
      <c r="A3414" t="str">
        <f>"20190312164054141"</f>
        <v>20190312164054141</v>
      </c>
      <c r="B3414" t="str">
        <f>"1552380054129361"</f>
        <v>1552380054129361</v>
      </c>
      <c r="C3414" t="s">
        <v>40</v>
      </c>
      <c r="D3414">
        <v>5.8302350000000001</v>
      </c>
      <c r="E3414">
        <v>0.49248510000000001</v>
      </c>
      <c r="F3414" t="s">
        <v>49</v>
      </c>
      <c r="G3414">
        <v>-427.04250000000002</v>
      </c>
      <c r="H3414" s="1">
        <v>2.8491489999999998E-6</v>
      </c>
      <c r="I3414">
        <v>213.08619999999999</v>
      </c>
      <c r="J3414">
        <v>-440.16640000000001</v>
      </c>
      <c r="K3414">
        <v>1.1092839999999999</v>
      </c>
      <c r="L3414">
        <v>212.94220000000001</v>
      </c>
      <c r="M3414">
        <v>0.99957700000000005</v>
      </c>
      <c r="N3414">
        <v>0</v>
      </c>
      <c r="O3414">
        <v>-2.8357029999999998E-2</v>
      </c>
      <c r="P3414">
        <v>0.99330819999999997</v>
      </c>
      <c r="Q3414">
        <v>0.11378199999999999</v>
      </c>
      <c r="R3414">
        <v>-1.981407E-2</v>
      </c>
      <c r="S3414">
        <v>3.0497740000000002</v>
      </c>
      <c r="T3414">
        <v>-0.25161240000000001</v>
      </c>
      <c r="U3414">
        <v>3.0593869999999999E-2</v>
      </c>
      <c r="V3414">
        <v>-8.3757139999999994E-3</v>
      </c>
      <c r="W3414">
        <v>0.1201971</v>
      </c>
      <c r="X3414">
        <v>0.99271469999999995</v>
      </c>
      <c r="Y3414">
        <v>-3.8157219999999999E-2</v>
      </c>
      <c r="Z3414">
        <v>3.9066969999999998E-3</v>
      </c>
      <c r="AA3414">
        <v>0.99926409999999999</v>
      </c>
      <c r="AB3414">
        <v>31</v>
      </c>
      <c r="AC3414">
        <v>13.1238999999999</v>
      </c>
      <c r="AD3414">
        <v>-1.1092811508510001</v>
      </c>
      <c r="AE3414">
        <v>0.14399999999997701</v>
      </c>
      <c r="AF3414">
        <v>-0.512444080249297</v>
      </c>
      <c r="AG3414">
        <v>-1.1092811508510001</v>
      </c>
      <c r="AH3414">
        <v>13.0215206472174</v>
      </c>
      <c r="AI3414">
        <v>94.865425902482102</v>
      </c>
      <c r="AJ3414">
        <v>92.253633869146995</v>
      </c>
      <c r="AK3414">
        <v>13.078727138866601</v>
      </c>
      <c r="AL3414">
        <v>83.096521987057301</v>
      </c>
      <c r="AM3414">
        <v>90.483403414765206</v>
      </c>
      <c r="AN3414">
        <v>0.999999985514754</v>
      </c>
    </row>
    <row r="3415" spans="1:40" x14ac:dyDescent="0.25">
      <c r="A3415" t="str">
        <f>"20190312164054163"</f>
        <v>20190312164054163</v>
      </c>
      <c r="B3415" t="str">
        <f>"1552380054159618"</f>
        <v>1552380054159618</v>
      </c>
      <c r="C3415" t="s">
        <v>40</v>
      </c>
      <c r="D3415">
        <v>5.5239000000000003</v>
      </c>
      <c r="E3415">
        <v>0.49272490000000002</v>
      </c>
      <c r="F3415" t="s">
        <v>49</v>
      </c>
      <c r="G3415">
        <v>-426.73390000000001</v>
      </c>
      <c r="H3415" s="1">
        <v>2.9054339999999998E-6</v>
      </c>
      <c r="I3415">
        <v>213.0686</v>
      </c>
      <c r="J3415">
        <v>-439.85300000000001</v>
      </c>
      <c r="K3415">
        <v>1.1092850000000001</v>
      </c>
      <c r="L3415">
        <v>212.93340000000001</v>
      </c>
      <c r="M3415">
        <v>0.99957910000000005</v>
      </c>
      <c r="N3415">
        <v>0</v>
      </c>
      <c r="O3415">
        <v>-2.828456E-2</v>
      </c>
      <c r="P3415">
        <v>0.99324020000000002</v>
      </c>
      <c r="Q3415">
        <v>0.11445809999999999</v>
      </c>
      <c r="R3415">
        <v>-1.9322949999999998E-2</v>
      </c>
      <c r="S3415">
        <v>3.0496219999999998</v>
      </c>
      <c r="T3415">
        <v>-0.25184329999999999</v>
      </c>
      <c r="U3415">
        <v>2.868652E-2</v>
      </c>
      <c r="V3415">
        <v>-8.7924919999999903E-3</v>
      </c>
      <c r="W3415">
        <v>0.120877399999999</v>
      </c>
      <c r="X3415">
        <v>0.99262850000000002</v>
      </c>
      <c r="Y3415">
        <v>-3.7462530000000001E-2</v>
      </c>
      <c r="Z3415">
        <v>3.8758619999999999E-3</v>
      </c>
      <c r="AA3415">
        <v>0.99929049999999997</v>
      </c>
      <c r="AB3415">
        <v>31</v>
      </c>
      <c r="AC3415">
        <v>13.1191</v>
      </c>
      <c r="AD3415">
        <v>-1.109282094566</v>
      </c>
      <c r="AE3415">
        <v>0.13519999999999699</v>
      </c>
      <c r="AF3415">
        <v>-0.50262843413297498</v>
      </c>
      <c r="AG3415">
        <v>-1.109282094566</v>
      </c>
      <c r="AH3415">
        <v>13.0169718215876</v>
      </c>
      <c r="AI3415">
        <v>94.867261677074893</v>
      </c>
      <c r="AJ3415">
        <v>92.211281424726394</v>
      </c>
      <c r="AK3415">
        <v>13.073817250984099</v>
      </c>
      <c r="AL3415">
        <v>83.057257456783503</v>
      </c>
      <c r="AM3415">
        <v>90.507500548515097</v>
      </c>
      <c r="AN3415">
        <v>0.99999999637929005</v>
      </c>
    </row>
    <row r="3416" spans="1:40" x14ac:dyDescent="0.25">
      <c r="A3416" t="str">
        <f>"20190312164054184"</f>
        <v>20190312164054184</v>
      </c>
      <c r="B3416" t="str">
        <f>"1552380054179138"</f>
        <v>1552380054179138</v>
      </c>
      <c r="C3416" t="s">
        <v>40</v>
      </c>
      <c r="D3416">
        <v>5.6129930000000003</v>
      </c>
      <c r="E3416">
        <v>0.49268859999999998</v>
      </c>
      <c r="F3416" t="s">
        <v>49</v>
      </c>
      <c r="G3416">
        <v>-426.30650000000003</v>
      </c>
      <c r="H3416" s="1">
        <v>2.9820360000000001E-6</v>
      </c>
      <c r="I3416">
        <v>213.05940000000001</v>
      </c>
      <c r="J3416">
        <v>-439.53890000000001</v>
      </c>
      <c r="K3416">
        <v>1.1092930000000001</v>
      </c>
      <c r="L3416">
        <v>212.9246</v>
      </c>
      <c r="M3416">
        <v>0.9995811</v>
      </c>
      <c r="N3416">
        <v>0</v>
      </c>
      <c r="O3416">
        <v>-2.821222E-2</v>
      </c>
      <c r="P3416">
        <v>0.99315419999999999</v>
      </c>
      <c r="Q3416">
        <v>0.1152741</v>
      </c>
      <c r="R3416">
        <v>-1.8890009999999999E-2</v>
      </c>
      <c r="S3416">
        <v>3.049744</v>
      </c>
      <c r="T3416">
        <v>-0.2497346</v>
      </c>
      <c r="U3416">
        <v>2.836609E-2</v>
      </c>
      <c r="V3416">
        <v>-9.1512899999999994E-3</v>
      </c>
      <c r="W3416">
        <v>0.1216981</v>
      </c>
      <c r="X3416">
        <v>0.99252499999999999</v>
      </c>
      <c r="Y3416">
        <v>-3.72894E-2</v>
      </c>
      <c r="Z3416">
        <v>3.8303769999999998E-3</v>
      </c>
      <c r="AA3416">
        <v>0.99929710000000005</v>
      </c>
      <c r="AB3416">
        <v>31</v>
      </c>
      <c r="AC3416">
        <v>13.232399999999901</v>
      </c>
      <c r="AD3416">
        <v>-1.109290017964</v>
      </c>
      <c r="AE3416">
        <v>0.13480000000001199</v>
      </c>
      <c r="AF3416">
        <v>-0.50452422933450602</v>
      </c>
      <c r="AG3416">
        <v>-1.109290017964</v>
      </c>
      <c r="AH3416">
        <v>13.131058108453001</v>
      </c>
      <c r="AI3416">
        <v>94.825243683172999</v>
      </c>
      <c r="AJ3416">
        <v>92.200347945338095</v>
      </c>
      <c r="AK3416">
        <v>13.187484828029501</v>
      </c>
      <c r="AL3416">
        <v>83.0098852756539</v>
      </c>
      <c r="AM3416">
        <v>90.528264211666894</v>
      </c>
      <c r="AN3416">
        <v>1.00000002463863</v>
      </c>
    </row>
    <row r="3417" spans="1:40" x14ac:dyDescent="0.25">
      <c r="A3417" t="str">
        <f>"20190312164054209"</f>
        <v>20190312164054209</v>
      </c>
      <c r="B3417" t="str">
        <f>"1552380054199634"</f>
        <v>1552380054199634</v>
      </c>
      <c r="C3417" t="s">
        <v>40</v>
      </c>
      <c r="D3417">
        <v>5.6335430000000004</v>
      </c>
      <c r="E3417">
        <v>0.49277510000000002</v>
      </c>
      <c r="F3417" t="s">
        <v>49</v>
      </c>
      <c r="G3417">
        <v>-425.7903</v>
      </c>
      <c r="H3417" s="1">
        <v>3.0735100000000002E-6</v>
      </c>
      <c r="I3417">
        <v>213.06039999999999</v>
      </c>
      <c r="J3417">
        <v>-439.1968</v>
      </c>
      <c r="K3417">
        <v>1.1092949999999999</v>
      </c>
      <c r="L3417">
        <v>212.91499999999999</v>
      </c>
      <c r="M3417">
        <v>0.99958320000000001</v>
      </c>
      <c r="N3417">
        <v>0</v>
      </c>
      <c r="O3417">
        <v>-2.8133439999999999E-2</v>
      </c>
      <c r="P3417">
        <v>0.99309999999999998</v>
      </c>
      <c r="Q3417">
        <v>0.115787</v>
      </c>
      <c r="R3417">
        <v>-1.8590700000000002E-2</v>
      </c>
      <c r="S3417">
        <v>3.0498050000000001</v>
      </c>
      <c r="T3417">
        <v>-0.24607119999999999</v>
      </c>
      <c r="U3417">
        <v>3.0136110000000001E-2</v>
      </c>
      <c r="V3417">
        <v>-9.3707600000000005E-3</v>
      </c>
      <c r="W3417">
        <v>0.1222163</v>
      </c>
      <c r="X3417">
        <v>0.99245919999999999</v>
      </c>
      <c r="Y3417">
        <v>-3.779536E-2</v>
      </c>
      <c r="Z3417">
        <v>3.7883249999999999E-3</v>
      </c>
      <c r="AA3417">
        <v>0.99927829999999995</v>
      </c>
      <c r="AB3417">
        <v>31</v>
      </c>
      <c r="AC3417">
        <v>13.4064999999999</v>
      </c>
      <c r="AD3417">
        <v>-1.1092919264899901</v>
      </c>
      <c r="AE3417">
        <v>0.14539999999999501</v>
      </c>
      <c r="AF3417">
        <v>-0.51896867902178001</v>
      </c>
      <c r="AG3417">
        <v>-1.1092919264899901</v>
      </c>
      <c r="AH3417">
        <v>13.306015184164901</v>
      </c>
      <c r="AI3417">
        <v>94.761993434070604</v>
      </c>
      <c r="AJ3417">
        <v>92.233550079538404</v>
      </c>
      <c r="AK3417">
        <v>13.362256439284799</v>
      </c>
      <c r="AL3417">
        <v>82.979970775234406</v>
      </c>
      <c r="AM3417">
        <v>90.540968378899393</v>
      </c>
      <c r="AN3417">
        <v>0.99999994939665204</v>
      </c>
    </row>
    <row r="3418" spans="1:40" x14ac:dyDescent="0.25">
      <c r="A3418" t="str">
        <f>"20190312164054230"</f>
        <v>20190312164054230</v>
      </c>
      <c r="B3418" t="str">
        <f>"1552380054219154"</f>
        <v>1552380054219154</v>
      </c>
      <c r="C3418" t="s">
        <v>40</v>
      </c>
      <c r="D3418">
        <v>5.5219490000000002</v>
      </c>
      <c r="E3418">
        <v>0.4928015</v>
      </c>
      <c r="F3418" t="s">
        <v>49</v>
      </c>
      <c r="G3418">
        <v>-425.28109999999998</v>
      </c>
      <c r="H3418" s="1">
        <v>3.1644519999999999E-6</v>
      </c>
      <c r="I3418">
        <v>213.05350000000001</v>
      </c>
      <c r="J3418">
        <v>-438.89670000000001</v>
      </c>
      <c r="K3418">
        <v>1.1092959999999901</v>
      </c>
      <c r="L3418">
        <v>212.9066</v>
      </c>
      <c r="M3418">
        <v>0.9995851</v>
      </c>
      <c r="N3418">
        <v>0</v>
      </c>
      <c r="O3418">
        <v>-2.8063350000000001E-2</v>
      </c>
      <c r="P3418">
        <v>0.99308320000000005</v>
      </c>
      <c r="Q3418">
        <v>0.1160182</v>
      </c>
      <c r="R3418">
        <v>-1.804238E-2</v>
      </c>
      <c r="S3418">
        <v>3.0496829999999999</v>
      </c>
      <c r="T3418">
        <v>-0.24310590000000001</v>
      </c>
      <c r="U3418">
        <v>3.0349729999999998E-2</v>
      </c>
      <c r="V3418">
        <v>-9.8493920000000002E-3</v>
      </c>
      <c r="W3418">
        <v>0.12245200000000001</v>
      </c>
      <c r="X3418">
        <v>0.99242560000000002</v>
      </c>
      <c r="Y3418">
        <v>-3.780099E-2</v>
      </c>
      <c r="Z3418">
        <v>3.7376140000000002E-3</v>
      </c>
      <c r="AA3418">
        <v>0.99927829999999995</v>
      </c>
      <c r="AB3418">
        <v>32</v>
      </c>
      <c r="AC3418">
        <v>13.615600000000001</v>
      </c>
      <c r="AD3418">
        <v>-1.1092928355479901</v>
      </c>
      <c r="AE3418">
        <v>0.14690000000001599</v>
      </c>
      <c r="AF3418">
        <v>-0.52546206422453201</v>
      </c>
      <c r="AG3418">
        <v>-1.1092928355479901</v>
      </c>
      <c r="AH3418">
        <v>13.5164069657877</v>
      </c>
      <c r="AI3418">
        <v>94.688229685141195</v>
      </c>
      <c r="AJ3418">
        <v>92.226302098983098</v>
      </c>
      <c r="AK3418">
        <v>13.572026312998799</v>
      </c>
      <c r="AL3418">
        <v>82.966364578629396</v>
      </c>
      <c r="AM3418">
        <v>90.568616997831896</v>
      </c>
      <c r="AN3418">
        <v>1.00000003718106</v>
      </c>
    </row>
    <row r="3419" spans="1:40" x14ac:dyDescent="0.25">
      <c r="A3419" t="str">
        <f>"20190312164054252"</f>
        <v>20190312164054252</v>
      </c>
      <c r="B3419" t="str">
        <f>"1552380054239649"</f>
        <v>1552380054239649</v>
      </c>
      <c r="C3419" t="s">
        <v>40</v>
      </c>
      <c r="D3419">
        <v>5.5695249999999996</v>
      </c>
      <c r="E3419">
        <v>0.49280309999999999</v>
      </c>
      <c r="F3419" t="s">
        <v>49</v>
      </c>
      <c r="G3419">
        <v>-424.85019999999997</v>
      </c>
      <c r="H3419" s="1">
        <v>3.240901E-6</v>
      </c>
      <c r="I3419">
        <v>213.05330000000001</v>
      </c>
      <c r="J3419">
        <v>-438.59280000000001</v>
      </c>
      <c r="K3419">
        <v>1.109297</v>
      </c>
      <c r="L3419">
        <v>212.8982</v>
      </c>
      <c r="M3419">
        <v>0.99958720000000001</v>
      </c>
      <c r="N3419">
        <v>0</v>
      </c>
      <c r="O3419">
        <v>-2.7988010000000001E-2</v>
      </c>
      <c r="P3419">
        <v>0.99309460000000005</v>
      </c>
      <c r="Q3419">
        <v>0.1159082</v>
      </c>
      <c r="R3419">
        <v>-1.812617E-2</v>
      </c>
      <c r="S3419">
        <v>3.0496219999999998</v>
      </c>
      <c r="T3419">
        <v>-0.2408382</v>
      </c>
      <c r="U3419">
        <v>3.184509E-2</v>
      </c>
      <c r="V3419">
        <v>-9.6914600000000007E-3</v>
      </c>
      <c r="W3419">
        <v>0.122347</v>
      </c>
      <c r="X3419">
        <v>0.99243999999999999</v>
      </c>
      <c r="Y3419">
        <v>-3.821861E-2</v>
      </c>
      <c r="Z3419">
        <v>3.713451E-3</v>
      </c>
      <c r="AA3419">
        <v>0.99926250000000005</v>
      </c>
      <c r="AB3419">
        <v>32</v>
      </c>
      <c r="AC3419">
        <v>13.742599999999999</v>
      </c>
      <c r="AD3419">
        <v>-1.109293759099</v>
      </c>
      <c r="AE3419">
        <v>0.15510000000000401</v>
      </c>
      <c r="AF3419">
        <v>-0.536182249997329</v>
      </c>
      <c r="AG3419">
        <v>-1.109293759099</v>
      </c>
      <c r="AH3419">
        <v>13.6439875703719</v>
      </c>
      <c r="AI3419">
        <v>94.644511885657295</v>
      </c>
      <c r="AJ3419">
        <v>92.250455003187497</v>
      </c>
      <c r="AK3419">
        <v>13.699504402337</v>
      </c>
      <c r="AL3419">
        <v>82.972425478812497</v>
      </c>
      <c r="AM3419">
        <v>90.559491864181894</v>
      </c>
      <c r="AN3419">
        <v>0.99999993320296299</v>
      </c>
    </row>
    <row r="3420" spans="1:40" x14ac:dyDescent="0.25">
      <c r="A3420" t="str">
        <f>"20190312164054273"</f>
        <v>20190312164054273</v>
      </c>
      <c r="B3420" t="str">
        <f>"1552380054269906"</f>
        <v>1552380054269906</v>
      </c>
      <c r="C3420" t="s">
        <v>40</v>
      </c>
      <c r="D3420">
        <v>5.6719049999999998</v>
      </c>
      <c r="E3420">
        <v>0.49300500000000003</v>
      </c>
      <c r="F3420" t="s">
        <v>49</v>
      </c>
      <c r="G3420">
        <v>-424.55410000000001</v>
      </c>
      <c r="H3420" s="1">
        <v>3.2941240000000002E-6</v>
      </c>
      <c r="I3420">
        <v>213.04519999999999</v>
      </c>
      <c r="J3420">
        <v>-438.28050000000002</v>
      </c>
      <c r="K3420">
        <v>1.109307</v>
      </c>
      <c r="L3420">
        <v>212.8895</v>
      </c>
      <c r="M3420">
        <v>0.99958959999999997</v>
      </c>
      <c r="N3420">
        <v>0</v>
      </c>
      <c r="O3420">
        <v>-2.7901189999999999E-2</v>
      </c>
      <c r="P3420">
        <v>0.99310180000000003</v>
      </c>
      <c r="Q3420">
        <v>0.115803</v>
      </c>
      <c r="R3420">
        <v>-1.8400070000000001E-2</v>
      </c>
      <c r="S3420">
        <v>3.0495909999999999</v>
      </c>
      <c r="T3420">
        <v>-0.2409693</v>
      </c>
      <c r="U3420">
        <v>3.1936649999999997E-2</v>
      </c>
      <c r="V3420">
        <v>-9.3333389999999995E-3</v>
      </c>
      <c r="W3420">
        <v>0.1222466</v>
      </c>
      <c r="X3420">
        <v>0.9924558</v>
      </c>
      <c r="Y3420">
        <v>-3.8162149999999999E-2</v>
      </c>
      <c r="Z3420">
        <v>3.7064289999999998E-3</v>
      </c>
      <c r="AA3420">
        <v>0.99926470000000001</v>
      </c>
      <c r="AB3420">
        <v>32</v>
      </c>
      <c r="AC3420">
        <v>13.7264</v>
      </c>
      <c r="AD3420">
        <v>-1.109303705876</v>
      </c>
      <c r="AE3420">
        <v>0.15569999999999501</v>
      </c>
      <c r="AF3420">
        <v>-0.53513576233149396</v>
      </c>
      <c r="AG3420">
        <v>-1.109303705876</v>
      </c>
      <c r="AH3420">
        <v>13.627718779533501</v>
      </c>
      <c r="AI3420">
        <v>94.650079148357605</v>
      </c>
      <c r="AJ3420">
        <v>92.248745813128494</v>
      </c>
      <c r="AK3420">
        <v>13.683261458075201</v>
      </c>
      <c r="AL3420">
        <v>82.978221450906602</v>
      </c>
      <c r="AM3420">
        <v>90.538810060296996</v>
      </c>
      <c r="AN3420">
        <v>0.99999992869104104</v>
      </c>
    </row>
    <row r="3421" spans="1:40" x14ac:dyDescent="0.25">
      <c r="A3421" t="str">
        <f>"20190312164054297"</f>
        <v>20190312164054297</v>
      </c>
      <c r="B3421" t="str">
        <f>"1552380054289426"</f>
        <v>1552380054289426</v>
      </c>
      <c r="C3421" t="s">
        <v>40</v>
      </c>
      <c r="D3421">
        <v>5.6666639999999999</v>
      </c>
      <c r="E3421">
        <v>0.49304429999999999</v>
      </c>
      <c r="F3421" t="s">
        <v>49</v>
      </c>
      <c r="G3421">
        <v>-424.25389999999999</v>
      </c>
      <c r="H3421" s="1">
        <v>3.3489089999999999E-6</v>
      </c>
      <c r="I3421">
        <v>213.02770000000001</v>
      </c>
      <c r="J3421">
        <v>-437.94630000000001</v>
      </c>
      <c r="K3421">
        <v>1.109313</v>
      </c>
      <c r="L3421">
        <v>212.8802</v>
      </c>
      <c r="M3421">
        <v>0.9995927</v>
      </c>
      <c r="N3421">
        <v>0</v>
      </c>
      <c r="O3421">
        <v>-2.7789660000000001E-2</v>
      </c>
      <c r="P3421">
        <v>0.99307080000000003</v>
      </c>
      <c r="Q3421">
        <v>0.11600199999999999</v>
      </c>
      <c r="R3421">
        <v>-1.8818629999999999E-2</v>
      </c>
      <c r="S3421">
        <v>3.0495299999999999</v>
      </c>
      <c r="T3421">
        <v>-0.24117540000000001</v>
      </c>
      <c r="U3421">
        <v>3.0044560000000001E-2</v>
      </c>
      <c r="V3421">
        <v>-8.8068690000000002E-3</v>
      </c>
      <c r="W3421">
        <v>0.12245159999999999</v>
      </c>
      <c r="X3421">
        <v>0.99243539999999997</v>
      </c>
      <c r="Y3421">
        <v>-3.7433180000000003E-2</v>
      </c>
      <c r="Z3421">
        <v>3.6720849999999998E-3</v>
      </c>
      <c r="AA3421">
        <v>0.99929239999999997</v>
      </c>
      <c r="AB3421">
        <v>32</v>
      </c>
      <c r="AC3421">
        <v>13.692399999999999</v>
      </c>
      <c r="AD3421">
        <v>-1.1093096510909899</v>
      </c>
      <c r="AE3421">
        <v>0.14750000000000699</v>
      </c>
      <c r="AF3421">
        <v>-0.52451584865009904</v>
      </c>
      <c r="AG3421">
        <v>-1.1093096510909899</v>
      </c>
      <c r="AH3421">
        <v>13.5937978262698</v>
      </c>
      <c r="AI3421">
        <v>94.661779659809795</v>
      </c>
      <c r="AJ3421">
        <v>92.209657967329804</v>
      </c>
      <c r="AK3421">
        <v>13.6490667856446</v>
      </c>
      <c r="AL3421">
        <v>82.966387331737593</v>
      </c>
      <c r="AM3421">
        <v>90.508429243616007</v>
      </c>
      <c r="AN3421">
        <v>0.99999998922865097</v>
      </c>
    </row>
    <row r="3422" spans="1:40" x14ac:dyDescent="0.25">
      <c r="A3422" t="str">
        <f>"20190312164054318"</f>
        <v>20190312164054318</v>
      </c>
      <c r="B3422" t="str">
        <f>"1552380054309922"</f>
        <v>1552380054309922</v>
      </c>
      <c r="C3422" t="s">
        <v>40</v>
      </c>
      <c r="D3422">
        <v>5.5071240000000001</v>
      </c>
      <c r="E3422">
        <v>0.49316569999999998</v>
      </c>
      <c r="F3422" t="s">
        <v>49</v>
      </c>
      <c r="G3422">
        <v>-423.80509999999998</v>
      </c>
      <c r="H3422" s="1">
        <v>3.4299680000000002E-6</v>
      </c>
      <c r="I3422">
        <v>213.0112</v>
      </c>
      <c r="J3422">
        <v>-437.63479999999998</v>
      </c>
      <c r="K3422">
        <v>1.1093280000000001</v>
      </c>
      <c r="L3422">
        <v>212.8717</v>
      </c>
      <c r="M3422">
        <v>0.99959640000000005</v>
      </c>
      <c r="N3422">
        <v>0</v>
      </c>
      <c r="O3422">
        <v>-2.765685E-2</v>
      </c>
      <c r="P3422">
        <v>0.99307999999999996</v>
      </c>
      <c r="Q3422">
        <v>0.115874</v>
      </c>
      <c r="R3422">
        <v>-1.9118469999999999E-2</v>
      </c>
      <c r="S3422">
        <v>3.0493769999999998</v>
      </c>
      <c r="T3422">
        <v>-0.23920920000000001</v>
      </c>
      <c r="U3422">
        <v>2.8228759999999999E-2</v>
      </c>
      <c r="V3422">
        <v>-8.3815620000000004E-3</v>
      </c>
      <c r="W3422">
        <v>0.12232800000000001</v>
      </c>
      <c r="X3422">
        <v>0.99245430000000001</v>
      </c>
      <c r="Y3422">
        <v>-3.6711800000000003E-2</v>
      </c>
      <c r="Z3422">
        <v>3.6037759999999999E-3</v>
      </c>
      <c r="AA3422">
        <v>0.99931939999999997</v>
      </c>
      <c r="AB3422">
        <v>32</v>
      </c>
      <c r="AC3422">
        <v>13.829700000000001</v>
      </c>
      <c r="AD3422">
        <v>-1.109324570032</v>
      </c>
      <c r="AE3422">
        <v>0.13949999999999799</v>
      </c>
      <c r="AF3422">
        <v>-0.51860419052866102</v>
      </c>
      <c r="AG3422">
        <v>-1.109324570032</v>
      </c>
      <c r="AH3422">
        <v>13.7322051814877</v>
      </c>
      <c r="AI3422">
        <v>94.615202743701502</v>
      </c>
      <c r="AJ3422">
        <v>92.162778426633693</v>
      </c>
      <c r="AK3422">
        <v>13.7866968652607</v>
      </c>
      <c r="AL3422">
        <v>82.973522554307493</v>
      </c>
      <c r="AM3422">
        <v>90.483867833240197</v>
      </c>
      <c r="AN3422">
        <v>0.99999996387702395</v>
      </c>
    </row>
    <row r="3423" spans="1:40" x14ac:dyDescent="0.25">
      <c r="A3423" t="str">
        <f>"20190312164054341"</f>
        <v>20190312164054341</v>
      </c>
      <c r="B3423" t="str">
        <f>"1552380054329444"</f>
        <v>1552380054329444</v>
      </c>
      <c r="C3423" t="s">
        <v>40</v>
      </c>
      <c r="D3423">
        <v>5.7322160000000002</v>
      </c>
      <c r="E3423">
        <v>0.49319540000000001</v>
      </c>
      <c r="F3423" t="s">
        <v>49</v>
      </c>
      <c r="G3423">
        <v>-423.5326</v>
      </c>
      <c r="H3423" s="1">
        <v>3.4796900000000001E-6</v>
      </c>
      <c r="I3423">
        <v>212.99539999999999</v>
      </c>
      <c r="J3423">
        <v>-437.32159999999999</v>
      </c>
      <c r="K3423">
        <v>1.10934</v>
      </c>
      <c r="L3423">
        <v>212.86320000000001</v>
      </c>
      <c r="M3423">
        <v>0.99960110000000002</v>
      </c>
      <c r="N3423">
        <v>0</v>
      </c>
      <c r="O3423">
        <v>-2.7483440000000001E-2</v>
      </c>
      <c r="P3423">
        <v>0.99307599999999996</v>
      </c>
      <c r="Q3423">
        <v>0.1157991</v>
      </c>
      <c r="R3423">
        <v>-1.9772789999999998E-2</v>
      </c>
      <c r="S3423">
        <v>3.0494080000000001</v>
      </c>
      <c r="T3423">
        <v>-0.23987600000000001</v>
      </c>
      <c r="U3423">
        <v>2.674866E-2</v>
      </c>
      <c r="V3423">
        <v>-7.563396E-3</v>
      </c>
      <c r="W3423">
        <v>0.12225850000000001</v>
      </c>
      <c r="X3423">
        <v>0.9924695</v>
      </c>
      <c r="Y3423">
        <v>-3.6054799999999998E-2</v>
      </c>
      <c r="Z3423">
        <v>3.5743429999999998E-3</v>
      </c>
      <c r="AA3423">
        <v>0.99934339999999999</v>
      </c>
      <c r="AB3423">
        <v>32</v>
      </c>
      <c r="AC3423">
        <v>13.7889999999999</v>
      </c>
      <c r="AD3423">
        <v>-1.1093365203100001</v>
      </c>
      <c r="AE3423">
        <v>0.132199999999983</v>
      </c>
      <c r="AF3423">
        <v>-0.50784061720689</v>
      </c>
      <c r="AG3423">
        <v>-1.1093365203100001</v>
      </c>
      <c r="AH3423">
        <v>13.691549551080699</v>
      </c>
      <c r="AI3423">
        <v>94.629013395214102</v>
      </c>
      <c r="AJ3423">
        <v>92.124214732537595</v>
      </c>
      <c r="AK3423">
        <v>13.7458014941827</v>
      </c>
      <c r="AL3423">
        <v>82.977535172710802</v>
      </c>
      <c r="AM3423">
        <v>90.436630325401595</v>
      </c>
      <c r="AN3423">
        <v>1.0000000271057701</v>
      </c>
    </row>
    <row r="3424" spans="1:40" x14ac:dyDescent="0.25">
      <c r="A3424" t="str">
        <f>"20190312164054363"</f>
        <v>20190312164054363</v>
      </c>
      <c r="B3424" t="str">
        <f>"1552380054359698"</f>
        <v>1552380054359698</v>
      </c>
      <c r="C3424" t="s">
        <v>40</v>
      </c>
      <c r="D3424">
        <v>5.5471890000000004</v>
      </c>
      <c r="E3424">
        <v>0.49323600000000001</v>
      </c>
      <c r="F3424" t="s">
        <v>49</v>
      </c>
      <c r="G3424">
        <v>-423.1798</v>
      </c>
      <c r="H3424" s="1">
        <v>3.5436689999999998E-6</v>
      </c>
      <c r="I3424">
        <v>212.97929999999999</v>
      </c>
      <c r="J3424">
        <v>-436.99119999999999</v>
      </c>
      <c r="K3424">
        <v>1.1093789999999999</v>
      </c>
      <c r="L3424">
        <v>212.85429999999999</v>
      </c>
      <c r="M3424">
        <v>0.99960709999999997</v>
      </c>
      <c r="N3424">
        <v>0</v>
      </c>
      <c r="O3424">
        <v>-2.726042E-2</v>
      </c>
      <c r="P3424">
        <v>0.99314329999999995</v>
      </c>
      <c r="Q3424">
        <v>0.1151503</v>
      </c>
      <c r="R3424">
        <v>-2.0171809999999998E-2</v>
      </c>
      <c r="S3424">
        <v>3.0492859999999999</v>
      </c>
      <c r="T3424">
        <v>-0.23919760000000001</v>
      </c>
      <c r="U3424">
        <v>2.503967E-2</v>
      </c>
      <c r="V3424">
        <v>-6.9539340000000002E-3</v>
      </c>
      <c r="W3424">
        <v>0.1216158</v>
      </c>
      <c r="X3424">
        <v>0.99255289999999996</v>
      </c>
      <c r="Y3424">
        <v>-3.5276299999999997E-2</v>
      </c>
      <c r="Z3424">
        <v>3.5164609999999998E-3</v>
      </c>
      <c r="AA3424">
        <v>0.99937140000000002</v>
      </c>
      <c r="AB3424">
        <v>32</v>
      </c>
      <c r="AC3424">
        <v>13.8113999999999</v>
      </c>
      <c r="AD3424">
        <v>-1.1093754563310001</v>
      </c>
      <c r="AE3424">
        <v>0.125</v>
      </c>
      <c r="AF3424">
        <v>-0.49825174905775199</v>
      </c>
      <c r="AG3424">
        <v>-1.1093754563310001</v>
      </c>
      <c r="AH3424">
        <v>13.714383987484201</v>
      </c>
      <c r="AI3424">
        <v>94.621629374027407</v>
      </c>
      <c r="AJ3424">
        <v>92.080674724948096</v>
      </c>
      <c r="AK3424">
        <v>13.768198751641799</v>
      </c>
      <c r="AL3424">
        <v>83.014635900427706</v>
      </c>
      <c r="AM3424">
        <v>90.401413919936104</v>
      </c>
      <c r="AN3424">
        <v>1.0000000096530599</v>
      </c>
    </row>
    <row r="3425" spans="1:40" x14ac:dyDescent="0.25">
      <c r="A3425" t="str">
        <f>"20190312164054385"</f>
        <v>20190312164054385</v>
      </c>
      <c r="B3425" t="str">
        <f>"1552380054379218"</f>
        <v>1552380054379218</v>
      </c>
      <c r="C3425" t="s">
        <v>40</v>
      </c>
      <c r="D3425">
        <v>5.5342390000000004</v>
      </c>
      <c r="E3425">
        <v>0.49325770000000002</v>
      </c>
      <c r="F3425" t="s">
        <v>49</v>
      </c>
      <c r="G3425">
        <v>-422.91669999999999</v>
      </c>
      <c r="H3425" s="1">
        <v>3.591752E-6</v>
      </c>
      <c r="I3425">
        <v>212.96299999999999</v>
      </c>
      <c r="J3425">
        <v>-436.6746</v>
      </c>
      <c r="K3425">
        <v>1.10941</v>
      </c>
      <c r="L3425">
        <v>212.8459</v>
      </c>
      <c r="M3425">
        <v>0.99961409999999995</v>
      </c>
      <c r="N3425">
        <v>0</v>
      </c>
      <c r="O3425">
        <v>-2.700425E-2</v>
      </c>
      <c r="P3425">
        <v>0.9931181</v>
      </c>
      <c r="Q3425">
        <v>0.1153556</v>
      </c>
      <c r="R3425">
        <v>-2.0247810000000002E-2</v>
      </c>
      <c r="S3425">
        <v>3.049042</v>
      </c>
      <c r="T3425">
        <v>-0.2403313</v>
      </c>
      <c r="U3425">
        <v>2.3544309999999999E-2</v>
      </c>
      <c r="V3425">
        <v>-6.6324000000000001E-3</v>
      </c>
      <c r="W3425">
        <v>0.1218259</v>
      </c>
      <c r="X3425">
        <v>0.99252929999999995</v>
      </c>
      <c r="Y3425">
        <v>-3.4532E-2</v>
      </c>
      <c r="Z3425">
        <v>3.483917E-3</v>
      </c>
      <c r="AA3425">
        <v>0.99939750000000005</v>
      </c>
      <c r="AB3425">
        <v>32</v>
      </c>
      <c r="AC3425">
        <v>13.757899999999999</v>
      </c>
      <c r="AD3425">
        <v>-1.109406408248</v>
      </c>
      <c r="AE3425">
        <v>0.117099999999993</v>
      </c>
      <c r="AF3425">
        <v>-0.48543068534164602</v>
      </c>
      <c r="AG3425">
        <v>-1.109406408248</v>
      </c>
      <c r="AH3425">
        <v>13.660897402090299</v>
      </c>
      <c r="AI3425">
        <v>94.639906506322404</v>
      </c>
      <c r="AJ3425">
        <v>92.035110221938893</v>
      </c>
      <c r="AK3425">
        <v>13.7144647492846</v>
      </c>
      <c r="AL3425">
        <v>83.002507634094002</v>
      </c>
      <c r="AM3425">
        <v>90.382863127533895</v>
      </c>
      <c r="AN3425">
        <v>0.99999997499952897</v>
      </c>
    </row>
    <row r="3426" spans="1:40" x14ac:dyDescent="0.25">
      <c r="A3426" t="str">
        <f>"20190312164054408"</f>
        <v>20190312164054408</v>
      </c>
      <c r="B3426" t="str">
        <f>"1552380054399714"</f>
        <v>1552380054399714</v>
      </c>
      <c r="C3426" t="s">
        <v>40</v>
      </c>
      <c r="D3426">
        <v>5.6579350000000002</v>
      </c>
      <c r="E3426">
        <v>0.49327670000000001</v>
      </c>
      <c r="F3426" t="s">
        <v>49</v>
      </c>
      <c r="G3426">
        <v>-422.52780000000001</v>
      </c>
      <c r="H3426" s="1">
        <v>3.661831E-6</v>
      </c>
      <c r="I3426">
        <v>212.95060000000001</v>
      </c>
      <c r="J3426">
        <v>-436.34859999999998</v>
      </c>
      <c r="K3426">
        <v>1.10945</v>
      </c>
      <c r="L3426">
        <v>212.8374</v>
      </c>
      <c r="M3426">
        <v>0.99962240000000002</v>
      </c>
      <c r="N3426">
        <v>0</v>
      </c>
      <c r="O3426">
        <v>-2.6693229999999998E-2</v>
      </c>
      <c r="P3426">
        <v>0.99311919999999998</v>
      </c>
      <c r="Q3426">
        <v>0.1154237</v>
      </c>
      <c r="R3426">
        <v>-1.9789210000000002E-2</v>
      </c>
      <c r="S3426">
        <v>3.0489809999999999</v>
      </c>
      <c r="T3426">
        <v>-0.23910509999999999</v>
      </c>
      <c r="U3426">
        <v>2.2552490000000001E-2</v>
      </c>
      <c r="V3426">
        <v>-6.7927789999999997E-3</v>
      </c>
      <c r="W3426">
        <v>0.1218988</v>
      </c>
      <c r="X3426">
        <v>0.99251929999999999</v>
      </c>
      <c r="Y3426">
        <v>-3.3900930000000003E-2</v>
      </c>
      <c r="Z3426">
        <v>3.4172130000000001E-3</v>
      </c>
      <c r="AA3426">
        <v>0.99941930000000001</v>
      </c>
      <c r="AB3426">
        <v>32</v>
      </c>
      <c r="AC3426">
        <v>13.820799999999901</v>
      </c>
      <c r="AD3426">
        <v>-1.1094463381690001</v>
      </c>
      <c r="AE3426">
        <v>0.113200000000006</v>
      </c>
      <c r="AF3426">
        <v>-0.47900287889370302</v>
      </c>
      <c r="AG3426">
        <v>-1.1094463381690001</v>
      </c>
      <c r="AH3426">
        <v>13.724420974497299</v>
      </c>
      <c r="AI3426">
        <v>94.618791666608004</v>
      </c>
      <c r="AJ3426">
        <v>91.998897284478403</v>
      </c>
      <c r="AK3426">
        <v>13.777519588825999</v>
      </c>
      <c r="AL3426">
        <v>82.998299654647894</v>
      </c>
      <c r="AM3426">
        <v>90.392124859800902</v>
      </c>
      <c r="AN3426">
        <v>1.00000001008023</v>
      </c>
    </row>
    <row r="3427" spans="1:40" x14ac:dyDescent="0.25">
      <c r="A3427" t="str">
        <f>"20190312164054431"</f>
        <v>20190312164054431</v>
      </c>
      <c r="B3427" t="str">
        <f>"1552380054419234"</f>
        <v>1552380054419234</v>
      </c>
      <c r="C3427" t="s">
        <v>40</v>
      </c>
      <c r="D3427">
        <v>5.5335239999999999</v>
      </c>
      <c r="E3427">
        <v>0.49328870000000002</v>
      </c>
      <c r="F3427" t="s">
        <v>49</v>
      </c>
      <c r="G3427">
        <v>-422.15969999999999</v>
      </c>
      <c r="H3427" s="1">
        <v>3.7273840000000001E-6</v>
      </c>
      <c r="I3427">
        <v>212.9478</v>
      </c>
      <c r="J3427">
        <v>-436.0025</v>
      </c>
      <c r="K3427">
        <v>1.1094889999999999</v>
      </c>
      <c r="L3427">
        <v>212.82849999999999</v>
      </c>
      <c r="M3427">
        <v>0.99963239999999998</v>
      </c>
      <c r="N3427">
        <v>0</v>
      </c>
      <c r="O3427">
        <v>-2.6313409999999999E-2</v>
      </c>
      <c r="P3427">
        <v>0.99314530000000001</v>
      </c>
      <c r="Q3427">
        <v>0.1152388</v>
      </c>
      <c r="R3427">
        <v>-1.955581E-2</v>
      </c>
      <c r="S3427">
        <v>3.0489809999999999</v>
      </c>
      <c r="T3427">
        <v>-0.238402</v>
      </c>
      <c r="U3427">
        <v>2.3712159999999999E-2</v>
      </c>
      <c r="V3427">
        <v>-6.6604100000000003E-3</v>
      </c>
      <c r="W3427">
        <v>0.12172040000000001</v>
      </c>
      <c r="X3427">
        <v>0.99254209999999998</v>
      </c>
      <c r="Y3427">
        <v>-3.3903540000000003E-2</v>
      </c>
      <c r="Z3427">
        <v>3.377648E-3</v>
      </c>
      <c r="AA3427">
        <v>0.99941939999999996</v>
      </c>
      <c r="AB3427">
        <v>32</v>
      </c>
      <c r="AC3427">
        <v>13.8428</v>
      </c>
      <c r="AD3427">
        <v>-1.1094852726160001</v>
      </c>
      <c r="AE3427">
        <v>0.119300000000009</v>
      </c>
      <c r="AF3427">
        <v>-0.48043174222125801</v>
      </c>
      <c r="AG3427">
        <v>-1.1094852726160001</v>
      </c>
      <c r="AH3427">
        <v>13.7465680692166</v>
      </c>
      <c r="AI3427">
        <v>94.611535940407194</v>
      </c>
      <c r="AJ3427">
        <v>92.001627734541799</v>
      </c>
      <c r="AK3427">
        <v>13.79963426728</v>
      </c>
      <c r="AL3427">
        <v>83.008597967260897</v>
      </c>
      <c r="AM3427">
        <v>90.384475031272501</v>
      </c>
      <c r="AN3427">
        <v>1.00000001855496</v>
      </c>
    </row>
    <row r="3428" spans="1:40" x14ac:dyDescent="0.25">
      <c r="A3428" t="str">
        <f>"20190312164054464"</f>
        <v>20190312164054464</v>
      </c>
      <c r="B3428" t="str">
        <f>"1552380054459250"</f>
        <v>1552380054459250</v>
      </c>
      <c r="C3428" t="s">
        <v>40</v>
      </c>
      <c r="D3428">
        <v>5.5095419999999997</v>
      </c>
      <c r="E3428">
        <v>0.49329650000000003</v>
      </c>
      <c r="F3428" t="s">
        <v>49</v>
      </c>
      <c r="G3428">
        <v>-421.82459999999998</v>
      </c>
      <c r="H3428" s="1">
        <v>3.7876139999999999E-6</v>
      </c>
      <c r="I3428">
        <v>212.93860000000001</v>
      </c>
      <c r="J3428">
        <v>-435.53960000000001</v>
      </c>
      <c r="K3428">
        <v>1.109526</v>
      </c>
      <c r="L3428">
        <v>212.8169</v>
      </c>
      <c r="M3428">
        <v>0.99964730000000002</v>
      </c>
      <c r="N3428">
        <v>0</v>
      </c>
      <c r="O3428">
        <v>-2.5744019999999999E-2</v>
      </c>
      <c r="P3428">
        <v>0.99324100000000004</v>
      </c>
      <c r="Q3428">
        <v>0.1146177</v>
      </c>
      <c r="R3428">
        <v>-1.830824E-2</v>
      </c>
      <c r="S3428">
        <v>3.0488279999999999</v>
      </c>
      <c r="T3428">
        <v>-0.23858570000000001</v>
      </c>
      <c r="U3428">
        <v>2.3666380000000001E-2</v>
      </c>
      <c r="V3428">
        <v>-7.3571610000000001E-3</v>
      </c>
      <c r="W3428">
        <v>0.1211069</v>
      </c>
      <c r="X3428">
        <v>0.99261219999999994</v>
      </c>
      <c r="Y3428">
        <v>-3.3322869999999997E-2</v>
      </c>
      <c r="Z3428">
        <v>3.3132460000000002E-3</v>
      </c>
      <c r="AA3428">
        <v>0.99943910000000002</v>
      </c>
      <c r="AB3428">
        <v>33</v>
      </c>
      <c r="AC3428">
        <v>13.715</v>
      </c>
      <c r="AD3428">
        <v>-1.109522212386</v>
      </c>
      <c r="AE3428">
        <v>0.121700000000004</v>
      </c>
      <c r="AF3428">
        <v>-0.47165984160652702</v>
      </c>
      <c r="AG3428">
        <v>-1.109522212386</v>
      </c>
      <c r="AH3428">
        <v>13.618202986091299</v>
      </c>
      <c r="AI3428">
        <v>94.655019096327095</v>
      </c>
      <c r="AJ3428">
        <v>91.983618580085903</v>
      </c>
      <c r="AK3428">
        <v>13.6714649952501</v>
      </c>
      <c r="AL3428">
        <v>83.044010743542202</v>
      </c>
      <c r="AM3428">
        <v>90.424663887408499</v>
      </c>
      <c r="AN3428">
        <v>0.99999999431721398</v>
      </c>
    </row>
    <row r="3429" spans="1:40" x14ac:dyDescent="0.25">
      <c r="A3429" t="str">
        <f>"20190312164054485"</f>
        <v>20190312164054485</v>
      </c>
      <c r="B3429" t="str">
        <f>"1552380054479746"</f>
        <v>1552380054479746</v>
      </c>
      <c r="C3429" t="s">
        <v>40</v>
      </c>
      <c r="D3429">
        <v>5.525442</v>
      </c>
      <c r="E3429">
        <v>0.49333369999999999</v>
      </c>
      <c r="F3429" t="s">
        <v>49</v>
      </c>
      <c r="G3429">
        <v>-421.40289999999999</v>
      </c>
      <c r="H3429" s="1">
        <v>3.8621660000000004E-6</v>
      </c>
      <c r="I3429">
        <v>212.94149999999999</v>
      </c>
      <c r="J3429">
        <v>-435.2047</v>
      </c>
      <c r="K3429">
        <v>1.109551</v>
      </c>
      <c r="L3429">
        <v>212.80869999999999</v>
      </c>
      <c r="M3429">
        <v>0.99965839999999995</v>
      </c>
      <c r="N3429">
        <v>0</v>
      </c>
      <c r="O3429">
        <v>-2.5301609999999999E-2</v>
      </c>
      <c r="P3429">
        <v>0.99327469999999995</v>
      </c>
      <c r="Q3429">
        <v>0.1145187</v>
      </c>
      <c r="R3429">
        <v>-1.705191E-2</v>
      </c>
      <c r="S3429">
        <v>3.0485229999999999</v>
      </c>
      <c r="T3429">
        <v>-0.23926439999999999</v>
      </c>
      <c r="U3429">
        <v>2.6870729999999999E-2</v>
      </c>
      <c r="V3429">
        <v>-8.1812919999999997E-3</v>
      </c>
      <c r="W3429">
        <v>0.1210132</v>
      </c>
      <c r="X3429">
        <v>0.99261719999999998</v>
      </c>
      <c r="Y3429">
        <v>-3.3930210000000002E-2</v>
      </c>
      <c r="Z3429">
        <v>3.3120990000000002E-3</v>
      </c>
      <c r="AA3429">
        <v>0.99941869999999999</v>
      </c>
      <c r="AB3429">
        <v>33</v>
      </c>
      <c r="AC3429">
        <v>13.8018</v>
      </c>
      <c r="AD3429">
        <v>-1.1095471378340001</v>
      </c>
      <c r="AE3429">
        <v>0.132800000000003</v>
      </c>
      <c r="AF3429">
        <v>-0.478878135298616</v>
      </c>
      <c r="AG3429">
        <v>-1.1095471378340001</v>
      </c>
      <c r="AH3429">
        <v>13.705453944669999</v>
      </c>
      <c r="AI3429">
        <v>94.625568019127201</v>
      </c>
      <c r="AJ3429">
        <v>92.001140461589301</v>
      </c>
      <c r="AK3429">
        <v>13.758629544726199</v>
      </c>
      <c r="AL3429">
        <v>83.049419293746396</v>
      </c>
      <c r="AM3429">
        <v>90.472229262600706</v>
      </c>
      <c r="AN3429">
        <v>1.0000000169244301</v>
      </c>
    </row>
    <row r="3430" spans="1:40" x14ac:dyDescent="0.25">
      <c r="A3430" t="str">
        <f>"20190312164054509"</f>
        <v>20190312164054509</v>
      </c>
      <c r="B3430" t="str">
        <f>"1552380054499269"</f>
        <v>1552380054499269</v>
      </c>
      <c r="C3430" t="s">
        <v>40</v>
      </c>
      <c r="D3430">
        <v>5.6239470000000003</v>
      </c>
      <c r="E3430">
        <v>0.49340800000000001</v>
      </c>
      <c r="F3430" t="s">
        <v>49</v>
      </c>
      <c r="G3430">
        <v>-421.04910000000001</v>
      </c>
      <c r="H3430" s="1">
        <v>3.9240519999999998E-6</v>
      </c>
      <c r="I3430">
        <v>212.95160000000001</v>
      </c>
      <c r="J3430">
        <v>-434.86689999999999</v>
      </c>
      <c r="K3430">
        <v>1.1095680000000001</v>
      </c>
      <c r="L3430">
        <v>212.8005</v>
      </c>
      <c r="M3430">
        <v>0.99966999999999995</v>
      </c>
      <c r="N3430">
        <v>0</v>
      </c>
      <c r="O3430">
        <v>-2.484136E-2</v>
      </c>
      <c r="P3430">
        <v>0.9932685</v>
      </c>
      <c r="Q3430">
        <v>0.11474860000000001</v>
      </c>
      <c r="R3430">
        <v>-1.582805E-2</v>
      </c>
      <c r="S3430">
        <v>3.0484010000000001</v>
      </c>
      <c r="T3430">
        <v>-0.23893919999999999</v>
      </c>
      <c r="U3430">
        <v>3.0761719999999999E-2</v>
      </c>
      <c r="V3430">
        <v>-8.9525379999999995E-3</v>
      </c>
      <c r="W3430">
        <v>0.12124799999999999</v>
      </c>
      <c r="X3430">
        <v>0.99258190000000002</v>
      </c>
      <c r="Y3430">
        <v>-3.4745360000000003E-2</v>
      </c>
      <c r="Z3430">
        <v>3.3036139999999999E-3</v>
      </c>
      <c r="AA3430">
        <v>0.99939069999999997</v>
      </c>
      <c r="AB3430">
        <v>33</v>
      </c>
      <c r="AC3430">
        <v>13.817799999999901</v>
      </c>
      <c r="AD3430">
        <v>-1.1095640759479899</v>
      </c>
      <c r="AE3430">
        <v>0.151100000000013</v>
      </c>
      <c r="AF3430">
        <v>-0.491147107072397</v>
      </c>
      <c r="AG3430">
        <v>-1.1095640759479899</v>
      </c>
      <c r="AH3430">
        <v>13.7213172441742</v>
      </c>
      <c r="AI3430">
        <v>94.620175030655403</v>
      </c>
      <c r="AJ3430">
        <v>92.049996129666795</v>
      </c>
      <c r="AK3430">
        <v>13.774864966114601</v>
      </c>
      <c r="AL3430">
        <v>83.035866518900704</v>
      </c>
      <c r="AM3430">
        <v>90.516762127787999</v>
      </c>
      <c r="AN3430">
        <v>1.00000002682412</v>
      </c>
    </row>
    <row r="3431" spans="1:40" x14ac:dyDescent="0.25">
      <c r="A3431" t="str">
        <f>"20190312164054530"</f>
        <v>20190312164054530</v>
      </c>
      <c r="B3431" t="str">
        <f>"1552380054519762"</f>
        <v>1552380054519762</v>
      </c>
      <c r="C3431" t="s">
        <v>40</v>
      </c>
      <c r="D3431">
        <v>5.779814</v>
      </c>
      <c r="E3431">
        <v>0.49344290000000002</v>
      </c>
      <c r="F3431" t="s">
        <v>49</v>
      </c>
      <c r="G3431">
        <v>-420.65640000000002</v>
      </c>
      <c r="H3431" s="1">
        <v>3.9928509999999996E-6</v>
      </c>
      <c r="I3431">
        <v>212.96129999999999</v>
      </c>
      <c r="J3431">
        <v>-434.54320000000001</v>
      </c>
      <c r="K3431">
        <v>1.109575</v>
      </c>
      <c r="L3431">
        <v>212.7929</v>
      </c>
      <c r="M3431">
        <v>0.99968100000000004</v>
      </c>
      <c r="N3431">
        <v>0</v>
      </c>
      <c r="O3431">
        <v>-2.4393069999999999E-2</v>
      </c>
      <c r="P3431">
        <v>0.99326840000000005</v>
      </c>
      <c r="Q3431">
        <v>0.1149034</v>
      </c>
      <c r="R3431">
        <v>-1.467627E-2</v>
      </c>
      <c r="S3431">
        <v>3.0483699999999998</v>
      </c>
      <c r="T3431">
        <v>-0.23801849999999999</v>
      </c>
      <c r="U3431">
        <v>3.4484859999999999E-2</v>
      </c>
      <c r="V3431">
        <v>-9.6622970000000002E-3</v>
      </c>
      <c r="W3431">
        <v>0.121408</v>
      </c>
      <c r="X3431">
        <v>0.99255570000000004</v>
      </c>
      <c r="Y3431">
        <v>-3.5518180000000003E-2</v>
      </c>
      <c r="Z3431">
        <v>3.286125E-3</v>
      </c>
      <c r="AA3431">
        <v>0.99936360000000002</v>
      </c>
      <c r="AB3431">
        <v>33</v>
      </c>
      <c r="AC3431">
        <v>13.8867999999999</v>
      </c>
      <c r="AD3431">
        <v>-1.1095710071489999</v>
      </c>
      <c r="AE3431">
        <v>0.168399999999991</v>
      </c>
      <c r="AF3431">
        <v>-0.50388242784314197</v>
      </c>
      <c r="AG3431">
        <v>-1.1095710071489999</v>
      </c>
      <c r="AH3431">
        <v>13.790531417272399</v>
      </c>
      <c r="AI3431">
        <v>94.596991796126403</v>
      </c>
      <c r="AJ3431">
        <v>92.092558883087193</v>
      </c>
      <c r="AK3431">
        <v>13.844269648189201</v>
      </c>
      <c r="AL3431">
        <v>83.026631059012303</v>
      </c>
      <c r="AM3431">
        <v>90.557743360693905</v>
      </c>
      <c r="AN3431">
        <v>1.0000000400249001</v>
      </c>
    </row>
    <row r="3432" spans="1:40" x14ac:dyDescent="0.25">
      <c r="A3432" t="str">
        <f>"20190312164054551"</f>
        <v>20190312164054551</v>
      </c>
      <c r="B3432" t="str">
        <f>"1552380054549042"</f>
        <v>1552380054549042</v>
      </c>
      <c r="C3432" t="s">
        <v>40</v>
      </c>
      <c r="D3432">
        <v>5.6270490000000004</v>
      </c>
      <c r="E3432">
        <v>0.49357600000000001</v>
      </c>
      <c r="F3432" t="s">
        <v>49</v>
      </c>
      <c r="G3432">
        <v>-420.3057</v>
      </c>
      <c r="H3432" s="1">
        <v>4.0541639999999999E-6</v>
      </c>
      <c r="I3432">
        <v>212.9716</v>
      </c>
      <c r="J3432">
        <v>-434.22550000000001</v>
      </c>
      <c r="K3432">
        <v>1.109583</v>
      </c>
      <c r="L3432">
        <v>212.78559999999999</v>
      </c>
      <c r="M3432">
        <v>0.99969160000000001</v>
      </c>
      <c r="N3432">
        <v>0</v>
      </c>
      <c r="O3432">
        <v>-2.394957E-2</v>
      </c>
      <c r="P3432">
        <v>0.99330719999999995</v>
      </c>
      <c r="Q3432">
        <v>0.11464050000000001</v>
      </c>
      <c r="R3432">
        <v>-1.408863E-2</v>
      </c>
      <c r="S3432">
        <v>3.0483699999999998</v>
      </c>
      <c r="T3432">
        <v>-0.23756769999999999</v>
      </c>
      <c r="U3432">
        <v>3.8253780000000001E-2</v>
      </c>
      <c r="V3432">
        <v>-9.8126380000000003E-3</v>
      </c>
      <c r="W3432">
        <v>0.12115099999999999</v>
      </c>
      <c r="X3432">
        <v>0.99258559999999996</v>
      </c>
      <c r="Y3432">
        <v>-3.6309849999999998E-2</v>
      </c>
      <c r="Z3432">
        <v>3.2761969999999998E-3</v>
      </c>
      <c r="AA3432">
        <v>0.99933519999999998</v>
      </c>
      <c r="AB3432">
        <v>33</v>
      </c>
      <c r="AC3432">
        <v>13.9198</v>
      </c>
      <c r="AD3432">
        <v>-1.1095789458359999</v>
      </c>
      <c r="AE3432">
        <v>0.18600000000000699</v>
      </c>
      <c r="AF3432">
        <v>-0.51604864766321401</v>
      </c>
      <c r="AG3432">
        <v>-1.1095789458359999</v>
      </c>
      <c r="AH3432">
        <v>13.823532769459799</v>
      </c>
      <c r="AI3432">
        <v>94.5859632493421</v>
      </c>
      <c r="AJ3432">
        <v>92.137925687570402</v>
      </c>
      <c r="AK3432">
        <v>13.877590924657101</v>
      </c>
      <c r="AL3432">
        <v>83.041465387294494</v>
      </c>
      <c r="AM3432">
        <v>90.566403974322498</v>
      </c>
      <c r="AN3432">
        <v>1.0000000129964299</v>
      </c>
    </row>
    <row r="3433" spans="1:40" x14ac:dyDescent="0.25">
      <c r="A3433" t="str">
        <f>"20190312164054575"</f>
        <v>20190312164054575</v>
      </c>
      <c r="B3433" t="str">
        <f>"1552380054569538"</f>
        <v>1552380054569538</v>
      </c>
      <c r="C3433" t="s">
        <v>40</v>
      </c>
      <c r="D3433">
        <v>5.5469410000000003</v>
      </c>
      <c r="E3433">
        <v>0.49375829999999998</v>
      </c>
      <c r="F3433" t="s">
        <v>49</v>
      </c>
      <c r="G3433">
        <v>-420.03230000000002</v>
      </c>
      <c r="H3433" s="1">
        <v>4.1031499999999998E-6</v>
      </c>
      <c r="I3433">
        <v>212.9659</v>
      </c>
      <c r="J3433">
        <v>-433.88209999999998</v>
      </c>
      <c r="K3433">
        <v>1.1095930000000001</v>
      </c>
      <c r="L3433">
        <v>212.77780000000001</v>
      </c>
      <c r="M3433">
        <v>0.99970320000000001</v>
      </c>
      <c r="N3433">
        <v>0</v>
      </c>
      <c r="O3433">
        <v>-2.346792E-2</v>
      </c>
      <c r="P3433">
        <v>0.99338709999999997</v>
      </c>
      <c r="Q3433">
        <v>0.1139531</v>
      </c>
      <c r="R3433">
        <v>-1.405023E-2</v>
      </c>
      <c r="S3433">
        <v>3.0482480000000001</v>
      </c>
      <c r="T3433">
        <v>-0.2383026</v>
      </c>
      <c r="U3433">
        <v>3.872681E-2</v>
      </c>
      <c r="V3433">
        <v>-9.3770350000000006E-3</v>
      </c>
      <c r="W3433">
        <v>0.1204708</v>
      </c>
      <c r="X3433">
        <v>0.99267260000000002</v>
      </c>
      <c r="Y3433">
        <v>-3.5985240000000002E-2</v>
      </c>
      <c r="Z3433">
        <v>3.23617E-3</v>
      </c>
      <c r="AA3433">
        <v>0.99934710000000004</v>
      </c>
      <c r="AB3433">
        <v>33</v>
      </c>
      <c r="AC3433">
        <v>13.849799999999901</v>
      </c>
      <c r="AD3433">
        <v>-1.1095888968500001</v>
      </c>
      <c r="AE3433">
        <v>0.188099999999991</v>
      </c>
      <c r="AF3433">
        <v>-0.50980950596067198</v>
      </c>
      <c r="AG3433">
        <v>-1.1095888968500001</v>
      </c>
      <c r="AH3433">
        <v>13.7533109699649</v>
      </c>
      <c r="AI3433">
        <v>94.609363675093206</v>
      </c>
      <c r="AJ3433">
        <v>92.122875395658795</v>
      </c>
      <c r="AK3433">
        <v>13.807413077363099</v>
      </c>
      <c r="AL3433">
        <v>83.0807255613732</v>
      </c>
      <c r="AM3433">
        <v>90.541214243614107</v>
      </c>
      <c r="AN3433">
        <v>1.0000000166143901</v>
      </c>
    </row>
    <row r="3434" spans="1:40" x14ac:dyDescent="0.25">
      <c r="A3434" t="str">
        <f>"20190312164054597"</f>
        <v>20190312164054597</v>
      </c>
      <c r="B3434" t="str">
        <f>"1552380054589058"</f>
        <v>1552380054589058</v>
      </c>
      <c r="C3434" t="s">
        <v>40</v>
      </c>
      <c r="D3434">
        <v>5.5169030000000001</v>
      </c>
      <c r="E3434">
        <v>0.49397619999999998</v>
      </c>
      <c r="F3434" t="s">
        <v>49</v>
      </c>
      <c r="G3434">
        <v>-419.75729999999999</v>
      </c>
      <c r="H3434" s="1">
        <v>4.082106E-6</v>
      </c>
      <c r="I3434">
        <v>212.9511</v>
      </c>
      <c r="J3434">
        <v>-433.54140000000001</v>
      </c>
      <c r="K3434">
        <v>1.109599</v>
      </c>
      <c r="L3434">
        <v>212.77019999999999</v>
      </c>
      <c r="M3434">
        <v>0.99971410000000005</v>
      </c>
      <c r="N3434">
        <v>0</v>
      </c>
      <c r="O3434">
        <v>-2.298735E-2</v>
      </c>
      <c r="P3434">
        <v>0.99348879999999995</v>
      </c>
      <c r="Q3434">
        <v>0.11307589999999999</v>
      </c>
      <c r="R3434">
        <v>-1.392443E-2</v>
      </c>
      <c r="S3434">
        <v>3.048035</v>
      </c>
      <c r="T3434">
        <v>-0.2394416</v>
      </c>
      <c r="U3434">
        <v>3.7414549999999998E-2</v>
      </c>
      <c r="V3434">
        <v>-9.0286619999999998E-3</v>
      </c>
      <c r="W3434">
        <v>0.1196012</v>
      </c>
      <c r="X3434">
        <v>0.99278100000000002</v>
      </c>
      <c r="Y3434">
        <v>-3.5078060000000001E-2</v>
      </c>
      <c r="Z3434">
        <v>3.1785609999999999E-3</v>
      </c>
      <c r="AA3434">
        <v>0.99937949999999998</v>
      </c>
      <c r="AB3434">
        <v>33</v>
      </c>
      <c r="AC3434">
        <v>13.7841</v>
      </c>
      <c r="AD3434">
        <v>-1.1095949178939899</v>
      </c>
      <c r="AE3434">
        <v>0.180900000000008</v>
      </c>
      <c r="AF3434">
        <v>-0.49451510304252699</v>
      </c>
      <c r="AG3434">
        <v>-1.1095949178939899</v>
      </c>
      <c r="AH3434">
        <v>13.687619072456201</v>
      </c>
      <c r="AI3434">
        <v>94.631573055816901</v>
      </c>
      <c r="AJ3434">
        <v>92.069118817795797</v>
      </c>
      <c r="AK3434">
        <v>13.7414213945145</v>
      </c>
      <c r="AL3434">
        <v>83.130913002871793</v>
      </c>
      <c r="AM3434">
        <v>90.521051436798302</v>
      </c>
      <c r="AN3434">
        <v>1.0000000388699699</v>
      </c>
    </row>
    <row r="3435" spans="1:40" x14ac:dyDescent="0.25">
      <c r="A3435" t="str">
        <f>"20190312164054621"</f>
        <v>20190312164054621</v>
      </c>
      <c r="B3435" t="str">
        <f>"1552380054609561"</f>
        <v>1552380054609561</v>
      </c>
      <c r="C3435" t="s">
        <v>40</v>
      </c>
      <c r="D3435">
        <v>5.5348940000000004</v>
      </c>
      <c r="E3435">
        <v>0.49420009999999998</v>
      </c>
      <c r="F3435" t="s">
        <v>49</v>
      </c>
      <c r="G3435">
        <v>-419.50119999999998</v>
      </c>
      <c r="H3435" s="1">
        <v>4.0379599999999999E-6</v>
      </c>
      <c r="I3435">
        <v>212.9365</v>
      </c>
      <c r="J3435">
        <v>-433.2029</v>
      </c>
      <c r="K3435">
        <v>1.109607</v>
      </c>
      <c r="L3435">
        <v>212.7629</v>
      </c>
      <c r="M3435">
        <v>0.99972510000000003</v>
      </c>
      <c r="N3435">
        <v>0</v>
      </c>
      <c r="O3435">
        <v>-2.2504260000000002E-2</v>
      </c>
      <c r="P3435">
        <v>0.99356500000000003</v>
      </c>
      <c r="Q3435">
        <v>0.11243069999999999</v>
      </c>
      <c r="R3435">
        <v>-1.370887E-2</v>
      </c>
      <c r="S3435">
        <v>3.0476070000000002</v>
      </c>
      <c r="T3435">
        <v>-0.2408518</v>
      </c>
      <c r="U3435">
        <v>3.6102290000000002E-2</v>
      </c>
      <c r="V3435">
        <v>-8.7689710000000004E-3</v>
      </c>
      <c r="W3435">
        <v>0.118963</v>
      </c>
      <c r="X3435">
        <v>0.99285999999999996</v>
      </c>
      <c r="Y3435">
        <v>-3.4168759999999999E-2</v>
      </c>
      <c r="Z3435">
        <v>3.123687E-3</v>
      </c>
      <c r="AA3435">
        <v>0.99941120000000006</v>
      </c>
      <c r="AB3435">
        <v>33</v>
      </c>
      <c r="AC3435">
        <v>13.701700000000001</v>
      </c>
      <c r="AD3435">
        <v>-1.1096029620399901</v>
      </c>
      <c r="AE3435">
        <v>0.17359999999999301</v>
      </c>
      <c r="AF3435">
        <v>-0.478769948841753</v>
      </c>
      <c r="AG3435">
        <v>-1.1096029620399901</v>
      </c>
      <c r="AH3435">
        <v>13.6051119667974</v>
      </c>
      <c r="AI3435">
        <v>94.659726189077702</v>
      </c>
      <c r="AJ3435">
        <v>92.015432322417396</v>
      </c>
      <c r="AK3435">
        <v>13.6586789634421</v>
      </c>
      <c r="AL3435">
        <v>83.167742086386099</v>
      </c>
      <c r="AM3435">
        <v>90.506024984118596</v>
      </c>
      <c r="AN3435">
        <v>1.0000000349106899</v>
      </c>
    </row>
    <row r="3436" spans="1:40" x14ac:dyDescent="0.25">
      <c r="A3436" t="str">
        <f>"20190312164054643"</f>
        <v>20190312164054643</v>
      </c>
      <c r="B3436" t="str">
        <f>"1552380054639810"</f>
        <v>1552380054639810</v>
      </c>
      <c r="C3436" t="s">
        <v>40</v>
      </c>
      <c r="D3436">
        <v>5.48977</v>
      </c>
      <c r="E3436">
        <v>0.49454609999999899</v>
      </c>
      <c r="F3436" t="s">
        <v>49</v>
      </c>
      <c r="G3436">
        <v>-419.19970000000001</v>
      </c>
      <c r="H3436" s="1">
        <v>3.9854690000000004E-6</v>
      </c>
      <c r="I3436">
        <v>212.92519999999999</v>
      </c>
      <c r="J3436">
        <v>-432.86079999999998</v>
      </c>
      <c r="K3436">
        <v>1.109607</v>
      </c>
      <c r="L3436">
        <v>212.75559999999999</v>
      </c>
      <c r="M3436">
        <v>0.99973610000000002</v>
      </c>
      <c r="N3436">
        <v>0</v>
      </c>
      <c r="O3436">
        <v>-2.201092E-2</v>
      </c>
      <c r="P3436">
        <v>0.99363539999999995</v>
      </c>
      <c r="Q3436">
        <v>0.1118084</v>
      </c>
      <c r="R3436">
        <v>-1.369826E-2</v>
      </c>
      <c r="S3436">
        <v>3.0472410000000001</v>
      </c>
      <c r="T3436">
        <v>-0.2414606</v>
      </c>
      <c r="U3436">
        <v>3.5324099999999997E-2</v>
      </c>
      <c r="V3436">
        <v>-8.2928369999999904E-3</v>
      </c>
      <c r="W3436">
        <v>0.11834790000000001</v>
      </c>
      <c r="X3436">
        <v>0.99293759999999998</v>
      </c>
      <c r="Y3436">
        <v>-3.3424750000000003E-2</v>
      </c>
      <c r="Z3436">
        <v>3.0634809999999998E-3</v>
      </c>
      <c r="AA3436">
        <v>0.99943660000000001</v>
      </c>
      <c r="AB3436">
        <v>34</v>
      </c>
      <c r="AC3436">
        <v>13.6610999999999</v>
      </c>
      <c r="AD3436">
        <v>-1.1096030145309901</v>
      </c>
      <c r="AE3436">
        <v>0.169600000000002</v>
      </c>
      <c r="AF3436">
        <v>-0.46717717461109898</v>
      </c>
      <c r="AG3436">
        <v>-1.1096030145309901</v>
      </c>
      <c r="AH3436">
        <v>13.564581707598</v>
      </c>
      <c r="AI3436">
        <v>94.673709108296407</v>
      </c>
      <c r="AJ3436">
        <v>91.972541792514903</v>
      </c>
      <c r="AK3436">
        <v>13.6179055021114</v>
      </c>
      <c r="AL3436">
        <v>83.203235477593594</v>
      </c>
      <c r="AM3436">
        <v>90.478512963130797</v>
      </c>
      <c r="AN3436">
        <v>1.00000003703683</v>
      </c>
    </row>
    <row r="3437" spans="1:40" x14ac:dyDescent="0.25">
      <c r="A3437" t="str">
        <f>"20190312164054664"</f>
        <v>20190312164054664</v>
      </c>
      <c r="B3437" t="str">
        <f>"1552380054659330"</f>
        <v>1552380054659330</v>
      </c>
      <c r="C3437" t="s">
        <v>40</v>
      </c>
      <c r="D3437">
        <v>5.5354580000000002</v>
      </c>
      <c r="E3437">
        <v>0.49473739999999999</v>
      </c>
      <c r="F3437" t="s">
        <v>49</v>
      </c>
      <c r="G3437">
        <v>-418.86649999999997</v>
      </c>
      <c r="H3437" s="1">
        <v>3.9281889999999998E-6</v>
      </c>
      <c r="I3437">
        <v>212.90440000000001</v>
      </c>
      <c r="J3437">
        <v>-432.55079999999998</v>
      </c>
      <c r="K3437">
        <v>1.1096140000000001</v>
      </c>
      <c r="L3437">
        <v>212.7492</v>
      </c>
      <c r="M3437">
        <v>0.99974580000000002</v>
      </c>
      <c r="N3437">
        <v>0</v>
      </c>
      <c r="O3437">
        <v>-2.1560389999999999E-2</v>
      </c>
      <c r="P3437">
        <v>0.99371129999999996</v>
      </c>
      <c r="Q3437">
        <v>0.11116810000000001</v>
      </c>
      <c r="R3437">
        <v>-1.3402549999999999E-2</v>
      </c>
      <c r="S3437">
        <v>3.046875</v>
      </c>
      <c r="T3437">
        <v>-0.24158640000000001</v>
      </c>
      <c r="U3437">
        <v>3.2394409999999998E-2</v>
      </c>
      <c r="V3437">
        <v>-8.1443130000000002E-3</v>
      </c>
      <c r="W3437">
        <v>0.1177139</v>
      </c>
      <c r="X3437">
        <v>0.99301419999999996</v>
      </c>
      <c r="Y3437">
        <v>-3.2020430000000003E-2</v>
      </c>
      <c r="Z3437">
        <v>2.9742060000000001E-3</v>
      </c>
      <c r="AA3437">
        <v>0.9994828</v>
      </c>
      <c r="AB3437">
        <v>34</v>
      </c>
      <c r="AC3437">
        <v>13.6843</v>
      </c>
      <c r="AD3437">
        <v>-1.10961007181099</v>
      </c>
      <c r="AE3437">
        <v>0.155200000000007</v>
      </c>
      <c r="AF3437">
        <v>-0.44726876889192901</v>
      </c>
      <c r="AG3437">
        <v>-1.10961007181099</v>
      </c>
      <c r="AH3437">
        <v>13.588440197702001</v>
      </c>
      <c r="AI3437">
        <v>94.665807229484699</v>
      </c>
      <c r="AJ3437">
        <v>91.885232122762304</v>
      </c>
      <c r="AK3437">
        <v>13.641004027182699</v>
      </c>
      <c r="AL3437">
        <v>83.239816772633702</v>
      </c>
      <c r="AM3437">
        <v>90.469906975563404</v>
      </c>
      <c r="AN3437">
        <v>1.00000004674454</v>
      </c>
    </row>
    <row r="3438" spans="1:40" x14ac:dyDescent="0.25">
      <c r="A3438" t="str">
        <f>"20190312164054687"</f>
        <v>20190312164054687</v>
      </c>
      <c r="B3438" t="str">
        <f>"1552380054679826"</f>
        <v>1552380054679826</v>
      </c>
      <c r="C3438" t="s">
        <v>40</v>
      </c>
      <c r="D3438">
        <v>5.4757480000000003</v>
      </c>
      <c r="E3438">
        <v>0.4949441</v>
      </c>
      <c r="F3438" t="s">
        <v>49</v>
      </c>
      <c r="G3438">
        <v>-418.61110000000002</v>
      </c>
      <c r="H3438" s="1">
        <v>3.883931E-6</v>
      </c>
      <c r="I3438">
        <v>212.89230000000001</v>
      </c>
      <c r="J3438">
        <v>-432.19749999999999</v>
      </c>
      <c r="K3438">
        <v>1.109612</v>
      </c>
      <c r="L3438">
        <v>212.74199999999999</v>
      </c>
      <c r="M3438">
        <v>0.99975689999999995</v>
      </c>
      <c r="N3438">
        <v>0</v>
      </c>
      <c r="O3438">
        <v>-2.1042040000000001E-2</v>
      </c>
      <c r="P3438">
        <v>0.99373469999999997</v>
      </c>
      <c r="Q3438">
        <v>0.1109965</v>
      </c>
      <c r="R3438">
        <v>-1.310104E-2</v>
      </c>
      <c r="S3438">
        <v>3.04657</v>
      </c>
      <c r="T3438">
        <v>-0.2425079</v>
      </c>
      <c r="U3438">
        <v>3.1280519999999999E-2</v>
      </c>
      <c r="V3438">
        <v>-7.9328130000000004E-3</v>
      </c>
      <c r="W3438">
        <v>0.1175496</v>
      </c>
      <c r="X3438">
        <v>0.99303529999999995</v>
      </c>
      <c r="Y3438">
        <v>-3.1140979999999999E-2</v>
      </c>
      <c r="Z3438">
        <v>2.90968E-3</v>
      </c>
      <c r="AA3438">
        <v>0.99951080000000003</v>
      </c>
      <c r="AB3438">
        <v>34</v>
      </c>
      <c r="AC3438">
        <v>13.5863999999999</v>
      </c>
      <c r="AD3438">
        <v>-1.1096081160689999</v>
      </c>
      <c r="AE3438">
        <v>0.150299999999987</v>
      </c>
      <c r="AF3438">
        <v>-0.433268912500897</v>
      </c>
      <c r="AG3438">
        <v>-1.1096081160689999</v>
      </c>
      <c r="AH3438">
        <v>13.4902590663228</v>
      </c>
      <c r="AI3438">
        <v>94.699726139704893</v>
      </c>
      <c r="AJ3438">
        <v>91.839545827143198</v>
      </c>
      <c r="AK3438">
        <v>13.5427486795809</v>
      </c>
      <c r="AL3438">
        <v>83.249295778867193</v>
      </c>
      <c r="AM3438">
        <v>90.457694743135406</v>
      </c>
      <c r="AN3438">
        <v>0.99999997251417105</v>
      </c>
    </row>
    <row r="3439" spans="1:40" x14ac:dyDescent="0.25">
      <c r="A3439" t="str">
        <f>"20190312164054710"</f>
        <v>20190312164054710</v>
      </c>
      <c r="B3439" t="str">
        <f>"1552380054699346"</f>
        <v>1552380054699346</v>
      </c>
      <c r="C3439" t="s">
        <v>40</v>
      </c>
      <c r="D3439">
        <v>5.542205</v>
      </c>
      <c r="E3439">
        <v>0.49513659999999998</v>
      </c>
      <c r="F3439" t="s">
        <v>49</v>
      </c>
      <c r="G3439">
        <v>-418.23180000000002</v>
      </c>
      <c r="H3439" s="1">
        <v>3.81758E-6</v>
      </c>
      <c r="I3439">
        <v>212.88159999999999</v>
      </c>
      <c r="J3439">
        <v>-431.85660000000001</v>
      </c>
      <c r="K3439">
        <v>1.109618</v>
      </c>
      <c r="L3439">
        <v>212.7353</v>
      </c>
      <c r="M3439">
        <v>0.99976719999999997</v>
      </c>
      <c r="N3439">
        <v>0</v>
      </c>
      <c r="O3439">
        <v>-2.053717E-2</v>
      </c>
      <c r="P3439">
        <v>0.99377689999999996</v>
      </c>
      <c r="Q3439">
        <v>0.11068409999999999</v>
      </c>
      <c r="R3439">
        <v>-1.2511599999999999E-2</v>
      </c>
      <c r="S3439">
        <v>3.0463260000000001</v>
      </c>
      <c r="T3439">
        <v>-0.24203659999999999</v>
      </c>
      <c r="U3439">
        <v>3.0441280000000001E-2</v>
      </c>
      <c r="V3439">
        <v>-8.0225980000000006E-3</v>
      </c>
      <c r="W3439">
        <v>0.11724320000000001</v>
      </c>
      <c r="X3439">
        <v>0.99307080000000003</v>
      </c>
      <c r="Y3439">
        <v>-3.036637E-2</v>
      </c>
      <c r="Z3439">
        <v>2.8335090000000001E-3</v>
      </c>
      <c r="AA3439">
        <v>0.99953479999999995</v>
      </c>
      <c r="AB3439">
        <v>34</v>
      </c>
      <c r="AC3439">
        <v>13.624799999999899</v>
      </c>
      <c r="AD3439">
        <v>-1.1096141824200001</v>
      </c>
      <c r="AE3439">
        <v>0.14629999999999599</v>
      </c>
      <c r="AF3439">
        <v>-0.42328295799215199</v>
      </c>
      <c r="AG3439">
        <v>-1.1096141824200001</v>
      </c>
      <c r="AH3439">
        <v>13.5291982166528</v>
      </c>
      <c r="AI3439">
        <v>94.686408147313699</v>
      </c>
      <c r="AJ3439">
        <v>91.792007045423105</v>
      </c>
      <c r="AK3439">
        <v>13.581222937638399</v>
      </c>
      <c r="AL3439">
        <v>83.266973440919799</v>
      </c>
      <c r="AM3439">
        <v>90.462858244188496</v>
      </c>
      <c r="AN3439">
        <v>0.99999997191877399</v>
      </c>
    </row>
    <row r="3440" spans="1:40" x14ac:dyDescent="0.25">
      <c r="A3440" t="str">
        <f>"20190312164054731"</f>
        <v>20190312164054731</v>
      </c>
      <c r="B3440" t="str">
        <f>"1552380054719842"</f>
        <v>1552380054719842</v>
      </c>
      <c r="C3440" t="s">
        <v>40</v>
      </c>
      <c r="D3440">
        <v>5.5430400000000004</v>
      </c>
      <c r="E3440">
        <v>0.49531940000000002</v>
      </c>
      <c r="F3440" t="s">
        <v>49</v>
      </c>
      <c r="G3440">
        <v>-417.89080000000001</v>
      </c>
      <c r="H3440" s="1">
        <v>3.7578639999999999E-6</v>
      </c>
      <c r="I3440">
        <v>212.87289999999999</v>
      </c>
      <c r="J3440">
        <v>-431.53910000000002</v>
      </c>
      <c r="K3440">
        <v>1.1096239999999999</v>
      </c>
      <c r="L3440">
        <v>212.72919999999999</v>
      </c>
      <c r="M3440">
        <v>0.99977680000000002</v>
      </c>
      <c r="N3440">
        <v>0</v>
      </c>
      <c r="O3440">
        <v>-2.0063540000000001E-2</v>
      </c>
      <c r="P3440">
        <v>0.99381489999999995</v>
      </c>
      <c r="Q3440">
        <v>0.11048189999999999</v>
      </c>
      <c r="R3440">
        <v>-1.1215859999999999E-2</v>
      </c>
      <c r="S3440">
        <v>3.0461119999999999</v>
      </c>
      <c r="T3440">
        <v>-0.2420204</v>
      </c>
      <c r="U3440">
        <v>3.0014039999999999E-2</v>
      </c>
      <c r="V3440">
        <v>-8.8495910000000004E-3</v>
      </c>
      <c r="W3440">
        <v>0.1170467</v>
      </c>
      <c r="X3440">
        <v>0.99308700000000005</v>
      </c>
      <c r="Y3440">
        <v>-2.975678E-2</v>
      </c>
      <c r="Z3440">
        <v>2.7717729999999999E-3</v>
      </c>
      <c r="AA3440">
        <v>0.99955329999999998</v>
      </c>
      <c r="AB3440">
        <v>34</v>
      </c>
      <c r="AC3440">
        <v>13.648300000000001</v>
      </c>
      <c r="AD3440">
        <v>-1.109620242136</v>
      </c>
      <c r="AE3440">
        <v>0.143699999999995</v>
      </c>
      <c r="AF3440">
        <v>-0.41476902639032298</v>
      </c>
      <c r="AG3440">
        <v>-1.109620242136</v>
      </c>
      <c r="AH3440">
        <v>13.553095376174801</v>
      </c>
      <c r="AI3440">
        <v>94.678305492517495</v>
      </c>
      <c r="AJ3440">
        <v>91.752891072217196</v>
      </c>
      <c r="AK3440">
        <v>13.6047669845059</v>
      </c>
      <c r="AL3440">
        <v>83.278310424060194</v>
      </c>
      <c r="AM3440">
        <v>90.510560297336298</v>
      </c>
      <c r="AN3440">
        <v>1.00000001740537</v>
      </c>
    </row>
    <row r="3441" spans="1:40" x14ac:dyDescent="0.25">
      <c r="A3441" t="str">
        <f>"20190312164054753"</f>
        <v>20190312164054753</v>
      </c>
      <c r="B3441" t="str">
        <f>"1552380054749122"</f>
        <v>1552380054749122</v>
      </c>
      <c r="C3441" t="s">
        <v>40</v>
      </c>
      <c r="D3441">
        <v>5.8918229999999996</v>
      </c>
      <c r="E3441">
        <v>0.495616</v>
      </c>
      <c r="F3441" t="s">
        <v>49</v>
      </c>
      <c r="G3441">
        <v>-417.56240000000003</v>
      </c>
      <c r="H3441" s="1">
        <v>3.6992979999999998E-6</v>
      </c>
      <c r="I3441">
        <v>212.8766</v>
      </c>
      <c r="J3441">
        <v>-431.19819999999999</v>
      </c>
      <c r="K3441">
        <v>1.109629</v>
      </c>
      <c r="L3441">
        <v>212.72290000000001</v>
      </c>
      <c r="M3441">
        <v>0.99978690000000003</v>
      </c>
      <c r="N3441">
        <v>0</v>
      </c>
      <c r="O3441">
        <v>-1.9553669999999999E-2</v>
      </c>
      <c r="P3441">
        <v>0.99379379999999995</v>
      </c>
      <c r="Q3441">
        <v>0.11073909999999999</v>
      </c>
      <c r="R3441">
        <v>-1.051615E-2</v>
      </c>
      <c r="S3441">
        <v>3.0459290000000001</v>
      </c>
      <c r="T3441">
        <v>-0.24182000000000001</v>
      </c>
      <c r="U3441">
        <v>3.2104489999999999E-2</v>
      </c>
      <c r="V3441">
        <v>-9.0434590000000002E-3</v>
      </c>
      <c r="W3441">
        <v>0.1173095</v>
      </c>
      <c r="X3441">
        <v>0.9930542</v>
      </c>
      <c r="Y3441">
        <v>-2.9934840000000001E-2</v>
      </c>
      <c r="Z3441">
        <v>2.7362900000000002E-3</v>
      </c>
      <c r="AA3441">
        <v>0.99954810000000005</v>
      </c>
      <c r="AB3441">
        <v>34</v>
      </c>
      <c r="AC3441">
        <v>13.6357999999999</v>
      </c>
      <c r="AD3441">
        <v>-1.1096253007020001</v>
      </c>
      <c r="AE3441">
        <v>0.15369999999998599</v>
      </c>
      <c r="AF3441">
        <v>-0.41754176172658197</v>
      </c>
      <c r="AG3441">
        <v>-1.1096253007020001</v>
      </c>
      <c r="AH3441">
        <v>13.540532886308799</v>
      </c>
      <c r="AI3441">
        <v>94.682614479979705</v>
      </c>
      <c r="AJ3441">
        <v>91.766237890421905</v>
      </c>
      <c r="AK3441">
        <v>13.592337557460599</v>
      </c>
      <c r="AL3441">
        <v>83.263148345760399</v>
      </c>
      <c r="AM3441">
        <v>90.521761762631897</v>
      </c>
      <c r="AN3441">
        <v>0.99999997353928705</v>
      </c>
    </row>
    <row r="3442" spans="1:40" x14ac:dyDescent="0.25">
      <c r="A3442" t="str">
        <f>"20190312164054776"</f>
        <v>20190312164054776</v>
      </c>
      <c r="B3442" t="str">
        <f>"1552380054769618"</f>
        <v>1552380054769618</v>
      </c>
      <c r="C3442" t="s">
        <v>40</v>
      </c>
      <c r="D3442">
        <v>5.9708249999999996</v>
      </c>
      <c r="E3442">
        <v>0.4958014</v>
      </c>
      <c r="F3442" t="s">
        <v>49</v>
      </c>
      <c r="G3442">
        <v>-417.09039999999999</v>
      </c>
      <c r="H3442" s="1">
        <v>3.6158179999999998E-6</v>
      </c>
      <c r="I3442">
        <v>212.87360000000001</v>
      </c>
      <c r="J3442">
        <v>-430.84739999999999</v>
      </c>
      <c r="K3442">
        <v>1.109632</v>
      </c>
      <c r="L3442">
        <v>212.7165</v>
      </c>
      <c r="M3442">
        <v>0.99979720000000005</v>
      </c>
      <c r="N3442">
        <v>0</v>
      </c>
      <c r="O3442">
        <v>-1.9027949999999998E-2</v>
      </c>
      <c r="P3442">
        <v>0.99377420000000005</v>
      </c>
      <c r="Q3442">
        <v>0.111012</v>
      </c>
      <c r="R3442">
        <v>-9.4629970000000008E-3</v>
      </c>
      <c r="S3442">
        <v>3.045776</v>
      </c>
      <c r="T3442">
        <v>-0.23955889999999999</v>
      </c>
      <c r="U3442">
        <v>3.2531740000000003E-2</v>
      </c>
      <c r="V3442">
        <v>-9.5753839999999993E-3</v>
      </c>
      <c r="W3442">
        <v>0.1175884</v>
      </c>
      <c r="X3442">
        <v>0.99301620000000002</v>
      </c>
      <c r="Y3442">
        <v>-2.9555640000000001E-2</v>
      </c>
      <c r="Z3442">
        <v>2.6547480000000002E-3</v>
      </c>
      <c r="AA3442">
        <v>0.99955959999999999</v>
      </c>
      <c r="AB3442">
        <v>34</v>
      </c>
      <c r="AC3442">
        <v>13.757</v>
      </c>
      <c r="AD3442">
        <v>-1.109628384182</v>
      </c>
      <c r="AE3442">
        <v>0.15710000000001401</v>
      </c>
      <c r="AF3442">
        <v>-0.41613775817686099</v>
      </c>
      <c r="AG3442">
        <v>-1.109628384182</v>
      </c>
      <c r="AH3442">
        <v>13.662643605325901</v>
      </c>
      <c r="AI3442">
        <v>94.641013330020499</v>
      </c>
      <c r="AJ3442">
        <v>91.744579529827305</v>
      </c>
      <c r="AK3442">
        <v>13.713944584652401</v>
      </c>
      <c r="AL3442">
        <v>83.247057001599302</v>
      </c>
      <c r="AM3442">
        <v>90.552470430112194</v>
      </c>
      <c r="AN3442">
        <v>0.99999994662787195</v>
      </c>
    </row>
    <row r="3443" spans="1:40" x14ac:dyDescent="0.25">
      <c r="A3443" t="str">
        <f>"20190312164054798"</f>
        <v>20190312164054798</v>
      </c>
      <c r="B3443" t="str">
        <f>"1552380054789138"</f>
        <v>1552380054789138</v>
      </c>
      <c r="C3443" t="s">
        <v>40</v>
      </c>
      <c r="D3443">
        <v>5.5780419999999999</v>
      </c>
      <c r="E3443">
        <v>0.4960001</v>
      </c>
      <c r="F3443" t="s">
        <v>49</v>
      </c>
      <c r="G3443">
        <v>-416.6327</v>
      </c>
      <c r="H3443" s="1">
        <v>3.5339799999999998E-6</v>
      </c>
      <c r="I3443">
        <v>212.881</v>
      </c>
      <c r="J3443">
        <v>-430.50279999999998</v>
      </c>
      <c r="K3443">
        <v>1.1096379999999999</v>
      </c>
      <c r="L3443">
        <v>212.71039999999999</v>
      </c>
      <c r="M3443">
        <v>0.99980659999999999</v>
      </c>
      <c r="N3443">
        <v>0</v>
      </c>
      <c r="O3443">
        <v>-1.851129E-2</v>
      </c>
      <c r="P3443">
        <v>0.99377789999999999</v>
      </c>
      <c r="Q3443">
        <v>0.11101610000000001</v>
      </c>
      <c r="R3443">
        <v>-9.0081229999999998E-3</v>
      </c>
      <c r="S3443">
        <v>3.045715</v>
      </c>
      <c r="T3443">
        <v>-0.23775470000000001</v>
      </c>
      <c r="U3443">
        <v>3.5247800000000003E-2</v>
      </c>
      <c r="V3443">
        <v>-9.5176029999999995E-3</v>
      </c>
      <c r="W3443">
        <v>0.1175993</v>
      </c>
      <c r="X3443">
        <v>0.99301550000000005</v>
      </c>
      <c r="Y3443">
        <v>-2.9933250000000002E-2</v>
      </c>
      <c r="Z3443">
        <v>2.609306E-3</v>
      </c>
      <c r="AA3443">
        <v>0.99954849999999995</v>
      </c>
      <c r="AB3443">
        <v>34</v>
      </c>
      <c r="AC3443">
        <v>13.8700999999999</v>
      </c>
      <c r="AD3443">
        <v>-1.1096344660199999</v>
      </c>
      <c r="AE3443">
        <v>0.17059999999997899</v>
      </c>
      <c r="AF3443">
        <v>-0.42461263159415202</v>
      </c>
      <c r="AG3443">
        <v>-1.1096344660199999</v>
      </c>
      <c r="AH3443">
        <v>13.776405314483</v>
      </c>
      <c r="AI3443">
        <v>94.602828595244901</v>
      </c>
      <c r="AJ3443">
        <v>91.765396102464607</v>
      </c>
      <c r="AK3443">
        <v>13.8275423674637</v>
      </c>
      <c r="AL3443">
        <v>83.246428352061102</v>
      </c>
      <c r="AM3443">
        <v>90.549137234623501</v>
      </c>
      <c r="AN3443">
        <v>0.999999981683802</v>
      </c>
    </row>
    <row r="3444" spans="1:40" x14ac:dyDescent="0.25">
      <c r="A3444" t="str">
        <f>"20190312164054821"</f>
        <v>20190312164054821</v>
      </c>
      <c r="B3444" t="str">
        <f>"1552380054809638"</f>
        <v>1552380054809638</v>
      </c>
      <c r="C3444" t="s">
        <v>40</v>
      </c>
      <c r="D3444">
        <v>5.5927210000000001</v>
      </c>
      <c r="E3444">
        <v>0.49616359999999898</v>
      </c>
      <c r="F3444" t="s">
        <v>42</v>
      </c>
      <c r="G3444">
        <v>-429.47669999999999</v>
      </c>
      <c r="H3444">
        <v>1.029863</v>
      </c>
      <c r="I3444">
        <v>212.7216</v>
      </c>
      <c r="J3444">
        <v>-430.15359999999998</v>
      </c>
      <c r="K3444">
        <v>1.109637</v>
      </c>
      <c r="L3444">
        <v>212.70439999999999</v>
      </c>
      <c r="M3444">
        <v>0.99981620000000004</v>
      </c>
      <c r="N3444">
        <v>0</v>
      </c>
      <c r="O3444">
        <v>-1.798773E-2</v>
      </c>
      <c r="P3444">
        <v>0.99380840000000004</v>
      </c>
      <c r="Q3444">
        <v>0.1107831</v>
      </c>
      <c r="R3444">
        <v>-8.4989609999999993E-3</v>
      </c>
      <c r="S3444">
        <v>3.045563</v>
      </c>
      <c r="T3444">
        <v>-0.23695640000000001</v>
      </c>
      <c r="U3444">
        <v>3.411865E-2</v>
      </c>
      <c r="V3444">
        <v>-9.5079159999999999E-3</v>
      </c>
      <c r="W3444">
        <v>0.11737300000000001</v>
      </c>
      <c r="X3444">
        <v>0.99304239999999999</v>
      </c>
      <c r="Y3444">
        <v>-2.9045089999999999E-2</v>
      </c>
      <c r="Z3444">
        <v>2.525537E-3</v>
      </c>
      <c r="AA3444">
        <v>0.99957490000000004</v>
      </c>
      <c r="AB3444">
        <v>34</v>
      </c>
      <c r="AC3444">
        <v>0.67689999999998895</v>
      </c>
      <c r="AD3444">
        <v>-7.9773999999999998E-2</v>
      </c>
      <c r="AE3444">
        <v>1.7200000000002501E-2</v>
      </c>
      <c r="AF3444">
        <v>-2.8971254762748901E-2</v>
      </c>
      <c r="AG3444">
        <v>-7.9773999999999998E-2</v>
      </c>
      <c r="AH3444">
        <v>0.66721998512015002</v>
      </c>
      <c r="AI3444">
        <v>96.811661794570796</v>
      </c>
      <c r="AJ3444">
        <v>92.486269365887196</v>
      </c>
      <c r="AK3444">
        <v>0.67259626316406296</v>
      </c>
      <c r="AL3444">
        <v>83.259485034365099</v>
      </c>
      <c r="AM3444">
        <v>90.548563498621903</v>
      </c>
      <c r="AN3444">
        <v>1.0000000148967101</v>
      </c>
    </row>
    <row r="3445" spans="1:40" x14ac:dyDescent="0.25">
      <c r="A3445" t="str">
        <f>"20190312164054844"</f>
        <v>20190312164054844</v>
      </c>
      <c r="B3445" t="str">
        <f>"1552380054839891"</f>
        <v>1552380054839891</v>
      </c>
      <c r="C3445" t="s">
        <v>40</v>
      </c>
      <c r="D3445">
        <v>5.6836089999999997</v>
      </c>
      <c r="E3445">
        <v>0.49609029999999998</v>
      </c>
      <c r="F3445" t="s">
        <v>42</v>
      </c>
      <c r="G3445">
        <v>-429.15989999999999</v>
      </c>
      <c r="H3445">
        <v>1.0320990000000001</v>
      </c>
      <c r="I3445">
        <v>212.71530000000001</v>
      </c>
      <c r="J3445">
        <v>-429.80349999999999</v>
      </c>
      <c r="K3445">
        <v>1.109634</v>
      </c>
      <c r="L3445">
        <v>212.6986</v>
      </c>
      <c r="M3445">
        <v>0.99982550000000003</v>
      </c>
      <c r="N3445">
        <v>0</v>
      </c>
      <c r="O3445">
        <v>-1.746321E-2</v>
      </c>
      <c r="P3445">
        <v>0.99390279999999998</v>
      </c>
      <c r="Q3445">
        <v>0.1099446</v>
      </c>
      <c r="R3445">
        <v>-8.3431730000000006E-3</v>
      </c>
      <c r="S3445">
        <v>3.045471</v>
      </c>
      <c r="T3445">
        <v>-0.23770749999999999</v>
      </c>
      <c r="U3445">
        <v>3.388977E-2</v>
      </c>
      <c r="V3445">
        <v>-9.1437329999999994E-3</v>
      </c>
      <c r="W3445">
        <v>0.1165419</v>
      </c>
      <c r="X3445">
        <v>0.99314369999999996</v>
      </c>
      <c r="Y3445">
        <v>-2.8448419999999999E-2</v>
      </c>
      <c r="Z3445">
        <v>2.4694700000000001E-3</v>
      </c>
      <c r="AA3445">
        <v>0.99959219999999904</v>
      </c>
      <c r="AB3445">
        <v>34</v>
      </c>
      <c r="AC3445">
        <v>0.64359999999999196</v>
      </c>
      <c r="AD3445">
        <v>-7.7535000000000104E-2</v>
      </c>
      <c r="AE3445">
        <v>1.6700000000014301E-2</v>
      </c>
      <c r="AF3445">
        <v>-2.7537631948771801E-2</v>
      </c>
      <c r="AG3445">
        <v>-7.7535000000000104E-2</v>
      </c>
      <c r="AH3445">
        <v>0.63401480925300202</v>
      </c>
      <c r="AI3445">
        <v>96.965698610694005</v>
      </c>
      <c r="AJ3445">
        <v>92.487006652686802</v>
      </c>
      <c r="AK3445">
        <v>0.63933150692771801</v>
      </c>
      <c r="AL3445">
        <v>83.307432629873205</v>
      </c>
      <c r="AM3445">
        <v>90.5274992004816</v>
      </c>
      <c r="AN3445">
        <v>1.0000000155792299</v>
      </c>
    </row>
    <row r="3446" spans="1:40" x14ac:dyDescent="0.25">
      <c r="A3446" t="str">
        <f>"20190312164054865"</f>
        <v>20190312164054865</v>
      </c>
      <c r="B3446" t="str">
        <f>"1552380054859412"</f>
        <v>1552380054859412</v>
      </c>
      <c r="C3446" t="s">
        <v>40</v>
      </c>
      <c r="D3446">
        <v>5.6869560000000003</v>
      </c>
      <c r="E3446">
        <v>0.49596800000000002</v>
      </c>
      <c r="F3446" t="s">
        <v>49</v>
      </c>
      <c r="G3446">
        <v>-415.654</v>
      </c>
      <c r="H3446" s="1">
        <v>3.3618550000000002E-6</v>
      </c>
      <c r="I3446">
        <v>212.86420000000001</v>
      </c>
      <c r="J3446">
        <v>-429.47620000000001</v>
      </c>
      <c r="K3446">
        <v>1.109634</v>
      </c>
      <c r="L3446">
        <v>212.69329999999999</v>
      </c>
      <c r="M3446">
        <v>0.99983379999999999</v>
      </c>
      <c r="N3446">
        <v>0</v>
      </c>
      <c r="O3446">
        <v>-1.6973019999999998E-2</v>
      </c>
      <c r="P3446">
        <v>0.99397659999999999</v>
      </c>
      <c r="Q3446">
        <v>0.1092635</v>
      </c>
      <c r="R3446">
        <v>-8.4914810000000004E-3</v>
      </c>
      <c r="S3446">
        <v>3.045105</v>
      </c>
      <c r="T3446">
        <v>-0.23880290000000001</v>
      </c>
      <c r="U3446">
        <v>3.5629269999999998E-2</v>
      </c>
      <c r="V3446">
        <v>-8.5098239999999992E-3</v>
      </c>
      <c r="W3446">
        <v>0.1158684</v>
      </c>
      <c r="X3446">
        <v>0.99322809999999995</v>
      </c>
      <c r="Y3446">
        <v>-2.853056E-2</v>
      </c>
      <c r="Z3446">
        <v>2.4459429999999999E-3</v>
      </c>
      <c r="AA3446">
        <v>0.99958990000000003</v>
      </c>
      <c r="AB3446">
        <v>35</v>
      </c>
      <c r="AC3446">
        <v>13.8222</v>
      </c>
      <c r="AD3446">
        <v>-1.1096306381450001</v>
      </c>
      <c r="AE3446">
        <v>0.17090000000001701</v>
      </c>
      <c r="AF3446">
        <v>-0.40288895229136801</v>
      </c>
      <c r="AG3446">
        <v>-1.1096306381450001</v>
      </c>
      <c r="AH3446">
        <v>13.7288433241067</v>
      </c>
      <c r="AI3446">
        <v>94.618893785739502</v>
      </c>
      <c r="AJ3446">
        <v>91.680929184944901</v>
      </c>
      <c r="AK3446">
        <v>13.7795042972836</v>
      </c>
      <c r="AL3446">
        <v>83.346284318637899</v>
      </c>
      <c r="AM3446">
        <v>90.490889322852198</v>
      </c>
      <c r="AN3446">
        <v>0.99999998092634002</v>
      </c>
    </row>
    <row r="3447" spans="1:40" x14ac:dyDescent="0.25">
      <c r="A3447" t="str">
        <f>"20190312164054887"</f>
        <v>20190312164054887</v>
      </c>
      <c r="B3447" t="str">
        <f>"1552380054879907"</f>
        <v>1552380054879907</v>
      </c>
      <c r="C3447" t="s">
        <v>40</v>
      </c>
      <c r="D3447">
        <v>5.7441079999999998</v>
      </c>
      <c r="E3447">
        <v>0.49586079999999999</v>
      </c>
      <c r="F3447" t="s">
        <v>49</v>
      </c>
      <c r="G3447">
        <v>-415.36340000000001</v>
      </c>
      <c r="H3447" s="1">
        <v>3.310513E-6</v>
      </c>
      <c r="I3447">
        <v>212.86179999999999</v>
      </c>
      <c r="J3447">
        <v>-429.12189999999998</v>
      </c>
      <c r="K3447">
        <v>1.1096379999999999</v>
      </c>
      <c r="L3447">
        <v>212.68780000000001</v>
      </c>
      <c r="M3447">
        <v>0.99984280000000003</v>
      </c>
      <c r="N3447">
        <v>0</v>
      </c>
      <c r="O3447">
        <v>-1.6443260000000001E-2</v>
      </c>
      <c r="P3447">
        <v>0.99397959999999996</v>
      </c>
      <c r="Q3447">
        <v>0.10922510000000001</v>
      </c>
      <c r="R3447">
        <v>-8.6589270000000003E-3</v>
      </c>
      <c r="S3447">
        <v>3.0448</v>
      </c>
      <c r="T3447">
        <v>-0.2393999</v>
      </c>
      <c r="U3447">
        <v>3.6346440000000001E-2</v>
      </c>
      <c r="V3447">
        <v>-7.8164879999999999E-3</v>
      </c>
      <c r="W3447">
        <v>0.1158376</v>
      </c>
      <c r="X3447">
        <v>0.99323740000000005</v>
      </c>
      <c r="Y3447">
        <v>-2.823931E-2</v>
      </c>
      <c r="Z3447">
        <v>2.399263E-3</v>
      </c>
      <c r="AA3447">
        <v>0.99959830000000005</v>
      </c>
      <c r="AB3447">
        <v>35</v>
      </c>
      <c r="AC3447">
        <v>13.7584999999999</v>
      </c>
      <c r="AD3447">
        <v>-1.1096346894869999</v>
      </c>
      <c r="AE3447">
        <v>0.17399999999997801</v>
      </c>
      <c r="AF3447">
        <v>-0.39763004904607702</v>
      </c>
      <c r="AG3447">
        <v>-1.1096346894869999</v>
      </c>
      <c r="AH3447">
        <v>13.6649085913626</v>
      </c>
      <c r="AI3447">
        <v>94.640460550049596</v>
      </c>
      <c r="AJ3447">
        <v>91.666758069787505</v>
      </c>
      <c r="AK3447">
        <v>13.715652576903301</v>
      </c>
      <c r="AL3447">
        <v>83.348061052161796</v>
      </c>
      <c r="AM3447">
        <v>90.450891728263102</v>
      </c>
      <c r="AN3447">
        <v>0.99999998990858696</v>
      </c>
    </row>
    <row r="3448" spans="1:40" x14ac:dyDescent="0.25">
      <c r="A3448" t="str">
        <f>"20190312164054910"</f>
        <v>20190312164054910</v>
      </c>
      <c r="B3448" t="str">
        <f>"1552380054899429"</f>
        <v>1552380054899429</v>
      </c>
      <c r="C3448" t="s">
        <v>40</v>
      </c>
      <c r="D3448">
        <v>5.6495490000000004</v>
      </c>
      <c r="E3448">
        <v>0.49571799999999999</v>
      </c>
      <c r="F3448" t="s">
        <v>49</v>
      </c>
      <c r="G3448">
        <v>-414.94490000000002</v>
      </c>
      <c r="H3448" s="1">
        <v>3.236614E-6</v>
      </c>
      <c r="I3448">
        <v>212.858</v>
      </c>
      <c r="J3448">
        <v>-428.77859999999998</v>
      </c>
      <c r="K3448">
        <v>1.1096410000000001</v>
      </c>
      <c r="L3448">
        <v>212.68260000000001</v>
      </c>
      <c r="M3448">
        <v>0.99985100000000005</v>
      </c>
      <c r="N3448">
        <v>0</v>
      </c>
      <c r="O3448">
        <v>-1.5930179999999999E-2</v>
      </c>
      <c r="P3448">
        <v>0.9939578</v>
      </c>
      <c r="Q3448">
        <v>0.1094078</v>
      </c>
      <c r="R3448">
        <v>-8.8364069999999992E-3</v>
      </c>
      <c r="S3448">
        <v>3.0446780000000002</v>
      </c>
      <c r="T3448">
        <v>-0.23830770000000001</v>
      </c>
      <c r="U3448">
        <v>3.6544800000000002E-2</v>
      </c>
      <c r="V3448">
        <v>-7.1295899999999999E-3</v>
      </c>
      <c r="W3448">
        <v>0.11602750000000001</v>
      </c>
      <c r="X3448">
        <v>0.9932204</v>
      </c>
      <c r="Y3448">
        <v>-2.7796129999999999E-2</v>
      </c>
      <c r="Z3448">
        <v>2.3310340000000001E-3</v>
      </c>
      <c r="AA3448">
        <v>0.99961089999999997</v>
      </c>
      <c r="AB3448">
        <v>35</v>
      </c>
      <c r="AC3448">
        <v>13.833699999999901</v>
      </c>
      <c r="AD3448">
        <v>-1.109637763386</v>
      </c>
      <c r="AE3448">
        <v>0.175399999999996</v>
      </c>
      <c r="AF3448">
        <v>-0.39322630546360299</v>
      </c>
      <c r="AG3448">
        <v>-1.109637763386</v>
      </c>
      <c r="AH3448">
        <v>13.740755536183601</v>
      </c>
      <c r="AI3448">
        <v>94.615033313013299</v>
      </c>
      <c r="AJ3448">
        <v>91.639215558000402</v>
      </c>
      <c r="AK3448">
        <v>13.791094430769499</v>
      </c>
      <c r="AL3448">
        <v>83.337106702570296</v>
      </c>
      <c r="AM3448">
        <v>90.411276692107904</v>
      </c>
      <c r="AN3448">
        <v>0.99999998739298801</v>
      </c>
    </row>
    <row r="3449" spans="1:40" x14ac:dyDescent="0.25">
      <c r="A3449" t="str">
        <f>"20190312164054931"</f>
        <v>20190312164054931</v>
      </c>
      <c r="B3449" t="str">
        <f>"1552380054919925"</f>
        <v>1552380054919925</v>
      </c>
      <c r="C3449" t="s">
        <v>40</v>
      </c>
      <c r="D3449">
        <v>5.7562949999999997</v>
      </c>
      <c r="E3449">
        <v>0.49560419999999999</v>
      </c>
      <c r="F3449" t="s">
        <v>49</v>
      </c>
      <c r="G3449">
        <v>-414.53269999999998</v>
      </c>
      <c r="H3449" s="1">
        <v>3.1636469999999999E-6</v>
      </c>
      <c r="I3449">
        <v>212.8563</v>
      </c>
      <c r="J3449">
        <v>-428.44209999999998</v>
      </c>
      <c r="K3449">
        <v>1.109639</v>
      </c>
      <c r="L3449">
        <v>212.67769999999999</v>
      </c>
      <c r="M3449">
        <v>0.99985889999999999</v>
      </c>
      <c r="N3449">
        <v>0</v>
      </c>
      <c r="O3449">
        <v>-1.5427959999999999E-2</v>
      </c>
      <c r="P3449">
        <v>0.99389740000000004</v>
      </c>
      <c r="Q3449">
        <v>0.109916</v>
      </c>
      <c r="R3449">
        <v>-9.3215750000000003E-3</v>
      </c>
      <c r="S3449">
        <v>3.0446780000000002</v>
      </c>
      <c r="T3449">
        <v>-0.23715629999999999</v>
      </c>
      <c r="U3449">
        <v>3.7124629999999999E-2</v>
      </c>
      <c r="V3449">
        <v>-6.1460100000000004E-3</v>
      </c>
      <c r="W3449">
        <v>0.1165437</v>
      </c>
      <c r="X3449">
        <v>0.99316660000000001</v>
      </c>
      <c r="Y3449">
        <v>-2.748811E-2</v>
      </c>
      <c r="Z3449">
        <v>2.268768E-3</v>
      </c>
      <c r="AA3449">
        <v>0.99961949999999999</v>
      </c>
      <c r="AB3449">
        <v>35</v>
      </c>
      <c r="AC3449">
        <v>13.9094</v>
      </c>
      <c r="AD3449">
        <v>-1.1096358363529999</v>
      </c>
      <c r="AE3449">
        <v>0.178600000000017</v>
      </c>
      <c r="AF3449">
        <v>-0.39069111897923098</v>
      </c>
      <c r="AG3449">
        <v>-1.1096358363529999</v>
      </c>
      <c r="AH3449">
        <v>13.8170688009036</v>
      </c>
      <c r="AI3449">
        <v>94.589689580201593</v>
      </c>
      <c r="AJ3449">
        <v>91.619662576294402</v>
      </c>
      <c r="AK3449">
        <v>13.8670588622343</v>
      </c>
      <c r="AL3449">
        <v>83.307329030718606</v>
      </c>
      <c r="AM3449">
        <v>90.354558780846403</v>
      </c>
      <c r="AN3449">
        <v>1.0000000514020799</v>
      </c>
    </row>
    <row r="3450" spans="1:40" x14ac:dyDescent="0.25">
      <c r="A3450" t="str">
        <f>"20190312164054955"</f>
        <v>20190312164054955</v>
      </c>
      <c r="B3450" t="str">
        <f>"1552380054949202"</f>
        <v>1552380054949202</v>
      </c>
      <c r="C3450" t="s">
        <v>40</v>
      </c>
      <c r="D3450">
        <v>5.6726510000000001</v>
      </c>
      <c r="E3450">
        <v>0.49542599999999998</v>
      </c>
      <c r="F3450" t="s">
        <v>49</v>
      </c>
      <c r="G3450">
        <v>-414.03359999999998</v>
      </c>
      <c r="H3450" s="1">
        <v>3.0756499999999999E-6</v>
      </c>
      <c r="I3450">
        <v>212.8502</v>
      </c>
      <c r="J3450">
        <v>-428.07900000000001</v>
      </c>
      <c r="K3450">
        <v>1.1096440000000001</v>
      </c>
      <c r="L3450">
        <v>212.67259999999999</v>
      </c>
      <c r="M3450">
        <v>0.9998669</v>
      </c>
      <c r="N3450">
        <v>0</v>
      </c>
      <c r="O3450">
        <v>-1.488569E-2</v>
      </c>
      <c r="P3450">
        <v>0.99376900000000001</v>
      </c>
      <c r="Q3450">
        <v>0.1110761</v>
      </c>
      <c r="R3450">
        <v>-9.2459880000000001E-3</v>
      </c>
      <c r="S3450">
        <v>3.0446780000000002</v>
      </c>
      <c r="T3450">
        <v>-0.23447860000000001</v>
      </c>
      <c r="U3450">
        <v>3.645325E-2</v>
      </c>
      <c r="V3450">
        <v>-5.6825349999999998E-3</v>
      </c>
      <c r="W3450">
        <v>0.1177106</v>
      </c>
      <c r="X3450">
        <v>0.99303169999999996</v>
      </c>
      <c r="Y3450">
        <v>-2.673232E-2</v>
      </c>
      <c r="Z3450">
        <v>2.1724740000000002E-3</v>
      </c>
      <c r="AA3450">
        <v>0.99964030000000004</v>
      </c>
      <c r="AB3450">
        <v>35</v>
      </c>
      <c r="AC3450">
        <v>14.045400000000001</v>
      </c>
      <c r="AD3450">
        <v>-1.1096409243500001</v>
      </c>
      <c r="AE3450">
        <v>0.177600000000012</v>
      </c>
      <c r="AF3450">
        <v>-0.38426242092171597</v>
      </c>
      <c r="AG3450">
        <v>-1.1096409243500001</v>
      </c>
      <c r="AH3450">
        <v>13.954117717676301</v>
      </c>
      <c r="AI3450">
        <v>94.544916137097303</v>
      </c>
      <c r="AJ3450">
        <v>91.577387601691996</v>
      </c>
      <c r="AK3450">
        <v>14.0034410723898</v>
      </c>
      <c r="AL3450">
        <v>83.240006969583007</v>
      </c>
      <c r="AM3450">
        <v>90.327866390000807</v>
      </c>
      <c r="AN3450">
        <v>1.00000001688063</v>
      </c>
    </row>
    <row r="3451" spans="1:40" x14ac:dyDescent="0.25">
      <c r="A3451" t="str">
        <f>"20190312164054977"</f>
        <v>20190312164054977</v>
      </c>
      <c r="B3451" t="str">
        <f>"1552380054969699"</f>
        <v>1552380054969699</v>
      </c>
      <c r="C3451" t="s">
        <v>40</v>
      </c>
      <c r="D3451">
        <v>5.7191260000000002</v>
      </c>
      <c r="E3451">
        <v>0.49532399999999999</v>
      </c>
      <c r="F3451" t="s">
        <v>49</v>
      </c>
      <c r="G3451">
        <v>-413.31349999999998</v>
      </c>
      <c r="H3451" s="1">
        <v>2.9472489999999998E-6</v>
      </c>
      <c r="I3451">
        <v>212.8579</v>
      </c>
      <c r="J3451">
        <v>-427.72719999999998</v>
      </c>
      <c r="K3451">
        <v>1.1096549999999901</v>
      </c>
      <c r="L3451">
        <v>212.6678</v>
      </c>
      <c r="M3451">
        <v>0.9998745</v>
      </c>
      <c r="N3451">
        <v>0</v>
      </c>
      <c r="O3451">
        <v>-1.4360690000000001E-2</v>
      </c>
      <c r="P3451">
        <v>0.9935986</v>
      </c>
      <c r="Q3451">
        <v>0.1125408</v>
      </c>
      <c r="R3451">
        <v>-9.8390639999999998E-3</v>
      </c>
      <c r="S3451">
        <v>3.044708</v>
      </c>
      <c r="T3451">
        <v>-0.22881280000000001</v>
      </c>
      <c r="U3451">
        <v>3.8208010000000001E-2</v>
      </c>
      <c r="V3451">
        <v>-4.5675450000000001E-3</v>
      </c>
      <c r="W3451">
        <v>0.1191822</v>
      </c>
      <c r="X3451">
        <v>0.99286189999999996</v>
      </c>
      <c r="Y3451">
        <v>-2.6790560000000001E-2</v>
      </c>
      <c r="Z3451">
        <v>2.0828909999999999E-3</v>
      </c>
      <c r="AA3451">
        <v>0.9996389</v>
      </c>
      <c r="AB3451">
        <v>35</v>
      </c>
      <c r="AC3451">
        <v>14.4137</v>
      </c>
      <c r="AD3451">
        <v>-1.1096520527510001</v>
      </c>
      <c r="AE3451">
        <v>0.19010000000000099</v>
      </c>
      <c r="AF3451">
        <v>-0.39473657468601098</v>
      </c>
      <c r="AG3451">
        <v>-1.1096520527510001</v>
      </c>
      <c r="AH3451">
        <v>14.3245988255171</v>
      </c>
      <c r="AI3451">
        <v>94.427885242279004</v>
      </c>
      <c r="AJ3451">
        <v>91.578474752042894</v>
      </c>
      <c r="AK3451">
        <v>14.372935544055601</v>
      </c>
      <c r="AL3451">
        <v>83.155092659900703</v>
      </c>
      <c r="AM3451">
        <v>90.263580670269803</v>
      </c>
      <c r="AN3451">
        <v>1.00000000586788</v>
      </c>
    </row>
    <row r="3452" spans="1:40" x14ac:dyDescent="0.25">
      <c r="A3452" t="str">
        <f>"20190312164055000"</f>
        <v>20190312164055000</v>
      </c>
      <c r="B3452" t="str">
        <f>"1552380054989218"</f>
        <v>1552380054989218</v>
      </c>
      <c r="C3452" t="s">
        <v>40</v>
      </c>
      <c r="D3452">
        <v>5.7042120000000001</v>
      </c>
      <c r="E3452">
        <v>0.4952183</v>
      </c>
      <c r="F3452" t="s">
        <v>49</v>
      </c>
      <c r="G3452">
        <v>-412.56380000000001</v>
      </c>
      <c r="H3452" s="1">
        <v>2.8145189999999998E-6</v>
      </c>
      <c r="I3452">
        <v>212.85489999999999</v>
      </c>
      <c r="J3452">
        <v>-427.363</v>
      </c>
      <c r="K3452">
        <v>1.109666</v>
      </c>
      <c r="L3452">
        <v>212.66300000000001</v>
      </c>
      <c r="M3452">
        <v>0.9998821</v>
      </c>
      <c r="N3452">
        <v>0</v>
      </c>
      <c r="O3452">
        <v>-1.3818179999999999E-2</v>
      </c>
      <c r="P3452">
        <v>0.99343400000000004</v>
      </c>
      <c r="Q3452">
        <v>0.11394650000000001</v>
      </c>
      <c r="R3452">
        <v>-1.025745E-2</v>
      </c>
      <c r="S3452">
        <v>3.0449519999999999</v>
      </c>
      <c r="T3452">
        <v>-0.2228281</v>
      </c>
      <c r="U3452">
        <v>3.7567139999999999E-2</v>
      </c>
      <c r="V3452">
        <v>-3.6101129999999999E-3</v>
      </c>
      <c r="W3452">
        <v>0.1205953</v>
      </c>
      <c r="X3452">
        <v>0.9926952</v>
      </c>
      <c r="Y3452">
        <v>-2.604625E-2</v>
      </c>
      <c r="Z3452">
        <v>1.9615570000000001E-3</v>
      </c>
      <c r="AA3452">
        <v>0.99965879999999996</v>
      </c>
      <c r="AB3452">
        <v>35</v>
      </c>
      <c r="AC3452">
        <v>14.799200000000001</v>
      </c>
      <c r="AD3452">
        <v>-1.109663185481</v>
      </c>
      <c r="AE3452">
        <v>0.19190000000000401</v>
      </c>
      <c r="AF3452">
        <v>-0.394168552501859</v>
      </c>
      <c r="AG3452">
        <v>-1.109663185481</v>
      </c>
      <c r="AH3452">
        <v>14.7124329497075</v>
      </c>
      <c r="AI3452">
        <v>94.311740259931199</v>
      </c>
      <c r="AJ3452">
        <v>91.534674335586303</v>
      </c>
      <c r="AK3452">
        <v>14.759485239419201</v>
      </c>
      <c r="AL3452">
        <v>83.073539800043406</v>
      </c>
      <c r="AM3452">
        <v>90.208365394135697</v>
      </c>
      <c r="AN3452">
        <v>1.0000000097005</v>
      </c>
    </row>
    <row r="3453" spans="1:40" x14ac:dyDescent="0.25">
      <c r="A3453" t="str">
        <f>"20190312164055023"</f>
        <v>20190312164055023</v>
      </c>
      <c r="B3453" t="str">
        <f>"1552380055009714"</f>
        <v>1552380055009714</v>
      </c>
      <c r="C3453" t="s">
        <v>40</v>
      </c>
      <c r="D3453">
        <v>5.6743160000000001</v>
      </c>
      <c r="E3453">
        <v>0.4950986</v>
      </c>
      <c r="F3453" t="s">
        <v>49</v>
      </c>
      <c r="G3453">
        <v>-411.80630000000002</v>
      </c>
      <c r="H3453" s="1">
        <v>2.6803750000000002E-6</v>
      </c>
      <c r="I3453">
        <v>212.85220000000001</v>
      </c>
      <c r="J3453">
        <v>-427.0188</v>
      </c>
      <c r="K3453">
        <v>1.109672</v>
      </c>
      <c r="L3453">
        <v>212.65880000000001</v>
      </c>
      <c r="M3453">
        <v>0.99988889999999997</v>
      </c>
      <c r="N3453">
        <v>0</v>
      </c>
      <c r="O3453">
        <v>-1.3310010000000001E-2</v>
      </c>
      <c r="P3453">
        <v>0.99321110000000001</v>
      </c>
      <c r="Q3453">
        <v>0.1158201</v>
      </c>
      <c r="R3453">
        <v>-1.0834299999999899E-2</v>
      </c>
      <c r="S3453">
        <v>3.0451350000000001</v>
      </c>
      <c r="T3453">
        <v>-0.21721019999999999</v>
      </c>
      <c r="U3453">
        <v>3.7033080000000003E-2</v>
      </c>
      <c r="V3453">
        <v>-2.5279109999999999E-3</v>
      </c>
      <c r="W3453">
        <v>0.12247520000000001</v>
      </c>
      <c r="X3453">
        <v>0.99246840000000003</v>
      </c>
      <c r="Y3453">
        <v>-2.5370480000000001E-2</v>
      </c>
      <c r="Z3453">
        <v>1.8518460000000001E-3</v>
      </c>
      <c r="AA3453">
        <v>0.99967640000000002</v>
      </c>
      <c r="AB3453">
        <v>35</v>
      </c>
      <c r="AC3453">
        <v>15.212499999999901</v>
      </c>
      <c r="AD3453">
        <v>-1.109669319625</v>
      </c>
      <c r="AE3453">
        <v>0.19339999999999599</v>
      </c>
      <c r="AF3453">
        <v>-0.39377107152009</v>
      </c>
      <c r="AG3453">
        <v>-1.109669319625</v>
      </c>
      <c r="AH3453">
        <v>15.1280959297862</v>
      </c>
      <c r="AI3453">
        <v>94.193805700081697</v>
      </c>
      <c r="AJ3453">
        <v>91.491022229889893</v>
      </c>
      <c r="AK3453">
        <v>15.173849482464799</v>
      </c>
      <c r="AL3453">
        <v>82.965025290464496</v>
      </c>
      <c r="AM3453">
        <v>90.145937460641704</v>
      </c>
      <c r="AN3453">
        <v>1.00000004497381</v>
      </c>
    </row>
    <row r="3454" spans="1:40" x14ac:dyDescent="0.25">
      <c r="A3454" t="str">
        <f>"20190312164055045"</f>
        <v>20190312164055045</v>
      </c>
      <c r="B3454" t="str">
        <f>"1552380055039970"</f>
        <v>1552380055039970</v>
      </c>
      <c r="C3454" t="s">
        <v>40</v>
      </c>
      <c r="D3454">
        <v>5.6888690000000004</v>
      </c>
      <c r="E3454">
        <v>0.4950754</v>
      </c>
      <c r="F3454" t="s">
        <v>49</v>
      </c>
      <c r="G3454">
        <v>-410.94630000000001</v>
      </c>
      <c r="H3454" s="1">
        <v>2.52824E-6</v>
      </c>
      <c r="I3454">
        <v>212.84739999999999</v>
      </c>
      <c r="J3454">
        <v>-426.64640000000003</v>
      </c>
      <c r="K3454">
        <v>1.1096760000000001</v>
      </c>
      <c r="L3454">
        <v>212.65430000000001</v>
      </c>
      <c r="M3454">
        <v>0.99989609999999995</v>
      </c>
      <c r="N3454">
        <v>0</v>
      </c>
      <c r="O3454">
        <v>-1.2766690000000001E-2</v>
      </c>
      <c r="P3454">
        <v>0.99300739999999998</v>
      </c>
      <c r="Q3454">
        <v>0.11754290000000001</v>
      </c>
      <c r="R3454">
        <v>-1.0974940000000001E-2</v>
      </c>
      <c r="S3454">
        <v>3.0453800000000002</v>
      </c>
      <c r="T3454">
        <v>-0.21025730000000001</v>
      </c>
      <c r="U3454">
        <v>3.575134E-2</v>
      </c>
      <c r="V3454">
        <v>-1.8460359999999999E-3</v>
      </c>
      <c r="W3454">
        <v>0.1242052</v>
      </c>
      <c r="X3454">
        <v>0.99225490000000005</v>
      </c>
      <c r="Y3454">
        <v>-2.4415360000000001E-2</v>
      </c>
      <c r="Z3454">
        <v>1.7221750000000001E-3</v>
      </c>
      <c r="AA3454">
        <v>0.99970040000000004</v>
      </c>
      <c r="AB3454">
        <v>35</v>
      </c>
      <c r="AC3454">
        <v>15.700100000000001</v>
      </c>
      <c r="AD3454">
        <v>-1.1096734717600001</v>
      </c>
      <c r="AE3454">
        <v>0.19309999999998601</v>
      </c>
      <c r="AF3454">
        <v>-0.391571233852888</v>
      </c>
      <c r="AG3454">
        <v>-1.1096734717600001</v>
      </c>
      <c r="AH3454">
        <v>15.6183442955796</v>
      </c>
      <c r="AI3454">
        <v>94.062727288223002</v>
      </c>
      <c r="AJ3454">
        <v>91.436175289331402</v>
      </c>
      <c r="AK3454">
        <v>15.662610950297299</v>
      </c>
      <c r="AL3454">
        <v>82.865141040544003</v>
      </c>
      <c r="AM3454">
        <v>90.106595542734993</v>
      </c>
      <c r="AN3454">
        <v>1.0000000630649699</v>
      </c>
    </row>
    <row r="3455" spans="1:40" x14ac:dyDescent="0.25">
      <c r="A3455" t="str">
        <f>"20190312164055067"</f>
        <v>20190312164055067</v>
      </c>
      <c r="B3455" t="str">
        <f>"1552380055059491"</f>
        <v>1552380055059491</v>
      </c>
      <c r="C3455" t="s">
        <v>40</v>
      </c>
      <c r="D3455">
        <v>5.616498</v>
      </c>
      <c r="E3455">
        <v>0.49499850000000001</v>
      </c>
      <c r="F3455" t="s">
        <v>49</v>
      </c>
      <c r="G3455">
        <v>-410.11160000000001</v>
      </c>
      <c r="H3455" s="1">
        <v>2.3800519999999998E-6</v>
      </c>
      <c r="I3455">
        <v>212.84889999999999</v>
      </c>
      <c r="J3455">
        <v>-426.30070000000001</v>
      </c>
      <c r="K3455">
        <v>1.10968</v>
      </c>
      <c r="L3455">
        <v>212.65029999999999</v>
      </c>
      <c r="M3455">
        <v>0.99990219999999996</v>
      </c>
      <c r="N3455">
        <v>0</v>
      </c>
      <c r="O3455">
        <v>-1.227059E-2</v>
      </c>
      <c r="P3455">
        <v>0.99282740000000003</v>
      </c>
      <c r="Q3455">
        <v>0.11906</v>
      </c>
      <c r="R3455">
        <v>-1.0903390000000001E-2</v>
      </c>
      <c r="S3455">
        <v>3.045715</v>
      </c>
      <c r="T3455">
        <v>-0.20440230000000001</v>
      </c>
      <c r="U3455">
        <v>3.5858149999999998E-2</v>
      </c>
      <c r="V3455">
        <v>-1.4237169999999999E-3</v>
      </c>
      <c r="W3455">
        <v>0.1257286</v>
      </c>
      <c r="X3455">
        <v>0.99206360000000005</v>
      </c>
      <c r="Y3455">
        <v>-2.3960140000000001E-2</v>
      </c>
      <c r="Z3455">
        <v>1.6256300000000001E-3</v>
      </c>
      <c r="AA3455">
        <v>0.99971160000000003</v>
      </c>
      <c r="AB3455">
        <v>35</v>
      </c>
      <c r="AC3455">
        <v>16.1890999999999</v>
      </c>
      <c r="AD3455">
        <v>-1.1096776199480001</v>
      </c>
      <c r="AE3455">
        <v>0.198599999999999</v>
      </c>
      <c r="AF3455">
        <v>-0.39538195247149799</v>
      </c>
      <c r="AG3455">
        <v>-1.1096776199480001</v>
      </c>
      <c r="AH3455">
        <v>16.109765699934702</v>
      </c>
      <c r="AI3455">
        <v>93.939257934871193</v>
      </c>
      <c r="AJ3455">
        <v>91.405927974515293</v>
      </c>
      <c r="AK3455">
        <v>16.152778776896099</v>
      </c>
      <c r="AL3455">
        <v>82.777166168621804</v>
      </c>
      <c r="AM3455">
        <v>90.082225493728799</v>
      </c>
      <c r="AN3455">
        <v>0.99999994713650597</v>
      </c>
    </row>
    <row r="3456" spans="1:40" x14ac:dyDescent="0.25">
      <c r="A3456" t="str">
        <f>"20190312164055089"</f>
        <v>20190312164055089</v>
      </c>
      <c r="B3456" t="str">
        <f>"1552380055079989"</f>
        <v>1552380055079989</v>
      </c>
      <c r="C3456" t="s">
        <v>40</v>
      </c>
      <c r="D3456">
        <v>5.6730479999999996</v>
      </c>
      <c r="E3456">
        <v>0.49489880000000003</v>
      </c>
      <c r="F3456" t="s">
        <v>49</v>
      </c>
      <c r="G3456">
        <v>-409.30759999999998</v>
      </c>
      <c r="H3456" s="1">
        <v>4.6378900000000002E-6</v>
      </c>
      <c r="I3456">
        <v>212.8587</v>
      </c>
      <c r="J3456">
        <v>-425.95440000000002</v>
      </c>
      <c r="K3456">
        <v>1.1096820000000001</v>
      </c>
      <c r="L3456">
        <v>212.6465</v>
      </c>
      <c r="M3456">
        <v>0.99990800000000002</v>
      </c>
      <c r="N3456">
        <v>0</v>
      </c>
      <c r="O3456">
        <v>-1.1785830000000001E-2</v>
      </c>
      <c r="P3456">
        <v>0.99265550000000002</v>
      </c>
      <c r="Q3456">
        <v>0.12049650000000001</v>
      </c>
      <c r="R3456">
        <v>-1.076004E-2</v>
      </c>
      <c r="S3456">
        <v>3.0458980000000002</v>
      </c>
      <c r="T3456">
        <v>-0.19890260000000001</v>
      </c>
      <c r="U3456">
        <v>3.7353520000000001E-2</v>
      </c>
      <c r="V3456">
        <v>-1.083391E-3</v>
      </c>
      <c r="W3456">
        <v>0.12717129999999999</v>
      </c>
      <c r="X3456">
        <v>0.99188019999999999</v>
      </c>
      <c r="Y3456">
        <v>-2.397084E-2</v>
      </c>
      <c r="Z3456">
        <v>1.5506129999999999E-3</v>
      </c>
      <c r="AA3456">
        <v>0.99971149999999998</v>
      </c>
      <c r="AB3456">
        <v>36</v>
      </c>
      <c r="AC3456">
        <v>16.646799999999999</v>
      </c>
      <c r="AD3456">
        <v>-1.10967736211</v>
      </c>
      <c r="AE3456">
        <v>0.212199999999995</v>
      </c>
      <c r="AF3456">
        <v>-0.40657966745226098</v>
      </c>
      <c r="AG3456">
        <v>-1.10967736211</v>
      </c>
      <c r="AH3456">
        <v>16.569526855675502</v>
      </c>
      <c r="AI3456">
        <v>93.830283388329903</v>
      </c>
      <c r="AJ3456">
        <v>91.405630074951702</v>
      </c>
      <c r="AK3456">
        <v>16.611619761327201</v>
      </c>
      <c r="AL3456">
        <v>82.693837199965003</v>
      </c>
      <c r="AM3456">
        <v>90.062581859358701</v>
      </c>
      <c r="AN3456">
        <v>1.00000002221589</v>
      </c>
    </row>
    <row r="3457" spans="1:40" x14ac:dyDescent="0.25">
      <c r="A3457" t="str">
        <f>"20190312164055112"</f>
        <v>20190312164055112</v>
      </c>
      <c r="B3457" t="str">
        <f>"1552380055099510"</f>
        <v>1552380055099510</v>
      </c>
      <c r="C3457" t="s">
        <v>40</v>
      </c>
      <c r="D3457">
        <v>5.5905709999999997</v>
      </c>
      <c r="E3457">
        <v>0.49479109999999998</v>
      </c>
      <c r="F3457" t="s">
        <v>49</v>
      </c>
      <c r="G3457">
        <v>-408.4692</v>
      </c>
      <c r="H3457" s="1">
        <v>5.0074419999999996E-6</v>
      </c>
      <c r="I3457">
        <v>212.86959999999999</v>
      </c>
      <c r="J3457">
        <v>-425.59879999999998</v>
      </c>
      <c r="K3457">
        <v>1.109674</v>
      </c>
      <c r="L3457">
        <v>212.64269999999999</v>
      </c>
      <c r="M3457">
        <v>0.99991350000000001</v>
      </c>
      <c r="N3457">
        <v>0</v>
      </c>
      <c r="O3457">
        <v>-1.130192E-2</v>
      </c>
      <c r="P3457">
        <v>0.99244370000000004</v>
      </c>
      <c r="Q3457">
        <v>0.1221993</v>
      </c>
      <c r="R3457">
        <v>-1.108545E-2</v>
      </c>
      <c r="S3457">
        <v>3.0460820000000002</v>
      </c>
      <c r="T3457">
        <v>-0.19331609999999999</v>
      </c>
      <c r="U3457">
        <v>3.8864139999999998E-2</v>
      </c>
      <c r="V3457">
        <v>-2.7455859999999998E-4</v>
      </c>
      <c r="W3457">
        <v>0.12887799999999999</v>
      </c>
      <c r="X3457">
        <v>0.9916604</v>
      </c>
      <c r="Y3457">
        <v>-2.3987149999999999E-2</v>
      </c>
      <c r="Z3457">
        <v>1.4768940000000001E-3</v>
      </c>
      <c r="AA3457">
        <v>0.99971120000000002</v>
      </c>
      <c r="AB3457">
        <v>36</v>
      </c>
      <c r="AC3457">
        <v>17.1295999999999</v>
      </c>
      <c r="AD3457">
        <v>-1.1096689925579999</v>
      </c>
      <c r="AE3457">
        <v>0.22689999999999999</v>
      </c>
      <c r="AF3457">
        <v>-0.418730342750398</v>
      </c>
      <c r="AG3457">
        <v>-1.1096689925579999</v>
      </c>
      <c r="AH3457">
        <v>17.0543844100185</v>
      </c>
      <c r="AI3457">
        <v>93.721669276457206</v>
      </c>
      <c r="AJ3457">
        <v>91.406480680304398</v>
      </c>
      <c r="AK3457">
        <v>17.0955762692478</v>
      </c>
      <c r="AL3457">
        <v>82.595238815168699</v>
      </c>
      <c r="AM3457">
        <v>90.015863342538495</v>
      </c>
      <c r="AN3457">
        <v>0.99999998159729198</v>
      </c>
    </row>
    <row r="3458" spans="1:40" x14ac:dyDescent="0.25">
      <c r="A3458" t="str">
        <f>"20190312164055133"</f>
        <v>20190312164055133</v>
      </c>
      <c r="B3458" t="str">
        <f>"1552380055129763"</f>
        <v>1552380055129763</v>
      </c>
      <c r="C3458" t="s">
        <v>40</v>
      </c>
      <c r="D3458">
        <v>5.597035</v>
      </c>
      <c r="E3458">
        <v>0.49462260000000002</v>
      </c>
      <c r="F3458" t="s">
        <v>49</v>
      </c>
      <c r="G3458">
        <v>-407.51920000000001</v>
      </c>
      <c r="H3458" s="1">
        <v>5.4279360000000003E-6</v>
      </c>
      <c r="I3458">
        <v>212.8734</v>
      </c>
      <c r="J3458">
        <v>-425.25349999999997</v>
      </c>
      <c r="K3458">
        <v>1.1096680000000001</v>
      </c>
      <c r="L3458">
        <v>212.63919999999999</v>
      </c>
      <c r="M3458">
        <v>0.99991859999999999</v>
      </c>
      <c r="N3458">
        <v>0</v>
      </c>
      <c r="O3458">
        <v>-1.0845530000000001E-2</v>
      </c>
      <c r="P3458">
        <v>0.99227050000000006</v>
      </c>
      <c r="Q3458">
        <v>0.1235015</v>
      </c>
      <c r="R3458">
        <v>-1.211544E-2</v>
      </c>
      <c r="S3458">
        <v>3.0462950000000002</v>
      </c>
      <c r="T3458">
        <v>-0.18697250000000001</v>
      </c>
      <c r="U3458">
        <v>3.887939E-2</v>
      </c>
      <c r="V3458">
        <v>1.211616E-3</v>
      </c>
      <c r="W3458">
        <v>0.13018060000000001</v>
      </c>
      <c r="X3458">
        <v>0.99148950000000002</v>
      </c>
      <c r="Y3458">
        <v>-2.354125E-2</v>
      </c>
      <c r="Z3458">
        <v>1.3867669999999999E-3</v>
      </c>
      <c r="AA3458">
        <v>0.99972190000000005</v>
      </c>
      <c r="AB3458">
        <v>36</v>
      </c>
      <c r="AC3458">
        <v>17.734299999999902</v>
      </c>
      <c r="AD3458">
        <v>-1.1096625720640001</v>
      </c>
      <c r="AE3458">
        <v>0.23420000000001501</v>
      </c>
      <c r="AF3458">
        <v>-0.424865309667536</v>
      </c>
      <c r="AG3458">
        <v>-1.1096625720640001</v>
      </c>
      <c r="AH3458">
        <v>17.6615803050917</v>
      </c>
      <c r="AI3458">
        <v>93.594084062897196</v>
      </c>
      <c r="AJ3458">
        <v>91.378036090820302</v>
      </c>
      <c r="AK3458">
        <v>17.701505032860901</v>
      </c>
      <c r="AL3458">
        <v>82.519970947985101</v>
      </c>
      <c r="AM3458">
        <v>89.9299836774521</v>
      </c>
      <c r="AN3458">
        <v>0.99999994261996905</v>
      </c>
    </row>
    <row r="3459" spans="1:40" x14ac:dyDescent="0.25">
      <c r="A3459" t="str">
        <f>"20190312164055157"</f>
        <v>20190312164055157</v>
      </c>
      <c r="B3459" t="str">
        <f>"1552380055149283"</f>
        <v>1552380055149283</v>
      </c>
      <c r="C3459" t="s">
        <v>40</v>
      </c>
      <c r="D3459">
        <v>5.5536379999999896</v>
      </c>
      <c r="E3459">
        <v>0.49456280000000002</v>
      </c>
      <c r="F3459" t="s">
        <v>49</v>
      </c>
      <c r="G3459">
        <v>-406.58150000000001</v>
      </c>
      <c r="H3459" s="1">
        <v>5.8451119999999996E-6</v>
      </c>
      <c r="I3459">
        <v>212.86680000000001</v>
      </c>
      <c r="J3459">
        <v>-424.87729999999999</v>
      </c>
      <c r="K3459">
        <v>1.109664</v>
      </c>
      <c r="L3459">
        <v>212.63550000000001</v>
      </c>
      <c r="M3459">
        <v>0.99992380000000003</v>
      </c>
      <c r="N3459">
        <v>0</v>
      </c>
      <c r="O3459">
        <v>-1.035969E-2</v>
      </c>
      <c r="P3459">
        <v>0.99208459999999998</v>
      </c>
      <c r="Q3459">
        <v>0.1249262</v>
      </c>
      <c r="R3459">
        <v>-1.273435E-2</v>
      </c>
      <c r="S3459">
        <v>3.0463559999999998</v>
      </c>
      <c r="T3459">
        <v>-0.1810427</v>
      </c>
      <c r="U3459">
        <v>3.7139890000000002E-2</v>
      </c>
      <c r="V3459">
        <v>2.3153729999999999E-3</v>
      </c>
      <c r="W3459">
        <v>0.131605</v>
      </c>
      <c r="X3459">
        <v>0.9912995</v>
      </c>
      <c r="Y3459">
        <v>-2.2491219999999999E-2</v>
      </c>
      <c r="Z3459">
        <v>1.282823E-3</v>
      </c>
      <c r="AA3459">
        <v>0.99974620000000003</v>
      </c>
      <c r="AB3459">
        <v>36</v>
      </c>
      <c r="AC3459">
        <v>18.2957999999999</v>
      </c>
      <c r="AD3459">
        <v>-1.109658154888</v>
      </c>
      <c r="AE3459">
        <v>0.231300000000004</v>
      </c>
      <c r="AF3459">
        <v>-0.41928855129518899</v>
      </c>
      <c r="AG3459">
        <v>-1.109658154888</v>
      </c>
      <c r="AH3459">
        <v>18.225389766024801</v>
      </c>
      <c r="AI3459">
        <v>93.483249761355594</v>
      </c>
      <c r="AJ3459">
        <v>91.317899248765201</v>
      </c>
      <c r="AK3459">
        <v>18.263952919165</v>
      </c>
      <c r="AL3459">
        <v>82.437650778364599</v>
      </c>
      <c r="AM3459">
        <v>89.866174794139894</v>
      </c>
      <c r="AN3459">
        <v>0.99999996783868905</v>
      </c>
    </row>
    <row r="3460" spans="1:40" x14ac:dyDescent="0.25">
      <c r="A3460" t="str">
        <f>"20190312164055182"</f>
        <v>20190312164055182</v>
      </c>
      <c r="B3460" t="str">
        <f>"1552380055179538"</f>
        <v>1552380055179538</v>
      </c>
      <c r="C3460" t="s">
        <v>40</v>
      </c>
      <c r="D3460">
        <v>5.6336830000000004</v>
      </c>
      <c r="E3460">
        <v>0.49443359999999897</v>
      </c>
      <c r="F3460" t="s">
        <v>49</v>
      </c>
      <c r="G3460">
        <v>-405.68759999999997</v>
      </c>
      <c r="H3460" s="1">
        <v>6.2419299999999999E-6</v>
      </c>
      <c r="I3460">
        <v>212.86490000000001</v>
      </c>
      <c r="J3460">
        <v>-424.46640000000002</v>
      </c>
      <c r="K3460">
        <v>1.1096619999999999</v>
      </c>
      <c r="L3460">
        <v>212.6317</v>
      </c>
      <c r="M3460">
        <v>0.99992899999999996</v>
      </c>
      <c r="N3460">
        <v>0</v>
      </c>
      <c r="O3460">
        <v>-9.8398640000000002E-3</v>
      </c>
      <c r="P3460">
        <v>0.99182720000000002</v>
      </c>
      <c r="Q3460">
        <v>0.1268415</v>
      </c>
      <c r="R3460">
        <v>-1.378652E-2</v>
      </c>
      <c r="S3460">
        <v>3.0466310000000001</v>
      </c>
      <c r="T3460">
        <v>-0.1761733</v>
      </c>
      <c r="U3460">
        <v>3.642273E-2</v>
      </c>
      <c r="V3460">
        <v>3.885707E-3</v>
      </c>
      <c r="W3460">
        <v>0.133521</v>
      </c>
      <c r="X3460">
        <v>0.99103839999999999</v>
      </c>
      <c r="Y3460">
        <v>-2.1740289999999999E-2</v>
      </c>
      <c r="Z3460">
        <v>1.196541E-3</v>
      </c>
      <c r="AA3460">
        <v>0.99976299999999996</v>
      </c>
      <c r="AB3460">
        <v>36</v>
      </c>
      <c r="AC3460">
        <v>18.7788</v>
      </c>
      <c r="AD3460">
        <v>-1.1096557580699999</v>
      </c>
      <c r="AE3460">
        <v>0.23320000000001001</v>
      </c>
      <c r="AF3460">
        <v>-0.41651957100019599</v>
      </c>
      <c r="AG3460">
        <v>-1.1096557580699999</v>
      </c>
      <c r="AH3460">
        <v>18.710274932451</v>
      </c>
      <c r="AI3460">
        <v>93.393243177464896</v>
      </c>
      <c r="AJ3460">
        <v>91.275281762699095</v>
      </c>
      <c r="AK3460">
        <v>18.7477788685046</v>
      </c>
      <c r="AL3460">
        <v>82.326895078031797</v>
      </c>
      <c r="AM3460">
        <v>89.775353335774199</v>
      </c>
      <c r="AN3460">
        <v>1.0000000332172201</v>
      </c>
    </row>
    <row r="3461" spans="1:40" x14ac:dyDescent="0.25">
      <c r="A3461" t="str">
        <f>"20190312164055202"</f>
        <v>20190312164055202</v>
      </c>
      <c r="B3461" t="str">
        <f>"1552380055199059"</f>
        <v>1552380055199059</v>
      </c>
      <c r="C3461" t="s">
        <v>40</v>
      </c>
      <c r="D3461">
        <v>5.6675409999999999</v>
      </c>
      <c r="E3461">
        <v>0.49445660000000002</v>
      </c>
      <c r="F3461" t="s">
        <v>49</v>
      </c>
      <c r="G3461">
        <v>-404.45639999999997</v>
      </c>
      <c r="H3461" s="1">
        <v>6.7891349999999998E-6</v>
      </c>
      <c r="I3461">
        <v>212.85910000000001</v>
      </c>
      <c r="J3461">
        <v>-424.1327</v>
      </c>
      <c r="K3461">
        <v>1.109658</v>
      </c>
      <c r="L3461">
        <v>212.62880000000001</v>
      </c>
      <c r="M3461">
        <v>0.99993290000000001</v>
      </c>
      <c r="N3461">
        <v>0</v>
      </c>
      <c r="O3461">
        <v>-9.4237279999999993E-3</v>
      </c>
      <c r="P3461">
        <v>0.99160519999999996</v>
      </c>
      <c r="Q3461">
        <v>0.1284207</v>
      </c>
      <c r="R3461">
        <v>-1.507681E-2</v>
      </c>
      <c r="S3461">
        <v>3.0468139999999999</v>
      </c>
      <c r="T3461">
        <v>-0.16896120000000001</v>
      </c>
      <c r="U3461">
        <v>3.4622189999999997E-2</v>
      </c>
      <c r="V3461">
        <v>5.5900169999999897E-3</v>
      </c>
      <c r="W3461">
        <v>0.13510069999999999</v>
      </c>
      <c r="X3461">
        <v>0.99081609999999998</v>
      </c>
      <c r="Y3461">
        <v>-2.0739170000000001E-2</v>
      </c>
      <c r="Z3461">
        <v>1.096774E-3</v>
      </c>
      <c r="AA3461">
        <v>0.99978429999999996</v>
      </c>
      <c r="AB3461">
        <v>36</v>
      </c>
      <c r="AC3461">
        <v>19.676300000000001</v>
      </c>
      <c r="AD3461">
        <v>-1.1096512108650001</v>
      </c>
      <c r="AE3461">
        <v>0.23029999999999901</v>
      </c>
      <c r="AF3461">
        <v>-0.41440028930253803</v>
      </c>
      <c r="AG3461">
        <v>-1.1096512108650001</v>
      </c>
      <c r="AH3461">
        <v>19.610893344926598</v>
      </c>
      <c r="AI3461">
        <v>93.237815987924293</v>
      </c>
      <c r="AJ3461">
        <v>91.210544269103394</v>
      </c>
      <c r="AK3461">
        <v>19.646633075304202</v>
      </c>
      <c r="AL3461">
        <v>82.235557046694197</v>
      </c>
      <c r="AM3461">
        <v>89.676750323973806</v>
      </c>
      <c r="AN3461">
        <v>0.99999999572487996</v>
      </c>
    </row>
    <row r="3462" spans="1:40" x14ac:dyDescent="0.25">
      <c r="A3462" t="str">
        <f>"20190312164055223"</f>
        <v>20190312164055223</v>
      </c>
      <c r="B3462" t="str">
        <f>"1552380055209794"</f>
        <v>1552380055209794</v>
      </c>
      <c r="C3462" t="s">
        <v>40</v>
      </c>
      <c r="D3462">
        <v>5.6820050000000002</v>
      </c>
      <c r="E3462">
        <v>0.49448359999999902</v>
      </c>
      <c r="F3462" t="s">
        <v>49</v>
      </c>
      <c r="G3462">
        <v>-403.43799999999999</v>
      </c>
      <c r="H3462" s="1">
        <v>7.2455210000000003E-6</v>
      </c>
      <c r="I3462">
        <v>212.83609999999999</v>
      </c>
      <c r="J3462">
        <v>-423.80450000000002</v>
      </c>
      <c r="K3462">
        <v>1.1096569999999999</v>
      </c>
      <c r="L3462">
        <v>212.626</v>
      </c>
      <c r="M3462">
        <v>0.99993679999999996</v>
      </c>
      <c r="N3462">
        <v>0</v>
      </c>
      <c r="O3462">
        <v>-9.0172399999999993E-3</v>
      </c>
      <c r="P3462">
        <v>0.99138029999999999</v>
      </c>
      <c r="Q3462">
        <v>0.12995119999999999</v>
      </c>
      <c r="R3462">
        <v>-1.6682200000000001E-2</v>
      </c>
      <c r="S3462">
        <v>3.0469970000000002</v>
      </c>
      <c r="T3462">
        <v>-0.16337950000000001</v>
      </c>
      <c r="U3462">
        <v>3.0517579999999999E-2</v>
      </c>
      <c r="V3462">
        <v>7.5993519999999898E-3</v>
      </c>
      <c r="W3462">
        <v>0.13663320000000001</v>
      </c>
      <c r="X3462">
        <v>0.99059249999999999</v>
      </c>
      <c r="Y3462">
        <v>-1.899147E-2</v>
      </c>
      <c r="Z3462">
        <v>9.919372000000001E-4</v>
      </c>
      <c r="AA3462">
        <v>0.99981920000000002</v>
      </c>
      <c r="AB3462">
        <v>36</v>
      </c>
      <c r="AC3462">
        <v>20.366499999999899</v>
      </c>
      <c r="AD3462">
        <v>-1.1096497544789901</v>
      </c>
      <c r="AE3462">
        <v>0.210100000000011</v>
      </c>
      <c r="AF3462">
        <v>-0.39257996137765</v>
      </c>
      <c r="AG3462">
        <v>-1.1096497544789901</v>
      </c>
      <c r="AH3462">
        <v>20.3035125353443</v>
      </c>
      <c r="AI3462">
        <v>93.127695897565602</v>
      </c>
      <c r="AJ3462">
        <v>91.107708450286594</v>
      </c>
      <c r="AK3462">
        <v>20.3376021909313</v>
      </c>
      <c r="AL3462">
        <v>82.146928988872503</v>
      </c>
      <c r="AM3462">
        <v>89.560462798475299</v>
      </c>
      <c r="AN3462">
        <v>0.99999994127465297</v>
      </c>
    </row>
    <row r="3463" spans="1:40" x14ac:dyDescent="0.25">
      <c r="A3463" t="str">
        <f>"20190312164055246"</f>
        <v>20190312164055246</v>
      </c>
      <c r="B3463" t="str">
        <f>"1552380055240051"</f>
        <v>1552380055240051</v>
      </c>
      <c r="C3463" t="s">
        <v>40</v>
      </c>
      <c r="D3463">
        <v>5.8130059999999997</v>
      </c>
      <c r="E3463">
        <v>0.4945156</v>
      </c>
      <c r="F3463" t="s">
        <v>49</v>
      </c>
      <c r="G3463">
        <v>-402.48110000000003</v>
      </c>
      <c r="H3463" s="1">
        <v>7.6763710000000006E-6</v>
      </c>
      <c r="I3463">
        <v>212.80459999999999</v>
      </c>
      <c r="J3463">
        <v>-423.41460000000001</v>
      </c>
      <c r="K3463">
        <v>1.10965</v>
      </c>
      <c r="L3463">
        <v>212.62289999999999</v>
      </c>
      <c r="M3463">
        <v>0.99994090000000002</v>
      </c>
      <c r="N3463">
        <v>0</v>
      </c>
      <c r="O3463">
        <v>-8.5362449999999996E-3</v>
      </c>
      <c r="P3463">
        <v>0.99120370000000002</v>
      </c>
      <c r="Q3463">
        <v>0.13117039999999999</v>
      </c>
      <c r="R3463">
        <v>-1.7605050000000001E-2</v>
      </c>
      <c r="S3463">
        <v>3.0473020000000002</v>
      </c>
      <c r="T3463">
        <v>-0.15857839999999901</v>
      </c>
      <c r="U3463">
        <v>2.5512699999999999E-2</v>
      </c>
      <c r="V3463">
        <v>8.9994419999999999E-3</v>
      </c>
      <c r="W3463">
        <v>0.1378537</v>
      </c>
      <c r="X3463">
        <v>0.99041170000000001</v>
      </c>
      <c r="Y3463">
        <v>-1.6873389999999999E-2</v>
      </c>
      <c r="Z3463">
        <v>8.8265119999999999E-4</v>
      </c>
      <c r="AA3463">
        <v>0.9998572</v>
      </c>
      <c r="AB3463">
        <v>36</v>
      </c>
      <c r="AC3463">
        <v>20.933499999999899</v>
      </c>
      <c r="AD3463">
        <v>-1.1096423236290001</v>
      </c>
      <c r="AE3463">
        <v>0.181700000000006</v>
      </c>
      <c r="AF3463">
        <v>-0.359381185133689</v>
      </c>
      <c r="AG3463">
        <v>-1.1096423236290001</v>
      </c>
      <c r="AH3463">
        <v>20.872542009594</v>
      </c>
      <c r="AI3463">
        <v>93.042687930545199</v>
      </c>
      <c r="AJ3463">
        <v>90.986415105573897</v>
      </c>
      <c r="AK3463">
        <v>20.905106334694398</v>
      </c>
      <c r="AL3463">
        <v>82.076331781944702</v>
      </c>
      <c r="AM3463">
        <v>89.479392404029397</v>
      </c>
      <c r="AN3463">
        <v>0.99999998402844503</v>
      </c>
    </row>
    <row r="3464" spans="1:40" x14ac:dyDescent="0.25">
      <c r="A3464" t="str">
        <f>"20190312164055269"</f>
        <v>20190312164055269</v>
      </c>
      <c r="B3464" t="str">
        <f>"1552380055259571"</f>
        <v>1552380055259571</v>
      </c>
      <c r="C3464" t="s">
        <v>40</v>
      </c>
      <c r="D3464">
        <v>5.4869890000000003</v>
      </c>
      <c r="E3464">
        <v>0.49452420000000002</v>
      </c>
      <c r="F3464" t="s">
        <v>49</v>
      </c>
      <c r="G3464">
        <v>-401.38440000000003</v>
      </c>
      <c r="H3464" s="1">
        <v>8.1662509999999993E-6</v>
      </c>
      <c r="I3464">
        <v>212.78739999999999</v>
      </c>
      <c r="J3464">
        <v>-423.05990000000003</v>
      </c>
      <c r="K3464">
        <v>1.1096569999999999</v>
      </c>
      <c r="L3464">
        <v>212.62029999999999</v>
      </c>
      <c r="M3464">
        <v>0.99994459999999996</v>
      </c>
      <c r="N3464">
        <v>0</v>
      </c>
      <c r="O3464">
        <v>-8.0991150000000005E-3</v>
      </c>
      <c r="P3464">
        <v>0.99099910000000002</v>
      </c>
      <c r="Q3464">
        <v>0.13260259999999999</v>
      </c>
      <c r="R3464">
        <v>-1.8364689999999999E-2</v>
      </c>
      <c r="S3464">
        <v>3.0473330000000001</v>
      </c>
      <c r="T3464">
        <v>-0.15349170000000001</v>
      </c>
      <c r="U3464">
        <v>2.275085E-2</v>
      </c>
      <c r="V3464">
        <v>1.019274E-2</v>
      </c>
      <c r="W3464">
        <v>0.139288299999999</v>
      </c>
      <c r="X3464">
        <v>0.99019939999999995</v>
      </c>
      <c r="Y3464">
        <v>-1.553449E-2</v>
      </c>
      <c r="Z3464">
        <v>7.9866780000000003E-4</v>
      </c>
      <c r="AA3464">
        <v>0.99987899999999996</v>
      </c>
      <c r="AB3464">
        <v>36</v>
      </c>
      <c r="AC3464">
        <v>21.6755</v>
      </c>
      <c r="AD3464">
        <v>-1.10964883374899</v>
      </c>
      <c r="AE3464">
        <v>0.167100000000004</v>
      </c>
      <c r="AF3464">
        <v>-0.341755237234457</v>
      </c>
      <c r="AG3464">
        <v>-1.10964883374899</v>
      </c>
      <c r="AH3464">
        <v>21.616785879751401</v>
      </c>
      <c r="AI3464">
        <v>92.938203498679499</v>
      </c>
      <c r="AJ3464">
        <v>90.905754521404205</v>
      </c>
      <c r="AK3464">
        <v>21.647945605702098</v>
      </c>
      <c r="AL3464">
        <v>81.993334556752203</v>
      </c>
      <c r="AM3464">
        <v>89.410239636253095</v>
      </c>
      <c r="AN3464">
        <v>0.99999998711297799</v>
      </c>
    </row>
    <row r="3465" spans="1:40" x14ac:dyDescent="0.25">
      <c r="A3465" t="str">
        <f>"20190312164055289"</f>
        <v>20190312164055289</v>
      </c>
      <c r="B3465" t="str">
        <f>"1552380055279091"</f>
        <v>1552380055279091</v>
      </c>
      <c r="C3465" t="s">
        <v>40</v>
      </c>
      <c r="D3465">
        <v>5.5982560000000001</v>
      </c>
      <c r="E3465">
        <v>0.49452810000000003</v>
      </c>
      <c r="F3465" t="s">
        <v>49</v>
      </c>
      <c r="G3465">
        <v>-400.22719999999998</v>
      </c>
      <c r="H3465" s="1">
        <v>8.6819400000000001E-6</v>
      </c>
      <c r="I3465">
        <v>212.77520000000001</v>
      </c>
      <c r="J3465">
        <v>-422.70890000000003</v>
      </c>
      <c r="K3465">
        <v>1.1096600000000001</v>
      </c>
      <c r="L3465">
        <v>212.61779999999999</v>
      </c>
      <c r="M3465">
        <v>0.99994799999999995</v>
      </c>
      <c r="N3465">
        <v>0</v>
      </c>
      <c r="O3465">
        <v>-7.6660410000000002E-3</v>
      </c>
      <c r="P3465">
        <v>0.99084760000000005</v>
      </c>
      <c r="Q3465">
        <v>0.1335797</v>
      </c>
      <c r="R3465">
        <v>-1.9437059999999999E-2</v>
      </c>
      <c r="S3465">
        <v>3.0474239999999999</v>
      </c>
      <c r="T3465">
        <v>-0.14810219999999999</v>
      </c>
      <c r="U3465">
        <v>2.0675659999999998E-2</v>
      </c>
      <c r="V3465">
        <v>1.1694420000000001E-2</v>
      </c>
      <c r="W3465">
        <v>0.14026849999999999</v>
      </c>
      <c r="X3465">
        <v>0.99004440000000005</v>
      </c>
      <c r="Y3465">
        <v>-1.442425E-2</v>
      </c>
      <c r="Z3465">
        <v>7.226391E-4</v>
      </c>
      <c r="AA3465">
        <v>0.99989570000000005</v>
      </c>
      <c r="AB3465">
        <v>36</v>
      </c>
      <c r="AC3465">
        <v>22.4817</v>
      </c>
      <c r="AD3465">
        <v>-1.1096513180600001</v>
      </c>
      <c r="AE3465">
        <v>0.15740000000002299</v>
      </c>
      <c r="AF3465">
        <v>-0.32894356984383799</v>
      </c>
      <c r="AG3465">
        <v>-1.1096513180600001</v>
      </c>
      <c r="AH3465">
        <v>22.425202862142701</v>
      </c>
      <c r="AI3465">
        <v>92.832513985126496</v>
      </c>
      <c r="AJ3465">
        <v>90.8403815475572</v>
      </c>
      <c r="AK3465">
        <v>22.455049617581899</v>
      </c>
      <c r="AL3465">
        <v>81.936616220143506</v>
      </c>
      <c r="AM3465">
        <v>89.323252825567295</v>
      </c>
      <c r="AN3465">
        <v>0.99999996276137204</v>
      </c>
    </row>
    <row r="3466" spans="1:40" x14ac:dyDescent="0.25">
      <c r="A3466" t="str">
        <f>"20190312164055312"</f>
        <v>20190312164055312</v>
      </c>
      <c r="B3466" t="str">
        <f>"1552380055299591"</f>
        <v>1552380055299591</v>
      </c>
      <c r="C3466" t="s">
        <v>40</v>
      </c>
      <c r="D3466">
        <v>5.656447</v>
      </c>
      <c r="E3466">
        <v>0.49460900000000002</v>
      </c>
      <c r="F3466" t="s">
        <v>48</v>
      </c>
      <c r="G3466">
        <v>-399.255</v>
      </c>
      <c r="H3466" s="1">
        <v>3.3882579999999999E-6</v>
      </c>
      <c r="I3466">
        <v>212.7533</v>
      </c>
      <c r="J3466">
        <v>-422.3519</v>
      </c>
      <c r="K3466">
        <v>1.109664</v>
      </c>
      <c r="L3466">
        <v>212.61539999999999</v>
      </c>
      <c r="M3466">
        <v>0.99995120000000004</v>
      </c>
      <c r="N3466">
        <v>0</v>
      </c>
      <c r="O3466">
        <v>-7.2250989999999996E-3</v>
      </c>
      <c r="P3466">
        <v>0.99073049999999996</v>
      </c>
      <c r="Q3466">
        <v>0.1343645</v>
      </c>
      <c r="R3466">
        <v>-1.9986759999999999E-2</v>
      </c>
      <c r="S3466">
        <v>3.047485</v>
      </c>
      <c r="T3466">
        <v>-0.14418349999999999</v>
      </c>
      <c r="U3466">
        <v>1.7608639999999998E-2</v>
      </c>
      <c r="V3466">
        <v>1.268115E-2</v>
      </c>
      <c r="W3466">
        <v>0.1410564</v>
      </c>
      <c r="X3466">
        <v>0.98992029999999998</v>
      </c>
      <c r="Y3466">
        <v>-1.298038E-2</v>
      </c>
      <c r="Z3466">
        <v>6.4854099999999998E-4</v>
      </c>
      <c r="AA3466">
        <v>0.99991549999999996</v>
      </c>
      <c r="AB3466">
        <v>37</v>
      </c>
      <c r="AC3466">
        <v>23.096900000000002</v>
      </c>
      <c r="AD3466">
        <v>-1.109660611742</v>
      </c>
      <c r="AE3466">
        <v>0.13790000000000099</v>
      </c>
      <c r="AF3466">
        <v>-0.30407573561317702</v>
      </c>
      <c r="AG3466">
        <v>-1.109660611742</v>
      </c>
      <c r="AH3466">
        <v>23.0421168889984</v>
      </c>
      <c r="AI3466">
        <v>92.756876261896295</v>
      </c>
      <c r="AJ3466">
        <v>90.756060961825597</v>
      </c>
      <c r="AK3466">
        <v>23.070824854185599</v>
      </c>
      <c r="AL3466">
        <v>81.891019509571393</v>
      </c>
      <c r="AM3466">
        <v>89.266065526887701</v>
      </c>
      <c r="AN3466">
        <v>0.999999959949185</v>
      </c>
    </row>
    <row r="3467" spans="1:40" x14ac:dyDescent="0.25">
      <c r="A3467" t="str">
        <f>"20190312164055334"</f>
        <v>20190312164055334</v>
      </c>
      <c r="B3467" t="str">
        <f>"1552380055329843"</f>
        <v>1552380055329843</v>
      </c>
      <c r="C3467" t="s">
        <v>40</v>
      </c>
      <c r="D3467">
        <v>5.6248570000000004</v>
      </c>
      <c r="E3467">
        <v>0.49464910000000001</v>
      </c>
      <c r="F3467" t="s">
        <v>48</v>
      </c>
      <c r="G3467">
        <v>-398.4237</v>
      </c>
      <c r="H3467" s="1">
        <v>2.9458950000000001E-6</v>
      </c>
      <c r="I3467">
        <v>212.73779999999999</v>
      </c>
      <c r="J3467">
        <v>-421.98489999999998</v>
      </c>
      <c r="K3467">
        <v>1.1096629999999901</v>
      </c>
      <c r="L3467">
        <v>212.61320000000001</v>
      </c>
      <c r="M3467">
        <v>0.99995429999999996</v>
      </c>
      <c r="N3467">
        <v>0</v>
      </c>
      <c r="O3467">
        <v>-6.771638E-3</v>
      </c>
      <c r="P3467">
        <v>0.99063939999999995</v>
      </c>
      <c r="Q3467">
        <v>0.13491789999999901</v>
      </c>
      <c r="R3467">
        <v>-2.0755639999999999E-2</v>
      </c>
      <c r="S3467">
        <v>3.047485</v>
      </c>
      <c r="T3467">
        <v>-0.14132629999999999</v>
      </c>
      <c r="U3467">
        <v>1.557922E-2</v>
      </c>
      <c r="V3467">
        <v>1.389891E-2</v>
      </c>
      <c r="W3467">
        <v>0.1416144</v>
      </c>
      <c r="X3467">
        <v>0.98982429999999999</v>
      </c>
      <c r="Y3467">
        <v>-1.186365E-2</v>
      </c>
      <c r="Z3467">
        <v>5.8880610000000002E-4</v>
      </c>
      <c r="AA3467">
        <v>0.99992939999999997</v>
      </c>
      <c r="AB3467">
        <v>37</v>
      </c>
      <c r="AC3467">
        <v>23.5611999999999</v>
      </c>
      <c r="AD3467">
        <v>-1.1096600541049999</v>
      </c>
      <c r="AE3467">
        <v>0.124599999999986</v>
      </c>
      <c r="AF3467">
        <v>-0.28351983006846698</v>
      </c>
      <c r="AG3467">
        <v>-1.1096600541049999</v>
      </c>
      <c r="AH3467">
        <v>23.507674611869099</v>
      </c>
      <c r="AI3467">
        <v>92.702396800707305</v>
      </c>
      <c r="AJ3467">
        <v>90.690995700757</v>
      </c>
      <c r="AK3467">
        <v>23.5355580895638</v>
      </c>
      <c r="AL3467">
        <v>81.858724451896904</v>
      </c>
      <c r="AM3467">
        <v>89.195517275352103</v>
      </c>
      <c r="AN3467">
        <v>0.99999998142851798</v>
      </c>
    </row>
    <row r="3468" spans="1:40" x14ac:dyDescent="0.25">
      <c r="A3468" t="str">
        <f>"20190312164055357"</f>
        <v>20190312164055357</v>
      </c>
      <c r="B3468" t="str">
        <f>"1552380055349363"</f>
        <v>1552380055349363</v>
      </c>
      <c r="C3468" t="s">
        <v>40</v>
      </c>
      <c r="D3468">
        <v>5.5447620000000004</v>
      </c>
      <c r="E3468">
        <v>0.49465019999999998</v>
      </c>
      <c r="F3468" t="s">
        <v>48</v>
      </c>
      <c r="G3468">
        <v>-397.69130000000001</v>
      </c>
      <c r="H3468" s="1">
        <v>2.556116E-6</v>
      </c>
      <c r="I3468">
        <v>212.71850000000001</v>
      </c>
      <c r="J3468">
        <v>-421.60180000000003</v>
      </c>
      <c r="K3468">
        <v>1.1096619999999999</v>
      </c>
      <c r="L3468">
        <v>212.61089999999999</v>
      </c>
      <c r="M3468">
        <v>0.9999574</v>
      </c>
      <c r="N3468">
        <v>0</v>
      </c>
      <c r="O3468">
        <v>-6.298746E-3</v>
      </c>
      <c r="P3468">
        <v>0.99056140000000004</v>
      </c>
      <c r="Q3468">
        <v>0.13546359999999999</v>
      </c>
      <c r="R3468">
        <v>-2.0921180000000001E-2</v>
      </c>
      <c r="S3468">
        <v>3.047577</v>
      </c>
      <c r="T3468">
        <v>-0.13920439999999901</v>
      </c>
      <c r="U3468">
        <v>1.3214109999999999E-2</v>
      </c>
      <c r="V3468">
        <v>1.453285E-2</v>
      </c>
      <c r="W3468">
        <v>0.14216479999999901</v>
      </c>
      <c r="X3468">
        <v>0.98973630000000001</v>
      </c>
      <c r="Y3468">
        <v>-1.061701E-2</v>
      </c>
      <c r="Z3468">
        <v>5.2991249999999996E-4</v>
      </c>
      <c r="AA3468">
        <v>0.99994349999999999</v>
      </c>
      <c r="AB3468">
        <v>37</v>
      </c>
      <c r="AC3468">
        <v>23.910499999999999</v>
      </c>
      <c r="AD3468">
        <v>-1.109659443884</v>
      </c>
      <c r="AE3468">
        <v>0.107600000000019</v>
      </c>
      <c r="AF3468">
        <v>-0.25765254321312298</v>
      </c>
      <c r="AG3468">
        <v>-1.109659443884</v>
      </c>
      <c r="AH3468">
        <v>23.8579640416879</v>
      </c>
      <c r="AI3468">
        <v>92.662813838172596</v>
      </c>
      <c r="AJ3468">
        <v>90.618738020522102</v>
      </c>
      <c r="AK3468">
        <v>23.885145532922699</v>
      </c>
      <c r="AL3468">
        <v>81.826866591714804</v>
      </c>
      <c r="AM3468">
        <v>89.158754575491699</v>
      </c>
      <c r="AN3468">
        <v>0.99999998881292596</v>
      </c>
    </row>
    <row r="3469" spans="1:40" x14ac:dyDescent="0.25">
      <c r="A3469" t="str">
        <f>"20190312164055380"</f>
        <v>20190312164055380</v>
      </c>
      <c r="B3469" t="str">
        <f>"1552380055369871"</f>
        <v>1552380055369871</v>
      </c>
      <c r="C3469" t="s">
        <v>40</v>
      </c>
      <c r="D3469">
        <v>5.6468410000000002</v>
      </c>
      <c r="E3469">
        <v>0.49464039999999998</v>
      </c>
      <c r="F3469" t="s">
        <v>48</v>
      </c>
      <c r="G3469">
        <v>-396.97820000000002</v>
      </c>
      <c r="H3469" s="1">
        <v>2.1766500000000002E-6</v>
      </c>
      <c r="I3469">
        <v>212.7159</v>
      </c>
      <c r="J3469">
        <v>-421.22899999999998</v>
      </c>
      <c r="K3469">
        <v>1.109661</v>
      </c>
      <c r="L3469">
        <v>212.60900000000001</v>
      </c>
      <c r="M3469">
        <v>0.99996010000000002</v>
      </c>
      <c r="N3469">
        <v>0</v>
      </c>
      <c r="O3469">
        <v>-5.8387269999999897E-3</v>
      </c>
      <c r="P3469">
        <v>0.99054790000000004</v>
      </c>
      <c r="Q3469">
        <v>0.13549639999999999</v>
      </c>
      <c r="R3469">
        <v>-2.1352690000000001E-2</v>
      </c>
      <c r="S3469">
        <v>3.0476679999999998</v>
      </c>
      <c r="T3469">
        <v>-0.13734270000000001</v>
      </c>
      <c r="U3469">
        <v>1.298523E-2</v>
      </c>
      <c r="V3469">
        <v>1.5419449999999999E-2</v>
      </c>
      <c r="W3469">
        <v>0.142203</v>
      </c>
      <c r="X3469">
        <v>0.98971739999999997</v>
      </c>
      <c r="Y3469">
        <v>-1.008325E-2</v>
      </c>
      <c r="Z3469">
        <v>4.9007610000000002E-4</v>
      </c>
      <c r="AA3469">
        <v>0.99994899999999998</v>
      </c>
      <c r="AB3469">
        <v>37</v>
      </c>
      <c r="AC3469">
        <v>24.250800000000002</v>
      </c>
      <c r="AD3469">
        <v>-1.10965882335</v>
      </c>
      <c r="AE3469">
        <v>0.106899999999996</v>
      </c>
      <c r="AF3469">
        <v>-0.247976022483471</v>
      </c>
      <c r="AG3469">
        <v>-1.10965882335</v>
      </c>
      <c r="AH3469">
        <v>24.199096335510198</v>
      </c>
      <c r="AI3469">
        <v>92.625343069469693</v>
      </c>
      <c r="AJ3469">
        <v>90.587107965827201</v>
      </c>
      <c r="AK3469">
        <v>24.225794068869401</v>
      </c>
      <c r="AL3469">
        <v>81.824655456395504</v>
      </c>
      <c r="AM3469">
        <v>89.107424061004807</v>
      </c>
      <c r="AN3469">
        <v>0.999999992255031</v>
      </c>
    </row>
    <row r="3470" spans="1:40" x14ac:dyDescent="0.25">
      <c r="A3470" t="str">
        <f>"20190312164055401"</f>
        <v>20190312164055401</v>
      </c>
      <c r="B3470" t="str">
        <f>"1552380055389378"</f>
        <v>1552380055389378</v>
      </c>
      <c r="C3470" t="s">
        <v>40</v>
      </c>
      <c r="D3470">
        <v>5.4352159999999996</v>
      </c>
      <c r="E3470">
        <v>0.4946256</v>
      </c>
      <c r="F3470" t="s">
        <v>48</v>
      </c>
      <c r="G3470">
        <v>-396.46570000000003</v>
      </c>
      <c r="H3470" s="1">
        <v>1.903956E-6</v>
      </c>
      <c r="I3470">
        <v>212.70259999999999</v>
      </c>
      <c r="J3470">
        <v>-420.88850000000002</v>
      </c>
      <c r="K3470">
        <v>1.1096569999999999</v>
      </c>
      <c r="L3470">
        <v>212.60740000000001</v>
      </c>
      <c r="M3470">
        <v>0.99996240000000003</v>
      </c>
      <c r="N3470">
        <v>0</v>
      </c>
      <c r="O3470">
        <v>-5.4194739999999996E-3</v>
      </c>
      <c r="P3470">
        <v>0.99047110000000005</v>
      </c>
      <c r="Q3470">
        <v>0.13605</v>
      </c>
      <c r="R3470">
        <v>-2.1394239999999998E-2</v>
      </c>
      <c r="S3470">
        <v>3.0475460000000001</v>
      </c>
      <c r="T3470">
        <v>-0.13656279999999901</v>
      </c>
      <c r="U3470">
        <v>1.152039E-2</v>
      </c>
      <c r="V3470">
        <v>1.5875710000000001E-2</v>
      </c>
      <c r="W3470">
        <v>0.1427609</v>
      </c>
      <c r="X3470">
        <v>0.98962989999999995</v>
      </c>
      <c r="Y3470">
        <v>-9.1850390000000007E-3</v>
      </c>
      <c r="Z3470">
        <v>4.4842359999999997E-4</v>
      </c>
      <c r="AA3470">
        <v>0.99995769999999995</v>
      </c>
      <c r="AB3470">
        <v>37</v>
      </c>
      <c r="AC3470">
        <v>24.422799999999899</v>
      </c>
      <c r="AD3470">
        <v>-1.1096550960439999</v>
      </c>
      <c r="AE3470">
        <v>9.5199999999976997E-2</v>
      </c>
      <c r="AF3470">
        <v>-0.22709157315805101</v>
      </c>
      <c r="AG3470">
        <v>-1.1096550960439999</v>
      </c>
      <c r="AH3470">
        <v>24.371614393166801</v>
      </c>
      <c r="AI3470">
        <v>92.6067998415256</v>
      </c>
      <c r="AJ3470">
        <v>90.533859265669804</v>
      </c>
      <c r="AK3470">
        <v>24.397919852806901</v>
      </c>
      <c r="AL3470">
        <v>81.792360927000402</v>
      </c>
      <c r="AM3470">
        <v>89.080936051987607</v>
      </c>
      <c r="AN3470">
        <v>1.00000002585541</v>
      </c>
    </row>
    <row r="3471" spans="1:40" x14ac:dyDescent="0.25">
      <c r="A3471" t="str">
        <f>"20190312164055424"</f>
        <v>20190312164055424</v>
      </c>
      <c r="B3471" t="str">
        <f>"1552380055419198"</f>
        <v>1552380055419198</v>
      </c>
      <c r="C3471" t="s">
        <v>40</v>
      </c>
      <c r="D3471">
        <v>5.4193889999999998</v>
      </c>
      <c r="E3471">
        <v>0.494612</v>
      </c>
      <c r="F3471" t="s">
        <v>48</v>
      </c>
      <c r="G3471">
        <v>-395.68119999999999</v>
      </c>
      <c r="H3471" s="1">
        <v>1.4864399999999999E-6</v>
      </c>
      <c r="I3471">
        <v>212.7047</v>
      </c>
      <c r="J3471">
        <v>-420.50420000000003</v>
      </c>
      <c r="K3471">
        <v>1.109661</v>
      </c>
      <c r="L3471">
        <v>212.60570000000001</v>
      </c>
      <c r="M3471">
        <v>0.99996499999999999</v>
      </c>
      <c r="N3471">
        <v>0</v>
      </c>
      <c r="O3471">
        <v>-4.9459839999999996E-3</v>
      </c>
      <c r="P3471">
        <v>0.99039630000000001</v>
      </c>
      <c r="Q3471">
        <v>0.13652929999999999</v>
      </c>
      <c r="R3471">
        <v>-2.1802100000000001E-2</v>
      </c>
      <c r="S3471">
        <v>3.0475159999999999</v>
      </c>
      <c r="T3471">
        <v>-0.13415479999999999</v>
      </c>
      <c r="U3471">
        <v>1.176453E-2</v>
      </c>
      <c r="V3471">
        <v>1.675192E-2</v>
      </c>
      <c r="W3471">
        <v>0.1432465</v>
      </c>
      <c r="X3471">
        <v>0.98954529999999996</v>
      </c>
      <c r="Y3471">
        <v>-8.7930449999999993E-3</v>
      </c>
      <c r="Z3471">
        <v>4.1107099999999999E-4</v>
      </c>
      <c r="AA3471">
        <v>0.99996130000000005</v>
      </c>
      <c r="AB3471">
        <v>37</v>
      </c>
      <c r="AC3471">
        <v>24.823</v>
      </c>
      <c r="AD3471">
        <v>-1.10965951356</v>
      </c>
      <c r="AE3471">
        <v>9.8999999999989499E-2</v>
      </c>
      <c r="AF3471">
        <v>-0.22133345123325099</v>
      </c>
      <c r="AG3471">
        <v>-1.10965951356</v>
      </c>
      <c r="AH3471">
        <v>24.772703026809399</v>
      </c>
      <c r="AI3471">
        <v>92.564669768883505</v>
      </c>
      <c r="AJ3471">
        <v>90.511899536509802</v>
      </c>
      <c r="AK3471">
        <v>24.798531165921101</v>
      </c>
      <c r="AL3471">
        <v>81.764249316305296</v>
      </c>
      <c r="AM3471">
        <v>89.030137740919201</v>
      </c>
      <c r="AN3471">
        <v>1.00000004366901</v>
      </c>
    </row>
    <row r="3472" spans="1:40" x14ac:dyDescent="0.25">
      <c r="A3472" t="str">
        <f>"20190312164055448"</f>
        <v>20190312164055448</v>
      </c>
      <c r="B3472" t="str">
        <f>"1552380055439692"</f>
        <v>1552380055439692</v>
      </c>
      <c r="C3472" t="s">
        <v>40</v>
      </c>
      <c r="D3472">
        <v>5.4207989999999997</v>
      </c>
      <c r="E3472">
        <v>0.49459310000000001</v>
      </c>
      <c r="F3472" t="s">
        <v>48</v>
      </c>
      <c r="G3472">
        <v>-394.8494</v>
      </c>
      <c r="H3472" s="1">
        <v>1.0438390000000001E-6</v>
      </c>
      <c r="I3472">
        <v>212.69820000000001</v>
      </c>
      <c r="J3472">
        <v>-420.10500000000002</v>
      </c>
      <c r="K3472">
        <v>1.109666</v>
      </c>
      <c r="L3472">
        <v>212.60409999999999</v>
      </c>
      <c r="M3472">
        <v>0.9999673</v>
      </c>
      <c r="N3472">
        <v>0</v>
      </c>
      <c r="O3472">
        <v>-4.4547320000000003E-3</v>
      </c>
      <c r="P3472">
        <v>0.9903092</v>
      </c>
      <c r="Q3472">
        <v>0.13706840000000001</v>
      </c>
      <c r="R3472">
        <v>-2.2367419999999999E-2</v>
      </c>
      <c r="S3472">
        <v>3.047577</v>
      </c>
      <c r="T3472">
        <v>-0.13181850000000001</v>
      </c>
      <c r="U3472">
        <v>1.0986330000000001E-2</v>
      </c>
      <c r="V3472">
        <v>1.7802709999999999E-2</v>
      </c>
      <c r="W3472">
        <v>0.14379249999999999</v>
      </c>
      <c r="X3472">
        <v>0.98944770000000004</v>
      </c>
      <c r="Y3472">
        <v>-8.0479929999999998E-3</v>
      </c>
      <c r="Z3472">
        <v>3.6656690000000001E-4</v>
      </c>
      <c r="AA3472">
        <v>0.99996759999999996</v>
      </c>
      <c r="AB3472">
        <v>37</v>
      </c>
      <c r="AC3472">
        <v>25.255600000000001</v>
      </c>
      <c r="AD3472">
        <v>-1.1096649561609999</v>
      </c>
      <c r="AE3472">
        <v>9.4100000000025802E-2</v>
      </c>
      <c r="AF3472">
        <v>-0.206210475963374</v>
      </c>
      <c r="AG3472">
        <v>-1.1096649561609999</v>
      </c>
      <c r="AH3472">
        <v>25.206270325966599</v>
      </c>
      <c r="AI3472">
        <v>92.520641445279196</v>
      </c>
      <c r="AJ3472">
        <v>90.468721720409306</v>
      </c>
      <c r="AK3472">
        <v>25.231526763575701</v>
      </c>
      <c r="AL3472">
        <v>81.732638085047398</v>
      </c>
      <c r="AM3472">
        <v>88.969212726469607</v>
      </c>
      <c r="AN3472">
        <v>0.99999998528744205</v>
      </c>
    </row>
    <row r="3473" spans="1:40" x14ac:dyDescent="0.25">
      <c r="A3473" t="str">
        <f>"20190312164055471"</f>
        <v>20190312164055471</v>
      </c>
      <c r="B3473" t="str">
        <f>"1552380055459213"</f>
        <v>1552380055459213</v>
      </c>
      <c r="C3473" t="s">
        <v>40</v>
      </c>
      <c r="D3473">
        <v>5.5274269999999897</v>
      </c>
      <c r="E3473">
        <v>0.49458859999999899</v>
      </c>
      <c r="F3473" t="s">
        <v>48</v>
      </c>
      <c r="G3473">
        <v>-393.99869999999999</v>
      </c>
      <c r="H3473" s="1">
        <v>5.9113590000000004E-7</v>
      </c>
      <c r="I3473">
        <v>212.6858</v>
      </c>
      <c r="J3473">
        <v>-419.71260000000001</v>
      </c>
      <c r="K3473">
        <v>1.109669</v>
      </c>
      <c r="L3473">
        <v>212.6028</v>
      </c>
      <c r="M3473">
        <v>0.9999692</v>
      </c>
      <c r="N3473">
        <v>0</v>
      </c>
      <c r="O3473">
        <v>-3.9719439999999998E-3</v>
      </c>
      <c r="P3473">
        <v>0.99024800000000002</v>
      </c>
      <c r="Q3473">
        <v>0.1373279</v>
      </c>
      <c r="R3473">
        <v>-2.3455150000000001E-2</v>
      </c>
      <c r="S3473">
        <v>3.0475460000000001</v>
      </c>
      <c r="T3473">
        <v>-0.12953809999999999</v>
      </c>
      <c r="U3473">
        <v>9.5367430000000003E-3</v>
      </c>
      <c r="V3473">
        <v>1.9368E-2</v>
      </c>
      <c r="W3473">
        <v>0.14405999999999999</v>
      </c>
      <c r="X3473">
        <v>0.98937940000000002</v>
      </c>
      <c r="Y3473">
        <v>-7.0913030000000002E-3</v>
      </c>
      <c r="Z3473">
        <v>3.1939940000000002E-4</v>
      </c>
      <c r="AA3473">
        <v>0.99997480000000005</v>
      </c>
      <c r="AB3473">
        <v>37</v>
      </c>
      <c r="AC3473">
        <v>25.713899999999999</v>
      </c>
      <c r="AD3473">
        <v>-1.1096684088641</v>
      </c>
      <c r="AE3473">
        <v>8.2999999999998395E-2</v>
      </c>
      <c r="AF3473">
        <v>-0.18479172143317399</v>
      </c>
      <c r="AG3473">
        <v>-1.1096684088641</v>
      </c>
      <c r="AH3473">
        <v>25.6655708816714</v>
      </c>
      <c r="AI3473">
        <v>92.475616051679296</v>
      </c>
      <c r="AJ3473">
        <v>90.412521616036301</v>
      </c>
      <c r="AK3473">
        <v>25.690212934891001</v>
      </c>
      <c r="AL3473">
        <v>81.717150333872098</v>
      </c>
      <c r="AM3473">
        <v>88.878526338897402</v>
      </c>
      <c r="AN3473">
        <v>1.00000000008418</v>
      </c>
    </row>
    <row r="3474" spans="1:40" x14ac:dyDescent="0.25">
      <c r="A3474" t="str">
        <f>"20190312164055502"</f>
        <v>20190312164055502</v>
      </c>
      <c r="B3474" t="str">
        <f>"1552380055489470"</f>
        <v>1552380055489470</v>
      </c>
      <c r="C3474" t="s">
        <v>40</v>
      </c>
      <c r="D3474">
        <v>5.6434930000000003</v>
      </c>
      <c r="E3474">
        <v>0.49461280000000002</v>
      </c>
      <c r="F3474" t="s">
        <v>48</v>
      </c>
      <c r="G3474">
        <v>-393.36130000000003</v>
      </c>
      <c r="H3474" s="1">
        <v>2.5194979999999999E-7</v>
      </c>
      <c r="I3474">
        <v>212.6566</v>
      </c>
      <c r="J3474">
        <v>-419.20119999999997</v>
      </c>
      <c r="K3474">
        <v>1.109664</v>
      </c>
      <c r="L3474">
        <v>212.60130000000001</v>
      </c>
      <c r="M3474">
        <v>0.99997139999999995</v>
      </c>
      <c r="N3474">
        <v>0</v>
      </c>
      <c r="O3474">
        <v>-3.3434839999999999E-3</v>
      </c>
      <c r="P3474">
        <v>0.99021289999999995</v>
      </c>
      <c r="Q3474">
        <v>0.1373829</v>
      </c>
      <c r="R3474">
        <v>-2.4585969999999999E-2</v>
      </c>
      <c r="S3474">
        <v>3.0475159999999999</v>
      </c>
      <c r="T3474">
        <v>-0.1283329</v>
      </c>
      <c r="U3474">
        <v>6.225586E-3</v>
      </c>
      <c r="V3474">
        <v>2.1120079999999999E-2</v>
      </c>
      <c r="W3474">
        <v>0.14412559999999999</v>
      </c>
      <c r="X3474">
        <v>0.98933400000000005</v>
      </c>
      <c r="Y3474">
        <v>-5.3786479999999998E-3</v>
      </c>
      <c r="Z3474">
        <v>2.539358E-4</v>
      </c>
      <c r="AA3474">
        <v>0.99998549999999997</v>
      </c>
      <c r="AB3474">
        <v>37</v>
      </c>
      <c r="AC3474">
        <v>25.839899999999901</v>
      </c>
      <c r="AD3474">
        <v>-1.1096637480501901</v>
      </c>
      <c r="AE3474">
        <v>5.5299999999988303E-2</v>
      </c>
      <c r="AF3474">
        <v>-0.14143613993401399</v>
      </c>
      <c r="AG3474">
        <v>-1.1096637480501901</v>
      </c>
      <c r="AH3474">
        <v>25.7920060171048</v>
      </c>
      <c r="AI3474">
        <v>92.463511753285999</v>
      </c>
      <c r="AJ3474">
        <v>90.314190864243102</v>
      </c>
      <c r="AK3474">
        <v>25.816253256462002</v>
      </c>
      <c r="AL3474">
        <v>81.713352133623701</v>
      </c>
      <c r="AM3474">
        <v>88.777048324187902</v>
      </c>
      <c r="AN3474">
        <v>1.00000000495528</v>
      </c>
    </row>
    <row r="3475" spans="1:40" x14ac:dyDescent="0.25">
      <c r="A3475" t="str">
        <f>"20190312164055524"</f>
        <v>20190312164055524</v>
      </c>
      <c r="B3475" t="str">
        <f>"1552380055519511"</f>
        <v>1552380055519511</v>
      </c>
      <c r="C3475" t="s">
        <v>40</v>
      </c>
      <c r="D3475">
        <v>5.559456</v>
      </c>
      <c r="E3475">
        <v>0.49465439999999999</v>
      </c>
      <c r="F3475" t="s">
        <v>48</v>
      </c>
      <c r="G3475">
        <v>-392.73540000000003</v>
      </c>
      <c r="H3475" s="1">
        <v>-8.1123119999999897E-8</v>
      </c>
      <c r="I3475">
        <v>212.62200000000001</v>
      </c>
      <c r="J3475">
        <v>-418.83</v>
      </c>
      <c r="K3475">
        <v>1.1096649999999999</v>
      </c>
      <c r="L3475">
        <v>212.60040000000001</v>
      </c>
      <c r="M3475">
        <v>0.99997270000000005</v>
      </c>
      <c r="N3475">
        <v>0</v>
      </c>
      <c r="O3475">
        <v>-2.8876380000000001E-3</v>
      </c>
      <c r="P3475">
        <v>0.99016599999999999</v>
      </c>
      <c r="Q3475">
        <v>0.1377158</v>
      </c>
      <c r="R3475">
        <v>-2.4602929999999999E-2</v>
      </c>
      <c r="S3475">
        <v>3.0474549999999998</v>
      </c>
      <c r="T3475">
        <v>-0.12777450000000001</v>
      </c>
      <c r="U3475">
        <v>2.380371E-3</v>
      </c>
      <c r="V3475">
        <v>2.1587809999999999E-2</v>
      </c>
      <c r="W3475">
        <v>0.14446579999999901</v>
      </c>
      <c r="X3475">
        <v>0.98927430000000005</v>
      </c>
      <c r="Y3475">
        <v>-3.6630460000000001E-3</v>
      </c>
      <c r="Z3475">
        <v>1.97782E-4</v>
      </c>
      <c r="AA3475">
        <v>0.99999329999999997</v>
      </c>
      <c r="AB3475">
        <v>38</v>
      </c>
      <c r="AC3475">
        <v>26.0945999999999</v>
      </c>
      <c r="AD3475">
        <v>-1.1096650811231199</v>
      </c>
      <c r="AE3475">
        <v>2.1600000000006499E-2</v>
      </c>
      <c r="AF3475">
        <v>-9.6778402343347503E-2</v>
      </c>
      <c r="AG3475">
        <v>-1.1096650811231199</v>
      </c>
      <c r="AH3475">
        <v>26.047326169365601</v>
      </c>
      <c r="AI3475">
        <v>92.439416065547803</v>
      </c>
      <c r="AJ3475">
        <v>90.212880525646895</v>
      </c>
      <c r="AK3475">
        <v>26.0711319897074</v>
      </c>
      <c r="AL3475">
        <v>81.693654092765996</v>
      </c>
      <c r="AM3475">
        <v>88.749897652416607</v>
      </c>
      <c r="AN3475">
        <v>1.0000000207753601</v>
      </c>
    </row>
    <row r="3476" spans="1:40" x14ac:dyDescent="0.25">
      <c r="A3476" t="str">
        <f>"20190312164055547"</f>
        <v>20190312164055547</v>
      </c>
      <c r="B3476" t="str">
        <f>"1552380055540006"</f>
        <v>1552380055540006</v>
      </c>
      <c r="C3476" t="s">
        <v>40</v>
      </c>
      <c r="D3476">
        <v>5.402768</v>
      </c>
      <c r="E3476">
        <v>0.4947086</v>
      </c>
      <c r="F3476" t="s">
        <v>48</v>
      </c>
      <c r="G3476">
        <v>-392.15539999999999</v>
      </c>
      <c r="H3476" s="1">
        <v>-3.898008E-7</v>
      </c>
      <c r="I3476">
        <v>212.61269999999999</v>
      </c>
      <c r="J3476">
        <v>-418.4314</v>
      </c>
      <c r="K3476">
        <v>1.1096699999999999</v>
      </c>
      <c r="L3476">
        <v>212.59970000000001</v>
      </c>
      <c r="M3476">
        <v>0.99997400000000003</v>
      </c>
      <c r="N3476">
        <v>0</v>
      </c>
      <c r="O3476">
        <v>-2.3986530000000002E-3</v>
      </c>
      <c r="P3476">
        <v>0.99011550000000004</v>
      </c>
      <c r="Q3476">
        <v>0.1379619</v>
      </c>
      <c r="R3476">
        <v>-2.525432E-2</v>
      </c>
      <c r="S3476">
        <v>3.0474549999999998</v>
      </c>
      <c r="T3476">
        <v>-0.12677439999999901</v>
      </c>
      <c r="U3476">
        <v>1.403809E-3</v>
      </c>
      <c r="V3476">
        <v>2.272236E-2</v>
      </c>
      <c r="W3476">
        <v>0.14472009999999999</v>
      </c>
      <c r="X3476">
        <v>0.98921170000000003</v>
      </c>
      <c r="Y3476">
        <v>-2.854812E-3</v>
      </c>
      <c r="Z3476">
        <v>1.5909790000000001E-4</v>
      </c>
      <c r="AA3476">
        <v>0.99999590000000005</v>
      </c>
      <c r="AB3476">
        <v>38</v>
      </c>
      <c r="AC3476">
        <v>26.276</v>
      </c>
      <c r="AD3476">
        <v>-1.1096703898008</v>
      </c>
      <c r="AE3476">
        <v>1.2999999999976799E-2</v>
      </c>
      <c r="AF3476">
        <v>-7.5893072114314897E-2</v>
      </c>
      <c r="AG3476">
        <v>-1.1096703898008</v>
      </c>
      <c r="AH3476">
        <v>26.229114000310801</v>
      </c>
      <c r="AI3476">
        <v>92.422547406368494</v>
      </c>
      <c r="AJ3476">
        <v>90.165782976558802</v>
      </c>
      <c r="AK3476">
        <v>26.252686517263299</v>
      </c>
      <c r="AL3476">
        <v>81.678928861528306</v>
      </c>
      <c r="AM3476">
        <v>88.6841376536441</v>
      </c>
      <c r="AN3476">
        <v>1.0000000002024301</v>
      </c>
    </row>
    <row r="3477" spans="1:40" x14ac:dyDescent="0.25">
      <c r="A3477" t="str">
        <f>"20190312164055569"</f>
        <v>20190312164055569</v>
      </c>
      <c r="B3477" t="str">
        <f>"1552380055559526"</f>
        <v>1552380055559526</v>
      </c>
      <c r="C3477" t="s">
        <v>40</v>
      </c>
      <c r="D3477">
        <v>5.6559970000000002</v>
      </c>
      <c r="E3477">
        <v>0.5146288</v>
      </c>
      <c r="F3477" t="s">
        <v>48</v>
      </c>
      <c r="G3477">
        <v>-391.54680000000002</v>
      </c>
      <c r="H3477" s="1">
        <v>-7.1369220000000002E-7</v>
      </c>
      <c r="I3477">
        <v>212.59119999999999</v>
      </c>
      <c r="J3477">
        <v>-418.06150000000002</v>
      </c>
      <c r="K3477">
        <v>1.109677</v>
      </c>
      <c r="L3477">
        <v>212.5992</v>
      </c>
      <c r="M3477">
        <v>0.99997499999999995</v>
      </c>
      <c r="N3477">
        <v>0</v>
      </c>
      <c r="O3477">
        <v>-1.944954E-3</v>
      </c>
      <c r="P3477">
        <v>0.99006070000000002</v>
      </c>
      <c r="Q3477">
        <v>0.13819509999999999</v>
      </c>
      <c r="R3477">
        <v>-2.6115449999999998E-2</v>
      </c>
      <c r="S3477">
        <v>3.0474549999999998</v>
      </c>
      <c r="T3477">
        <v>-0.12578449999999999</v>
      </c>
      <c r="U3477">
        <v>-9.6130369999999996E-4</v>
      </c>
      <c r="V3477">
        <v>2.403185E-2</v>
      </c>
      <c r="W3477">
        <v>0.14496120000000001</v>
      </c>
      <c r="X3477">
        <v>0.98914550000000001</v>
      </c>
      <c r="Y3477">
        <v>-1.62651299999999E-3</v>
      </c>
      <c r="Z3477">
        <v>1.137992E-4</v>
      </c>
      <c r="AA3477">
        <v>0.99999870000000002</v>
      </c>
      <c r="AB3477">
        <v>38</v>
      </c>
      <c r="AC3477">
        <v>26.514700000000001</v>
      </c>
      <c r="AD3477">
        <v>-1.10967771369219</v>
      </c>
      <c r="AE3477">
        <v>-8.0000000000097701E-3</v>
      </c>
      <c r="AF3477">
        <v>-4.3494895604091803E-2</v>
      </c>
      <c r="AG3477">
        <v>-1.10967771369219</v>
      </c>
      <c r="AH3477">
        <v>26.468305091385801</v>
      </c>
      <c r="AI3477">
        <v>92.400703474793403</v>
      </c>
      <c r="AJ3477">
        <v>90.094153051987902</v>
      </c>
      <c r="AK3477">
        <v>26.491592078334701</v>
      </c>
      <c r="AL3477">
        <v>81.664968043644294</v>
      </c>
      <c r="AM3477">
        <v>88.608240391504395</v>
      </c>
      <c r="AN3477">
        <v>1.0000000497450501</v>
      </c>
    </row>
    <row r="3478" spans="1:40" x14ac:dyDescent="0.25">
      <c r="A3478" t="str">
        <f>"20190312164055591"</f>
        <v>20190312164055591</v>
      </c>
      <c r="B3478" t="str">
        <f>"1552380055579047"</f>
        <v>1552380055579047</v>
      </c>
      <c r="C3478" t="s">
        <v>40</v>
      </c>
      <c r="D3478">
        <v>5.368627</v>
      </c>
      <c r="E3478">
        <v>0.5155691</v>
      </c>
      <c r="F3478" t="s">
        <v>48</v>
      </c>
      <c r="G3478">
        <v>-399.26729999999998</v>
      </c>
      <c r="H3478" s="1">
        <v>3.3948250000000001E-6</v>
      </c>
      <c r="I3478">
        <v>211.62370000000001</v>
      </c>
      <c r="J3478">
        <v>-417.68329999999997</v>
      </c>
      <c r="K3478">
        <v>1.109675</v>
      </c>
      <c r="L3478">
        <v>212.59889999999999</v>
      </c>
      <c r="M3478">
        <v>0.99997570000000002</v>
      </c>
      <c r="N3478">
        <v>0</v>
      </c>
      <c r="O3478">
        <v>-1.4810029999999901E-3</v>
      </c>
      <c r="P3478">
        <v>0.98992570000000002</v>
      </c>
      <c r="Q3478">
        <v>0.1390305</v>
      </c>
      <c r="R3478">
        <v>-2.6792090000000001E-2</v>
      </c>
      <c r="S3478">
        <v>3.0510860000000002</v>
      </c>
      <c r="T3478">
        <v>-0.18014659999999999</v>
      </c>
      <c r="U3478">
        <v>-0.15837100000000001</v>
      </c>
      <c r="V3478">
        <v>2.5166379999999999E-2</v>
      </c>
      <c r="W3478">
        <v>0.1458043</v>
      </c>
      <c r="X3478">
        <v>0.98899329999999996</v>
      </c>
      <c r="Y3478">
        <v>5.0272789999999998E-2</v>
      </c>
      <c r="Z3478">
        <v>-1.3945429999999901E-3</v>
      </c>
      <c r="AA3478">
        <v>0.99873449999999997</v>
      </c>
      <c r="AB3478">
        <v>38</v>
      </c>
      <c r="AC3478">
        <v>18.416</v>
      </c>
      <c r="AD3478">
        <v>-1.109671605175</v>
      </c>
      <c r="AE3478">
        <v>-0.97519999999997198</v>
      </c>
      <c r="AF3478">
        <v>0.94450446029808899</v>
      </c>
      <c r="AG3478">
        <v>-1.109671605175</v>
      </c>
      <c r="AH3478">
        <v>18.35098228715</v>
      </c>
      <c r="AI3478">
        <v>93.455860552368193</v>
      </c>
      <c r="AJ3478">
        <v>87.053650375946106</v>
      </c>
      <c r="AK3478">
        <v>18.408748209754702</v>
      </c>
      <c r="AL3478">
        <v>81.616142762428595</v>
      </c>
      <c r="AM3478">
        <v>88.542339716836807</v>
      </c>
      <c r="AN3478">
        <v>0.99999999401284201</v>
      </c>
    </row>
    <row r="3479" spans="1:40" x14ac:dyDescent="0.25">
      <c r="A3479" t="str">
        <f>"20190312164055614"</f>
        <v>20190312164055614</v>
      </c>
      <c r="B3479" t="str">
        <f>"1552380055609303"</f>
        <v>1552380055609303</v>
      </c>
      <c r="C3479" t="s">
        <v>40</v>
      </c>
      <c r="D3479">
        <v>5.4316719999999998</v>
      </c>
      <c r="E3479">
        <v>0.51658800000000005</v>
      </c>
      <c r="F3479" t="s">
        <v>48</v>
      </c>
      <c r="G3479">
        <v>-395.02550000000002</v>
      </c>
      <c r="H3479" s="1">
        <v>1.137517E-6</v>
      </c>
      <c r="I3479">
        <v>211.3331</v>
      </c>
      <c r="J3479">
        <v>-417.30590000000001</v>
      </c>
      <c r="K3479">
        <v>1.1096729999999999</v>
      </c>
      <c r="L3479">
        <v>212.59870000000001</v>
      </c>
      <c r="M3479">
        <v>0.99997630000000004</v>
      </c>
      <c r="N3479">
        <v>0</v>
      </c>
      <c r="O3479">
        <v>-1.0183639999999999E-3</v>
      </c>
      <c r="P3479">
        <v>0.98993980000000004</v>
      </c>
      <c r="Q3479">
        <v>0.13882429999999901</v>
      </c>
      <c r="R3479">
        <v>-2.7338830000000001E-2</v>
      </c>
      <c r="S3479">
        <v>3.046875</v>
      </c>
      <c r="T3479">
        <v>-0.14922189999999999</v>
      </c>
      <c r="U3479">
        <v>-0.1702118</v>
      </c>
      <c r="V3479">
        <v>2.6170579999999999E-2</v>
      </c>
      <c r="W3479">
        <v>0.1456066</v>
      </c>
      <c r="X3479">
        <v>0.9889964</v>
      </c>
      <c r="Y3479">
        <v>5.4696450000000001E-2</v>
      </c>
      <c r="Z3479">
        <v>-1.2877399999999999E-3</v>
      </c>
      <c r="AA3479">
        <v>0.99850220000000001</v>
      </c>
      <c r="AB3479">
        <v>38</v>
      </c>
      <c r="AC3479">
        <v>22.280399999999901</v>
      </c>
      <c r="AD3479">
        <v>-1.109671862483</v>
      </c>
      <c r="AE3479">
        <v>-1.2656000000000001</v>
      </c>
      <c r="AF3479">
        <v>1.2398436916200499</v>
      </c>
      <c r="AG3479">
        <v>-1.109671862483</v>
      </c>
      <c r="AH3479">
        <v>22.226720759043101</v>
      </c>
      <c r="AI3479">
        <v>92.853697039721695</v>
      </c>
      <c r="AJ3479">
        <v>86.807254272665205</v>
      </c>
      <c r="AK3479">
        <v>22.288914278683801</v>
      </c>
      <c r="AL3479">
        <v>81.627592633005506</v>
      </c>
      <c r="AM3479">
        <v>88.484206877488901</v>
      </c>
      <c r="AN3479">
        <v>1.00000003021702</v>
      </c>
    </row>
    <row r="3480" spans="1:40" x14ac:dyDescent="0.25">
      <c r="A3480" t="str">
        <f>"20190312164055637"</f>
        <v>20190312164055637</v>
      </c>
      <c r="B3480" t="str">
        <f>"1552380055629286"</f>
        <v>1552380055629286</v>
      </c>
      <c r="C3480" t="s">
        <v>40</v>
      </c>
      <c r="D3480">
        <v>5.4566939999999997</v>
      </c>
      <c r="E3480">
        <v>0.51666049999999997</v>
      </c>
      <c r="F3480" t="s">
        <v>48</v>
      </c>
      <c r="G3480">
        <v>-392.07330000000002</v>
      </c>
      <c r="H3480" s="1">
        <v>-4.3348759999999998E-7</v>
      </c>
      <c r="I3480">
        <v>211.1011</v>
      </c>
      <c r="J3480">
        <v>-416.90879999999999</v>
      </c>
      <c r="K3480">
        <v>1.109667</v>
      </c>
      <c r="L3480">
        <v>212.59870000000001</v>
      </c>
      <c r="M3480">
        <v>0.99997659999999999</v>
      </c>
      <c r="N3480">
        <v>0</v>
      </c>
      <c r="O3480">
        <v>-5.3236020000000002E-4</v>
      </c>
      <c r="P3480">
        <v>0.98985979999999996</v>
      </c>
      <c r="Q3480">
        <v>0.1391974</v>
      </c>
      <c r="R3480">
        <v>-2.8323040000000001E-2</v>
      </c>
      <c r="S3480">
        <v>3.0442809999999998</v>
      </c>
      <c r="T3480">
        <v>-0.13388059999999999</v>
      </c>
      <c r="U3480">
        <v>-0.18067929999999999</v>
      </c>
      <c r="V3480">
        <v>2.7634590000000001E-2</v>
      </c>
      <c r="W3480">
        <v>0.14598920000000001</v>
      </c>
      <c r="X3480">
        <v>0.98890009999999995</v>
      </c>
      <c r="Y3480">
        <v>5.8658729999999999E-2</v>
      </c>
      <c r="Z3480">
        <v>-1.264704E-3</v>
      </c>
      <c r="AA3480">
        <v>0.99827730000000003</v>
      </c>
      <c r="AB3480">
        <v>38</v>
      </c>
      <c r="AC3480">
        <v>24.8354999999999</v>
      </c>
      <c r="AD3480">
        <v>-1.1096674334876</v>
      </c>
      <c r="AE3480">
        <v>-1.4976</v>
      </c>
      <c r="AF3480">
        <v>1.4814312864685399</v>
      </c>
      <c r="AG3480">
        <v>-1.1096674334876</v>
      </c>
      <c r="AH3480">
        <v>24.7869891739679</v>
      </c>
      <c r="AI3480">
        <v>92.558754194800798</v>
      </c>
      <c r="AJ3480">
        <v>86.5797010934415</v>
      </c>
      <c r="AK3480">
        <v>24.856001946810999</v>
      </c>
      <c r="AL3480">
        <v>81.605433922044199</v>
      </c>
      <c r="AM3480">
        <v>88.399298960243399</v>
      </c>
      <c r="AN3480">
        <v>0.999999962430558</v>
      </c>
    </row>
    <row r="3481" spans="1:40" x14ac:dyDescent="0.25">
      <c r="A3481" t="str">
        <f>"20190312164055660"</f>
        <v>20190312164055660</v>
      </c>
      <c r="B3481" t="str">
        <f>"1552380055649781"</f>
        <v>1552380055649781</v>
      </c>
      <c r="C3481" t="s">
        <v>40</v>
      </c>
      <c r="D3481">
        <v>5.3562900000000004</v>
      </c>
      <c r="E3481">
        <v>0.51669600000000004</v>
      </c>
      <c r="F3481" t="s">
        <v>48</v>
      </c>
      <c r="G3481">
        <v>-388.25920000000002</v>
      </c>
      <c r="H3481" s="1">
        <v>3.0226999999999999E-6</v>
      </c>
      <c r="I3481">
        <v>210.85570000000001</v>
      </c>
      <c r="J3481">
        <v>-416.52289999999999</v>
      </c>
      <c r="K3481">
        <v>1.109664</v>
      </c>
      <c r="L3481">
        <v>212.59880000000001</v>
      </c>
      <c r="M3481">
        <v>0.99997659999999999</v>
      </c>
      <c r="N3481">
        <v>0</v>
      </c>
      <c r="O3481" s="1">
        <v>-6.0422830000000002E-5</v>
      </c>
      <c r="P3481">
        <v>0.98988410000000004</v>
      </c>
      <c r="Q3481">
        <v>0.13893329999999901</v>
      </c>
      <c r="R3481">
        <v>-2.8758929999999999E-2</v>
      </c>
      <c r="S3481">
        <v>3.0420530000000001</v>
      </c>
      <c r="T3481">
        <v>-0.1178254</v>
      </c>
      <c r="U3481">
        <v>-0.18507390000000001</v>
      </c>
      <c r="V3481">
        <v>2.853731E-2</v>
      </c>
      <c r="W3481">
        <v>0.145734</v>
      </c>
      <c r="X3481">
        <v>0.98891220000000002</v>
      </c>
      <c r="Y3481">
        <v>6.0620640000000003E-2</v>
      </c>
      <c r="Z3481">
        <v>-1.1701249999999999E-3</v>
      </c>
      <c r="AA3481">
        <v>0.99816020000000005</v>
      </c>
      <c r="AB3481">
        <v>38</v>
      </c>
      <c r="AC3481">
        <v>28.263699999999901</v>
      </c>
      <c r="AD3481">
        <v>-1.1096609772999999</v>
      </c>
      <c r="AE3481">
        <v>-1.7430999999999901</v>
      </c>
      <c r="AF3481">
        <v>1.7387222282260399</v>
      </c>
      <c r="AG3481">
        <v>-1.1096609772999999</v>
      </c>
      <c r="AH3481">
        <v>28.220470341021901</v>
      </c>
      <c r="AI3481">
        <v>92.247517717501594</v>
      </c>
      <c r="AJ3481">
        <v>86.474343816407199</v>
      </c>
      <c r="AK3481">
        <v>28.295749658561199</v>
      </c>
      <c r="AL3481">
        <v>81.620214684266998</v>
      </c>
      <c r="AM3481">
        <v>88.347058732762804</v>
      </c>
      <c r="AN3481">
        <v>1.0000000580634301</v>
      </c>
    </row>
    <row r="3482" spans="1:40" x14ac:dyDescent="0.25">
      <c r="A3482" t="str">
        <f>"20190312164055681"</f>
        <v>20190312164055681</v>
      </c>
      <c r="B3482" t="str">
        <f>"1552380055680037"</f>
        <v>1552380055680037</v>
      </c>
      <c r="C3482" t="s">
        <v>40</v>
      </c>
      <c r="D3482">
        <v>5.4176010000000003</v>
      </c>
      <c r="E3482">
        <v>0.51660609999999996</v>
      </c>
      <c r="F3482" t="s">
        <v>48</v>
      </c>
      <c r="G3482">
        <v>-384.66879999999998</v>
      </c>
      <c r="H3482" s="1">
        <v>1.1218119999999999E-6</v>
      </c>
      <c r="I3482">
        <v>210.63339999999999</v>
      </c>
      <c r="J3482">
        <v>-416.14530000000002</v>
      </c>
      <c r="K3482">
        <v>1.1096569999999999</v>
      </c>
      <c r="L3482">
        <v>212.5992</v>
      </c>
      <c r="M3482">
        <v>0.99997650000000005</v>
      </c>
      <c r="N3482">
        <v>0</v>
      </c>
      <c r="O3482">
        <v>4.0108370000000002E-4</v>
      </c>
      <c r="P3482">
        <v>0.989838</v>
      </c>
      <c r="Q3482">
        <v>0.1391799</v>
      </c>
      <c r="R3482">
        <v>-2.9153350000000001E-2</v>
      </c>
      <c r="S3482">
        <v>3.0400999999999998</v>
      </c>
      <c r="T3482">
        <v>-0.10590430000000001</v>
      </c>
      <c r="U3482">
        <v>-0.1875763</v>
      </c>
      <c r="V3482">
        <v>2.9387460000000001E-2</v>
      </c>
      <c r="W3482">
        <v>0.14598920000000001</v>
      </c>
      <c r="X3482">
        <v>0.9888496</v>
      </c>
      <c r="Y3482">
        <v>6.194624E-2</v>
      </c>
      <c r="Z3482">
        <v>-1.0915779999999999E-3</v>
      </c>
      <c r="AA3482">
        <v>0.99807889999999999</v>
      </c>
      <c r="AB3482">
        <v>38</v>
      </c>
      <c r="AC3482">
        <v>31.476500000000001</v>
      </c>
      <c r="AD3482">
        <v>-1.1096558781879999</v>
      </c>
      <c r="AE3482">
        <v>-1.9658</v>
      </c>
      <c r="AF3482">
        <v>1.9759786292961401</v>
      </c>
      <c r="AG3482">
        <v>-1.1096558781879999</v>
      </c>
      <c r="AH3482">
        <v>31.436790923650499</v>
      </c>
      <c r="AI3482">
        <v>92.017608781750397</v>
      </c>
      <c r="AJ3482">
        <v>86.403370476787401</v>
      </c>
      <c r="AK3482">
        <v>31.5183700607875</v>
      </c>
      <c r="AL3482">
        <v>81.605434242836694</v>
      </c>
      <c r="AM3482">
        <v>88.2977371059701</v>
      </c>
      <c r="AN3482">
        <v>1.0000000003710201</v>
      </c>
    </row>
    <row r="3483" spans="1:40" x14ac:dyDescent="0.25">
      <c r="A3483" t="str">
        <f>"20190312164055702"</f>
        <v>20190312164055702</v>
      </c>
      <c r="B3483" t="str">
        <f>"1552380055699558"</f>
        <v>1552380055699558</v>
      </c>
      <c r="C3483" t="s">
        <v>40</v>
      </c>
      <c r="D3483">
        <v>5.4270899999999997</v>
      </c>
      <c r="E3483">
        <v>0.51647100000000001</v>
      </c>
      <c r="F3483" t="s">
        <v>48</v>
      </c>
      <c r="G3483">
        <v>-383.99450000000002</v>
      </c>
      <c r="H3483" s="1">
        <v>7.6423509999999998E-7</v>
      </c>
      <c r="I3483">
        <v>210.6044</v>
      </c>
      <c r="J3483">
        <v>-415.78890000000001</v>
      </c>
      <c r="K3483">
        <v>1.109659</v>
      </c>
      <c r="L3483">
        <v>212.59970000000001</v>
      </c>
      <c r="M3483">
        <v>0.99997630000000004</v>
      </c>
      <c r="N3483">
        <v>0</v>
      </c>
      <c r="O3483">
        <v>8.3624529999999999E-4</v>
      </c>
      <c r="P3483">
        <v>0.98982680000000001</v>
      </c>
      <c r="Q3483">
        <v>0.1391088</v>
      </c>
      <c r="R3483">
        <v>-2.9866589999999998E-2</v>
      </c>
      <c r="S3483">
        <v>3.040009</v>
      </c>
      <c r="T3483">
        <v>-0.104923</v>
      </c>
      <c r="U3483">
        <v>-0.1886139</v>
      </c>
      <c r="V3483">
        <v>3.05308E-2</v>
      </c>
      <c r="W3483">
        <v>0.14592649999999999</v>
      </c>
      <c r="X3483">
        <v>0.98882420000000004</v>
      </c>
      <c r="Y3483">
        <v>6.2721739999999998E-2</v>
      </c>
      <c r="Z3483">
        <v>-1.1098569999999999E-3</v>
      </c>
      <c r="AA3483">
        <v>0.99803039999999998</v>
      </c>
      <c r="AB3483">
        <v>38</v>
      </c>
      <c r="AC3483">
        <v>31.7944</v>
      </c>
      <c r="AD3483">
        <v>-1.1096582357649001</v>
      </c>
      <c r="AE3483">
        <v>-1.9953000000000101</v>
      </c>
      <c r="AF3483">
        <v>2.0194376459183601</v>
      </c>
      <c r="AG3483">
        <v>-1.1096582357649001</v>
      </c>
      <c r="AH3483">
        <v>31.754192746533899</v>
      </c>
      <c r="AI3483">
        <v>91.997369208144704</v>
      </c>
      <c r="AJ3483">
        <v>86.361121673394507</v>
      </c>
      <c r="AK3483">
        <v>31.837685638092101</v>
      </c>
      <c r="AL3483">
        <v>81.609065453951402</v>
      </c>
      <c r="AM3483">
        <v>88.231505229027803</v>
      </c>
      <c r="AN3483">
        <v>0.99999998582826499</v>
      </c>
    </row>
    <row r="3484" spans="1:40" x14ac:dyDescent="0.25">
      <c r="A3484" t="str">
        <f>"20190312164055725"</f>
        <v>20190312164055725</v>
      </c>
      <c r="B3484" t="str">
        <f>"1552380055720054"</f>
        <v>1552380055720054</v>
      </c>
      <c r="C3484" t="s">
        <v>40</v>
      </c>
      <c r="D3484">
        <v>5.4770589999999997</v>
      </c>
      <c r="E3484">
        <v>0.51662070000000004</v>
      </c>
      <c r="F3484" t="s">
        <v>48</v>
      </c>
      <c r="G3484">
        <v>-383.5446</v>
      </c>
      <c r="H3484" s="1">
        <v>5.2552919999999897E-7</v>
      </c>
      <c r="I3484">
        <v>210.58920000000001</v>
      </c>
      <c r="J3484">
        <v>-415.39710000000002</v>
      </c>
      <c r="K3484">
        <v>1.1096619999999999</v>
      </c>
      <c r="L3484">
        <v>212.60040000000001</v>
      </c>
      <c r="M3484">
        <v>0.99997570000000002</v>
      </c>
      <c r="N3484">
        <v>0</v>
      </c>
      <c r="O3484">
        <v>1.3144400000000001E-3</v>
      </c>
      <c r="P3484">
        <v>0.98973440000000001</v>
      </c>
      <c r="Q3484">
        <v>0.13966020000000001</v>
      </c>
      <c r="R3484">
        <v>-3.035378E-2</v>
      </c>
      <c r="S3484">
        <v>3.0398860000000001</v>
      </c>
      <c r="T3484">
        <v>-0.104615</v>
      </c>
      <c r="U3484">
        <v>-0.18954470000000001</v>
      </c>
      <c r="V3484">
        <v>3.1489540000000003E-2</v>
      </c>
      <c r="W3484">
        <v>0.14648639999999999</v>
      </c>
      <c r="X3484">
        <v>0.98871140000000002</v>
      </c>
      <c r="Y3484">
        <v>6.3505339999999993E-2</v>
      </c>
      <c r="Z3484">
        <v>-1.136537E-3</v>
      </c>
      <c r="AA3484">
        <v>0.9979808</v>
      </c>
      <c r="AB3484">
        <v>38</v>
      </c>
      <c r="AC3484">
        <v>31.852499999999999</v>
      </c>
      <c r="AD3484">
        <v>-1.1096614744708</v>
      </c>
      <c r="AE3484">
        <v>-2.0112000000000001</v>
      </c>
      <c r="AF3484">
        <v>2.05058862657084</v>
      </c>
      <c r="AG3484">
        <v>-1.1096614744708</v>
      </c>
      <c r="AH3484">
        <v>31.811374209442299</v>
      </c>
      <c r="AI3484">
        <v>91.993677746233999</v>
      </c>
      <c r="AJ3484">
        <v>86.311767424392002</v>
      </c>
      <c r="AK3484">
        <v>31.896705024132501</v>
      </c>
      <c r="AL3484">
        <v>81.576637571769496</v>
      </c>
      <c r="AM3484">
        <v>88.175799259818604</v>
      </c>
      <c r="AN3484">
        <v>1.00000004450216</v>
      </c>
    </row>
    <row r="3485" spans="1:40" x14ac:dyDescent="0.25">
      <c r="A3485" t="str">
        <f>"20190312164055748"</f>
        <v>20190312164055748</v>
      </c>
      <c r="B3485" t="str">
        <f>"1552380055739574"</f>
        <v>1552380055739574</v>
      </c>
      <c r="C3485" t="s">
        <v>40</v>
      </c>
      <c r="D3485">
        <v>5.7865929999999999</v>
      </c>
      <c r="E3485">
        <v>0.51651619999999998</v>
      </c>
      <c r="F3485" t="s">
        <v>48</v>
      </c>
      <c r="G3485">
        <v>-383.1986</v>
      </c>
      <c r="H3485" s="1">
        <v>3.4259549999999999E-7</v>
      </c>
      <c r="I3485">
        <v>210.5616</v>
      </c>
      <c r="J3485">
        <v>-415.00729999999999</v>
      </c>
      <c r="K3485">
        <v>1.1096680000000001</v>
      </c>
      <c r="L3485">
        <v>212.60130000000001</v>
      </c>
      <c r="M3485">
        <v>0.99997480000000005</v>
      </c>
      <c r="N3485">
        <v>0</v>
      </c>
      <c r="O3485">
        <v>1.7897729999999999E-3</v>
      </c>
      <c r="P3485">
        <v>0.98959839999999999</v>
      </c>
      <c r="Q3485">
        <v>0.14060259999999999</v>
      </c>
      <c r="R3485">
        <v>-3.04345E-2</v>
      </c>
      <c r="S3485">
        <v>3.0399780000000001</v>
      </c>
      <c r="T3485">
        <v>-0.10476729999999999</v>
      </c>
      <c r="U3485">
        <v>-0.19248960000000001</v>
      </c>
      <c r="V3485">
        <v>3.2038709999999998E-2</v>
      </c>
      <c r="W3485">
        <v>0.14743629999999999</v>
      </c>
      <c r="X3485">
        <v>0.98855249999999995</v>
      </c>
      <c r="Y3485">
        <v>6.4939540000000004E-2</v>
      </c>
      <c r="Z3485">
        <v>-1.179165E-3</v>
      </c>
      <c r="AA3485">
        <v>0.99788849999999996</v>
      </c>
      <c r="AB3485">
        <v>38</v>
      </c>
      <c r="AC3485">
        <v>31.808699999999899</v>
      </c>
      <c r="AD3485">
        <v>-1.1096676574044999</v>
      </c>
      <c r="AE3485">
        <v>-2.0397000000000101</v>
      </c>
      <c r="AF3485">
        <v>2.09409033711023</v>
      </c>
      <c r="AG3485">
        <v>-1.1096676574044999</v>
      </c>
      <c r="AH3485">
        <v>31.766496547853599</v>
      </c>
      <c r="AI3485">
        <v>91.996314001405096</v>
      </c>
      <c r="AJ3485">
        <v>86.228441807149494</v>
      </c>
      <c r="AK3485">
        <v>31.854777970889401</v>
      </c>
      <c r="AL3485">
        <v>81.521614451040094</v>
      </c>
      <c r="AM3485">
        <v>88.143709574163196</v>
      </c>
      <c r="AN3485">
        <v>0.99999999337620105</v>
      </c>
    </row>
    <row r="3486" spans="1:40" x14ac:dyDescent="0.25">
      <c r="A3486" t="str">
        <f>"20190312164055769"</f>
        <v>20190312164055769</v>
      </c>
      <c r="B3486" t="str">
        <f>"1552380055760070"</f>
        <v>1552380055760070</v>
      </c>
      <c r="C3486" t="s">
        <v>40</v>
      </c>
      <c r="D3486">
        <v>5.4785690000000002</v>
      </c>
      <c r="E3486">
        <v>0.5164628</v>
      </c>
      <c r="F3486" t="s">
        <v>48</v>
      </c>
      <c r="G3486">
        <v>-380.72300000000001</v>
      </c>
      <c r="H3486" s="1">
        <v>-9.6919829999999994E-7</v>
      </c>
      <c r="I3486">
        <v>210.43299999999999</v>
      </c>
      <c r="J3486">
        <v>-414.62430000000001</v>
      </c>
      <c r="K3486">
        <v>1.109672</v>
      </c>
      <c r="L3486">
        <v>212.60239999999999</v>
      </c>
      <c r="M3486">
        <v>0.99997400000000003</v>
      </c>
      <c r="N3486">
        <v>0</v>
      </c>
      <c r="O3486">
        <v>2.2566439999999999E-3</v>
      </c>
      <c r="P3486">
        <v>0.98943349999999997</v>
      </c>
      <c r="Q3486">
        <v>0.1417891</v>
      </c>
      <c r="R3486">
        <v>-3.0297919999999999E-2</v>
      </c>
      <c r="S3486">
        <v>3.039612</v>
      </c>
      <c r="T3486">
        <v>-9.8381999999999997E-2</v>
      </c>
      <c r="U3486">
        <v>-0.19224550000000001</v>
      </c>
      <c r="V3486">
        <v>3.236149E-2</v>
      </c>
      <c r="W3486">
        <v>0.1486304</v>
      </c>
      <c r="X3486">
        <v>0.98836310000000005</v>
      </c>
      <c r="Y3486">
        <v>6.5337389999999995E-2</v>
      </c>
      <c r="Z3486">
        <v>-1.1289959999999999E-3</v>
      </c>
      <c r="AA3486">
        <v>0.99786260000000004</v>
      </c>
      <c r="AB3486">
        <v>39</v>
      </c>
      <c r="AC3486">
        <v>33.9012999999999</v>
      </c>
      <c r="AD3486">
        <v>-1.1096729691983001</v>
      </c>
      <c r="AE3486">
        <v>-2.1693999999999898</v>
      </c>
      <c r="AF3486">
        <v>2.2435055152844501</v>
      </c>
      <c r="AG3486">
        <v>-1.1096729691983001</v>
      </c>
      <c r="AH3486">
        <v>33.860187670006098</v>
      </c>
      <c r="AI3486">
        <v>91.872933405610794</v>
      </c>
      <c r="AJ3486">
        <v>86.209241782480703</v>
      </c>
      <c r="AK3486">
        <v>33.9525698606706</v>
      </c>
      <c r="AL3486">
        <v>81.452434903485695</v>
      </c>
      <c r="AM3486">
        <v>88.124662264365099</v>
      </c>
      <c r="AN3486">
        <v>0.99999993964039302</v>
      </c>
    </row>
    <row r="3487" spans="1:40" x14ac:dyDescent="0.25">
      <c r="A3487" t="str">
        <f>"20190312164055792"</f>
        <v>20190312164055792</v>
      </c>
      <c r="B3487" t="str">
        <f>"1552380055779593"</f>
        <v>1552380055779593</v>
      </c>
      <c r="C3487" t="s">
        <v>40</v>
      </c>
      <c r="D3487">
        <v>5.4997689999999997</v>
      </c>
      <c r="E3487">
        <v>0.51633699999999905</v>
      </c>
      <c r="F3487" t="s">
        <v>48</v>
      </c>
      <c r="G3487">
        <v>-377.11410000000001</v>
      </c>
      <c r="H3487" s="1">
        <v>2.2489779999999998E-6</v>
      </c>
      <c r="I3487">
        <v>210.23769999999999</v>
      </c>
      <c r="J3487">
        <v>-414.24200000000002</v>
      </c>
      <c r="K3487">
        <v>1.109672</v>
      </c>
      <c r="L3487">
        <v>212.6036</v>
      </c>
      <c r="M3487">
        <v>0.99997259999999999</v>
      </c>
      <c r="N3487">
        <v>0</v>
      </c>
      <c r="O3487">
        <v>2.722857E-3</v>
      </c>
      <c r="P3487">
        <v>0.98931210000000003</v>
      </c>
      <c r="Q3487">
        <v>0.14271320000000001</v>
      </c>
      <c r="R3487">
        <v>-2.9918549999999999E-2</v>
      </c>
      <c r="S3487">
        <v>3.0390630000000001</v>
      </c>
      <c r="T3487">
        <v>-8.9905139999999995E-2</v>
      </c>
      <c r="U3487">
        <v>-0.19158939999999999</v>
      </c>
      <c r="V3487">
        <v>3.2441200000000003E-2</v>
      </c>
      <c r="W3487">
        <v>0.1495621</v>
      </c>
      <c r="X3487">
        <v>0.98821999999999999</v>
      </c>
      <c r="Y3487">
        <v>6.5604869999999996E-2</v>
      </c>
      <c r="Z3487">
        <v>-1.0496839999999999E-3</v>
      </c>
      <c r="AA3487">
        <v>0.99784510000000004</v>
      </c>
      <c r="AB3487">
        <v>39</v>
      </c>
      <c r="AC3487">
        <v>37.127899999999897</v>
      </c>
      <c r="AD3487">
        <v>-1.1096697510219999</v>
      </c>
      <c r="AE3487">
        <v>-2.3659000000000101</v>
      </c>
      <c r="AF3487">
        <v>2.4647947438568201</v>
      </c>
      <c r="AG3487">
        <v>-1.1096697510219999</v>
      </c>
      <c r="AH3487">
        <v>37.088323995540598</v>
      </c>
      <c r="AI3487">
        <v>91.709988781999698</v>
      </c>
      <c r="AJ3487">
        <v>86.197860589299793</v>
      </c>
      <c r="AK3487">
        <v>37.186695966217101</v>
      </c>
      <c r="AL3487">
        <v>81.398449619837095</v>
      </c>
      <c r="AM3487">
        <v>88.119774373684905</v>
      </c>
      <c r="AN3487">
        <v>1.00000001080692</v>
      </c>
    </row>
    <row r="3488" spans="1:40" x14ac:dyDescent="0.25">
      <c r="A3488" t="str">
        <f>"20190312164055814"</f>
        <v>20190312164055814</v>
      </c>
      <c r="B3488" t="str">
        <f>"1552380055809845"</f>
        <v>1552380055809845</v>
      </c>
      <c r="C3488" t="s">
        <v>40</v>
      </c>
      <c r="D3488">
        <v>5.6040999999999999</v>
      </c>
      <c r="E3488">
        <v>0.51622479999999904</v>
      </c>
      <c r="F3488" t="s">
        <v>48</v>
      </c>
      <c r="G3488">
        <v>-373.70010000000002</v>
      </c>
      <c r="H3488" s="1">
        <v>4.3222409999999999E-7</v>
      </c>
      <c r="I3488">
        <v>210.0676</v>
      </c>
      <c r="J3488">
        <v>-413.85860000000002</v>
      </c>
      <c r="K3488">
        <v>1.10968</v>
      </c>
      <c r="L3488">
        <v>212.60509999999999</v>
      </c>
      <c r="M3488">
        <v>0.99997119999999995</v>
      </c>
      <c r="N3488">
        <v>0</v>
      </c>
      <c r="O3488">
        <v>3.189786E-3</v>
      </c>
      <c r="P3488">
        <v>0.9891316</v>
      </c>
      <c r="Q3488">
        <v>0.14403869999999999</v>
      </c>
      <c r="R3488">
        <v>-2.9527390000000001E-2</v>
      </c>
      <c r="S3488">
        <v>3.0386350000000002</v>
      </c>
      <c r="T3488">
        <v>-8.317041E-2</v>
      </c>
      <c r="U3488">
        <v>-0.19007869999999999</v>
      </c>
      <c r="V3488">
        <v>3.250931E-2</v>
      </c>
      <c r="W3488">
        <v>0.15089430000000001</v>
      </c>
      <c r="X3488">
        <v>0.98801519999999998</v>
      </c>
      <c r="Y3488">
        <v>6.5589610000000007E-2</v>
      </c>
      <c r="Z3488">
        <v>-9.8379239999999996E-4</v>
      </c>
      <c r="AA3488">
        <v>0.99784620000000002</v>
      </c>
      <c r="AB3488">
        <v>39</v>
      </c>
      <c r="AC3488">
        <v>40.158499999999997</v>
      </c>
      <c r="AD3488">
        <v>-1.1096795677758999</v>
      </c>
      <c r="AE3488">
        <v>-2.5374999999999899</v>
      </c>
      <c r="AF3488">
        <v>2.6635614614489702</v>
      </c>
      <c r="AG3488">
        <v>-1.1096795677758999</v>
      </c>
      <c r="AH3488">
        <v>40.1196896547048</v>
      </c>
      <c r="AI3488">
        <v>91.580874581764505</v>
      </c>
      <c r="AJ3488">
        <v>86.201685441601199</v>
      </c>
      <c r="AK3488">
        <v>40.223319683883403</v>
      </c>
      <c r="AL3488">
        <v>81.321243817250107</v>
      </c>
      <c r="AM3488">
        <v>88.115439422447295</v>
      </c>
      <c r="AN3488">
        <v>0.999999990220103</v>
      </c>
    </row>
    <row r="3489" spans="1:40" x14ac:dyDescent="0.25">
      <c r="A3489" t="str">
        <f>"20190312164055839"</f>
        <v>20190312164055839</v>
      </c>
      <c r="B3489" t="str">
        <f>"1552380055829874"</f>
        <v>1552380055829874</v>
      </c>
      <c r="C3489" t="s">
        <v>40</v>
      </c>
      <c r="D3489">
        <v>5.4840220000000004</v>
      </c>
      <c r="E3489">
        <v>0.51606459999999998</v>
      </c>
      <c r="F3489" t="s">
        <v>48</v>
      </c>
      <c r="G3489">
        <v>-371.07240000000002</v>
      </c>
      <c r="H3489" s="1">
        <v>-9.6610930000000002E-7</v>
      </c>
      <c r="I3489">
        <v>209.9556</v>
      </c>
      <c r="J3489">
        <v>-413.43209999999999</v>
      </c>
      <c r="K3489">
        <v>1.1096820000000001</v>
      </c>
      <c r="L3489">
        <v>212.60679999999999</v>
      </c>
      <c r="M3489">
        <v>0.9999692</v>
      </c>
      <c r="N3489">
        <v>0</v>
      </c>
      <c r="O3489">
        <v>3.708987E-3</v>
      </c>
      <c r="P3489">
        <v>0.98901740000000005</v>
      </c>
      <c r="Q3489">
        <v>0.1449203</v>
      </c>
      <c r="R3489">
        <v>-2.9027770000000001E-2</v>
      </c>
      <c r="S3489">
        <v>3.0387879999999998</v>
      </c>
      <c r="T3489">
        <v>-7.8812359999999998E-2</v>
      </c>
      <c r="U3489">
        <v>-0.18817139999999999</v>
      </c>
      <c r="V3489">
        <v>3.2520899999999998E-2</v>
      </c>
      <c r="W3489">
        <v>0.15178369999999999</v>
      </c>
      <c r="X3489">
        <v>0.98787860000000005</v>
      </c>
      <c r="Y3489">
        <v>6.5483180000000002E-2</v>
      </c>
      <c r="Z3489">
        <v>-9.443047E-4</v>
      </c>
      <c r="AA3489">
        <v>0.9978532</v>
      </c>
      <c r="AB3489">
        <v>39</v>
      </c>
      <c r="AC3489">
        <v>42.359699999999897</v>
      </c>
      <c r="AD3489">
        <v>-1.1096829661093</v>
      </c>
      <c r="AE3489">
        <v>-2.6511999999999798</v>
      </c>
      <c r="AF3489">
        <v>2.8063786927094401</v>
      </c>
      <c r="AG3489">
        <v>-1.1096829661093</v>
      </c>
      <c r="AH3489">
        <v>42.320645252577897</v>
      </c>
      <c r="AI3489">
        <v>91.498709407739895</v>
      </c>
      <c r="AJ3489">
        <v>86.206140366442995</v>
      </c>
      <c r="AK3489">
        <v>42.428105923393701</v>
      </c>
      <c r="AL3489">
        <v>81.269691374019203</v>
      </c>
      <c r="AM3489">
        <v>88.114507541980998</v>
      </c>
      <c r="AN3489">
        <v>1.0000000144302299</v>
      </c>
    </row>
    <row r="3490" spans="1:40" x14ac:dyDescent="0.25">
      <c r="A3490" t="str">
        <f>"20190312164055861"</f>
        <v>20190312164055861</v>
      </c>
      <c r="B3490" t="str">
        <f>"1552380055849393"</f>
        <v>1552380055849393</v>
      </c>
      <c r="C3490" t="s">
        <v>40</v>
      </c>
      <c r="D3490">
        <v>5.5571460000000004</v>
      </c>
      <c r="E3490">
        <v>0.51600369999999995</v>
      </c>
      <c r="F3490" t="s">
        <v>48</v>
      </c>
      <c r="G3490">
        <v>-370.00749999999999</v>
      </c>
      <c r="H3490" s="1">
        <v>-1.5328190000000001E-6</v>
      </c>
      <c r="I3490">
        <v>209.96709999999999</v>
      </c>
      <c r="J3490">
        <v>-413.03949999999998</v>
      </c>
      <c r="K3490">
        <v>1.109686</v>
      </c>
      <c r="L3490">
        <v>212.6087</v>
      </c>
      <c r="M3490">
        <v>0.9999673</v>
      </c>
      <c r="N3490">
        <v>0</v>
      </c>
      <c r="O3490">
        <v>4.1864659999999998E-3</v>
      </c>
      <c r="P3490">
        <v>0.98893569999999997</v>
      </c>
      <c r="Q3490">
        <v>0.14551410000000001</v>
      </c>
      <c r="R3490">
        <v>-2.8839279999999998E-2</v>
      </c>
      <c r="S3490">
        <v>3.0392459999999999</v>
      </c>
      <c r="T3490">
        <v>-7.7665689999999996E-2</v>
      </c>
      <c r="U3490">
        <v>-0.18475340000000001</v>
      </c>
      <c r="V3490">
        <v>3.2802820000000003E-2</v>
      </c>
      <c r="W3490">
        <v>0.15238550000000001</v>
      </c>
      <c r="X3490">
        <v>0.9877766</v>
      </c>
      <c r="Y3490">
        <v>6.4833109999999999E-2</v>
      </c>
      <c r="Z3490">
        <v>-9.3435459999999997E-4</v>
      </c>
      <c r="AA3490">
        <v>0.99789570000000005</v>
      </c>
      <c r="AB3490">
        <v>39</v>
      </c>
      <c r="AC3490">
        <v>43.031999999999897</v>
      </c>
      <c r="AD3490">
        <v>-1.1096875328189999</v>
      </c>
      <c r="AE3490">
        <v>-2.6416000000000102</v>
      </c>
      <c r="AF3490">
        <v>2.8198650108713101</v>
      </c>
      <c r="AG3490">
        <v>-1.1096875328189999</v>
      </c>
      <c r="AH3490">
        <v>42.9920814603555</v>
      </c>
      <c r="AI3490">
        <v>91.475389463398002</v>
      </c>
      <c r="AJ3490">
        <v>86.247325936755502</v>
      </c>
      <c r="AK3490">
        <v>43.098748397069201</v>
      </c>
      <c r="AL3490">
        <v>81.234804728329806</v>
      </c>
      <c r="AM3490">
        <v>88.097978130543197</v>
      </c>
      <c r="AN3490">
        <v>0.99999998855888095</v>
      </c>
    </row>
    <row r="3491" spans="1:40" x14ac:dyDescent="0.25">
      <c r="A3491" t="str">
        <f>"20190312164055882"</f>
        <v>20190312164055882</v>
      </c>
      <c r="B3491" t="str">
        <f>"1552380055879648"</f>
        <v>1552380055879648</v>
      </c>
      <c r="C3491" t="s">
        <v>40</v>
      </c>
      <c r="D3491">
        <v>5.5003339999999996</v>
      </c>
      <c r="E3491">
        <v>0.51579960000000002</v>
      </c>
      <c r="F3491" t="s">
        <v>48</v>
      </c>
      <c r="G3491">
        <v>-367.47489999999999</v>
      </c>
      <c r="H3491" s="1">
        <v>2.4409729999999999E-6</v>
      </c>
      <c r="I3491">
        <v>209.84540000000001</v>
      </c>
      <c r="J3491">
        <v>-412.6712</v>
      </c>
      <c r="K3491">
        <v>1.1096870000000001</v>
      </c>
      <c r="L3491">
        <v>212.61060000000001</v>
      </c>
      <c r="M3491">
        <v>0.99996529999999995</v>
      </c>
      <c r="N3491">
        <v>0</v>
      </c>
      <c r="O3491">
        <v>4.6337260000000003E-3</v>
      </c>
      <c r="P3491">
        <v>0.98904539999999996</v>
      </c>
      <c r="Q3491">
        <v>0.14497109999999999</v>
      </c>
      <c r="R3491">
        <v>-2.7801320000000001E-2</v>
      </c>
      <c r="S3491">
        <v>3.0390929999999998</v>
      </c>
      <c r="T3491">
        <v>-7.401431E-2</v>
      </c>
      <c r="U3491">
        <v>-0.1843109</v>
      </c>
      <c r="V3491">
        <v>3.2207239999999998E-2</v>
      </c>
      <c r="W3491">
        <v>0.15185070000000001</v>
      </c>
      <c r="X3491">
        <v>0.98787860000000005</v>
      </c>
      <c r="Y3491">
        <v>6.5139539999999996E-2</v>
      </c>
      <c r="Z3491">
        <v>-9.0509780000000005E-4</v>
      </c>
      <c r="AA3491">
        <v>0.99787579999999998</v>
      </c>
      <c r="AB3491">
        <v>39</v>
      </c>
      <c r="AC3491">
        <v>45.196300000000001</v>
      </c>
      <c r="AD3491">
        <v>-1.1096845590269999</v>
      </c>
      <c r="AE3491">
        <v>-2.7651999999999899</v>
      </c>
      <c r="AF3491">
        <v>2.97281718746338</v>
      </c>
      <c r="AG3491">
        <v>-1.1096845590269999</v>
      </c>
      <c r="AH3491">
        <v>45.155881565361199</v>
      </c>
      <c r="AI3491">
        <v>91.404693918500101</v>
      </c>
      <c r="AJ3491">
        <v>86.233393533830693</v>
      </c>
      <c r="AK3491">
        <v>45.267236295090399</v>
      </c>
      <c r="AL3491">
        <v>81.265807717609604</v>
      </c>
      <c r="AM3491">
        <v>88.132679943047904</v>
      </c>
      <c r="AN3491">
        <v>1.0000000348684299</v>
      </c>
    </row>
    <row r="3492" spans="1:40" x14ac:dyDescent="0.25">
      <c r="A3492" t="str">
        <f>"20190312164055904"</f>
        <v>20190312164055904</v>
      </c>
      <c r="B3492" t="str">
        <f>"1552380055900144"</f>
        <v>1552380055900144</v>
      </c>
      <c r="C3492" t="s">
        <v>40</v>
      </c>
      <c r="D3492">
        <v>5.6644370000000004</v>
      </c>
      <c r="E3492">
        <v>0.5157429</v>
      </c>
      <c r="F3492" t="s">
        <v>48</v>
      </c>
      <c r="G3492">
        <v>-368.33260000000001</v>
      </c>
      <c r="H3492" s="1">
        <v>2.8973900000000001E-6</v>
      </c>
      <c r="I3492">
        <v>209.98570000000001</v>
      </c>
      <c r="J3492">
        <v>-412.2824</v>
      </c>
      <c r="K3492">
        <v>1.109685</v>
      </c>
      <c r="L3492">
        <v>212.61279999999999</v>
      </c>
      <c r="M3492">
        <v>0.99996300000000005</v>
      </c>
      <c r="N3492">
        <v>0</v>
      </c>
      <c r="O3492">
        <v>5.1059590000000002E-3</v>
      </c>
      <c r="P3492">
        <v>0.98911830000000001</v>
      </c>
      <c r="Q3492">
        <v>0.14458489999999999</v>
      </c>
      <c r="R3492">
        <v>-2.720742E-2</v>
      </c>
      <c r="S3492">
        <v>3.0393370000000002</v>
      </c>
      <c r="T3492">
        <v>-7.6066969999999998E-2</v>
      </c>
      <c r="U3492">
        <v>-0.1799316</v>
      </c>
      <c r="V3492">
        <v>3.2080490000000003E-2</v>
      </c>
      <c r="W3492">
        <v>0.15147269999999999</v>
      </c>
      <c r="X3492">
        <v>0.9879407</v>
      </c>
      <c r="Y3492">
        <v>6.417225E-2</v>
      </c>
      <c r="Z3492">
        <v>-9.2987259999999998E-4</v>
      </c>
      <c r="AA3492">
        <v>0.9979384</v>
      </c>
      <c r="AB3492">
        <v>39</v>
      </c>
      <c r="AC3492">
        <v>43.949799999999897</v>
      </c>
      <c r="AD3492">
        <v>-1.1096821026100001</v>
      </c>
      <c r="AE3492">
        <v>-2.62709999999998</v>
      </c>
      <c r="AF3492">
        <v>2.8496667996377698</v>
      </c>
      <c r="AG3492">
        <v>-1.1096821026100001</v>
      </c>
      <c r="AH3492">
        <v>43.907921034039397</v>
      </c>
      <c r="AI3492">
        <v>91.444686303815701</v>
      </c>
      <c r="AJ3492">
        <v>86.2866560183665</v>
      </c>
      <c r="AK3492">
        <v>44.014287734430603</v>
      </c>
      <c r="AL3492">
        <v>81.287718514221595</v>
      </c>
      <c r="AM3492">
        <v>88.140140349131599</v>
      </c>
      <c r="AN3492">
        <v>0.99999998170020898</v>
      </c>
    </row>
    <row r="3493" spans="1:40" x14ac:dyDescent="0.25">
      <c r="A3493" t="str">
        <f>"20190312164055927"</f>
        <v>20190312164055927</v>
      </c>
      <c r="B3493" t="str">
        <f>"1552380055919665"</f>
        <v>1552380055919665</v>
      </c>
      <c r="C3493" t="s">
        <v>40</v>
      </c>
      <c r="D3493">
        <v>5.6688710000000002</v>
      </c>
      <c r="E3493">
        <v>0.51569350000000003</v>
      </c>
      <c r="F3493" t="s">
        <v>48</v>
      </c>
      <c r="G3493">
        <v>-368.67099999999999</v>
      </c>
      <c r="H3493" s="1">
        <v>3.0774599999999999E-6</v>
      </c>
      <c r="I3493">
        <v>210.06129999999999</v>
      </c>
      <c r="J3493">
        <v>-411.88310000000001</v>
      </c>
      <c r="K3493">
        <v>1.1096790000000001</v>
      </c>
      <c r="L3493">
        <v>212.61519999999999</v>
      </c>
      <c r="M3493">
        <v>0.99996039999999997</v>
      </c>
      <c r="N3493">
        <v>0</v>
      </c>
      <c r="O3493">
        <v>5.5907090000000001E-3</v>
      </c>
      <c r="P3493">
        <v>0.98921170000000003</v>
      </c>
      <c r="Q3493">
        <v>0.14399489999999901</v>
      </c>
      <c r="R3493">
        <v>-2.694537E-2</v>
      </c>
      <c r="S3493">
        <v>3.0394899999999998</v>
      </c>
      <c r="T3493">
        <v>-7.733893E-2</v>
      </c>
      <c r="U3493">
        <v>-0.17782590000000001</v>
      </c>
      <c r="V3493">
        <v>3.2298199999999999E-2</v>
      </c>
      <c r="W3493">
        <v>0.15089249999999901</v>
      </c>
      <c r="X3493">
        <v>0.98802239999999997</v>
      </c>
      <c r="Y3493">
        <v>6.3963270000000003E-2</v>
      </c>
      <c r="Z3493">
        <v>-9.5505510000000004E-4</v>
      </c>
      <c r="AA3493">
        <v>0.99795180000000006</v>
      </c>
      <c r="AB3493">
        <v>39</v>
      </c>
      <c r="AC3493">
        <v>43.2121</v>
      </c>
      <c r="AD3493">
        <v>-1.1096759225399999</v>
      </c>
      <c r="AE3493">
        <v>-2.5538999999999898</v>
      </c>
      <c r="AF3493">
        <v>2.79361631660234</v>
      </c>
      <c r="AG3493">
        <v>-1.1096759225399999</v>
      </c>
      <c r="AH3493">
        <v>43.168777648721601</v>
      </c>
      <c r="AI3493">
        <v>91.469421283061394</v>
      </c>
      <c r="AJ3493">
        <v>86.297334500402002</v>
      </c>
      <c r="AK3493">
        <v>43.273306280687798</v>
      </c>
      <c r="AL3493">
        <v>81.321348156179596</v>
      </c>
      <c r="AM3493">
        <v>88.127682337852505</v>
      </c>
      <c r="AN3493">
        <v>0.99999999159062403</v>
      </c>
    </row>
    <row r="3494" spans="1:40" x14ac:dyDescent="0.25">
      <c r="A3494" t="str">
        <f>"20190312164055949"</f>
        <v>20190312164055949</v>
      </c>
      <c r="B3494" t="str">
        <f>"1552380055940165"</f>
        <v>1552380055940165</v>
      </c>
      <c r="C3494" t="s">
        <v>40</v>
      </c>
      <c r="D3494">
        <v>5.5395519999999996</v>
      </c>
      <c r="E3494">
        <v>0.51566029999999996</v>
      </c>
      <c r="F3494" t="s">
        <v>48</v>
      </c>
      <c r="G3494">
        <v>-368.80349999999999</v>
      </c>
      <c r="H3494" s="1">
        <v>3.1479759999999999E-6</v>
      </c>
      <c r="I3494">
        <v>210.11369999999999</v>
      </c>
      <c r="J3494">
        <v>-411.48039999999997</v>
      </c>
      <c r="K3494">
        <v>1.109674</v>
      </c>
      <c r="L3494">
        <v>212.61779999999999</v>
      </c>
      <c r="M3494">
        <v>0.9999574</v>
      </c>
      <c r="N3494">
        <v>0</v>
      </c>
      <c r="O3494">
        <v>6.0791539999999998E-3</v>
      </c>
      <c r="P3494">
        <v>0.98928660000000002</v>
      </c>
      <c r="Q3494">
        <v>0.14356179999999999</v>
      </c>
      <c r="R3494">
        <v>-2.6499780000000001E-2</v>
      </c>
      <c r="S3494">
        <v>3.0393370000000002</v>
      </c>
      <c r="T3494">
        <v>-7.8289510000000007E-2</v>
      </c>
      <c r="U3494">
        <v>-0.17648320000000001</v>
      </c>
      <c r="V3494">
        <v>3.233577E-2</v>
      </c>
      <c r="W3494">
        <v>0.15046860000000001</v>
      </c>
      <c r="X3494">
        <v>0.98808580000000001</v>
      </c>
      <c r="Y3494">
        <v>6.4013520000000004E-2</v>
      </c>
      <c r="Z3494">
        <v>-9.8006739999999997E-4</v>
      </c>
      <c r="AA3494">
        <v>0.99794850000000002</v>
      </c>
      <c r="AB3494">
        <v>39</v>
      </c>
      <c r="AC3494">
        <v>42.676899999999897</v>
      </c>
      <c r="AD3494">
        <v>-1.109670852024</v>
      </c>
      <c r="AE3494">
        <v>-2.50409999999999</v>
      </c>
      <c r="AF3494">
        <v>2.7616387298457199</v>
      </c>
      <c r="AG3494">
        <v>-1.109670852024</v>
      </c>
      <c r="AH3494">
        <v>42.632164030009903</v>
      </c>
      <c r="AI3494">
        <v>91.487895736313902</v>
      </c>
      <c r="AJ3494">
        <v>86.293655750670297</v>
      </c>
      <c r="AK3494">
        <v>42.735926663121397</v>
      </c>
      <c r="AL3494">
        <v>81.345916198973995</v>
      </c>
      <c r="AM3494">
        <v>88.125626158375297</v>
      </c>
      <c r="AN3494">
        <v>0.99999997488454595</v>
      </c>
    </row>
    <row r="3495" spans="1:40" x14ac:dyDescent="0.25">
      <c r="A3495" t="str">
        <f>"20190312164055971"</f>
        <v>20190312164055971</v>
      </c>
      <c r="B3495" t="str">
        <f>"1552380055959680"</f>
        <v>1552380055959680</v>
      </c>
      <c r="C3495" t="s">
        <v>40</v>
      </c>
      <c r="D3495">
        <v>5.625578</v>
      </c>
      <c r="E3495">
        <v>0.51568829999999999</v>
      </c>
      <c r="F3495" t="s">
        <v>48</v>
      </c>
      <c r="G3495">
        <v>-368.81389999999999</v>
      </c>
      <c r="H3495" s="1">
        <v>3.1535520000000001E-6</v>
      </c>
      <c r="I3495">
        <v>210.1696</v>
      </c>
      <c r="J3495">
        <v>-411.10469999999998</v>
      </c>
      <c r="K3495">
        <v>1.1096699999999999</v>
      </c>
      <c r="L3495">
        <v>212.62049999999999</v>
      </c>
      <c r="M3495">
        <v>0.99995449999999997</v>
      </c>
      <c r="N3495">
        <v>0</v>
      </c>
      <c r="O3495">
        <v>6.5345790000000004E-3</v>
      </c>
      <c r="P3495">
        <v>0.98928329999999998</v>
      </c>
      <c r="Q3495">
        <v>0.1435495</v>
      </c>
      <c r="R3495">
        <v>-2.6684530000000001E-2</v>
      </c>
      <c r="S3495">
        <v>3.0392760000000001</v>
      </c>
      <c r="T3495">
        <v>-7.9045530000000003E-2</v>
      </c>
      <c r="U3495">
        <v>-0.17439270000000001</v>
      </c>
      <c r="V3495">
        <v>3.297046E-2</v>
      </c>
      <c r="W3495">
        <v>0.15046479999999901</v>
      </c>
      <c r="X3495">
        <v>0.98806539999999998</v>
      </c>
      <c r="Y3495">
        <v>6.3784530000000006E-2</v>
      </c>
      <c r="Z3495">
        <v>-9.984274E-4</v>
      </c>
      <c r="AA3495">
        <v>0.99796320000000005</v>
      </c>
      <c r="AB3495">
        <v>39</v>
      </c>
      <c r="AC3495">
        <v>42.290799999999898</v>
      </c>
      <c r="AD3495">
        <v>-1.109666846448</v>
      </c>
      <c r="AE3495">
        <v>-2.4508999999999901</v>
      </c>
      <c r="AF3495">
        <v>2.7253368485334302</v>
      </c>
      <c r="AG3495">
        <v>-1.109666846448</v>
      </c>
      <c r="AH3495">
        <v>42.244893489921303</v>
      </c>
      <c r="AI3495">
        <v>91.501549702085001</v>
      </c>
      <c r="AJ3495">
        <v>86.308803309014493</v>
      </c>
      <c r="AK3495">
        <v>42.347253127244002</v>
      </c>
      <c r="AL3495">
        <v>81.346136396160205</v>
      </c>
      <c r="AM3495">
        <v>88.088823336778404</v>
      </c>
      <c r="AN3495">
        <v>0.99999997097440496</v>
      </c>
    </row>
    <row r="3496" spans="1:40" x14ac:dyDescent="0.25">
      <c r="A3496" t="str">
        <f>"20190312164055994"</f>
        <v>20190312164055994</v>
      </c>
      <c r="B3496" t="str">
        <f>"1552380055989936"</f>
        <v>1552380055989936</v>
      </c>
      <c r="C3496" t="s">
        <v>40</v>
      </c>
      <c r="D3496">
        <v>5.4950289999999997</v>
      </c>
      <c r="E3496">
        <v>0.515775599999999</v>
      </c>
      <c r="F3496" t="s">
        <v>48</v>
      </c>
      <c r="G3496">
        <v>-368.77670000000001</v>
      </c>
      <c r="H3496" s="1">
        <v>3.1337249999999998E-6</v>
      </c>
      <c r="I3496">
        <v>210.1765</v>
      </c>
      <c r="J3496">
        <v>-410.68779999999998</v>
      </c>
      <c r="K3496">
        <v>1.1096710000000001</v>
      </c>
      <c r="L3496">
        <v>212.62360000000001</v>
      </c>
      <c r="M3496">
        <v>0.99995109999999998</v>
      </c>
      <c r="N3496">
        <v>0</v>
      </c>
      <c r="O3496">
        <v>7.0394139999999999E-3</v>
      </c>
      <c r="P3496">
        <v>0.98936279999999999</v>
      </c>
      <c r="Q3496">
        <v>0.14302290000000001</v>
      </c>
      <c r="R3496">
        <v>-2.6575439999999999E-2</v>
      </c>
      <c r="S3496">
        <v>3.0393370000000002</v>
      </c>
      <c r="T3496">
        <v>-7.9678890000000002E-2</v>
      </c>
      <c r="U3496">
        <v>-0.17549129999999999</v>
      </c>
      <c r="V3496">
        <v>3.3360849999999997E-2</v>
      </c>
      <c r="W3496">
        <v>0.1499482</v>
      </c>
      <c r="X3496">
        <v>0.98813090000000003</v>
      </c>
      <c r="Y3496">
        <v>6.4645889999999998E-2</v>
      </c>
      <c r="Z3496">
        <v>-1.0308959999999999E-3</v>
      </c>
      <c r="AA3496">
        <v>0.99790780000000001</v>
      </c>
      <c r="AB3496">
        <v>40</v>
      </c>
      <c r="AC3496">
        <v>41.911099999999898</v>
      </c>
      <c r="AD3496">
        <v>-1.1096678662749999</v>
      </c>
      <c r="AE3496">
        <v>-2.4470999999999998</v>
      </c>
      <c r="AF3496">
        <v>2.7401616957218899</v>
      </c>
      <c r="AG3496">
        <v>-1.1096678662749999</v>
      </c>
      <c r="AH3496">
        <v>41.863587619420599</v>
      </c>
      <c r="AI3496">
        <v>91.515129012611496</v>
      </c>
      <c r="AJ3496">
        <v>86.255073375668204</v>
      </c>
      <c r="AK3496">
        <v>41.967842656742</v>
      </c>
      <c r="AL3496">
        <v>81.376075681375696</v>
      </c>
      <c r="AM3496">
        <v>88.066339028287999</v>
      </c>
      <c r="AN3496">
        <v>1.0000000422653801</v>
      </c>
    </row>
    <row r="3497" spans="1:40" x14ac:dyDescent="0.25">
      <c r="A3497" t="str">
        <f>"20190312164056015"</f>
        <v>20190312164056015</v>
      </c>
      <c r="B3497" t="str">
        <f>"1552380056009456"</f>
        <v>1552380056009456</v>
      </c>
      <c r="C3497" t="s">
        <v>40</v>
      </c>
      <c r="D3497">
        <v>5.6682620000000004</v>
      </c>
      <c r="E3497">
        <v>0.51577399999999995</v>
      </c>
      <c r="F3497" t="s">
        <v>48</v>
      </c>
      <c r="G3497">
        <v>-371.40820000000002</v>
      </c>
      <c r="H3497" s="1">
        <v>-7.8740699999999995E-7</v>
      </c>
      <c r="I3497">
        <v>210.35390000000001</v>
      </c>
      <c r="J3497">
        <v>-410.3141</v>
      </c>
      <c r="K3497">
        <v>1.1096710000000001</v>
      </c>
      <c r="L3497">
        <v>212.6266</v>
      </c>
      <c r="M3497">
        <v>0.99994769999999999</v>
      </c>
      <c r="N3497">
        <v>0</v>
      </c>
      <c r="O3497">
        <v>7.4919180000000002E-3</v>
      </c>
      <c r="P3497">
        <v>0.98940700000000004</v>
      </c>
      <c r="Q3497">
        <v>0.14272799999999999</v>
      </c>
      <c r="R3497">
        <v>-2.6508250000000001E-2</v>
      </c>
      <c r="S3497">
        <v>3.0399479999999999</v>
      </c>
      <c r="T3497">
        <v>-8.5880280000000003E-2</v>
      </c>
      <c r="U3497">
        <v>-0.17565919999999999</v>
      </c>
      <c r="V3497">
        <v>3.374137E-2</v>
      </c>
      <c r="W3497">
        <v>0.1496625</v>
      </c>
      <c r="X3497">
        <v>0.98816130000000002</v>
      </c>
      <c r="Y3497">
        <v>6.5136520000000003E-2</v>
      </c>
      <c r="Z3497">
        <v>-1.13057E-3</v>
      </c>
      <c r="AA3497">
        <v>0.99787579999999998</v>
      </c>
      <c r="AB3497">
        <v>40</v>
      </c>
      <c r="AC3497">
        <v>38.905899999999903</v>
      </c>
      <c r="AD3497">
        <v>-1.1096717874069999</v>
      </c>
      <c r="AE3497">
        <v>-2.27269999999998</v>
      </c>
      <c r="AF3497">
        <v>2.5620459512322902</v>
      </c>
      <c r="AG3497">
        <v>-1.1096717874069999</v>
      </c>
      <c r="AH3497">
        <v>38.856278635562497</v>
      </c>
      <c r="AI3497">
        <v>91.632286655988096</v>
      </c>
      <c r="AJ3497">
        <v>86.227579096231295</v>
      </c>
      <c r="AK3497">
        <v>38.956460829193198</v>
      </c>
      <c r="AL3497">
        <v>81.392631975355499</v>
      </c>
      <c r="AM3497">
        <v>88.044360484684404</v>
      </c>
      <c r="AN3497">
        <v>1.0000000493867001</v>
      </c>
    </row>
    <row r="3498" spans="1:40" x14ac:dyDescent="0.25">
      <c r="A3498" t="str">
        <f>"20190312164056040"</f>
        <v>20190312164056040</v>
      </c>
      <c r="B3498" t="str">
        <f>"1552380056029953"</f>
        <v>1552380056029953</v>
      </c>
      <c r="C3498" t="s">
        <v>40</v>
      </c>
      <c r="D3498">
        <v>5.511031</v>
      </c>
      <c r="E3498">
        <v>0.51576610000000001</v>
      </c>
      <c r="F3498" t="s">
        <v>48</v>
      </c>
      <c r="G3498">
        <v>-370.88709999999998</v>
      </c>
      <c r="H3498" s="1">
        <v>-1.0647360000000001E-6</v>
      </c>
      <c r="I3498">
        <v>210.3519</v>
      </c>
      <c r="J3498">
        <v>-409.8836</v>
      </c>
      <c r="K3498">
        <v>1.1096710000000001</v>
      </c>
      <c r="L3498">
        <v>212.6302</v>
      </c>
      <c r="M3498">
        <v>0.99994360000000004</v>
      </c>
      <c r="N3498">
        <v>0</v>
      </c>
      <c r="O3498">
        <v>8.0123099999999999E-3</v>
      </c>
      <c r="P3498">
        <v>0.98932019999999998</v>
      </c>
      <c r="Q3498">
        <v>0.14334450000000001</v>
      </c>
      <c r="R3498">
        <v>-2.6422279999999999E-2</v>
      </c>
      <c r="S3498">
        <v>3.0397639999999999</v>
      </c>
      <c r="T3498">
        <v>-8.5554119999999997E-2</v>
      </c>
      <c r="U3498">
        <v>-0.17536930000000001</v>
      </c>
      <c r="V3498">
        <v>3.4167900000000001E-2</v>
      </c>
      <c r="W3498">
        <v>0.15028810000000001</v>
      </c>
      <c r="X3498">
        <v>0.98805169999999998</v>
      </c>
      <c r="Y3498">
        <v>6.5564269999999994E-2</v>
      </c>
      <c r="Z3498">
        <v>-1.146995E-3</v>
      </c>
      <c r="AA3498">
        <v>0.9978477</v>
      </c>
      <c r="AB3498">
        <v>40</v>
      </c>
      <c r="AC3498">
        <v>38.996499999999997</v>
      </c>
      <c r="AD3498">
        <v>-1.1096720647360001</v>
      </c>
      <c r="AE3498">
        <v>-2.2783000000000002</v>
      </c>
      <c r="AF3498">
        <v>2.5885975803470802</v>
      </c>
      <c r="AG3498">
        <v>-1.1096720647360001</v>
      </c>
      <c r="AH3498">
        <v>38.9455653363366</v>
      </c>
      <c r="AI3498">
        <v>91.628489972065097</v>
      </c>
      <c r="AJ3498">
        <v>86.197310815291303</v>
      </c>
      <c r="AK3498">
        <v>39.047269672681303</v>
      </c>
      <c r="AL3498">
        <v>81.356377785217802</v>
      </c>
      <c r="AM3498">
        <v>88.019439002177705</v>
      </c>
      <c r="AN3498">
        <v>1.0000000601324499</v>
      </c>
    </row>
    <row r="3499" spans="1:40" x14ac:dyDescent="0.25">
      <c r="A3499" t="str">
        <f>"20190312164056062"</f>
        <v>20190312164056062</v>
      </c>
      <c r="B3499" t="str">
        <f>"1552380056049472"</f>
        <v>1552380056049472</v>
      </c>
      <c r="C3499" t="s">
        <v>40</v>
      </c>
      <c r="D3499">
        <v>5.5917940000000002</v>
      </c>
      <c r="E3499">
        <v>0.51586100000000001</v>
      </c>
      <c r="F3499" t="s">
        <v>48</v>
      </c>
      <c r="G3499">
        <v>-369.42520000000002</v>
      </c>
      <c r="H3499" s="1">
        <v>3.4788340000000001E-6</v>
      </c>
      <c r="I3499">
        <v>210.29920000000001</v>
      </c>
      <c r="J3499">
        <v>-409.47969999999998</v>
      </c>
      <c r="K3499">
        <v>1.109672</v>
      </c>
      <c r="L3499">
        <v>212.63380000000001</v>
      </c>
      <c r="M3499">
        <v>0.99993960000000004</v>
      </c>
      <c r="N3499">
        <v>0</v>
      </c>
      <c r="O3499">
        <v>8.5006939999999996E-3</v>
      </c>
      <c r="P3499">
        <v>0.98931369999999996</v>
      </c>
      <c r="Q3499">
        <v>0.1433207</v>
      </c>
      <c r="R3499">
        <v>-2.6792679999999999E-2</v>
      </c>
      <c r="S3499">
        <v>3.039825</v>
      </c>
      <c r="T3499">
        <v>-8.3374379999999998E-2</v>
      </c>
      <c r="U3499">
        <v>-0.1751404</v>
      </c>
      <c r="V3499">
        <v>3.5020410000000002E-2</v>
      </c>
      <c r="W3499">
        <v>0.15027389999999999</v>
      </c>
      <c r="X3499">
        <v>0.98802389999999995</v>
      </c>
      <c r="Y3499">
        <v>6.5976720000000003E-2</v>
      </c>
      <c r="Z3499">
        <v>-1.1367969999999999E-3</v>
      </c>
      <c r="AA3499">
        <v>0.9978205</v>
      </c>
      <c r="AB3499">
        <v>40</v>
      </c>
      <c r="AC3499">
        <v>40.054499999999898</v>
      </c>
      <c r="AD3499">
        <v>-1.109668521166</v>
      </c>
      <c r="AE3499">
        <v>-2.3345999999999898</v>
      </c>
      <c r="AF3499">
        <v>2.6729703691545699</v>
      </c>
      <c r="AG3499">
        <v>-1.109668521166</v>
      </c>
      <c r="AH3499">
        <v>40.002608054170999</v>
      </c>
      <c r="AI3499">
        <v>91.585438295659898</v>
      </c>
      <c r="AJ3499">
        <v>86.177184337779593</v>
      </c>
      <c r="AK3499">
        <v>40.1071662668515</v>
      </c>
      <c r="AL3499">
        <v>81.357199776858295</v>
      </c>
      <c r="AM3499">
        <v>87.970006564814398</v>
      </c>
      <c r="AN3499">
        <v>0.99999995055449198</v>
      </c>
    </row>
    <row r="3500" spans="1:40" x14ac:dyDescent="0.25">
      <c r="A3500" t="str">
        <f>"20190312164056084"</f>
        <v>20190312164056084</v>
      </c>
      <c r="B3500" t="str">
        <f>"1552380056079729"</f>
        <v>1552380056079729</v>
      </c>
      <c r="C3500" t="s">
        <v>40</v>
      </c>
      <c r="D3500">
        <v>5.6263009999999998</v>
      </c>
      <c r="E3500">
        <v>0.4942761</v>
      </c>
      <c r="F3500" t="s">
        <v>48</v>
      </c>
      <c r="G3500">
        <v>-369.32839999999999</v>
      </c>
      <c r="H3500" s="1">
        <v>3.4273100000000001E-6</v>
      </c>
      <c r="I3500">
        <v>210.298</v>
      </c>
      <c r="J3500">
        <v>-409.09199999999998</v>
      </c>
      <c r="K3500">
        <v>1.109672</v>
      </c>
      <c r="L3500">
        <v>212.63740000000001</v>
      </c>
      <c r="M3500">
        <v>0.99993529999999997</v>
      </c>
      <c r="N3500">
        <v>0</v>
      </c>
      <c r="O3500">
        <v>8.9694690000000007E-3</v>
      </c>
      <c r="P3500">
        <v>0.98929699999999998</v>
      </c>
      <c r="Q3500">
        <v>0.14343330000000001</v>
      </c>
      <c r="R3500">
        <v>-2.680656E-2</v>
      </c>
      <c r="S3500">
        <v>3.0397639999999999</v>
      </c>
      <c r="T3500">
        <v>-8.4010479999999998E-2</v>
      </c>
      <c r="U3500">
        <v>-0.17683409999999999</v>
      </c>
      <c r="V3500">
        <v>3.5496850000000003E-2</v>
      </c>
      <c r="W3500">
        <v>0.1503951</v>
      </c>
      <c r="X3500">
        <v>0.98798850000000005</v>
      </c>
      <c r="Y3500">
        <v>6.6998740000000001E-2</v>
      </c>
      <c r="Z3500">
        <v>-1.1725240000000001E-3</v>
      </c>
      <c r="AA3500">
        <v>0.99775239999999998</v>
      </c>
      <c r="AB3500">
        <v>40</v>
      </c>
      <c r="AC3500">
        <v>39.763599999999997</v>
      </c>
      <c r="AD3500">
        <v>-1.10966857269</v>
      </c>
      <c r="AE3500">
        <v>-2.3394000000000101</v>
      </c>
      <c r="AF3500">
        <v>2.6938822886021798</v>
      </c>
      <c r="AG3500">
        <v>-1.10966857269</v>
      </c>
      <c r="AH3500">
        <v>39.7101978193744</v>
      </c>
      <c r="AI3500">
        <v>91.5969979048933</v>
      </c>
      <c r="AJ3500">
        <v>86.119083453692994</v>
      </c>
      <c r="AK3500">
        <v>39.8169332945156</v>
      </c>
      <c r="AL3500">
        <v>81.350176082007295</v>
      </c>
      <c r="AM3500">
        <v>87.942339157479296</v>
      </c>
      <c r="AN3500">
        <v>0.99999999429809106</v>
      </c>
    </row>
    <row r="3501" spans="1:40" x14ac:dyDescent="0.25">
      <c r="A3501" t="str">
        <f>"20190312164056106"</f>
        <v>20190312164056106</v>
      </c>
      <c r="B3501" t="str">
        <f>"1552380056099248"</f>
        <v>1552380056099248</v>
      </c>
      <c r="C3501" t="s">
        <v>40</v>
      </c>
      <c r="D3501">
        <v>5.5390079999999999</v>
      </c>
      <c r="E3501">
        <v>0.49336249999999998</v>
      </c>
      <c r="F3501" t="s">
        <v>48</v>
      </c>
      <c r="G3501">
        <v>-387.68579999999997</v>
      </c>
      <c r="H3501" s="1">
        <v>2.639644E-6</v>
      </c>
      <c r="I3501">
        <v>212.63839999999999</v>
      </c>
      <c r="J3501">
        <v>-408.70639999999997</v>
      </c>
      <c r="K3501">
        <v>1.1096680000000001</v>
      </c>
      <c r="L3501">
        <v>212.6413</v>
      </c>
      <c r="M3501">
        <v>0.99993100000000001</v>
      </c>
      <c r="N3501">
        <v>0</v>
      </c>
      <c r="O3501">
        <v>9.4349659999999995E-3</v>
      </c>
      <c r="P3501">
        <v>0.98933439999999995</v>
      </c>
      <c r="Q3501">
        <v>0.1431057</v>
      </c>
      <c r="R3501">
        <v>-2.7170619999999999E-2</v>
      </c>
      <c r="S3501">
        <v>3.0553889999999999</v>
      </c>
      <c r="T3501">
        <v>-0.15838720000000001</v>
      </c>
      <c r="U3501">
        <v>1.3732910000000001E-4</v>
      </c>
      <c r="V3501">
        <v>3.6321300000000001E-2</v>
      </c>
      <c r="W3501">
        <v>0.1500773</v>
      </c>
      <c r="X3501">
        <v>0.98800679999999996</v>
      </c>
      <c r="Y3501">
        <v>9.36501E-3</v>
      </c>
      <c r="Z3501">
        <v>-7.3134589999999998E-4</v>
      </c>
      <c r="AA3501">
        <v>0.99995590000000001</v>
      </c>
      <c r="AB3501">
        <v>40</v>
      </c>
      <c r="AC3501">
        <v>21.020600000000002</v>
      </c>
      <c r="AD3501">
        <v>-1.1096653603560001</v>
      </c>
      <c r="AE3501">
        <v>-2.9000000000110001E-3</v>
      </c>
      <c r="AF3501">
        <v>0.20067415081621701</v>
      </c>
      <c r="AG3501">
        <v>-1.1096653603560001</v>
      </c>
      <c r="AH3501">
        <v>20.961223830424601</v>
      </c>
      <c r="AI3501">
        <v>93.030211522890298</v>
      </c>
      <c r="AJ3501">
        <v>89.4514904883235</v>
      </c>
      <c r="AK3501">
        <v>20.991534765136699</v>
      </c>
      <c r="AL3501">
        <v>81.368593201432404</v>
      </c>
      <c r="AM3501">
        <v>87.894629401337596</v>
      </c>
      <c r="AN3501">
        <v>0.99999993482760696</v>
      </c>
    </row>
    <row r="3502" spans="1:40" x14ac:dyDescent="0.25">
      <c r="A3502" t="str">
        <f>"20190312164056129"</f>
        <v>20190312164056129</v>
      </c>
      <c r="B3502" t="str">
        <f>"1552380056119744"</f>
        <v>1552380056119744</v>
      </c>
      <c r="C3502" t="s">
        <v>40</v>
      </c>
      <c r="D3502">
        <v>5.6132390000000001</v>
      </c>
      <c r="E3502">
        <v>0.493145</v>
      </c>
      <c r="F3502" t="s">
        <v>48</v>
      </c>
      <c r="G3502">
        <v>-381.93099999999998</v>
      </c>
      <c r="H3502" s="1">
        <v>-4.245713E-7</v>
      </c>
      <c r="I3502">
        <v>212.6798</v>
      </c>
      <c r="J3502">
        <v>-408.2867</v>
      </c>
      <c r="K3502">
        <v>1.109667</v>
      </c>
      <c r="L3502">
        <v>212.6456</v>
      </c>
      <c r="M3502">
        <v>0.99992599999999998</v>
      </c>
      <c r="N3502">
        <v>0</v>
      </c>
      <c r="O3502">
        <v>9.9416480000000008E-3</v>
      </c>
      <c r="P3502">
        <v>0.9892917</v>
      </c>
      <c r="Q3502">
        <v>0.14333399999999999</v>
      </c>
      <c r="R3502">
        <v>-2.7523490000000001E-2</v>
      </c>
      <c r="S3502">
        <v>3.0507200000000001</v>
      </c>
      <c r="T3502">
        <v>-0.12643289999999999</v>
      </c>
      <c r="U3502">
        <v>4.3945310000000001E-3</v>
      </c>
      <c r="V3502">
        <v>3.7173829999999998E-2</v>
      </c>
      <c r="W3502">
        <v>0.15031539999999999</v>
      </c>
      <c r="X3502">
        <v>0.98793889999999995</v>
      </c>
      <c r="Y3502">
        <v>8.4856459999999995E-3</v>
      </c>
      <c r="Z3502">
        <v>-5.8760759999999996E-4</v>
      </c>
      <c r="AA3502">
        <v>0.99996379999999996</v>
      </c>
      <c r="AB3502">
        <v>40</v>
      </c>
      <c r="AC3502">
        <v>26.355699999999999</v>
      </c>
      <c r="AD3502">
        <v>-1.1096674245713001</v>
      </c>
      <c r="AE3502">
        <v>3.4199999999998398E-2</v>
      </c>
      <c r="AF3502">
        <v>0.22742406765597301</v>
      </c>
      <c r="AG3502">
        <v>-1.1096674245713001</v>
      </c>
      <c r="AH3502">
        <v>26.308101031949899</v>
      </c>
      <c r="AI3502">
        <v>92.415196131510001</v>
      </c>
      <c r="AJ3502">
        <v>89.504710938743798</v>
      </c>
      <c r="AK3502">
        <v>26.332475451559599</v>
      </c>
      <c r="AL3502">
        <v>81.3547946052242</v>
      </c>
      <c r="AM3502">
        <v>87.845110442669906</v>
      </c>
      <c r="AN3502">
        <v>0.99999994162361705</v>
      </c>
    </row>
    <row r="3503" spans="1:40" x14ac:dyDescent="0.25">
      <c r="A3503" t="str">
        <f>"20190312164056153"</f>
        <v>20190312164056153</v>
      </c>
      <c r="B3503" t="str">
        <f>"1552380056139267"</f>
        <v>1552380056139267</v>
      </c>
      <c r="C3503" t="s">
        <v>40</v>
      </c>
      <c r="D3503">
        <v>5.4137599999999999</v>
      </c>
      <c r="E3503">
        <v>0.49290689999999998</v>
      </c>
      <c r="F3503" t="s">
        <v>48</v>
      </c>
      <c r="G3503">
        <v>-378.47770000000003</v>
      </c>
      <c r="H3503" s="1">
        <v>2.9745960000000002E-6</v>
      </c>
      <c r="I3503">
        <v>212.68469999999999</v>
      </c>
      <c r="J3503">
        <v>-407.86349999999999</v>
      </c>
      <c r="K3503">
        <v>1.109659</v>
      </c>
      <c r="L3503">
        <v>212.65020000000001</v>
      </c>
      <c r="M3503">
        <v>0.9999207</v>
      </c>
      <c r="N3503">
        <v>0</v>
      </c>
      <c r="O3503">
        <v>1.045214E-2</v>
      </c>
      <c r="P3503">
        <v>0.98926219999999998</v>
      </c>
      <c r="Q3503">
        <v>0.14351900000000001</v>
      </c>
      <c r="R3503">
        <v>-2.7612250000000001E-2</v>
      </c>
      <c r="S3503">
        <v>3.0490719999999998</v>
      </c>
      <c r="T3503">
        <v>-0.1135042</v>
      </c>
      <c r="U3503">
        <v>3.9978030000000003E-3</v>
      </c>
      <c r="V3503">
        <v>3.7766149999999998E-2</v>
      </c>
      <c r="W3503">
        <v>0.15051010000000001</v>
      </c>
      <c r="X3503">
        <v>0.98788679999999995</v>
      </c>
      <c r="Y3503">
        <v>9.1277509999999999E-3</v>
      </c>
      <c r="Z3503">
        <v>-5.5879330000000002E-4</v>
      </c>
      <c r="AA3503">
        <v>0.99995820000000002</v>
      </c>
      <c r="AB3503">
        <v>40</v>
      </c>
      <c r="AC3503">
        <v>29.3857999999999</v>
      </c>
      <c r="AD3503">
        <v>-1.109656025404</v>
      </c>
      <c r="AE3503">
        <v>3.4499999999979901E-2</v>
      </c>
      <c r="AF3503">
        <v>0.27226572433631102</v>
      </c>
      <c r="AG3503">
        <v>-1.109656025404</v>
      </c>
      <c r="AH3503">
        <v>29.3427143889799</v>
      </c>
      <c r="AI3503">
        <v>92.165634393573995</v>
      </c>
      <c r="AJ3503">
        <v>89.468378111360707</v>
      </c>
      <c r="AK3503">
        <v>29.364951095355298</v>
      </c>
      <c r="AL3503">
        <v>81.343510824374107</v>
      </c>
      <c r="AM3503">
        <v>87.810692688204597</v>
      </c>
      <c r="AN3503">
        <v>0.999999950951035</v>
      </c>
    </row>
    <row r="3504" spans="1:40" x14ac:dyDescent="0.25">
      <c r="A3504" t="str">
        <f>"20190312164056172"</f>
        <v>20190312164056172</v>
      </c>
      <c r="B3504" t="str">
        <f>"1552380056169521"</f>
        <v>1552380056169521</v>
      </c>
      <c r="C3504" t="s">
        <v>40</v>
      </c>
      <c r="D3504">
        <v>5.6525559999999997</v>
      </c>
      <c r="E3504">
        <v>0.49276809999999899</v>
      </c>
      <c r="F3504" t="s">
        <v>48</v>
      </c>
      <c r="G3504">
        <v>-376.62759999999997</v>
      </c>
      <c r="H3504" s="1">
        <v>1.9900719999999999E-6</v>
      </c>
      <c r="I3504">
        <v>212.70570000000001</v>
      </c>
      <c r="J3504">
        <v>-407.49599999999998</v>
      </c>
      <c r="K3504">
        <v>1.1096629999999901</v>
      </c>
      <c r="L3504">
        <v>212.65440000000001</v>
      </c>
      <c r="M3504">
        <v>0.99991589999999997</v>
      </c>
      <c r="N3504">
        <v>0</v>
      </c>
      <c r="O3504">
        <v>1.089481E-2</v>
      </c>
      <c r="P3504">
        <v>0.98923470000000002</v>
      </c>
      <c r="Q3504">
        <v>0.14369660000000001</v>
      </c>
      <c r="R3504">
        <v>-2.7677899999999998E-2</v>
      </c>
      <c r="S3504">
        <v>3.0484010000000001</v>
      </c>
      <c r="T3504">
        <v>-0.1082946</v>
      </c>
      <c r="U3504">
        <v>5.4168699999999998E-3</v>
      </c>
      <c r="V3504">
        <v>3.8268290000000003E-2</v>
      </c>
      <c r="W3504">
        <v>0.15069630000000001</v>
      </c>
      <c r="X3504">
        <v>0.98783920000000003</v>
      </c>
      <c r="Y3504">
        <v>9.1056000000000002E-3</v>
      </c>
      <c r="Z3504">
        <v>-5.4860670000000001E-4</v>
      </c>
      <c r="AA3504">
        <v>0.99995840000000003</v>
      </c>
      <c r="AB3504">
        <v>40</v>
      </c>
      <c r="AC3504">
        <v>30.868400000000001</v>
      </c>
      <c r="AD3504">
        <v>-1.10966100992799</v>
      </c>
      <c r="AE3504">
        <v>5.1299999999997598E-2</v>
      </c>
      <c r="AF3504">
        <v>0.28464887954760998</v>
      </c>
      <c r="AG3504">
        <v>-1.10966100992799</v>
      </c>
      <c r="AH3504">
        <v>30.827289787096198</v>
      </c>
      <c r="AI3504">
        <v>92.061444504156697</v>
      </c>
      <c r="AJ3504">
        <v>89.470964977215502</v>
      </c>
      <c r="AK3504">
        <v>30.848568332407101</v>
      </c>
      <c r="AL3504">
        <v>81.332720225078603</v>
      </c>
      <c r="AM3504">
        <v>87.781505688559704</v>
      </c>
      <c r="AN3504">
        <v>1.00000006095492</v>
      </c>
    </row>
    <row r="3505" spans="1:40" x14ac:dyDescent="0.25">
      <c r="A3505" t="str">
        <f>"20190312164056195"</f>
        <v>20190312164056195</v>
      </c>
      <c r="B3505" t="str">
        <f>"1552380056190017"</f>
        <v>1552380056190017</v>
      </c>
      <c r="C3505" t="s">
        <v>40</v>
      </c>
      <c r="D3505">
        <v>5.5896229999999996</v>
      </c>
      <c r="E3505">
        <v>0.49271199999999998</v>
      </c>
      <c r="F3505" t="s">
        <v>48</v>
      </c>
      <c r="G3505">
        <v>-374.98390000000001</v>
      </c>
      <c r="H3505" s="1">
        <v>1.1154130000000001E-6</v>
      </c>
      <c r="I3505">
        <v>212.72239999999999</v>
      </c>
      <c r="J3505">
        <v>-407.08019999999999</v>
      </c>
      <c r="K3505">
        <v>1.109664</v>
      </c>
      <c r="L3505">
        <v>212.6593</v>
      </c>
      <c r="M3505">
        <v>0.99991030000000003</v>
      </c>
      <c r="N3505">
        <v>0</v>
      </c>
      <c r="O3505">
        <v>1.139356E-2</v>
      </c>
      <c r="P3505">
        <v>0.98924219999999896</v>
      </c>
      <c r="Q3505">
        <v>0.14359450000000001</v>
      </c>
      <c r="R3505">
        <v>-2.793926E-2</v>
      </c>
      <c r="S3505">
        <v>3.0479129999999999</v>
      </c>
      <c r="T3505">
        <v>-0.10402749999999999</v>
      </c>
      <c r="U3505">
        <v>6.3781740000000003E-3</v>
      </c>
      <c r="V3505">
        <v>3.9022479999999998E-2</v>
      </c>
      <c r="W3505">
        <v>0.15060399999999999</v>
      </c>
      <c r="X3505">
        <v>0.98782369999999997</v>
      </c>
      <c r="Y3505">
        <v>9.2892800000000005E-3</v>
      </c>
      <c r="Z3505">
        <v>-5.4723789999999999E-4</v>
      </c>
      <c r="AA3505">
        <v>0.99995670000000003</v>
      </c>
      <c r="AB3505">
        <v>40</v>
      </c>
      <c r="AC3505">
        <v>32.0962999999999</v>
      </c>
      <c r="AD3505">
        <v>-1.109662884587</v>
      </c>
      <c r="AE3505">
        <v>6.3099999999991496E-2</v>
      </c>
      <c r="AF3505">
        <v>0.30224301562414702</v>
      </c>
      <c r="AG3505">
        <v>-1.109662884587</v>
      </c>
      <c r="AH3505">
        <v>32.056618808556102</v>
      </c>
      <c r="AI3505">
        <v>91.982454910965799</v>
      </c>
      <c r="AJ3505">
        <v>89.459807780269898</v>
      </c>
      <c r="AK3505">
        <v>32.077242898899499</v>
      </c>
      <c r="AL3505">
        <v>81.338069062977198</v>
      </c>
      <c r="AM3505">
        <v>87.737793213392493</v>
      </c>
      <c r="AN3505">
        <v>0.99999999052152</v>
      </c>
    </row>
    <row r="3506" spans="1:40" x14ac:dyDescent="0.25">
      <c r="A3506" t="str">
        <f>"20190312164056218"</f>
        <v>20190312164056218</v>
      </c>
      <c r="B3506" t="str">
        <f>"1552380056209537"</f>
        <v>1552380056209537</v>
      </c>
      <c r="C3506" t="s">
        <v>40</v>
      </c>
      <c r="D3506">
        <v>5.6497169999999999</v>
      </c>
      <c r="E3506">
        <v>0.49253059999999999</v>
      </c>
      <c r="F3506" t="s">
        <v>48</v>
      </c>
      <c r="G3506">
        <v>-374.46359999999999</v>
      </c>
      <c r="H3506" s="1">
        <v>8.3850759999999898E-7</v>
      </c>
      <c r="I3506">
        <v>212.72489999999999</v>
      </c>
      <c r="J3506">
        <v>-406.66640000000001</v>
      </c>
      <c r="K3506">
        <v>1.1096619999999999</v>
      </c>
      <c r="L3506">
        <v>212.6643</v>
      </c>
      <c r="M3506">
        <v>0.99990449999999997</v>
      </c>
      <c r="N3506">
        <v>0</v>
      </c>
      <c r="O3506">
        <v>1.188407E-2</v>
      </c>
      <c r="P3506">
        <v>0.98929480000000003</v>
      </c>
      <c r="Q3506">
        <v>0.14318599999999901</v>
      </c>
      <c r="R3506">
        <v>-2.8176E-2</v>
      </c>
      <c r="S3506">
        <v>3.047882</v>
      </c>
      <c r="T3506">
        <v>-0.10369340000000001</v>
      </c>
      <c r="U3506">
        <v>6.1340329999999997E-3</v>
      </c>
      <c r="V3506">
        <v>3.9745669999999997E-2</v>
      </c>
      <c r="W3506">
        <v>0.15020600000000001</v>
      </c>
      <c r="X3506">
        <v>0.9878555</v>
      </c>
      <c r="Y3506">
        <v>9.8593540000000007E-3</v>
      </c>
      <c r="Z3506">
        <v>-5.7186379999999998E-4</v>
      </c>
      <c r="AA3506">
        <v>0.99995120000000004</v>
      </c>
      <c r="AB3506">
        <v>41</v>
      </c>
      <c r="AC3506">
        <v>32.202800000000003</v>
      </c>
      <c r="AD3506">
        <v>-1.1096611614923999</v>
      </c>
      <c r="AE3506">
        <v>6.0599999999993701E-2</v>
      </c>
      <c r="AF3506">
        <v>0.32173211071729702</v>
      </c>
      <c r="AG3506">
        <v>-1.1096611614923999</v>
      </c>
      <c r="AH3506">
        <v>32.163056014385297</v>
      </c>
      <c r="AI3506">
        <v>91.975885492032802</v>
      </c>
      <c r="AJ3506">
        <v>89.426880416604106</v>
      </c>
      <c r="AK3506">
        <v>32.183800764186998</v>
      </c>
      <c r="AL3506">
        <v>81.361135471304806</v>
      </c>
      <c r="AM3506">
        <v>87.695987389713395</v>
      </c>
      <c r="AN3506">
        <v>1.0000000247999901</v>
      </c>
    </row>
    <row r="3507" spans="1:40" x14ac:dyDescent="0.25">
      <c r="A3507" t="str">
        <f>"20190312164056241"</f>
        <v>20190312164056241</v>
      </c>
      <c r="B3507" t="str">
        <f>"1552380056230036"</f>
        <v>1552380056230036</v>
      </c>
      <c r="C3507" t="s">
        <v>40</v>
      </c>
      <c r="D3507">
        <v>5.4826280000000001</v>
      </c>
      <c r="E3507">
        <v>0.49237750000000002</v>
      </c>
      <c r="F3507" t="s">
        <v>48</v>
      </c>
      <c r="G3507">
        <v>-373.85550000000001</v>
      </c>
      <c r="H3507" s="1">
        <v>5.1493240000000004E-7</v>
      </c>
      <c r="I3507">
        <v>212.73840000000001</v>
      </c>
      <c r="J3507">
        <v>-406.23779999999999</v>
      </c>
      <c r="K3507">
        <v>1.109656</v>
      </c>
      <c r="L3507">
        <v>212.66980000000001</v>
      </c>
      <c r="M3507">
        <v>0.99989850000000002</v>
      </c>
      <c r="N3507">
        <v>0</v>
      </c>
      <c r="O3507">
        <v>1.237985E-2</v>
      </c>
      <c r="P3507">
        <v>0.98934080000000002</v>
      </c>
      <c r="Q3507">
        <v>0.14283989999999999</v>
      </c>
      <c r="R3507">
        <v>-2.8312589999999999E-2</v>
      </c>
      <c r="S3507">
        <v>3.0476070000000002</v>
      </c>
      <c r="T3507">
        <v>-0.10306989999999901</v>
      </c>
      <c r="U3507">
        <v>6.8817139999999997E-3</v>
      </c>
      <c r="V3507">
        <v>4.0375359999999999E-2</v>
      </c>
      <c r="W3507">
        <v>0.14986949999999999</v>
      </c>
      <c r="X3507">
        <v>0.98788109999999996</v>
      </c>
      <c r="Y3507">
        <v>1.0109379999999999E-2</v>
      </c>
      <c r="Z3507">
        <v>-5.8946689999999995E-4</v>
      </c>
      <c r="AA3507">
        <v>0.99994870000000002</v>
      </c>
      <c r="AB3507">
        <v>41</v>
      </c>
      <c r="AC3507">
        <v>32.382299999999901</v>
      </c>
      <c r="AD3507">
        <v>-1.1096554850675999</v>
      </c>
      <c r="AE3507">
        <v>6.8600000000003505E-2</v>
      </c>
      <c r="AF3507">
        <v>0.33191349420493399</v>
      </c>
      <c r="AG3507">
        <v>-1.1096554850675999</v>
      </c>
      <c r="AH3507">
        <v>32.342689328202297</v>
      </c>
      <c r="AI3507">
        <v>91.964904726791502</v>
      </c>
      <c r="AJ3507">
        <v>89.412028646751196</v>
      </c>
      <c r="AK3507">
        <v>32.363421556500903</v>
      </c>
      <c r="AL3507">
        <v>81.380636482472596</v>
      </c>
      <c r="AM3507">
        <v>87.659585816079399</v>
      </c>
      <c r="AN3507">
        <v>1.00000005223129</v>
      </c>
    </row>
    <row r="3508" spans="1:40" x14ac:dyDescent="0.25">
      <c r="A3508" t="str">
        <f>"20190312164056264"</f>
        <v>20190312164056264</v>
      </c>
      <c r="B3508" t="str">
        <f>"1552380056259313"</f>
        <v>1552380056259313</v>
      </c>
      <c r="C3508" t="s">
        <v>40</v>
      </c>
      <c r="D3508">
        <v>5.5712950000000001</v>
      </c>
      <c r="E3508">
        <v>0.49216409999999999</v>
      </c>
      <c r="F3508" t="s">
        <v>48</v>
      </c>
      <c r="G3508">
        <v>-373.58</v>
      </c>
      <c r="H3508" s="1">
        <v>3.6828010000000001E-7</v>
      </c>
      <c r="I3508">
        <v>212.74619999999999</v>
      </c>
      <c r="J3508">
        <v>-405.83670000000001</v>
      </c>
      <c r="K3508">
        <v>1.109645</v>
      </c>
      <c r="L3508">
        <v>212.67509999999999</v>
      </c>
      <c r="M3508">
        <v>0.99989269999999997</v>
      </c>
      <c r="N3508">
        <v>0</v>
      </c>
      <c r="O3508">
        <v>1.2832049999999999E-2</v>
      </c>
      <c r="P3508">
        <v>0.98936179999999996</v>
      </c>
      <c r="Q3508">
        <v>0.14272370000000001</v>
      </c>
      <c r="R3508">
        <v>-2.8170029999999999E-2</v>
      </c>
      <c r="S3508">
        <v>3.0474549999999998</v>
      </c>
      <c r="T3508">
        <v>-0.1035471</v>
      </c>
      <c r="U3508">
        <v>7.125854E-3</v>
      </c>
      <c r="V3508">
        <v>4.0682690000000001E-2</v>
      </c>
      <c r="W3508">
        <v>0.14976199999999901</v>
      </c>
      <c r="X3508">
        <v>0.98788480000000001</v>
      </c>
      <c r="Y3508">
        <v>1.048079E-2</v>
      </c>
      <c r="Z3508">
        <v>-6.13892E-4</v>
      </c>
      <c r="AA3508">
        <v>0.99994490000000003</v>
      </c>
      <c r="AB3508">
        <v>41</v>
      </c>
      <c r="AC3508">
        <v>32.256700000000002</v>
      </c>
      <c r="AD3508">
        <v>-1.1096446317199</v>
      </c>
      <c r="AE3508">
        <v>7.1100000000001204E-2</v>
      </c>
      <c r="AF3508">
        <v>0.342430547768937</v>
      </c>
      <c r="AG3508">
        <v>-1.1096446317199</v>
      </c>
      <c r="AH3508">
        <v>32.216831524204601</v>
      </c>
      <c r="AI3508">
        <v>91.9725479188847</v>
      </c>
      <c r="AJ3508">
        <v>89.391029923161696</v>
      </c>
      <c r="AK3508">
        <v>32.237754316138897</v>
      </c>
      <c r="AL3508">
        <v>81.386866136150303</v>
      </c>
      <c r="AM3508">
        <v>87.641799861903294</v>
      </c>
      <c r="AN3508">
        <v>1.0000000579903301</v>
      </c>
    </row>
    <row r="3509" spans="1:40" x14ac:dyDescent="0.25">
      <c r="A3509" t="str">
        <f>"20190312164056285"</f>
        <v>20190312164056285</v>
      </c>
      <c r="B3509" t="str">
        <f>"1552380056279809"</f>
        <v>1552380056279809</v>
      </c>
      <c r="C3509" t="s">
        <v>40</v>
      </c>
      <c r="D3509">
        <v>5.481096</v>
      </c>
      <c r="E3509">
        <v>0.49206640000000001</v>
      </c>
      <c r="F3509" t="s">
        <v>48</v>
      </c>
      <c r="G3509">
        <v>-372.97140000000002</v>
      </c>
      <c r="H3509" s="1">
        <v>4.4457070000000001E-8</v>
      </c>
      <c r="I3509">
        <v>212.773</v>
      </c>
      <c r="J3509">
        <v>-405.43650000000002</v>
      </c>
      <c r="K3509">
        <v>1.109626</v>
      </c>
      <c r="L3509">
        <v>212.6806</v>
      </c>
      <c r="M3509">
        <v>0.99988699999999997</v>
      </c>
      <c r="N3509">
        <v>0</v>
      </c>
      <c r="O3509">
        <v>1.326455E-2</v>
      </c>
      <c r="P3509">
        <v>0.98943479999999995</v>
      </c>
      <c r="Q3509">
        <v>0.14230329999999999</v>
      </c>
      <c r="R3509">
        <v>-2.77238E-2</v>
      </c>
      <c r="S3509">
        <v>3.0473629999999998</v>
      </c>
      <c r="T3509">
        <v>-0.10288940000000001</v>
      </c>
      <c r="U3509">
        <v>9.0789789999999992E-3</v>
      </c>
      <c r="V3509">
        <v>4.0670020000000001E-2</v>
      </c>
      <c r="W3509">
        <v>0.14934939999999999</v>
      </c>
      <c r="X3509">
        <v>0.98794769999999998</v>
      </c>
      <c r="Y3509">
        <v>1.0272399999999999E-2</v>
      </c>
      <c r="Z3509">
        <v>-6.2109320000000004E-4</v>
      </c>
      <c r="AA3509">
        <v>0.99994709999999998</v>
      </c>
      <c r="AB3509">
        <v>41</v>
      </c>
      <c r="AC3509">
        <v>32.4651</v>
      </c>
      <c r="AD3509">
        <v>-1.10962595554293</v>
      </c>
      <c r="AE3509">
        <v>9.2399999999997803E-2</v>
      </c>
      <c r="AF3509">
        <v>0.33785916027769503</v>
      </c>
      <c r="AG3509">
        <v>-1.10962595554293</v>
      </c>
      <c r="AH3509">
        <v>32.425589829980197</v>
      </c>
      <c r="AI3509">
        <v>91.959829802775204</v>
      </c>
      <c r="AJ3509">
        <v>89.403026943804207</v>
      </c>
      <c r="AK3509">
        <v>32.446329444106802</v>
      </c>
      <c r="AL3509">
        <v>81.410774561717403</v>
      </c>
      <c r="AM3509">
        <v>87.642683382719994</v>
      </c>
      <c r="AN3509">
        <v>0.99999997587122402</v>
      </c>
    </row>
    <row r="3510" spans="1:40" x14ac:dyDescent="0.25">
      <c r="A3510" t="str">
        <f>"20190312164056308"</f>
        <v>20190312164056308</v>
      </c>
      <c r="B3510" t="str">
        <f>"1552380056299329"</f>
        <v>1552380056299329</v>
      </c>
      <c r="C3510" t="s">
        <v>40</v>
      </c>
      <c r="D3510">
        <v>5.4784249999999997</v>
      </c>
      <c r="E3510">
        <v>0.4919751</v>
      </c>
      <c r="F3510" t="s">
        <v>48</v>
      </c>
      <c r="G3510">
        <v>-372.88350000000003</v>
      </c>
      <c r="H3510" s="1">
        <v>-2.3352409999999998E-9</v>
      </c>
      <c r="I3510">
        <v>212.79599999999999</v>
      </c>
      <c r="J3510">
        <v>-405.02890000000002</v>
      </c>
      <c r="K3510">
        <v>1.1096079999999999</v>
      </c>
      <c r="L3510">
        <v>212.68629999999999</v>
      </c>
      <c r="M3510">
        <v>0.99988149999999998</v>
      </c>
      <c r="N3510">
        <v>0</v>
      </c>
      <c r="O3510">
        <v>1.367584E-2</v>
      </c>
      <c r="P3510">
        <v>0.98943599999999998</v>
      </c>
      <c r="Q3510">
        <v>0.14240139999999901</v>
      </c>
      <c r="R3510">
        <v>-2.7175689999999999E-2</v>
      </c>
      <c r="S3510">
        <v>3.047272</v>
      </c>
      <c r="T3510">
        <v>-0.10387150000000001</v>
      </c>
      <c r="U3510">
        <v>1.0803220000000001E-2</v>
      </c>
      <c r="V3510">
        <v>4.053503E-2</v>
      </c>
      <c r="W3510">
        <v>0.14945459999999999</v>
      </c>
      <c r="X3510">
        <v>0.98793739999999997</v>
      </c>
      <c r="Y3510">
        <v>1.011742E-2</v>
      </c>
      <c r="Z3510">
        <v>-6.3840990000000003E-4</v>
      </c>
      <c r="AA3510">
        <v>0.99994859999999997</v>
      </c>
      <c r="AB3510">
        <v>41</v>
      </c>
      <c r="AC3510">
        <v>32.145399999999903</v>
      </c>
      <c r="AD3510">
        <v>-1.1096080023352399</v>
      </c>
      <c r="AE3510">
        <v>0.109700000000003</v>
      </c>
      <c r="AF3510">
        <v>0.32954393431288698</v>
      </c>
      <c r="AG3510">
        <v>-1.1096080023352399</v>
      </c>
      <c r="AH3510">
        <v>32.105639851617198</v>
      </c>
      <c r="AI3510">
        <v>91.979316276462001</v>
      </c>
      <c r="AJ3510">
        <v>89.411915986413405</v>
      </c>
      <c r="AK3510">
        <v>32.126499021917098</v>
      </c>
      <c r="AL3510">
        <v>81.404679150712994</v>
      </c>
      <c r="AM3510">
        <v>87.650474425416704</v>
      </c>
      <c r="AN3510">
        <v>1.0000000362185</v>
      </c>
    </row>
    <row r="3511" spans="1:40" x14ac:dyDescent="0.25">
      <c r="A3511" t="str">
        <f>"20190312164056329"</f>
        <v>20190312164056329</v>
      </c>
      <c r="B3511" t="str">
        <f>"1552380056319825"</f>
        <v>1552380056319825</v>
      </c>
      <c r="C3511" t="s">
        <v>40</v>
      </c>
      <c r="D3511">
        <v>5.7313499999999999</v>
      </c>
      <c r="E3511">
        <v>0.4919133</v>
      </c>
      <c r="F3511" t="s">
        <v>48</v>
      </c>
      <c r="G3511">
        <v>-372.69659999999999</v>
      </c>
      <c r="H3511" s="1">
        <v>-1.017979E-7</v>
      </c>
      <c r="I3511">
        <v>212.8236</v>
      </c>
      <c r="J3511">
        <v>-404.6234</v>
      </c>
      <c r="K3511">
        <v>1.109586</v>
      </c>
      <c r="L3511">
        <v>212.69210000000001</v>
      </c>
      <c r="M3511">
        <v>0.99987610000000005</v>
      </c>
      <c r="N3511">
        <v>0</v>
      </c>
      <c r="O3511">
        <v>1.404827E-2</v>
      </c>
      <c r="P3511">
        <v>0.98943419999999904</v>
      </c>
      <c r="Q3511">
        <v>0.14254069999999999</v>
      </c>
      <c r="R3511">
        <v>-2.6494739999999999E-2</v>
      </c>
      <c r="S3511">
        <v>3.0474239999999999</v>
      </c>
      <c r="T3511">
        <v>-0.1045841</v>
      </c>
      <c r="U3511">
        <v>1.293945E-2</v>
      </c>
      <c r="V3511">
        <v>4.0231570000000001E-2</v>
      </c>
      <c r="W3511">
        <v>0.14959979999999901</v>
      </c>
      <c r="X3511">
        <v>0.98792780000000002</v>
      </c>
      <c r="Y3511">
        <v>9.7888980000000007E-3</v>
      </c>
      <c r="Z3511">
        <v>-6.4989500000000005E-4</v>
      </c>
      <c r="AA3511">
        <v>0.9999519</v>
      </c>
      <c r="AB3511">
        <v>41</v>
      </c>
      <c r="AC3511">
        <v>31.9268</v>
      </c>
      <c r="AD3511">
        <v>-1.1095861017978901</v>
      </c>
      <c r="AE3511">
        <v>0.13149999999998799</v>
      </c>
      <c r="AF3511">
        <v>0.31665812641520902</v>
      </c>
      <c r="AG3511">
        <v>-1.1095861017978901</v>
      </c>
      <c r="AH3511">
        <v>31.886982758894</v>
      </c>
      <c r="AI3511">
        <v>91.992845448208399</v>
      </c>
      <c r="AJ3511">
        <v>89.431034978991505</v>
      </c>
      <c r="AK3511">
        <v>31.907853628101201</v>
      </c>
      <c r="AL3511">
        <v>81.3962649724903</v>
      </c>
      <c r="AM3511">
        <v>87.668021702987701</v>
      </c>
      <c r="AN3511">
        <v>1.0000000086987699</v>
      </c>
    </row>
    <row r="3512" spans="1:40" x14ac:dyDescent="0.25">
      <c r="A3512" t="str">
        <f>"20190312164056372"</f>
        <v>20190312164056372</v>
      </c>
      <c r="B3512" t="str">
        <f>"1552380056369601"</f>
        <v>1552380056369601</v>
      </c>
      <c r="C3512" t="s">
        <v>40</v>
      </c>
      <c r="D3512">
        <v>5.6629379999999996</v>
      </c>
      <c r="E3512">
        <v>0.49088860000000001</v>
      </c>
      <c r="F3512" t="s">
        <v>48</v>
      </c>
      <c r="G3512">
        <v>-372.34620000000001</v>
      </c>
      <c r="H3512" s="1">
        <v>-2.8828469999999999E-7</v>
      </c>
      <c r="I3512">
        <v>212.86019999999999</v>
      </c>
      <c r="J3512">
        <v>-403.83150000000001</v>
      </c>
      <c r="K3512">
        <v>1.1095219999999999</v>
      </c>
      <c r="L3512">
        <v>212.7038</v>
      </c>
      <c r="M3512">
        <v>0.99986730000000001</v>
      </c>
      <c r="N3512">
        <v>0</v>
      </c>
      <c r="O3512">
        <v>1.4655649999999999E-2</v>
      </c>
      <c r="P3512">
        <v>0.98958020000000002</v>
      </c>
      <c r="Q3512">
        <v>0.14167569999999999</v>
      </c>
      <c r="R3512">
        <v>-2.567649E-2</v>
      </c>
      <c r="S3512">
        <v>3.047577</v>
      </c>
      <c r="T3512">
        <v>-0.104765899999999</v>
      </c>
      <c r="U3512">
        <v>1.586914E-2</v>
      </c>
      <c r="V3512">
        <v>4.004009E-2</v>
      </c>
      <c r="W3512">
        <v>0.1487464</v>
      </c>
      <c r="X3512">
        <v>0.98806439999999995</v>
      </c>
      <c r="Y3512">
        <v>9.4350879999999995E-3</v>
      </c>
      <c r="Z3512">
        <v>-6.6578139999999997E-4</v>
      </c>
      <c r="AA3512">
        <v>0.99995529999999999</v>
      </c>
      <c r="AB3512">
        <v>41</v>
      </c>
      <c r="AC3512">
        <v>31.485299999999899</v>
      </c>
      <c r="AD3512">
        <v>-1.10952228828469</v>
      </c>
      <c r="AE3512">
        <v>0.15639999999998999</v>
      </c>
      <c r="AF3512">
        <v>0.30468765270916798</v>
      </c>
      <c r="AG3512">
        <v>-1.10952228828469</v>
      </c>
      <c r="AH3512">
        <v>31.445162450504899</v>
      </c>
      <c r="AI3512">
        <v>92.020711524242799</v>
      </c>
      <c r="AJ3512">
        <v>89.444850371048304</v>
      </c>
      <c r="AK3512">
        <v>31.4662059329141</v>
      </c>
      <c r="AL3512">
        <v>81.4457142253939</v>
      </c>
      <c r="AM3512">
        <v>87.679428975344806</v>
      </c>
      <c r="AN3512">
        <v>0.99999997943376295</v>
      </c>
    </row>
    <row r="3513" spans="1:40" x14ac:dyDescent="0.25">
      <c r="A3513" t="str">
        <f>"20190312164056394"</f>
        <v>20190312164056394</v>
      </c>
      <c r="B3513" t="str">
        <f>"1552380056390097"</f>
        <v>1552380056390097</v>
      </c>
      <c r="C3513" t="s">
        <v>40</v>
      </c>
      <c r="D3513">
        <v>5.5357010000000004</v>
      </c>
      <c r="E3513">
        <v>0.49144729999999998</v>
      </c>
      <c r="F3513" t="s">
        <v>48</v>
      </c>
      <c r="G3513">
        <v>-382.7561</v>
      </c>
      <c r="H3513" s="1">
        <v>4.3764669999999998E-9</v>
      </c>
      <c r="I3513">
        <v>212.91210000000001</v>
      </c>
      <c r="J3513">
        <v>-403.41219999999998</v>
      </c>
      <c r="K3513">
        <v>1.1094759999999999</v>
      </c>
      <c r="L3513">
        <v>212.71010000000001</v>
      </c>
      <c r="M3513">
        <v>0.99986339999999996</v>
      </c>
      <c r="N3513">
        <v>0</v>
      </c>
      <c r="O3513">
        <v>1.491636E-2</v>
      </c>
      <c r="P3513">
        <v>0.98963820000000002</v>
      </c>
      <c r="Q3513">
        <v>0.14128009999999999</v>
      </c>
      <c r="R3513">
        <v>-2.5622860000000001E-2</v>
      </c>
      <c r="S3513">
        <v>3.0553889999999999</v>
      </c>
      <c r="T3513">
        <v>-0.1608521</v>
      </c>
      <c r="U3513">
        <v>3.0197140000000001E-2</v>
      </c>
      <c r="V3513">
        <v>4.0258210000000003E-2</v>
      </c>
      <c r="W3513">
        <v>0.1483573</v>
      </c>
      <c r="X3513">
        <v>0.9881141</v>
      </c>
      <c r="Y3513">
        <v>5.0067669999999996E-3</v>
      </c>
      <c r="Z3513">
        <v>-9.1639529999999996E-4</v>
      </c>
      <c r="AA3513">
        <v>0.99998710000000002</v>
      </c>
      <c r="AB3513">
        <v>41</v>
      </c>
      <c r="AC3513">
        <v>20.656099999999899</v>
      </c>
      <c r="AD3513">
        <v>-1.1094759956235301</v>
      </c>
      <c r="AE3513">
        <v>0.20199999999999799</v>
      </c>
      <c r="AF3513">
        <v>0.105838795858123</v>
      </c>
      <c r="AG3513">
        <v>-1.1094759956235301</v>
      </c>
      <c r="AH3513">
        <v>20.597398067283098</v>
      </c>
      <c r="AI3513">
        <v>93.083208973051995</v>
      </c>
      <c r="AJ3513">
        <v>89.705590826534504</v>
      </c>
      <c r="AK3513">
        <v>20.627528838367699</v>
      </c>
      <c r="AL3513">
        <v>81.468258695957402</v>
      </c>
      <c r="AM3513">
        <v>87.666918729460505</v>
      </c>
      <c r="AN3513">
        <v>1.00000004327725</v>
      </c>
    </row>
    <row r="3514" spans="1:40" x14ac:dyDescent="0.25">
      <c r="A3514" t="str">
        <f>"20190312164056418"</f>
        <v>20190312164056418</v>
      </c>
      <c r="B3514" t="str">
        <f>"1552380056409616"</f>
        <v>1552380056409616</v>
      </c>
      <c r="C3514" t="s">
        <v>40</v>
      </c>
      <c r="D3514">
        <v>5.6708730000000003</v>
      </c>
      <c r="E3514">
        <v>0.49164029999999997</v>
      </c>
      <c r="F3514" t="s">
        <v>48</v>
      </c>
      <c r="G3514">
        <v>-379.31950000000001</v>
      </c>
      <c r="H3514" s="1">
        <v>3.4225989999999998E-6</v>
      </c>
      <c r="I3514">
        <v>212.90780000000001</v>
      </c>
      <c r="J3514">
        <v>-402.98039999999997</v>
      </c>
      <c r="K3514">
        <v>1.1094349999999999</v>
      </c>
      <c r="L3514">
        <v>212.7167</v>
      </c>
      <c r="M3514">
        <v>0.99985979999999997</v>
      </c>
      <c r="N3514">
        <v>0</v>
      </c>
      <c r="O3514">
        <v>1.5149299999999999E-2</v>
      </c>
      <c r="P3514">
        <v>0.98962479999999997</v>
      </c>
      <c r="Q3514">
        <v>0.14133609999999999</v>
      </c>
      <c r="R3514">
        <v>-2.5820510000000001E-2</v>
      </c>
      <c r="S3514">
        <v>3.052155</v>
      </c>
      <c r="T3514">
        <v>-0.1405525</v>
      </c>
      <c r="U3514">
        <v>2.503967E-2</v>
      </c>
      <c r="V3514">
        <v>4.0698079999999998E-2</v>
      </c>
      <c r="W3514">
        <v>0.1484201</v>
      </c>
      <c r="X3514">
        <v>0.98808660000000004</v>
      </c>
      <c r="Y3514">
        <v>6.923078E-3</v>
      </c>
      <c r="Z3514">
        <v>-8.5655309999999995E-4</v>
      </c>
      <c r="AA3514">
        <v>0.99997570000000002</v>
      </c>
      <c r="AB3514">
        <v>41</v>
      </c>
      <c r="AC3514">
        <v>23.660899999999899</v>
      </c>
      <c r="AD3514">
        <v>-1.109431577401</v>
      </c>
      <c r="AE3514">
        <v>0.19110000000000499</v>
      </c>
      <c r="AF3514">
        <v>0.16700996498864901</v>
      </c>
      <c r="AG3514">
        <v>-1.109431577401</v>
      </c>
      <c r="AH3514">
        <v>23.609176876859301</v>
      </c>
      <c r="AI3514">
        <v>92.690370514254695</v>
      </c>
      <c r="AJ3514">
        <v>89.594699697803904</v>
      </c>
      <c r="AK3514">
        <v>23.635819502529799</v>
      </c>
      <c r="AL3514">
        <v>81.464619820363396</v>
      </c>
      <c r="AM3514">
        <v>87.641390038018798</v>
      </c>
      <c r="AN3514">
        <v>0.99999999444962795</v>
      </c>
    </row>
    <row r="3515" spans="1:40" x14ac:dyDescent="0.25">
      <c r="A3515" t="str">
        <f>"20190312164056440"</f>
        <v>20190312164056440</v>
      </c>
      <c r="B3515" t="str">
        <f>"1552380056430117"</f>
        <v>1552380056430117</v>
      </c>
      <c r="C3515" t="s">
        <v>40</v>
      </c>
      <c r="D3515">
        <v>5.5369830000000002</v>
      </c>
      <c r="E3515">
        <v>0.49174459999999998</v>
      </c>
      <c r="F3515" t="s">
        <v>48</v>
      </c>
      <c r="G3515">
        <v>-377.1798</v>
      </c>
      <c r="H3515" s="1">
        <v>2.283959E-6</v>
      </c>
      <c r="I3515">
        <v>212.90989999999999</v>
      </c>
      <c r="J3515">
        <v>-402.56220000000002</v>
      </c>
      <c r="K3515">
        <v>1.1094040000000001</v>
      </c>
      <c r="L3515">
        <v>212.72319999999999</v>
      </c>
      <c r="M3515">
        <v>0.99985679999999999</v>
      </c>
      <c r="N3515">
        <v>0</v>
      </c>
      <c r="O3515">
        <v>1.534666E-2</v>
      </c>
      <c r="P3515">
        <v>0.98967249999999996</v>
      </c>
      <c r="Q3515">
        <v>0.14097199999999999</v>
      </c>
      <c r="R3515">
        <v>-2.5984699999999999E-2</v>
      </c>
      <c r="S3515">
        <v>3.0507810000000002</v>
      </c>
      <c r="T3515">
        <v>-0.13118460000000001</v>
      </c>
      <c r="U3515">
        <v>2.284241E-2</v>
      </c>
      <c r="V3515">
        <v>4.1067779999999998E-2</v>
      </c>
      <c r="W3515">
        <v>0.1480631</v>
      </c>
      <c r="X3515">
        <v>0.98812480000000003</v>
      </c>
      <c r="Y3515">
        <v>7.8388910000000006E-3</v>
      </c>
      <c r="Z3515">
        <v>-8.280424E-4</v>
      </c>
      <c r="AA3515">
        <v>0.99996890000000005</v>
      </c>
      <c r="AB3515">
        <v>42</v>
      </c>
      <c r="AC3515">
        <v>25.382400000000001</v>
      </c>
      <c r="AD3515">
        <v>-1.1094017160409999</v>
      </c>
      <c r="AE3515">
        <v>0.186700000000001</v>
      </c>
      <c r="AF3515">
        <v>0.20248017065347601</v>
      </c>
      <c r="AG3515">
        <v>-1.1094017160409999</v>
      </c>
      <c r="AH3515">
        <v>25.3338820435883</v>
      </c>
      <c r="AI3515">
        <v>92.507370359237996</v>
      </c>
      <c r="AJ3515">
        <v>89.542075226548505</v>
      </c>
      <c r="AK3515">
        <v>25.3589698092314</v>
      </c>
      <c r="AL3515">
        <v>81.485302404517597</v>
      </c>
      <c r="AM3515">
        <v>87.620080934289803</v>
      </c>
      <c r="AN3515">
        <v>0.99999993225538697</v>
      </c>
    </row>
    <row r="3516" spans="1:40" x14ac:dyDescent="0.25">
      <c r="A3516" t="str">
        <f>"20190312164056463"</f>
        <v>20190312164056463</v>
      </c>
      <c r="B3516" t="str">
        <f>"1552380056459393"</f>
        <v>1552380056459393</v>
      </c>
      <c r="C3516" t="s">
        <v>40</v>
      </c>
      <c r="D3516">
        <v>5.630846</v>
      </c>
      <c r="E3516">
        <v>0.49034159999999999</v>
      </c>
      <c r="F3516" t="s">
        <v>48</v>
      </c>
      <c r="G3516">
        <v>-376.47129999999999</v>
      </c>
      <c r="H3516" s="1">
        <v>1.9068900000000001E-6</v>
      </c>
      <c r="I3516">
        <v>212.9059</v>
      </c>
      <c r="J3516">
        <v>-402.14620000000002</v>
      </c>
      <c r="K3516">
        <v>1.1093820000000001</v>
      </c>
      <c r="L3516">
        <v>212.72970000000001</v>
      </c>
      <c r="M3516">
        <v>0.99985389999999996</v>
      </c>
      <c r="N3516">
        <v>0</v>
      </c>
      <c r="O3516">
        <v>1.5526109999999999E-2</v>
      </c>
      <c r="P3516">
        <v>0.98976869999999995</v>
      </c>
      <c r="Q3516">
        <v>0.14027829999999999</v>
      </c>
      <c r="R3516">
        <v>-2.6078299999999999E-2</v>
      </c>
      <c r="S3516">
        <v>3.050354</v>
      </c>
      <c r="T3516">
        <v>-0.1297027</v>
      </c>
      <c r="U3516">
        <v>2.1362300000000001E-2</v>
      </c>
      <c r="V3516">
        <v>4.1348259999999998E-2</v>
      </c>
      <c r="W3516">
        <v>0.14737690000000001</v>
      </c>
      <c r="X3516">
        <v>0.98821570000000003</v>
      </c>
      <c r="Y3516">
        <v>8.5022099999999996E-3</v>
      </c>
      <c r="Z3516">
        <v>-8.4053559999999999E-4</v>
      </c>
      <c r="AA3516">
        <v>0.99996350000000001</v>
      </c>
      <c r="AB3516">
        <v>42</v>
      </c>
      <c r="AC3516">
        <v>25.674900000000001</v>
      </c>
      <c r="AD3516">
        <v>-1.10938009311</v>
      </c>
      <c r="AE3516">
        <v>0.176199999999994</v>
      </c>
      <c r="AF3516">
        <v>0.22204820709315401</v>
      </c>
      <c r="AG3516">
        <v>-1.10938009311</v>
      </c>
      <c r="AH3516">
        <v>25.6266981581275</v>
      </c>
      <c r="AI3516">
        <v>92.478694439795802</v>
      </c>
      <c r="AJ3516">
        <v>89.5035604406837</v>
      </c>
      <c r="AK3516">
        <v>25.651660532703101</v>
      </c>
      <c r="AL3516">
        <v>81.525055034817598</v>
      </c>
      <c r="AM3516">
        <v>87.604065868985799</v>
      </c>
      <c r="AN3516">
        <v>0.99999994949256199</v>
      </c>
    </row>
    <row r="3517" spans="1:40" x14ac:dyDescent="0.25">
      <c r="A3517" t="str">
        <f>"20190312164056485"</f>
        <v>20190312164056485</v>
      </c>
      <c r="B3517" t="str">
        <f>"1552380056479889"</f>
        <v>1552380056479889</v>
      </c>
      <c r="C3517" t="s">
        <v>40</v>
      </c>
      <c r="D3517">
        <v>5.622452</v>
      </c>
      <c r="E3517">
        <v>0.48971930000000002</v>
      </c>
      <c r="F3517" t="s">
        <v>48</v>
      </c>
      <c r="G3517">
        <v>-376.45760000000001</v>
      </c>
      <c r="H3517" s="1">
        <v>1.899607E-6</v>
      </c>
      <c r="I3517">
        <v>212.9975</v>
      </c>
      <c r="J3517">
        <v>-401.72629999999998</v>
      </c>
      <c r="K3517">
        <v>1.109361</v>
      </c>
      <c r="L3517">
        <v>212.7364</v>
      </c>
      <c r="M3517">
        <v>0.9998513</v>
      </c>
      <c r="N3517">
        <v>0</v>
      </c>
      <c r="O3517">
        <v>1.5695870000000001E-2</v>
      </c>
      <c r="P3517">
        <v>0.98984380000000005</v>
      </c>
      <c r="Q3517">
        <v>0.1396607</v>
      </c>
      <c r="R3517">
        <v>-2.6540089999999999E-2</v>
      </c>
      <c r="S3517">
        <v>3.0504760000000002</v>
      </c>
      <c r="T3517">
        <v>-0.13173689999999999</v>
      </c>
      <c r="U3517">
        <v>3.1799319999999999E-2</v>
      </c>
      <c r="V3517">
        <v>4.1985410000000001E-2</v>
      </c>
      <c r="W3517">
        <v>0.14676800000000001</v>
      </c>
      <c r="X3517">
        <v>0.98827949999999998</v>
      </c>
      <c r="Y3517">
        <v>5.2533700000000003E-3</v>
      </c>
      <c r="Z3517">
        <v>-7.9086460000000005E-4</v>
      </c>
      <c r="AA3517">
        <v>0.99998589999999998</v>
      </c>
      <c r="AB3517">
        <v>42</v>
      </c>
      <c r="AC3517">
        <v>25.2686999999999</v>
      </c>
      <c r="AD3517">
        <v>-1.1093591003929999</v>
      </c>
      <c r="AE3517">
        <v>0.261099999999999</v>
      </c>
      <c r="AF3517">
        <v>0.135295768547886</v>
      </c>
      <c r="AG3517">
        <v>-1.1093591003929999</v>
      </c>
      <c r="AH3517">
        <v>25.221078681553799</v>
      </c>
      <c r="AI3517">
        <v>92.518517894776295</v>
      </c>
      <c r="AJ3517">
        <v>89.692645890958801</v>
      </c>
      <c r="AK3517">
        <v>25.245827227875498</v>
      </c>
      <c r="AL3517">
        <v>81.560326372850895</v>
      </c>
      <c r="AM3517">
        <v>87.567346958863098</v>
      </c>
      <c r="AN3517">
        <v>0.99999999529855799</v>
      </c>
    </row>
    <row r="3518" spans="1:40" x14ac:dyDescent="0.25">
      <c r="A3518" t="str">
        <f>"20190312164056508"</f>
        <v>20190312164056508</v>
      </c>
      <c r="B3518" t="str">
        <f>"1552380056499409"</f>
        <v>1552380056499409</v>
      </c>
      <c r="C3518" t="s">
        <v>40</v>
      </c>
      <c r="D3518">
        <v>5.52</v>
      </c>
      <c r="E3518">
        <v>0.48913079999999998</v>
      </c>
      <c r="F3518" t="s">
        <v>48</v>
      </c>
      <c r="G3518">
        <v>-375.95859999999999</v>
      </c>
      <c r="H3518" s="1">
        <v>1.634093E-6</v>
      </c>
      <c r="I3518">
        <v>213.03319999999999</v>
      </c>
      <c r="J3518">
        <v>-401.30930000000001</v>
      </c>
      <c r="K3518">
        <v>1.1093420000000001</v>
      </c>
      <c r="L3518">
        <v>212.7431</v>
      </c>
      <c r="M3518">
        <v>0.99984850000000003</v>
      </c>
      <c r="N3518">
        <v>0</v>
      </c>
      <c r="O3518">
        <v>1.5857969999999999E-2</v>
      </c>
      <c r="P3518">
        <v>0.98995889999999997</v>
      </c>
      <c r="Q3518">
        <v>0.13883480000000001</v>
      </c>
      <c r="R3518">
        <v>-2.657994E-2</v>
      </c>
      <c r="S3518">
        <v>3.050262</v>
      </c>
      <c r="T3518">
        <v>-0.1313212</v>
      </c>
      <c r="U3518">
        <v>3.5140989999999997E-2</v>
      </c>
      <c r="V3518">
        <v>4.2193229999999998E-2</v>
      </c>
      <c r="W3518">
        <v>0.14595050000000001</v>
      </c>
      <c r="X3518">
        <v>0.98839169999999998</v>
      </c>
      <c r="Y3518">
        <v>4.3202040000000002E-3</v>
      </c>
      <c r="Z3518">
        <v>-7.7531729999999997E-4</v>
      </c>
      <c r="AA3518">
        <v>0.9999903</v>
      </c>
      <c r="AB3518">
        <v>42</v>
      </c>
      <c r="AC3518">
        <v>25.3507</v>
      </c>
      <c r="AD3518">
        <v>-1.109340365907</v>
      </c>
      <c r="AE3518">
        <v>0.29009999999999497</v>
      </c>
      <c r="AF3518">
        <v>0.111743521837189</v>
      </c>
      <c r="AG3518">
        <v>-1.109340365907</v>
      </c>
      <c r="AH3518">
        <v>25.303664567725399</v>
      </c>
      <c r="AI3518">
        <v>92.510277796695206</v>
      </c>
      <c r="AJ3518">
        <v>89.746977733102796</v>
      </c>
      <c r="AK3518">
        <v>25.3282167397957</v>
      </c>
      <c r="AL3518">
        <v>81.607675465514305</v>
      </c>
      <c r="AM3518">
        <v>87.555597527969894</v>
      </c>
      <c r="AN3518">
        <v>0.99999998486848596</v>
      </c>
    </row>
    <row r="3519" spans="1:40" x14ac:dyDescent="0.25">
      <c r="A3519" t="str">
        <f>"20190312164056541"</f>
        <v>20190312164056541</v>
      </c>
      <c r="B3519" t="str">
        <f>"1552380056529664"</f>
        <v>1552380056529664</v>
      </c>
      <c r="C3519" t="s">
        <v>40</v>
      </c>
      <c r="D3519">
        <v>5.4126300000000001</v>
      </c>
      <c r="E3519">
        <v>0.48868270000000003</v>
      </c>
      <c r="F3519" t="s">
        <v>48</v>
      </c>
      <c r="G3519">
        <v>-375.50700000000001</v>
      </c>
      <c r="H3519" s="1">
        <v>1.3937699999999999E-6</v>
      </c>
      <c r="I3519">
        <v>213.07730000000001</v>
      </c>
      <c r="J3519">
        <v>-400.69099999999997</v>
      </c>
      <c r="K3519">
        <v>1.1093120000000001</v>
      </c>
      <c r="L3519">
        <v>212.75309999999999</v>
      </c>
      <c r="M3519">
        <v>0.99984479999999998</v>
      </c>
      <c r="N3519">
        <v>0</v>
      </c>
      <c r="O3519">
        <v>1.6087710000000002E-2</v>
      </c>
      <c r="P3519">
        <v>0.98995960000000005</v>
      </c>
      <c r="Q3519">
        <v>0.13894670000000001</v>
      </c>
      <c r="R3519">
        <v>-2.5957790000000001E-2</v>
      </c>
      <c r="S3519">
        <v>3.0498660000000002</v>
      </c>
      <c r="T3519">
        <v>-0.13112550000000001</v>
      </c>
      <c r="U3519">
        <v>3.9504999999999998E-2</v>
      </c>
      <c r="V3519">
        <v>4.1806049999999997E-2</v>
      </c>
      <c r="W3519">
        <v>0.1460737</v>
      </c>
      <c r="X3519">
        <v>0.98838999999999999</v>
      </c>
      <c r="Y3519">
        <v>3.1187620000000002E-3</v>
      </c>
      <c r="Z3519">
        <v>-7.5831140000000004E-4</v>
      </c>
      <c r="AA3519">
        <v>0.99999490000000002</v>
      </c>
      <c r="AB3519">
        <v>42</v>
      </c>
      <c r="AC3519">
        <v>25.184000000000001</v>
      </c>
      <c r="AD3519">
        <v>-1.10931060623</v>
      </c>
      <c r="AE3519">
        <v>0.32420000000001797</v>
      </c>
      <c r="AF3519">
        <v>8.0848452947625105E-2</v>
      </c>
      <c r="AG3519">
        <v>-1.10931060623</v>
      </c>
      <c r="AH3519">
        <v>25.137192132116301</v>
      </c>
      <c r="AI3519">
        <v>92.526824626812797</v>
      </c>
      <c r="AJ3519">
        <v>89.815720899257798</v>
      </c>
      <c r="AK3519">
        <v>25.1617871936865</v>
      </c>
      <c r="AL3519">
        <v>81.6005405525177</v>
      </c>
      <c r="AM3519">
        <v>87.577997233715294</v>
      </c>
      <c r="AN3519">
        <v>1.00000003187414</v>
      </c>
    </row>
    <row r="3520" spans="1:40" x14ac:dyDescent="0.25">
      <c r="A3520" t="str">
        <f>"20190312164056562"</f>
        <v>20190312164056562</v>
      </c>
      <c r="B3520" t="str">
        <f>"1552380056559921"</f>
        <v>1552380056559921</v>
      </c>
      <c r="C3520" t="s">
        <v>40</v>
      </c>
      <c r="D3520">
        <v>5.5533080000000004</v>
      </c>
      <c r="E3520">
        <v>0.4886431</v>
      </c>
      <c r="F3520" t="s">
        <v>48</v>
      </c>
      <c r="G3520">
        <v>-374.59530000000001</v>
      </c>
      <c r="H3520" s="1">
        <v>9.0861029999999996E-7</v>
      </c>
      <c r="I3520">
        <v>213.13679999999999</v>
      </c>
      <c r="J3520">
        <v>-400.28640000000001</v>
      </c>
      <c r="K3520">
        <v>1.1092930000000001</v>
      </c>
      <c r="L3520">
        <v>212.75970000000001</v>
      </c>
      <c r="M3520">
        <v>0.99984249999999997</v>
      </c>
      <c r="N3520">
        <v>0</v>
      </c>
      <c r="O3520">
        <v>1.6229360000000002E-2</v>
      </c>
      <c r="P3520">
        <v>0.98992290000000005</v>
      </c>
      <c r="Q3520">
        <v>0.13943129999999901</v>
      </c>
      <c r="R3520">
        <v>-2.4741929999999999E-2</v>
      </c>
      <c r="S3520">
        <v>3.0498050000000001</v>
      </c>
      <c r="T3520">
        <v>-0.12964529999999999</v>
      </c>
      <c r="U3520">
        <v>4.4845580000000003E-2</v>
      </c>
      <c r="V3520">
        <v>4.0734560000000003E-2</v>
      </c>
      <c r="W3520">
        <v>0.14656520000000001</v>
      </c>
      <c r="X3520">
        <v>0.98836199999999996</v>
      </c>
      <c r="Y3520">
        <v>1.511119E-3</v>
      </c>
      <c r="Z3520">
        <v>-7.2162810000000002E-4</v>
      </c>
      <c r="AA3520">
        <v>0.99999859999999896</v>
      </c>
      <c r="AB3520">
        <v>42</v>
      </c>
      <c r="AC3520">
        <v>25.691099999999999</v>
      </c>
      <c r="AD3520">
        <v>-1.1092920913897</v>
      </c>
      <c r="AE3520">
        <v>0.377099999999984</v>
      </c>
      <c r="AF3520">
        <v>3.9836280714172903E-2</v>
      </c>
      <c r="AG3520">
        <v>-1.1092920913897</v>
      </c>
      <c r="AH3520">
        <v>25.646033663180202</v>
      </c>
      <c r="AI3520">
        <v>92.476721625227796</v>
      </c>
      <c r="AJ3520">
        <v>89.911001874569806</v>
      </c>
      <c r="AK3520">
        <v>25.670043991513801</v>
      </c>
      <c r="AL3520">
        <v>81.572073471838607</v>
      </c>
      <c r="AM3520">
        <v>87.639935327128597</v>
      </c>
      <c r="AN3520">
        <v>1.0000000526367101</v>
      </c>
    </row>
    <row r="3521" spans="1:40" x14ac:dyDescent="0.25">
      <c r="A3521" t="str">
        <f>"20190312164056585"</f>
        <v>20190312164056585</v>
      </c>
      <c r="B3521" t="str">
        <f>"1552380056579440"</f>
        <v>1552380056579440</v>
      </c>
      <c r="C3521" t="s">
        <v>40</v>
      </c>
      <c r="D3521">
        <v>5.93729</v>
      </c>
      <c r="E3521">
        <v>0.48846800000000001</v>
      </c>
      <c r="F3521" t="s">
        <v>48</v>
      </c>
      <c r="G3521">
        <v>-374.3236</v>
      </c>
      <c r="H3521" s="1">
        <v>7.6400199999999996E-7</v>
      </c>
      <c r="I3521">
        <v>213.1746</v>
      </c>
      <c r="J3521">
        <v>-399.8553</v>
      </c>
      <c r="K3521">
        <v>1.109275</v>
      </c>
      <c r="L3521">
        <v>212.76679999999999</v>
      </c>
      <c r="M3521">
        <v>0.99984010000000001</v>
      </c>
      <c r="N3521">
        <v>0</v>
      </c>
      <c r="O3521">
        <v>1.637183E-2</v>
      </c>
      <c r="P3521">
        <v>0.98993180000000003</v>
      </c>
      <c r="Q3521">
        <v>0.1394717</v>
      </c>
      <c r="R3521">
        <v>-2.4142340000000002E-2</v>
      </c>
      <c r="S3521">
        <v>3.0500790000000002</v>
      </c>
      <c r="T3521">
        <v>-0.13031799999999999</v>
      </c>
      <c r="U3521">
        <v>4.873657E-2</v>
      </c>
      <c r="V3521">
        <v>4.028168E-2</v>
      </c>
      <c r="W3521">
        <v>0.14661370000000001</v>
      </c>
      <c r="X3521">
        <v>0.98837330000000001</v>
      </c>
      <c r="Y3521">
        <v>3.8027219999999998E-4</v>
      </c>
      <c r="Z3521">
        <v>-7.0723229999999904E-4</v>
      </c>
      <c r="AA3521">
        <v>0.99999970000000005</v>
      </c>
      <c r="AB3521">
        <v>42</v>
      </c>
      <c r="AC3521">
        <v>25.531700000000001</v>
      </c>
      <c r="AD3521">
        <v>-1.1092742359979999</v>
      </c>
      <c r="AE3521">
        <v>0.40780000000000799</v>
      </c>
      <c r="AF3521">
        <v>1.0246787528993001E-2</v>
      </c>
      <c r="AG3521">
        <v>-1.1092742359979999</v>
      </c>
      <c r="AH3521">
        <v>25.4868568277316</v>
      </c>
      <c r="AI3521">
        <v>92.492133156296404</v>
      </c>
      <c r="AJ3521">
        <v>89.976964690023806</v>
      </c>
      <c r="AK3521">
        <v>25.510987148375801</v>
      </c>
      <c r="AL3521">
        <v>81.569263709705496</v>
      </c>
      <c r="AM3521">
        <v>87.666171606224694</v>
      </c>
      <c r="AN3521">
        <v>0.999999985462101</v>
      </c>
    </row>
    <row r="3522" spans="1:40" x14ac:dyDescent="0.25">
      <c r="A3522" t="str">
        <f>"20190312164056607"</f>
        <v>20190312164056607</v>
      </c>
      <c r="B3522" t="str">
        <f>"1552380056599937"</f>
        <v>1552380056599937</v>
      </c>
      <c r="C3522" t="s">
        <v>40</v>
      </c>
      <c r="D3522">
        <v>5.5508410000000001</v>
      </c>
      <c r="E3522">
        <v>0.48838999999999999</v>
      </c>
      <c r="F3522" t="s">
        <v>48</v>
      </c>
      <c r="G3522">
        <v>-373.71460000000002</v>
      </c>
      <c r="H3522" s="1">
        <v>4.3993660000000001E-7</v>
      </c>
      <c r="I3522">
        <v>213.20920000000001</v>
      </c>
      <c r="J3522">
        <v>-399.42410000000001</v>
      </c>
      <c r="K3522">
        <v>1.109251</v>
      </c>
      <c r="L3522">
        <v>212.774</v>
      </c>
      <c r="M3522">
        <v>0.99983789999999995</v>
      </c>
      <c r="N3522">
        <v>0</v>
      </c>
      <c r="O3522">
        <v>1.6497709999999999E-2</v>
      </c>
      <c r="P3522">
        <v>0.98997630000000003</v>
      </c>
      <c r="Q3522">
        <v>0.13920439999999901</v>
      </c>
      <c r="R3522">
        <v>-2.3861759999999999E-2</v>
      </c>
      <c r="S3522">
        <v>3.0499879999999999</v>
      </c>
      <c r="T3522">
        <v>-0.1294254</v>
      </c>
      <c r="U3522">
        <v>5.1620480000000003E-2</v>
      </c>
      <c r="V3522">
        <v>4.0132750000000002E-2</v>
      </c>
      <c r="W3522">
        <v>0.14635429999999999</v>
      </c>
      <c r="X3522">
        <v>0.98841780000000001</v>
      </c>
      <c r="Y3522">
        <v>-4.3876400000000002E-4</v>
      </c>
      <c r="Z3522">
        <v>-6.9037619999999999E-4</v>
      </c>
      <c r="AA3522">
        <v>0.99999959999999999</v>
      </c>
      <c r="AB3522">
        <v>42</v>
      </c>
      <c r="AC3522">
        <v>25.709499999999899</v>
      </c>
      <c r="AD3522">
        <v>-1.1092505600633999</v>
      </c>
      <c r="AE3522">
        <v>0.43520000000000802</v>
      </c>
      <c r="AF3522">
        <v>-1.09614650180474E-2</v>
      </c>
      <c r="AG3522">
        <v>-1.1092505600633999</v>
      </c>
      <c r="AH3522">
        <v>25.665417356214</v>
      </c>
      <c r="AI3522">
        <v>92.474763633150403</v>
      </c>
      <c r="AJ3522">
        <v>90.024470501917406</v>
      </c>
      <c r="AK3522">
        <v>25.689379226197101</v>
      </c>
      <c r="AL3522">
        <v>81.584288284477097</v>
      </c>
      <c r="AM3522">
        <v>87.674895350762398</v>
      </c>
      <c r="AN3522">
        <v>0.999999983053946</v>
      </c>
    </row>
    <row r="3523" spans="1:40" x14ac:dyDescent="0.25">
      <c r="A3523" t="str">
        <f>"20190312164056630"</f>
        <v>20190312164056630</v>
      </c>
      <c r="B3523" t="str">
        <f>"1552380056619460"</f>
        <v>1552380056619460</v>
      </c>
      <c r="C3523" t="s">
        <v>40</v>
      </c>
      <c r="D3523">
        <v>5.6633579999999997</v>
      </c>
      <c r="E3523">
        <v>0.48837900000000001</v>
      </c>
      <c r="F3523" t="s">
        <v>48</v>
      </c>
      <c r="G3523">
        <v>-373.476</v>
      </c>
      <c r="H3523" s="1">
        <v>3.129352E-7</v>
      </c>
      <c r="I3523">
        <v>213.23269999999999</v>
      </c>
      <c r="J3523">
        <v>-398.99869999999999</v>
      </c>
      <c r="K3523">
        <v>1.1092310000000001</v>
      </c>
      <c r="L3523">
        <v>212.78110000000001</v>
      </c>
      <c r="M3523">
        <v>0.99983610000000001</v>
      </c>
      <c r="N3523">
        <v>0</v>
      </c>
      <c r="O3523">
        <v>1.6600670000000001E-2</v>
      </c>
      <c r="P3523">
        <v>0.98994079999999995</v>
      </c>
      <c r="Q3523">
        <v>0.13951140000000001</v>
      </c>
      <c r="R3523">
        <v>-2.3538119999999999E-2</v>
      </c>
      <c r="S3523">
        <v>3.0500180000000001</v>
      </c>
      <c r="T3523">
        <v>-0.13038440000000001</v>
      </c>
      <c r="U3523">
        <v>5.3924560000000003E-2</v>
      </c>
      <c r="V3523">
        <v>3.9917769999999998E-2</v>
      </c>
      <c r="W3523">
        <v>0.14666850000000001</v>
      </c>
      <c r="X3523">
        <v>0.98838000000000004</v>
      </c>
      <c r="Y3523">
        <v>-1.0905229999999999E-3</v>
      </c>
      <c r="Z3523">
        <v>-6.8594999999999995E-4</v>
      </c>
      <c r="AA3523">
        <v>0.99999919999999998</v>
      </c>
      <c r="AB3523">
        <v>42</v>
      </c>
      <c r="AC3523">
        <v>25.522699999999901</v>
      </c>
      <c r="AD3523">
        <v>-1.1092306870648001</v>
      </c>
      <c r="AE3523">
        <v>0.45159999999998401</v>
      </c>
      <c r="AF3523">
        <v>-2.7780333249551599E-2</v>
      </c>
      <c r="AG3523">
        <v>-1.1092306870648001</v>
      </c>
      <c r="AH3523">
        <v>25.478570465215</v>
      </c>
      <c r="AI3523">
        <v>92.492843621615805</v>
      </c>
      <c r="AJ3523">
        <v>90.062471920082004</v>
      </c>
      <c r="AK3523">
        <v>25.502719804267301</v>
      </c>
      <c r="AL3523">
        <v>81.566090143231605</v>
      </c>
      <c r="AM3523">
        <v>87.687248380657607</v>
      </c>
      <c r="AN3523">
        <v>1.0000000508270099</v>
      </c>
    </row>
    <row r="3524" spans="1:40" x14ac:dyDescent="0.25">
      <c r="A3524" t="str">
        <f>"20190312164056652"</f>
        <v>20190312164056652</v>
      </c>
      <c r="B3524" t="str">
        <f>"1552380056639953"</f>
        <v>1552380056639953</v>
      </c>
      <c r="C3524" t="s">
        <v>40</v>
      </c>
      <c r="D3524">
        <v>5.4872699999999996</v>
      </c>
      <c r="E3524">
        <v>0.48837589999999997</v>
      </c>
      <c r="F3524" t="s">
        <v>48</v>
      </c>
      <c r="G3524">
        <v>-372.78629999999998</v>
      </c>
      <c r="H3524" s="1">
        <v>-5.4073890000000003E-8</v>
      </c>
      <c r="I3524">
        <v>213.2517</v>
      </c>
      <c r="J3524">
        <v>-398.58370000000002</v>
      </c>
      <c r="K3524">
        <v>1.109208</v>
      </c>
      <c r="L3524">
        <v>212.78800000000001</v>
      </c>
      <c r="M3524">
        <v>0.99983500000000003</v>
      </c>
      <c r="N3524">
        <v>0</v>
      </c>
      <c r="O3524">
        <v>1.6677339999999999E-2</v>
      </c>
      <c r="P3524">
        <v>0.98999239999999999</v>
      </c>
      <c r="Q3524">
        <v>0.1391404</v>
      </c>
      <c r="R3524">
        <v>-2.356254E-2</v>
      </c>
      <c r="S3524">
        <v>3.049957</v>
      </c>
      <c r="T3524">
        <v>-0.12906480000000001</v>
      </c>
      <c r="U3524">
        <v>5.476379E-2</v>
      </c>
      <c r="V3524">
        <v>4.0027420000000001E-2</v>
      </c>
      <c r="W3524">
        <v>0.1463053</v>
      </c>
      <c r="X3524">
        <v>0.98842940000000001</v>
      </c>
      <c r="Y3524">
        <v>-1.2888839999999999E-3</v>
      </c>
      <c r="Z3524">
        <v>-6.7807220000000001E-4</v>
      </c>
      <c r="AA3524">
        <v>0.99999890000000002</v>
      </c>
      <c r="AB3524">
        <v>42</v>
      </c>
      <c r="AC3524">
        <v>25.7974</v>
      </c>
      <c r="AD3524">
        <v>-1.10920805407388</v>
      </c>
      <c r="AE3524">
        <v>0.46370000000001699</v>
      </c>
      <c r="AF3524">
        <v>-3.3330744370709001E-2</v>
      </c>
      <c r="AG3524">
        <v>-1.10920805407388</v>
      </c>
      <c r="AH3524">
        <v>25.753948692309599</v>
      </c>
      <c r="AI3524">
        <v>92.466170722476207</v>
      </c>
      <c r="AJ3524">
        <v>90.074152120789805</v>
      </c>
      <c r="AK3524">
        <v>25.7778456565296</v>
      </c>
      <c r="AL3524">
        <v>81.5871269531753</v>
      </c>
      <c r="AM3524">
        <v>87.681018195151495</v>
      </c>
      <c r="AN3524">
        <v>1.0000000569721501</v>
      </c>
    </row>
    <row r="3525" spans="1:40" x14ac:dyDescent="0.25">
      <c r="A3525" t="str">
        <f>"20190312164056676"</f>
        <v>20190312164056676</v>
      </c>
      <c r="B3525" t="str">
        <f>"1552380056669233"</f>
        <v>1552380056669233</v>
      </c>
      <c r="C3525" t="s">
        <v>40</v>
      </c>
      <c r="D3525">
        <v>5.4820279999999997</v>
      </c>
      <c r="E3525">
        <v>0.48843799999999998</v>
      </c>
      <c r="F3525" t="s">
        <v>48</v>
      </c>
      <c r="G3525">
        <v>-372.48320000000001</v>
      </c>
      <c r="H3525" s="1">
        <v>-2.153382E-7</v>
      </c>
      <c r="I3525">
        <v>213.2568</v>
      </c>
      <c r="J3525">
        <v>-398.1311</v>
      </c>
      <c r="K3525">
        <v>1.1091799999999901</v>
      </c>
      <c r="L3525">
        <v>212.79560000000001</v>
      </c>
      <c r="M3525">
        <v>0.99983379999999999</v>
      </c>
      <c r="N3525">
        <v>0</v>
      </c>
      <c r="O3525">
        <v>1.673759E-2</v>
      </c>
      <c r="P3525">
        <v>0.99000840000000001</v>
      </c>
      <c r="Q3525">
        <v>0.13900019999999999</v>
      </c>
      <c r="R3525">
        <v>-2.3722070000000001E-2</v>
      </c>
      <c r="S3525">
        <v>3.0498660000000002</v>
      </c>
      <c r="T3525">
        <v>-0.12961220000000001</v>
      </c>
      <c r="U3525">
        <v>5.4779050000000003E-2</v>
      </c>
      <c r="V3525">
        <v>4.0255579999999999E-2</v>
      </c>
      <c r="W3525">
        <v>0.14617269999999999</v>
      </c>
      <c r="X3525">
        <v>0.98843970000000003</v>
      </c>
      <c r="Y3525">
        <v>-1.2343829999999999E-3</v>
      </c>
      <c r="Z3525">
        <v>-6.8468229999999895E-4</v>
      </c>
      <c r="AA3525">
        <v>0.99999899999999997</v>
      </c>
      <c r="AB3525">
        <v>43</v>
      </c>
      <c r="AC3525">
        <v>25.6479</v>
      </c>
      <c r="AD3525">
        <v>-1.10918021533819</v>
      </c>
      <c r="AE3525">
        <v>0.46119999999999101</v>
      </c>
      <c r="AF3525">
        <v>-3.1780726623236E-2</v>
      </c>
      <c r="AG3525">
        <v>-1.10918021533819</v>
      </c>
      <c r="AH3525">
        <v>25.604155751644701</v>
      </c>
      <c r="AI3525">
        <v>92.480518669224196</v>
      </c>
      <c r="AJ3525">
        <v>90.071117383752195</v>
      </c>
      <c r="AK3525">
        <v>25.628189216547501</v>
      </c>
      <c r="AL3525">
        <v>81.594806500453402</v>
      </c>
      <c r="AM3525">
        <v>87.6678386141934</v>
      </c>
      <c r="AN3525">
        <v>1.0000000052412501</v>
      </c>
    </row>
    <row r="3526" spans="1:40" x14ac:dyDescent="0.25">
      <c r="A3526" t="str">
        <f>"20190312164056698"</f>
        <v>20190312164056698</v>
      </c>
      <c r="B3526" t="str">
        <f>"1552380056689729"</f>
        <v>1552380056689729</v>
      </c>
      <c r="C3526" t="s">
        <v>40</v>
      </c>
      <c r="D3526">
        <v>5.5367160000000002</v>
      </c>
      <c r="E3526">
        <v>0.48854340000000002</v>
      </c>
      <c r="F3526" t="s">
        <v>48</v>
      </c>
      <c r="G3526">
        <v>-372.07440000000003</v>
      </c>
      <c r="H3526" s="1">
        <v>-4.329151E-7</v>
      </c>
      <c r="I3526">
        <v>213.2543</v>
      </c>
      <c r="J3526">
        <v>-397.7011</v>
      </c>
      <c r="K3526">
        <v>1.1091580000000001</v>
      </c>
      <c r="L3526">
        <v>212.80279999999999</v>
      </c>
      <c r="M3526">
        <v>0.99983299999999997</v>
      </c>
      <c r="N3526">
        <v>0</v>
      </c>
      <c r="O3526">
        <v>1.6776180000000002E-2</v>
      </c>
      <c r="P3526">
        <v>0.99002199999999996</v>
      </c>
      <c r="Q3526">
        <v>0.13883470000000001</v>
      </c>
      <c r="R3526">
        <v>-2.4111090000000002E-2</v>
      </c>
      <c r="S3526">
        <v>3.0498349999999999</v>
      </c>
      <c r="T3526">
        <v>-0.1298251</v>
      </c>
      <c r="U3526">
        <v>5.368042E-2</v>
      </c>
      <c r="V3526">
        <v>4.069031E-2</v>
      </c>
      <c r="W3526">
        <v>0.1460147</v>
      </c>
      <c r="X3526">
        <v>0.98844520000000002</v>
      </c>
      <c r="Y3526">
        <v>-8.3628969999999996E-4</v>
      </c>
      <c r="Z3526">
        <v>-6.9592579999999996E-4</v>
      </c>
      <c r="AA3526">
        <v>0.99999939999999998</v>
      </c>
      <c r="AB3526">
        <v>43</v>
      </c>
      <c r="AC3526">
        <v>25.6266999999999</v>
      </c>
      <c r="AD3526">
        <v>-1.1091584329151001</v>
      </c>
      <c r="AE3526">
        <v>0.45150000000001</v>
      </c>
      <c r="AF3526">
        <v>-2.1466831579221E-2</v>
      </c>
      <c r="AG3526">
        <v>-1.1091584329151001</v>
      </c>
      <c r="AH3526">
        <v>25.582759307568399</v>
      </c>
      <c r="AI3526">
        <v>92.482543030048106</v>
      </c>
      <c r="AJ3526">
        <v>90.048077634845498</v>
      </c>
      <c r="AK3526">
        <v>25.606801187245999</v>
      </c>
      <c r="AL3526">
        <v>81.603956979882796</v>
      </c>
      <c r="AM3526">
        <v>87.642694387270396</v>
      </c>
      <c r="AN3526">
        <v>0.99999995367351202</v>
      </c>
    </row>
    <row r="3527" spans="1:40" x14ac:dyDescent="0.25">
      <c r="A3527" t="str">
        <f>"20190312164056719"</f>
        <v>20190312164056719</v>
      </c>
      <c r="B3527" t="str">
        <f>"1552380056709249"</f>
        <v>1552380056709249</v>
      </c>
      <c r="C3527" t="s">
        <v>40</v>
      </c>
      <c r="D3527">
        <v>5.4771609999999997</v>
      </c>
      <c r="E3527">
        <v>0.48860559999999997</v>
      </c>
      <c r="F3527" t="s">
        <v>48</v>
      </c>
      <c r="G3527">
        <v>-371.69740000000002</v>
      </c>
      <c r="H3527" s="1">
        <v>-6.3352900000000001E-7</v>
      </c>
      <c r="I3527">
        <v>213.24959999999999</v>
      </c>
      <c r="J3527">
        <v>-397.29270000000002</v>
      </c>
      <c r="K3527">
        <v>1.10914</v>
      </c>
      <c r="L3527">
        <v>212.80969999999999</v>
      </c>
      <c r="M3527">
        <v>0.99983259999999996</v>
      </c>
      <c r="N3527">
        <v>0</v>
      </c>
      <c r="O3527">
        <v>1.679843E-2</v>
      </c>
      <c r="P3527">
        <v>0.99009829999999999</v>
      </c>
      <c r="Q3527">
        <v>0.13823250000000001</v>
      </c>
      <c r="R3527">
        <v>-2.443824E-2</v>
      </c>
      <c r="S3527">
        <v>3.049744</v>
      </c>
      <c r="T3527">
        <v>-0.13008319999999901</v>
      </c>
      <c r="U3527">
        <v>5.2398680000000003E-2</v>
      </c>
      <c r="V3527">
        <v>4.104617E-2</v>
      </c>
      <c r="W3527">
        <v>0.14542070000000001</v>
      </c>
      <c r="X3527">
        <v>0.98851809999999996</v>
      </c>
      <c r="Y3527">
        <v>-3.9489830000000002E-4</v>
      </c>
      <c r="Z3527">
        <v>-7.0768890000000003E-4</v>
      </c>
      <c r="AA3527">
        <v>0.99999959999999999</v>
      </c>
      <c r="AB3527">
        <v>43</v>
      </c>
      <c r="AC3527">
        <v>25.595300000000002</v>
      </c>
      <c r="AD3527">
        <v>-1.1091406335289999</v>
      </c>
      <c r="AE3527">
        <v>0.43989999999999402</v>
      </c>
      <c r="AF3527">
        <v>-9.8472788520511095E-3</v>
      </c>
      <c r="AG3527">
        <v>-1.1091406335289999</v>
      </c>
      <c r="AH3527">
        <v>25.551111954628901</v>
      </c>
      <c r="AI3527">
        <v>92.485574880395802</v>
      </c>
      <c r="AJ3527">
        <v>90.022081523926602</v>
      </c>
      <c r="AK3527">
        <v>25.575175698943401</v>
      </c>
      <c r="AL3527">
        <v>81.638358261762903</v>
      </c>
      <c r="AM3527">
        <v>87.622277126853803</v>
      </c>
      <c r="AN3527">
        <v>1.0000000010438801</v>
      </c>
    </row>
    <row r="3528" spans="1:40" x14ac:dyDescent="0.25">
      <c r="A3528" t="str">
        <f>"20190312164056742"</f>
        <v>20190312164056742</v>
      </c>
      <c r="B3528" t="str">
        <f>"1552380056739505"</f>
        <v>1552380056739505</v>
      </c>
      <c r="C3528" t="s">
        <v>40</v>
      </c>
      <c r="D3528">
        <v>5.6347310000000004</v>
      </c>
      <c r="E3528">
        <v>0.49392910000000001</v>
      </c>
      <c r="F3528" t="s">
        <v>48</v>
      </c>
      <c r="G3528">
        <v>-371.58949999999999</v>
      </c>
      <c r="H3528" s="1">
        <v>-6.9094639999999999E-7</v>
      </c>
      <c r="I3528">
        <v>213.24279999999999</v>
      </c>
      <c r="J3528">
        <v>-396.8544</v>
      </c>
      <c r="K3528">
        <v>1.1091200000000001</v>
      </c>
      <c r="L3528">
        <v>212.81700000000001</v>
      </c>
      <c r="M3528">
        <v>0.99983230000000001</v>
      </c>
      <c r="N3528">
        <v>0</v>
      </c>
      <c r="O3528">
        <v>1.6811989999999999E-2</v>
      </c>
      <c r="P3528">
        <v>0.99014789999999997</v>
      </c>
      <c r="Q3528">
        <v>0.13776629999999901</v>
      </c>
      <c r="R3528">
        <v>-2.5052660000000001E-2</v>
      </c>
      <c r="S3528">
        <v>3.049652</v>
      </c>
      <c r="T3528">
        <v>-0.1315981</v>
      </c>
      <c r="U3528">
        <v>5.1391600000000003E-2</v>
      </c>
      <c r="V3528">
        <v>4.1679250000000001E-2</v>
      </c>
      <c r="W3528">
        <v>0.14496310000000001</v>
      </c>
      <c r="X3528">
        <v>0.98855879999999996</v>
      </c>
      <c r="Y3528" s="1">
        <v>-5.2396940000000003E-5</v>
      </c>
      <c r="Z3528">
        <v>-7.2391759999999904E-4</v>
      </c>
      <c r="AA3528">
        <v>0.99999979999999999</v>
      </c>
      <c r="AB3528">
        <v>43</v>
      </c>
      <c r="AC3528">
        <v>25.264900000000001</v>
      </c>
      <c r="AD3528">
        <v>-1.1091206909464</v>
      </c>
      <c r="AE3528">
        <v>0.42579999999998103</v>
      </c>
      <c r="AF3528">
        <v>-9.7349733189761002E-4</v>
      </c>
      <c r="AG3528">
        <v>-1.1091206909464</v>
      </c>
      <c r="AH3528">
        <v>25.219898318675401</v>
      </c>
      <c r="AI3528">
        <v>92.518131222688794</v>
      </c>
      <c r="AJ3528">
        <v>90.002211638118098</v>
      </c>
      <c r="AK3528">
        <v>25.244275011556699</v>
      </c>
      <c r="AL3528">
        <v>81.664857439489793</v>
      </c>
      <c r="AM3528">
        <v>87.5857464150765</v>
      </c>
      <c r="AN3528">
        <v>0.999999980649806</v>
      </c>
    </row>
    <row r="3529" spans="1:40" x14ac:dyDescent="0.25">
      <c r="A3529" t="str">
        <f>"20190312164056763"</f>
        <v>20190312164056763</v>
      </c>
      <c r="B3529" t="str">
        <f>"1552380056760001"</f>
        <v>1552380056760001</v>
      </c>
      <c r="C3529" t="s">
        <v>40</v>
      </c>
      <c r="D3529">
        <v>5.5682799999999997</v>
      </c>
      <c r="E3529">
        <v>0.49353599999999997</v>
      </c>
      <c r="F3529" t="s">
        <v>42</v>
      </c>
      <c r="G3529">
        <v>-395.81650000000002</v>
      </c>
      <c r="H3529">
        <v>1.048208</v>
      </c>
      <c r="I3529">
        <v>212.8203</v>
      </c>
      <c r="J3529">
        <v>-396.44569999999999</v>
      </c>
      <c r="K3529">
        <v>1.1091040000000001</v>
      </c>
      <c r="L3529">
        <v>212.82390000000001</v>
      </c>
      <c r="M3529">
        <v>0.99983219999999995</v>
      </c>
      <c r="N3529">
        <v>0</v>
      </c>
      <c r="O3529">
        <v>1.681819E-2</v>
      </c>
      <c r="P3529">
        <v>0.9902552</v>
      </c>
      <c r="Q3529">
        <v>0.13684370000000001</v>
      </c>
      <c r="R3529">
        <v>-2.585548E-2</v>
      </c>
      <c r="S3529">
        <v>3.0550540000000002</v>
      </c>
      <c r="T3529">
        <v>-0.1793882</v>
      </c>
      <c r="U3529">
        <v>1.0162350000000001E-2</v>
      </c>
      <c r="V3529">
        <v>4.2493309999999999E-2</v>
      </c>
      <c r="W3529">
        <v>0.14404919999999999</v>
      </c>
      <c r="X3529">
        <v>0.98865780000000003</v>
      </c>
      <c r="Y3529">
        <v>1.3440509999999999E-2</v>
      </c>
      <c r="Z3529">
        <v>-1.3809339999999999E-3</v>
      </c>
      <c r="AA3529">
        <v>0.99990869999999998</v>
      </c>
      <c r="AB3529">
        <v>43</v>
      </c>
      <c r="AC3529">
        <v>0.62919999999996801</v>
      </c>
      <c r="AD3529">
        <v>-6.0895999999999999E-2</v>
      </c>
      <c r="AE3529">
        <v>-3.6000000000058199E-3</v>
      </c>
      <c r="AF3529">
        <v>1.40501713854084E-2</v>
      </c>
      <c r="AG3529">
        <v>-6.0895999999999999E-2</v>
      </c>
      <c r="AH3529">
        <v>0.62321301718829603</v>
      </c>
      <c r="AI3529">
        <v>95.5794158927214</v>
      </c>
      <c r="AJ3529">
        <v>88.708500698598399</v>
      </c>
      <c r="AK3529">
        <v>0.62633872219821995</v>
      </c>
      <c r="AL3529">
        <v>81.7177760623035</v>
      </c>
      <c r="AM3529">
        <v>87.538895924917199</v>
      </c>
      <c r="AN3529">
        <v>1.0000000494581101</v>
      </c>
    </row>
    <row r="3530" spans="1:40" x14ac:dyDescent="0.25">
      <c r="A3530" t="str">
        <f>"20190312164056786"</f>
        <v>20190312164056786</v>
      </c>
      <c r="B3530" t="str">
        <f>"1552380056779521"</f>
        <v>1552380056779521</v>
      </c>
      <c r="C3530" t="s">
        <v>40</v>
      </c>
      <c r="D3530">
        <v>5.7466759999999999</v>
      </c>
      <c r="E3530">
        <v>0.49248579999999997</v>
      </c>
      <c r="F3530" t="s">
        <v>42</v>
      </c>
      <c r="G3530">
        <v>-395.43329999999997</v>
      </c>
      <c r="H3530">
        <v>1.045612</v>
      </c>
      <c r="I3530">
        <v>212.82749999999999</v>
      </c>
      <c r="J3530">
        <v>-395.99759999999998</v>
      </c>
      <c r="K3530">
        <v>1.109089</v>
      </c>
      <c r="L3530">
        <v>212.83150000000001</v>
      </c>
      <c r="M3530">
        <v>0.99983200000000005</v>
      </c>
      <c r="N3530">
        <v>0</v>
      </c>
      <c r="O3530">
        <v>1.6821780000000001E-2</v>
      </c>
      <c r="P3530">
        <v>0.99027319999999996</v>
      </c>
      <c r="Q3530">
        <v>0.1366029</v>
      </c>
      <c r="R3530">
        <v>-2.6436560000000001E-2</v>
      </c>
      <c r="S3530">
        <v>3.0563959999999999</v>
      </c>
      <c r="T3530">
        <v>-0.1918164</v>
      </c>
      <c r="U3530">
        <v>1.202393E-2</v>
      </c>
      <c r="V3530">
        <v>4.3081250000000001E-2</v>
      </c>
      <c r="W3530">
        <v>0.143818</v>
      </c>
      <c r="X3530">
        <v>0.98866600000000004</v>
      </c>
      <c r="Y3530">
        <v>1.2830329999999999E-2</v>
      </c>
      <c r="Z3530">
        <v>-1.456871E-3</v>
      </c>
      <c r="AA3530">
        <v>0.99991660000000004</v>
      </c>
      <c r="AB3530">
        <v>43</v>
      </c>
      <c r="AC3530">
        <v>0.56430000000000202</v>
      </c>
      <c r="AD3530">
        <v>-6.3476999999999895E-2</v>
      </c>
      <c r="AE3530">
        <v>-4.0000000000190898E-3</v>
      </c>
      <c r="AF3530">
        <v>1.33236330954395E-2</v>
      </c>
      <c r="AG3530">
        <v>-6.3476999999999895E-2</v>
      </c>
      <c r="AH3530">
        <v>0.55710386823873004</v>
      </c>
      <c r="AI3530">
        <v>96.4984655253254</v>
      </c>
      <c r="AJ3530">
        <v>88.629981781350907</v>
      </c>
      <c r="AK3530">
        <v>0.560866801241095</v>
      </c>
      <c r="AL3530">
        <v>81.731162114279201</v>
      </c>
      <c r="AM3530">
        <v>87.504907350751495</v>
      </c>
      <c r="AN3530">
        <v>1.0000000353907801</v>
      </c>
    </row>
    <row r="3531" spans="1:40" x14ac:dyDescent="0.25">
      <c r="A3531" t="str">
        <f>"20190312164056809"</f>
        <v>20190312164056809</v>
      </c>
      <c r="B3531" t="str">
        <f>"1552380056800017"</f>
        <v>1552380056800017</v>
      </c>
      <c r="C3531" t="s">
        <v>40</v>
      </c>
      <c r="D3531">
        <v>5.5862999999999996</v>
      </c>
      <c r="E3531">
        <v>0.49203750000000002</v>
      </c>
      <c r="F3531" t="s">
        <v>48</v>
      </c>
      <c r="G3531">
        <v>-376.91890000000001</v>
      </c>
      <c r="H3531" s="1">
        <v>2.1451189999999999E-6</v>
      </c>
      <c r="I3531">
        <v>212.9443</v>
      </c>
      <c r="J3531">
        <v>-395.5625</v>
      </c>
      <c r="K3531">
        <v>1.1090850000000001</v>
      </c>
      <c r="L3531">
        <v>212.83879999999999</v>
      </c>
      <c r="M3531">
        <v>0.9998319</v>
      </c>
      <c r="N3531">
        <v>0</v>
      </c>
      <c r="O3531">
        <v>1.6823520000000002E-2</v>
      </c>
      <c r="P3531">
        <v>0.99032450000000005</v>
      </c>
      <c r="Q3531">
        <v>0.1361068</v>
      </c>
      <c r="R3531">
        <v>-2.7068100000000001E-2</v>
      </c>
      <c r="S3531">
        <v>3.0544129999999998</v>
      </c>
      <c r="T3531">
        <v>-0.17755969999999999</v>
      </c>
      <c r="U3531">
        <v>1.8066410000000001E-2</v>
      </c>
      <c r="V3531">
        <v>4.3718010000000002E-2</v>
      </c>
      <c r="W3531">
        <v>0.14333089999999901</v>
      </c>
      <c r="X3531">
        <v>0.9887087</v>
      </c>
      <c r="Y3531">
        <v>1.0863019999999999E-2</v>
      </c>
      <c r="Z3531">
        <v>-1.2926109999999999E-3</v>
      </c>
      <c r="AA3531">
        <v>0.99994019999999995</v>
      </c>
      <c r="AB3531">
        <v>43</v>
      </c>
      <c r="AC3531">
        <v>18.6435999999999</v>
      </c>
      <c r="AD3531">
        <v>-1.1090828548809999</v>
      </c>
      <c r="AE3531">
        <v>0.10550000000000601</v>
      </c>
      <c r="AF3531">
        <v>0.20744015668113699</v>
      </c>
      <c r="AG3531">
        <v>-1.1090828548809999</v>
      </c>
      <c r="AH3531">
        <v>18.576996196992798</v>
      </c>
      <c r="AI3531">
        <v>93.416401690643298</v>
      </c>
      <c r="AJ3531">
        <v>89.360232871445902</v>
      </c>
      <c r="AK3531">
        <v>18.611230048029601</v>
      </c>
      <c r="AL3531">
        <v>81.759362374305795</v>
      </c>
      <c r="AM3531">
        <v>87.4681856225275</v>
      </c>
      <c r="AN3531">
        <v>0.99999995237442896</v>
      </c>
    </row>
    <row r="3532" spans="1:40" x14ac:dyDescent="0.25">
      <c r="A3532" t="str">
        <f>"20190312164056830"</f>
        <v>20190312164056830</v>
      </c>
      <c r="B3532" t="str">
        <f>"1552380056819540"</f>
        <v>1552380056819540</v>
      </c>
      <c r="C3532" t="s">
        <v>40</v>
      </c>
      <c r="D3532">
        <v>5.5429139999999997</v>
      </c>
      <c r="E3532">
        <v>0.49174069999999998</v>
      </c>
      <c r="F3532" t="s">
        <v>48</v>
      </c>
      <c r="G3532">
        <v>-375.6952</v>
      </c>
      <c r="H3532" s="1">
        <v>1.4939129999999999E-6</v>
      </c>
      <c r="I3532">
        <v>212.96090000000001</v>
      </c>
      <c r="J3532">
        <v>-395.15269999999998</v>
      </c>
      <c r="K3532">
        <v>1.1090770000000001</v>
      </c>
      <c r="L3532">
        <v>212.84569999999999</v>
      </c>
      <c r="M3532">
        <v>0.99983180000000005</v>
      </c>
      <c r="N3532">
        <v>0</v>
      </c>
      <c r="O3532">
        <v>1.6825280000000001E-2</v>
      </c>
      <c r="P3532">
        <v>0.99030229999999997</v>
      </c>
      <c r="Q3532">
        <v>0.13625409999999999</v>
      </c>
      <c r="R3532">
        <v>-2.7134889999999998E-2</v>
      </c>
      <c r="S3532">
        <v>3.0532530000000002</v>
      </c>
      <c r="T3532">
        <v>-0.1704465</v>
      </c>
      <c r="U3532">
        <v>1.876831E-2</v>
      </c>
      <c r="V3532">
        <v>4.3788439999999998E-2</v>
      </c>
      <c r="W3532">
        <v>0.14348620000000001</v>
      </c>
      <c r="X3532">
        <v>0.98868310000000004</v>
      </c>
      <c r="Y3532">
        <v>1.0636649999999999E-2</v>
      </c>
      <c r="Z3532">
        <v>-1.235164E-3</v>
      </c>
      <c r="AA3532">
        <v>0.99994269999999996</v>
      </c>
      <c r="AB3532">
        <v>43</v>
      </c>
      <c r="AC3532">
        <v>19.4574999999999</v>
      </c>
      <c r="AD3532">
        <v>-1.1090755060869999</v>
      </c>
      <c r="AE3532">
        <v>0.115200000000015</v>
      </c>
      <c r="AF3532">
        <v>0.211515727537778</v>
      </c>
      <c r="AG3532">
        <v>-1.1090755060869999</v>
      </c>
      <c r="AH3532">
        <v>19.393676250940299</v>
      </c>
      <c r="AI3532">
        <v>93.272842171484797</v>
      </c>
      <c r="AJ3532">
        <v>89.375132499446096</v>
      </c>
      <c r="AK3532">
        <v>19.426514507432501</v>
      </c>
      <c r="AL3532">
        <v>81.750371755967095</v>
      </c>
      <c r="AM3532">
        <v>87.464046597185103</v>
      </c>
      <c r="AN3532">
        <v>0.99999999464684097</v>
      </c>
    </row>
    <row r="3533" spans="1:40" x14ac:dyDescent="0.25">
      <c r="A3533" t="str">
        <f>"20190312164056852"</f>
        <v>20190312164056852</v>
      </c>
      <c r="B3533" t="str">
        <f>"1552380056840033"</f>
        <v>1552380056840033</v>
      </c>
      <c r="C3533" t="s">
        <v>40</v>
      </c>
      <c r="D3533">
        <v>5.5160299999999998</v>
      </c>
      <c r="E3533">
        <v>0.4914618</v>
      </c>
      <c r="F3533" t="s">
        <v>48</v>
      </c>
      <c r="G3533">
        <v>-374.60879999999997</v>
      </c>
      <c r="H3533" s="1">
        <v>9.1577249999999996E-7</v>
      </c>
      <c r="I3533">
        <v>212.98259999999999</v>
      </c>
      <c r="J3533">
        <v>-394.73329999999999</v>
      </c>
      <c r="K3533">
        <v>1.10907</v>
      </c>
      <c r="L3533">
        <v>212.8527</v>
      </c>
      <c r="M3533">
        <v>0.99983169999999999</v>
      </c>
      <c r="N3533">
        <v>0</v>
      </c>
      <c r="O3533">
        <v>1.682734E-2</v>
      </c>
      <c r="P3533">
        <v>0.99027540000000003</v>
      </c>
      <c r="Q3533">
        <v>0.13639749999999901</v>
      </c>
      <c r="R3533">
        <v>-2.7399380000000001E-2</v>
      </c>
      <c r="S3533">
        <v>3.0525820000000001</v>
      </c>
      <c r="T3533">
        <v>-0.16479540000000001</v>
      </c>
      <c r="U3533">
        <v>2.0339969999999999E-2</v>
      </c>
      <c r="V3533">
        <v>4.4056449999999997E-2</v>
      </c>
      <c r="W3533">
        <v>0.14363819999999999</v>
      </c>
      <c r="X3533">
        <v>0.98864909999999995</v>
      </c>
      <c r="Y3533">
        <v>1.0126059999999999E-2</v>
      </c>
      <c r="Z3533">
        <v>-1.180871E-3</v>
      </c>
      <c r="AA3533">
        <v>0.99994799999999995</v>
      </c>
      <c r="AB3533">
        <v>43</v>
      </c>
      <c r="AC3533">
        <v>20.124500000000001</v>
      </c>
      <c r="AD3533">
        <v>-1.1090690842274999</v>
      </c>
      <c r="AE3533">
        <v>0.12989999999999199</v>
      </c>
      <c r="AF3533">
        <v>0.208137123066271</v>
      </c>
      <c r="AG3533">
        <v>-1.1090690842274999</v>
      </c>
      <c r="AH3533">
        <v>20.0629047365891</v>
      </c>
      <c r="AI3533">
        <v>93.163896781235906</v>
      </c>
      <c r="AJ3533">
        <v>89.405621913945794</v>
      </c>
      <c r="AK3533">
        <v>20.094613750083301</v>
      </c>
      <c r="AL3533">
        <v>81.7415714605076</v>
      </c>
      <c r="AM3533">
        <v>87.448457949024899</v>
      </c>
      <c r="AN3533">
        <v>0.999999973108325</v>
      </c>
    </row>
    <row r="3534" spans="1:40" x14ac:dyDescent="0.25">
      <c r="A3534" t="str">
        <f>"20190312164056877"</f>
        <v>20190312164056877</v>
      </c>
      <c r="B3534" t="str">
        <f>"1552380056869313"</f>
        <v>1552380056869313</v>
      </c>
      <c r="C3534" t="s">
        <v>40</v>
      </c>
      <c r="D3534">
        <v>5.481967</v>
      </c>
      <c r="E3534">
        <v>0.49101440000000002</v>
      </c>
      <c r="F3534" t="s">
        <v>48</v>
      </c>
      <c r="G3534">
        <v>-374.10950000000003</v>
      </c>
      <c r="H3534" s="1">
        <v>6.5010400000000004E-7</v>
      </c>
      <c r="I3534">
        <v>213.00200000000001</v>
      </c>
      <c r="J3534">
        <v>-394.25729999999999</v>
      </c>
      <c r="K3534">
        <v>1.109062</v>
      </c>
      <c r="L3534">
        <v>212.86080000000001</v>
      </c>
      <c r="M3534">
        <v>0.99983160000000004</v>
      </c>
      <c r="N3534">
        <v>0</v>
      </c>
      <c r="O3534">
        <v>1.6830290000000001E-2</v>
      </c>
      <c r="P3534">
        <v>0.99028879999999997</v>
      </c>
      <c r="Q3534">
        <v>0.13644029999999999</v>
      </c>
      <c r="R3534">
        <v>-2.669067E-2</v>
      </c>
      <c r="S3534">
        <v>3.052673</v>
      </c>
      <c r="T3534">
        <v>-0.16416120000000001</v>
      </c>
      <c r="U3534">
        <v>2.209473E-2</v>
      </c>
      <c r="V3534">
        <v>4.3353000000000003E-2</v>
      </c>
      <c r="W3534">
        <v>0.1436915</v>
      </c>
      <c r="X3534">
        <v>0.98867249999999995</v>
      </c>
      <c r="Y3534">
        <v>9.5555610000000006E-3</v>
      </c>
      <c r="Z3534">
        <v>-1.1611239999999999E-3</v>
      </c>
      <c r="AA3534">
        <v>0.99995369999999995</v>
      </c>
      <c r="AB3534">
        <v>43</v>
      </c>
      <c r="AC3534">
        <v>20.147799999999901</v>
      </c>
      <c r="AD3534">
        <v>-1.109061349896</v>
      </c>
      <c r="AE3534">
        <v>0.14119999999999699</v>
      </c>
      <c r="AF3534">
        <v>0.19732450858293599</v>
      </c>
      <c r="AG3534">
        <v>-1.109061349896</v>
      </c>
      <c r="AH3534">
        <v>20.086461779302098</v>
      </c>
      <c r="AI3534">
        <v>93.160189282023197</v>
      </c>
      <c r="AJ3534">
        <v>89.4371583215421</v>
      </c>
      <c r="AK3534">
        <v>20.118024278017</v>
      </c>
      <c r="AL3534">
        <v>81.738485982301498</v>
      </c>
      <c r="AM3534">
        <v>87.489205248900404</v>
      </c>
      <c r="AN3534">
        <v>1.0000000210187401</v>
      </c>
    </row>
    <row r="3535" spans="1:40" x14ac:dyDescent="0.25">
      <c r="A3535" t="str">
        <f>"20190312164056900"</f>
        <v>20190312164056900</v>
      </c>
      <c r="B3535" t="str">
        <f>"1552380056889809"</f>
        <v>1552380056889809</v>
      </c>
      <c r="C3535" t="s">
        <v>40</v>
      </c>
      <c r="D3535">
        <v>5.5336489999999996</v>
      </c>
      <c r="E3535">
        <v>0.49073309999999998</v>
      </c>
      <c r="F3535" t="s">
        <v>48</v>
      </c>
      <c r="G3535">
        <v>-373.32260000000002</v>
      </c>
      <c r="H3535" s="1">
        <v>2.3135739999999999E-7</v>
      </c>
      <c r="I3535">
        <v>213.0557</v>
      </c>
      <c r="J3535">
        <v>-393.81029999999998</v>
      </c>
      <c r="K3535">
        <v>1.109051</v>
      </c>
      <c r="L3535">
        <v>212.8683</v>
      </c>
      <c r="M3535">
        <v>0.99983140000000004</v>
      </c>
      <c r="N3535">
        <v>0</v>
      </c>
      <c r="O3535">
        <v>1.683283E-2</v>
      </c>
      <c r="P3535">
        <v>0.99033099999999996</v>
      </c>
      <c r="Q3535">
        <v>0.13617679999999999</v>
      </c>
      <c r="R3535">
        <v>-2.6469409999999999E-2</v>
      </c>
      <c r="S3535">
        <v>3.05246</v>
      </c>
      <c r="T3535">
        <v>-0.1617112</v>
      </c>
      <c r="U3535">
        <v>2.842712E-2</v>
      </c>
      <c r="V3535">
        <v>4.3136340000000002E-2</v>
      </c>
      <c r="W3535">
        <v>0.14343810000000001</v>
      </c>
      <c r="X3535">
        <v>0.98871869999999995</v>
      </c>
      <c r="Y3535">
        <v>7.4873250000000004E-3</v>
      </c>
      <c r="Z3535">
        <v>-1.0892759999999999E-3</v>
      </c>
      <c r="AA3535">
        <v>0.99997139999999995</v>
      </c>
      <c r="AB3535">
        <v>43</v>
      </c>
      <c r="AC3535">
        <v>20.487699999999901</v>
      </c>
      <c r="AD3535">
        <v>-1.1090507686426001</v>
      </c>
      <c r="AE3535">
        <v>0.18739999999999599</v>
      </c>
      <c r="AF3535">
        <v>0.15704166054938801</v>
      </c>
      <c r="AG3535">
        <v>-1.1090507686426001</v>
      </c>
      <c r="AH3535">
        <v>20.4280956190469</v>
      </c>
      <c r="AI3535">
        <v>93.1074720160575</v>
      </c>
      <c r="AJ3535">
        <v>89.559545476991602</v>
      </c>
      <c r="AK3535">
        <v>20.4587816428911</v>
      </c>
      <c r="AL3535">
        <v>81.753156118411496</v>
      </c>
      <c r="AM3535">
        <v>87.501853792405697</v>
      </c>
      <c r="AN3535">
        <v>0.99999995004494602</v>
      </c>
    </row>
    <row r="3536" spans="1:40" x14ac:dyDescent="0.25">
      <c r="A3536" t="str">
        <f>"20190312164056921"</f>
        <v>20190312164056921</v>
      </c>
      <c r="B3536" t="str">
        <f>"1552380056909333"</f>
        <v>1552380056909333</v>
      </c>
      <c r="C3536" t="s">
        <v>40</v>
      </c>
      <c r="D3536">
        <v>5.5335760000000001</v>
      </c>
      <c r="E3536">
        <v>0.49065690000000001</v>
      </c>
      <c r="F3536" t="s">
        <v>48</v>
      </c>
      <c r="G3536">
        <v>-372.5127</v>
      </c>
      <c r="H3536" s="1">
        <v>-1.9966190000000001E-7</v>
      </c>
      <c r="I3536">
        <v>213.08590000000001</v>
      </c>
      <c r="J3536">
        <v>-393.39749999999998</v>
      </c>
      <c r="K3536">
        <v>1.1090409999999999</v>
      </c>
      <c r="L3536">
        <v>212.87520000000001</v>
      </c>
      <c r="M3536">
        <v>0.99983140000000004</v>
      </c>
      <c r="N3536">
        <v>0</v>
      </c>
      <c r="O3536">
        <v>1.6834979999999999E-2</v>
      </c>
      <c r="P3536">
        <v>0.99035609999999996</v>
      </c>
      <c r="Q3536">
        <v>0.1361067</v>
      </c>
      <c r="R3536">
        <v>-2.5880170000000001E-2</v>
      </c>
      <c r="S3536">
        <v>3.051971</v>
      </c>
      <c r="T3536">
        <v>-0.1589285</v>
      </c>
      <c r="U3536">
        <v>3.1188960000000002E-2</v>
      </c>
      <c r="V3536">
        <v>4.2551070000000003E-2</v>
      </c>
      <c r="W3536">
        <v>0.1433767</v>
      </c>
      <c r="X3536">
        <v>0.98875299999999999</v>
      </c>
      <c r="Y3536">
        <v>6.5855200000000001E-3</v>
      </c>
      <c r="Z3536">
        <v>-1.0473699999999999E-3</v>
      </c>
      <c r="AA3536">
        <v>0.99997780000000003</v>
      </c>
      <c r="AB3536">
        <v>44</v>
      </c>
      <c r="AC3536">
        <v>20.884799999999899</v>
      </c>
      <c r="AD3536">
        <v>-1.1090411996618901</v>
      </c>
      <c r="AE3536">
        <v>0.210700000000002</v>
      </c>
      <c r="AF3536">
        <v>0.140538237975944</v>
      </c>
      <c r="AG3536">
        <v>-1.1090411996618901</v>
      </c>
      <c r="AH3536">
        <v>20.826664038060201</v>
      </c>
      <c r="AI3536">
        <v>93.0481106622357</v>
      </c>
      <c r="AJ3536">
        <v>89.6133741983856</v>
      </c>
      <c r="AK3536">
        <v>20.856645423775898</v>
      </c>
      <c r="AL3536">
        <v>81.756711098122096</v>
      </c>
      <c r="AM3536">
        <v>87.535791726291393</v>
      </c>
      <c r="AN3536">
        <v>0.99999998333501705</v>
      </c>
    </row>
    <row r="3537" spans="1:40" x14ac:dyDescent="0.25">
      <c r="A3537" t="str">
        <f>"20190312164056942"</f>
        <v>20190312164056942</v>
      </c>
      <c r="B3537" t="str">
        <f>"1552380056939584"</f>
        <v>1552380056939584</v>
      </c>
      <c r="C3537" t="s">
        <v>40</v>
      </c>
      <c r="D3537">
        <v>5.6876230000000003</v>
      </c>
      <c r="E3537">
        <v>0.49057709999999999</v>
      </c>
      <c r="F3537" t="s">
        <v>48</v>
      </c>
      <c r="G3537">
        <v>-371.8177</v>
      </c>
      <c r="H3537" s="1">
        <v>-5.6951840000000005E-7</v>
      </c>
      <c r="I3537">
        <v>213.11259999999999</v>
      </c>
      <c r="J3537">
        <v>-392.97699999999998</v>
      </c>
      <c r="K3537">
        <v>1.1090329999999999</v>
      </c>
      <c r="L3537">
        <v>212.88229999999999</v>
      </c>
      <c r="M3537">
        <v>0.99983129999999998</v>
      </c>
      <c r="N3537">
        <v>0</v>
      </c>
      <c r="O3537">
        <v>1.6836770000000001E-2</v>
      </c>
      <c r="P3537">
        <v>0.99038539999999997</v>
      </c>
      <c r="Q3537">
        <v>0.1359137</v>
      </c>
      <c r="R3537">
        <v>-2.5785249999999999E-2</v>
      </c>
      <c r="S3537">
        <v>3.0516359999999998</v>
      </c>
      <c r="T3537">
        <v>-0.15683150000000001</v>
      </c>
      <c r="U3537">
        <v>3.3569340000000003E-2</v>
      </c>
      <c r="V3537">
        <v>4.2458910000000002E-2</v>
      </c>
      <c r="W3537">
        <v>0.14319309999999999</v>
      </c>
      <c r="X3537">
        <v>0.98878359999999998</v>
      </c>
      <c r="Y3537">
        <v>5.8081110000000003E-3</v>
      </c>
      <c r="Z3537">
        <v>-1.013805E-3</v>
      </c>
      <c r="AA3537">
        <v>0.99998260000000005</v>
      </c>
      <c r="AB3537">
        <v>44</v>
      </c>
      <c r="AC3537">
        <v>21.159299999999899</v>
      </c>
      <c r="AD3537">
        <v>-1.1090335695183999</v>
      </c>
      <c r="AE3537">
        <v>0.23029999999999901</v>
      </c>
      <c r="AF3537">
        <v>0.12565136860800699</v>
      </c>
      <c r="AG3537">
        <v>-1.1090335695183999</v>
      </c>
      <c r="AH3537">
        <v>21.102213483940101</v>
      </c>
      <c r="AI3537">
        <v>93.008376973410094</v>
      </c>
      <c r="AJ3537">
        <v>89.658841095757893</v>
      </c>
      <c r="AK3537">
        <v>21.131709766285699</v>
      </c>
      <c r="AL3537">
        <v>81.767340545636401</v>
      </c>
      <c r="AM3537">
        <v>87.541198320082998</v>
      </c>
      <c r="AN3537">
        <v>1.00000001527747</v>
      </c>
    </row>
    <row r="3538" spans="1:40" x14ac:dyDescent="0.25">
      <c r="A3538" t="str">
        <f>"20190312164056964"</f>
        <v>20190312164056964</v>
      </c>
      <c r="B3538" t="str">
        <f>"1552380056960081"</f>
        <v>1552380056960081</v>
      </c>
      <c r="C3538" t="s">
        <v>40</v>
      </c>
      <c r="D3538">
        <v>5.725676</v>
      </c>
      <c r="E3538">
        <v>0.49060500000000001</v>
      </c>
      <c r="F3538" t="s">
        <v>48</v>
      </c>
      <c r="G3538">
        <v>-371.29629999999997</v>
      </c>
      <c r="H3538" s="1">
        <v>-8.4697419999999895E-7</v>
      </c>
      <c r="I3538">
        <v>213.12739999999999</v>
      </c>
      <c r="J3538">
        <v>-392.541</v>
      </c>
      <c r="K3538">
        <v>1.1090139999999999</v>
      </c>
      <c r="L3538">
        <v>212.8897</v>
      </c>
      <c r="M3538">
        <v>0.99983120000000003</v>
      </c>
      <c r="N3538">
        <v>0</v>
      </c>
      <c r="O3538">
        <v>1.6838559999999999E-2</v>
      </c>
      <c r="P3538">
        <v>0.99043309999999996</v>
      </c>
      <c r="Q3538">
        <v>0.13546569999999999</v>
      </c>
      <c r="R3538">
        <v>-2.6296650000000001E-2</v>
      </c>
      <c r="S3538">
        <v>3.0514830000000002</v>
      </c>
      <c r="T3538">
        <v>-0.15609239999999999</v>
      </c>
      <c r="U3538">
        <v>3.4500120000000002E-2</v>
      </c>
      <c r="V3538">
        <v>4.2973770000000001E-2</v>
      </c>
      <c r="W3538">
        <v>0.14275470000000001</v>
      </c>
      <c r="X3538">
        <v>0.9888247</v>
      </c>
      <c r="Y3538">
        <v>5.5050409999999996E-3</v>
      </c>
      <c r="Z3538">
        <v>-1.001428E-3</v>
      </c>
      <c r="AA3538">
        <v>0.99998430000000005</v>
      </c>
      <c r="AB3538">
        <v>44</v>
      </c>
      <c r="AC3538">
        <v>21.244700000000002</v>
      </c>
      <c r="AD3538">
        <v>-1.1090148469742001</v>
      </c>
      <c r="AE3538">
        <v>0.237699999999989</v>
      </c>
      <c r="AF3538">
        <v>0.119747247815428</v>
      </c>
      <c r="AG3538">
        <v>-1.1090148469742001</v>
      </c>
      <c r="AH3538">
        <v>21.187959532846602</v>
      </c>
      <c r="AI3538">
        <v>92.996179295306504</v>
      </c>
      <c r="AJ3538">
        <v>89.676186899971299</v>
      </c>
      <c r="AK3538">
        <v>21.217301489579601</v>
      </c>
      <c r="AL3538">
        <v>81.792719361315093</v>
      </c>
      <c r="AM3538">
        <v>87.511523268785893</v>
      </c>
      <c r="AN3538">
        <v>0.99999996830509597</v>
      </c>
    </row>
    <row r="3539" spans="1:40" x14ac:dyDescent="0.25">
      <c r="A3539" t="str">
        <f>"20190312164056988"</f>
        <v>20190312164056988</v>
      </c>
      <c r="B3539" t="str">
        <f>"1552380056979602"</f>
        <v>1552380056979602</v>
      </c>
      <c r="C3539" t="s">
        <v>40</v>
      </c>
      <c r="D3539">
        <v>5.7562230000000003</v>
      </c>
      <c r="E3539">
        <v>0.49067070000000002</v>
      </c>
      <c r="F3539" t="s">
        <v>48</v>
      </c>
      <c r="G3539">
        <v>-370.84230000000002</v>
      </c>
      <c r="H3539" s="1">
        <v>-1.088591E-6</v>
      </c>
      <c r="I3539">
        <v>213.11920000000001</v>
      </c>
      <c r="J3539">
        <v>-392.0727</v>
      </c>
      <c r="K3539">
        <v>1.1090089999999999</v>
      </c>
      <c r="L3539">
        <v>212.89760000000001</v>
      </c>
      <c r="M3539">
        <v>0.99983100000000003</v>
      </c>
      <c r="N3539">
        <v>0</v>
      </c>
      <c r="O3539">
        <v>1.6840000000000001E-2</v>
      </c>
      <c r="P3539">
        <v>0.99052450000000003</v>
      </c>
      <c r="Q3539">
        <v>0.13483979999999901</v>
      </c>
      <c r="R3539">
        <v>-2.6069269999999999E-2</v>
      </c>
      <c r="S3539">
        <v>3.0511469999999998</v>
      </c>
      <c r="T3539">
        <v>-0.15594259999999999</v>
      </c>
      <c r="U3539">
        <v>3.2272339999999997E-2</v>
      </c>
      <c r="V3539">
        <v>4.2749719999999998E-2</v>
      </c>
      <c r="W3539">
        <v>0.14213979999999901</v>
      </c>
      <c r="X3539">
        <v>0.988923</v>
      </c>
      <c r="Y3539">
        <v>6.2343779999999996E-3</v>
      </c>
      <c r="Z3539">
        <v>-1.019282E-3</v>
      </c>
      <c r="AA3539">
        <v>0.99997999999999998</v>
      </c>
      <c r="AB3539">
        <v>44</v>
      </c>
      <c r="AC3539">
        <v>21.2303999999999</v>
      </c>
      <c r="AD3539">
        <v>-1.1090100885909999</v>
      </c>
      <c r="AE3539">
        <v>0.221599999999995</v>
      </c>
      <c r="AF3539">
        <v>0.135591137377962</v>
      </c>
      <c r="AG3539">
        <v>-1.1090100885909999</v>
      </c>
      <c r="AH3539">
        <v>21.173351872129999</v>
      </c>
      <c r="AI3539">
        <v>92.998216202877899</v>
      </c>
      <c r="AJ3539">
        <v>89.633090983291893</v>
      </c>
      <c r="AK3539">
        <v>21.2028091967588</v>
      </c>
      <c r="AL3539">
        <v>81.828313614274606</v>
      </c>
      <c r="AM3539">
        <v>87.524726884878703</v>
      </c>
      <c r="AN3539">
        <v>0.99999998061655904</v>
      </c>
    </row>
    <row r="3540" spans="1:40" x14ac:dyDescent="0.25">
      <c r="A3540" t="str">
        <f>"20190312164057009"</f>
        <v>20190312164057009</v>
      </c>
      <c r="B3540" t="str">
        <f>"1552380056999121"</f>
        <v>1552380056999121</v>
      </c>
      <c r="C3540" t="s">
        <v>40</v>
      </c>
      <c r="D3540">
        <v>5.621162</v>
      </c>
      <c r="E3540">
        <v>0.49064020000000003</v>
      </c>
      <c r="F3540" t="s">
        <v>48</v>
      </c>
      <c r="G3540">
        <v>-370.53809999999999</v>
      </c>
      <c r="H3540" s="1">
        <v>-1.250443E-6</v>
      </c>
      <c r="I3540">
        <v>213.1266</v>
      </c>
      <c r="J3540">
        <v>-391.64699999999999</v>
      </c>
      <c r="K3540">
        <v>1.109008</v>
      </c>
      <c r="L3540">
        <v>212.90469999999999</v>
      </c>
      <c r="M3540">
        <v>0.99983100000000003</v>
      </c>
      <c r="N3540">
        <v>0</v>
      </c>
      <c r="O3540">
        <v>1.684126E-2</v>
      </c>
      <c r="P3540">
        <v>0.99062249999999996</v>
      </c>
      <c r="Q3540">
        <v>0.13417499999999999</v>
      </c>
      <c r="R3540">
        <v>-2.5773669999999999E-2</v>
      </c>
      <c r="S3540">
        <v>3.0509339999999998</v>
      </c>
      <c r="T3540">
        <v>-0.15712019999999999</v>
      </c>
      <c r="U3540">
        <v>3.2455440000000002E-2</v>
      </c>
      <c r="V3540">
        <v>4.2457729999999999E-2</v>
      </c>
      <c r="W3540">
        <v>0.141485</v>
      </c>
      <c r="X3540">
        <v>0.98902950000000001</v>
      </c>
      <c r="Y3540">
        <v>6.1745100000000002E-3</v>
      </c>
      <c r="Z3540">
        <v>-1.025565E-3</v>
      </c>
      <c r="AA3540">
        <v>0.99998039999999999</v>
      </c>
      <c r="AB3540">
        <v>44</v>
      </c>
      <c r="AC3540">
        <v>21.108899999999998</v>
      </c>
      <c r="AD3540">
        <v>-1.109009250443</v>
      </c>
      <c r="AE3540">
        <v>0.22190000000000501</v>
      </c>
      <c r="AF3540">
        <v>0.13327378517934099</v>
      </c>
      <c r="AG3540">
        <v>-1.109009250443</v>
      </c>
      <c r="AH3540">
        <v>21.051543404304802</v>
      </c>
      <c r="AI3540">
        <v>93.015531682928895</v>
      </c>
      <c r="AJ3540">
        <v>89.637274889994899</v>
      </c>
      <c r="AK3540">
        <v>21.081156114471401</v>
      </c>
      <c r="AL3540">
        <v>81.866214153717493</v>
      </c>
      <c r="AM3540">
        <v>87.541877129169393</v>
      </c>
      <c r="AN3540">
        <v>1.0000000079660001</v>
      </c>
    </row>
    <row r="3541" spans="1:40" x14ac:dyDescent="0.25">
      <c r="A3541" t="str">
        <f>"20190312164057032"</f>
        <v>20190312164057032</v>
      </c>
      <c r="B3541" t="str">
        <f>"1552380057019617"</f>
        <v>1552380057019617</v>
      </c>
      <c r="C3541" t="s">
        <v>40</v>
      </c>
      <c r="D3541">
        <v>5.6235580000000001</v>
      </c>
      <c r="E3541">
        <v>0.49089250000000001</v>
      </c>
      <c r="F3541" t="s">
        <v>48</v>
      </c>
      <c r="G3541">
        <v>-370.7586</v>
      </c>
      <c r="H3541" s="1">
        <v>-1.1330819999999999E-6</v>
      </c>
      <c r="I3541">
        <v>213.13849999999999</v>
      </c>
      <c r="J3541">
        <v>-391.21289999999999</v>
      </c>
      <c r="K3541">
        <v>1.109</v>
      </c>
      <c r="L3541">
        <v>212.91200000000001</v>
      </c>
      <c r="M3541">
        <v>0.99983089999999997</v>
      </c>
      <c r="N3541">
        <v>0</v>
      </c>
      <c r="O3541">
        <v>1.6842590000000001E-2</v>
      </c>
      <c r="P3541">
        <v>0.99069379999999996</v>
      </c>
      <c r="Q3541">
        <v>0.13365469999999999</v>
      </c>
      <c r="R3541">
        <v>-2.5735460000000002E-2</v>
      </c>
      <c r="S3541">
        <v>3.0512700000000001</v>
      </c>
      <c r="T3541">
        <v>-0.1619987</v>
      </c>
      <c r="U3541">
        <v>3.414917E-2</v>
      </c>
      <c r="V3541">
        <v>4.2422269999999998E-2</v>
      </c>
      <c r="W3541">
        <v>0.14097479999999901</v>
      </c>
      <c r="X3541">
        <v>0.98910390000000004</v>
      </c>
      <c r="Y3541">
        <v>5.6208619999999999E-3</v>
      </c>
      <c r="Z3541">
        <v>-1.0426280000000001E-3</v>
      </c>
      <c r="AA3541">
        <v>0.99998370000000003</v>
      </c>
      <c r="AB3541">
        <v>44</v>
      </c>
      <c r="AC3541">
        <v>20.4542999999999</v>
      </c>
      <c r="AD3541">
        <v>-1.109001133082</v>
      </c>
      <c r="AE3541">
        <v>0.22649999999998699</v>
      </c>
      <c r="AF3541">
        <v>0.117698955863369</v>
      </c>
      <c r="AG3541">
        <v>-1.109001133082</v>
      </c>
      <c r="AH3541">
        <v>20.3952659519916</v>
      </c>
      <c r="AI3541">
        <v>93.112365232811698</v>
      </c>
      <c r="AJ3541">
        <v>89.669355693639702</v>
      </c>
      <c r="AK3541">
        <v>20.425734009084099</v>
      </c>
      <c r="AL3541">
        <v>81.895742640878495</v>
      </c>
      <c r="AM3541">
        <v>87.544112116579598</v>
      </c>
      <c r="AN3541">
        <v>1.0000000341110999</v>
      </c>
    </row>
    <row r="3542" spans="1:40" x14ac:dyDescent="0.25">
      <c r="A3542" t="str">
        <f>"20190312164057054"</f>
        <v>20190312164057054</v>
      </c>
      <c r="B3542" t="str">
        <f>"1552380057049874"</f>
        <v>1552380057049874</v>
      </c>
      <c r="C3542" t="s">
        <v>40</v>
      </c>
      <c r="D3542">
        <v>5.5507</v>
      </c>
      <c r="E3542">
        <v>0.49140630000000002</v>
      </c>
      <c r="F3542" t="s">
        <v>48</v>
      </c>
      <c r="G3542">
        <v>-370.58429999999998</v>
      </c>
      <c r="H3542" s="1">
        <v>-1.225856E-6</v>
      </c>
      <c r="I3542">
        <v>213.13030000000001</v>
      </c>
      <c r="J3542">
        <v>-390.7731</v>
      </c>
      <c r="K3542">
        <v>1.1089960000000001</v>
      </c>
      <c r="L3542">
        <v>212.9194</v>
      </c>
      <c r="M3542">
        <v>0.99983080000000002</v>
      </c>
      <c r="N3542">
        <v>0</v>
      </c>
      <c r="O3542">
        <v>1.684368E-2</v>
      </c>
      <c r="P3542">
        <v>0.99079220000000001</v>
      </c>
      <c r="Q3542">
        <v>0.13291420000000001</v>
      </c>
      <c r="R3542">
        <v>-2.5781950000000001E-2</v>
      </c>
      <c r="S3542">
        <v>3.0511780000000002</v>
      </c>
      <c r="T3542">
        <v>-0.1640325</v>
      </c>
      <c r="U3542">
        <v>3.22876E-2</v>
      </c>
      <c r="V3542">
        <v>4.2471710000000003E-2</v>
      </c>
      <c r="W3542">
        <v>0.14024489999999901</v>
      </c>
      <c r="X3542">
        <v>0.98920549999999996</v>
      </c>
      <c r="Y3542">
        <v>6.229966E-3</v>
      </c>
      <c r="Z3542">
        <v>-1.0721540000000001E-3</v>
      </c>
      <c r="AA3542">
        <v>0.99997999999999998</v>
      </c>
      <c r="AB3542">
        <v>44</v>
      </c>
      <c r="AC3542">
        <v>20.188800000000001</v>
      </c>
      <c r="AD3542">
        <v>-1.1089972258559999</v>
      </c>
      <c r="AE3542">
        <v>0.210900000000009</v>
      </c>
      <c r="AF3542">
        <v>0.128804284149064</v>
      </c>
      <c r="AG3542">
        <v>-1.1089972258559999</v>
      </c>
      <c r="AH3542">
        <v>20.128757324703201</v>
      </c>
      <c r="AI3542">
        <v>93.153467803778</v>
      </c>
      <c r="AJ3542">
        <v>89.633368269164293</v>
      </c>
      <c r="AK3542">
        <v>20.159695851559</v>
      </c>
      <c r="AL3542">
        <v>81.937982199704706</v>
      </c>
      <c r="AM3542">
        <v>87.541505697219606</v>
      </c>
      <c r="AN3542">
        <v>0.99999999967829101</v>
      </c>
    </row>
    <row r="3543" spans="1:40" x14ac:dyDescent="0.25">
      <c r="A3543" t="str">
        <f>"20190312164057079"</f>
        <v>20190312164057079</v>
      </c>
      <c r="B3543" t="str">
        <f>"1552380057069395"</f>
        <v>1552380057069395</v>
      </c>
      <c r="C3543" t="s">
        <v>40</v>
      </c>
      <c r="D3543">
        <v>5.7065460000000003</v>
      </c>
      <c r="E3543">
        <v>0.49140879999999998</v>
      </c>
      <c r="F3543" t="s">
        <v>48</v>
      </c>
      <c r="G3543">
        <v>-370.97660000000002</v>
      </c>
      <c r="H3543" s="1">
        <v>-1.0170880000000001E-6</v>
      </c>
      <c r="I3543">
        <v>213.10239999999999</v>
      </c>
      <c r="J3543">
        <v>-390.28989999999999</v>
      </c>
      <c r="K3543">
        <v>1.108992</v>
      </c>
      <c r="L3543">
        <v>212.92760000000001</v>
      </c>
      <c r="M3543">
        <v>0.99983069999999996</v>
      </c>
      <c r="N3543">
        <v>0</v>
      </c>
      <c r="O3543">
        <v>1.684482E-2</v>
      </c>
      <c r="P3543">
        <v>0.99086929999999995</v>
      </c>
      <c r="Q3543">
        <v>0.13238749999999999</v>
      </c>
      <c r="R3543">
        <v>-2.5528499999999999E-2</v>
      </c>
      <c r="S3543">
        <v>3.0515439999999998</v>
      </c>
      <c r="T3543">
        <v>-0.1709473</v>
      </c>
      <c r="U3543">
        <v>2.8198239999999999E-2</v>
      </c>
      <c r="V3543">
        <v>4.2220849999999997E-2</v>
      </c>
      <c r="W3543">
        <v>0.13972979999999999</v>
      </c>
      <c r="X3543">
        <v>0.98928910000000003</v>
      </c>
      <c r="Y3543">
        <v>7.5673559999999999E-3</v>
      </c>
      <c r="Z3543">
        <v>-1.1546519999999999E-3</v>
      </c>
      <c r="AA3543">
        <v>0.99997069999999999</v>
      </c>
      <c r="AB3543">
        <v>44</v>
      </c>
      <c r="AC3543">
        <v>19.313299999999899</v>
      </c>
      <c r="AD3543">
        <v>-1.108993017088</v>
      </c>
      <c r="AE3543">
        <v>0.174799999999976</v>
      </c>
      <c r="AF3543">
        <v>0.150068019966902</v>
      </c>
      <c r="AG3543">
        <v>-1.108993017088</v>
      </c>
      <c r="AH3543">
        <v>19.2500382224326</v>
      </c>
      <c r="AI3543">
        <v>93.297060450596703</v>
      </c>
      <c r="AJ3543">
        <v>89.553346860445501</v>
      </c>
      <c r="AK3543">
        <v>19.2825402239353</v>
      </c>
      <c r="AL3543">
        <v>81.967788514827504</v>
      </c>
      <c r="AM3543">
        <v>87.556215462056898</v>
      </c>
      <c r="AN3543">
        <v>0.99999997028078502</v>
      </c>
    </row>
    <row r="3544" spans="1:40" x14ac:dyDescent="0.25">
      <c r="A3544" t="str">
        <f>"20190312164057100"</f>
        <v>20190312164057100</v>
      </c>
      <c r="B3544" t="str">
        <f>"1552380057089889"</f>
        <v>1552380057089889</v>
      </c>
      <c r="C3544" t="s">
        <v>40</v>
      </c>
      <c r="D3544">
        <v>5.5016410000000002</v>
      </c>
      <c r="E3544">
        <v>0.49141430000000003</v>
      </c>
      <c r="F3544" t="s">
        <v>42</v>
      </c>
      <c r="G3544">
        <v>-389.16370000000001</v>
      </c>
      <c r="H3544">
        <v>1.0458069999999999</v>
      </c>
      <c r="I3544">
        <v>212.93799999999999</v>
      </c>
      <c r="J3544">
        <v>-389.84609999999998</v>
      </c>
      <c r="K3544">
        <v>1.108984</v>
      </c>
      <c r="L3544">
        <v>212.93510000000001</v>
      </c>
      <c r="M3544">
        <v>0.99983060000000001</v>
      </c>
      <c r="N3544">
        <v>0</v>
      </c>
      <c r="O3544">
        <v>1.6845800000000001E-2</v>
      </c>
      <c r="P3544">
        <v>0.99086479999999999</v>
      </c>
      <c r="Q3544">
        <v>0.13250029999999999</v>
      </c>
      <c r="R3544">
        <v>-2.511646E-2</v>
      </c>
      <c r="S3544">
        <v>3.0512700000000001</v>
      </c>
      <c r="T3544">
        <v>-0.1713297</v>
      </c>
      <c r="U3544">
        <v>2.8808589999999999E-2</v>
      </c>
      <c r="V3544">
        <v>4.180975E-2</v>
      </c>
      <c r="W3544">
        <v>0.13985259999999999</v>
      </c>
      <c r="X3544">
        <v>0.98928919999999998</v>
      </c>
      <c r="Y3544">
        <v>7.36762599999999E-3</v>
      </c>
      <c r="Z3544">
        <v>-1.151785E-3</v>
      </c>
      <c r="AA3544">
        <v>0.99997219999999998</v>
      </c>
      <c r="AB3544">
        <v>44</v>
      </c>
      <c r="AC3544">
        <v>0.68239999999997203</v>
      </c>
      <c r="AD3544">
        <v>-6.3176999999999997E-2</v>
      </c>
      <c r="AE3544">
        <v>2.8999999999825801E-3</v>
      </c>
      <c r="AF3544">
        <v>8.5232486706746605E-3</v>
      </c>
      <c r="AG3544">
        <v>-6.3176999999999997E-2</v>
      </c>
      <c r="AH3544">
        <v>0.676553269494514</v>
      </c>
      <c r="AI3544">
        <v>95.334426984330506</v>
      </c>
      <c r="AJ3544">
        <v>89.278223362761295</v>
      </c>
      <c r="AK3544">
        <v>0.67955007583004401</v>
      </c>
      <c r="AL3544">
        <v>81.960682763837397</v>
      </c>
      <c r="AM3544">
        <v>87.579982152237704</v>
      </c>
      <c r="AN3544">
        <v>0.99999996307923</v>
      </c>
    </row>
    <row r="3545" spans="1:40" x14ac:dyDescent="0.25">
      <c r="A3545" t="str">
        <f>"20190312164057121"</f>
        <v>20190312164057121</v>
      </c>
      <c r="B3545" t="str">
        <f>"1552380057109413"</f>
        <v>1552380057109413</v>
      </c>
      <c r="C3545" t="s">
        <v>40</v>
      </c>
      <c r="D3545">
        <v>5.6251930000000003</v>
      </c>
      <c r="E3545">
        <v>0.4914636</v>
      </c>
      <c r="F3545" t="s">
        <v>48</v>
      </c>
      <c r="G3545">
        <v>-369.93419999999998</v>
      </c>
      <c r="H3545" s="1">
        <v>3.74972E-6</v>
      </c>
      <c r="I3545">
        <v>213.1276</v>
      </c>
      <c r="J3545">
        <v>-389.43360000000001</v>
      </c>
      <c r="K3545">
        <v>1.1089850000000001</v>
      </c>
      <c r="L3545">
        <v>212.94200000000001</v>
      </c>
      <c r="M3545">
        <v>0.99983049999999996</v>
      </c>
      <c r="N3545">
        <v>0</v>
      </c>
      <c r="O3545">
        <v>1.6846599999999899E-2</v>
      </c>
      <c r="P3545">
        <v>0.99088739999999997</v>
      </c>
      <c r="Q3545">
        <v>0.13247390000000001</v>
      </c>
      <c r="R3545">
        <v>-2.4350409999999999E-2</v>
      </c>
      <c r="S3545">
        <v>3.0510860000000002</v>
      </c>
      <c r="T3545">
        <v>-0.16992869999999999</v>
      </c>
      <c r="U3545">
        <v>2.9495239999999999E-2</v>
      </c>
      <c r="V3545">
        <v>4.1045070000000003E-2</v>
      </c>
      <c r="W3545">
        <v>0.13983509999999999</v>
      </c>
      <c r="X3545">
        <v>0.98932370000000003</v>
      </c>
      <c r="Y3545">
        <v>7.1437979999999998E-3</v>
      </c>
      <c r="Z3545">
        <v>-1.1362639999999999E-3</v>
      </c>
      <c r="AA3545">
        <v>0.99997380000000002</v>
      </c>
      <c r="AB3545">
        <v>44</v>
      </c>
      <c r="AC3545">
        <v>19.499400000000001</v>
      </c>
      <c r="AD3545">
        <v>-1.1089812502800001</v>
      </c>
      <c r="AE3545">
        <v>0.18559999999999299</v>
      </c>
      <c r="AF3545">
        <v>0.14247320713085301</v>
      </c>
      <c r="AG3545">
        <v>-1.1089812502800001</v>
      </c>
      <c r="AH3545">
        <v>19.436896657140402</v>
      </c>
      <c r="AI3545">
        <v>93.265409676407401</v>
      </c>
      <c r="AJ3545">
        <v>89.580027233200894</v>
      </c>
      <c r="AK3545">
        <v>19.4690289867928</v>
      </c>
      <c r="AL3545">
        <v>81.961695431734498</v>
      </c>
      <c r="AM3545">
        <v>87.624274668036193</v>
      </c>
      <c r="AN3545">
        <v>0.99999996817250103</v>
      </c>
    </row>
    <row r="3546" spans="1:40" x14ac:dyDescent="0.25">
      <c r="A3546" t="str">
        <f>"20190312164057144"</f>
        <v>20190312164057144</v>
      </c>
      <c r="B3546" t="str">
        <f>"1552380057139666"</f>
        <v>1552380057139666</v>
      </c>
      <c r="C3546" t="s">
        <v>40</v>
      </c>
      <c r="D3546">
        <v>5.5360209999999999</v>
      </c>
      <c r="E3546">
        <v>0.49150969999999999</v>
      </c>
      <c r="F3546" t="s">
        <v>48</v>
      </c>
      <c r="G3546">
        <v>-369.4015</v>
      </c>
      <c r="H3546" s="1">
        <v>3.466218E-6</v>
      </c>
      <c r="I3546">
        <v>213.14859999999999</v>
      </c>
      <c r="J3546">
        <v>-388.97280000000001</v>
      </c>
      <c r="K3546">
        <v>1.108989</v>
      </c>
      <c r="L3546">
        <v>212.94980000000001</v>
      </c>
      <c r="M3546">
        <v>0.99983049999999996</v>
      </c>
      <c r="N3546">
        <v>0</v>
      </c>
      <c r="O3546">
        <v>1.6847210000000001E-2</v>
      </c>
      <c r="P3546">
        <v>0.99095449999999996</v>
      </c>
      <c r="Q3546">
        <v>0.13202620000000001</v>
      </c>
      <c r="R3546">
        <v>-2.4055400000000001E-2</v>
      </c>
      <c r="S3546">
        <v>3.0509339999999998</v>
      </c>
      <c r="T3546">
        <v>-0.16890039999999901</v>
      </c>
      <c r="U3546">
        <v>3.1463619999999998E-2</v>
      </c>
      <c r="V3546">
        <v>4.0751959999999997E-2</v>
      </c>
      <c r="W3546">
        <v>0.1393983</v>
      </c>
      <c r="X3546">
        <v>0.98939750000000004</v>
      </c>
      <c r="Y3546">
        <v>6.5002640000000004E-3</v>
      </c>
      <c r="Z3546">
        <v>-1.1116850000000001E-3</v>
      </c>
      <c r="AA3546">
        <v>0.99997820000000004</v>
      </c>
      <c r="AB3546">
        <v>45</v>
      </c>
      <c r="AC3546">
        <v>19.571300000000001</v>
      </c>
      <c r="AD3546">
        <v>-1.108985533782</v>
      </c>
      <c r="AE3546">
        <v>0.198799999999977</v>
      </c>
      <c r="AF3546">
        <v>0.13054001462188</v>
      </c>
      <c r="AG3546">
        <v>-1.108985533782</v>
      </c>
      <c r="AH3546">
        <v>19.509237844058099</v>
      </c>
      <c r="AI3546">
        <v>93.253354516293498</v>
      </c>
      <c r="AJ3546">
        <v>89.616628781929194</v>
      </c>
      <c r="AK3546">
        <v>19.5411681039181</v>
      </c>
      <c r="AL3546">
        <v>81.986970118271998</v>
      </c>
      <c r="AM3546">
        <v>87.641396649918306</v>
      </c>
      <c r="AN3546">
        <v>1.0000000106464899</v>
      </c>
    </row>
    <row r="3547" spans="1:40" x14ac:dyDescent="0.25">
      <c r="A3547" t="str">
        <f>"20190312164057166"</f>
        <v>20190312164057166</v>
      </c>
      <c r="B3547" t="str">
        <f>"1552380057159185"</f>
        <v>1552380057159185</v>
      </c>
      <c r="C3547" t="s">
        <v>40</v>
      </c>
      <c r="D3547">
        <v>5.630744</v>
      </c>
      <c r="E3547">
        <v>0.49171860000000001</v>
      </c>
      <c r="F3547" t="s">
        <v>48</v>
      </c>
      <c r="G3547">
        <v>-368.83600000000001</v>
      </c>
      <c r="H3547" s="1">
        <v>3.1652979999999999E-6</v>
      </c>
      <c r="I3547">
        <v>213.16329999999999</v>
      </c>
      <c r="J3547">
        <v>-388.53039999999999</v>
      </c>
      <c r="K3547">
        <v>1.1089850000000001</v>
      </c>
      <c r="L3547">
        <v>212.9572</v>
      </c>
      <c r="M3547">
        <v>0.99983029999999995</v>
      </c>
      <c r="N3547">
        <v>0</v>
      </c>
      <c r="O3547">
        <v>1.6847999999999998E-2</v>
      </c>
      <c r="P3547">
        <v>0.99103269999999999</v>
      </c>
      <c r="Q3547">
        <v>0.13158259999999999</v>
      </c>
      <c r="R3547">
        <v>-2.3242530000000001E-2</v>
      </c>
      <c r="S3547">
        <v>3.0505680000000002</v>
      </c>
      <c r="T3547">
        <v>-0.1680027</v>
      </c>
      <c r="U3547">
        <v>3.2348630000000003E-2</v>
      </c>
      <c r="V3547">
        <v>3.9941480000000001E-2</v>
      </c>
      <c r="W3547">
        <v>0.13896530000000001</v>
      </c>
      <c r="X3547">
        <v>0.98949149999999997</v>
      </c>
      <c r="Y3547">
        <v>6.2105529999999997E-3</v>
      </c>
      <c r="Z3547">
        <v>-1.097989E-3</v>
      </c>
      <c r="AA3547">
        <v>0.99998010000000004</v>
      </c>
      <c r="AB3547">
        <v>45</v>
      </c>
      <c r="AC3547">
        <v>19.694399999999899</v>
      </c>
      <c r="AD3547">
        <v>-1.108981834702</v>
      </c>
      <c r="AE3547">
        <v>0.20609999999999201</v>
      </c>
      <c r="AF3547">
        <v>0.12535229846779999</v>
      </c>
      <c r="AG3547">
        <v>-1.108981834702</v>
      </c>
      <c r="AH3547">
        <v>19.632832755560202</v>
      </c>
      <c r="AI3547">
        <v>93.232912898790502</v>
      </c>
      <c r="AJ3547">
        <v>89.634181162229396</v>
      </c>
      <c r="AK3547">
        <v>19.664528367500299</v>
      </c>
      <c r="AL3547">
        <v>82.012023371142604</v>
      </c>
      <c r="AM3547">
        <v>87.688472809968601</v>
      </c>
      <c r="AN3547">
        <v>1.00000005250046</v>
      </c>
    </row>
    <row r="3548" spans="1:40" x14ac:dyDescent="0.25">
      <c r="A3548" t="str">
        <f>"20190312164057190"</f>
        <v>20190312164057190</v>
      </c>
      <c r="B3548" t="str">
        <f>"1552380057179681"</f>
        <v>1552380057179681</v>
      </c>
      <c r="C3548" t="s">
        <v>40</v>
      </c>
      <c r="D3548">
        <v>5.5877850000000002</v>
      </c>
      <c r="E3548">
        <v>0.49199150000000003</v>
      </c>
      <c r="F3548" t="s">
        <v>48</v>
      </c>
      <c r="G3548">
        <v>-368.416</v>
      </c>
      <c r="H3548" s="1">
        <v>2.94177E-6</v>
      </c>
      <c r="I3548">
        <v>213.17400000000001</v>
      </c>
      <c r="J3548">
        <v>-388.06560000000002</v>
      </c>
      <c r="K3548">
        <v>1.1089800000000001</v>
      </c>
      <c r="L3548">
        <v>212.96510000000001</v>
      </c>
      <c r="M3548">
        <v>0.9998302</v>
      </c>
      <c r="N3548">
        <v>0</v>
      </c>
      <c r="O3548">
        <v>1.6848800000000001E-2</v>
      </c>
      <c r="P3548">
        <v>0.99114709999999995</v>
      </c>
      <c r="Q3548">
        <v>0.1307808</v>
      </c>
      <c r="R3548">
        <v>-2.2888840000000001E-2</v>
      </c>
      <c r="S3548">
        <v>3.0502009999999999</v>
      </c>
      <c r="T3548">
        <v>-0.16816900000000001</v>
      </c>
      <c r="U3548">
        <v>3.2867430000000003E-2</v>
      </c>
      <c r="V3548">
        <v>3.9590569999999999E-2</v>
      </c>
      <c r="W3548">
        <v>0.13817479999999999</v>
      </c>
      <c r="X3548">
        <v>0.98961619999999995</v>
      </c>
      <c r="Y3548">
        <v>6.0401910000000003E-3</v>
      </c>
      <c r="Z3548">
        <v>-1.0945550000000001E-3</v>
      </c>
      <c r="AA3548">
        <v>0.99998120000000001</v>
      </c>
      <c r="AB3548">
        <v>45</v>
      </c>
      <c r="AC3548">
        <v>19.6496</v>
      </c>
      <c r="AD3548">
        <v>-1.10897705822999</v>
      </c>
      <c r="AE3548">
        <v>0.208899999999999</v>
      </c>
      <c r="AF3548">
        <v>0.121823066795764</v>
      </c>
      <c r="AG3548">
        <v>-1.10897705822999</v>
      </c>
      <c r="AH3548">
        <v>19.587945758612399</v>
      </c>
      <c r="AI3548">
        <v>93.240294998121101</v>
      </c>
      <c r="AJ3548">
        <v>89.643665667184905</v>
      </c>
      <c r="AK3548">
        <v>19.619691384362401</v>
      </c>
      <c r="AL3548">
        <v>82.057756119855696</v>
      </c>
      <c r="AM3548">
        <v>87.709047639295505</v>
      </c>
      <c r="AN3548">
        <v>0.99999995594520097</v>
      </c>
    </row>
    <row r="3549" spans="1:40" x14ac:dyDescent="0.25">
      <c r="A3549" t="str">
        <f>"20190312164057232"</f>
        <v>20190312164057232</v>
      </c>
      <c r="B3549" t="str">
        <f>"1552380057229642"</f>
        <v>1552380057229642</v>
      </c>
      <c r="C3549" t="s">
        <v>40</v>
      </c>
      <c r="D3549">
        <v>5.6596409999999997</v>
      </c>
      <c r="E3549">
        <v>0.49240620000000002</v>
      </c>
      <c r="F3549" t="s">
        <v>48</v>
      </c>
      <c r="G3549">
        <v>-368.1053</v>
      </c>
      <c r="H3549" s="1">
        <v>2.7764170000000001E-6</v>
      </c>
      <c r="I3549">
        <v>213.1713</v>
      </c>
      <c r="J3549">
        <v>-387.20319999999998</v>
      </c>
      <c r="K3549">
        <v>1.1089530000000001</v>
      </c>
      <c r="L3549">
        <v>212.9796</v>
      </c>
      <c r="M3549">
        <v>0.99983</v>
      </c>
      <c r="N3549">
        <v>0</v>
      </c>
      <c r="O3549">
        <v>1.6850569999999999E-2</v>
      </c>
      <c r="P3549">
        <v>0.99131840000000004</v>
      </c>
      <c r="Q3549">
        <v>0.12945909999999999</v>
      </c>
      <c r="R3549">
        <v>-2.2985749999999999E-2</v>
      </c>
      <c r="S3549">
        <v>3.0499269999999998</v>
      </c>
      <c r="T3549">
        <v>-0.1694504</v>
      </c>
      <c r="U3549">
        <v>3.15094E-2</v>
      </c>
      <c r="V3549">
        <v>3.9692089999999999E-2</v>
      </c>
      <c r="W3549">
        <v>0.13687360000000001</v>
      </c>
      <c r="X3549">
        <v>0.98979300000000003</v>
      </c>
      <c r="Y3549">
        <v>6.4849759999999999E-3</v>
      </c>
      <c r="Z3549">
        <v>-1.115429E-3</v>
      </c>
      <c r="AA3549">
        <v>0.99997840000000005</v>
      </c>
      <c r="AB3549">
        <v>45</v>
      </c>
      <c r="AC3549">
        <v>19.0978999999999</v>
      </c>
      <c r="AD3549">
        <v>-1.108950223583</v>
      </c>
      <c r="AE3549">
        <v>0.19169999999999701</v>
      </c>
      <c r="AF3549">
        <v>0.12970943465783899</v>
      </c>
      <c r="AG3549">
        <v>-1.108950223583</v>
      </c>
      <c r="AH3549">
        <v>19.034246767374398</v>
      </c>
      <c r="AI3549">
        <v>93.334250862398605</v>
      </c>
      <c r="AJ3549">
        <v>89.609562268259793</v>
      </c>
      <c r="AK3549">
        <v>19.066964759424199</v>
      </c>
      <c r="AL3549">
        <v>82.133025023902405</v>
      </c>
      <c r="AM3549">
        <v>87.703589181266807</v>
      </c>
      <c r="AN3549">
        <v>1.00000001361726</v>
      </c>
    </row>
    <row r="3550" spans="1:40" x14ac:dyDescent="0.25">
      <c r="A3550" t="str">
        <f>"20190312164057255"</f>
        <v>20190312164057255</v>
      </c>
      <c r="B3550" t="str">
        <f>"1552380057250139"</f>
        <v>1552380057250139</v>
      </c>
      <c r="C3550" t="s">
        <v>40</v>
      </c>
      <c r="D3550">
        <v>5.597861</v>
      </c>
      <c r="E3550">
        <v>0.49266080000000001</v>
      </c>
      <c r="F3550" t="s">
        <v>48</v>
      </c>
      <c r="G3550">
        <v>-367.42869999999999</v>
      </c>
      <c r="H3550" s="1">
        <v>2.4163960000000002E-6</v>
      </c>
      <c r="I3550">
        <v>213.16380000000001</v>
      </c>
      <c r="J3550">
        <v>-386.75529999999998</v>
      </c>
      <c r="K3550">
        <v>1.108948</v>
      </c>
      <c r="L3550">
        <v>212.9872</v>
      </c>
      <c r="M3550">
        <v>0.99983</v>
      </c>
      <c r="N3550">
        <v>0</v>
      </c>
      <c r="O3550">
        <v>1.6851359999999999E-2</v>
      </c>
      <c r="P3550">
        <v>0.9914444</v>
      </c>
      <c r="Q3550">
        <v>0.1285404</v>
      </c>
      <c r="R3550">
        <v>-2.271014E-2</v>
      </c>
      <c r="S3550">
        <v>3.049255</v>
      </c>
      <c r="T3550">
        <v>-0.17100129999999999</v>
      </c>
      <c r="U3550">
        <v>2.8396609999999999E-2</v>
      </c>
      <c r="V3550">
        <v>3.9419339999999997E-2</v>
      </c>
      <c r="W3550">
        <v>0.13596569999999999</v>
      </c>
      <c r="X3550">
        <v>0.98992899999999995</v>
      </c>
      <c r="Y3550">
        <v>7.5019309999999999E-3</v>
      </c>
      <c r="Z3550">
        <v>-1.154415E-3</v>
      </c>
      <c r="AA3550">
        <v>0.99997119999999995</v>
      </c>
      <c r="AB3550">
        <v>45</v>
      </c>
      <c r="AC3550">
        <v>19.3265999999999</v>
      </c>
      <c r="AD3550">
        <v>-1.1089455836040001</v>
      </c>
      <c r="AE3550">
        <v>0.176600000000007</v>
      </c>
      <c r="AF3550">
        <v>0.148624404910357</v>
      </c>
      <c r="AG3550">
        <v>-1.1089455836040001</v>
      </c>
      <c r="AH3550">
        <v>19.2634144867198</v>
      </c>
      <c r="AI3550">
        <v>93.294637496169003</v>
      </c>
      <c r="AJ3550">
        <v>89.557950529610594</v>
      </c>
      <c r="AK3550">
        <v>19.295880057885299</v>
      </c>
      <c r="AL3550">
        <v>82.185534587799197</v>
      </c>
      <c r="AM3550">
        <v>87.719665576197997</v>
      </c>
      <c r="AN3550">
        <v>0.99999999049176203</v>
      </c>
    </row>
    <row r="3551" spans="1:40" x14ac:dyDescent="0.25">
      <c r="A3551" t="str">
        <f>"20190312164057279"</f>
        <v>20190312164057279</v>
      </c>
      <c r="B3551" t="str">
        <f>"1552380057269659"</f>
        <v>1552380057269659</v>
      </c>
      <c r="C3551" t="s">
        <v>40</v>
      </c>
      <c r="D3551">
        <v>5.5857999999999999</v>
      </c>
      <c r="E3551">
        <v>0.49292160000000002</v>
      </c>
      <c r="F3551" t="s">
        <v>48</v>
      </c>
      <c r="G3551">
        <v>-367.15010000000001</v>
      </c>
      <c r="H3551" s="1">
        <v>2.268109E-6</v>
      </c>
      <c r="I3551">
        <v>213.1585</v>
      </c>
      <c r="J3551">
        <v>-386.26679999999999</v>
      </c>
      <c r="K3551">
        <v>1.1089469999999999</v>
      </c>
      <c r="L3551">
        <v>212.99539999999999</v>
      </c>
      <c r="M3551">
        <v>0.99982990000000005</v>
      </c>
      <c r="N3551">
        <v>0</v>
      </c>
      <c r="O3551">
        <v>1.6852329999999999E-2</v>
      </c>
      <c r="P3551">
        <v>0.99148210000000003</v>
      </c>
      <c r="Q3551">
        <v>0.12826860000000001</v>
      </c>
      <c r="R3551">
        <v>-2.2595239999999999E-2</v>
      </c>
      <c r="S3551">
        <v>3.0488590000000002</v>
      </c>
      <c r="T3551">
        <v>-0.17245479999999899</v>
      </c>
      <c r="U3551">
        <v>2.6641850000000002E-2</v>
      </c>
      <c r="V3551">
        <v>3.930612E-2</v>
      </c>
      <c r="W3551">
        <v>0.13570489999999999</v>
      </c>
      <c r="X3551">
        <v>0.98996930000000005</v>
      </c>
      <c r="Y3551">
        <v>8.0755970000000003E-3</v>
      </c>
      <c r="Z3551">
        <v>-1.1806329999999999E-3</v>
      </c>
      <c r="AA3551">
        <v>0.99996669999999999</v>
      </c>
      <c r="AB3551">
        <v>45</v>
      </c>
      <c r="AC3551">
        <v>19.116699999999899</v>
      </c>
      <c r="AD3551">
        <v>-1.108944731891</v>
      </c>
      <c r="AE3551">
        <v>0.16310000000001401</v>
      </c>
      <c r="AF3551">
        <v>0.15855962320495201</v>
      </c>
      <c r="AG3551">
        <v>-1.108944731891</v>
      </c>
      <c r="AH3551">
        <v>19.052625037263201</v>
      </c>
      <c r="AI3551">
        <v>93.330987491468207</v>
      </c>
      <c r="AJ3551">
        <v>89.523184471041006</v>
      </c>
      <c r="AK3551">
        <v>19.085529083131199</v>
      </c>
      <c r="AL3551">
        <v>82.200617218517195</v>
      </c>
      <c r="AM3551">
        <v>87.726300720271098</v>
      </c>
      <c r="AN3551">
        <v>1.0000000029479701</v>
      </c>
    </row>
    <row r="3552" spans="1:40" x14ac:dyDescent="0.25">
      <c r="A3552" t="str">
        <f>"20190312164057300"</f>
        <v>20190312164057300</v>
      </c>
      <c r="B3552" t="str">
        <f>"1552380057289178"</f>
        <v>1552380057289178</v>
      </c>
      <c r="C3552" t="s">
        <v>40</v>
      </c>
      <c r="D3552">
        <v>5.5145559999999998</v>
      </c>
      <c r="E3552">
        <v>0.49304910000000002</v>
      </c>
      <c r="F3552" t="s">
        <v>42</v>
      </c>
      <c r="G3552">
        <v>-385.149</v>
      </c>
      <c r="H3552">
        <v>1.04604599999999</v>
      </c>
      <c r="I3552">
        <v>213.00399999999999</v>
      </c>
      <c r="J3552">
        <v>-385.82409999999999</v>
      </c>
      <c r="K3552">
        <v>1.1089469999999999</v>
      </c>
      <c r="L3552">
        <v>213.00280000000001</v>
      </c>
      <c r="M3552">
        <v>0.99982969999999904</v>
      </c>
      <c r="N3552">
        <v>0</v>
      </c>
      <c r="O3552">
        <v>1.6853130000000001E-2</v>
      </c>
      <c r="P3552">
        <v>0.99151690000000003</v>
      </c>
      <c r="Q3552">
        <v>0.12803719999999999</v>
      </c>
      <c r="R3552">
        <v>-2.2378269999999999E-2</v>
      </c>
      <c r="S3552">
        <v>3.0485530000000001</v>
      </c>
      <c r="T3552">
        <v>-0.17166770000000001</v>
      </c>
      <c r="U3552">
        <v>2.478027E-2</v>
      </c>
      <c r="V3552">
        <v>3.9090449999999999E-2</v>
      </c>
      <c r="W3552">
        <v>0.135483299999999</v>
      </c>
      <c r="X3552">
        <v>0.9900082</v>
      </c>
      <c r="Y3552">
        <v>8.6854830000000008E-3</v>
      </c>
      <c r="Z3552">
        <v>-1.192577E-3</v>
      </c>
      <c r="AA3552">
        <v>0.99996160000000001</v>
      </c>
      <c r="AB3552">
        <v>45</v>
      </c>
      <c r="AC3552">
        <v>0.67509999999998604</v>
      </c>
      <c r="AD3552">
        <v>-6.2901000000000096E-2</v>
      </c>
      <c r="AE3552">
        <v>1.20000000001141E-3</v>
      </c>
      <c r="AF3552">
        <v>1.00904434715269E-2</v>
      </c>
      <c r="AG3552">
        <v>-6.2901000000000096E-2</v>
      </c>
      <c r="AH3552">
        <v>0.66921478118949296</v>
      </c>
      <c r="AI3552">
        <v>95.368976741703094</v>
      </c>
      <c r="AJ3552">
        <v>89.136157727308898</v>
      </c>
      <c r="AK3552">
        <v>0.67224011797344596</v>
      </c>
      <c r="AL3552">
        <v>82.213432388081898</v>
      </c>
      <c r="AM3552">
        <v>87.738852124762104</v>
      </c>
      <c r="AN3552">
        <v>1.0000000119636601</v>
      </c>
    </row>
    <row r="3553" spans="1:40" x14ac:dyDescent="0.25">
      <c r="A3553" t="str">
        <f>"20190312164057321"</f>
        <v>20190312164057321</v>
      </c>
      <c r="B3553" t="str">
        <f>"1552380057309674"</f>
        <v>1552380057309674</v>
      </c>
      <c r="C3553" t="s">
        <v>40</v>
      </c>
      <c r="D3553">
        <v>5.5730570000000004</v>
      </c>
      <c r="E3553">
        <v>0.49343720000000002</v>
      </c>
      <c r="F3553" t="s">
        <v>42</v>
      </c>
      <c r="G3553">
        <v>-384.73439999999999</v>
      </c>
      <c r="H3553">
        <v>1.0477799999999999</v>
      </c>
      <c r="I3553">
        <v>213.0111</v>
      </c>
      <c r="J3553">
        <v>-385.40550000000002</v>
      </c>
      <c r="K3553">
        <v>1.108948</v>
      </c>
      <c r="L3553">
        <v>213.00989999999999</v>
      </c>
      <c r="M3553">
        <v>0.99982959999999999</v>
      </c>
      <c r="N3553">
        <v>0</v>
      </c>
      <c r="O3553">
        <v>1.6853569999999998E-2</v>
      </c>
      <c r="P3553">
        <v>0.99152119999999999</v>
      </c>
      <c r="Q3553">
        <v>0.12796969999999999</v>
      </c>
      <c r="R3553">
        <v>-2.2571460000000002E-2</v>
      </c>
      <c r="S3553">
        <v>3.0483090000000002</v>
      </c>
      <c r="T3553">
        <v>-0.17125319999999999</v>
      </c>
      <c r="U3553">
        <v>2.4230959999999999E-2</v>
      </c>
      <c r="V3553">
        <v>3.9284340000000001E-2</v>
      </c>
      <c r="W3553">
        <v>0.1354252</v>
      </c>
      <c r="X3553">
        <v>0.99000849999999996</v>
      </c>
      <c r="Y3553">
        <v>8.8653650000000001E-3</v>
      </c>
      <c r="Z3553">
        <v>-1.194872E-3</v>
      </c>
      <c r="AA3553">
        <v>0.99995999999999996</v>
      </c>
      <c r="AB3553">
        <v>45</v>
      </c>
      <c r="AC3553">
        <v>0.67110000000002401</v>
      </c>
      <c r="AD3553">
        <v>-6.1168000000000097E-2</v>
      </c>
      <c r="AE3553">
        <v>1.20000000001141E-3</v>
      </c>
      <c r="AF3553">
        <v>1.00276172180858E-2</v>
      </c>
      <c r="AG3553">
        <v>-6.1168000000000097E-2</v>
      </c>
      <c r="AH3553">
        <v>0.66549626206039003</v>
      </c>
      <c r="AI3553">
        <v>95.250899953559099</v>
      </c>
      <c r="AJ3553">
        <v>89.136739449254407</v>
      </c>
      <c r="AK3553">
        <v>0.66837665440036398</v>
      </c>
      <c r="AL3553">
        <v>82.216792435547006</v>
      </c>
      <c r="AM3553">
        <v>87.727649167935596</v>
      </c>
      <c r="AN3553">
        <v>1.00000003711826</v>
      </c>
    </row>
    <row r="3554" spans="1:40" x14ac:dyDescent="0.25">
      <c r="A3554" t="str">
        <f>"20190312164057345"</f>
        <v>20190312164057345</v>
      </c>
      <c r="B3554" t="str">
        <f>"1552380057339463"</f>
        <v>1552380057339463</v>
      </c>
      <c r="C3554" t="s">
        <v>40</v>
      </c>
      <c r="D3554">
        <v>5.5426549999999999</v>
      </c>
      <c r="E3554">
        <v>0.493757</v>
      </c>
      <c r="F3554" t="s">
        <v>42</v>
      </c>
      <c r="G3554">
        <v>-384.32619999999997</v>
      </c>
      <c r="H3554">
        <v>1.048214</v>
      </c>
      <c r="I3554">
        <v>213.01689999999999</v>
      </c>
      <c r="J3554">
        <v>-384.93299999999999</v>
      </c>
      <c r="K3554">
        <v>1.108954</v>
      </c>
      <c r="L3554">
        <v>213.0179</v>
      </c>
      <c r="M3554">
        <v>0.99982959999999999</v>
      </c>
      <c r="N3554">
        <v>0</v>
      </c>
      <c r="O3554">
        <v>1.6854190000000002E-2</v>
      </c>
      <c r="P3554">
        <v>0.99147799999999997</v>
      </c>
      <c r="Q3554">
        <v>0.1283155</v>
      </c>
      <c r="R3554">
        <v>-2.2513519999999999E-2</v>
      </c>
      <c r="S3554">
        <v>3.0483090000000002</v>
      </c>
      <c r="T3554">
        <v>-0.1716714</v>
      </c>
      <c r="U3554">
        <v>2.0919799999999999E-2</v>
      </c>
      <c r="V3554">
        <v>3.9226209999999997E-2</v>
      </c>
      <c r="W3554">
        <v>0.13578100000000001</v>
      </c>
      <c r="X3554">
        <v>0.98996200000000001</v>
      </c>
      <c r="Y3554">
        <v>9.9501799999999994E-3</v>
      </c>
      <c r="Z3554">
        <v>-1.2283490000000001E-3</v>
      </c>
      <c r="AA3554">
        <v>0.9999498</v>
      </c>
      <c r="AB3554">
        <v>45</v>
      </c>
      <c r="AC3554">
        <v>0.60680000000007706</v>
      </c>
      <c r="AD3554">
        <v>-6.0740000000000002E-2</v>
      </c>
      <c r="AE3554">
        <v>-1.0000000000047701E-3</v>
      </c>
      <c r="AF3554">
        <v>1.11158918788457E-2</v>
      </c>
      <c r="AG3554">
        <v>-6.0740000000000002E-2</v>
      </c>
      <c r="AH3554">
        <v>0.60067829794522398</v>
      </c>
      <c r="AI3554">
        <v>95.773084570388207</v>
      </c>
      <c r="AJ3554">
        <v>88.939830180960101</v>
      </c>
      <c r="AK3554">
        <v>0.603843794598101</v>
      </c>
      <c r="AL3554">
        <v>82.196216004297895</v>
      </c>
      <c r="AM3554">
        <v>87.730901637577105</v>
      </c>
      <c r="AN3554">
        <v>0.999999968477981</v>
      </c>
    </row>
    <row r="3555" spans="1:40" x14ac:dyDescent="0.25">
      <c r="A3555" t="str">
        <f>"20190312164057366"</f>
        <v>20190312164057366</v>
      </c>
      <c r="B3555" t="str">
        <f>"1552380057359957"</f>
        <v>1552380057359957</v>
      </c>
      <c r="C3555" t="s">
        <v>40</v>
      </c>
      <c r="D3555">
        <v>5.5887070000000003</v>
      </c>
      <c r="E3555">
        <v>0.49401070000000002</v>
      </c>
      <c r="F3555" t="s">
        <v>48</v>
      </c>
      <c r="G3555">
        <v>-365.30360000000002</v>
      </c>
      <c r="H3555" s="1">
        <v>1.285545E-6</v>
      </c>
      <c r="I3555">
        <v>213.1369</v>
      </c>
      <c r="J3555">
        <v>-384.47739999999999</v>
      </c>
      <c r="K3555">
        <v>1.1089530000000001</v>
      </c>
      <c r="L3555">
        <v>213.0256</v>
      </c>
      <c r="M3555">
        <v>0.99982950000000004</v>
      </c>
      <c r="N3555">
        <v>0</v>
      </c>
      <c r="O3555">
        <v>1.6854859999999999E-2</v>
      </c>
      <c r="P3555">
        <v>0.99145899999999998</v>
      </c>
      <c r="Q3555">
        <v>0.12843009999999999</v>
      </c>
      <c r="R3555">
        <v>-2.2690749999999999E-2</v>
      </c>
      <c r="S3555">
        <v>3.048492</v>
      </c>
      <c r="T3555">
        <v>-0.1722234</v>
      </c>
      <c r="U3555">
        <v>1.849365E-2</v>
      </c>
      <c r="V3555">
        <v>3.9403769999999998E-2</v>
      </c>
      <c r="W3555">
        <v>0.1359052</v>
      </c>
      <c r="X3555">
        <v>0.98993799999999998</v>
      </c>
      <c r="Y3555">
        <v>1.074551E-2</v>
      </c>
      <c r="Z3555">
        <v>-1.25471E-3</v>
      </c>
      <c r="AA3555">
        <v>0.99994150000000004</v>
      </c>
      <c r="AB3555">
        <v>45</v>
      </c>
      <c r="AC3555">
        <v>19.1737999999999</v>
      </c>
      <c r="AD3555">
        <v>-1.1089517144550001</v>
      </c>
      <c r="AE3555">
        <v>0.111299999999999</v>
      </c>
      <c r="AF3555">
        <v>0.211190289756051</v>
      </c>
      <c r="AG3555">
        <v>-1.1089517144550001</v>
      </c>
      <c r="AH3555">
        <v>19.109032704440398</v>
      </c>
      <c r="AI3555">
        <v>93.321110093509901</v>
      </c>
      <c r="AJ3555">
        <v>89.3668010389583</v>
      </c>
      <c r="AK3555">
        <v>19.1423485012382</v>
      </c>
      <c r="AL3555">
        <v>82.189034023386697</v>
      </c>
      <c r="AM3555">
        <v>87.7205860226222</v>
      </c>
      <c r="AN3555">
        <v>1.00000006216062</v>
      </c>
    </row>
    <row r="3556" spans="1:40" x14ac:dyDescent="0.25">
      <c r="A3556" t="str">
        <f>"20190312164057389"</f>
        <v>20190312164057389</v>
      </c>
      <c r="B3556" t="str">
        <f>"1552380057379480"</f>
        <v>1552380057379480</v>
      </c>
      <c r="C3556" t="s">
        <v>40</v>
      </c>
      <c r="D3556">
        <v>5.4720740000000001</v>
      </c>
      <c r="E3556">
        <v>0.49421959999999998</v>
      </c>
      <c r="F3556" t="s">
        <v>48</v>
      </c>
      <c r="G3556">
        <v>-364.71550000000002</v>
      </c>
      <c r="H3556" s="1">
        <v>9.7259500000000009E-7</v>
      </c>
      <c r="I3556">
        <v>213.12889999999999</v>
      </c>
      <c r="J3556">
        <v>-384.02289999999999</v>
      </c>
      <c r="K3556">
        <v>1.108951</v>
      </c>
      <c r="L3556">
        <v>213.03319999999999</v>
      </c>
      <c r="M3556">
        <v>0.99982939999999998</v>
      </c>
      <c r="N3556">
        <v>0</v>
      </c>
      <c r="O3556">
        <v>1.6855479999999999E-2</v>
      </c>
      <c r="P3556">
        <v>0.99144310000000002</v>
      </c>
      <c r="Q3556">
        <v>0.1286041</v>
      </c>
      <c r="R3556">
        <v>-2.2398689999999999E-2</v>
      </c>
      <c r="S3556">
        <v>3.0483699999999998</v>
      </c>
      <c r="T3556">
        <v>-0.1710622</v>
      </c>
      <c r="U3556">
        <v>1.594543E-2</v>
      </c>
      <c r="V3556">
        <v>3.9112090000000002E-2</v>
      </c>
      <c r="W3556">
        <v>0.1360894</v>
      </c>
      <c r="X3556">
        <v>0.98992420000000003</v>
      </c>
      <c r="Y3556">
        <v>1.1580999999999999E-2</v>
      </c>
      <c r="Z3556">
        <v>-1.269776E-3</v>
      </c>
      <c r="AA3556">
        <v>0.99993209999999999</v>
      </c>
      <c r="AB3556">
        <v>46</v>
      </c>
      <c r="AC3556">
        <v>19.307399999999902</v>
      </c>
      <c r="AD3556">
        <v>-1.1089500274049999</v>
      </c>
      <c r="AE3556">
        <v>9.5699999999993596E-2</v>
      </c>
      <c r="AF3556">
        <v>0.22900292476085299</v>
      </c>
      <c r="AG3556">
        <v>-1.1089500274049999</v>
      </c>
      <c r="AH3556">
        <v>19.2427905419413</v>
      </c>
      <c r="AI3556">
        <v>93.298038928166505</v>
      </c>
      <c r="AJ3556">
        <v>89.318171567449596</v>
      </c>
      <c r="AK3556">
        <v>19.276078448269899</v>
      </c>
      <c r="AL3556">
        <v>82.178380687098397</v>
      </c>
      <c r="AM3556">
        <v>87.737409904763297</v>
      </c>
      <c r="AN3556">
        <v>1.0000000010610799</v>
      </c>
    </row>
    <row r="3557" spans="1:40" x14ac:dyDescent="0.25">
      <c r="A3557" t="str">
        <f>"20190312164057411"</f>
        <v>20190312164057411</v>
      </c>
      <c r="B3557" t="str">
        <f>"1552380057399977"</f>
        <v>1552380057399977</v>
      </c>
      <c r="C3557" t="s">
        <v>40</v>
      </c>
      <c r="D3557">
        <v>5.6002299999999998</v>
      </c>
      <c r="E3557">
        <v>0.50592329999999996</v>
      </c>
      <c r="F3557" t="s">
        <v>48</v>
      </c>
      <c r="G3557">
        <v>-364.0643</v>
      </c>
      <c r="H3557" s="1">
        <v>6.2600559999999905E-7</v>
      </c>
      <c r="I3557">
        <v>213.1292</v>
      </c>
      <c r="J3557">
        <v>-383.57330000000002</v>
      </c>
      <c r="K3557">
        <v>1.108949</v>
      </c>
      <c r="L3557">
        <v>213.04079999999999</v>
      </c>
      <c r="M3557">
        <v>0.99982939999999998</v>
      </c>
      <c r="N3557">
        <v>0</v>
      </c>
      <c r="O3557">
        <v>1.6856090000000001E-2</v>
      </c>
      <c r="P3557">
        <v>0.99141420000000002</v>
      </c>
      <c r="Q3557">
        <v>0.12886149999999999</v>
      </c>
      <c r="R3557">
        <v>-2.219633E-2</v>
      </c>
      <c r="S3557">
        <v>3.048187</v>
      </c>
      <c r="T3557">
        <v>-0.16936479999999901</v>
      </c>
      <c r="U3557">
        <v>1.46637E-2</v>
      </c>
      <c r="V3557">
        <v>3.8909970000000002E-2</v>
      </c>
      <c r="W3557">
        <v>0.13635729999999999</v>
      </c>
      <c r="X3557">
        <v>0.98989530000000003</v>
      </c>
      <c r="Y3557">
        <v>1.2001980000000001E-2</v>
      </c>
      <c r="Z3557">
        <v>-1.2689940000000001E-3</v>
      </c>
      <c r="AA3557">
        <v>0.99992720000000002</v>
      </c>
      <c r="AB3557">
        <v>46</v>
      </c>
      <c r="AC3557">
        <v>19.509</v>
      </c>
      <c r="AD3557">
        <v>-1.1089483739943999</v>
      </c>
      <c r="AE3557">
        <v>8.8400000000007098E-2</v>
      </c>
      <c r="AF3557">
        <v>0.239692939503442</v>
      </c>
      <c r="AG3557">
        <v>-1.1089483739943999</v>
      </c>
      <c r="AH3557">
        <v>19.444890820670601</v>
      </c>
      <c r="AI3557">
        <v>93.263813625156104</v>
      </c>
      <c r="AJ3557">
        <v>89.293763158236203</v>
      </c>
      <c r="AK3557">
        <v>19.477961860246801</v>
      </c>
      <c r="AL3557">
        <v>82.162886722636898</v>
      </c>
      <c r="AM3557">
        <v>87.749024612072702</v>
      </c>
      <c r="AN3557">
        <v>1.0000000019953901</v>
      </c>
    </row>
    <row r="3558" spans="1:40" x14ac:dyDescent="0.25">
      <c r="A3558" t="str">
        <f>"20190312164057433"</f>
        <v>20190312164057433</v>
      </c>
      <c r="B3558" t="str">
        <f>"1552380057429254"</f>
        <v>1552380057429254</v>
      </c>
      <c r="C3558" t="s">
        <v>40</v>
      </c>
      <c r="D3558">
        <v>5.5343090000000004</v>
      </c>
      <c r="E3558">
        <v>0.50480820000000004</v>
      </c>
      <c r="F3558" t="s">
        <v>48</v>
      </c>
      <c r="G3558">
        <v>-363.93009999999998</v>
      </c>
      <c r="H3558" s="1">
        <v>5.5458389999999999E-7</v>
      </c>
      <c r="I3558">
        <v>212.5378</v>
      </c>
      <c r="J3558">
        <v>-383.12650000000002</v>
      </c>
      <c r="K3558">
        <v>1.1089439999999999</v>
      </c>
      <c r="L3558">
        <v>213.04830000000001</v>
      </c>
      <c r="M3558">
        <v>0.99982919999999997</v>
      </c>
      <c r="N3558">
        <v>0</v>
      </c>
      <c r="O3558">
        <v>1.6856889999999999E-2</v>
      </c>
      <c r="P3558">
        <v>0.99150349999999998</v>
      </c>
      <c r="Q3558">
        <v>0.12820429999999999</v>
      </c>
      <c r="R3558">
        <v>-2.201705E-2</v>
      </c>
      <c r="S3558">
        <v>3.0466310000000001</v>
      </c>
      <c r="T3558">
        <v>-0.17199579999999901</v>
      </c>
      <c r="U3558">
        <v>-7.8002929999999998E-2</v>
      </c>
      <c r="V3558">
        <v>3.8732950000000002E-2</v>
      </c>
      <c r="W3558">
        <v>0.13571059999999999</v>
      </c>
      <c r="X3558">
        <v>0.98999110000000001</v>
      </c>
      <c r="Y3558">
        <v>4.2348619999999997E-2</v>
      </c>
      <c r="Z3558">
        <v>-2.1450150000000001E-3</v>
      </c>
      <c r="AA3558">
        <v>0.99910060000000001</v>
      </c>
      <c r="AB3558">
        <v>46</v>
      </c>
      <c r="AC3558">
        <v>19.196400000000001</v>
      </c>
      <c r="AD3558">
        <v>-1.1089434454161</v>
      </c>
      <c r="AE3558">
        <v>-0.51050000000000695</v>
      </c>
      <c r="AF3558">
        <v>0.83125626481012305</v>
      </c>
      <c r="AG3558">
        <v>-1.1089434454161</v>
      </c>
      <c r="AH3558">
        <v>19.121300522162901</v>
      </c>
      <c r="AI3558">
        <v>93.316036664330198</v>
      </c>
      <c r="AJ3558">
        <v>87.510759996172396</v>
      </c>
      <c r="AK3558">
        <v>19.171459939237401</v>
      </c>
      <c r="AL3558">
        <v>82.200287506769499</v>
      </c>
      <c r="AM3558">
        <v>87.759471522148004</v>
      </c>
      <c r="AN3558">
        <v>0.99999999322363597</v>
      </c>
    </row>
    <row r="3559" spans="1:40" x14ac:dyDescent="0.25">
      <c r="A3559" t="str">
        <f>"20190312164057456"</f>
        <v>20190312164057456</v>
      </c>
      <c r="B3559" t="str">
        <f>"1552380057449750"</f>
        <v>1552380057449750</v>
      </c>
      <c r="C3559" t="s">
        <v>40</v>
      </c>
      <c r="D3559">
        <v>5.617578</v>
      </c>
      <c r="E3559">
        <v>0.48958360000000001</v>
      </c>
      <c r="F3559" t="s">
        <v>48</v>
      </c>
      <c r="G3559">
        <v>-363.52969999999999</v>
      </c>
      <c r="H3559" s="1">
        <v>3.4152229999999998E-7</v>
      </c>
      <c r="I3559">
        <v>212.60740000000001</v>
      </c>
      <c r="J3559">
        <v>-382.65949999999998</v>
      </c>
      <c r="K3559">
        <v>1.1089389999999999</v>
      </c>
      <c r="L3559">
        <v>213.05619999999999</v>
      </c>
      <c r="M3559">
        <v>0.99982919999999997</v>
      </c>
      <c r="N3559">
        <v>0</v>
      </c>
      <c r="O3559">
        <v>1.685768E-2</v>
      </c>
      <c r="P3559">
        <v>0.99154249999999999</v>
      </c>
      <c r="Q3559">
        <v>0.1279757</v>
      </c>
      <c r="R3559">
        <v>-2.1590020000000001E-2</v>
      </c>
      <c r="S3559">
        <v>3.0464479999999998</v>
      </c>
      <c r="T3559">
        <v>-0.17239209999999999</v>
      </c>
      <c r="U3559">
        <v>-6.8542480000000003E-2</v>
      </c>
      <c r="V3559">
        <v>3.830749E-2</v>
      </c>
      <c r="W3559">
        <v>0.1354928</v>
      </c>
      <c r="X3559">
        <v>0.99003750000000001</v>
      </c>
      <c r="Y3559">
        <v>3.925443E-2</v>
      </c>
      <c r="Z3559">
        <v>-2.0627319999999998E-3</v>
      </c>
      <c r="AA3559">
        <v>0.99922710000000003</v>
      </c>
      <c r="AB3559">
        <v>46</v>
      </c>
      <c r="AC3559">
        <v>19.1297999999999</v>
      </c>
      <c r="AD3559">
        <v>-1.1089386584776999</v>
      </c>
      <c r="AE3559">
        <v>-0.448799999999977</v>
      </c>
      <c r="AF3559">
        <v>0.768647959567617</v>
      </c>
      <c r="AG3559">
        <v>-1.1089386584776999</v>
      </c>
      <c r="AH3559">
        <v>19.055516136280701</v>
      </c>
      <c r="AI3559">
        <v>93.327879921882598</v>
      </c>
      <c r="AJ3559">
        <v>87.690095558201506</v>
      </c>
      <c r="AK3559">
        <v>19.103226425242099</v>
      </c>
      <c r="AL3559">
        <v>82.212882973675406</v>
      </c>
      <c r="AM3559">
        <v>87.784161566570106</v>
      </c>
      <c r="AN3559">
        <v>1.00000000702409</v>
      </c>
    </row>
    <row r="3560" spans="1:40" x14ac:dyDescent="0.25">
      <c r="A3560" t="str">
        <f>"20190312164057480"</f>
        <v>20190312164057480</v>
      </c>
      <c r="B3560" t="str">
        <f>"1552380057469269"</f>
        <v>1552380057469269</v>
      </c>
      <c r="C3560" t="s">
        <v>40</v>
      </c>
      <c r="D3560">
        <v>5.6000199999999998</v>
      </c>
      <c r="E3560">
        <v>0.49055880000000002</v>
      </c>
      <c r="F3560" t="s">
        <v>48</v>
      </c>
      <c r="G3560">
        <v>-358.4169</v>
      </c>
      <c r="H3560" s="1">
        <v>2.9922279999999998E-6</v>
      </c>
      <c r="I3560">
        <v>213.47280000000001</v>
      </c>
      <c r="J3560">
        <v>-382.16489999999999</v>
      </c>
      <c r="K3560">
        <v>1.1089329999999999</v>
      </c>
      <c r="L3560">
        <v>213.06450000000001</v>
      </c>
      <c r="M3560">
        <v>0.99982910000000003</v>
      </c>
      <c r="N3560">
        <v>0</v>
      </c>
      <c r="O3560">
        <v>1.6858649999999999E-2</v>
      </c>
      <c r="P3560">
        <v>0.99164980000000003</v>
      </c>
      <c r="Q3560">
        <v>0.1271525</v>
      </c>
      <c r="R3560">
        <v>-2.151219E-2</v>
      </c>
      <c r="S3560">
        <v>3.044708</v>
      </c>
      <c r="T3560">
        <v>-0.13927439999999999</v>
      </c>
      <c r="U3560">
        <v>5.2322390000000003E-2</v>
      </c>
      <c r="V3560">
        <v>3.8232589999999997E-2</v>
      </c>
      <c r="W3560">
        <v>0.1346811</v>
      </c>
      <c r="X3560">
        <v>0.99015109999999995</v>
      </c>
      <c r="Y3560">
        <v>-3.4033419999999998E-4</v>
      </c>
      <c r="Z3560">
        <v>-7.6289459999999995E-4</v>
      </c>
      <c r="AA3560">
        <v>0.99999959999999999</v>
      </c>
      <c r="AB3560">
        <v>46</v>
      </c>
      <c r="AC3560">
        <v>23.747999999999902</v>
      </c>
      <c r="AD3560">
        <v>-1.1089300077719999</v>
      </c>
      <c r="AE3560">
        <v>0.408299999999997</v>
      </c>
      <c r="AF3560">
        <v>-7.8541071095314906E-3</v>
      </c>
      <c r="AG3560">
        <v>-1.1089300077719999</v>
      </c>
      <c r="AH3560">
        <v>23.6998463751911</v>
      </c>
      <c r="AI3560">
        <v>92.678949773940005</v>
      </c>
      <c r="AJ3560">
        <v>90.018987767499496</v>
      </c>
      <c r="AK3560">
        <v>23.7257772403097</v>
      </c>
      <c r="AL3560">
        <v>82.259819871921906</v>
      </c>
      <c r="AM3560">
        <v>87.7887432116502</v>
      </c>
      <c r="AN3560">
        <v>0.99999996523326296</v>
      </c>
    </row>
    <row r="3561" spans="1:40" x14ac:dyDescent="0.25">
      <c r="A3561" t="str">
        <f>"20190312164057501"</f>
        <v>20190312164057501</v>
      </c>
      <c r="B3561" t="str">
        <f>"1552380057489766"</f>
        <v>1552380057489766</v>
      </c>
      <c r="C3561" t="s">
        <v>40</v>
      </c>
      <c r="D3561">
        <v>5.6354150000000001</v>
      </c>
      <c r="E3561">
        <v>0.49031390000000002</v>
      </c>
      <c r="F3561" t="s">
        <v>48</v>
      </c>
      <c r="G3561">
        <v>-359.5951</v>
      </c>
      <c r="H3561" s="1">
        <v>3.622489E-6</v>
      </c>
      <c r="I3561">
        <v>213.39869999999999</v>
      </c>
      <c r="J3561">
        <v>-381.72219999999999</v>
      </c>
      <c r="K3561">
        <v>1.1089340000000001</v>
      </c>
      <c r="L3561">
        <v>213.072</v>
      </c>
      <c r="M3561">
        <v>0.99982890000000002</v>
      </c>
      <c r="N3561">
        <v>0</v>
      </c>
      <c r="O3561">
        <v>1.6859799999999901E-2</v>
      </c>
      <c r="P3561">
        <v>0.99167209999999995</v>
      </c>
      <c r="Q3561">
        <v>0.1269943</v>
      </c>
      <c r="R3561">
        <v>-2.1420870000000002E-2</v>
      </c>
      <c r="S3561">
        <v>3.0454409999999998</v>
      </c>
      <c r="T3561">
        <v>-0.14963270000000001</v>
      </c>
      <c r="U3561">
        <v>4.508972E-2</v>
      </c>
      <c r="V3561">
        <v>3.8142719999999998E-2</v>
      </c>
      <c r="W3561">
        <v>0.13453319999999999</v>
      </c>
      <c r="X3561">
        <v>0.99017469999999996</v>
      </c>
      <c r="Y3561">
        <v>2.0337390000000001E-3</v>
      </c>
      <c r="Z3561">
        <v>-8.7773199999999999E-4</v>
      </c>
      <c r="AA3561">
        <v>0.99999760000000004</v>
      </c>
      <c r="AB3561">
        <v>46</v>
      </c>
      <c r="AC3561">
        <v>22.127099999999899</v>
      </c>
      <c r="AD3561">
        <v>-1.108930377511</v>
      </c>
      <c r="AE3561">
        <v>0.326699999999988</v>
      </c>
      <c r="AF3561">
        <v>4.6299460305930497E-2</v>
      </c>
      <c r="AG3561">
        <v>-1.108930377511</v>
      </c>
      <c r="AH3561">
        <v>22.074032787283901</v>
      </c>
      <c r="AI3561">
        <v>92.875936717728905</v>
      </c>
      <c r="AJ3561">
        <v>89.879824416104995</v>
      </c>
      <c r="AK3561">
        <v>22.101918326613099</v>
      </c>
      <c r="AL3561">
        <v>82.268371962365606</v>
      </c>
      <c r="AM3561">
        <v>87.793988405404505</v>
      </c>
      <c r="AN3561">
        <v>0.99999999275566398</v>
      </c>
    </row>
    <row r="3562" spans="1:40" x14ac:dyDescent="0.25">
      <c r="A3562" t="str">
        <f>"20190312164057522"</f>
        <v>20190312164057522</v>
      </c>
      <c r="B3562" t="str">
        <f>"1552380057520022"</f>
        <v>1552380057520022</v>
      </c>
      <c r="C3562" t="s">
        <v>40</v>
      </c>
      <c r="D3562">
        <v>5.4844530000000002</v>
      </c>
      <c r="E3562">
        <v>0.49040929999999999</v>
      </c>
      <c r="F3562" t="s">
        <v>48</v>
      </c>
      <c r="G3562">
        <v>-359.58980000000003</v>
      </c>
      <c r="H3562" s="1">
        <v>3.6187249999999998E-6</v>
      </c>
      <c r="I3562">
        <v>213.4204</v>
      </c>
      <c r="J3562">
        <v>-381.28629999999998</v>
      </c>
      <c r="K3562">
        <v>1.1089279999999999</v>
      </c>
      <c r="L3562">
        <v>213.07929999999999</v>
      </c>
      <c r="M3562">
        <v>0.99982890000000002</v>
      </c>
      <c r="N3562">
        <v>0</v>
      </c>
      <c r="O3562">
        <v>1.6860420000000001E-2</v>
      </c>
      <c r="P3562">
        <v>0.99166730000000003</v>
      </c>
      <c r="Q3562">
        <v>0.1270192</v>
      </c>
      <c r="R3562">
        <v>-2.1503609999999999E-2</v>
      </c>
      <c r="S3562">
        <v>3.0458069999999999</v>
      </c>
      <c r="T3562">
        <v>-0.15260850000000001</v>
      </c>
      <c r="U3562">
        <v>4.7943119999999999E-2</v>
      </c>
      <c r="V3562">
        <v>3.8225820000000001E-2</v>
      </c>
      <c r="W3562">
        <v>0.13456770000000001</v>
      </c>
      <c r="X3562">
        <v>0.99016680000000001</v>
      </c>
      <c r="Y3562">
        <v>1.099792E-3</v>
      </c>
      <c r="Z3562">
        <v>-8.7170039999999904E-4</v>
      </c>
      <c r="AA3562">
        <v>0.99999899999999997</v>
      </c>
      <c r="AB3562">
        <v>46</v>
      </c>
      <c r="AC3562">
        <v>21.696499999999901</v>
      </c>
      <c r="AD3562">
        <v>-1.108924381275</v>
      </c>
      <c r="AE3562">
        <v>0.34110000000001101</v>
      </c>
      <c r="AF3562">
        <v>2.4706656372487801E-2</v>
      </c>
      <c r="AG3562">
        <v>-1.108924381275</v>
      </c>
      <c r="AH3562">
        <v>21.642643688422101</v>
      </c>
      <c r="AI3562">
        <v>92.933150514407103</v>
      </c>
      <c r="AJ3562">
        <v>89.934592716976795</v>
      </c>
      <c r="AK3562">
        <v>21.6710486485138</v>
      </c>
      <c r="AL3562">
        <v>82.266377061954103</v>
      </c>
      <c r="AM3562">
        <v>87.789169399791604</v>
      </c>
      <c r="AN3562">
        <v>0.99999998551010105</v>
      </c>
    </row>
    <row r="3563" spans="1:40" x14ac:dyDescent="0.25">
      <c r="A3563" t="str">
        <f>"20190312164057545"</f>
        <v>20190312164057545</v>
      </c>
      <c r="B3563" t="str">
        <f>"1552380057540048"</f>
        <v>1552380057540048</v>
      </c>
      <c r="C3563" t="s">
        <v>40</v>
      </c>
      <c r="D3563">
        <v>5.5478040000000002</v>
      </c>
      <c r="E3563">
        <v>0.49014370000000002</v>
      </c>
      <c r="F3563" t="s">
        <v>48</v>
      </c>
      <c r="G3563">
        <v>-358.64319999999998</v>
      </c>
      <c r="H3563" s="1">
        <v>3.114615E-6</v>
      </c>
      <c r="I3563">
        <v>213.4289</v>
      </c>
      <c r="J3563">
        <v>-380.81360000000001</v>
      </c>
      <c r="K3563">
        <v>1.1089180000000001</v>
      </c>
      <c r="L3563">
        <v>213.0873</v>
      </c>
      <c r="M3563">
        <v>0.99982890000000002</v>
      </c>
      <c r="N3563">
        <v>0</v>
      </c>
      <c r="O3563">
        <v>1.6861029999999999E-2</v>
      </c>
      <c r="P3563">
        <v>0.99169149999999995</v>
      </c>
      <c r="Q3563">
        <v>0.1268196</v>
      </c>
      <c r="R3563">
        <v>-2.1562890000000001E-2</v>
      </c>
      <c r="S3563">
        <v>3.0453190000000001</v>
      </c>
      <c r="T3563">
        <v>-0.149142</v>
      </c>
      <c r="U3563">
        <v>4.7012329999999998E-2</v>
      </c>
      <c r="V3563">
        <v>3.8286189999999998E-2</v>
      </c>
      <c r="W3563">
        <v>0.1343792</v>
      </c>
      <c r="X3563">
        <v>0.99019009999999996</v>
      </c>
      <c r="Y3563">
        <v>1.4040890000000001E-3</v>
      </c>
      <c r="Z3563">
        <v>-8.5953899999999998E-4</v>
      </c>
      <c r="AA3563">
        <v>0.99999859999999896</v>
      </c>
      <c r="AB3563">
        <v>46</v>
      </c>
      <c r="AC3563">
        <v>22.170400000000001</v>
      </c>
      <c r="AD3563">
        <v>-1.1089148853849999</v>
      </c>
      <c r="AE3563">
        <v>0.34159999999999902</v>
      </c>
      <c r="AF3563">
        <v>3.2194636442997498E-2</v>
      </c>
      <c r="AG3563">
        <v>-1.1089148853849999</v>
      </c>
      <c r="AH3563">
        <v>22.117687541349699</v>
      </c>
      <c r="AI3563">
        <v>92.870233079027201</v>
      </c>
      <c r="AJ3563">
        <v>89.916599984292603</v>
      </c>
      <c r="AK3563">
        <v>22.145492338045202</v>
      </c>
      <c r="AL3563">
        <v>82.277276564269997</v>
      </c>
      <c r="AM3563">
        <v>87.785733362994307</v>
      </c>
      <c r="AN3563">
        <v>1.00000001793768</v>
      </c>
    </row>
    <row r="3564" spans="1:40" x14ac:dyDescent="0.25">
      <c r="A3564" t="str">
        <f>"20190312164057579"</f>
        <v>20190312164057579</v>
      </c>
      <c r="B3564" t="str">
        <f>"1552380057569331"</f>
        <v>1552380057569331</v>
      </c>
      <c r="C3564" t="s">
        <v>40</v>
      </c>
      <c r="D3564">
        <v>5.5779880000000004</v>
      </c>
      <c r="E3564">
        <v>0.49029289999999998</v>
      </c>
      <c r="F3564" t="s">
        <v>48</v>
      </c>
      <c r="G3564">
        <v>-358.61689999999999</v>
      </c>
      <c r="H3564" s="1">
        <v>3.0999709999999998E-6</v>
      </c>
      <c r="I3564">
        <v>213.44380000000001</v>
      </c>
      <c r="J3564">
        <v>-380.12189999999998</v>
      </c>
      <c r="K3564">
        <v>1.1089209999999901</v>
      </c>
      <c r="L3564">
        <v>213.09899999999999</v>
      </c>
      <c r="M3564">
        <v>0.99982850000000001</v>
      </c>
      <c r="N3564">
        <v>0</v>
      </c>
      <c r="O3564">
        <v>1.6862459999999999E-2</v>
      </c>
      <c r="P3564">
        <v>0.99172490000000002</v>
      </c>
      <c r="Q3564">
        <v>0.12648579999999901</v>
      </c>
      <c r="R3564">
        <v>-2.1979479999999999E-2</v>
      </c>
      <c r="S3564">
        <v>3.0456539999999999</v>
      </c>
      <c r="T3564">
        <v>-0.1521566</v>
      </c>
      <c r="U3564">
        <v>4.891968E-2</v>
      </c>
      <c r="V3564">
        <v>3.8704570000000001E-2</v>
      </c>
      <c r="W3564">
        <v>0.1340607</v>
      </c>
      <c r="X3564">
        <v>0.99021700000000001</v>
      </c>
      <c r="Y3564">
        <v>7.8101609999999997E-4</v>
      </c>
      <c r="Z3564">
        <v>-8.6130769999999998E-4</v>
      </c>
      <c r="AA3564">
        <v>0.99999930000000004</v>
      </c>
      <c r="AB3564">
        <v>46</v>
      </c>
      <c r="AC3564">
        <v>21.5049999999999</v>
      </c>
      <c r="AD3564">
        <v>-1.1089179000289999</v>
      </c>
      <c r="AE3564">
        <v>0.344799999999992</v>
      </c>
      <c r="AF3564">
        <v>1.7839436802059402E-2</v>
      </c>
      <c r="AG3564">
        <v>-1.1089179000289999</v>
      </c>
      <c r="AH3564">
        <v>21.450733510867799</v>
      </c>
      <c r="AI3564">
        <v>92.959329306335604</v>
      </c>
      <c r="AJ3564">
        <v>89.952350151500198</v>
      </c>
      <c r="AK3564">
        <v>21.479385124085301</v>
      </c>
      <c r="AL3564">
        <v>82.295691846413703</v>
      </c>
      <c r="AM3564">
        <v>87.761621749487304</v>
      </c>
      <c r="AN3564">
        <v>1.00000001105618</v>
      </c>
    </row>
    <row r="3565" spans="1:40" x14ac:dyDescent="0.25">
      <c r="A3565" t="str">
        <f>"20190312164057601"</f>
        <v>20190312164057601</v>
      </c>
      <c r="B3565" t="str">
        <f>"1552380057589824"</f>
        <v>1552380057589824</v>
      </c>
      <c r="C3565" t="s">
        <v>40</v>
      </c>
      <c r="D3565">
        <v>5.5440139999999998</v>
      </c>
      <c r="E3565">
        <v>0.49032120000000001</v>
      </c>
      <c r="F3565" t="s">
        <v>48</v>
      </c>
      <c r="G3565">
        <v>-357.83949999999999</v>
      </c>
      <c r="H3565" s="1">
        <v>2.686698E-6</v>
      </c>
      <c r="I3565">
        <v>213.4341</v>
      </c>
      <c r="J3565">
        <v>-379.65140000000002</v>
      </c>
      <c r="K3565">
        <v>1.108922</v>
      </c>
      <c r="L3565">
        <v>213.1069</v>
      </c>
      <c r="M3565">
        <v>0.99982859999999996</v>
      </c>
      <c r="N3565">
        <v>0</v>
      </c>
      <c r="O3565">
        <v>1.6863260000000001E-2</v>
      </c>
      <c r="P3565">
        <v>0.99171469999999995</v>
      </c>
      <c r="Q3565">
        <v>0.1266062</v>
      </c>
      <c r="R3565">
        <v>-2.175268E-2</v>
      </c>
      <c r="S3565">
        <v>3.0453489999999999</v>
      </c>
      <c r="T3565">
        <v>-0.15155679999999999</v>
      </c>
      <c r="U3565">
        <v>4.5806880000000001E-2</v>
      </c>
      <c r="V3565">
        <v>3.8478489999999997E-2</v>
      </c>
      <c r="W3565">
        <v>0.13419159999999999</v>
      </c>
      <c r="X3565">
        <v>0.99020810000000004</v>
      </c>
      <c r="Y3565">
        <v>1.8010050000000001E-3</v>
      </c>
      <c r="Z3565">
        <v>-8.834146E-4</v>
      </c>
      <c r="AA3565">
        <v>0.99999800000000005</v>
      </c>
      <c r="AB3565">
        <v>46</v>
      </c>
      <c r="AC3565">
        <v>21.811900000000001</v>
      </c>
      <c r="AD3565">
        <v>-1.1089193133020001</v>
      </c>
      <c r="AE3565">
        <v>0.32720000000000399</v>
      </c>
      <c r="AF3565">
        <v>4.0572166730257701E-2</v>
      </c>
      <c r="AG3565">
        <v>-1.1089193133020001</v>
      </c>
      <c r="AH3565">
        <v>21.758090257867899</v>
      </c>
      <c r="AI3565">
        <v>92.917597952819904</v>
      </c>
      <c r="AJ3565">
        <v>89.893161063424699</v>
      </c>
      <c r="AK3565">
        <v>21.7863682107334</v>
      </c>
      <c r="AL3565">
        <v>82.288123593765405</v>
      </c>
      <c r="AM3565">
        <v>87.774663334649603</v>
      </c>
      <c r="AN3565">
        <v>1.0000000305044201</v>
      </c>
    </row>
    <row r="3566" spans="1:40" x14ac:dyDescent="0.25">
      <c r="A3566" t="str">
        <f>"20190312164057623"</f>
        <v>20190312164057623</v>
      </c>
      <c r="B3566" t="str">
        <f>"1552380057620079"</f>
        <v>1552380057620079</v>
      </c>
      <c r="C3566" t="s">
        <v>40</v>
      </c>
      <c r="D3566">
        <v>5.6245459999999996</v>
      </c>
      <c r="E3566">
        <v>0.49047410000000002</v>
      </c>
      <c r="F3566" t="s">
        <v>48</v>
      </c>
      <c r="G3566">
        <v>-357.20620000000002</v>
      </c>
      <c r="H3566" s="1">
        <v>2.349059E-6</v>
      </c>
      <c r="I3566">
        <v>213.4485</v>
      </c>
      <c r="J3566">
        <v>-379.20749999999998</v>
      </c>
      <c r="K3566">
        <v>1.1089230000000001</v>
      </c>
      <c r="L3566">
        <v>213.11439999999999</v>
      </c>
      <c r="M3566">
        <v>0.99982839999999995</v>
      </c>
      <c r="N3566">
        <v>0</v>
      </c>
      <c r="O3566">
        <v>1.6864049999999998E-2</v>
      </c>
      <c r="P3566">
        <v>0.9916855</v>
      </c>
      <c r="Q3566">
        <v>0.1268522</v>
      </c>
      <c r="R3566">
        <v>-2.1642459999999999E-2</v>
      </c>
      <c r="S3566">
        <v>3.045258</v>
      </c>
      <c r="T3566">
        <v>-0.150453</v>
      </c>
      <c r="U3566">
        <v>4.6340939999999997E-2</v>
      </c>
      <c r="V3566">
        <v>3.8368680000000002E-2</v>
      </c>
      <c r="W3566">
        <v>0.13444719999999999</v>
      </c>
      <c r="X3566">
        <v>0.99017759999999999</v>
      </c>
      <c r="Y3566">
        <v>1.626564E-3</v>
      </c>
      <c r="Z3566">
        <v>-8.7274589999999995E-4</v>
      </c>
      <c r="AA3566">
        <v>0.99999830000000001</v>
      </c>
      <c r="AB3566">
        <v>46</v>
      </c>
      <c r="AC3566">
        <v>22.001299999999901</v>
      </c>
      <c r="AD3566">
        <v>-1.1089206509409999</v>
      </c>
      <c r="AE3566">
        <v>0.334100000000006</v>
      </c>
      <c r="AF3566">
        <v>3.6895733080764298E-2</v>
      </c>
      <c r="AG3566">
        <v>-1.1089206509409999</v>
      </c>
      <c r="AH3566">
        <v>21.948061218905799</v>
      </c>
      <c r="AI3566">
        <v>92.892392239416196</v>
      </c>
      <c r="AJ3566">
        <v>89.903683164759499</v>
      </c>
      <c r="AK3566">
        <v>21.9760883137569</v>
      </c>
      <c r="AL3566">
        <v>82.273344184304705</v>
      </c>
      <c r="AM3566">
        <v>87.780939365578504</v>
      </c>
      <c r="AN3566">
        <v>0.99999994236726897</v>
      </c>
    </row>
    <row r="3567" spans="1:40" x14ac:dyDescent="0.25">
      <c r="A3567" t="str">
        <f>"20190312164057646"</f>
        <v>20190312164057646</v>
      </c>
      <c r="B3567" t="str">
        <f>"1552380057640101"</f>
        <v>1552380057640101</v>
      </c>
      <c r="C3567" t="s">
        <v>40</v>
      </c>
      <c r="D3567">
        <v>5.5412179999999998</v>
      </c>
      <c r="E3567">
        <v>0.49049989999999999</v>
      </c>
      <c r="F3567" t="s">
        <v>48</v>
      </c>
      <c r="G3567">
        <v>-356.54180000000002</v>
      </c>
      <c r="H3567" s="1">
        <v>1.995264E-6</v>
      </c>
      <c r="I3567">
        <v>213.45349999999999</v>
      </c>
      <c r="J3567">
        <v>-378.71409999999997</v>
      </c>
      <c r="K3567">
        <v>1.1089209999999901</v>
      </c>
      <c r="L3567">
        <v>213.12270000000001</v>
      </c>
      <c r="M3567">
        <v>0.99982819999999994</v>
      </c>
      <c r="N3567">
        <v>0</v>
      </c>
      <c r="O3567">
        <v>1.6864669999999998E-2</v>
      </c>
      <c r="P3567">
        <v>0.99166560000000004</v>
      </c>
      <c r="Q3567">
        <v>0.12706139999999999</v>
      </c>
      <c r="R3567">
        <v>-2.1319279999999999E-2</v>
      </c>
      <c r="S3567">
        <v>3.0451969999999999</v>
      </c>
      <c r="T3567">
        <v>-0.14898629999999999</v>
      </c>
      <c r="U3567">
        <v>4.5562739999999997E-2</v>
      </c>
      <c r="V3567">
        <v>3.8045830000000003E-2</v>
      </c>
      <c r="W3567">
        <v>0.13466739999999999</v>
      </c>
      <c r="X3567">
        <v>0.99016020000000005</v>
      </c>
      <c r="Y3567">
        <v>1.8824950000000001E-3</v>
      </c>
      <c r="Z3567">
        <v>-8.7055469999999997E-4</v>
      </c>
      <c r="AA3567">
        <v>0.9999979</v>
      </c>
      <c r="AB3567">
        <v>47</v>
      </c>
      <c r="AC3567">
        <v>22.1722999999999</v>
      </c>
      <c r="AD3567">
        <v>-1.10891900473599</v>
      </c>
      <c r="AE3567">
        <v>0.330799999999982</v>
      </c>
      <c r="AF3567">
        <v>4.3078899076765903E-2</v>
      </c>
      <c r="AG3567">
        <v>-1.10891900473599</v>
      </c>
      <c r="AH3567">
        <v>22.119408955011998</v>
      </c>
      <c r="AI3567">
        <v>92.870018325508994</v>
      </c>
      <c r="AJ3567">
        <v>89.888413113229007</v>
      </c>
      <c r="AK3567">
        <v>22.147230293417699</v>
      </c>
      <c r="AL3567">
        <v>82.2606123717879</v>
      </c>
      <c r="AM3567">
        <v>87.799554401405004</v>
      </c>
      <c r="AN3567">
        <v>1.00000000773359</v>
      </c>
    </row>
    <row r="3568" spans="1:40" x14ac:dyDescent="0.25">
      <c r="A3568" t="str">
        <f>"20190312164057669"</f>
        <v>20190312164057669</v>
      </c>
      <c r="B3568" t="str">
        <f>"1552380057659625"</f>
        <v>1552380057659625</v>
      </c>
      <c r="C3568" t="s">
        <v>40</v>
      </c>
      <c r="D3568">
        <v>5.6382909999999997</v>
      </c>
      <c r="E3568">
        <v>0.49058970000000002</v>
      </c>
      <c r="F3568" t="s">
        <v>48</v>
      </c>
      <c r="G3568">
        <v>-355.8612</v>
      </c>
      <c r="H3568" s="1">
        <v>1.632291E-6</v>
      </c>
      <c r="I3568">
        <v>213.47149999999999</v>
      </c>
      <c r="J3568">
        <v>-378.22910000000002</v>
      </c>
      <c r="K3568">
        <v>1.108916</v>
      </c>
      <c r="L3568">
        <v>213.1309</v>
      </c>
      <c r="M3568">
        <v>0.9998283</v>
      </c>
      <c r="N3568">
        <v>0</v>
      </c>
      <c r="O3568">
        <v>1.6865160000000001E-2</v>
      </c>
      <c r="P3568">
        <v>0.9916431</v>
      </c>
      <c r="Q3568">
        <v>0.12725310000000001</v>
      </c>
      <c r="R3568">
        <v>-2.122858E-2</v>
      </c>
      <c r="S3568">
        <v>3.045105</v>
      </c>
      <c r="T3568">
        <v>-0.14776129999999901</v>
      </c>
      <c r="U3568">
        <v>4.6478270000000002E-2</v>
      </c>
      <c r="V3568">
        <v>3.7955269999999999E-2</v>
      </c>
      <c r="W3568">
        <v>0.13486960000000001</v>
      </c>
      <c r="X3568">
        <v>0.99013609999999996</v>
      </c>
      <c r="Y3568">
        <v>1.5826690000000001E-3</v>
      </c>
      <c r="Z3568">
        <v>-8.5618289999999904E-4</v>
      </c>
      <c r="AA3568">
        <v>0.99999839999999995</v>
      </c>
      <c r="AB3568">
        <v>47</v>
      </c>
      <c r="AC3568">
        <v>22.367899999999999</v>
      </c>
      <c r="AD3568">
        <v>-1.1089143677089901</v>
      </c>
      <c r="AE3568">
        <v>0.34059999999999402</v>
      </c>
      <c r="AF3568">
        <v>3.6607821176374698E-2</v>
      </c>
      <c r="AG3568">
        <v>-1.1089143677089901</v>
      </c>
      <c r="AH3568">
        <v>22.315628419605499</v>
      </c>
      <c r="AI3568">
        <v>92.844813820020207</v>
      </c>
      <c r="AJ3568">
        <v>89.906008841443395</v>
      </c>
      <c r="AK3568">
        <v>22.3431936609202</v>
      </c>
      <c r="AL3568">
        <v>82.248920082755106</v>
      </c>
      <c r="AM3568">
        <v>87.804733584028199</v>
      </c>
      <c r="AN3568">
        <v>0.99999995402407005</v>
      </c>
    </row>
    <row r="3569" spans="1:40" x14ac:dyDescent="0.25">
      <c r="A3569" t="str">
        <f>"20190312164057691"</f>
        <v>20190312164057691</v>
      </c>
      <c r="B3569" t="str">
        <f>"1552380057680118"</f>
        <v>1552380057680118</v>
      </c>
      <c r="C3569" t="s">
        <v>40</v>
      </c>
      <c r="D3569">
        <v>5.4837150000000001</v>
      </c>
      <c r="E3569">
        <v>0.49058210000000002</v>
      </c>
      <c r="F3569" t="s">
        <v>48</v>
      </c>
      <c r="G3569">
        <v>-355.2405</v>
      </c>
      <c r="H3569" s="1">
        <v>1.3017069999999999E-6</v>
      </c>
      <c r="I3569">
        <v>213.47790000000001</v>
      </c>
      <c r="J3569">
        <v>-377.76280000000003</v>
      </c>
      <c r="K3569">
        <v>1.1089089999999999</v>
      </c>
      <c r="L3569">
        <v>213.1388</v>
      </c>
      <c r="M3569">
        <v>0.99982800000000005</v>
      </c>
      <c r="N3569">
        <v>0</v>
      </c>
      <c r="O3569">
        <v>1.6865950000000001E-2</v>
      </c>
      <c r="P3569">
        <v>0.99167439999999996</v>
      </c>
      <c r="Q3569">
        <v>0.12703420000000001</v>
      </c>
      <c r="R3569">
        <v>-2.1080479999999999E-2</v>
      </c>
      <c r="S3569">
        <v>3.045105</v>
      </c>
      <c r="T3569">
        <v>-0.1468884</v>
      </c>
      <c r="U3569">
        <v>4.5959470000000002E-2</v>
      </c>
      <c r="V3569">
        <v>3.7808399999999999E-2</v>
      </c>
      <c r="W3569">
        <v>0.1346608</v>
      </c>
      <c r="X3569">
        <v>0.9901702</v>
      </c>
      <c r="Y3569">
        <v>1.7538530000000001E-3</v>
      </c>
      <c r="Z3569">
        <v>-8.5529639999999999E-4</v>
      </c>
      <c r="AA3569">
        <v>0.9999981</v>
      </c>
      <c r="AB3569">
        <v>47</v>
      </c>
      <c r="AC3569">
        <v>22.522300000000001</v>
      </c>
      <c r="AD3569">
        <v>-1.108907698293</v>
      </c>
      <c r="AE3569">
        <v>0.33910000000000201</v>
      </c>
      <c r="AF3569">
        <v>4.0720833130826202E-2</v>
      </c>
      <c r="AG3569">
        <v>-1.108907698293</v>
      </c>
      <c r="AH3569">
        <v>22.470355746948702</v>
      </c>
      <c r="AI3569">
        <v>92.825238927338702</v>
      </c>
      <c r="AJ3569">
        <v>89.896168563200703</v>
      </c>
      <c r="AK3569">
        <v>22.4977381499567</v>
      </c>
      <c r="AL3569">
        <v>82.260994061063997</v>
      </c>
      <c r="AM3569">
        <v>87.8132952612699</v>
      </c>
      <c r="AN3569">
        <v>1.0000000155676101</v>
      </c>
    </row>
    <row r="3570" spans="1:40" x14ac:dyDescent="0.25">
      <c r="A3570" t="str">
        <f>"20190312164057713"</f>
        <v>20190312164057713</v>
      </c>
      <c r="B3570" t="str">
        <f>"1552380057709398"</f>
        <v>1552380057709398</v>
      </c>
      <c r="C3570" t="s">
        <v>40</v>
      </c>
      <c r="D3570">
        <v>5.5876809999999999</v>
      </c>
      <c r="E3570">
        <v>0.49061680000000002</v>
      </c>
      <c r="F3570" t="s">
        <v>48</v>
      </c>
      <c r="G3570">
        <v>-354.73099999999999</v>
      </c>
      <c r="H3570" s="1">
        <v>1.030035E-6</v>
      </c>
      <c r="I3570">
        <v>213.49080000000001</v>
      </c>
      <c r="J3570">
        <v>-377.32170000000002</v>
      </c>
      <c r="K3570">
        <v>1.1089059999999999</v>
      </c>
      <c r="L3570">
        <v>213.14619999999999</v>
      </c>
      <c r="M3570">
        <v>0.99982819999999994</v>
      </c>
      <c r="N3570">
        <v>0</v>
      </c>
      <c r="O3570">
        <v>1.6866269999999999E-2</v>
      </c>
      <c r="P3570">
        <v>0.99170360000000002</v>
      </c>
      <c r="Q3570">
        <v>0.12683949999999999</v>
      </c>
      <c r="R3570">
        <v>-2.0884170000000001E-2</v>
      </c>
      <c r="S3570">
        <v>3.0449519999999999</v>
      </c>
      <c r="T3570">
        <v>-0.14660509999999999</v>
      </c>
      <c r="U3570">
        <v>4.653931E-2</v>
      </c>
      <c r="V3570">
        <v>3.7612880000000001E-2</v>
      </c>
      <c r="W3570">
        <v>0.13447700000000001</v>
      </c>
      <c r="X3570">
        <v>0.99020260000000004</v>
      </c>
      <c r="Y3570">
        <v>1.5633349999999999E-3</v>
      </c>
      <c r="Z3570">
        <v>-8.4912200000000001E-4</v>
      </c>
      <c r="AA3570">
        <v>0.99999839999999995</v>
      </c>
      <c r="AB3570">
        <v>47</v>
      </c>
      <c r="AC3570">
        <v>22.590699999999998</v>
      </c>
      <c r="AD3570">
        <v>-1.108904969965</v>
      </c>
      <c r="AE3570">
        <v>0.34460000000001401</v>
      </c>
      <c r="AF3570">
        <v>3.6393455884281702E-2</v>
      </c>
      <c r="AG3570">
        <v>-1.108904969965</v>
      </c>
      <c r="AH3570">
        <v>22.539003280879701</v>
      </c>
      <c r="AI3570">
        <v>92.816641946310696</v>
      </c>
      <c r="AJ3570">
        <v>89.9074852784792</v>
      </c>
      <c r="AK3570">
        <v>22.5662948578527</v>
      </c>
      <c r="AL3570">
        <v>82.271621497892397</v>
      </c>
      <c r="AM3570">
        <v>87.824663669112596</v>
      </c>
      <c r="AN3570">
        <v>0.99999999065882705</v>
      </c>
    </row>
    <row r="3571" spans="1:40" x14ac:dyDescent="0.25">
      <c r="A3571" t="str">
        <f>"20190312164057736"</f>
        <v>20190312164057736</v>
      </c>
      <c r="B3571" t="str">
        <f>"1552380057729430"</f>
        <v>1552380057729430</v>
      </c>
      <c r="C3571" t="s">
        <v>40</v>
      </c>
      <c r="D3571">
        <v>5.544937</v>
      </c>
      <c r="E3571">
        <v>0.49040980000000001</v>
      </c>
      <c r="F3571" t="s">
        <v>48</v>
      </c>
      <c r="G3571">
        <v>-354.64940000000001</v>
      </c>
      <c r="H3571" s="1">
        <v>9.8634280000000002E-7</v>
      </c>
      <c r="I3571">
        <v>213.49619999999999</v>
      </c>
      <c r="J3571">
        <v>-376.83640000000003</v>
      </c>
      <c r="K3571">
        <v>1.1089</v>
      </c>
      <c r="L3571">
        <v>213.15440000000001</v>
      </c>
      <c r="M3571">
        <v>0.99982800000000005</v>
      </c>
      <c r="N3571">
        <v>0</v>
      </c>
      <c r="O3571">
        <v>1.6867179999999999E-2</v>
      </c>
      <c r="P3571">
        <v>0.99172879999999997</v>
      </c>
      <c r="Q3571">
        <v>0.1266494</v>
      </c>
      <c r="R3571">
        <v>-2.0834970000000001E-2</v>
      </c>
      <c r="S3571">
        <v>3.0451350000000001</v>
      </c>
      <c r="T3571">
        <v>-0.14893819999999999</v>
      </c>
      <c r="U3571">
        <v>4.7012329999999998E-2</v>
      </c>
      <c r="V3571">
        <v>3.756516E-2</v>
      </c>
      <c r="W3571">
        <v>0.1342979</v>
      </c>
      <c r="X3571">
        <v>0.99022869999999996</v>
      </c>
      <c r="Y3571">
        <v>1.4093689999999999E-3</v>
      </c>
      <c r="Z3571">
        <v>-8.5884749999999999E-4</v>
      </c>
      <c r="AA3571">
        <v>0.99999859999999896</v>
      </c>
      <c r="AB3571">
        <v>47</v>
      </c>
      <c r="AC3571">
        <v>22.187000000000001</v>
      </c>
      <c r="AD3571">
        <v>-1.1088990136571999</v>
      </c>
      <c r="AE3571">
        <v>0.34179999999997701</v>
      </c>
      <c r="AF3571">
        <v>3.24109361350075E-2</v>
      </c>
      <c r="AG3571">
        <v>-1.1088990136571999</v>
      </c>
      <c r="AH3571">
        <v>22.1343311145638</v>
      </c>
      <c r="AI3571">
        <v>92.868037437729896</v>
      </c>
      <c r="AJ3571">
        <v>89.916102794623697</v>
      </c>
      <c r="AK3571">
        <v>22.162114551197899</v>
      </c>
      <c r="AL3571">
        <v>82.281976970189504</v>
      </c>
      <c r="AM3571">
        <v>87.827478112082005</v>
      </c>
      <c r="AN3571">
        <v>0.99999997274696195</v>
      </c>
    </row>
    <row r="3572" spans="1:40" x14ac:dyDescent="0.25">
      <c r="A3572" t="str">
        <f>"20190312164057758"</f>
        <v>20190312164057758</v>
      </c>
      <c r="B3572" t="str">
        <f>"1552380057749925"</f>
        <v>1552380057749925</v>
      </c>
      <c r="C3572" t="s">
        <v>40</v>
      </c>
      <c r="D3572">
        <v>5.4347979999999998</v>
      </c>
      <c r="E3572">
        <v>0.49010559999999997</v>
      </c>
      <c r="F3572" t="s">
        <v>48</v>
      </c>
      <c r="G3572">
        <v>-354.30119999999999</v>
      </c>
      <c r="H3572" s="1">
        <v>8.0026029999999997E-7</v>
      </c>
      <c r="I3572">
        <v>213.51499999999999</v>
      </c>
      <c r="J3572">
        <v>-376.36759999999998</v>
      </c>
      <c r="K3572">
        <v>1.1089</v>
      </c>
      <c r="L3572">
        <v>213.16229999999999</v>
      </c>
      <c r="M3572">
        <v>0.99982780000000004</v>
      </c>
      <c r="N3572">
        <v>0</v>
      </c>
      <c r="O3572">
        <v>1.6867859999999998E-2</v>
      </c>
      <c r="P3572">
        <v>0.99177340000000003</v>
      </c>
      <c r="Q3572">
        <v>0.1262945</v>
      </c>
      <c r="R3572">
        <v>-2.0866900000000001E-2</v>
      </c>
      <c r="S3572">
        <v>3.045105</v>
      </c>
      <c r="T3572">
        <v>-0.149842</v>
      </c>
      <c r="U3572">
        <v>4.8721309999999997E-2</v>
      </c>
      <c r="V3572">
        <v>3.7598329999999999E-2</v>
      </c>
      <c r="W3572">
        <v>0.1339534</v>
      </c>
      <c r="X3572">
        <v>0.99027410000000005</v>
      </c>
      <c r="Y3572">
        <v>8.4921729999999998E-4</v>
      </c>
      <c r="Z3572">
        <v>-8.5031769999999998E-4</v>
      </c>
      <c r="AA3572">
        <v>0.99999930000000004</v>
      </c>
      <c r="AB3572">
        <v>47</v>
      </c>
      <c r="AC3572">
        <v>22.066399999999899</v>
      </c>
      <c r="AD3572">
        <v>-1.1088991997397</v>
      </c>
      <c r="AE3572">
        <v>0.35269999999999802</v>
      </c>
      <c r="AF3572">
        <v>1.9524971822626299E-2</v>
      </c>
      <c r="AG3572">
        <v>-1.1088991997397</v>
      </c>
      <c r="AH3572">
        <v>22.013631968846699</v>
      </c>
      <c r="AI3572">
        <v>92.883738644876203</v>
      </c>
      <c r="AJ3572">
        <v>89.949181571274494</v>
      </c>
      <c r="AK3572">
        <v>22.041552375446201</v>
      </c>
      <c r="AL3572">
        <v>82.301895324950294</v>
      </c>
      <c r="AM3572">
        <v>87.825661211361705</v>
      </c>
      <c r="AN3572">
        <v>0.99999997046057898</v>
      </c>
    </row>
    <row r="3573" spans="1:40" x14ac:dyDescent="0.25">
      <c r="A3573" t="str">
        <f>"20190312164057780"</f>
        <v>20190312164057780</v>
      </c>
      <c r="B3573" t="str">
        <f>"1552380057769448"</f>
        <v>1552380057769448</v>
      </c>
      <c r="C3573" t="s">
        <v>40</v>
      </c>
      <c r="D3573">
        <v>5.6007660000000001</v>
      </c>
      <c r="E3573">
        <v>0.48999599999999999</v>
      </c>
      <c r="F3573" t="s">
        <v>48</v>
      </c>
      <c r="G3573">
        <v>-354.54270000000002</v>
      </c>
      <c r="H3573" s="1">
        <v>9.2815799999999997E-7</v>
      </c>
      <c r="I3573">
        <v>213.52799999999999</v>
      </c>
      <c r="J3573">
        <v>-375.89789999999999</v>
      </c>
      <c r="K3573">
        <v>1.108895</v>
      </c>
      <c r="L3573">
        <v>213.17019999999999</v>
      </c>
      <c r="M3573">
        <v>0.99982780000000004</v>
      </c>
      <c r="N3573">
        <v>0</v>
      </c>
      <c r="O3573">
        <v>1.686847E-2</v>
      </c>
      <c r="P3573">
        <v>0.99178089999999997</v>
      </c>
      <c r="Q3573">
        <v>0.126221</v>
      </c>
      <c r="R3573">
        <v>-2.0952149999999999E-2</v>
      </c>
      <c r="S3573">
        <v>3.0456850000000002</v>
      </c>
      <c r="T3573">
        <v>-0.15474749999999901</v>
      </c>
      <c r="U3573">
        <v>5.1025389999999997E-2</v>
      </c>
      <c r="V3573">
        <v>3.7684479999999999E-2</v>
      </c>
      <c r="W3573">
        <v>0.1338906</v>
      </c>
      <c r="X3573">
        <v>0.99027940000000003</v>
      </c>
      <c r="Y3573" s="1">
        <v>9.6125049999999995E-5</v>
      </c>
      <c r="Z3573">
        <v>-8.5885880000000005E-4</v>
      </c>
      <c r="AA3573">
        <v>0.99999959999999999</v>
      </c>
      <c r="AB3573">
        <v>47</v>
      </c>
      <c r="AC3573">
        <v>21.3551999999999</v>
      </c>
      <c r="AD3573">
        <v>-1.108894071842</v>
      </c>
      <c r="AE3573">
        <v>0.35779999999999701</v>
      </c>
      <c r="AF3573">
        <v>2.48454096526373E-3</v>
      </c>
      <c r="AG3573">
        <v>-1.108894071842</v>
      </c>
      <c r="AH3573">
        <v>21.300779275921698</v>
      </c>
      <c r="AI3573">
        <v>92.9800621976554</v>
      </c>
      <c r="AJ3573">
        <v>89.993316971701006</v>
      </c>
      <c r="AK3573">
        <v>21.329623765951599</v>
      </c>
      <c r="AL3573">
        <v>82.305526834264398</v>
      </c>
      <c r="AM3573">
        <v>87.820695545065902</v>
      </c>
      <c r="AN3573">
        <v>1.00000005143279</v>
      </c>
    </row>
    <row r="3574" spans="1:40" x14ac:dyDescent="0.25">
      <c r="A3574" t="str">
        <f>"20190312164057801"</f>
        <v>20190312164057801</v>
      </c>
      <c r="B3574" t="str">
        <f>"1552380057789941"</f>
        <v>1552380057789941</v>
      </c>
      <c r="C3574" t="s">
        <v>40</v>
      </c>
      <c r="D3574">
        <v>5.6565269999999996</v>
      </c>
      <c r="E3574">
        <v>0.48996689999999998</v>
      </c>
      <c r="F3574" t="s">
        <v>48</v>
      </c>
      <c r="G3574">
        <v>-354.39159999999998</v>
      </c>
      <c r="H3574" s="1">
        <v>8.4735680000000002E-7</v>
      </c>
      <c r="I3574">
        <v>213.5378</v>
      </c>
      <c r="J3574">
        <v>-375.45060000000001</v>
      </c>
      <c r="K3574">
        <v>1.108892</v>
      </c>
      <c r="L3574">
        <v>213.17779999999999</v>
      </c>
      <c r="M3574">
        <v>0.99982769999999999</v>
      </c>
      <c r="N3574">
        <v>0</v>
      </c>
      <c r="O3574">
        <v>1.6869080000000002E-2</v>
      </c>
      <c r="P3574">
        <v>0.99181850000000005</v>
      </c>
      <c r="Q3574">
        <v>0.12594069999999999</v>
      </c>
      <c r="R3574">
        <v>-2.0859590000000001E-2</v>
      </c>
      <c r="S3574">
        <v>3.0459900000000002</v>
      </c>
      <c r="T3574">
        <v>-0.1570551</v>
      </c>
      <c r="U3574">
        <v>5.2062990000000003E-2</v>
      </c>
      <c r="V3574">
        <v>3.759316E-2</v>
      </c>
      <c r="W3574">
        <v>0.13362070000000001</v>
      </c>
      <c r="X3574">
        <v>0.99031930000000001</v>
      </c>
      <c r="Y3574">
        <v>-2.4232809999999999E-4</v>
      </c>
      <c r="Z3574">
        <v>-8.6287210000000002E-4</v>
      </c>
      <c r="AA3574">
        <v>0.99999959999999999</v>
      </c>
      <c r="AB3574">
        <v>47</v>
      </c>
      <c r="AC3574">
        <v>21.059000000000001</v>
      </c>
      <c r="AD3574">
        <v>-1.1088911526431999</v>
      </c>
      <c r="AE3574">
        <v>0.36000000000001298</v>
      </c>
      <c r="AF3574">
        <v>-4.6791868821044399E-3</v>
      </c>
      <c r="AG3574">
        <v>-1.1088911526431999</v>
      </c>
      <c r="AH3574">
        <v>21.0038560157932</v>
      </c>
      <c r="AI3574">
        <v>93.022104620118597</v>
      </c>
      <c r="AJ3574">
        <v>90.012764211260006</v>
      </c>
      <c r="AK3574">
        <v>21.033107925729201</v>
      </c>
      <c r="AL3574">
        <v>82.321130987481695</v>
      </c>
      <c r="AM3574">
        <v>87.826059041302599</v>
      </c>
      <c r="AN3574">
        <v>1.0000000265498801</v>
      </c>
    </row>
    <row r="3575" spans="1:40" x14ac:dyDescent="0.25">
      <c r="A3575" t="str">
        <f>"20190312164057824"</f>
        <v>20190312164057824</v>
      </c>
      <c r="B3575" t="str">
        <f>"1552380057819221"</f>
        <v>1552380057819221</v>
      </c>
      <c r="C3575" t="s">
        <v>40</v>
      </c>
      <c r="D3575">
        <v>5.5568229999999996</v>
      </c>
      <c r="E3575">
        <v>0.49006490000000003</v>
      </c>
      <c r="F3575" t="s">
        <v>48</v>
      </c>
      <c r="G3575">
        <v>-354.08569999999997</v>
      </c>
      <c r="H3575" s="1">
        <v>6.8425960000000005E-7</v>
      </c>
      <c r="I3575">
        <v>213.54480000000001</v>
      </c>
      <c r="J3575">
        <v>-374.97309999999999</v>
      </c>
      <c r="K3575">
        <v>1.1088910000000001</v>
      </c>
      <c r="L3575">
        <v>213.1858</v>
      </c>
      <c r="M3575">
        <v>0.99982769999999999</v>
      </c>
      <c r="N3575">
        <v>0</v>
      </c>
      <c r="O3575">
        <v>1.6869700000000001E-2</v>
      </c>
      <c r="P3575">
        <v>0.99184019999999995</v>
      </c>
      <c r="Q3575">
        <v>0.1257712</v>
      </c>
      <c r="R3575">
        <v>-2.0858720000000001E-2</v>
      </c>
      <c r="S3575">
        <v>3.0458980000000002</v>
      </c>
      <c r="T3575">
        <v>-0.15808949999999999</v>
      </c>
      <c r="U3575">
        <v>5.2322390000000003E-2</v>
      </c>
      <c r="V3575">
        <v>3.7593090000000003E-2</v>
      </c>
      <c r="W3575">
        <v>0.133462</v>
      </c>
      <c r="X3575">
        <v>0.99034069999999996</v>
      </c>
      <c r="Y3575">
        <v>-3.27545E-4</v>
      </c>
      <c r="Z3575">
        <v>-8.6639460000000003E-4</v>
      </c>
      <c r="AA3575">
        <v>0.99999959999999999</v>
      </c>
      <c r="AB3575">
        <v>47</v>
      </c>
      <c r="AC3575">
        <v>20.8874</v>
      </c>
      <c r="AD3575">
        <v>-1.1088903157404</v>
      </c>
      <c r="AE3575">
        <v>0.35900000000000798</v>
      </c>
      <c r="AF3575">
        <v>-6.55569832427316E-3</v>
      </c>
      <c r="AG3575">
        <v>-1.1088903157404</v>
      </c>
      <c r="AH3575">
        <v>20.831788120761701</v>
      </c>
      <c r="AI3575">
        <v>93.047017599636703</v>
      </c>
      <c r="AJ3575">
        <v>90.018030801348601</v>
      </c>
      <c r="AK3575">
        <v>20.861281768334099</v>
      </c>
      <c r="AL3575">
        <v>82.330305985952293</v>
      </c>
      <c r="AM3575">
        <v>87.8261100163202</v>
      </c>
      <c r="AN3575">
        <v>1.0000000239681099</v>
      </c>
    </row>
    <row r="3576" spans="1:40" x14ac:dyDescent="0.25">
      <c r="A3576" t="str">
        <f>"20190312164057847"</f>
        <v>20190312164057847</v>
      </c>
      <c r="B3576" t="str">
        <f>"1552380057839718"</f>
        <v>1552380057839718</v>
      </c>
      <c r="C3576" t="s">
        <v>40</v>
      </c>
      <c r="D3576">
        <v>5.4836710000000002</v>
      </c>
      <c r="E3576">
        <v>0.48972460000000001</v>
      </c>
      <c r="F3576" t="s">
        <v>48</v>
      </c>
      <c r="G3576">
        <v>-353.88409999999999</v>
      </c>
      <c r="H3576" s="1">
        <v>5.7715679999999995E-7</v>
      </c>
      <c r="I3576">
        <v>213.541</v>
      </c>
      <c r="J3576">
        <v>-374.48140000000001</v>
      </c>
      <c r="K3576">
        <v>1.108889</v>
      </c>
      <c r="L3576">
        <v>213.19409999999999</v>
      </c>
      <c r="M3576">
        <v>0.99982749999999998</v>
      </c>
      <c r="N3576">
        <v>0</v>
      </c>
      <c r="O3576">
        <v>1.6870489999999998E-2</v>
      </c>
      <c r="P3576">
        <v>0.99185659999999998</v>
      </c>
      <c r="Q3576">
        <v>0.12571179999999901</v>
      </c>
      <c r="R3576">
        <v>-2.0422539999999999E-2</v>
      </c>
      <c r="S3576">
        <v>3.0461119999999999</v>
      </c>
      <c r="T3576">
        <v>-0.160168899999999</v>
      </c>
      <c r="U3576">
        <v>5.130005E-2</v>
      </c>
      <c r="V3576">
        <v>3.7158129999999998E-2</v>
      </c>
      <c r="W3576">
        <v>0.1334138</v>
      </c>
      <c r="X3576">
        <v>0.99036360000000001</v>
      </c>
      <c r="Y3576" s="1">
        <v>8.9240040000000006E-6</v>
      </c>
      <c r="Z3576">
        <v>-8.8659729999999895E-4</v>
      </c>
      <c r="AA3576">
        <v>0.99999959999999999</v>
      </c>
      <c r="AB3576">
        <v>47</v>
      </c>
      <c r="AC3576">
        <v>20.597300000000001</v>
      </c>
      <c r="AD3576">
        <v>-1.1088884228431899</v>
      </c>
      <c r="AE3576">
        <v>0.34690000000000498</v>
      </c>
      <c r="AF3576">
        <v>6.44535855550076E-4</v>
      </c>
      <c r="AG3576">
        <v>-1.1088884228431899</v>
      </c>
      <c r="AH3576">
        <v>20.5407031785264</v>
      </c>
      <c r="AI3576">
        <v>93.090109063304993</v>
      </c>
      <c r="AJ3576">
        <v>89.998202146054297</v>
      </c>
      <c r="AK3576">
        <v>20.570613044293701</v>
      </c>
      <c r="AL3576">
        <v>82.333092488753095</v>
      </c>
      <c r="AM3576">
        <v>87.851288306711297</v>
      </c>
      <c r="AN3576">
        <v>1.0000000144302399</v>
      </c>
    </row>
    <row r="3577" spans="1:40" x14ac:dyDescent="0.25">
      <c r="A3577" t="str">
        <f>"20190312164057869"</f>
        <v>20190312164057869</v>
      </c>
      <c r="B3577" t="str">
        <f>"1552380057859237"</f>
        <v>1552380057859237</v>
      </c>
      <c r="C3577" t="s">
        <v>40</v>
      </c>
      <c r="D3577">
        <v>5.5293269999999897</v>
      </c>
      <c r="E3577">
        <v>0.48949690000000001</v>
      </c>
      <c r="F3577" t="s">
        <v>48</v>
      </c>
      <c r="G3577">
        <v>-353.36630000000002</v>
      </c>
      <c r="H3577" s="1">
        <v>2.9987019999999998E-7</v>
      </c>
      <c r="I3577">
        <v>213.58019999999999</v>
      </c>
      <c r="J3577">
        <v>-374.00400000000002</v>
      </c>
      <c r="K3577">
        <v>1.108887</v>
      </c>
      <c r="L3577">
        <v>213.2022</v>
      </c>
      <c r="M3577">
        <v>0.99982749999999998</v>
      </c>
      <c r="N3577">
        <v>0</v>
      </c>
      <c r="O3577">
        <v>1.6871279999999999E-2</v>
      </c>
      <c r="P3577">
        <v>0.99190750000000005</v>
      </c>
      <c r="Q3577">
        <v>0.12524929999999901</v>
      </c>
      <c r="R3577">
        <v>-2.0793369999999999E-2</v>
      </c>
      <c r="S3577">
        <v>3.0460509999999998</v>
      </c>
      <c r="T3577">
        <v>-0.1599671</v>
      </c>
      <c r="U3577">
        <v>5.569458E-2</v>
      </c>
      <c r="V3577">
        <v>3.7530569999999999E-2</v>
      </c>
      <c r="W3577">
        <v>0.13296250000000001</v>
      </c>
      <c r="X3577">
        <v>0.99041029999999997</v>
      </c>
      <c r="Y3577">
        <v>-1.430834E-3</v>
      </c>
      <c r="Z3577">
        <v>-8.4775089999999996E-4</v>
      </c>
      <c r="AA3577">
        <v>0.99999859999999896</v>
      </c>
      <c r="AB3577">
        <v>47</v>
      </c>
      <c r="AC3577">
        <v>20.637699999999899</v>
      </c>
      <c r="AD3577">
        <v>-1.1088867001298</v>
      </c>
      <c r="AE3577">
        <v>0.37799999999998501</v>
      </c>
      <c r="AF3577">
        <v>-2.9665660187414601E-2</v>
      </c>
      <c r="AG3577">
        <v>-1.1088867001298</v>
      </c>
      <c r="AH3577">
        <v>20.581739755512199</v>
      </c>
      <c r="AI3577">
        <v>93.083951825367706</v>
      </c>
      <c r="AJ3577">
        <v>90.082583686721193</v>
      </c>
      <c r="AK3577">
        <v>20.611611318107801</v>
      </c>
      <c r="AL3577">
        <v>82.359182913991802</v>
      </c>
      <c r="AM3577">
        <v>87.829874259063402</v>
      </c>
      <c r="AN3577">
        <v>1.0000000662184301</v>
      </c>
    </row>
    <row r="3578" spans="1:40" x14ac:dyDescent="0.25">
      <c r="A3578" t="str">
        <f>"20190312164057892"</f>
        <v>20190312164057892</v>
      </c>
      <c r="B3578" t="str">
        <f>"1552380057879733"</f>
        <v>1552380057879733</v>
      </c>
      <c r="C3578" t="s">
        <v>40</v>
      </c>
      <c r="D3578">
        <v>5.5770439999999999</v>
      </c>
      <c r="E3578">
        <v>0.4894153</v>
      </c>
      <c r="F3578" t="s">
        <v>48</v>
      </c>
      <c r="G3578">
        <v>-353.2457</v>
      </c>
      <c r="H3578" s="1">
        <v>2.3534620000000001E-7</v>
      </c>
      <c r="I3578">
        <v>213.58799999999999</v>
      </c>
      <c r="J3578">
        <v>-373.52850000000001</v>
      </c>
      <c r="K3578">
        <v>1.108886</v>
      </c>
      <c r="L3578">
        <v>213.21019999999999</v>
      </c>
      <c r="M3578">
        <v>0.99982729999999997</v>
      </c>
      <c r="N3578">
        <v>0</v>
      </c>
      <c r="O3578">
        <v>1.687189E-2</v>
      </c>
      <c r="P3578">
        <v>0.99191830000000003</v>
      </c>
      <c r="Q3578">
        <v>0.12519430000000001</v>
      </c>
      <c r="R3578">
        <v>-2.0603070000000001E-2</v>
      </c>
      <c r="S3578">
        <v>3.0462039999999999</v>
      </c>
      <c r="T3578">
        <v>-0.16272490000000001</v>
      </c>
      <c r="U3578">
        <v>5.6610109999999998E-2</v>
      </c>
      <c r="V3578">
        <v>3.7341020000000003E-2</v>
      </c>
      <c r="W3578">
        <v>0.13291800000000001</v>
      </c>
      <c r="X3578">
        <v>0.99042339999999995</v>
      </c>
      <c r="Y3578">
        <v>-1.730056E-3</v>
      </c>
      <c r="Z3578">
        <v>-8.5434659999999996E-4</v>
      </c>
      <c r="AA3578">
        <v>0.99999819999999995</v>
      </c>
      <c r="AB3578">
        <v>48</v>
      </c>
      <c r="AC3578">
        <v>20.282800000000002</v>
      </c>
      <c r="AD3578">
        <v>-1.1088857646538</v>
      </c>
      <c r="AE3578">
        <v>0.37780000000000702</v>
      </c>
      <c r="AF3578">
        <v>-3.5420827710889301E-2</v>
      </c>
      <c r="AG3578">
        <v>-1.1088857646538</v>
      </c>
      <c r="AH3578">
        <v>20.225854173822299</v>
      </c>
      <c r="AI3578">
        <v>93.138104026514</v>
      </c>
      <c r="AJ3578">
        <v>90.100339982801998</v>
      </c>
      <c r="AK3578">
        <v>20.256259756796499</v>
      </c>
      <c r="AL3578">
        <v>82.361755122461005</v>
      </c>
      <c r="AM3578">
        <v>87.840852717985499</v>
      </c>
      <c r="AN3578">
        <v>1.0000000288830899</v>
      </c>
    </row>
    <row r="3579" spans="1:40" x14ac:dyDescent="0.25">
      <c r="A3579" t="str">
        <f>"20190312164057914"</f>
        <v>20190312164057914</v>
      </c>
      <c r="B3579" t="str">
        <f>"1552380057909989"</f>
        <v>1552380057909989</v>
      </c>
      <c r="C3579" t="s">
        <v>40</v>
      </c>
      <c r="D3579">
        <v>5.5955269999999997</v>
      </c>
      <c r="E3579">
        <v>0.48933720000000003</v>
      </c>
      <c r="F3579" t="s">
        <v>48</v>
      </c>
      <c r="G3579">
        <v>-352.99169999999998</v>
      </c>
      <c r="H3579" s="1">
        <v>9.9688889999999998E-8</v>
      </c>
      <c r="I3579">
        <v>213.59899999999999</v>
      </c>
      <c r="J3579">
        <v>-373.04750000000001</v>
      </c>
      <c r="K3579">
        <v>1.1088849999999999</v>
      </c>
      <c r="L3579">
        <v>213.2183</v>
      </c>
      <c r="M3579">
        <v>0.99982729999999997</v>
      </c>
      <c r="N3579">
        <v>0</v>
      </c>
      <c r="O3579">
        <v>1.6872390000000001E-2</v>
      </c>
      <c r="P3579">
        <v>0.99194260000000001</v>
      </c>
      <c r="Q3579">
        <v>0.12499399999999999</v>
      </c>
      <c r="R3579">
        <v>-2.0665119999999999E-2</v>
      </c>
      <c r="S3579">
        <v>3.0464169999999999</v>
      </c>
      <c r="T3579">
        <v>-0.16449140000000001</v>
      </c>
      <c r="U3579">
        <v>5.7678220000000002E-2</v>
      </c>
      <c r="V3579">
        <v>3.7403840000000001E-2</v>
      </c>
      <c r="W3579">
        <v>0.1327285</v>
      </c>
      <c r="X3579">
        <v>0.99044639999999995</v>
      </c>
      <c r="Y3579">
        <v>-2.0787090000000002E-3</v>
      </c>
      <c r="Z3579">
        <v>-8.5416559999999895E-4</v>
      </c>
      <c r="AA3579">
        <v>0.99999749999999998</v>
      </c>
      <c r="AB3579">
        <v>48</v>
      </c>
      <c r="AC3579">
        <v>20.055800000000001</v>
      </c>
      <c r="AD3579">
        <v>-1.1088849003111101</v>
      </c>
      <c r="AE3579">
        <v>0.38070000000001802</v>
      </c>
      <c r="AF3579">
        <v>-4.2117549546937499E-2</v>
      </c>
      <c r="AG3579">
        <v>-1.1088849003111101</v>
      </c>
      <c r="AH3579">
        <v>19.998256119294101</v>
      </c>
      <c r="AI3579">
        <v>93.173741222108603</v>
      </c>
      <c r="AJ3579">
        <v>90.120668234782002</v>
      </c>
      <c r="AK3579">
        <v>20.029020131374399</v>
      </c>
      <c r="AL3579">
        <v>82.372709408773304</v>
      </c>
      <c r="AM3579">
        <v>87.837273937598198</v>
      </c>
      <c r="AN3579">
        <v>0.999999986615977</v>
      </c>
    </row>
    <row r="3580" spans="1:40" x14ac:dyDescent="0.25">
      <c r="A3580" t="str">
        <f>"20190312164057937"</f>
        <v>20190312164057937</v>
      </c>
      <c r="B3580" t="str">
        <f>"1552380057929509"</f>
        <v>1552380057929509</v>
      </c>
      <c r="C3580" t="s">
        <v>40</v>
      </c>
      <c r="D3580">
        <v>5.6509879999999999</v>
      </c>
      <c r="E3580">
        <v>0.48948920000000001</v>
      </c>
      <c r="F3580" t="s">
        <v>48</v>
      </c>
      <c r="G3580">
        <v>-352.64</v>
      </c>
      <c r="H3580" s="1">
        <v>-8.771184E-8</v>
      </c>
      <c r="I3580">
        <v>213.60509999999999</v>
      </c>
      <c r="J3580">
        <v>-372.56909999999999</v>
      </c>
      <c r="K3580">
        <v>1.108873</v>
      </c>
      <c r="L3580">
        <v>213.22640000000001</v>
      </c>
      <c r="M3580">
        <v>0.99982700000000002</v>
      </c>
      <c r="N3580">
        <v>0</v>
      </c>
      <c r="O3580">
        <v>1.687336E-2</v>
      </c>
      <c r="P3580">
        <v>0.99191280000000004</v>
      </c>
      <c r="Q3580">
        <v>0.12516160000000001</v>
      </c>
      <c r="R3580">
        <v>-2.1059270000000001E-2</v>
      </c>
      <c r="S3580">
        <v>3.0463870000000002</v>
      </c>
      <c r="T3580">
        <v>-0.1655315</v>
      </c>
      <c r="U3580">
        <v>5.7739260000000001E-2</v>
      </c>
      <c r="V3580">
        <v>3.7798459999999999E-2</v>
      </c>
      <c r="W3580">
        <v>0.13290669999999999</v>
      </c>
      <c r="X3580">
        <v>0.9904075</v>
      </c>
      <c r="Y3580">
        <v>-2.0981950000000002E-3</v>
      </c>
      <c r="Z3580">
        <v>-8.5909119999999896E-4</v>
      </c>
      <c r="AA3580">
        <v>0.99999740000000004</v>
      </c>
      <c r="AB3580">
        <v>48</v>
      </c>
      <c r="AC3580">
        <v>19.929099999999998</v>
      </c>
      <c r="AD3580">
        <v>-1.10887308771184</v>
      </c>
      <c r="AE3580">
        <v>0.37869999999998</v>
      </c>
      <c r="AF3580">
        <v>-4.2234197702052598E-2</v>
      </c>
      <c r="AG3580">
        <v>-1.10887308771184</v>
      </c>
      <c r="AH3580">
        <v>19.871155649923399</v>
      </c>
      <c r="AI3580">
        <v>93.193965217466797</v>
      </c>
      <c r="AJ3580">
        <v>90.121776391788401</v>
      </c>
      <c r="AK3580">
        <v>19.902115719580902</v>
      </c>
      <c r="AL3580">
        <v>82.362407871659997</v>
      </c>
      <c r="AM3580">
        <v>87.814392883197598</v>
      </c>
      <c r="AN3580">
        <v>0.99999996526975499</v>
      </c>
    </row>
    <row r="3581" spans="1:40" x14ac:dyDescent="0.25">
      <c r="A3581" t="str">
        <f>"20190312164057958"</f>
        <v>20190312164057958</v>
      </c>
      <c r="B3581" t="str">
        <f>"1552380057950005"</f>
        <v>1552380057950005</v>
      </c>
      <c r="C3581" t="s">
        <v>40</v>
      </c>
      <c r="D3581">
        <v>5.5677919999999999</v>
      </c>
      <c r="E3581">
        <v>0.50812120000000005</v>
      </c>
      <c r="F3581" t="s">
        <v>48</v>
      </c>
      <c r="G3581">
        <v>-352.03640000000001</v>
      </c>
      <c r="H3581" s="1">
        <v>-4.0865209999999999E-7</v>
      </c>
      <c r="I3581">
        <v>213.5993</v>
      </c>
      <c r="J3581">
        <v>-372.10169999999999</v>
      </c>
      <c r="K3581">
        <v>1.1088709999999999</v>
      </c>
      <c r="L3581">
        <v>213.23429999999999</v>
      </c>
      <c r="M3581">
        <v>0.99982700000000002</v>
      </c>
      <c r="N3581">
        <v>0</v>
      </c>
      <c r="O3581">
        <v>1.687379E-2</v>
      </c>
      <c r="P3581">
        <v>0.99192689999999994</v>
      </c>
      <c r="Q3581">
        <v>0.1250281</v>
      </c>
      <c r="R3581">
        <v>-2.1196659999999999E-2</v>
      </c>
      <c r="S3581">
        <v>3.0463870000000002</v>
      </c>
      <c r="T3581">
        <v>-0.164520899999999</v>
      </c>
      <c r="U3581">
        <v>5.5328370000000002E-2</v>
      </c>
      <c r="V3581">
        <v>3.7936459999999998E-2</v>
      </c>
      <c r="W3581">
        <v>0.13278280000000001</v>
      </c>
      <c r="X3581">
        <v>0.99041889999999999</v>
      </c>
      <c r="Y3581">
        <v>-1.3075300000000001E-3</v>
      </c>
      <c r="Z3581">
        <v>-8.7521750000000003E-4</v>
      </c>
      <c r="AA3581">
        <v>0.99999870000000002</v>
      </c>
      <c r="AB3581">
        <v>48</v>
      </c>
      <c r="AC3581">
        <v>20.065299999999901</v>
      </c>
      <c r="AD3581">
        <v>-1.1088714086521001</v>
      </c>
      <c r="AE3581">
        <v>0.36500000000000898</v>
      </c>
      <c r="AF3581">
        <v>-2.62797714908376E-2</v>
      </c>
      <c r="AG3581">
        <v>-1.1088714086521001</v>
      </c>
      <c r="AH3581">
        <v>20.007519163437799</v>
      </c>
      <c r="AI3581">
        <v>93.172240623123301</v>
      </c>
      <c r="AJ3581">
        <v>90.075257662620203</v>
      </c>
      <c r="AK3581">
        <v>20.038241177873999</v>
      </c>
      <c r="AL3581">
        <v>82.369570737800501</v>
      </c>
      <c r="AM3581">
        <v>87.806446362474603</v>
      </c>
      <c r="AN3581">
        <v>1.0000000222251899</v>
      </c>
    </row>
    <row r="3582" spans="1:40" x14ac:dyDescent="0.25">
      <c r="A3582" t="str">
        <f>"20190312164057980"</f>
        <v>20190312164057980</v>
      </c>
      <c r="B3582" t="str">
        <f>"1552380057969526"</f>
        <v>1552380057969526</v>
      </c>
      <c r="C3582" t="s">
        <v>40</v>
      </c>
      <c r="D3582">
        <v>5.51159</v>
      </c>
      <c r="E3582">
        <v>0.50681999999999905</v>
      </c>
      <c r="F3582" t="s">
        <v>42</v>
      </c>
      <c r="G3582">
        <v>-370.9599</v>
      </c>
      <c r="H3582">
        <v>1.044692</v>
      </c>
      <c r="I3582">
        <v>213.1987</v>
      </c>
      <c r="J3582">
        <v>-371.64370000000002</v>
      </c>
      <c r="K3582">
        <v>1.10887</v>
      </c>
      <c r="L3582">
        <v>213.24199999999999</v>
      </c>
      <c r="M3582">
        <v>0.99982700000000002</v>
      </c>
      <c r="N3582">
        <v>0</v>
      </c>
      <c r="O3582">
        <v>1.6874409999999999E-2</v>
      </c>
      <c r="P3582">
        <v>0.99186980000000002</v>
      </c>
      <c r="Q3582">
        <v>0.12547179999999999</v>
      </c>
      <c r="R3582">
        <v>-2.1246270000000001E-2</v>
      </c>
      <c r="S3582">
        <v>3.0439759999999998</v>
      </c>
      <c r="T3582">
        <v>-0.17119429999999999</v>
      </c>
      <c r="U3582">
        <v>-9.4070429999999997E-2</v>
      </c>
      <c r="V3582">
        <v>3.7985869999999998E-2</v>
      </c>
      <c r="W3582">
        <v>0.13323650000000001</v>
      </c>
      <c r="X3582">
        <v>0.99035600000000001</v>
      </c>
      <c r="Y3582">
        <v>4.7649660000000003E-2</v>
      </c>
      <c r="Z3582">
        <v>-2.2866459999999998E-3</v>
      </c>
      <c r="AA3582">
        <v>0.99886149999999996</v>
      </c>
      <c r="AB3582">
        <v>48</v>
      </c>
      <c r="AC3582">
        <v>0.68380000000001895</v>
      </c>
      <c r="AD3582">
        <v>-6.4177999999999999E-2</v>
      </c>
      <c r="AE3582">
        <v>-4.3300000000016298E-2</v>
      </c>
      <c r="AF3582">
        <v>5.4356013075956E-2</v>
      </c>
      <c r="AG3582">
        <v>-6.4177999999999999E-2</v>
      </c>
      <c r="AH3582">
        <v>0.67703196244455599</v>
      </c>
      <c r="AI3582">
        <v>95.397801729034597</v>
      </c>
      <c r="AJ3582">
        <v>85.409811445175094</v>
      </c>
      <c r="AK3582">
        <v>0.68223578769589599</v>
      </c>
      <c r="AL3582">
        <v>82.343342035153796</v>
      </c>
      <c r="AM3582">
        <v>87.803452821903406</v>
      </c>
      <c r="AN3582">
        <v>0.99999994899395195</v>
      </c>
    </row>
    <row r="3583" spans="1:40" x14ac:dyDescent="0.25">
      <c r="A3583" t="str">
        <f>"20190312164058003"</f>
        <v>20190312164058003</v>
      </c>
      <c r="B3583" t="str">
        <f>"1552380057999782"</f>
        <v>1552380057999782</v>
      </c>
      <c r="C3583" t="s">
        <v>40</v>
      </c>
      <c r="D3583">
        <v>5.6329159999999998</v>
      </c>
      <c r="E3583">
        <v>0.50703019999999999</v>
      </c>
      <c r="F3583" t="s">
        <v>42</v>
      </c>
      <c r="G3583">
        <v>-370.53089999999997</v>
      </c>
      <c r="H3583">
        <v>1.043167</v>
      </c>
      <c r="I3583">
        <v>213.2115</v>
      </c>
      <c r="J3583">
        <v>-371.13720000000001</v>
      </c>
      <c r="K3583">
        <v>1.108873</v>
      </c>
      <c r="L3583">
        <v>213.25059999999999</v>
      </c>
      <c r="M3583">
        <v>0.99982680000000002</v>
      </c>
      <c r="N3583">
        <v>0</v>
      </c>
      <c r="O3583">
        <v>1.6875379999999999E-2</v>
      </c>
      <c r="P3583">
        <v>0.99185489999999998</v>
      </c>
      <c r="Q3583">
        <v>0.12550269999999999</v>
      </c>
      <c r="R3583">
        <v>-2.1746069999999999E-2</v>
      </c>
      <c r="S3583">
        <v>3.045563</v>
      </c>
      <c r="T3583">
        <v>-0.1798807</v>
      </c>
      <c r="U3583">
        <v>-8.3221439999999994E-2</v>
      </c>
      <c r="V3583">
        <v>3.8486220000000002E-2</v>
      </c>
      <c r="W3583">
        <v>0.1332786</v>
      </c>
      <c r="X3583">
        <v>0.99033110000000002</v>
      </c>
      <c r="Y3583">
        <v>4.4074830000000002E-2</v>
      </c>
      <c r="Z3583">
        <v>-2.2959389999999999E-3</v>
      </c>
      <c r="AA3583">
        <v>0.99902559999999996</v>
      </c>
      <c r="AB3583">
        <v>48</v>
      </c>
      <c r="AC3583">
        <v>0.60630000000003204</v>
      </c>
      <c r="AD3583">
        <v>-6.5706000000000001E-2</v>
      </c>
      <c r="AE3583">
        <v>-3.9099999999990503E-2</v>
      </c>
      <c r="AF3583">
        <v>4.8756045536237497E-2</v>
      </c>
      <c r="AG3583">
        <v>-6.5706000000000001E-2</v>
      </c>
      <c r="AH3583">
        <v>0.598553210562077</v>
      </c>
      <c r="AI3583">
        <v>96.244027195842506</v>
      </c>
      <c r="AJ3583">
        <v>85.343168172444294</v>
      </c>
      <c r="AK3583">
        <v>0.60411950497107902</v>
      </c>
      <c r="AL3583">
        <v>82.340908807963302</v>
      </c>
      <c r="AM3583">
        <v>87.774492899371296</v>
      </c>
      <c r="AN3583">
        <v>1.0000000309875201</v>
      </c>
    </row>
    <row r="3584" spans="1:40" x14ac:dyDescent="0.25">
      <c r="A3584" t="str">
        <f>"20190312164058026"</f>
        <v>20190312164058026</v>
      </c>
      <c r="B3584" t="str">
        <f>"1552380058019302"</f>
        <v>1552380058019302</v>
      </c>
      <c r="C3584" t="s">
        <v>40</v>
      </c>
      <c r="D3584">
        <v>5.5659530000000004</v>
      </c>
      <c r="E3584">
        <v>0.50752649999999999</v>
      </c>
      <c r="F3584" t="s">
        <v>42</v>
      </c>
      <c r="G3584">
        <v>-370.0994</v>
      </c>
      <c r="H3584">
        <v>1.0450010000000001</v>
      </c>
      <c r="I3584">
        <v>213.22130000000001</v>
      </c>
      <c r="J3584">
        <v>-370.6592</v>
      </c>
      <c r="K3584">
        <v>1.1088659999999999</v>
      </c>
      <c r="L3584">
        <v>213.2586</v>
      </c>
      <c r="M3584">
        <v>0.99982669999999996</v>
      </c>
      <c r="N3584">
        <v>0</v>
      </c>
      <c r="O3584">
        <v>1.6875689999999999E-2</v>
      </c>
      <c r="P3584">
        <v>0.99189479999999997</v>
      </c>
      <c r="Q3584">
        <v>0.1251321</v>
      </c>
      <c r="R3584">
        <v>-2.2065609999999999E-2</v>
      </c>
      <c r="S3584">
        <v>3.0465089999999999</v>
      </c>
      <c r="T3584">
        <v>-0.18755839999999999</v>
      </c>
      <c r="U3584">
        <v>-8.5021970000000002E-2</v>
      </c>
      <c r="V3584">
        <v>3.8806769999999997E-2</v>
      </c>
      <c r="W3584">
        <v>0.13291849999999999</v>
      </c>
      <c r="X3584">
        <v>0.99036690000000005</v>
      </c>
      <c r="Y3584">
        <v>4.4646409999999997E-2</v>
      </c>
      <c r="Z3584">
        <v>-2.4105870000000001E-3</v>
      </c>
      <c r="AA3584">
        <v>0.999</v>
      </c>
      <c r="AB3584">
        <v>48</v>
      </c>
      <c r="AC3584">
        <v>0.55979999999999497</v>
      </c>
      <c r="AD3584">
        <v>-6.3864999999999797E-2</v>
      </c>
      <c r="AE3584">
        <v>-3.72999999999876E-2</v>
      </c>
      <c r="AF3584">
        <v>4.6144058832952799E-2</v>
      </c>
      <c r="AG3584">
        <v>-6.3864999999999797E-2</v>
      </c>
      <c r="AH3584">
        <v>0.55193880084138303</v>
      </c>
      <c r="AI3584">
        <v>96.577613571757993</v>
      </c>
      <c r="AJ3584">
        <v>85.220981534763794</v>
      </c>
      <c r="AK3584">
        <v>0.55753426106814596</v>
      </c>
      <c r="AL3584">
        <v>82.361725572236097</v>
      </c>
      <c r="AM3584">
        <v>87.756056656796204</v>
      </c>
      <c r="AN3584">
        <v>0.99999994482784405</v>
      </c>
    </row>
    <row r="3585" spans="1:40" x14ac:dyDescent="0.25">
      <c r="A3585" t="str">
        <f>"20190312164058048"</f>
        <v>20190312164058048</v>
      </c>
      <c r="B3585" t="str">
        <f>"1552380058039798"</f>
        <v>1552380058039798</v>
      </c>
      <c r="C3585" t="s">
        <v>40</v>
      </c>
      <c r="D3585">
        <v>5.5376629999999896</v>
      </c>
      <c r="E3585">
        <v>0.50756729999999906</v>
      </c>
      <c r="F3585" t="s">
        <v>42</v>
      </c>
      <c r="G3585">
        <v>-369.66849999999999</v>
      </c>
      <c r="H3585">
        <v>1.0442629999999999</v>
      </c>
      <c r="I3585">
        <v>213.2294</v>
      </c>
      <c r="J3585">
        <v>-370.17329999999998</v>
      </c>
      <c r="K3585">
        <v>1.1088530000000001</v>
      </c>
      <c r="L3585">
        <v>213.26679999999999</v>
      </c>
      <c r="M3585">
        <v>0.99982669999999996</v>
      </c>
      <c r="N3585">
        <v>0</v>
      </c>
      <c r="O3585">
        <v>1.687379E-2</v>
      </c>
      <c r="P3585">
        <v>0.99192919999999996</v>
      </c>
      <c r="Q3585">
        <v>0.1247713</v>
      </c>
      <c r="R3585">
        <v>-2.2563969999999999E-2</v>
      </c>
      <c r="S3585">
        <v>3.047577</v>
      </c>
      <c r="T3585">
        <v>-0.1986636</v>
      </c>
      <c r="U3585">
        <v>-8.9706419999999995E-2</v>
      </c>
      <c r="V3585">
        <v>3.9303999999999999E-2</v>
      </c>
      <c r="W3585">
        <v>0.13256879999999999</v>
      </c>
      <c r="X3585">
        <v>0.9903942</v>
      </c>
      <c r="Y3585">
        <v>4.615172E-2</v>
      </c>
      <c r="Z3585">
        <v>-2.6009539999999999E-3</v>
      </c>
      <c r="AA3585">
        <v>0.99893109999999996</v>
      </c>
      <c r="AB3585">
        <v>48</v>
      </c>
      <c r="AC3585">
        <v>0.50479999999998804</v>
      </c>
      <c r="AD3585">
        <v>-6.4590000000000106E-2</v>
      </c>
      <c r="AE3585">
        <v>-3.7399999999991003E-2</v>
      </c>
      <c r="AF3585">
        <v>4.5177240293781402E-2</v>
      </c>
      <c r="AG3585">
        <v>-6.4590000000000106E-2</v>
      </c>
      <c r="AH3585">
        <v>0.49602069237260199</v>
      </c>
      <c r="AI3585">
        <v>97.388857646052401</v>
      </c>
      <c r="AJ3585">
        <v>84.795896297466598</v>
      </c>
      <c r="AK3585">
        <v>0.50224434133433205</v>
      </c>
      <c r="AL3585">
        <v>82.381941083480001</v>
      </c>
      <c r="AM3585">
        <v>87.727397614394306</v>
      </c>
      <c r="AN3585">
        <v>0.999999981271539</v>
      </c>
    </row>
    <row r="3586" spans="1:40" x14ac:dyDescent="0.25">
      <c r="A3586" t="str">
        <f>"20190312164058070"</f>
        <v>20190312164058070</v>
      </c>
      <c r="B3586" t="str">
        <f>"1552380058059317"</f>
        <v>1552380058059317</v>
      </c>
      <c r="C3586" t="s">
        <v>40</v>
      </c>
      <c r="D3586">
        <v>5.5266960000000003</v>
      </c>
      <c r="E3586">
        <v>0.50787689999999996</v>
      </c>
      <c r="F3586" t="s">
        <v>42</v>
      </c>
      <c r="G3586">
        <v>-369.23489999999998</v>
      </c>
      <c r="H3586">
        <v>1.0466009999999999</v>
      </c>
      <c r="I3586">
        <v>213.23820000000001</v>
      </c>
      <c r="J3586">
        <v>-369.70400000000001</v>
      </c>
      <c r="K3586">
        <v>1.108846</v>
      </c>
      <c r="L3586">
        <v>213.2747</v>
      </c>
      <c r="M3586">
        <v>0.99982680000000002</v>
      </c>
      <c r="N3586">
        <v>0</v>
      </c>
      <c r="O3586">
        <v>1.6866679999999998E-2</v>
      </c>
      <c r="P3586">
        <v>0.99195940000000005</v>
      </c>
      <c r="Q3586">
        <v>0.1244847</v>
      </c>
      <c r="R3586">
        <v>-2.2816289999999999E-2</v>
      </c>
      <c r="S3586">
        <v>3.0477599999999998</v>
      </c>
      <c r="T3586">
        <v>-0.202351</v>
      </c>
      <c r="U3586">
        <v>-9.1400149999999999E-2</v>
      </c>
      <c r="V3586">
        <v>3.9550799999999997E-2</v>
      </c>
      <c r="W3586">
        <v>0.13229179999999999</v>
      </c>
      <c r="X3586">
        <v>0.99042140000000001</v>
      </c>
      <c r="Y3586">
        <v>4.6691360000000001E-2</v>
      </c>
      <c r="Z3586">
        <v>-2.6663659999999999E-3</v>
      </c>
      <c r="AA3586">
        <v>0.99890579999999995</v>
      </c>
      <c r="AB3586">
        <v>48</v>
      </c>
      <c r="AC3586">
        <v>0.469100000000025</v>
      </c>
      <c r="AD3586">
        <v>-6.22449999999998E-2</v>
      </c>
      <c r="AE3586">
        <v>-3.6499999999989499E-2</v>
      </c>
      <c r="AF3586">
        <v>4.3643419227056703E-2</v>
      </c>
      <c r="AG3586">
        <v>-6.22449999999998E-2</v>
      </c>
      <c r="AH3586">
        <v>0.46036094953000001</v>
      </c>
      <c r="AI3586">
        <v>97.666253019494704</v>
      </c>
      <c r="AJ3586">
        <v>84.584396207940898</v>
      </c>
      <c r="AK3586">
        <v>0.46659553353948002</v>
      </c>
      <c r="AL3586">
        <v>82.397952940362401</v>
      </c>
      <c r="AM3586">
        <v>87.713205196184006</v>
      </c>
      <c r="AN3586">
        <v>0.999999967852919</v>
      </c>
    </row>
    <row r="3587" spans="1:40" x14ac:dyDescent="0.25">
      <c r="A3587" t="str">
        <f>"20190312164058093"</f>
        <v>20190312164058093</v>
      </c>
      <c r="B3587" t="str">
        <f>"1552380058079813"</f>
        <v>1552380058079813</v>
      </c>
      <c r="C3587" t="s">
        <v>40</v>
      </c>
      <c r="D3587">
        <v>5.5376130000000003</v>
      </c>
      <c r="E3587">
        <v>0.50802769999999997</v>
      </c>
      <c r="F3587" t="s">
        <v>42</v>
      </c>
      <c r="G3587">
        <v>-368.80020000000002</v>
      </c>
      <c r="H3587">
        <v>1.0488919999999999</v>
      </c>
      <c r="I3587">
        <v>213.24639999999999</v>
      </c>
      <c r="J3587">
        <v>-369.21440000000001</v>
      </c>
      <c r="K3587">
        <v>1.1088370000000001</v>
      </c>
      <c r="L3587">
        <v>213.28299999999999</v>
      </c>
      <c r="M3587">
        <v>0.99982689999999996</v>
      </c>
      <c r="N3587">
        <v>0</v>
      </c>
      <c r="O3587">
        <v>1.6851749999999999E-2</v>
      </c>
      <c r="P3587">
        <v>0.99203669999999999</v>
      </c>
      <c r="Q3587">
        <v>0.1239143</v>
      </c>
      <c r="R3587">
        <v>-2.2547029999999999E-2</v>
      </c>
      <c r="S3587">
        <v>3.0475460000000001</v>
      </c>
      <c r="T3587">
        <v>-0.20227059999999999</v>
      </c>
      <c r="U3587">
        <v>-9.4604489999999999E-2</v>
      </c>
      <c r="V3587">
        <v>3.9269909999999998E-2</v>
      </c>
      <c r="W3587">
        <v>0.13173219999999999</v>
      </c>
      <c r="X3587">
        <v>0.99050720000000003</v>
      </c>
      <c r="Y3587">
        <v>4.7725679999999999E-2</v>
      </c>
      <c r="Z3587">
        <v>-2.6987439999999999E-3</v>
      </c>
      <c r="AA3587">
        <v>0.99885679999999999</v>
      </c>
      <c r="AB3587">
        <v>48</v>
      </c>
      <c r="AC3587">
        <v>0.41419999999999302</v>
      </c>
      <c r="AD3587">
        <v>-5.9945000000000102E-2</v>
      </c>
      <c r="AE3587">
        <v>-3.6599999999992798E-2</v>
      </c>
      <c r="AF3587">
        <v>4.2687833741590298E-2</v>
      </c>
      <c r="AG3587">
        <v>-5.9945000000000102E-2</v>
      </c>
      <c r="AH3587">
        <v>0.40510509334362999</v>
      </c>
      <c r="AI3587">
        <v>98.371514780726599</v>
      </c>
      <c r="AJ3587">
        <v>83.984672413269195</v>
      </c>
      <c r="AK3587">
        <v>0.41173509788151502</v>
      </c>
      <c r="AL3587">
        <v>82.430299035680605</v>
      </c>
      <c r="AM3587">
        <v>87.729625442749096</v>
      </c>
      <c r="AN3587">
        <v>1.00000000580004</v>
      </c>
    </row>
    <row r="3588" spans="1:40" x14ac:dyDescent="0.25">
      <c r="A3588" t="str">
        <f>"20190312164058115"</f>
        <v>20190312164058115</v>
      </c>
      <c r="B3588" t="str">
        <f>"1552380058110069"</f>
        <v>1552380058110069</v>
      </c>
      <c r="C3588" t="s">
        <v>40</v>
      </c>
      <c r="D3588">
        <v>5.6094549999999996</v>
      </c>
      <c r="E3588">
        <v>0.50859430000000005</v>
      </c>
      <c r="F3588" t="s">
        <v>42</v>
      </c>
      <c r="G3588">
        <v>-368.36219999999997</v>
      </c>
      <c r="H3588">
        <v>1.0539320000000001</v>
      </c>
      <c r="I3588">
        <v>213.2561</v>
      </c>
      <c r="J3588">
        <v>-368.7226</v>
      </c>
      <c r="K3588">
        <v>1.1088309999999999</v>
      </c>
      <c r="L3588">
        <v>213.2912</v>
      </c>
      <c r="M3588">
        <v>0.99982709999999997</v>
      </c>
      <c r="N3588">
        <v>0</v>
      </c>
      <c r="O3588">
        <v>1.6828019999999999E-2</v>
      </c>
      <c r="P3588">
        <v>0.99207199999999995</v>
      </c>
      <c r="Q3588">
        <v>0.1236742</v>
      </c>
      <c r="R3588">
        <v>-2.2319470000000001E-2</v>
      </c>
      <c r="S3588">
        <v>3.046478</v>
      </c>
      <c r="T3588">
        <v>-0.1964186</v>
      </c>
      <c r="U3588">
        <v>-9.5138550000000002E-2</v>
      </c>
      <c r="V3588">
        <v>3.902183E-2</v>
      </c>
      <c r="W3588">
        <v>0.13150239999999999</v>
      </c>
      <c r="X3588">
        <v>0.99054750000000003</v>
      </c>
      <c r="Y3588">
        <v>4.7895470000000002E-2</v>
      </c>
      <c r="Z3588">
        <v>-2.6256780000000002E-3</v>
      </c>
      <c r="AA3588">
        <v>0.99884890000000004</v>
      </c>
      <c r="AB3588">
        <v>48</v>
      </c>
      <c r="AC3588">
        <v>0.36040000000002598</v>
      </c>
      <c r="AD3588">
        <v>-5.4899000000000003E-2</v>
      </c>
      <c r="AE3588">
        <v>-3.5099999999999902E-2</v>
      </c>
      <c r="AF3588">
        <v>4.02351999904529E-2</v>
      </c>
      <c r="AG3588">
        <v>-5.4899000000000003E-2</v>
      </c>
      <c r="AH3588">
        <v>0.351674760878677</v>
      </c>
      <c r="AI3588">
        <v>98.816077963695705</v>
      </c>
      <c r="AJ3588">
        <v>83.4731545406826</v>
      </c>
      <c r="AK3588">
        <v>0.35820093377648599</v>
      </c>
      <c r="AL3588">
        <v>82.443580857942194</v>
      </c>
      <c r="AM3588">
        <v>87.744044915578201</v>
      </c>
      <c r="AN3588">
        <v>0.99999996708927896</v>
      </c>
    </row>
    <row r="3589" spans="1:40" x14ac:dyDescent="0.25">
      <c r="A3589" t="str">
        <f>"20190312164058137"</f>
        <v>20190312164058137</v>
      </c>
      <c r="B3589" t="str">
        <f>"1552380058129594"</f>
        <v>1552380058129594</v>
      </c>
      <c r="C3589" t="s">
        <v>40</v>
      </c>
      <c r="D3589">
        <v>5.5563750000000001</v>
      </c>
      <c r="E3589">
        <v>0.50888040000000001</v>
      </c>
      <c r="F3589" t="s">
        <v>48</v>
      </c>
      <c r="G3589">
        <v>-350.74259999999998</v>
      </c>
      <c r="H3589" s="1">
        <v>-1.058045E-6</v>
      </c>
      <c r="I3589">
        <v>212.7037</v>
      </c>
      <c r="J3589">
        <v>-368.2364</v>
      </c>
      <c r="K3589">
        <v>1.1088229999999999</v>
      </c>
      <c r="L3589">
        <v>213.29939999999999</v>
      </c>
      <c r="M3589">
        <v>0.99982769999999999</v>
      </c>
      <c r="N3589">
        <v>0</v>
      </c>
      <c r="O3589">
        <v>1.6796789999999999E-2</v>
      </c>
      <c r="P3589">
        <v>0.99203830000000004</v>
      </c>
      <c r="Q3589">
        <v>0.1239199</v>
      </c>
      <c r="R3589">
        <v>-2.2451019999999999E-2</v>
      </c>
      <c r="S3589">
        <v>3.0451350000000001</v>
      </c>
      <c r="T3589">
        <v>-0.18779390000000001</v>
      </c>
      <c r="U3589">
        <v>-9.9502560000000004E-2</v>
      </c>
      <c r="V3589">
        <v>3.9124430000000002E-2</v>
      </c>
      <c r="W3589">
        <v>0.13175809999999999</v>
      </c>
      <c r="X3589">
        <v>0.99050950000000004</v>
      </c>
      <c r="Y3589">
        <v>4.9316749999999999E-2</v>
      </c>
      <c r="Z3589">
        <v>-2.5535060000000001E-3</v>
      </c>
      <c r="AA3589">
        <v>0.99878</v>
      </c>
      <c r="AB3589">
        <v>48</v>
      </c>
      <c r="AC3589">
        <v>17.4938</v>
      </c>
      <c r="AD3589">
        <v>-1.1088240580449999</v>
      </c>
      <c r="AE3589">
        <v>-0.59569999999999301</v>
      </c>
      <c r="AF3589">
        <v>0.88590978528758701</v>
      </c>
      <c r="AG3589">
        <v>-1.1088240580449999</v>
      </c>
      <c r="AH3589">
        <v>17.411456048018898</v>
      </c>
      <c r="AI3589">
        <v>93.639185352198595</v>
      </c>
      <c r="AJ3589">
        <v>87.087253534677203</v>
      </c>
      <c r="AK3589">
        <v>17.469205152251799</v>
      </c>
      <c r="AL3589">
        <v>82.428801934840394</v>
      </c>
      <c r="AM3589">
        <v>87.738032806396902</v>
      </c>
      <c r="AN3589">
        <v>0.99999999376434201</v>
      </c>
    </row>
    <row r="3590" spans="1:40" x14ac:dyDescent="0.25">
      <c r="A3590" t="str">
        <f>"20190312164058161"</f>
        <v>20190312164058161</v>
      </c>
      <c r="B3590" t="str">
        <f>"1552380058150086"</f>
        <v>1552380058150086</v>
      </c>
      <c r="C3590" t="s">
        <v>40</v>
      </c>
      <c r="D3590">
        <v>5.6327970000000001</v>
      </c>
      <c r="E3590">
        <v>0.50886709999999902</v>
      </c>
      <c r="F3590" t="s">
        <v>48</v>
      </c>
      <c r="G3590">
        <v>-350.40410000000003</v>
      </c>
      <c r="H3590" s="1">
        <v>-1.238067E-6</v>
      </c>
      <c r="I3590">
        <v>212.70249999999999</v>
      </c>
      <c r="J3590">
        <v>-367.73309999999998</v>
      </c>
      <c r="K3590">
        <v>1.1088169999999999</v>
      </c>
      <c r="L3590">
        <v>213.30779999999999</v>
      </c>
      <c r="M3590">
        <v>0.99982819999999994</v>
      </c>
      <c r="N3590">
        <v>0</v>
      </c>
      <c r="O3590">
        <v>1.6757399999999999E-2</v>
      </c>
      <c r="P3590">
        <v>0.99194780000000005</v>
      </c>
      <c r="Q3590">
        <v>0.1245937</v>
      </c>
      <c r="R3590">
        <v>-2.27149E-2</v>
      </c>
      <c r="S3590">
        <v>3.04541</v>
      </c>
      <c r="T3590">
        <v>-0.18936600000000001</v>
      </c>
      <c r="U3590">
        <v>-0.10194400000000001</v>
      </c>
      <c r="V3590">
        <v>3.9349889999999998E-2</v>
      </c>
      <c r="W3590">
        <v>0.13244210000000001</v>
      </c>
      <c r="X3590">
        <v>0.9904094</v>
      </c>
      <c r="Y3590">
        <v>5.0070799999999999E-2</v>
      </c>
      <c r="Z3590">
        <v>-2.5955459999999998E-3</v>
      </c>
      <c r="AA3590">
        <v>0.99874229999999997</v>
      </c>
      <c r="AB3590">
        <v>49</v>
      </c>
      <c r="AC3590">
        <v>17.328999999999901</v>
      </c>
      <c r="AD3590">
        <v>-1.108818238067</v>
      </c>
      <c r="AE3590">
        <v>-0.60529999999999895</v>
      </c>
      <c r="AF3590">
        <v>0.89196562424868797</v>
      </c>
      <c r="AG3590">
        <v>-1.108818238067</v>
      </c>
      <c r="AH3590">
        <v>17.2459001438191</v>
      </c>
      <c r="AI3590">
        <v>93.673848672667305</v>
      </c>
      <c r="AJ3590">
        <v>87.039274909271398</v>
      </c>
      <c r="AK3590">
        <v>17.304512484623501</v>
      </c>
      <c r="AL3590">
        <v>82.389265578324299</v>
      </c>
      <c r="AM3590">
        <v>87.724781870975903</v>
      </c>
      <c r="AN3590">
        <v>1.0000000516518801</v>
      </c>
    </row>
    <row r="3591" spans="1:40" x14ac:dyDescent="0.25">
      <c r="A3591" t="str">
        <f>"20190312164058182"</f>
        <v>20190312164058182</v>
      </c>
      <c r="B3591" t="str">
        <f>"1552380058179365"</f>
        <v>1552380058179365</v>
      </c>
      <c r="C3591" t="s">
        <v>40</v>
      </c>
      <c r="D3591">
        <v>5.6395650000000002</v>
      </c>
      <c r="E3591">
        <v>0.50875219999999999</v>
      </c>
      <c r="F3591" t="s">
        <v>42</v>
      </c>
      <c r="G3591">
        <v>-366.63029999999998</v>
      </c>
      <c r="H3591">
        <v>1.0432939999999999</v>
      </c>
      <c r="I3591">
        <v>213.2704</v>
      </c>
      <c r="J3591">
        <v>-367.26240000000001</v>
      </c>
      <c r="K3591">
        <v>1.108811</v>
      </c>
      <c r="L3591">
        <v>213.31569999999999</v>
      </c>
      <c r="M3591">
        <v>0.99982890000000002</v>
      </c>
      <c r="N3591">
        <v>0</v>
      </c>
      <c r="O3591">
        <v>1.67157E-2</v>
      </c>
      <c r="P3591">
        <v>0.99188160000000003</v>
      </c>
      <c r="Q3591">
        <v>0.12505330000000001</v>
      </c>
      <c r="R3591">
        <v>-2.3083010000000001E-2</v>
      </c>
      <c r="S3591">
        <v>3.0447389999999999</v>
      </c>
      <c r="T3591">
        <v>-0.18095349999999999</v>
      </c>
      <c r="U3591">
        <v>-0.1026917</v>
      </c>
      <c r="V3591">
        <v>3.9677280000000002E-2</v>
      </c>
      <c r="W3591">
        <v>0.13291049999999999</v>
      </c>
      <c r="X3591">
        <v>0.99033360000000004</v>
      </c>
      <c r="Y3591">
        <v>5.029231E-2</v>
      </c>
      <c r="Z3591">
        <v>-2.4850829999999999E-3</v>
      </c>
      <c r="AA3591">
        <v>0.99873140000000005</v>
      </c>
      <c r="AB3591">
        <v>49</v>
      </c>
      <c r="AC3591">
        <v>0.63210000000003597</v>
      </c>
      <c r="AD3591">
        <v>-6.5517000000000006E-2</v>
      </c>
      <c r="AE3591">
        <v>-4.5299999999997398E-2</v>
      </c>
      <c r="AF3591">
        <v>5.5269257509456701E-2</v>
      </c>
      <c r="AG3591">
        <v>-6.5517000000000006E-2</v>
      </c>
      <c r="AH3591">
        <v>0.62457870420970896</v>
      </c>
      <c r="AI3591">
        <v>95.965166577759504</v>
      </c>
      <c r="AJ3591">
        <v>84.943042209965398</v>
      </c>
      <c r="AK3591">
        <v>0.63043296698929596</v>
      </c>
      <c r="AL3591">
        <v>82.362188952972105</v>
      </c>
      <c r="AM3591">
        <v>87.705696856706894</v>
      </c>
      <c r="AN3591">
        <v>1.0000000634237001</v>
      </c>
    </row>
    <row r="3592" spans="1:40" x14ac:dyDescent="0.25">
      <c r="A3592" t="str">
        <f>"20190312164058204"</f>
        <v>20190312164058204</v>
      </c>
      <c r="B3592" t="str">
        <f>"1552380058199861"</f>
        <v>1552380058199861</v>
      </c>
      <c r="C3592" t="s">
        <v>40</v>
      </c>
      <c r="D3592">
        <v>5.6470900000000004</v>
      </c>
      <c r="E3592">
        <v>0.509200599999999</v>
      </c>
      <c r="F3592" t="s">
        <v>42</v>
      </c>
      <c r="G3592">
        <v>-366.19040000000001</v>
      </c>
      <c r="H3592">
        <v>1.048098</v>
      </c>
      <c r="I3592">
        <v>213.279</v>
      </c>
      <c r="J3592">
        <v>-366.77809999999999</v>
      </c>
      <c r="K3592">
        <v>1.108808</v>
      </c>
      <c r="L3592">
        <v>213.32380000000001</v>
      </c>
      <c r="M3592">
        <v>0.99982950000000004</v>
      </c>
      <c r="N3592">
        <v>0</v>
      </c>
      <c r="O3592">
        <v>1.6669119999999999E-2</v>
      </c>
      <c r="P3592">
        <v>0.99182519999999996</v>
      </c>
      <c r="Q3592">
        <v>0.12537980000000001</v>
      </c>
      <c r="R3592">
        <v>-2.3719779999999999E-2</v>
      </c>
      <c r="S3592">
        <v>3.0438540000000001</v>
      </c>
      <c r="T3592">
        <v>-0.1724974</v>
      </c>
      <c r="U3592">
        <v>-0.103653</v>
      </c>
      <c r="V3592">
        <v>4.0268529999999997E-2</v>
      </c>
      <c r="W3592">
        <v>0.13324649999999999</v>
      </c>
      <c r="X3592">
        <v>0.99026449999999999</v>
      </c>
      <c r="Y3592">
        <v>5.0580939999999998E-2</v>
      </c>
      <c r="Z3592">
        <v>-2.3753509999999999E-3</v>
      </c>
      <c r="AA3592">
        <v>0.99871710000000002</v>
      </c>
      <c r="AB3592">
        <v>49</v>
      </c>
      <c r="AC3592">
        <v>0.58769999999998301</v>
      </c>
      <c r="AD3592">
        <v>-6.071E-2</v>
      </c>
      <c r="AE3592">
        <v>-4.47999999999808E-2</v>
      </c>
      <c r="AF3592">
        <v>5.4017431031836101E-2</v>
      </c>
      <c r="AG3592">
        <v>-6.071E-2</v>
      </c>
      <c r="AH3592">
        <v>0.58071052260424005</v>
      </c>
      <c r="AI3592">
        <v>95.942798915608606</v>
      </c>
      <c r="AJ3592">
        <v>84.685664881151695</v>
      </c>
      <c r="AK3592">
        <v>0.58636873895064401</v>
      </c>
      <c r="AL3592">
        <v>82.342764177786506</v>
      </c>
      <c r="AM3592">
        <v>87.671383410735899</v>
      </c>
      <c r="AN3592">
        <v>0.99999998211542995</v>
      </c>
    </row>
    <row r="3593" spans="1:40" x14ac:dyDescent="0.25">
      <c r="A3593" t="str">
        <f>"20190312164058227"</f>
        <v>20190312164058227</v>
      </c>
      <c r="B3593" t="str">
        <f>"1552380058219382"</f>
        <v>1552380058219382</v>
      </c>
      <c r="C3593" t="s">
        <v>40</v>
      </c>
      <c r="D3593">
        <v>5.6363110000000001</v>
      </c>
      <c r="E3593">
        <v>0.50916649999999997</v>
      </c>
      <c r="F3593" t="s">
        <v>42</v>
      </c>
      <c r="G3593">
        <v>-365.75020000000001</v>
      </c>
      <c r="H3593">
        <v>1.0511239999999999</v>
      </c>
      <c r="I3593">
        <v>213.28649999999999</v>
      </c>
      <c r="J3593">
        <v>-366.28629999999998</v>
      </c>
      <c r="K3593">
        <v>1.1088009999999999</v>
      </c>
      <c r="L3593">
        <v>213.33189999999999</v>
      </c>
      <c r="M3593">
        <v>0.99983029999999995</v>
      </c>
      <c r="N3593">
        <v>0</v>
      </c>
      <c r="O3593">
        <v>1.6619559999999999E-2</v>
      </c>
      <c r="P3593">
        <v>0.99179150000000005</v>
      </c>
      <c r="Q3593">
        <v>0.12556619999999999</v>
      </c>
      <c r="R3593">
        <v>-2.4145460000000001E-2</v>
      </c>
      <c r="S3593">
        <v>3.0437319999999999</v>
      </c>
      <c r="T3593">
        <v>-0.170851</v>
      </c>
      <c r="U3593">
        <v>-0.1094666</v>
      </c>
      <c r="V3593">
        <v>4.064574E-2</v>
      </c>
      <c r="W3593">
        <v>0.13344259999999999</v>
      </c>
      <c r="X3593">
        <v>0.99022270000000001</v>
      </c>
      <c r="Y3593">
        <v>5.2437159999999997E-2</v>
      </c>
      <c r="Z3593">
        <v>-2.4019950000000001E-3</v>
      </c>
      <c r="AA3593">
        <v>0.99862130000000005</v>
      </c>
      <c r="AB3593">
        <v>49</v>
      </c>
      <c r="AC3593">
        <v>0.53609999999997604</v>
      </c>
      <c r="AD3593">
        <v>-5.7676999999999902E-2</v>
      </c>
      <c r="AE3593">
        <v>-4.5400000000000697E-2</v>
      </c>
      <c r="AF3593">
        <v>5.3686767647244699E-2</v>
      </c>
      <c r="AG3593">
        <v>-5.7676999999999902E-2</v>
      </c>
      <c r="AH3593">
        <v>0.529189747379747</v>
      </c>
      <c r="AI3593">
        <v>96.188662719529702</v>
      </c>
      <c r="AJ3593">
        <v>84.207112278778396</v>
      </c>
      <c r="AK3593">
        <v>0.53502401262116295</v>
      </c>
      <c r="AL3593">
        <v>82.3314273685058</v>
      </c>
      <c r="AM3593">
        <v>87.649495654700999</v>
      </c>
      <c r="AN3593">
        <v>0.999999999635098</v>
      </c>
    </row>
    <row r="3594" spans="1:40" x14ac:dyDescent="0.25">
      <c r="A3594" t="str">
        <f>"20190312164058248"</f>
        <v>20190312164058248</v>
      </c>
      <c r="B3594" t="str">
        <f>"1552380058239877"</f>
        <v>1552380058239877</v>
      </c>
      <c r="C3594" t="s">
        <v>40</v>
      </c>
      <c r="D3594">
        <v>5.412236</v>
      </c>
      <c r="E3594">
        <v>0.50925370000000003</v>
      </c>
      <c r="F3594" t="s">
        <v>42</v>
      </c>
      <c r="G3594">
        <v>-365.30689999999998</v>
      </c>
      <c r="H3594">
        <v>1.0551919999999999</v>
      </c>
      <c r="I3594">
        <v>213.2963</v>
      </c>
      <c r="J3594">
        <v>-365.80560000000003</v>
      </c>
      <c r="K3594">
        <v>1.1087880000000001</v>
      </c>
      <c r="L3594">
        <v>213.3399</v>
      </c>
      <c r="M3594">
        <v>0.99983109999999997</v>
      </c>
      <c r="N3594">
        <v>0</v>
      </c>
      <c r="O3594">
        <v>1.6569469999999999E-2</v>
      </c>
      <c r="P3594">
        <v>0.99175380000000002</v>
      </c>
      <c r="Q3594">
        <v>0.12575159999999999</v>
      </c>
      <c r="R3594">
        <v>-2.4721010000000002E-2</v>
      </c>
      <c r="S3594">
        <v>3.0432739999999998</v>
      </c>
      <c r="T3594">
        <v>-0.1666868</v>
      </c>
      <c r="U3594">
        <v>-0.1101685</v>
      </c>
      <c r="V3594">
        <v>4.117233E-2</v>
      </c>
      <c r="W3594">
        <v>0.13363820000000001</v>
      </c>
      <c r="X3594">
        <v>0.99017460000000002</v>
      </c>
      <c r="Y3594">
        <v>5.2627529999999999E-2</v>
      </c>
      <c r="Z3594">
        <v>-2.3463479999999998E-3</v>
      </c>
      <c r="AA3594">
        <v>0.99861149999999999</v>
      </c>
      <c r="AB3594">
        <v>49</v>
      </c>
      <c r="AC3594">
        <v>0.498700000000042</v>
      </c>
      <c r="AD3594">
        <v>-5.3595999999999901E-2</v>
      </c>
      <c r="AE3594">
        <v>-4.35999999999978E-2</v>
      </c>
      <c r="AF3594">
        <v>5.1269790364282301E-2</v>
      </c>
      <c r="AG3594">
        <v>-5.3595999999999901E-2</v>
      </c>
      <c r="AH3594">
        <v>0.49226647960036801</v>
      </c>
      <c r="AI3594">
        <v>96.180489951866605</v>
      </c>
      <c r="AJ3594">
        <v>84.054054394006101</v>
      </c>
      <c r="AK3594">
        <v>0.49782266878692599</v>
      </c>
      <c r="AL3594">
        <v>82.320119293916093</v>
      </c>
      <c r="AM3594">
        <v>87.618962753045494</v>
      </c>
      <c r="AN3594">
        <v>1.00000003387101</v>
      </c>
    </row>
    <row r="3595" spans="1:40" x14ac:dyDescent="0.25">
      <c r="A3595" t="str">
        <f>"20190312164058271"</f>
        <v>20190312164058271</v>
      </c>
      <c r="B3595" t="str">
        <f>"1552380058259401"</f>
        <v>1552380058259401</v>
      </c>
      <c r="C3595" t="s">
        <v>40</v>
      </c>
      <c r="D3595">
        <v>5.4868329999999998</v>
      </c>
      <c r="E3595">
        <v>0.50923940000000001</v>
      </c>
      <c r="F3595" t="s">
        <v>48</v>
      </c>
      <c r="G3595">
        <v>-345.51429999999999</v>
      </c>
      <c r="H3595" s="1">
        <v>1.397672E-6</v>
      </c>
      <c r="I3595">
        <v>212.5872</v>
      </c>
      <c r="J3595">
        <v>-365.32830000000001</v>
      </c>
      <c r="K3595">
        <v>1.108784</v>
      </c>
      <c r="L3595">
        <v>213.34780000000001</v>
      </c>
      <c r="M3595">
        <v>0.99983180000000005</v>
      </c>
      <c r="N3595">
        <v>0</v>
      </c>
      <c r="O3595">
        <v>1.6519450000000001E-2</v>
      </c>
      <c r="P3595">
        <v>0.99165650000000005</v>
      </c>
      <c r="Q3595">
        <v>0.1263735</v>
      </c>
      <c r="R3595">
        <v>-2.5446679999999999E-2</v>
      </c>
      <c r="S3595">
        <v>3.0431819999999998</v>
      </c>
      <c r="T3595">
        <v>-0.16629059999999901</v>
      </c>
      <c r="U3595">
        <v>-0.1128845</v>
      </c>
      <c r="V3595">
        <v>4.1847530000000001E-2</v>
      </c>
      <c r="W3595">
        <v>0.13426959999999999</v>
      </c>
      <c r="X3595">
        <v>0.99006090000000002</v>
      </c>
      <c r="Y3595">
        <v>5.3468019999999998E-2</v>
      </c>
      <c r="Z3595">
        <v>-2.3610229999999999E-3</v>
      </c>
      <c r="AA3595">
        <v>0.99856670000000003</v>
      </c>
      <c r="AB3595">
        <v>49</v>
      </c>
      <c r="AC3595">
        <v>19.814</v>
      </c>
      <c r="AD3595">
        <v>-1.1087826023280001</v>
      </c>
      <c r="AE3595">
        <v>-0.76060000000001005</v>
      </c>
      <c r="AF3595">
        <v>1.08443210537821</v>
      </c>
      <c r="AG3595">
        <v>-1.1087826023280001</v>
      </c>
      <c r="AH3595">
        <v>19.737016042102098</v>
      </c>
      <c r="AI3595">
        <v>93.210540243696698</v>
      </c>
      <c r="AJ3595">
        <v>86.855098467631095</v>
      </c>
      <c r="AK3595">
        <v>19.797858320954699</v>
      </c>
      <c r="AL3595">
        <v>82.283613965201894</v>
      </c>
      <c r="AM3595">
        <v>87.579683718442794</v>
      </c>
      <c r="AN3595">
        <v>1.0000000634800299</v>
      </c>
    </row>
    <row r="3596" spans="1:40" x14ac:dyDescent="0.25">
      <c r="A3596" t="str">
        <f>"20190312164058294"</f>
        <v>20190312164058294</v>
      </c>
      <c r="B3596" t="str">
        <f>"1552380058289654"</f>
        <v>1552380058289654</v>
      </c>
      <c r="C3596" t="s">
        <v>40</v>
      </c>
      <c r="D3596">
        <v>5.3829390000000004</v>
      </c>
      <c r="E3596">
        <v>0.50969739999999997</v>
      </c>
      <c r="F3596" t="s">
        <v>48</v>
      </c>
      <c r="G3596">
        <v>-344.5421</v>
      </c>
      <c r="H3596" s="1">
        <v>8.8027579999999995E-7</v>
      </c>
      <c r="I3596">
        <v>212.56290000000001</v>
      </c>
      <c r="J3596">
        <v>-364.8082</v>
      </c>
      <c r="K3596">
        <v>1.108779</v>
      </c>
      <c r="L3596">
        <v>213.3563</v>
      </c>
      <c r="M3596">
        <v>0.99983259999999996</v>
      </c>
      <c r="N3596">
        <v>0</v>
      </c>
      <c r="O3596">
        <v>1.6464530000000002E-2</v>
      </c>
      <c r="P3596">
        <v>0.99164589999999997</v>
      </c>
      <c r="Q3596">
        <v>0.12638640000000001</v>
      </c>
      <c r="R3596">
        <v>-2.579704E-2</v>
      </c>
      <c r="S3596">
        <v>3.042999</v>
      </c>
      <c r="T3596">
        <v>-0.1623203</v>
      </c>
      <c r="U3596">
        <v>-0.11489870000000001</v>
      </c>
      <c r="V3596">
        <v>4.2144340000000002E-2</v>
      </c>
      <c r="W3596">
        <v>0.1342932</v>
      </c>
      <c r="X3596">
        <v>0.99004510000000001</v>
      </c>
      <c r="Y3596">
        <v>5.4079530000000001E-2</v>
      </c>
      <c r="Z3596">
        <v>-2.318208E-3</v>
      </c>
      <c r="AA3596">
        <v>0.99853400000000003</v>
      </c>
      <c r="AB3596">
        <v>49</v>
      </c>
      <c r="AC3596">
        <v>20.266099999999899</v>
      </c>
      <c r="AD3596">
        <v>-1.1087781197241999</v>
      </c>
      <c r="AE3596">
        <v>-0.793399999999991</v>
      </c>
      <c r="AF3596">
        <v>1.12361672120043</v>
      </c>
      <c r="AG3596">
        <v>-1.1087781197241999</v>
      </c>
      <c r="AH3596">
        <v>20.189947486216798</v>
      </c>
      <c r="AI3596">
        <v>93.138527237200606</v>
      </c>
      <c r="AJ3596">
        <v>86.814644746667398</v>
      </c>
      <c r="AK3596">
        <v>20.2515649506682</v>
      </c>
      <c r="AL3596">
        <v>82.282249356844503</v>
      </c>
      <c r="AM3596">
        <v>87.562499034859798</v>
      </c>
      <c r="AN3596">
        <v>1.0000000544971399</v>
      </c>
    </row>
    <row r="3597" spans="1:40" x14ac:dyDescent="0.25">
      <c r="A3597" t="str">
        <f>"20190312164058339"</f>
        <v>20190312164058339</v>
      </c>
      <c r="B3597" t="str">
        <f>"1552380058329679"</f>
        <v>1552380058329679</v>
      </c>
      <c r="C3597" t="s">
        <v>40</v>
      </c>
      <c r="D3597">
        <v>5.392773</v>
      </c>
      <c r="E3597">
        <v>0.51048269999999996</v>
      </c>
      <c r="F3597" t="s">
        <v>48</v>
      </c>
      <c r="G3597">
        <v>-343.9778</v>
      </c>
      <c r="H3597" s="1">
        <v>5.7999899999999897E-7</v>
      </c>
      <c r="I3597">
        <v>212.53800000000001</v>
      </c>
      <c r="J3597">
        <v>-363.83019999999999</v>
      </c>
      <c r="K3597">
        <v>1.1087629999999999</v>
      </c>
      <c r="L3597">
        <v>213.3724</v>
      </c>
      <c r="M3597">
        <v>0.99983409999999995</v>
      </c>
      <c r="N3597">
        <v>0</v>
      </c>
      <c r="O3597">
        <v>1.6361569999999999E-2</v>
      </c>
      <c r="P3597">
        <v>0.99166909999999997</v>
      </c>
      <c r="Q3597">
        <v>0.12608739999999999</v>
      </c>
      <c r="R3597">
        <v>-2.6355719999999999E-2</v>
      </c>
      <c r="S3597">
        <v>3.0428160000000002</v>
      </c>
      <c r="T3597">
        <v>-0.161966</v>
      </c>
      <c r="U3597">
        <v>-0.1195374</v>
      </c>
      <c r="V3597">
        <v>4.260328E-2</v>
      </c>
      <c r="W3597">
        <v>0.13401479999999999</v>
      </c>
      <c r="X3597">
        <v>0.99006309999999997</v>
      </c>
      <c r="Y3597">
        <v>5.549747E-2</v>
      </c>
      <c r="Z3597">
        <v>-2.3454510000000001E-3</v>
      </c>
      <c r="AA3597">
        <v>0.99845609999999996</v>
      </c>
      <c r="AB3597">
        <v>49</v>
      </c>
      <c r="AC3597">
        <v>19.8523999999999</v>
      </c>
      <c r="AD3597">
        <v>-1.108762420001</v>
      </c>
      <c r="AE3597">
        <v>-0.83440000000001602</v>
      </c>
      <c r="AF3597">
        <v>1.1555171417240599</v>
      </c>
      <c r="AG3597">
        <v>-1.108762420001</v>
      </c>
      <c r="AH3597">
        <v>19.774516865853499</v>
      </c>
      <c r="AI3597">
        <v>93.203775526803994</v>
      </c>
      <c r="AJ3597">
        <v>86.655743668967403</v>
      </c>
      <c r="AK3597">
        <v>19.839256317885301</v>
      </c>
      <c r="AL3597">
        <v>82.298345383304195</v>
      </c>
      <c r="AM3597">
        <v>87.536032616961805</v>
      </c>
      <c r="AN3597">
        <v>0.999999974033703</v>
      </c>
    </row>
    <row r="3598" spans="1:40" x14ac:dyDescent="0.25">
      <c r="A3598" t="str">
        <f>"20190312164058360"</f>
        <v>20190312164058360</v>
      </c>
      <c r="B3598" t="str">
        <f>"1552380058350170"</f>
        <v>1552380058350170</v>
      </c>
      <c r="C3598" t="s">
        <v>40</v>
      </c>
      <c r="D3598">
        <v>5.3606109999999996</v>
      </c>
      <c r="E3598">
        <v>0.51087780000000005</v>
      </c>
      <c r="F3598" t="s">
        <v>42</v>
      </c>
      <c r="G3598">
        <v>-362.67230000000001</v>
      </c>
      <c r="H3598">
        <v>1.0462689999999999</v>
      </c>
      <c r="I3598">
        <v>213.3237</v>
      </c>
      <c r="J3598">
        <v>-363.33969999999999</v>
      </c>
      <c r="K3598">
        <v>1.108757</v>
      </c>
      <c r="L3598">
        <v>213.38040000000001</v>
      </c>
      <c r="M3598">
        <v>0.99983469999999997</v>
      </c>
      <c r="N3598">
        <v>0</v>
      </c>
      <c r="O3598">
        <v>1.6310479999999999E-2</v>
      </c>
      <c r="P3598">
        <v>0.99171609999999999</v>
      </c>
      <c r="Q3598">
        <v>0.12567980000000001</v>
      </c>
      <c r="R3598">
        <v>-2.6532779999999999E-2</v>
      </c>
      <c r="S3598">
        <v>3.042694</v>
      </c>
      <c r="T3598">
        <v>-0.16428229999999999</v>
      </c>
      <c r="U3598">
        <v>-0.1277161</v>
      </c>
      <c r="V3598">
        <v>4.2731110000000003E-2</v>
      </c>
      <c r="W3598">
        <v>0.1336184</v>
      </c>
      <c r="X3598">
        <v>0.99011119999999997</v>
      </c>
      <c r="Y3598">
        <v>5.8120579999999998E-2</v>
      </c>
      <c r="Z3598">
        <v>-2.4468929999999999E-3</v>
      </c>
      <c r="AA3598">
        <v>0.99830660000000004</v>
      </c>
      <c r="AB3598">
        <v>49</v>
      </c>
      <c r="AC3598">
        <v>0.667399999999986</v>
      </c>
      <c r="AD3598">
        <v>-6.2487999999999801E-2</v>
      </c>
      <c r="AE3598">
        <v>-5.6700000000006398E-2</v>
      </c>
      <c r="AF3598">
        <v>6.6995324029302805E-2</v>
      </c>
      <c r="AG3598">
        <v>-6.2487999999999801E-2</v>
      </c>
      <c r="AH3598">
        <v>0.66063648223493199</v>
      </c>
      <c r="AI3598">
        <v>95.375982564273897</v>
      </c>
      <c r="AJ3598">
        <v>84.209415590196301</v>
      </c>
      <c r="AK3598">
        <v>0.66695853337785305</v>
      </c>
      <c r="AL3598">
        <v>82.321263805081401</v>
      </c>
      <c r="AM3598">
        <v>87.528768611897902</v>
      </c>
      <c r="AN3598">
        <v>1.00000000647291</v>
      </c>
    </row>
    <row r="3599" spans="1:40" x14ac:dyDescent="0.25">
      <c r="A3599" t="str">
        <f>"20190312164058383"</f>
        <v>20190312164058383</v>
      </c>
      <c r="B3599" t="str">
        <f>"1552380058379447"</f>
        <v>1552380058379447</v>
      </c>
      <c r="C3599" t="s">
        <v>40</v>
      </c>
      <c r="D3599">
        <v>5.3532299999999999</v>
      </c>
      <c r="E3599">
        <v>0.51132809999999995</v>
      </c>
      <c r="F3599" t="s">
        <v>42</v>
      </c>
      <c r="G3599">
        <v>-362.2285</v>
      </c>
      <c r="H3599">
        <v>1.047582</v>
      </c>
      <c r="I3599">
        <v>213.3322</v>
      </c>
      <c r="J3599">
        <v>-362.84289999999999</v>
      </c>
      <c r="K3599">
        <v>1.108752</v>
      </c>
      <c r="L3599">
        <v>213.38839999999999</v>
      </c>
      <c r="M3599">
        <v>0.99983560000000005</v>
      </c>
      <c r="N3599">
        <v>0</v>
      </c>
      <c r="O3599">
        <v>1.6258080000000001E-2</v>
      </c>
      <c r="P3599">
        <v>0.99171750000000003</v>
      </c>
      <c r="Q3599">
        <v>0.12559580000000001</v>
      </c>
      <c r="R3599">
        <v>-2.6877120000000001E-2</v>
      </c>
      <c r="S3599">
        <v>3.042786</v>
      </c>
      <c r="T3599">
        <v>-0.16761089999999901</v>
      </c>
      <c r="U3599">
        <v>-0.131210299999999</v>
      </c>
      <c r="V3599">
        <v>4.3024079999999999E-2</v>
      </c>
      <c r="W3599">
        <v>0.1335451</v>
      </c>
      <c r="X3599">
        <v>0.9901084</v>
      </c>
      <c r="Y3599">
        <v>5.9205359999999999E-2</v>
      </c>
      <c r="Z3599">
        <v>-2.5232200000000001E-3</v>
      </c>
      <c r="AA3599">
        <v>0.99824259999999998</v>
      </c>
      <c r="AB3599">
        <v>49</v>
      </c>
      <c r="AC3599">
        <v>0.61439999999998895</v>
      </c>
      <c r="AD3599">
        <v>-6.1169999999999898E-2</v>
      </c>
      <c r="AE3599">
        <v>-5.61999999999898E-2</v>
      </c>
      <c r="AF3599">
        <v>6.5537619384007706E-2</v>
      </c>
      <c r="AG3599">
        <v>-6.1169999999999898E-2</v>
      </c>
      <c r="AH3599">
        <v>0.60743394646346405</v>
      </c>
      <c r="AI3599">
        <v>95.717471231200705</v>
      </c>
      <c r="AJ3599">
        <v>83.842031031776202</v>
      </c>
      <c r="AK3599">
        <v>0.61401380096110403</v>
      </c>
      <c r="AL3599">
        <v>82.325501549911905</v>
      </c>
      <c r="AM3599">
        <v>87.511839724377893</v>
      </c>
      <c r="AN3599">
        <v>1.0000000044721999</v>
      </c>
    </row>
    <row r="3600" spans="1:40" x14ac:dyDescent="0.25">
      <c r="A3600" t="str">
        <f>"20190312164058404"</f>
        <v>20190312164058404</v>
      </c>
      <c r="B3600" t="str">
        <f>"1552380058399942"</f>
        <v>1552380058399942</v>
      </c>
      <c r="C3600" t="s">
        <v>40</v>
      </c>
      <c r="D3600">
        <v>5.3292020000000004</v>
      </c>
      <c r="E3600">
        <v>0.51168259999999999</v>
      </c>
      <c r="F3600" t="s">
        <v>42</v>
      </c>
      <c r="G3600">
        <v>-361.7833</v>
      </c>
      <c r="H3600">
        <v>1.049186</v>
      </c>
      <c r="I3600">
        <v>213.34129999999999</v>
      </c>
      <c r="J3600">
        <v>-362.3623</v>
      </c>
      <c r="K3600">
        <v>1.108754</v>
      </c>
      <c r="L3600">
        <v>213.39619999999999</v>
      </c>
      <c r="M3600">
        <v>0.99983639999999996</v>
      </c>
      <c r="N3600">
        <v>0</v>
      </c>
      <c r="O3600">
        <v>1.620771E-2</v>
      </c>
      <c r="P3600">
        <v>0.99169750000000001</v>
      </c>
      <c r="Q3600">
        <v>0.12577289999999999</v>
      </c>
      <c r="R3600">
        <v>-2.6785590000000001E-2</v>
      </c>
      <c r="S3600">
        <v>3.043091</v>
      </c>
      <c r="T3600">
        <v>-0.171114299999999</v>
      </c>
      <c r="U3600">
        <v>-0.13517760000000001</v>
      </c>
      <c r="V3600">
        <v>4.2882839999999998E-2</v>
      </c>
      <c r="W3600">
        <v>0.13373280000000001</v>
      </c>
      <c r="X3600">
        <v>0.9900892</v>
      </c>
      <c r="Y3600">
        <v>6.044298E-2</v>
      </c>
      <c r="Z3600">
        <v>-2.6074729999999999E-3</v>
      </c>
      <c r="AA3600">
        <v>0.99816819999999895</v>
      </c>
      <c r="AB3600">
        <v>50</v>
      </c>
      <c r="AC3600">
        <v>0.57900000000000695</v>
      </c>
      <c r="AD3600">
        <v>-5.9568000000000003E-2</v>
      </c>
      <c r="AE3600">
        <v>-5.4900000000003502E-2</v>
      </c>
      <c r="AF3600">
        <v>6.3610075503902797E-2</v>
      </c>
      <c r="AG3600">
        <v>-5.9568000000000003E-2</v>
      </c>
      <c r="AH3600">
        <v>0.57203339192422697</v>
      </c>
      <c r="AI3600">
        <v>95.908838709505901</v>
      </c>
      <c r="AJ3600">
        <v>83.654781182051195</v>
      </c>
      <c r="AK3600">
        <v>0.57863355399246297</v>
      </c>
      <c r="AL3600">
        <v>82.314649849916293</v>
      </c>
      <c r="AM3600">
        <v>87.5199496410157</v>
      </c>
      <c r="AN3600">
        <v>1.0000000118594701</v>
      </c>
    </row>
    <row r="3601" spans="1:40" x14ac:dyDescent="0.25">
      <c r="A3601" t="str">
        <f>"20190312164058428"</f>
        <v>20190312164058428</v>
      </c>
      <c r="B3601" t="str">
        <f>"1552380058419465"</f>
        <v>1552380058419465</v>
      </c>
      <c r="C3601" t="s">
        <v>40</v>
      </c>
      <c r="D3601">
        <v>5.4785839999999997</v>
      </c>
      <c r="E3601">
        <v>0.51200179999999995</v>
      </c>
      <c r="F3601" t="s">
        <v>42</v>
      </c>
      <c r="G3601">
        <v>-361.33690000000001</v>
      </c>
      <c r="H3601">
        <v>1.051469</v>
      </c>
      <c r="I3601">
        <v>213.3493</v>
      </c>
      <c r="J3601">
        <v>-361.84750000000003</v>
      </c>
      <c r="K3601">
        <v>1.108749</v>
      </c>
      <c r="L3601">
        <v>213.40450000000001</v>
      </c>
      <c r="M3601">
        <v>0.99983710000000003</v>
      </c>
      <c r="N3601">
        <v>0</v>
      </c>
      <c r="O3601">
        <v>1.6152940000000001E-2</v>
      </c>
      <c r="P3601">
        <v>0.99163900000000005</v>
      </c>
      <c r="Q3601">
        <v>0.1261282</v>
      </c>
      <c r="R3601">
        <v>-2.7273749999999999E-2</v>
      </c>
      <c r="S3601">
        <v>3.0429080000000002</v>
      </c>
      <c r="T3601">
        <v>-0.17019100000000001</v>
      </c>
      <c r="U3601">
        <v>-0.13795470000000001</v>
      </c>
      <c r="V3601">
        <v>4.331633E-2</v>
      </c>
      <c r="W3601">
        <v>0.13409849999999901</v>
      </c>
      <c r="X3601">
        <v>0.99002089999999998</v>
      </c>
      <c r="Y3601">
        <v>6.1300109999999998E-2</v>
      </c>
      <c r="Z3601">
        <v>-2.6144089999999998E-3</v>
      </c>
      <c r="AA3601">
        <v>0.998116</v>
      </c>
      <c r="AB3601">
        <v>50</v>
      </c>
      <c r="AC3601">
        <v>0.51060000000001005</v>
      </c>
      <c r="AD3601">
        <v>-5.7279999999999998E-2</v>
      </c>
      <c r="AE3601">
        <v>-5.5200000000013398E-2</v>
      </c>
      <c r="AF3601">
        <v>6.2661289965897204E-2</v>
      </c>
      <c r="AG3601">
        <v>-5.7279999999999998E-2</v>
      </c>
      <c r="AH3601">
        <v>0.50337998256425798</v>
      </c>
      <c r="AI3601">
        <v>96.4425077241211</v>
      </c>
      <c r="AJ3601">
        <v>82.904259347865505</v>
      </c>
      <c r="AK3601">
        <v>0.51048882701444398</v>
      </c>
      <c r="AL3601">
        <v>82.293506612958595</v>
      </c>
      <c r="AM3601">
        <v>87.494738718286996</v>
      </c>
      <c r="AN3601">
        <v>1.00000004729186</v>
      </c>
    </row>
    <row r="3602" spans="1:40" x14ac:dyDescent="0.25">
      <c r="A3602" t="str">
        <f>"20190312164058449"</f>
        <v>20190312164058449</v>
      </c>
      <c r="B3602" t="str">
        <f>"1552380058439960"</f>
        <v>1552380058439960</v>
      </c>
      <c r="C3602" t="s">
        <v>40</v>
      </c>
      <c r="D3602">
        <v>5.466202</v>
      </c>
      <c r="E3602">
        <v>0.51237770000000005</v>
      </c>
      <c r="F3602" t="s">
        <v>42</v>
      </c>
      <c r="G3602">
        <v>-360.88819999999998</v>
      </c>
      <c r="H3602">
        <v>1.0554380000000001</v>
      </c>
      <c r="I3602">
        <v>213.3596</v>
      </c>
      <c r="J3602">
        <v>-361.37549999999999</v>
      </c>
      <c r="K3602">
        <v>1.108754</v>
      </c>
      <c r="L3602">
        <v>213.41210000000001</v>
      </c>
      <c r="M3602">
        <v>0.999838</v>
      </c>
      <c r="N3602">
        <v>0</v>
      </c>
      <c r="O3602">
        <v>1.6102040000000001E-2</v>
      </c>
      <c r="P3602">
        <v>0.99169499999999999</v>
      </c>
      <c r="Q3602">
        <v>0.12564639999999999</v>
      </c>
      <c r="R3602">
        <v>-2.745993E-2</v>
      </c>
      <c r="S3602">
        <v>3.0429080000000002</v>
      </c>
      <c r="T3602">
        <v>-0.16912639999999901</v>
      </c>
      <c r="U3602">
        <v>-0.14218140000000001</v>
      </c>
      <c r="V3602">
        <v>4.3453310000000002E-2</v>
      </c>
      <c r="W3602">
        <v>0.13362739999999901</v>
      </c>
      <c r="X3602">
        <v>0.99007860000000003</v>
      </c>
      <c r="Y3602">
        <v>6.2632259999999995E-2</v>
      </c>
      <c r="Z3602">
        <v>-2.6321449999999998E-3</v>
      </c>
      <c r="AA3602">
        <v>0.99803319999999995</v>
      </c>
      <c r="AB3602">
        <v>50</v>
      </c>
      <c r="AC3602">
        <v>0.48730000000000401</v>
      </c>
      <c r="AD3602">
        <v>-5.3316000000000099E-2</v>
      </c>
      <c r="AE3602">
        <v>-5.2500000000008998E-2</v>
      </c>
      <c r="AF3602">
        <v>5.9634293223089697E-2</v>
      </c>
      <c r="AG3602">
        <v>-5.3316000000000099E-2</v>
      </c>
      <c r="AH3602">
        <v>0.480703071873257</v>
      </c>
      <c r="AI3602">
        <v>96.281193155643706</v>
      </c>
      <c r="AJ3602">
        <v>82.928222280613497</v>
      </c>
      <c r="AK3602">
        <v>0.48731333666605497</v>
      </c>
      <c r="AL3602">
        <v>82.320743837729907</v>
      </c>
      <c r="AM3602">
        <v>87.486972703312603</v>
      </c>
      <c r="AN3602">
        <v>1.0000000531793301</v>
      </c>
    </row>
    <row r="3603" spans="1:40" x14ac:dyDescent="0.25">
      <c r="A3603" t="str">
        <f>"20190312164058472"</f>
        <v>20190312164058472</v>
      </c>
      <c r="B3603" t="str">
        <f>"1552380058470214"</f>
        <v>1552380058470214</v>
      </c>
      <c r="C3603" t="s">
        <v>40</v>
      </c>
      <c r="D3603">
        <v>5.3147120000000001</v>
      </c>
      <c r="E3603">
        <v>0.51281109999999996</v>
      </c>
      <c r="F3603" t="s">
        <v>48</v>
      </c>
      <c r="G3603">
        <v>-341.38639999999998</v>
      </c>
      <c r="H3603" s="1">
        <v>-7.9900319999999996E-7</v>
      </c>
      <c r="I3603">
        <v>212.45359999999999</v>
      </c>
      <c r="J3603">
        <v>-360.8698</v>
      </c>
      <c r="K3603">
        <v>1.1087499999999999</v>
      </c>
      <c r="L3603">
        <v>213.4203</v>
      </c>
      <c r="M3603">
        <v>0.99983869999999997</v>
      </c>
      <c r="N3603">
        <v>0</v>
      </c>
      <c r="O3603">
        <v>1.604732E-2</v>
      </c>
      <c r="P3603">
        <v>0.99170389999999997</v>
      </c>
      <c r="Q3603">
        <v>0.12553110000000001</v>
      </c>
      <c r="R3603">
        <v>-2.7671810000000002E-2</v>
      </c>
      <c r="S3603">
        <v>3.0424500000000001</v>
      </c>
      <c r="T3603">
        <v>-0.16875850000000001</v>
      </c>
      <c r="U3603">
        <v>-0.145889299999999</v>
      </c>
      <c r="V3603">
        <v>4.3611169999999998E-2</v>
      </c>
      <c r="W3603">
        <v>0.13352339999999999</v>
      </c>
      <c r="X3603">
        <v>0.99008569999999996</v>
      </c>
      <c r="Y3603">
        <v>6.3797000000000006E-2</v>
      </c>
      <c r="Z3603">
        <v>-2.6559779999999998E-3</v>
      </c>
      <c r="AA3603">
        <v>0.99795940000000005</v>
      </c>
      <c r="AB3603">
        <v>50</v>
      </c>
      <c r="AC3603">
        <v>19.4834</v>
      </c>
      <c r="AD3603">
        <v>-1.1087507990031999</v>
      </c>
      <c r="AE3603">
        <v>-0.966700000000003</v>
      </c>
      <c r="AF3603">
        <v>1.2751227468144199</v>
      </c>
      <c r="AG3603">
        <v>-1.1087507990031999</v>
      </c>
      <c r="AH3603">
        <v>19.402697047278298</v>
      </c>
      <c r="AI3603">
        <v>93.263537558874205</v>
      </c>
      <c r="AJ3603">
        <v>86.239994712969803</v>
      </c>
      <c r="AK3603">
        <v>19.476137169936901</v>
      </c>
      <c r="AL3603">
        <v>82.326756555045307</v>
      </c>
      <c r="AM3603">
        <v>87.477873045950602</v>
      </c>
      <c r="AN3603">
        <v>1.0000000629204</v>
      </c>
    </row>
    <row r="3604" spans="1:40" x14ac:dyDescent="0.25">
      <c r="A3604" t="str">
        <f>"20190312164058495"</f>
        <v>20190312164058495</v>
      </c>
      <c r="B3604" t="str">
        <f>"1552380058489736"</f>
        <v>1552380058489736</v>
      </c>
      <c r="C3604" t="s">
        <v>40</v>
      </c>
      <c r="D3604">
        <v>5.6915389999999997</v>
      </c>
      <c r="E3604">
        <v>0.51305310000000004</v>
      </c>
      <c r="F3604" t="s">
        <v>48</v>
      </c>
      <c r="G3604">
        <v>-341.11799999999999</v>
      </c>
      <c r="H3604" s="1">
        <v>-9.4183719999999998E-7</v>
      </c>
      <c r="I3604">
        <v>212.44579999999999</v>
      </c>
      <c r="J3604">
        <v>-360.36070000000001</v>
      </c>
      <c r="K3604">
        <v>1.1087450000000001</v>
      </c>
      <c r="L3604">
        <v>213.42840000000001</v>
      </c>
      <c r="M3604">
        <v>0.99983940000000004</v>
      </c>
      <c r="N3604">
        <v>0</v>
      </c>
      <c r="O3604">
        <v>1.599159E-2</v>
      </c>
      <c r="P3604">
        <v>0.99166080000000001</v>
      </c>
      <c r="Q3604">
        <v>0.1257963</v>
      </c>
      <c r="R3604">
        <v>-2.8009490000000001E-2</v>
      </c>
      <c r="S3604">
        <v>3.0425420000000001</v>
      </c>
      <c r="T3604">
        <v>-0.17079059999999999</v>
      </c>
      <c r="U3604">
        <v>-0.1501007</v>
      </c>
      <c r="V3604">
        <v>4.3893479999999999E-2</v>
      </c>
      <c r="W3604">
        <v>0.13379940000000001</v>
      </c>
      <c r="X3604">
        <v>0.99003589999999997</v>
      </c>
      <c r="Y3604">
        <v>6.511306E-2</v>
      </c>
      <c r="Z3604">
        <v>-2.7215030000000001E-3</v>
      </c>
      <c r="AA3604">
        <v>0.99787420000000004</v>
      </c>
      <c r="AB3604">
        <v>50</v>
      </c>
      <c r="AC3604">
        <v>19.2426999999999</v>
      </c>
      <c r="AD3604">
        <v>-1.1087459418371901</v>
      </c>
      <c r="AE3604">
        <v>-0.98260000000001901</v>
      </c>
      <c r="AF3604">
        <v>1.28594759790931</v>
      </c>
      <c r="AG3604">
        <v>-1.1087459418371901</v>
      </c>
      <c r="AH3604">
        <v>19.161076900694798</v>
      </c>
      <c r="AI3604">
        <v>93.304281667836193</v>
      </c>
      <c r="AJ3604">
        <v>86.160495102394705</v>
      </c>
      <c r="AK3604">
        <v>19.236159876192801</v>
      </c>
      <c r="AL3604">
        <v>82.310799255786193</v>
      </c>
      <c r="AM3604">
        <v>87.461440224953506</v>
      </c>
      <c r="AN3604">
        <v>1.00000000015784</v>
      </c>
    </row>
    <row r="3605" spans="1:40" x14ac:dyDescent="0.25">
      <c r="A3605" t="str">
        <f>"20190312164058519"</f>
        <v>20190312164058519</v>
      </c>
      <c r="B3605" t="str">
        <f>"1552380058510230"</f>
        <v>1552380058510230</v>
      </c>
      <c r="C3605" t="s">
        <v>40</v>
      </c>
      <c r="D3605">
        <v>5.365049</v>
      </c>
      <c r="E3605">
        <v>0.51334809999999997</v>
      </c>
      <c r="F3605" t="s">
        <v>48</v>
      </c>
      <c r="G3605">
        <v>-340.3947</v>
      </c>
      <c r="H3605" s="1">
        <v>-1.3267459999999999E-6</v>
      </c>
      <c r="I3605">
        <v>212.42150000000001</v>
      </c>
      <c r="J3605">
        <v>-359.83519999999999</v>
      </c>
      <c r="K3605">
        <v>1.1087359999999999</v>
      </c>
      <c r="L3605">
        <v>213.43680000000001</v>
      </c>
      <c r="M3605">
        <v>0.99984030000000002</v>
      </c>
      <c r="N3605">
        <v>0</v>
      </c>
      <c r="O3605">
        <v>1.5933659999999999E-2</v>
      </c>
      <c r="P3605">
        <v>0.99167939999999999</v>
      </c>
      <c r="Q3605">
        <v>0.1256043</v>
      </c>
      <c r="R3605">
        <v>-2.82122E-2</v>
      </c>
      <c r="S3605">
        <v>3.0423279999999999</v>
      </c>
      <c r="T3605">
        <v>-0.16894609999999999</v>
      </c>
      <c r="U3605">
        <v>-0.15342709999999901</v>
      </c>
      <c r="V3605">
        <v>4.4039300000000003E-2</v>
      </c>
      <c r="W3605">
        <v>0.13361889999999901</v>
      </c>
      <c r="X3605">
        <v>0.99005379999999998</v>
      </c>
      <c r="Y3605">
        <v>6.6148209999999999E-2</v>
      </c>
      <c r="Z3605">
        <v>-2.7177640000000001E-3</v>
      </c>
      <c r="AA3605">
        <v>0.99780610000000003</v>
      </c>
      <c r="AB3605">
        <v>50</v>
      </c>
      <c r="AC3605">
        <v>19.440499999999901</v>
      </c>
      <c r="AD3605">
        <v>-1.1087373267459999</v>
      </c>
      <c r="AE3605">
        <v>-1.0152999999999901</v>
      </c>
      <c r="AF3605">
        <v>1.3206555653029599</v>
      </c>
      <c r="AG3605">
        <v>-1.1087373267459999</v>
      </c>
      <c r="AH3605">
        <v>19.359056219545401</v>
      </c>
      <c r="AI3605">
        <v>93.270294915908494</v>
      </c>
      <c r="AJ3605">
        <v>86.097385438138105</v>
      </c>
      <c r="AK3605">
        <v>19.4357013584127</v>
      </c>
      <c r="AL3605">
        <v>82.321234837451996</v>
      </c>
      <c r="AM3605">
        <v>87.453063866263804</v>
      </c>
      <c r="AN3605">
        <v>0.99999999863806899</v>
      </c>
    </row>
    <row r="3606" spans="1:40" x14ac:dyDescent="0.25">
      <c r="A3606" t="str">
        <f>"20190312164058538"</f>
        <v>20190312164058538</v>
      </c>
      <c r="B3606" t="str">
        <f>"1552380058529750"</f>
        <v>1552380058529750</v>
      </c>
      <c r="C3606" t="s">
        <v>40</v>
      </c>
      <c r="D3606">
        <v>5.2336819999999999</v>
      </c>
      <c r="E3606">
        <v>0.51352449999999905</v>
      </c>
      <c r="F3606" t="s">
        <v>42</v>
      </c>
      <c r="G3606">
        <v>-358.66140000000001</v>
      </c>
      <c r="H3606">
        <v>1.044038</v>
      </c>
      <c r="I3606">
        <v>213.37610000000001</v>
      </c>
      <c r="J3606">
        <v>-359.37650000000002</v>
      </c>
      <c r="K3606">
        <v>1.108735</v>
      </c>
      <c r="L3606">
        <v>213.44409999999999</v>
      </c>
      <c r="M3606">
        <v>0.99984099999999998</v>
      </c>
      <c r="N3606">
        <v>0</v>
      </c>
      <c r="O3606">
        <v>1.5882940000000002E-2</v>
      </c>
      <c r="P3606">
        <v>0.99169810000000003</v>
      </c>
      <c r="Q3606">
        <v>0.1255415</v>
      </c>
      <c r="R3606">
        <v>-2.7825809999999999E-2</v>
      </c>
      <c r="S3606">
        <v>3.0419619999999998</v>
      </c>
      <c r="T3606">
        <v>-0.1678067</v>
      </c>
      <c r="U3606">
        <v>-0.15655520000000001</v>
      </c>
      <c r="V3606">
        <v>4.3603379999999997E-2</v>
      </c>
      <c r="W3606">
        <v>0.1335664</v>
      </c>
      <c r="X3606">
        <v>0.99008019999999997</v>
      </c>
      <c r="Y3606">
        <v>6.7127270000000003E-2</v>
      </c>
      <c r="Z3606">
        <v>-2.723891E-3</v>
      </c>
      <c r="AA3606">
        <v>0.99774070000000004</v>
      </c>
      <c r="AB3606">
        <v>50</v>
      </c>
      <c r="AC3606">
        <v>0.71510000000000595</v>
      </c>
      <c r="AD3606">
        <v>-6.4697000000000005E-2</v>
      </c>
      <c r="AE3606">
        <v>-6.7999999999983601E-2</v>
      </c>
      <c r="AF3606">
        <v>7.8711184094738401E-2</v>
      </c>
      <c r="AG3606">
        <v>-6.4697000000000005E-2</v>
      </c>
      <c r="AH3606">
        <v>0.708184953120645</v>
      </c>
      <c r="AI3606">
        <v>95.1880581795876</v>
      </c>
      <c r="AJ3606">
        <v>83.657892848986606</v>
      </c>
      <c r="AK3606">
        <v>0.71547682012563196</v>
      </c>
      <c r="AL3606">
        <v>82.3242702391899</v>
      </c>
      <c r="AM3606">
        <v>87.478308986568507</v>
      </c>
      <c r="AN3606">
        <v>1.0000000201942101</v>
      </c>
    </row>
    <row r="3607" spans="1:40" x14ac:dyDescent="0.25">
      <c r="A3607" t="str">
        <f>"20190312164058560"</f>
        <v>20190312164058560</v>
      </c>
      <c r="B3607" t="str">
        <f>"1552380058549270"</f>
        <v>1552380058549270</v>
      </c>
      <c r="C3607" t="s">
        <v>40</v>
      </c>
      <c r="D3607">
        <v>5.2768370000000004</v>
      </c>
      <c r="E3607">
        <v>0.51368919999999996</v>
      </c>
      <c r="F3607" t="s">
        <v>42</v>
      </c>
      <c r="G3607">
        <v>-358.2122</v>
      </c>
      <c r="H3607">
        <v>1.04436</v>
      </c>
      <c r="I3607">
        <v>213.38399999999999</v>
      </c>
      <c r="J3607">
        <v>-358.8777</v>
      </c>
      <c r="K3607">
        <v>1.1087290000000001</v>
      </c>
      <c r="L3607">
        <v>213.452</v>
      </c>
      <c r="M3607">
        <v>0.9998418</v>
      </c>
      <c r="N3607">
        <v>0</v>
      </c>
      <c r="O3607">
        <v>1.5827689999999998E-2</v>
      </c>
      <c r="P3607">
        <v>0.99167479999999997</v>
      </c>
      <c r="Q3607">
        <v>0.12576519999999999</v>
      </c>
      <c r="R3607">
        <v>-2.7645139999999999E-2</v>
      </c>
      <c r="S3607">
        <v>3.0420530000000001</v>
      </c>
      <c r="T3607">
        <v>-0.168282399999999</v>
      </c>
      <c r="U3607">
        <v>-0.15655520000000001</v>
      </c>
      <c r="V3607">
        <v>4.3367719999999998E-2</v>
      </c>
      <c r="W3607">
        <v>0.13380029999999901</v>
      </c>
      <c r="X3607">
        <v>0.99005900000000002</v>
      </c>
      <c r="Y3607">
        <v>6.7070069999999996E-2</v>
      </c>
      <c r="Z3607">
        <v>-2.726886E-3</v>
      </c>
      <c r="AA3607">
        <v>0.99774459999999998</v>
      </c>
      <c r="AB3607">
        <v>50</v>
      </c>
      <c r="AC3607">
        <v>0.66550000000000797</v>
      </c>
      <c r="AD3607">
        <v>-6.4369000000000107E-2</v>
      </c>
      <c r="AE3607">
        <v>-6.7999999999983601E-2</v>
      </c>
      <c r="AF3607">
        <v>7.7804790295650406E-2</v>
      </c>
      <c r="AG3607">
        <v>-6.4369000000000107E-2</v>
      </c>
      <c r="AH3607">
        <v>0.658245857982381</v>
      </c>
      <c r="AI3607">
        <v>95.546751644397602</v>
      </c>
      <c r="AJ3607">
        <v>83.258905362734495</v>
      </c>
      <c r="AK3607">
        <v>0.66594636653781003</v>
      </c>
      <c r="AL3607">
        <v>82.310747618493593</v>
      </c>
      <c r="AM3607">
        <v>87.491866698319797</v>
      </c>
      <c r="AN3607">
        <v>1.00000005144954</v>
      </c>
    </row>
    <row r="3608" spans="1:40" x14ac:dyDescent="0.25">
      <c r="A3608" t="str">
        <f>"20190312164058583"</f>
        <v>20190312164058583</v>
      </c>
      <c r="B3608" t="str">
        <f>"1552380058569766"</f>
        <v>1552380058569766</v>
      </c>
      <c r="C3608" t="s">
        <v>40</v>
      </c>
      <c r="D3608">
        <v>5.3372099999999998</v>
      </c>
      <c r="E3608">
        <v>0.51386140000000002</v>
      </c>
      <c r="F3608" t="s">
        <v>42</v>
      </c>
      <c r="G3608">
        <v>-357.7611</v>
      </c>
      <c r="H3608">
        <v>1.046905</v>
      </c>
      <c r="I3608">
        <v>213.39410000000001</v>
      </c>
      <c r="J3608">
        <v>-358.3811</v>
      </c>
      <c r="K3608">
        <v>1.1087209999999901</v>
      </c>
      <c r="L3608">
        <v>213.4598</v>
      </c>
      <c r="M3608">
        <v>0.99984249999999997</v>
      </c>
      <c r="N3608">
        <v>0</v>
      </c>
      <c r="O3608">
        <v>1.577245E-2</v>
      </c>
      <c r="P3608">
        <v>0.99169390000000002</v>
      </c>
      <c r="Q3608">
        <v>0.1255908</v>
      </c>
      <c r="R3608">
        <v>-2.7751189999999998E-2</v>
      </c>
      <c r="S3608">
        <v>3.0421450000000001</v>
      </c>
      <c r="T3608">
        <v>-0.1685421</v>
      </c>
      <c r="U3608">
        <v>-0.15734860000000001</v>
      </c>
      <c r="V3608">
        <v>4.3419680000000002E-2</v>
      </c>
      <c r="W3608">
        <v>0.13363630000000001</v>
      </c>
      <c r="X3608">
        <v>0.99007880000000004</v>
      </c>
      <c r="Y3608">
        <v>6.7272349999999995E-2</v>
      </c>
      <c r="Z3608">
        <v>-2.7335269999999999E-3</v>
      </c>
      <c r="AA3608">
        <v>0.99773089999999998</v>
      </c>
      <c r="AB3608">
        <v>50</v>
      </c>
      <c r="AC3608">
        <v>0.62000000000000399</v>
      </c>
      <c r="AD3608">
        <v>-6.1815999999999802E-2</v>
      </c>
      <c r="AE3608">
        <v>-6.5699999999992501E-2</v>
      </c>
      <c r="AF3608">
        <v>7.4736384999009794E-2</v>
      </c>
      <c r="AG3608">
        <v>-6.1815999999999802E-2</v>
      </c>
      <c r="AH3608">
        <v>0.61286194171929997</v>
      </c>
      <c r="AI3608">
        <v>95.717557326606297</v>
      </c>
      <c r="AJ3608">
        <v>83.047307483043795</v>
      </c>
      <c r="AK3608">
        <v>0.62048892391941302</v>
      </c>
      <c r="AL3608">
        <v>82.320228723038696</v>
      </c>
      <c r="AM3608">
        <v>87.488915637015495</v>
      </c>
      <c r="AN3608">
        <v>0.99999997974921595</v>
      </c>
    </row>
    <row r="3609" spans="1:40" x14ac:dyDescent="0.25">
      <c r="A3609" t="str">
        <f>"20190312164058617"</f>
        <v>20190312164058617</v>
      </c>
      <c r="B3609" t="str">
        <f>"1552380058609782"</f>
        <v>1552380058609782</v>
      </c>
      <c r="C3609" t="s">
        <v>40</v>
      </c>
      <c r="D3609">
        <v>5.3269129999999896</v>
      </c>
      <c r="E3609">
        <v>0.51429429999999998</v>
      </c>
      <c r="F3609" t="s">
        <v>42</v>
      </c>
      <c r="G3609">
        <v>-357.30900000000003</v>
      </c>
      <c r="H3609">
        <v>1.0489900000000001</v>
      </c>
      <c r="I3609">
        <v>213.40350000000001</v>
      </c>
      <c r="J3609">
        <v>-357.6069</v>
      </c>
      <c r="K3609">
        <v>1.1087089999999999</v>
      </c>
      <c r="L3609">
        <v>213.47200000000001</v>
      </c>
      <c r="M3609">
        <v>0.99984390000000001</v>
      </c>
      <c r="N3609">
        <v>0</v>
      </c>
      <c r="O3609">
        <v>1.5685879999999999E-2</v>
      </c>
      <c r="P3609">
        <v>0.99172079999999996</v>
      </c>
      <c r="Q3609">
        <v>0.1253367</v>
      </c>
      <c r="R3609">
        <v>-2.7942890000000001E-2</v>
      </c>
      <c r="S3609">
        <v>3.0421450000000001</v>
      </c>
      <c r="T3609">
        <v>-0.16954140000000001</v>
      </c>
      <c r="U3609">
        <v>-0.15905759999999999</v>
      </c>
      <c r="V3609">
        <v>4.3526090000000003E-2</v>
      </c>
      <c r="W3609">
        <v>0.13339960000000001</v>
      </c>
      <c r="X3609">
        <v>0.99010600000000004</v>
      </c>
      <c r="Y3609">
        <v>6.7742830000000004E-2</v>
      </c>
      <c r="Z3609">
        <v>-2.7579420000000002E-3</v>
      </c>
      <c r="AA3609">
        <v>0.997699</v>
      </c>
      <c r="AB3609">
        <v>50</v>
      </c>
      <c r="AC3609">
        <v>0.29789999999997002</v>
      </c>
      <c r="AD3609">
        <v>-5.9719000000000001E-2</v>
      </c>
      <c r="AE3609">
        <v>-6.85000000000002E-2</v>
      </c>
      <c r="AF3609">
        <v>7.0474622894528896E-2</v>
      </c>
      <c r="AG3609">
        <v>-5.9719000000000001E-2</v>
      </c>
      <c r="AH3609">
        <v>0.28587725559621302</v>
      </c>
      <c r="AI3609">
        <v>101.46549134970699</v>
      </c>
      <c r="AJ3609">
        <v>76.151539596995903</v>
      </c>
      <c r="AK3609">
        <v>0.30043108477710601</v>
      </c>
      <c r="AL3609">
        <v>82.333912795110805</v>
      </c>
      <c r="AM3609">
        <v>87.482838612303993</v>
      </c>
      <c r="AN3609">
        <v>0.99999993251342101</v>
      </c>
    </row>
    <row r="3610" spans="1:40" x14ac:dyDescent="0.25">
      <c r="A3610" t="str">
        <f>"20190312164058640"</f>
        <v>20190312164058640</v>
      </c>
      <c r="B3610" t="str">
        <f>"1552380058629301"</f>
        <v>1552380058629301</v>
      </c>
      <c r="C3610" t="s">
        <v>40</v>
      </c>
      <c r="D3610">
        <v>6.5595189999999999</v>
      </c>
      <c r="E3610">
        <v>0.51460779999999995</v>
      </c>
      <c r="F3610" t="s">
        <v>48</v>
      </c>
      <c r="G3610">
        <v>-337.96850000000001</v>
      </c>
      <c r="H3610" s="1">
        <v>2.7996689999999998E-6</v>
      </c>
      <c r="I3610">
        <v>212.41990000000001</v>
      </c>
      <c r="J3610">
        <v>-357.10079999999999</v>
      </c>
      <c r="K3610">
        <v>1.1087100000000001</v>
      </c>
      <c r="L3610">
        <v>213.47989999999999</v>
      </c>
      <c r="M3610">
        <v>0.99984459999999997</v>
      </c>
      <c r="N3610">
        <v>0</v>
      </c>
      <c r="O3610">
        <v>1.562962E-2</v>
      </c>
      <c r="P3610">
        <v>0.99161089999999996</v>
      </c>
      <c r="Q3610">
        <v>0.1261738</v>
      </c>
      <c r="R3610">
        <v>-2.8071240000000001E-2</v>
      </c>
      <c r="S3610">
        <v>3.0421140000000002</v>
      </c>
      <c r="T3610">
        <v>-0.171745799999999</v>
      </c>
      <c r="U3610">
        <v>-0.16297909999999999</v>
      </c>
      <c r="V3610">
        <v>4.3597339999999998E-2</v>
      </c>
      <c r="W3610">
        <v>0.1342469</v>
      </c>
      <c r="X3610">
        <v>0.98998839999999999</v>
      </c>
      <c r="Y3610">
        <v>6.8964460000000005E-2</v>
      </c>
      <c r="Z3610">
        <v>-2.8249400000000002E-3</v>
      </c>
      <c r="AA3610">
        <v>0.99761509999999998</v>
      </c>
      <c r="AB3610">
        <v>50</v>
      </c>
      <c r="AC3610">
        <v>19.132299999999901</v>
      </c>
      <c r="AD3610">
        <v>-1.1087072003309999</v>
      </c>
      <c r="AE3610">
        <v>-1.0599999999999701</v>
      </c>
      <c r="AF3610">
        <v>1.35437675852656</v>
      </c>
      <c r="AG3610">
        <v>-1.1087072003309999</v>
      </c>
      <c r="AH3610">
        <v>19.0496192772782</v>
      </c>
      <c r="AI3610">
        <v>93.322546976434097</v>
      </c>
      <c r="AJ3610">
        <v>85.9332669874576</v>
      </c>
      <c r="AK3610">
        <v>19.129860497906201</v>
      </c>
      <c r="AL3610">
        <v>82.284925931975906</v>
      </c>
      <c r="AM3610">
        <v>87.478424345692105</v>
      </c>
      <c r="AN3610">
        <v>0.99999999517462201</v>
      </c>
    </row>
    <row r="3611" spans="1:40" x14ac:dyDescent="0.25">
      <c r="A3611" t="str">
        <f>"20190312164058661"</f>
        <v>20190312164058661</v>
      </c>
      <c r="B3611" t="str">
        <f>"1552380058649798"</f>
        <v>1552380058649798</v>
      </c>
      <c r="C3611" t="s">
        <v>40</v>
      </c>
      <c r="D3611">
        <v>5.3728999999999996</v>
      </c>
      <c r="E3611">
        <v>0.51483029999999996</v>
      </c>
      <c r="F3611" t="s">
        <v>42</v>
      </c>
      <c r="G3611">
        <v>-355.95600000000002</v>
      </c>
      <c r="H3611">
        <v>1.045318</v>
      </c>
      <c r="I3611">
        <v>213.41720000000001</v>
      </c>
      <c r="J3611">
        <v>-356.61</v>
      </c>
      <c r="K3611">
        <v>1.108716</v>
      </c>
      <c r="L3611">
        <v>213.48750000000001</v>
      </c>
      <c r="M3611">
        <v>0.99984530000000005</v>
      </c>
      <c r="N3611">
        <v>0</v>
      </c>
      <c r="O3611">
        <v>1.557472E-2</v>
      </c>
      <c r="P3611">
        <v>0.99160280000000001</v>
      </c>
      <c r="Q3611">
        <v>0.1261843</v>
      </c>
      <c r="R3611">
        <v>-2.8309009999999999E-2</v>
      </c>
      <c r="S3611">
        <v>3.0421140000000002</v>
      </c>
      <c r="T3611">
        <v>-0.1685654</v>
      </c>
      <c r="U3611">
        <v>-0.1659851</v>
      </c>
      <c r="V3611">
        <v>4.3780779999999998E-2</v>
      </c>
      <c r="W3611">
        <v>0.134271</v>
      </c>
      <c r="X3611">
        <v>0.98997710000000005</v>
      </c>
      <c r="Y3611">
        <v>6.9896130000000001E-2</v>
      </c>
      <c r="Z3611">
        <v>-2.795372E-3</v>
      </c>
      <c r="AA3611">
        <v>0.99755039999999995</v>
      </c>
      <c r="AB3611">
        <v>51</v>
      </c>
      <c r="AC3611">
        <v>0.65400000000005298</v>
      </c>
      <c r="AD3611">
        <v>-6.3397999999999996E-2</v>
      </c>
      <c r="AE3611">
        <v>-7.0300000000003096E-2</v>
      </c>
      <c r="AF3611">
        <v>7.9736939548749497E-2</v>
      </c>
      <c r="AG3611">
        <v>-6.3397999999999996E-2</v>
      </c>
      <c r="AH3611">
        <v>0.64681693064189605</v>
      </c>
      <c r="AI3611">
        <v>95.556192780668198</v>
      </c>
      <c r="AJ3611">
        <v>82.972268080849304</v>
      </c>
      <c r="AK3611">
        <v>0.65478960567315403</v>
      </c>
      <c r="AL3611">
        <v>82.283532978148102</v>
      </c>
      <c r="AM3611">
        <v>87.467799488950405</v>
      </c>
      <c r="AN3611">
        <v>1.0000000583313999</v>
      </c>
    </row>
    <row r="3612" spans="1:40" x14ac:dyDescent="0.25">
      <c r="A3612" t="str">
        <f>"20190312164058683"</f>
        <v>20190312164058683</v>
      </c>
      <c r="B3612" t="str">
        <f>"1552380058680054"</f>
        <v>1552380058680054</v>
      </c>
      <c r="C3612" t="s">
        <v>40</v>
      </c>
      <c r="D3612">
        <v>5.4043970000000003</v>
      </c>
      <c r="E3612">
        <v>0.51511609999999997</v>
      </c>
      <c r="F3612" t="s">
        <v>42</v>
      </c>
      <c r="G3612">
        <v>-355.50119999999998</v>
      </c>
      <c r="H3612">
        <v>1.0477719999999999</v>
      </c>
      <c r="I3612">
        <v>213.42599999999999</v>
      </c>
      <c r="J3612">
        <v>-356.10399999999998</v>
      </c>
      <c r="K3612">
        <v>1.108719</v>
      </c>
      <c r="L3612">
        <v>213.49539999999999</v>
      </c>
      <c r="M3612">
        <v>0.99984600000000001</v>
      </c>
      <c r="N3612">
        <v>0</v>
      </c>
      <c r="O3612">
        <v>1.5518260000000001E-2</v>
      </c>
      <c r="P3612">
        <v>0.99159810000000004</v>
      </c>
      <c r="Q3612">
        <v>0.1261756</v>
      </c>
      <c r="R3612">
        <v>-2.8510859999999999E-2</v>
      </c>
      <c r="S3612">
        <v>3.0419010000000002</v>
      </c>
      <c r="T3612">
        <v>-0.16727939999999999</v>
      </c>
      <c r="U3612">
        <v>-0.16830439999999999</v>
      </c>
      <c r="V3612">
        <v>4.3926609999999998E-2</v>
      </c>
      <c r="W3612">
        <v>0.13427990000000001</v>
      </c>
      <c r="X3612">
        <v>0.9899694</v>
      </c>
      <c r="Y3612">
        <v>7.0602890000000001E-2</v>
      </c>
      <c r="Z3612">
        <v>-2.790519E-3</v>
      </c>
      <c r="AA3612">
        <v>0.99750059999999996</v>
      </c>
      <c r="AB3612">
        <v>51</v>
      </c>
      <c r="AC3612">
        <v>0.60280000000005796</v>
      </c>
      <c r="AD3612">
        <v>-6.0947000000000001E-2</v>
      </c>
      <c r="AE3612">
        <v>-6.9400000000001599E-2</v>
      </c>
      <c r="AF3612">
        <v>7.7959842599950702E-2</v>
      </c>
      <c r="AG3612">
        <v>-6.0947000000000001E-2</v>
      </c>
      <c r="AH3612">
        <v>0.59564110125643099</v>
      </c>
      <c r="AI3612">
        <v>95.793198785529398</v>
      </c>
      <c r="AJ3612">
        <v>82.543290266491596</v>
      </c>
      <c r="AK3612">
        <v>0.60380509717389996</v>
      </c>
      <c r="AL3612">
        <v>82.283018132833504</v>
      </c>
      <c r="AM3612">
        <v>87.459356245987195</v>
      </c>
      <c r="AN3612">
        <v>1.00000002577323</v>
      </c>
    </row>
    <row r="3613" spans="1:40" x14ac:dyDescent="0.25">
      <c r="A3613" t="str">
        <f>"20190312164058707"</f>
        <v>20190312164058707</v>
      </c>
      <c r="B3613" t="str">
        <f>"1552380058699574"</f>
        <v>1552380058699574</v>
      </c>
      <c r="C3613" t="s">
        <v>40</v>
      </c>
      <c r="D3613">
        <v>5.3141290000000003</v>
      </c>
      <c r="E3613">
        <v>0.51527909999999999</v>
      </c>
      <c r="F3613" t="s">
        <v>42</v>
      </c>
      <c r="G3613">
        <v>-355.04500000000002</v>
      </c>
      <c r="H3613">
        <v>1.0506390000000001</v>
      </c>
      <c r="I3613">
        <v>213.43549999999999</v>
      </c>
      <c r="J3613">
        <v>-355.56830000000002</v>
      </c>
      <c r="K3613">
        <v>1.1087199999999999</v>
      </c>
      <c r="L3613">
        <v>213.50370000000001</v>
      </c>
      <c r="M3613">
        <v>0.99984680000000004</v>
      </c>
      <c r="N3613">
        <v>0</v>
      </c>
      <c r="O3613">
        <v>1.5458619999999999E-2</v>
      </c>
      <c r="P3613">
        <v>0.99163219999999996</v>
      </c>
      <c r="Q3613">
        <v>0.12589649999999999</v>
      </c>
      <c r="R3613">
        <v>-2.8561389999999999E-2</v>
      </c>
      <c r="S3613">
        <v>3.0417480000000001</v>
      </c>
      <c r="T3613">
        <v>-0.16691639999999999</v>
      </c>
      <c r="U3613">
        <v>-0.17111209999999999</v>
      </c>
      <c r="V3613">
        <v>4.391863E-2</v>
      </c>
      <c r="W3613">
        <v>0.13402139999999901</v>
      </c>
      <c r="X3613">
        <v>0.99000480000000002</v>
      </c>
      <c r="Y3613">
        <v>7.1463360000000004E-2</v>
      </c>
      <c r="Z3613">
        <v>-2.8048470000000001E-3</v>
      </c>
      <c r="AA3613">
        <v>0.99743930000000003</v>
      </c>
      <c r="AB3613">
        <v>51</v>
      </c>
      <c r="AC3613">
        <v>0.52330000000000598</v>
      </c>
      <c r="AD3613">
        <v>-5.8081000000000202E-2</v>
      </c>
      <c r="AE3613">
        <v>-6.8200000000018607E-2</v>
      </c>
      <c r="AF3613">
        <v>7.5368676988944894E-2</v>
      </c>
      <c r="AG3613">
        <v>-5.8081000000000202E-2</v>
      </c>
      <c r="AH3613">
        <v>0.51593364233669603</v>
      </c>
      <c r="AI3613">
        <v>96.356104251269201</v>
      </c>
      <c r="AJ3613">
        <v>81.688898296062703</v>
      </c>
      <c r="AK3613">
        <v>0.52463450451421301</v>
      </c>
      <c r="AL3613">
        <v>82.297964322145006</v>
      </c>
      <c r="AM3613">
        <v>87.459907902974805</v>
      </c>
      <c r="AN3613">
        <v>1.0000000428710301</v>
      </c>
    </row>
    <row r="3614" spans="1:40" x14ac:dyDescent="0.25">
      <c r="A3614" t="str">
        <f>"20190312164058729"</f>
        <v>20190312164058729</v>
      </c>
      <c r="B3614" t="str">
        <f>"1552380058720070"</f>
        <v>1552380058720070</v>
      </c>
      <c r="C3614" t="s">
        <v>40</v>
      </c>
      <c r="D3614">
        <v>5.395842</v>
      </c>
      <c r="E3614">
        <v>0.51550609999999997</v>
      </c>
      <c r="F3614" t="s">
        <v>42</v>
      </c>
      <c r="G3614">
        <v>-354.58730000000003</v>
      </c>
      <c r="H3614">
        <v>1.0546709999999999</v>
      </c>
      <c r="I3614">
        <v>213.4479</v>
      </c>
      <c r="J3614">
        <v>-355.05889999999999</v>
      </c>
      <c r="K3614">
        <v>1.1087119999999999</v>
      </c>
      <c r="L3614">
        <v>213.51150000000001</v>
      </c>
      <c r="M3614">
        <v>0.99984759999999995</v>
      </c>
      <c r="N3614">
        <v>0</v>
      </c>
      <c r="O3614">
        <v>1.540064E-2</v>
      </c>
      <c r="P3614">
        <v>0.99159059999999999</v>
      </c>
      <c r="Q3614">
        <v>0.12621559999999901</v>
      </c>
      <c r="R3614">
        <v>-2.860211E-2</v>
      </c>
      <c r="S3614">
        <v>3.0416259999999999</v>
      </c>
      <c r="T3614">
        <v>-0.16760899999999901</v>
      </c>
      <c r="U3614">
        <v>-0.17272950000000001</v>
      </c>
      <c r="V3614">
        <v>4.3901559999999999E-2</v>
      </c>
      <c r="W3614">
        <v>0.1343626</v>
      </c>
      <c r="X3614">
        <v>0.98995920000000004</v>
      </c>
      <c r="Y3614">
        <v>7.1934750000000006E-2</v>
      </c>
      <c r="Z3614">
        <v>-2.8263170000000001E-3</v>
      </c>
      <c r="AA3614">
        <v>0.9974054</v>
      </c>
      <c r="AB3614">
        <v>51</v>
      </c>
      <c r="AC3614">
        <v>0.47159999999996599</v>
      </c>
      <c r="AD3614">
        <v>-5.40410000000002E-2</v>
      </c>
      <c r="AE3614">
        <v>-6.3600000000008095E-2</v>
      </c>
      <c r="AF3614">
        <v>6.9953489587605097E-2</v>
      </c>
      <c r="AG3614">
        <v>-5.40410000000002E-2</v>
      </c>
      <c r="AH3614">
        <v>0.46457318880024301</v>
      </c>
      <c r="AI3614">
        <v>96.561738610436805</v>
      </c>
      <c r="AJ3614">
        <v>81.436970961104393</v>
      </c>
      <c r="AK3614">
        <v>0.472908202655134</v>
      </c>
      <c r="AL3614">
        <v>82.278235745632898</v>
      </c>
      <c r="AM3614">
        <v>87.460777072181003</v>
      </c>
      <c r="AN3614">
        <v>0.99999993645691398</v>
      </c>
    </row>
    <row r="3615" spans="1:40" x14ac:dyDescent="0.25">
      <c r="A3615" t="str">
        <f>"20190312164058751"</f>
        <v>20190312164058751</v>
      </c>
      <c r="B3615" t="str">
        <f>"1552380058739860"</f>
        <v>1552380058739860</v>
      </c>
      <c r="C3615" t="s">
        <v>40</v>
      </c>
      <c r="D3615">
        <v>5.4019149999999998</v>
      </c>
      <c r="E3615">
        <v>0.5156965</v>
      </c>
      <c r="F3615" t="s">
        <v>48</v>
      </c>
      <c r="G3615">
        <v>-334.66469999999998</v>
      </c>
      <c r="H3615" s="1">
        <v>1.045077E-6</v>
      </c>
      <c r="I3615">
        <v>212.33869999999999</v>
      </c>
      <c r="J3615">
        <v>-354.57670000000002</v>
      </c>
      <c r="K3615">
        <v>1.1087119999999999</v>
      </c>
      <c r="L3615">
        <v>213.5189</v>
      </c>
      <c r="M3615">
        <v>0.99984810000000002</v>
      </c>
      <c r="N3615">
        <v>0</v>
      </c>
      <c r="O3615">
        <v>1.5344500000000001E-2</v>
      </c>
      <c r="P3615">
        <v>0.99164240000000003</v>
      </c>
      <c r="Q3615">
        <v>0.12586049999999999</v>
      </c>
      <c r="R3615">
        <v>-2.83611E-2</v>
      </c>
      <c r="S3615">
        <v>3.0414119999999998</v>
      </c>
      <c r="T3615">
        <v>-0.1653433</v>
      </c>
      <c r="U3615">
        <v>-0.1749115</v>
      </c>
      <c r="V3615">
        <v>4.3606109999999997E-2</v>
      </c>
      <c r="W3615">
        <v>0.13403139999999999</v>
      </c>
      <c r="X3615">
        <v>0.99001719999999904</v>
      </c>
      <c r="Y3615">
        <v>7.2598579999999996E-2</v>
      </c>
      <c r="Z3615">
        <v>-2.803275E-3</v>
      </c>
      <c r="AA3615">
        <v>0.9973573</v>
      </c>
      <c r="AB3615">
        <v>51</v>
      </c>
      <c r="AC3615">
        <v>19.911999999999999</v>
      </c>
      <c r="AD3615">
        <v>-1.1087109549230001</v>
      </c>
      <c r="AE3615">
        <v>-1.1802000000000099</v>
      </c>
      <c r="AF3615">
        <v>1.4810355493897001</v>
      </c>
      <c r="AG3615">
        <v>-1.1087109549230001</v>
      </c>
      <c r="AH3615">
        <v>19.830280283577601</v>
      </c>
      <c r="AI3615">
        <v>93.1912060170921</v>
      </c>
      <c r="AJ3615">
        <v>85.7287625127788</v>
      </c>
      <c r="AK3615">
        <v>19.916393308161201</v>
      </c>
      <c r="AL3615">
        <v>82.297385681318502</v>
      </c>
      <c r="AM3615">
        <v>87.477991036466804</v>
      </c>
      <c r="AN3615">
        <v>0.999999982655565</v>
      </c>
    </row>
    <row r="3616" spans="1:40" x14ac:dyDescent="0.25">
      <c r="A3616" t="str">
        <f>"20190312164058774"</f>
        <v>20190312164058774</v>
      </c>
      <c r="B3616" t="str">
        <f>"1552380058770116"</f>
        <v>1552380058770116</v>
      </c>
      <c r="C3616" t="s">
        <v>40</v>
      </c>
      <c r="D3616">
        <v>5.5349250000000003</v>
      </c>
      <c r="E3616">
        <v>0.51553509999999902</v>
      </c>
      <c r="F3616" t="s">
        <v>48</v>
      </c>
      <c r="G3616">
        <v>-334.25839999999999</v>
      </c>
      <c r="H3616" s="1">
        <v>8.2855520000000001E-7</v>
      </c>
      <c r="I3616">
        <v>212.3459</v>
      </c>
      <c r="J3616">
        <v>-354.07159999999999</v>
      </c>
      <c r="K3616">
        <v>1.1087009999999999</v>
      </c>
      <c r="L3616">
        <v>213.52670000000001</v>
      </c>
      <c r="M3616">
        <v>0.99984879999999998</v>
      </c>
      <c r="N3616">
        <v>0</v>
      </c>
      <c r="O3616">
        <v>1.5283639999999999E-2</v>
      </c>
      <c r="P3616">
        <v>0.9916372</v>
      </c>
      <c r="Q3616">
        <v>0.1258504</v>
      </c>
      <c r="R3616">
        <v>-2.8588200000000001E-2</v>
      </c>
      <c r="S3616">
        <v>3.0413510000000001</v>
      </c>
      <c r="T3616">
        <v>-0.16595799999999999</v>
      </c>
      <c r="U3616">
        <v>-0.17558289999999999</v>
      </c>
      <c r="V3616">
        <v>4.3773430000000002E-2</v>
      </c>
      <c r="W3616">
        <v>0.13404460000000001</v>
      </c>
      <c r="X3616">
        <v>0.99000809999999995</v>
      </c>
      <c r="Y3616">
        <v>7.2757340000000004E-2</v>
      </c>
      <c r="Z3616">
        <v>-2.8147300000000001E-3</v>
      </c>
      <c r="AA3616">
        <v>0.9973457</v>
      </c>
      <c r="AB3616">
        <v>51</v>
      </c>
      <c r="AC3616">
        <v>19.813199999999899</v>
      </c>
      <c r="AD3616">
        <v>-1.1087001714447999</v>
      </c>
      <c r="AE3616">
        <v>-1.1808000000000001</v>
      </c>
      <c r="AF3616">
        <v>1.4788759482965701</v>
      </c>
      <c r="AG3616">
        <v>-1.1087001714447999</v>
      </c>
      <c r="AH3616">
        <v>19.731273022832099</v>
      </c>
      <c r="AI3616">
        <v>93.207091151995897</v>
      </c>
      <c r="AJ3616">
        <v>85.713646255797698</v>
      </c>
      <c r="AK3616">
        <v>19.817654382952501</v>
      </c>
      <c r="AL3616">
        <v>82.296623035415294</v>
      </c>
      <c r="AM3616">
        <v>87.468303220385593</v>
      </c>
      <c r="AN3616">
        <v>1.00000005301436</v>
      </c>
    </row>
    <row r="3617" spans="1:40" x14ac:dyDescent="0.25">
      <c r="A3617" t="str">
        <f>"20190312164058796"</f>
        <v>20190312164058796</v>
      </c>
      <c r="B3617" t="str">
        <f>"1552380058789636"</f>
        <v>1552380058789636</v>
      </c>
      <c r="C3617" t="s">
        <v>40</v>
      </c>
      <c r="D3617">
        <v>5.6185159999999996</v>
      </c>
      <c r="E3617">
        <v>0.48911979999999999</v>
      </c>
      <c r="F3617" t="s">
        <v>48</v>
      </c>
      <c r="G3617">
        <v>-333.84010000000001</v>
      </c>
      <c r="H3617" s="1">
        <v>6.0528090000000001E-7</v>
      </c>
      <c r="I3617">
        <v>212.36089999999999</v>
      </c>
      <c r="J3617">
        <v>-353.53750000000002</v>
      </c>
      <c r="K3617">
        <v>1.1087020000000001</v>
      </c>
      <c r="L3617">
        <v>213.53479999999999</v>
      </c>
      <c r="M3617">
        <v>0.99984969999999995</v>
      </c>
      <c r="N3617">
        <v>0</v>
      </c>
      <c r="O3617">
        <v>1.5216749999999999E-2</v>
      </c>
      <c r="P3617">
        <v>0.991699</v>
      </c>
      <c r="Q3617">
        <v>0.1254633</v>
      </c>
      <c r="R3617">
        <v>-2.8145469999999999E-2</v>
      </c>
      <c r="S3617">
        <v>3.0414119999999998</v>
      </c>
      <c r="T3617">
        <v>-0.1666714</v>
      </c>
      <c r="U3617">
        <v>-0.17524719999999999</v>
      </c>
      <c r="V3617">
        <v>4.3266069999999997E-2</v>
      </c>
      <c r="W3617">
        <v>0.13368169999999999</v>
      </c>
      <c r="X3617">
        <v>0.99007940000000005</v>
      </c>
      <c r="Y3617">
        <v>7.2578999999999894E-2</v>
      </c>
      <c r="Z3617">
        <v>-2.8182239999999998E-3</v>
      </c>
      <c r="AA3617">
        <v>0.99735870000000004</v>
      </c>
      <c r="AB3617">
        <v>51</v>
      </c>
      <c r="AC3617">
        <v>19.697399999999998</v>
      </c>
      <c r="AD3617">
        <v>-1.1087013947191</v>
      </c>
      <c r="AE3617">
        <v>-1.1738999999999999</v>
      </c>
      <c r="AF3617">
        <v>1.4688676483316201</v>
      </c>
      <c r="AG3617">
        <v>-1.1087013947191</v>
      </c>
      <c r="AH3617">
        <v>19.6153305166157</v>
      </c>
      <c r="AI3617">
        <v>93.226027409849095</v>
      </c>
      <c r="AJ3617">
        <v>85.717475504044899</v>
      </c>
      <c r="AK3617">
        <v>19.701471575165201</v>
      </c>
      <c r="AL3617">
        <v>82.317603976429098</v>
      </c>
      <c r="AM3617">
        <v>87.497789546190504</v>
      </c>
      <c r="AN3617">
        <v>0.99999998401624701</v>
      </c>
    </row>
    <row r="3618" spans="1:40" x14ac:dyDescent="0.25">
      <c r="A3618" t="str">
        <f>"20190312164058818"</f>
        <v>20190312164058818</v>
      </c>
      <c r="B3618" t="str">
        <f>"1552380058810135"</f>
        <v>1552380058810135</v>
      </c>
      <c r="C3618" t="s">
        <v>40</v>
      </c>
      <c r="D3618">
        <v>5.5691800000000002</v>
      </c>
      <c r="E3618">
        <v>0.48653419999999997</v>
      </c>
      <c r="F3618" t="s">
        <v>48</v>
      </c>
      <c r="G3618">
        <v>-332.38639999999998</v>
      </c>
      <c r="H3618" s="1">
        <v>-2.3056719999999999E-7</v>
      </c>
      <c r="I3618">
        <v>213.78620000000001</v>
      </c>
      <c r="J3618">
        <v>-353.03840000000002</v>
      </c>
      <c r="K3618">
        <v>1.108703</v>
      </c>
      <c r="L3618">
        <v>213.54230000000001</v>
      </c>
      <c r="M3618">
        <v>0.99985069999999998</v>
      </c>
      <c r="N3618">
        <v>0</v>
      </c>
      <c r="O3618">
        <v>1.515071E-2</v>
      </c>
      <c r="P3618">
        <v>0.99169399999999996</v>
      </c>
      <c r="Q3618">
        <v>0.12549969999999999</v>
      </c>
      <c r="R3618">
        <v>-2.8165889999999999E-2</v>
      </c>
      <c r="S3618">
        <v>3.0463260000000001</v>
      </c>
      <c r="T3618">
        <v>-0.15968280000000001</v>
      </c>
      <c r="U3618">
        <v>3.6209110000000003E-2</v>
      </c>
      <c r="V3618">
        <v>4.3221629999999997E-2</v>
      </c>
      <c r="W3618">
        <v>0.13373979999999999</v>
      </c>
      <c r="X3618">
        <v>0.99007350000000005</v>
      </c>
      <c r="Y3618">
        <v>3.2409639999999998E-3</v>
      </c>
      <c r="Z3618">
        <v>-8.7846750000000003E-4</v>
      </c>
      <c r="AA3618">
        <v>0.9999943</v>
      </c>
      <c r="AB3618">
        <v>51</v>
      </c>
      <c r="AC3618">
        <v>20.652000000000001</v>
      </c>
      <c r="AD3618">
        <v>-1.1087032305672</v>
      </c>
      <c r="AE3618">
        <v>0.24389999999999601</v>
      </c>
      <c r="AF3618">
        <v>6.88329055327805E-2</v>
      </c>
      <c r="AG3618">
        <v>-1.1087032305672</v>
      </c>
      <c r="AH3618">
        <v>20.593979545803101</v>
      </c>
      <c r="AI3618">
        <v>93.081599498700498</v>
      </c>
      <c r="AJ3618">
        <v>89.808496445099905</v>
      </c>
      <c r="AK3618">
        <v>20.623917046849101</v>
      </c>
      <c r="AL3618">
        <v>82.314244970335096</v>
      </c>
      <c r="AM3618">
        <v>87.500341510199405</v>
      </c>
      <c r="AN3618">
        <v>0.999999989403073</v>
      </c>
    </row>
    <row r="3619" spans="1:40" x14ac:dyDescent="0.25">
      <c r="A3619" t="str">
        <f>"20190312164058840"</f>
        <v>20190312164058840</v>
      </c>
      <c r="B3619" t="str">
        <f>"1552380058829652"</f>
        <v>1552380058829652</v>
      </c>
      <c r="C3619" t="s">
        <v>40</v>
      </c>
      <c r="D3619">
        <v>5.577915</v>
      </c>
      <c r="E3619">
        <v>0.48738619999999999</v>
      </c>
      <c r="F3619" t="s">
        <v>42</v>
      </c>
      <c r="G3619">
        <v>-351.86</v>
      </c>
      <c r="H3619">
        <v>1.033892</v>
      </c>
      <c r="I3619">
        <v>213.56489999999999</v>
      </c>
      <c r="J3619">
        <v>-352.53899999999999</v>
      </c>
      <c r="K3619">
        <v>1.1087049999999901</v>
      </c>
      <c r="L3619">
        <v>213.54990000000001</v>
      </c>
      <c r="M3619">
        <v>0.9998515</v>
      </c>
      <c r="N3619">
        <v>0</v>
      </c>
      <c r="O3619">
        <v>1.5080130000000001E-2</v>
      </c>
      <c r="P3619">
        <v>0.99168469999999997</v>
      </c>
      <c r="Q3619">
        <v>0.12544089999999999</v>
      </c>
      <c r="R3619">
        <v>-2.8742400000000001E-2</v>
      </c>
      <c r="S3619">
        <v>3.0512999999999999</v>
      </c>
      <c r="T3619">
        <v>-0.19371910000000001</v>
      </c>
      <c r="U3619">
        <v>5.9005740000000001E-2</v>
      </c>
      <c r="V3619">
        <v>4.3729230000000001E-2</v>
      </c>
      <c r="W3619">
        <v>0.13370009999999999</v>
      </c>
      <c r="X3619">
        <v>0.99005659999999895</v>
      </c>
      <c r="Y3619">
        <v>-4.2759909999999998E-3</v>
      </c>
      <c r="Z3619">
        <v>-8.2073149999999995E-4</v>
      </c>
      <c r="AA3619">
        <v>0.9999905</v>
      </c>
      <c r="AB3619">
        <v>51</v>
      </c>
      <c r="AC3619">
        <v>0.67899999999997296</v>
      </c>
      <c r="AD3619">
        <v>-7.4812999999999796E-2</v>
      </c>
      <c r="AE3619">
        <v>1.49999999999863E-2</v>
      </c>
      <c r="AF3619">
        <v>-4.7014821383708199E-3</v>
      </c>
      <c r="AG3619">
        <v>-7.4812999999999796E-2</v>
      </c>
      <c r="AH3619">
        <v>0.67100701933737905</v>
      </c>
      <c r="AI3619">
        <v>96.361684699937101</v>
      </c>
      <c r="AJ3619">
        <v>90.401442411554399</v>
      </c>
      <c r="AK3619">
        <v>0.67518109341370902</v>
      </c>
      <c r="AL3619">
        <v>82.316540437519606</v>
      </c>
      <c r="AM3619">
        <v>87.470980001864206</v>
      </c>
      <c r="AN3619">
        <v>1.0000000167499801</v>
      </c>
    </row>
    <row r="3620" spans="1:40" x14ac:dyDescent="0.25">
      <c r="A3620" t="str">
        <f>"20190312164058862"</f>
        <v>20190312164058862</v>
      </c>
      <c r="B3620" t="str">
        <f>"1552380058850148"</f>
        <v>1552380058850148</v>
      </c>
      <c r="C3620" t="s">
        <v>40</v>
      </c>
      <c r="D3620">
        <v>5.5475149999999998</v>
      </c>
      <c r="E3620">
        <v>0.48746070000000002</v>
      </c>
      <c r="F3620" t="s">
        <v>42</v>
      </c>
      <c r="G3620">
        <v>-351.40019999999998</v>
      </c>
      <c r="H3620">
        <v>1.0356780000000001</v>
      </c>
      <c r="I3620">
        <v>213.56870000000001</v>
      </c>
      <c r="J3620">
        <v>-352.03300000000002</v>
      </c>
      <c r="K3620">
        <v>1.1087</v>
      </c>
      <c r="L3620">
        <v>213.5575</v>
      </c>
      <c r="M3620">
        <v>0.99985250000000003</v>
      </c>
      <c r="N3620">
        <v>0</v>
      </c>
      <c r="O3620">
        <v>1.500425E-2</v>
      </c>
      <c r="P3620">
        <v>0.99172579999999999</v>
      </c>
      <c r="Q3620">
        <v>0.12518580000000001</v>
      </c>
      <c r="R3620">
        <v>-2.8436309999999999E-2</v>
      </c>
      <c r="S3620">
        <v>3.0514220000000001</v>
      </c>
      <c r="T3620">
        <v>-0.19576199999999999</v>
      </c>
      <c r="U3620">
        <v>5.1132200000000003E-2</v>
      </c>
      <c r="V3620">
        <v>4.3349699999999998E-2</v>
      </c>
      <c r="W3620">
        <v>0.13346479999999999</v>
      </c>
      <c r="X3620">
        <v>0.99010500000000001</v>
      </c>
      <c r="Y3620">
        <v>-1.7771169999999999E-3</v>
      </c>
      <c r="Z3620">
        <v>-9.0456640000000001E-4</v>
      </c>
      <c r="AA3620">
        <v>0.99999800000000005</v>
      </c>
      <c r="AB3620">
        <v>51</v>
      </c>
      <c r="AC3620">
        <v>0.632800000000031</v>
      </c>
      <c r="AD3620">
        <v>-7.3021999999999906E-2</v>
      </c>
      <c r="AE3620">
        <v>1.12000000000023E-2</v>
      </c>
      <c r="AF3620">
        <v>-1.68133640262758E-3</v>
      </c>
      <c r="AG3620">
        <v>-7.3021999999999906E-2</v>
      </c>
      <c r="AH3620">
        <v>0.62458246479179502</v>
      </c>
      <c r="AI3620">
        <v>96.668342263244597</v>
      </c>
      <c r="AJ3620">
        <v>90.154236233883296</v>
      </c>
      <c r="AK3620">
        <v>0.62883884636804399</v>
      </c>
      <c r="AL3620">
        <v>82.330143771694097</v>
      </c>
      <c r="AM3620">
        <v>87.493023869056799</v>
      </c>
      <c r="AN3620">
        <v>0.99999998017706404</v>
      </c>
    </row>
    <row r="3621" spans="1:40" x14ac:dyDescent="0.25">
      <c r="A3621" t="str">
        <f>"20190312164058885"</f>
        <v>20190312164058885</v>
      </c>
      <c r="B3621" t="str">
        <f>"1552380058879428"</f>
        <v>1552380058879428</v>
      </c>
      <c r="C3621" t="s">
        <v>40</v>
      </c>
      <c r="D3621">
        <v>5.7097319999999998</v>
      </c>
      <c r="E3621">
        <v>0.48702620000000002</v>
      </c>
      <c r="F3621" t="s">
        <v>42</v>
      </c>
      <c r="G3621">
        <v>-350.93880000000001</v>
      </c>
      <c r="H3621">
        <v>1.037871</v>
      </c>
      <c r="I3621">
        <v>213.57560000000001</v>
      </c>
      <c r="J3621">
        <v>-351.50920000000002</v>
      </c>
      <c r="K3621">
        <v>1.1086910000000001</v>
      </c>
      <c r="L3621">
        <v>213.56530000000001</v>
      </c>
      <c r="M3621">
        <v>0.99985360000000001</v>
      </c>
      <c r="N3621">
        <v>0</v>
      </c>
      <c r="O3621">
        <v>1.4919419999999999E-2</v>
      </c>
      <c r="P3621">
        <v>0.99174030000000002</v>
      </c>
      <c r="Q3621">
        <v>0.12502939999999901</v>
      </c>
      <c r="R3621">
        <v>-2.861967E-2</v>
      </c>
      <c r="S3621">
        <v>3.0514220000000001</v>
      </c>
      <c r="T3621">
        <v>-0.19754430000000001</v>
      </c>
      <c r="U3621">
        <v>5.0674440000000001E-2</v>
      </c>
      <c r="V3621">
        <v>4.345073E-2</v>
      </c>
      <c r="W3621">
        <v>0.13332769999999999</v>
      </c>
      <c r="X3621">
        <v>0.99011899999999997</v>
      </c>
      <c r="Y3621">
        <v>-1.7124410000000001E-3</v>
      </c>
      <c r="Z3621">
        <v>-9.093924E-4</v>
      </c>
      <c r="AA3621">
        <v>0.9999981</v>
      </c>
      <c r="AB3621">
        <v>51</v>
      </c>
      <c r="AC3621">
        <v>0.57040000000000601</v>
      </c>
      <c r="AD3621">
        <v>-7.0820000000000105E-2</v>
      </c>
      <c r="AE3621">
        <v>1.03000000000008E-2</v>
      </c>
      <c r="AF3621">
        <v>-1.7613743652219701E-3</v>
      </c>
      <c r="AG3621">
        <v>-7.0820000000000105E-2</v>
      </c>
      <c r="AH3621">
        <v>0.56183218000666002</v>
      </c>
      <c r="AI3621">
        <v>97.184314535270204</v>
      </c>
      <c r="AJ3621">
        <v>90.179624788739901</v>
      </c>
      <c r="AK3621">
        <v>0.56628082550152703</v>
      </c>
      <c r="AL3621">
        <v>82.338069534093904</v>
      </c>
      <c r="AM3621">
        <v>87.487224122699203</v>
      </c>
      <c r="AN3621">
        <v>0.99999993784290897</v>
      </c>
    </row>
    <row r="3622" spans="1:40" x14ac:dyDescent="0.25">
      <c r="A3622" t="str">
        <f>"20190312164058908"</f>
        <v>20190312164058908</v>
      </c>
      <c r="B3622" t="str">
        <f>"1552380058899924"</f>
        <v>1552380058899924</v>
      </c>
      <c r="C3622" t="s">
        <v>40</v>
      </c>
      <c r="D3622">
        <v>5.5014260000000004</v>
      </c>
      <c r="E3622">
        <v>0.48669499999999999</v>
      </c>
      <c r="F3622" t="s">
        <v>48</v>
      </c>
      <c r="G3622">
        <v>-332.92910000000001</v>
      </c>
      <c r="H3622" s="1">
        <v>5.3842159999999998E-8</v>
      </c>
      <c r="I3622">
        <v>213.88659999999999</v>
      </c>
      <c r="J3622">
        <v>-350.96850000000001</v>
      </c>
      <c r="K3622">
        <v>1.1086769999999999</v>
      </c>
      <c r="L3622">
        <v>213.57329999999999</v>
      </c>
      <c r="M3622">
        <v>0.99985500000000005</v>
      </c>
      <c r="N3622">
        <v>0</v>
      </c>
      <c r="O3622">
        <v>1.482258E-2</v>
      </c>
      <c r="P3622">
        <v>0.99169450000000003</v>
      </c>
      <c r="Q3622">
        <v>0.12537770000000001</v>
      </c>
      <c r="R3622">
        <v>-2.868826E-2</v>
      </c>
      <c r="S3622">
        <v>3.0494080000000001</v>
      </c>
      <c r="T3622">
        <v>-0.1819607</v>
      </c>
      <c r="U3622">
        <v>5.2734379999999997E-2</v>
      </c>
      <c r="V3622">
        <v>4.3424879999999999E-2</v>
      </c>
      <c r="W3622">
        <v>0.13369400000000001</v>
      </c>
      <c r="X3622">
        <v>0.99007080000000003</v>
      </c>
      <c r="Y3622">
        <v>-2.4898720000000002E-3</v>
      </c>
      <c r="Z3622">
        <v>-8.0938769999999998E-4</v>
      </c>
      <c r="AA3622">
        <v>0.99999649999999995</v>
      </c>
      <c r="AB3622">
        <v>51</v>
      </c>
      <c r="AC3622">
        <v>18.039400000000001</v>
      </c>
      <c r="AD3622">
        <v>-1.1086769461578401</v>
      </c>
      <c r="AE3622">
        <v>0.31329999999999802</v>
      </c>
      <c r="AF3622">
        <v>-4.5693194718129299E-2</v>
      </c>
      <c r="AG3622">
        <v>-1.1086769461578401</v>
      </c>
      <c r="AH3622">
        <v>17.974191123246602</v>
      </c>
      <c r="AI3622">
        <v>93.529612468632195</v>
      </c>
      <c r="AJ3622">
        <v>90.145654486044606</v>
      </c>
      <c r="AK3622">
        <v>18.0084091183531</v>
      </c>
      <c r="AL3622">
        <v>82.316892958590003</v>
      </c>
      <c r="AM3622">
        <v>87.488595024560695</v>
      </c>
      <c r="AN3622">
        <v>0.99999999742582701</v>
      </c>
    </row>
    <row r="3623" spans="1:40" x14ac:dyDescent="0.25">
      <c r="A3623" t="str">
        <f>"20190312164058931"</f>
        <v>20190312164058931</v>
      </c>
      <c r="B3623" t="str">
        <f>"1552380058919443"</f>
        <v>1552380058919443</v>
      </c>
      <c r="C3623" t="s">
        <v>40</v>
      </c>
      <c r="D3623">
        <v>5.5571859999999997</v>
      </c>
      <c r="E3623">
        <v>0.48676750000000002</v>
      </c>
      <c r="F3623" t="s">
        <v>48</v>
      </c>
      <c r="G3623">
        <v>-331.54880000000003</v>
      </c>
      <c r="H3623" s="1">
        <v>-6.823584E-7</v>
      </c>
      <c r="I3623">
        <v>213.92429999999999</v>
      </c>
      <c r="J3623">
        <v>-350.45389999999998</v>
      </c>
      <c r="K3623">
        <v>1.108662</v>
      </c>
      <c r="L3623">
        <v>213.58090000000001</v>
      </c>
      <c r="M3623">
        <v>0.99985619999999997</v>
      </c>
      <c r="N3623">
        <v>0</v>
      </c>
      <c r="O3623">
        <v>1.472067E-2</v>
      </c>
      <c r="P3623">
        <v>0.99169300000000005</v>
      </c>
      <c r="Q3623">
        <v>0.12537760000000001</v>
      </c>
      <c r="R3623">
        <v>-2.8738969999999999E-2</v>
      </c>
      <c r="S3623">
        <v>3.0486759999999999</v>
      </c>
      <c r="T3623">
        <v>-0.17405000000000001</v>
      </c>
      <c r="U3623">
        <v>5.5099490000000001E-2</v>
      </c>
      <c r="V3623">
        <v>4.3377430000000002E-2</v>
      </c>
      <c r="W3623">
        <v>0.13371050000000001</v>
      </c>
      <c r="X3623">
        <v>0.99007060000000002</v>
      </c>
      <c r="Y3623">
        <v>-3.3680350000000001E-3</v>
      </c>
      <c r="Z3623">
        <v>-7.4358020000000005E-4</v>
      </c>
      <c r="AA3623">
        <v>0.99999400000000005</v>
      </c>
      <c r="AB3623">
        <v>51</v>
      </c>
      <c r="AC3623">
        <v>18.905099999999901</v>
      </c>
      <c r="AD3623">
        <v>-1.1086626823583901</v>
      </c>
      <c r="AE3623">
        <v>0.343399999999974</v>
      </c>
      <c r="AF3623">
        <v>-6.4834290309203096E-2</v>
      </c>
      <c r="AG3623">
        <v>-1.1086626823583901</v>
      </c>
      <c r="AH3623">
        <v>18.843324530802999</v>
      </c>
      <c r="AI3623">
        <v>93.367143251726205</v>
      </c>
      <c r="AJ3623">
        <v>90.197137004014394</v>
      </c>
      <c r="AK3623">
        <v>18.876022245208699</v>
      </c>
      <c r="AL3623">
        <v>82.315938616609003</v>
      </c>
      <c r="AM3623">
        <v>87.491335201683</v>
      </c>
      <c r="AN3623">
        <v>0.999999946114006</v>
      </c>
    </row>
    <row r="3624" spans="1:40" x14ac:dyDescent="0.25">
      <c r="A3624" t="str">
        <f>"20190312164058951"</f>
        <v>20190312164058951</v>
      </c>
      <c r="B3624" t="str">
        <f>"1552380058939940"</f>
        <v>1552380058939940</v>
      </c>
      <c r="C3624" t="s">
        <v>40</v>
      </c>
      <c r="D3624">
        <v>5.4671419999999999</v>
      </c>
      <c r="E3624">
        <v>0.48669220000000002</v>
      </c>
      <c r="F3624" t="s">
        <v>48</v>
      </c>
      <c r="G3624">
        <v>-330.6567</v>
      </c>
      <c r="H3624" s="1">
        <v>-1.157488E-6</v>
      </c>
      <c r="I3624">
        <v>213.9341</v>
      </c>
      <c r="J3624">
        <v>-349.9674</v>
      </c>
      <c r="K3624">
        <v>1.1086499999999999</v>
      </c>
      <c r="L3624">
        <v>213.58799999999999</v>
      </c>
      <c r="M3624">
        <v>0.99985769999999996</v>
      </c>
      <c r="N3624">
        <v>0</v>
      </c>
      <c r="O3624">
        <v>1.4614220000000001E-2</v>
      </c>
      <c r="P3624">
        <v>0.99169200000000002</v>
      </c>
      <c r="Q3624">
        <v>0.1253475</v>
      </c>
      <c r="R3624">
        <v>-2.890208E-2</v>
      </c>
      <c r="S3624">
        <v>3.048279</v>
      </c>
      <c r="T3624">
        <v>-0.17070729999999901</v>
      </c>
      <c r="U3624">
        <v>5.4382319999999998E-2</v>
      </c>
      <c r="V3624">
        <v>4.3438129999999998E-2</v>
      </c>
      <c r="W3624">
        <v>0.13369439999999999</v>
      </c>
      <c r="X3624">
        <v>0.99007020000000001</v>
      </c>
      <c r="Y3624">
        <v>-3.24099E-3</v>
      </c>
      <c r="Z3624">
        <v>-7.2701789999999895E-4</v>
      </c>
      <c r="AA3624">
        <v>0.99999450000000001</v>
      </c>
      <c r="AB3624">
        <v>52</v>
      </c>
      <c r="AC3624">
        <v>19.310700000000001</v>
      </c>
      <c r="AD3624">
        <v>-1.10865115748799</v>
      </c>
      <c r="AE3624">
        <v>0.34610000000000601</v>
      </c>
      <c r="AF3624">
        <v>-6.3632529741006402E-2</v>
      </c>
      <c r="AG3624">
        <v>-1.10865115748799</v>
      </c>
      <c r="AH3624">
        <v>19.2502662932283</v>
      </c>
      <c r="AI3624">
        <v>93.296089335925799</v>
      </c>
      <c r="AJ3624">
        <v>90.189392814595294</v>
      </c>
      <c r="AK3624">
        <v>19.282269286783698</v>
      </c>
      <c r="AL3624">
        <v>82.316870102450196</v>
      </c>
      <c r="AM3624">
        <v>87.487828194176203</v>
      </c>
      <c r="AN3624">
        <v>1.00000003232864</v>
      </c>
    </row>
    <row r="3625" spans="1:40" x14ac:dyDescent="0.25">
      <c r="A3625" t="str">
        <f>"20190312164058974"</f>
        <v>20190312164058974</v>
      </c>
      <c r="B3625" t="str">
        <f>"1552380058970196"</f>
        <v>1552380058970196</v>
      </c>
      <c r="C3625" t="s">
        <v>40</v>
      </c>
      <c r="D3625">
        <v>5.5571529999999996</v>
      </c>
      <c r="E3625">
        <v>0.48655510000000002</v>
      </c>
      <c r="F3625" t="s">
        <v>48</v>
      </c>
      <c r="G3625">
        <v>-330.46350000000001</v>
      </c>
      <c r="H3625" s="1">
        <v>-1.2604930000000001E-6</v>
      </c>
      <c r="I3625">
        <v>213.9384</v>
      </c>
      <c r="J3625">
        <v>-349.45659999999998</v>
      </c>
      <c r="K3625">
        <v>1.1086339999999999</v>
      </c>
      <c r="L3625">
        <v>213.59540000000001</v>
      </c>
      <c r="M3625">
        <v>0.99985919999999895</v>
      </c>
      <c r="N3625">
        <v>0</v>
      </c>
      <c r="O3625">
        <v>1.4492379999999999E-2</v>
      </c>
      <c r="P3625">
        <v>0.99167190000000005</v>
      </c>
      <c r="Q3625">
        <v>0.125380399999999</v>
      </c>
      <c r="R3625">
        <v>-2.944043E-2</v>
      </c>
      <c r="S3625">
        <v>3.048645</v>
      </c>
      <c r="T3625">
        <v>-0.17329259999999999</v>
      </c>
      <c r="U3625">
        <v>5.476379E-2</v>
      </c>
      <c r="V3625">
        <v>4.3859189999999999E-2</v>
      </c>
      <c r="W3625">
        <v>0.13374079999999999</v>
      </c>
      <c r="X3625">
        <v>0.99004539999999996</v>
      </c>
      <c r="Y3625">
        <v>-3.4857379999999999E-3</v>
      </c>
      <c r="Z3625">
        <v>-7.2405250000000005E-4</v>
      </c>
      <c r="AA3625">
        <v>0.99999369999999999</v>
      </c>
      <c r="AB3625">
        <v>52</v>
      </c>
      <c r="AC3625">
        <v>18.993099999999899</v>
      </c>
      <c r="AD3625">
        <v>-1.1086352604930001</v>
      </c>
      <c r="AE3625">
        <v>0.34299999999998898</v>
      </c>
      <c r="AF3625">
        <v>-6.74691055714388E-2</v>
      </c>
      <c r="AG3625">
        <v>-1.1086352604930001</v>
      </c>
      <c r="AH3625">
        <v>18.9315953395128</v>
      </c>
      <c r="AI3625">
        <v>93.351395268811203</v>
      </c>
      <c r="AJ3625">
        <v>90.204191911013893</v>
      </c>
      <c r="AK3625">
        <v>18.964148447005901</v>
      </c>
      <c r="AL3625">
        <v>82.314187717251897</v>
      </c>
      <c r="AM3625">
        <v>87.463445088484804</v>
      </c>
      <c r="AN3625">
        <v>1.0000000620966201</v>
      </c>
    </row>
    <row r="3626" spans="1:40" x14ac:dyDescent="0.25">
      <c r="A3626" t="str">
        <f>"20190312164058997"</f>
        <v>20190312164058997</v>
      </c>
      <c r="B3626" t="str">
        <f>"1552380058989716"</f>
        <v>1552380058989716</v>
      </c>
      <c r="C3626" t="s">
        <v>40</v>
      </c>
      <c r="D3626">
        <v>5.6387510000000001</v>
      </c>
      <c r="E3626">
        <v>0.48650650000000001</v>
      </c>
      <c r="F3626" t="s">
        <v>48</v>
      </c>
      <c r="G3626">
        <v>-330.31799999999998</v>
      </c>
      <c r="H3626" s="1">
        <v>-1.33785E-6</v>
      </c>
      <c r="I3626">
        <v>213.93600000000001</v>
      </c>
      <c r="J3626">
        <v>-348.91410000000002</v>
      </c>
      <c r="K3626">
        <v>1.1086210000000001</v>
      </c>
      <c r="L3626">
        <v>213.60319999999999</v>
      </c>
      <c r="M3626">
        <v>0.99986109999999995</v>
      </c>
      <c r="N3626">
        <v>0</v>
      </c>
      <c r="O3626">
        <v>1.435175E-2</v>
      </c>
      <c r="P3626">
        <v>0.99161489999999997</v>
      </c>
      <c r="Q3626">
        <v>0.12575120000000001</v>
      </c>
      <c r="R3626">
        <v>-2.9776029999999998E-2</v>
      </c>
      <c r="S3626">
        <v>3.0491329999999999</v>
      </c>
      <c r="T3626">
        <v>-0.17662549999999999</v>
      </c>
      <c r="U3626">
        <v>5.4260250000000003E-2</v>
      </c>
      <c r="V3626">
        <v>4.4058769999999997E-2</v>
      </c>
      <c r="W3626">
        <v>0.13412539999999901</v>
      </c>
      <c r="X3626">
        <v>0.98998450000000005</v>
      </c>
      <c r="Y3626">
        <v>-3.4589170000000002E-3</v>
      </c>
      <c r="Z3626">
        <v>-7.304764E-4</v>
      </c>
      <c r="AA3626">
        <v>0.99999369999999999</v>
      </c>
      <c r="AB3626">
        <v>52</v>
      </c>
      <c r="AC3626">
        <v>18.5960999999999</v>
      </c>
      <c r="AD3626">
        <v>-1.10862233784999</v>
      </c>
      <c r="AE3626">
        <v>0.33279999999999099</v>
      </c>
      <c r="AF3626">
        <v>-6.5636360723464099E-2</v>
      </c>
      <c r="AG3626">
        <v>-1.10862233784999</v>
      </c>
      <c r="AH3626">
        <v>18.533114530709401</v>
      </c>
      <c r="AI3626">
        <v>93.423244568208901</v>
      </c>
      <c r="AJ3626">
        <v>90.202916283868205</v>
      </c>
      <c r="AK3626">
        <v>18.566358981454101</v>
      </c>
      <c r="AL3626">
        <v>82.291951359706104</v>
      </c>
      <c r="AM3626">
        <v>87.451761204574694</v>
      </c>
      <c r="AN3626">
        <v>1.0000000541896501</v>
      </c>
    </row>
    <row r="3627" spans="1:40" x14ac:dyDescent="0.25">
      <c r="A3627" t="str">
        <f>"20190312164059018"</f>
        <v>20190312164059018</v>
      </c>
      <c r="B3627" t="str">
        <f>"1552380059010222"</f>
        <v>1552380059010222</v>
      </c>
      <c r="C3627" t="s">
        <v>40</v>
      </c>
      <c r="D3627">
        <v>5.6067790000000004</v>
      </c>
      <c r="E3627">
        <v>0.48655549999999997</v>
      </c>
      <c r="F3627" t="s">
        <v>48</v>
      </c>
      <c r="G3627">
        <v>-329.40260000000001</v>
      </c>
      <c r="H3627" s="1">
        <v>3.4667959999999999E-6</v>
      </c>
      <c r="I3627">
        <v>213.9468</v>
      </c>
      <c r="J3627">
        <v>-348.4117</v>
      </c>
      <c r="K3627">
        <v>1.108609</v>
      </c>
      <c r="L3627">
        <v>213.6104</v>
      </c>
      <c r="M3627">
        <v>0.9998631</v>
      </c>
      <c r="N3627">
        <v>0</v>
      </c>
      <c r="O3627">
        <v>1.42106E-2</v>
      </c>
      <c r="P3627">
        <v>0.99157479999999998</v>
      </c>
      <c r="Q3627">
        <v>0.12593180000000001</v>
      </c>
      <c r="R3627">
        <v>-3.0345380000000002E-2</v>
      </c>
      <c r="S3627">
        <v>3.0489199999999999</v>
      </c>
      <c r="T3627">
        <v>-0.17323540000000001</v>
      </c>
      <c r="U3627">
        <v>5.3695680000000003E-2</v>
      </c>
      <c r="V3627">
        <v>4.4491549999999998E-2</v>
      </c>
      <c r="W3627">
        <v>0.13431770000000001</v>
      </c>
      <c r="X3627">
        <v>0.98993900000000001</v>
      </c>
      <c r="Y3627">
        <v>-3.4153719999999999E-3</v>
      </c>
      <c r="Z3627">
        <v>-7.0975420000000001E-4</v>
      </c>
      <c r="AA3627">
        <v>0.99999389999999999</v>
      </c>
      <c r="AB3627">
        <v>52</v>
      </c>
      <c r="AC3627">
        <v>19.009099999999901</v>
      </c>
      <c r="AD3627">
        <v>-1.1086055332039999</v>
      </c>
      <c r="AE3627">
        <v>0.33639999999999698</v>
      </c>
      <c r="AF3627">
        <v>-6.6001196878823304E-2</v>
      </c>
      <c r="AG3627">
        <v>-1.1086055332039999</v>
      </c>
      <c r="AH3627">
        <v>18.947537013815801</v>
      </c>
      <c r="AI3627">
        <v>93.348493324222204</v>
      </c>
      <c r="AJ3627">
        <v>90.199581334832999</v>
      </c>
      <c r="AK3627">
        <v>18.9800558817976</v>
      </c>
      <c r="AL3627">
        <v>82.280832221884395</v>
      </c>
      <c r="AM3627">
        <v>87.426645761310795</v>
      </c>
      <c r="AN3627">
        <v>0.99999998313784599</v>
      </c>
    </row>
    <row r="3628" spans="1:40" x14ac:dyDescent="0.25">
      <c r="A3628" t="str">
        <f>"20190312164059040"</f>
        <v>20190312164059040</v>
      </c>
      <c r="B3628" t="str">
        <f>"1552380059029732"</f>
        <v>1552380059029732</v>
      </c>
      <c r="C3628" t="s">
        <v>40</v>
      </c>
      <c r="D3628">
        <v>5.703049</v>
      </c>
      <c r="E3628">
        <v>0.48666549999999997</v>
      </c>
      <c r="F3628" t="s">
        <v>42</v>
      </c>
      <c r="G3628">
        <v>-347.23500000000001</v>
      </c>
      <c r="H3628">
        <v>1.0424020000000001</v>
      </c>
      <c r="I3628">
        <v>213.6302</v>
      </c>
      <c r="J3628">
        <v>-347.91</v>
      </c>
      <c r="K3628">
        <v>1.1085969999999901</v>
      </c>
      <c r="L3628">
        <v>213.6174</v>
      </c>
      <c r="M3628">
        <v>0.999865</v>
      </c>
      <c r="N3628">
        <v>0</v>
      </c>
      <c r="O3628">
        <v>1.4060990000000001E-2</v>
      </c>
      <c r="P3628">
        <v>0.99152819999999997</v>
      </c>
      <c r="Q3628">
        <v>0.12621849999999901</v>
      </c>
      <c r="R3628">
        <v>-3.0677860000000001E-2</v>
      </c>
      <c r="S3628">
        <v>3.0488590000000002</v>
      </c>
      <c r="T3628">
        <v>-0.17157819999999999</v>
      </c>
      <c r="U3628">
        <v>5.1681520000000002E-2</v>
      </c>
      <c r="V3628">
        <v>4.4678580000000002E-2</v>
      </c>
      <c r="W3628">
        <v>0.13461689999999901</v>
      </c>
      <c r="X3628">
        <v>0.98989000000000005</v>
      </c>
      <c r="Y3628">
        <v>-2.9051620000000002E-3</v>
      </c>
      <c r="Z3628">
        <v>-7.0892699999999895E-4</v>
      </c>
      <c r="AA3628">
        <v>0.99999550000000004</v>
      </c>
      <c r="AB3628">
        <v>52</v>
      </c>
      <c r="AC3628">
        <v>0.67500000000001104</v>
      </c>
      <c r="AD3628">
        <v>-6.6194999999999699E-2</v>
      </c>
      <c r="AE3628">
        <v>1.27999999999985E-2</v>
      </c>
      <c r="AF3628">
        <v>-3.27573163930485E-3</v>
      </c>
      <c r="AG3628">
        <v>-6.6194999999999699E-2</v>
      </c>
      <c r="AH3628">
        <v>0.66868477406188398</v>
      </c>
      <c r="AI3628">
        <v>95.653384981496004</v>
      </c>
      <c r="AJ3628">
        <v>90.2806764916688</v>
      </c>
      <c r="AK3628">
        <v>0.67196118601074395</v>
      </c>
      <c r="AL3628">
        <v>82.263532716326097</v>
      </c>
      <c r="AM3628">
        <v>87.415714991732202</v>
      </c>
      <c r="AN3628">
        <v>1.0000000486882099</v>
      </c>
    </row>
    <row r="3629" spans="1:40" x14ac:dyDescent="0.25">
      <c r="A3629" t="str">
        <f>"20190312164059062"</f>
        <v>20190312164059062</v>
      </c>
      <c r="B3629" t="str">
        <f>"1552380059059988"</f>
        <v>1552380059059988</v>
      </c>
      <c r="C3629" t="s">
        <v>40</v>
      </c>
      <c r="D3629">
        <v>5.5494379999999897</v>
      </c>
      <c r="E3629">
        <v>0.48668519999999998</v>
      </c>
      <c r="F3629" t="s">
        <v>48</v>
      </c>
      <c r="G3629">
        <v>-327.94819999999999</v>
      </c>
      <c r="H3629" s="1">
        <v>2.6928190000000002E-6</v>
      </c>
      <c r="I3629">
        <v>213.9436</v>
      </c>
      <c r="J3629">
        <v>-347.39429999999999</v>
      </c>
      <c r="K3629">
        <v>1.1085849999999999</v>
      </c>
      <c r="L3629">
        <v>213.62459999999999</v>
      </c>
      <c r="M3629">
        <v>0.99986710000000001</v>
      </c>
      <c r="N3629">
        <v>0</v>
      </c>
      <c r="O3629">
        <v>1.3900060000000001E-2</v>
      </c>
      <c r="P3629">
        <v>0.99149730000000003</v>
      </c>
      <c r="Q3629">
        <v>0.12647510000000001</v>
      </c>
      <c r="R3629">
        <v>-3.0620060000000001E-2</v>
      </c>
      <c r="S3629">
        <v>3.048737</v>
      </c>
      <c r="T3629">
        <v>-0.1693134</v>
      </c>
      <c r="U3629">
        <v>4.9819950000000002E-2</v>
      </c>
      <c r="V3629">
        <v>4.4464490000000002E-2</v>
      </c>
      <c r="W3629">
        <v>0.1348857</v>
      </c>
      <c r="X3629">
        <v>0.98986300000000005</v>
      </c>
      <c r="Y3629">
        <v>-2.4563340000000001E-3</v>
      </c>
      <c r="Z3629">
        <v>-7.0314029999999999E-4</v>
      </c>
      <c r="AA3629">
        <v>0.99999669999999896</v>
      </c>
      <c r="AB3629">
        <v>52</v>
      </c>
      <c r="AC3629">
        <v>19.446100000000001</v>
      </c>
      <c r="AD3629">
        <v>-1.1085823071809999</v>
      </c>
      <c r="AE3629">
        <v>0.31900000000001599</v>
      </c>
      <c r="AF3629">
        <v>-4.8499836191673897E-2</v>
      </c>
      <c r="AG3629">
        <v>-1.1085823071809999</v>
      </c>
      <c r="AH3629">
        <v>19.385670779468899</v>
      </c>
      <c r="AI3629">
        <v>93.2729219289605</v>
      </c>
      <c r="AJ3629">
        <v>90.143344543231294</v>
      </c>
      <c r="AK3629">
        <v>19.4174029812398</v>
      </c>
      <c r="AL3629">
        <v>82.247989478953002</v>
      </c>
      <c r="AM3629">
        <v>87.428011594540095</v>
      </c>
      <c r="AN3629">
        <v>1.0000000008522201</v>
      </c>
    </row>
    <row r="3630" spans="1:40" x14ac:dyDescent="0.25">
      <c r="A3630" t="str">
        <f>"20190312164059086"</f>
        <v>20190312164059086</v>
      </c>
      <c r="B3630" t="str">
        <f>"1552380059079508"</f>
        <v>1552380059079508</v>
      </c>
      <c r="C3630" t="s">
        <v>40</v>
      </c>
      <c r="D3630">
        <v>5.6537860000000002</v>
      </c>
      <c r="E3630">
        <v>0.48668109999999998</v>
      </c>
      <c r="F3630" t="s">
        <v>48</v>
      </c>
      <c r="G3630">
        <v>-327.07960000000003</v>
      </c>
      <c r="H3630" s="1">
        <v>2.2306389999999999E-6</v>
      </c>
      <c r="I3630">
        <v>213.95419999999999</v>
      </c>
      <c r="J3630">
        <v>-346.85210000000001</v>
      </c>
      <c r="K3630">
        <v>1.108571</v>
      </c>
      <c r="L3630">
        <v>213.63200000000001</v>
      </c>
      <c r="M3630">
        <v>0.99986949999999997</v>
      </c>
      <c r="N3630">
        <v>0</v>
      </c>
      <c r="O3630">
        <v>1.3725319999999999E-2</v>
      </c>
      <c r="P3630">
        <v>0.99144019999999999</v>
      </c>
      <c r="Q3630">
        <v>0.12692529999999999</v>
      </c>
      <c r="R3630">
        <v>-3.060177E-2</v>
      </c>
      <c r="S3630">
        <v>3.0484619999999998</v>
      </c>
      <c r="T3630">
        <v>-0.16635610000000001</v>
      </c>
      <c r="U3630">
        <v>4.9468989999999997E-2</v>
      </c>
      <c r="V3630">
        <v>4.4275750000000003E-2</v>
      </c>
      <c r="W3630">
        <v>0.1353482</v>
      </c>
      <c r="X3630">
        <v>0.98980829999999997</v>
      </c>
      <c r="Y3630">
        <v>-2.5165280000000001E-3</v>
      </c>
      <c r="Z3630">
        <v>-6.7977160000000001E-4</v>
      </c>
      <c r="AA3630">
        <v>0.99999660000000001</v>
      </c>
      <c r="AB3630">
        <v>52</v>
      </c>
      <c r="AC3630">
        <v>19.772499999999901</v>
      </c>
      <c r="AD3630">
        <v>-1.108568769361</v>
      </c>
      <c r="AE3630">
        <v>0.32219999999998</v>
      </c>
      <c r="AF3630">
        <v>-5.0616838728187001E-2</v>
      </c>
      <c r="AG3630">
        <v>-1.108568769361</v>
      </c>
      <c r="AH3630">
        <v>19.713109730106702</v>
      </c>
      <c r="AI3630">
        <v>93.218633503571496</v>
      </c>
      <c r="AJ3630">
        <v>90.147116558355194</v>
      </c>
      <c r="AK3630">
        <v>19.744320246896098</v>
      </c>
      <c r="AL3630">
        <v>82.221244713911503</v>
      </c>
      <c r="AM3630">
        <v>87.438773092346494</v>
      </c>
      <c r="AN3630">
        <v>0.99999997401509499</v>
      </c>
    </row>
    <row r="3631" spans="1:40" x14ac:dyDescent="0.25">
      <c r="A3631" t="str">
        <f>"20190312164059109"</f>
        <v>20190312164059109</v>
      </c>
      <c r="B3631" t="str">
        <f>"1552380059100004"</f>
        <v>1552380059100004</v>
      </c>
      <c r="C3631" t="s">
        <v>40</v>
      </c>
      <c r="D3631">
        <v>5.5533919999999997</v>
      </c>
      <c r="E3631">
        <v>0.48665710000000001</v>
      </c>
      <c r="F3631" t="s">
        <v>48</v>
      </c>
      <c r="G3631">
        <v>-326.16269999999997</v>
      </c>
      <c r="H3631" s="1">
        <v>1.7426920000000001E-6</v>
      </c>
      <c r="I3631">
        <v>213.96619999999999</v>
      </c>
      <c r="J3631">
        <v>-346.31229999999999</v>
      </c>
      <c r="K3631">
        <v>1.108552</v>
      </c>
      <c r="L3631">
        <v>213.63939999999999</v>
      </c>
      <c r="M3631">
        <v>0.99987190000000004</v>
      </c>
      <c r="N3631">
        <v>0</v>
      </c>
      <c r="O3631">
        <v>1.354736E-2</v>
      </c>
      <c r="P3631">
        <v>0.99144920000000003</v>
      </c>
      <c r="Q3631">
        <v>0.12679269999999901</v>
      </c>
      <c r="R3631">
        <v>-3.0861909999999999E-2</v>
      </c>
      <c r="S3631">
        <v>3.0483090000000002</v>
      </c>
      <c r="T3631">
        <v>-0.1633327</v>
      </c>
      <c r="U3631">
        <v>4.9240109999999997E-2</v>
      </c>
      <c r="V3631">
        <v>4.4362329999999998E-2</v>
      </c>
      <c r="W3631">
        <v>0.13522770000000001</v>
      </c>
      <c r="X3631">
        <v>0.9898209</v>
      </c>
      <c r="Y3631">
        <v>-2.6192519999999999E-3</v>
      </c>
      <c r="Z3631">
        <v>-6.5519229999999996E-4</v>
      </c>
      <c r="AA3631">
        <v>0.99999640000000001</v>
      </c>
      <c r="AB3631">
        <v>52</v>
      </c>
      <c r="AC3631">
        <v>20.1496</v>
      </c>
      <c r="AD3631">
        <v>-1.1085502573079999</v>
      </c>
      <c r="AE3631">
        <v>0.32679999999999099</v>
      </c>
      <c r="AF3631">
        <v>-5.3623941661458098E-2</v>
      </c>
      <c r="AG3631">
        <v>-1.1085502573079999</v>
      </c>
      <c r="AH3631">
        <v>20.0913823904495</v>
      </c>
      <c r="AI3631">
        <v>93.158104709641506</v>
      </c>
      <c r="AJ3631">
        <v>90.152922192352506</v>
      </c>
      <c r="AK3631">
        <v>20.122012959924302</v>
      </c>
      <c r="AL3631">
        <v>82.228212970630295</v>
      </c>
      <c r="AM3631">
        <v>87.433803996489701</v>
      </c>
      <c r="AN3631">
        <v>0.99999998062356399</v>
      </c>
    </row>
    <row r="3632" spans="1:40" x14ac:dyDescent="0.25">
      <c r="A3632" t="str">
        <f>"20190312164059131"</f>
        <v>20190312164059131</v>
      </c>
      <c r="B3632" t="str">
        <f>"1552380059119524"</f>
        <v>1552380059119524</v>
      </c>
      <c r="C3632" t="s">
        <v>40</v>
      </c>
      <c r="D3632">
        <v>5.5527419999999896</v>
      </c>
      <c r="E3632">
        <v>0.48665530000000001</v>
      </c>
      <c r="F3632" t="s">
        <v>48</v>
      </c>
      <c r="G3632">
        <v>-325.56279999999998</v>
      </c>
      <c r="H3632" s="1">
        <v>1.423468E-6</v>
      </c>
      <c r="I3632">
        <v>213.9742</v>
      </c>
      <c r="J3632">
        <v>-345.79669999999999</v>
      </c>
      <c r="K3632">
        <v>1.108544</v>
      </c>
      <c r="L3632">
        <v>213.6463</v>
      </c>
      <c r="M3632">
        <v>0.99987400000000004</v>
      </c>
      <c r="N3632">
        <v>0</v>
      </c>
      <c r="O3632">
        <v>1.337472E-2</v>
      </c>
      <c r="P3632">
        <v>0.99148639999999999</v>
      </c>
      <c r="Q3632">
        <v>0.12648609999999999</v>
      </c>
      <c r="R3632">
        <v>-3.092017E-2</v>
      </c>
      <c r="S3632">
        <v>3.048187</v>
      </c>
      <c r="T3632">
        <v>-0.162851</v>
      </c>
      <c r="U3632">
        <v>4.9194340000000003E-2</v>
      </c>
      <c r="V3632">
        <v>4.425254E-2</v>
      </c>
      <c r="W3632">
        <v>0.13493289999999999</v>
      </c>
      <c r="X3632">
        <v>0.98986609999999997</v>
      </c>
      <c r="Y3632">
        <v>-2.7769779999999998E-3</v>
      </c>
      <c r="Z3632">
        <v>-6.3986390000000005E-4</v>
      </c>
      <c r="AA3632">
        <v>0.99999590000000005</v>
      </c>
      <c r="AB3632">
        <v>52</v>
      </c>
      <c r="AC3632">
        <v>20.233899999999998</v>
      </c>
      <c r="AD3632">
        <v>-1.1085425765320001</v>
      </c>
      <c r="AE3632">
        <v>0.32789999999999903</v>
      </c>
      <c r="AF3632">
        <v>-5.7066785878782299E-2</v>
      </c>
      <c r="AG3632">
        <v>-1.1085425765320001</v>
      </c>
      <c r="AH3632">
        <v>20.1759325986656</v>
      </c>
      <c r="AI3632">
        <v>93.144873707755394</v>
      </c>
      <c r="AJ3632">
        <v>90.162058296236196</v>
      </c>
      <c r="AK3632">
        <v>20.206444008977201</v>
      </c>
      <c r="AL3632">
        <v>82.245260435934</v>
      </c>
      <c r="AM3632">
        <v>87.440263216070903</v>
      </c>
      <c r="AN3632">
        <v>1.0000000353640299</v>
      </c>
    </row>
    <row r="3633" spans="1:40" x14ac:dyDescent="0.25">
      <c r="A3633" t="str">
        <f>"20190312164059153"</f>
        <v>20190312164059153</v>
      </c>
      <c r="B3633" t="str">
        <f>"1552380059149782"</f>
        <v>1552380059149782</v>
      </c>
      <c r="C3633" t="s">
        <v>40</v>
      </c>
      <c r="D3633">
        <v>5.5913409999999999</v>
      </c>
      <c r="E3633">
        <v>0.48687079999999999</v>
      </c>
      <c r="F3633" t="s">
        <v>48</v>
      </c>
      <c r="G3633">
        <v>-325.07139999999998</v>
      </c>
      <c r="H3633" s="1">
        <v>1.16193E-6</v>
      </c>
      <c r="I3633">
        <v>213.97900000000001</v>
      </c>
      <c r="J3633">
        <v>-345.27269999999999</v>
      </c>
      <c r="K3633">
        <v>1.1085339999999999</v>
      </c>
      <c r="L3633">
        <v>213.6532</v>
      </c>
      <c r="M3633">
        <v>0.99987630000000005</v>
      </c>
      <c r="N3633">
        <v>0</v>
      </c>
      <c r="O3633">
        <v>1.319744E-2</v>
      </c>
      <c r="P3633">
        <v>0.99149900000000002</v>
      </c>
      <c r="Q3633">
        <v>0.12635739999999901</v>
      </c>
      <c r="R3633">
        <v>-3.1045130000000001E-2</v>
      </c>
      <c r="S3633">
        <v>3.0480960000000001</v>
      </c>
      <c r="T3633">
        <v>-0.16303419999999999</v>
      </c>
      <c r="U3633">
        <v>4.8934940000000003E-2</v>
      </c>
      <c r="V3633">
        <v>4.4204140000000003E-2</v>
      </c>
      <c r="W3633">
        <v>0.1348162</v>
      </c>
      <c r="X3633">
        <v>0.98988410000000004</v>
      </c>
      <c r="Y3633">
        <v>-2.869332E-3</v>
      </c>
      <c r="Z3633">
        <v>-6.2866050000000002E-4</v>
      </c>
      <c r="AA3633">
        <v>0.99999570000000004</v>
      </c>
      <c r="AB3633">
        <v>52</v>
      </c>
      <c r="AC3633">
        <v>20.2013</v>
      </c>
      <c r="AD3633">
        <v>-1.1085328380699999</v>
      </c>
      <c r="AE3633">
        <v>0.32580000000001502</v>
      </c>
      <c r="AF3633">
        <v>-5.8978868862003202E-2</v>
      </c>
      <c r="AG3633">
        <v>-1.1085328380699999</v>
      </c>
      <c r="AH3633">
        <v>20.143201143749899</v>
      </c>
      <c r="AI3633">
        <v>93.149945133231896</v>
      </c>
      <c r="AJ3633">
        <v>90.167760356726404</v>
      </c>
      <c r="AK3633">
        <v>20.173767022487901</v>
      </c>
      <c r="AL3633">
        <v>82.252008023235106</v>
      </c>
      <c r="AM3633">
        <v>87.443105573756995</v>
      </c>
      <c r="AN3633">
        <v>0.99999997260419404</v>
      </c>
    </row>
    <row r="3634" spans="1:40" x14ac:dyDescent="0.25">
      <c r="A3634" t="str">
        <f>"20190312164059177"</f>
        <v>20190312164059177</v>
      </c>
      <c r="B3634" t="str">
        <f>"1552380059169300"</f>
        <v>1552380059169300</v>
      </c>
      <c r="C3634" t="s">
        <v>40</v>
      </c>
      <c r="D3634">
        <v>5.5268699999999997</v>
      </c>
      <c r="E3634">
        <v>0.48705799999999999</v>
      </c>
      <c r="F3634" t="s">
        <v>48</v>
      </c>
      <c r="G3634">
        <v>-324.53960000000001</v>
      </c>
      <c r="H3634" s="1">
        <v>8.7898869999999995E-7</v>
      </c>
      <c r="I3634">
        <v>213.9691</v>
      </c>
      <c r="J3634">
        <v>-344.73669999999998</v>
      </c>
      <c r="K3634">
        <v>1.10853</v>
      </c>
      <c r="L3634">
        <v>213.6602</v>
      </c>
      <c r="M3634">
        <v>0.9998785</v>
      </c>
      <c r="N3634">
        <v>0</v>
      </c>
      <c r="O3634">
        <v>1.3015219999999999E-2</v>
      </c>
      <c r="P3634">
        <v>0.99147929999999995</v>
      </c>
      <c r="Q3634">
        <v>0.12647739999999999</v>
      </c>
      <c r="R3634">
        <v>-3.1177259999999998E-2</v>
      </c>
      <c r="S3634">
        <v>3.0479430000000001</v>
      </c>
      <c r="T3634">
        <v>-0.1629642</v>
      </c>
      <c r="U3634">
        <v>4.6432500000000002E-2</v>
      </c>
      <c r="V3634">
        <v>4.4157769999999999E-2</v>
      </c>
      <c r="W3634">
        <v>0.1349476</v>
      </c>
      <c r="X3634">
        <v>0.98986830000000003</v>
      </c>
      <c r="Y3634">
        <v>-2.2321910000000001E-3</v>
      </c>
      <c r="Z3634">
        <v>-6.3571289999999996E-4</v>
      </c>
      <c r="AA3634">
        <v>0.99999729999999998</v>
      </c>
      <c r="AB3634">
        <v>52</v>
      </c>
      <c r="AC3634">
        <v>20.197099999999899</v>
      </c>
      <c r="AD3634">
        <v>-1.1085291210113</v>
      </c>
      <c r="AE3634">
        <v>0.30889999999999401</v>
      </c>
      <c r="AF3634">
        <v>-4.5856354664488098E-2</v>
      </c>
      <c r="AG3634">
        <v>-1.1085291210113</v>
      </c>
      <c r="AH3634">
        <v>20.138757397386598</v>
      </c>
      <c r="AI3634">
        <v>93.150633572281194</v>
      </c>
      <c r="AJ3634">
        <v>90.130463414076402</v>
      </c>
      <c r="AK3634">
        <v>20.169295702333901</v>
      </c>
      <c r="AL3634">
        <v>82.244410195038796</v>
      </c>
      <c r="AM3634">
        <v>87.445743478040995</v>
      </c>
      <c r="AN3634">
        <v>1.00000000737101</v>
      </c>
    </row>
    <row r="3635" spans="1:40" x14ac:dyDescent="0.25">
      <c r="A3635" t="str">
        <f>"20190312164059199"</f>
        <v>20190312164059199</v>
      </c>
      <c r="B3635" t="str">
        <f>"1552380059189796"</f>
        <v>1552380059189796</v>
      </c>
      <c r="C3635" t="s">
        <v>40</v>
      </c>
      <c r="D3635">
        <v>5.6088550000000001</v>
      </c>
      <c r="E3635">
        <v>0.48708499999999999</v>
      </c>
      <c r="F3635" t="s">
        <v>48</v>
      </c>
      <c r="G3635">
        <v>-324.20929999999998</v>
      </c>
      <c r="H3635" s="1">
        <v>7.0316649999999897E-7</v>
      </c>
      <c r="I3635">
        <v>213.9623</v>
      </c>
      <c r="J3635">
        <v>-344.21199999999999</v>
      </c>
      <c r="K3635">
        <v>1.1085259999999999</v>
      </c>
      <c r="L3635">
        <v>213.667</v>
      </c>
      <c r="M3635">
        <v>0.99988080000000001</v>
      </c>
      <c r="N3635">
        <v>0</v>
      </c>
      <c r="O3635">
        <v>1.2836409999999999E-2</v>
      </c>
      <c r="P3635">
        <v>0.99147589999999997</v>
      </c>
      <c r="Q3635">
        <v>0.1265164</v>
      </c>
      <c r="R3635">
        <v>-3.112997E-2</v>
      </c>
      <c r="S3635">
        <v>3.0481569999999998</v>
      </c>
      <c r="T3635">
        <v>-0.16460749999999999</v>
      </c>
      <c r="U3635">
        <v>4.4860839999999999E-2</v>
      </c>
      <c r="V3635">
        <v>4.3935219999999997E-2</v>
      </c>
      <c r="W3635">
        <v>0.13499810000000001</v>
      </c>
      <c r="X3635">
        <v>0.98987130000000001</v>
      </c>
      <c r="Y3635">
        <v>-1.895005E-3</v>
      </c>
      <c r="Z3635">
        <v>-6.4152149999999999E-4</v>
      </c>
      <c r="AA3635">
        <v>0.99999800000000005</v>
      </c>
      <c r="AB3635">
        <v>52</v>
      </c>
      <c r="AC3635">
        <v>20.002700000000001</v>
      </c>
      <c r="AD3635">
        <v>-1.1085252968335</v>
      </c>
      <c r="AE3635">
        <v>0.29529999999999701</v>
      </c>
      <c r="AF3635">
        <v>-3.83854936863132E-2</v>
      </c>
      <c r="AG3635">
        <v>-1.1085252968335</v>
      </c>
      <c r="AH3635">
        <v>19.943604306114299</v>
      </c>
      <c r="AI3635">
        <v>93.181391673817799</v>
      </c>
      <c r="AJ3635">
        <v>90.110277161199903</v>
      </c>
      <c r="AK3635">
        <v>19.974425010465399</v>
      </c>
      <c r="AL3635">
        <v>82.241489905476698</v>
      </c>
      <c r="AM3635">
        <v>87.458607403743599</v>
      </c>
      <c r="AN3635">
        <v>0.99999999056187405</v>
      </c>
    </row>
    <row r="3636" spans="1:40" x14ac:dyDescent="0.25">
      <c r="A3636" t="str">
        <f>"20190312164059221"</f>
        <v>20190312164059221</v>
      </c>
      <c r="B3636" t="str">
        <f>"1552380059209316"</f>
        <v>1552380059209316</v>
      </c>
      <c r="C3636" t="s">
        <v>40</v>
      </c>
      <c r="D3636">
        <v>5.4328839999999996</v>
      </c>
      <c r="E3636">
        <v>0.4871084</v>
      </c>
      <c r="F3636" t="s">
        <v>48</v>
      </c>
      <c r="G3636">
        <v>-323.65129999999999</v>
      </c>
      <c r="H3636" s="1">
        <v>4.0624610000000002E-7</v>
      </c>
      <c r="I3636">
        <v>213.96960000000001</v>
      </c>
      <c r="J3636">
        <v>-343.6918</v>
      </c>
      <c r="K3636">
        <v>1.108519</v>
      </c>
      <c r="L3636">
        <v>213.67359999999999</v>
      </c>
      <c r="M3636">
        <v>0.99988290000000002</v>
      </c>
      <c r="N3636">
        <v>0</v>
      </c>
      <c r="O3636">
        <v>1.2658559999999999E-2</v>
      </c>
      <c r="P3636">
        <v>0.99149640000000006</v>
      </c>
      <c r="Q3636">
        <v>0.12640419999999999</v>
      </c>
      <c r="R3636">
        <v>-3.0933410000000001E-2</v>
      </c>
      <c r="S3636">
        <v>3.0481259999999999</v>
      </c>
      <c r="T3636">
        <v>-0.16433919999999999</v>
      </c>
      <c r="U3636">
        <v>4.4860839999999999E-2</v>
      </c>
      <c r="V3636">
        <v>4.3564220000000001E-2</v>
      </c>
      <c r="W3636">
        <v>0.1348975</v>
      </c>
      <c r="X3636">
        <v>0.98990140000000004</v>
      </c>
      <c r="Y3636">
        <v>-2.0724530000000001E-3</v>
      </c>
      <c r="Z3636">
        <v>-6.2612330000000002E-4</v>
      </c>
      <c r="AA3636">
        <v>0.99999769999999999</v>
      </c>
      <c r="AB3636">
        <v>53</v>
      </c>
      <c r="AC3636">
        <v>20.040500000000002</v>
      </c>
      <c r="AD3636">
        <v>-1.1085185937538999</v>
      </c>
      <c r="AE3636">
        <v>0.29600000000002002</v>
      </c>
      <c r="AF3636">
        <v>-4.2154082354677803E-2</v>
      </c>
      <c r="AG3636">
        <v>-1.1085185937538999</v>
      </c>
      <c r="AH3636">
        <v>19.9815185409464</v>
      </c>
      <c r="AI3636">
        <v>93.175347114930005</v>
      </c>
      <c r="AJ3636">
        <v>90.120874067708797</v>
      </c>
      <c r="AK3636">
        <v>20.012288066124299</v>
      </c>
      <c r="AL3636">
        <v>82.247306984003998</v>
      </c>
      <c r="AM3636">
        <v>87.480116303481594</v>
      </c>
      <c r="AN3636">
        <v>0.99999997924620898</v>
      </c>
    </row>
    <row r="3637" spans="1:40" x14ac:dyDescent="0.25">
      <c r="A3637" t="str">
        <f>"20190312164059241"</f>
        <v>20190312164059241</v>
      </c>
      <c r="B3637" t="str">
        <f>"1552380059229812"</f>
        <v>1552380059229812</v>
      </c>
      <c r="C3637" t="s">
        <v>40</v>
      </c>
      <c r="D3637">
        <v>5.4327290000000001</v>
      </c>
      <c r="E3637">
        <v>0.48710360000000003</v>
      </c>
      <c r="F3637" t="s">
        <v>48</v>
      </c>
      <c r="G3637">
        <v>-323.13580000000002</v>
      </c>
      <c r="H3637" s="1">
        <v>1.3192470000000001E-7</v>
      </c>
      <c r="I3637">
        <v>213.9786</v>
      </c>
      <c r="J3637">
        <v>-343.20780000000002</v>
      </c>
      <c r="K3637">
        <v>1.1085100000000001</v>
      </c>
      <c r="L3637">
        <v>213.6797</v>
      </c>
      <c r="M3637">
        <v>0.99988480000000002</v>
      </c>
      <c r="N3637">
        <v>0</v>
      </c>
      <c r="O3637">
        <v>1.249283E-2</v>
      </c>
      <c r="P3637">
        <v>0.9915195</v>
      </c>
      <c r="Q3637">
        <v>0.12616930000000001</v>
      </c>
      <c r="R3637">
        <v>-3.1153980000000001E-2</v>
      </c>
      <c r="S3637">
        <v>3.0480960000000001</v>
      </c>
      <c r="T3637">
        <v>-0.16437389999999999</v>
      </c>
      <c r="U3637">
        <v>4.5227049999999998E-2</v>
      </c>
      <c r="V3637">
        <v>4.362183E-2</v>
      </c>
      <c r="W3637">
        <v>0.13467299999999999</v>
      </c>
      <c r="X3637">
        <v>0.98992939999999996</v>
      </c>
      <c r="Y3637">
        <v>-2.3578200000000001E-3</v>
      </c>
      <c r="Z3637">
        <v>-6.0964280000000003E-4</v>
      </c>
      <c r="AA3637">
        <v>0.99999700000000002</v>
      </c>
      <c r="AB3637">
        <v>53</v>
      </c>
      <c r="AC3637">
        <v>20.071999999999999</v>
      </c>
      <c r="AD3637">
        <v>-1.1085098680753001</v>
      </c>
      <c r="AE3637">
        <v>0.298900000000003</v>
      </c>
      <c r="AF3637">
        <v>-4.7965010538291303E-2</v>
      </c>
      <c r="AG3637">
        <v>-1.1085098680753001</v>
      </c>
      <c r="AH3637">
        <v>20.013141475163302</v>
      </c>
      <c r="AI3637">
        <v>93.170313014712903</v>
      </c>
      <c r="AJ3637">
        <v>90.137319141507604</v>
      </c>
      <c r="AK3637">
        <v>20.0438750363985</v>
      </c>
      <c r="AL3637">
        <v>82.260288108207007</v>
      </c>
      <c r="AM3637">
        <v>87.476859550553101</v>
      </c>
      <c r="AN3637">
        <v>0.99999994898295297</v>
      </c>
    </row>
    <row r="3638" spans="1:40" x14ac:dyDescent="0.25">
      <c r="A3638" t="str">
        <f>"20190312164059265"</f>
        <v>20190312164059265</v>
      </c>
      <c r="B3638" t="str">
        <f>"1552380059260071"</f>
        <v>1552380059260071</v>
      </c>
      <c r="C3638" t="s">
        <v>40</v>
      </c>
      <c r="D3638">
        <v>5.4928739999999996</v>
      </c>
      <c r="E3638">
        <v>0.48707980000000001</v>
      </c>
      <c r="F3638" t="s">
        <v>48</v>
      </c>
      <c r="G3638">
        <v>-322.70440000000002</v>
      </c>
      <c r="H3638" s="1">
        <v>-9.7650740000000002E-8</v>
      </c>
      <c r="I3638">
        <v>213.97829999999999</v>
      </c>
      <c r="J3638">
        <v>-342.65190000000001</v>
      </c>
      <c r="K3638">
        <v>1.1085050000000001</v>
      </c>
      <c r="L3638">
        <v>213.6865</v>
      </c>
      <c r="M3638">
        <v>0.99988719999999998</v>
      </c>
      <c r="N3638">
        <v>0</v>
      </c>
      <c r="O3638">
        <v>1.230235E-2</v>
      </c>
      <c r="P3638">
        <v>0.99150930000000004</v>
      </c>
      <c r="Q3638">
        <v>0.1261458</v>
      </c>
      <c r="R3638">
        <v>-3.1567720000000001E-2</v>
      </c>
      <c r="S3638">
        <v>3.048035</v>
      </c>
      <c r="T3638">
        <v>-0.16479070000000001</v>
      </c>
      <c r="U3638">
        <v>4.4403079999999998E-2</v>
      </c>
      <c r="V3638">
        <v>4.3848190000000002E-2</v>
      </c>
      <c r="W3638">
        <v>0.1346617</v>
      </c>
      <c r="X3638">
        <v>0.98992100000000005</v>
      </c>
      <c r="Y3638">
        <v>-2.278258E-3</v>
      </c>
      <c r="Z3638">
        <v>-6.0305999999999999E-4</v>
      </c>
      <c r="AA3638">
        <v>0.99999720000000003</v>
      </c>
      <c r="AB3638">
        <v>53</v>
      </c>
      <c r="AC3638">
        <v>19.947499999999899</v>
      </c>
      <c r="AD3638">
        <v>-1.10850509765073</v>
      </c>
      <c r="AE3638">
        <v>0.29179999999999401</v>
      </c>
      <c r="AF3638">
        <v>-4.6224960433621398E-2</v>
      </c>
      <c r="AG3638">
        <v>-1.10850509765073</v>
      </c>
      <c r="AH3638">
        <v>19.888175746806098</v>
      </c>
      <c r="AI3638">
        <v>93.190179243667401</v>
      </c>
      <c r="AJ3638">
        <v>90.133169095325101</v>
      </c>
      <c r="AK3638">
        <v>19.919097741472399</v>
      </c>
      <c r="AL3638">
        <v>82.260941990960902</v>
      </c>
      <c r="AM3638">
        <v>87.463762168239995</v>
      </c>
      <c r="AN3638">
        <v>1.00000001172708</v>
      </c>
    </row>
    <row r="3639" spans="1:40" x14ac:dyDescent="0.25">
      <c r="A3639" t="str">
        <f>"20190312164059288"</f>
        <v>20190312164059288</v>
      </c>
      <c r="B3639" t="str">
        <f>"1552380059279592"</f>
        <v>1552380059279592</v>
      </c>
      <c r="C3639" t="s">
        <v>40</v>
      </c>
      <c r="D3639">
        <v>5.4770770000000004</v>
      </c>
      <c r="E3639">
        <v>0.48706870000000002</v>
      </c>
      <c r="F3639" t="s">
        <v>48</v>
      </c>
      <c r="G3639">
        <v>-322.06529999999998</v>
      </c>
      <c r="H3639" s="1">
        <v>-4.3773539999999999E-7</v>
      </c>
      <c r="I3639">
        <v>213.97900000000001</v>
      </c>
      <c r="J3639">
        <v>-342.11099999999999</v>
      </c>
      <c r="K3639">
        <v>1.1085</v>
      </c>
      <c r="L3639">
        <v>213.69309999999999</v>
      </c>
      <c r="M3639">
        <v>0.99988940000000004</v>
      </c>
      <c r="N3639">
        <v>0</v>
      </c>
      <c r="O3639">
        <v>1.2116470000000001E-2</v>
      </c>
      <c r="P3639">
        <v>0.99149790000000004</v>
      </c>
      <c r="Q3639">
        <v>0.12611910000000001</v>
      </c>
      <c r="R3639">
        <v>-3.2033689999999997E-2</v>
      </c>
      <c r="S3639">
        <v>3.0479430000000001</v>
      </c>
      <c r="T3639">
        <v>-0.1641196</v>
      </c>
      <c r="U3639">
        <v>4.330444E-2</v>
      </c>
      <c r="V3639">
        <v>4.4130610000000001E-2</v>
      </c>
      <c r="W3639">
        <v>0.1346456</v>
      </c>
      <c r="X3639">
        <v>0.98991059999999997</v>
      </c>
      <c r="Y3639">
        <v>-2.1040820000000002E-3</v>
      </c>
      <c r="Z3639">
        <v>-5.9531259999999996E-4</v>
      </c>
      <c r="AA3639">
        <v>0.99999760000000004</v>
      </c>
      <c r="AB3639">
        <v>53</v>
      </c>
      <c r="AC3639">
        <v>20.0457</v>
      </c>
      <c r="AD3639">
        <v>-1.1085004377354</v>
      </c>
      <c r="AE3639">
        <v>0.28590000000002602</v>
      </c>
      <c r="AF3639">
        <v>-4.2855831461828503E-2</v>
      </c>
      <c r="AG3639">
        <v>-1.1085004377354</v>
      </c>
      <c r="AH3639">
        <v>19.9865872206726</v>
      </c>
      <c r="AI3639">
        <v>93.174491359943303</v>
      </c>
      <c r="AJ3639">
        <v>90.122855116784805</v>
      </c>
      <c r="AK3639">
        <v>20.017349439231602</v>
      </c>
      <c r="AL3639">
        <v>82.261872623320301</v>
      </c>
      <c r="AM3639">
        <v>87.447421373859697</v>
      </c>
      <c r="AN3639">
        <v>0.99999997216534497</v>
      </c>
    </row>
    <row r="3640" spans="1:40" x14ac:dyDescent="0.25">
      <c r="A3640" t="str">
        <f>"20190312164059309"</f>
        <v>20190312164059309</v>
      </c>
      <c r="B3640" t="str">
        <f>"1552380059300090"</f>
        <v>1552380059300090</v>
      </c>
      <c r="C3640" t="s">
        <v>40</v>
      </c>
      <c r="D3640">
        <v>5.4876649999999998</v>
      </c>
      <c r="E3640">
        <v>0.48705399999999999</v>
      </c>
      <c r="F3640" t="s">
        <v>48</v>
      </c>
      <c r="G3640">
        <v>-321.51799999999997</v>
      </c>
      <c r="H3640" s="1">
        <v>-7.2897790000000001E-7</v>
      </c>
      <c r="I3640">
        <v>213.97569999999999</v>
      </c>
      <c r="J3640">
        <v>-341.59769999999997</v>
      </c>
      <c r="K3640">
        <v>1.1084940000000001</v>
      </c>
      <c r="L3640">
        <v>213.69929999999999</v>
      </c>
      <c r="M3640">
        <v>0.99989130000000004</v>
      </c>
      <c r="N3640">
        <v>0</v>
      </c>
      <c r="O3640">
        <v>1.1940259999999999E-2</v>
      </c>
      <c r="P3640">
        <v>0.99148480000000005</v>
      </c>
      <c r="Q3640">
        <v>0.12621949999999901</v>
      </c>
      <c r="R3640">
        <v>-3.2038619999999997E-2</v>
      </c>
      <c r="S3640">
        <v>3.0479430000000001</v>
      </c>
      <c r="T3640">
        <v>-0.1640682</v>
      </c>
      <c r="U3640">
        <v>4.1824340000000002E-2</v>
      </c>
      <c r="V3640">
        <v>4.3961729999999997E-2</v>
      </c>
      <c r="W3640">
        <v>0.13475719999999999</v>
      </c>
      <c r="X3640">
        <v>0.98990299999999998</v>
      </c>
      <c r="Y3640">
        <v>-1.7949820000000001E-3</v>
      </c>
      <c r="Z3640">
        <v>-5.9396470000000002E-4</v>
      </c>
      <c r="AA3640">
        <v>0.99999819999999995</v>
      </c>
      <c r="AB3640">
        <v>53</v>
      </c>
      <c r="AC3640">
        <v>20.079699999999999</v>
      </c>
      <c r="AD3640">
        <v>-1.1084947289778999</v>
      </c>
      <c r="AE3640">
        <v>0.27639999999999498</v>
      </c>
      <c r="AF3640">
        <v>-3.6503261393879799E-2</v>
      </c>
      <c r="AG3640">
        <v>-1.1084947289778999</v>
      </c>
      <c r="AH3640">
        <v>20.020566476144801</v>
      </c>
      <c r="AI3640">
        <v>93.169100275039199</v>
      </c>
      <c r="AJ3640">
        <v>90.104466599444095</v>
      </c>
      <c r="AK3640">
        <v>20.051263677833301</v>
      </c>
      <c r="AL3640">
        <v>82.255420155041605</v>
      </c>
      <c r="AM3640">
        <v>87.457157295402794</v>
      </c>
      <c r="AN3640">
        <v>1.0000000430327101</v>
      </c>
    </row>
    <row r="3641" spans="1:40" x14ac:dyDescent="0.25">
      <c r="A3641" t="str">
        <f>"20190312164059332"</f>
        <v>20190312164059332</v>
      </c>
      <c r="B3641" t="str">
        <f>"1552380059319608"</f>
        <v>1552380059319608</v>
      </c>
      <c r="C3641" t="s">
        <v>40</v>
      </c>
      <c r="D3641">
        <v>5.5031689999999998</v>
      </c>
      <c r="E3641">
        <v>0.4869694</v>
      </c>
      <c r="F3641" t="s">
        <v>48</v>
      </c>
      <c r="G3641">
        <v>-321.07420000000002</v>
      </c>
      <c r="H3641" s="1">
        <v>-9.6516830000000009E-7</v>
      </c>
      <c r="I3641">
        <v>213.9803</v>
      </c>
      <c r="J3641">
        <v>-341.07380000000001</v>
      </c>
      <c r="K3641">
        <v>1.1084830000000001</v>
      </c>
      <c r="L3641">
        <v>213.7054</v>
      </c>
      <c r="M3641">
        <v>0.99989340000000004</v>
      </c>
      <c r="N3641">
        <v>0</v>
      </c>
      <c r="O3641">
        <v>1.1760059999999999E-2</v>
      </c>
      <c r="P3641">
        <v>0.99148139999999996</v>
      </c>
      <c r="Q3641">
        <v>0.1262113</v>
      </c>
      <c r="R3641">
        <v>-3.2178659999999998E-2</v>
      </c>
      <c r="S3641">
        <v>3.0480649999999998</v>
      </c>
      <c r="T3641">
        <v>-0.16462850000000001</v>
      </c>
      <c r="U3641">
        <v>4.1732789999999999E-2</v>
      </c>
      <c r="V3641">
        <v>4.3923860000000002E-2</v>
      </c>
      <c r="W3641">
        <v>0.1347595</v>
      </c>
      <c r="X3641">
        <v>0.98990429999999996</v>
      </c>
      <c r="Y3641">
        <v>-1.944243E-3</v>
      </c>
      <c r="Z3641">
        <v>-5.8221390000000003E-4</v>
      </c>
      <c r="AA3641">
        <v>0.9999979</v>
      </c>
      <c r="AB3641">
        <v>53</v>
      </c>
      <c r="AC3641">
        <v>19.999599999999901</v>
      </c>
      <c r="AD3641">
        <v>-1.1084839651682901</v>
      </c>
      <c r="AE3641">
        <v>0.27490000000000198</v>
      </c>
      <c r="AF3641">
        <v>-3.9554199212168503E-2</v>
      </c>
      <c r="AG3641">
        <v>-1.1084839651682901</v>
      </c>
      <c r="AH3641">
        <v>19.940205811724699</v>
      </c>
      <c r="AI3641">
        <v>93.181814016737505</v>
      </c>
      <c r="AJ3641">
        <v>90.113654077886395</v>
      </c>
      <c r="AK3641">
        <v>19.971031747249601</v>
      </c>
      <c r="AL3641">
        <v>82.255286637278701</v>
      </c>
      <c r="AM3641">
        <v>87.459348239758498</v>
      </c>
      <c r="AN3641">
        <v>0.99999997573801902</v>
      </c>
    </row>
    <row r="3642" spans="1:40" x14ac:dyDescent="0.25">
      <c r="A3642" t="str">
        <f>"20190312164059355"</f>
        <v>20190312164059355</v>
      </c>
      <c r="B3642" t="str">
        <f>"1552380059349394"</f>
        <v>1552380059349394</v>
      </c>
      <c r="C3642" t="s">
        <v>40</v>
      </c>
      <c r="D3642">
        <v>5.4424659999999996</v>
      </c>
      <c r="E3642">
        <v>0.4869135</v>
      </c>
      <c r="F3642" t="s">
        <v>48</v>
      </c>
      <c r="G3642">
        <v>-320.51940000000002</v>
      </c>
      <c r="H3642" s="1">
        <v>-1.2604010000000001E-6</v>
      </c>
      <c r="I3642">
        <v>213.98750000000001</v>
      </c>
      <c r="J3642">
        <v>-340.53800000000001</v>
      </c>
      <c r="K3642">
        <v>1.108479</v>
      </c>
      <c r="L3642">
        <v>213.71170000000001</v>
      </c>
      <c r="M3642">
        <v>0.99989530000000004</v>
      </c>
      <c r="N3642">
        <v>0</v>
      </c>
      <c r="O3642">
        <v>1.157563E-2</v>
      </c>
      <c r="P3642">
        <v>0.99148460000000005</v>
      </c>
      <c r="Q3642">
        <v>0.12619</v>
      </c>
      <c r="R3642">
        <v>-3.2158550000000001E-2</v>
      </c>
      <c r="S3642">
        <v>3.0480649999999998</v>
      </c>
      <c r="T3642">
        <v>-0.16437969999999999</v>
      </c>
      <c r="U3642">
        <v>4.1824340000000002E-2</v>
      </c>
      <c r="V3642">
        <v>4.3721749999999997E-2</v>
      </c>
      <c r="W3642">
        <v>0.1347496</v>
      </c>
      <c r="X3642">
        <v>0.98991459999999998</v>
      </c>
      <c r="Y3642">
        <v>-2.1580979999999998E-3</v>
      </c>
      <c r="Z3642">
        <v>-5.6563529999999998E-4</v>
      </c>
      <c r="AA3642">
        <v>0.99999749999999998</v>
      </c>
      <c r="AB3642">
        <v>53</v>
      </c>
      <c r="AC3642">
        <v>20.0185999999999</v>
      </c>
      <c r="AD3642">
        <v>-1.108480260401</v>
      </c>
      <c r="AE3642">
        <v>0.27580000000000299</v>
      </c>
      <c r="AF3642">
        <v>-4.3910268998955698E-2</v>
      </c>
      <c r="AG3642">
        <v>-1.108480260401</v>
      </c>
      <c r="AH3642">
        <v>19.9592655332596</v>
      </c>
      <c r="AI3642">
        <v>93.178769799954793</v>
      </c>
      <c r="AJ3642">
        <v>90.126050180945896</v>
      </c>
      <c r="AK3642">
        <v>19.990070966021801</v>
      </c>
      <c r="AL3642">
        <v>82.255859125542599</v>
      </c>
      <c r="AM3642">
        <v>87.471049789111206</v>
      </c>
      <c r="AN3642">
        <v>0.99999998070819096</v>
      </c>
    </row>
    <row r="3643" spans="1:40" x14ac:dyDescent="0.25">
      <c r="A3643" t="str">
        <f>"20190312164059376"</f>
        <v>20190312164059376</v>
      </c>
      <c r="B3643" t="str">
        <f>"1552380059369890"</f>
        <v>1552380059369890</v>
      </c>
      <c r="C3643" t="s">
        <v>40</v>
      </c>
      <c r="D3643">
        <v>5.4233979999999997</v>
      </c>
      <c r="E3643">
        <v>0.48677379999999998</v>
      </c>
      <c r="F3643" t="s">
        <v>48</v>
      </c>
      <c r="G3643">
        <v>-320.09890000000001</v>
      </c>
      <c r="H3643" s="1">
        <v>-1.484172E-6</v>
      </c>
      <c r="I3643">
        <v>213.995</v>
      </c>
      <c r="J3643">
        <v>-340.0009</v>
      </c>
      <c r="K3643">
        <v>1.108474</v>
      </c>
      <c r="L3643">
        <v>213.71780000000001</v>
      </c>
      <c r="M3643">
        <v>0.99989749999999999</v>
      </c>
      <c r="N3643">
        <v>0</v>
      </c>
      <c r="O3643">
        <v>1.1390010000000001E-2</v>
      </c>
      <c r="P3643">
        <v>0.99147600000000002</v>
      </c>
      <c r="Q3643">
        <v>0.12638849999999999</v>
      </c>
      <c r="R3643">
        <v>-3.1645010000000001E-2</v>
      </c>
      <c r="S3643">
        <v>3.0482179999999999</v>
      </c>
      <c r="T3643">
        <v>-0.16531470000000001</v>
      </c>
      <c r="U3643">
        <v>4.2251589999999999E-2</v>
      </c>
      <c r="V3643">
        <v>4.3024949999999999E-2</v>
      </c>
      <c r="W3643">
        <v>0.13496029999999901</v>
      </c>
      <c r="X3643">
        <v>0.98991640000000003</v>
      </c>
      <c r="Y3643">
        <v>-2.482593E-3</v>
      </c>
      <c r="Z3643">
        <v>-5.4996790000000004E-4</v>
      </c>
      <c r="AA3643">
        <v>0.99999680000000002</v>
      </c>
      <c r="AB3643">
        <v>53</v>
      </c>
      <c r="AC3643">
        <v>19.901999999999902</v>
      </c>
      <c r="AD3643">
        <v>-1.1084754841719999</v>
      </c>
      <c r="AE3643">
        <v>0.27719999999999301</v>
      </c>
      <c r="AF3643">
        <v>-5.0333397856005498E-2</v>
      </c>
      <c r="AG3643">
        <v>-1.1084754841719999</v>
      </c>
      <c r="AH3643">
        <v>19.842324968927201</v>
      </c>
      <c r="AI3643">
        <v>93.197448799948702</v>
      </c>
      <c r="AJ3643">
        <v>90.145340079078196</v>
      </c>
      <c r="AK3643">
        <v>19.8733266345236</v>
      </c>
      <c r="AL3643">
        <v>82.243675403542596</v>
      </c>
      <c r="AM3643">
        <v>87.511307477868499</v>
      </c>
      <c r="AN3643">
        <v>0.99999995394377506</v>
      </c>
    </row>
    <row r="3644" spans="1:40" x14ac:dyDescent="0.25">
      <c r="A3644" t="str">
        <f>"20190312164059399"</f>
        <v>20190312164059399</v>
      </c>
      <c r="B3644" t="str">
        <f>"1552380059389412"</f>
        <v>1552380059389412</v>
      </c>
      <c r="C3644" t="s">
        <v>40</v>
      </c>
      <c r="D3644">
        <v>5.3155849999999996</v>
      </c>
      <c r="E3644">
        <v>0.48673270000000002</v>
      </c>
      <c r="F3644" t="s">
        <v>49</v>
      </c>
      <c r="G3644">
        <v>-319.55579999999998</v>
      </c>
      <c r="H3644" s="1">
        <v>5.1432320000000002E-6</v>
      </c>
      <c r="I3644">
        <v>214.0154</v>
      </c>
      <c r="J3644">
        <v>-339.48200000000003</v>
      </c>
      <c r="K3644">
        <v>1.1084769999999999</v>
      </c>
      <c r="L3644">
        <v>213.72370000000001</v>
      </c>
      <c r="M3644">
        <v>0.99989939999999999</v>
      </c>
      <c r="N3644">
        <v>0</v>
      </c>
      <c r="O3644">
        <v>1.120819E-2</v>
      </c>
      <c r="P3644">
        <v>0.9914809</v>
      </c>
      <c r="Q3644">
        <v>0.1264161</v>
      </c>
      <c r="R3644">
        <v>-3.1381439999999997E-2</v>
      </c>
      <c r="S3644">
        <v>3.048279</v>
      </c>
      <c r="T3644">
        <v>-0.1652682</v>
      </c>
      <c r="U3644">
        <v>4.4372559999999998E-2</v>
      </c>
      <c r="V3644">
        <v>4.2582109999999999E-2</v>
      </c>
      <c r="W3644">
        <v>0.13499810000000001</v>
      </c>
      <c r="X3644">
        <v>0.98993050000000005</v>
      </c>
      <c r="Y3644">
        <v>-3.3582350000000002E-3</v>
      </c>
      <c r="Z3644">
        <v>-5.1623130000000002E-4</v>
      </c>
      <c r="AA3644">
        <v>0.99999420000000006</v>
      </c>
      <c r="AB3644">
        <v>53</v>
      </c>
      <c r="AC3644">
        <v>19.926199999999898</v>
      </c>
      <c r="AD3644">
        <v>-1.1084718567680001</v>
      </c>
      <c r="AE3644">
        <v>0.29169999999999102</v>
      </c>
      <c r="AF3644">
        <v>-6.8125826425576699E-2</v>
      </c>
      <c r="AG3644">
        <v>-1.1084718567680001</v>
      </c>
      <c r="AH3644">
        <v>19.866751927932501</v>
      </c>
      <c r="AI3644">
        <v>93.193506639326102</v>
      </c>
      <c r="AJ3644">
        <v>90.196474342891605</v>
      </c>
      <c r="AK3644">
        <v>19.897768295753298</v>
      </c>
      <c r="AL3644">
        <v>82.241490439434799</v>
      </c>
      <c r="AM3644">
        <v>87.536926003946306</v>
      </c>
      <c r="AN3644">
        <v>1.0000000589629501</v>
      </c>
    </row>
    <row r="3645" spans="1:40" x14ac:dyDescent="0.25">
      <c r="A3645" t="str">
        <f>"20190312164059421"</f>
        <v>20190312164059421</v>
      </c>
      <c r="B3645" t="str">
        <f>"1552380059409906"</f>
        <v>1552380059409906</v>
      </c>
      <c r="C3645" t="s">
        <v>40</v>
      </c>
      <c r="D3645">
        <v>5.3229759999999997</v>
      </c>
      <c r="E3645">
        <v>0.48661120000000002</v>
      </c>
      <c r="F3645" t="s">
        <v>49</v>
      </c>
      <c r="G3645">
        <v>-318.9873</v>
      </c>
      <c r="H3645" s="1">
        <v>4.8911569999999997E-6</v>
      </c>
      <c r="I3645">
        <v>214.03</v>
      </c>
      <c r="J3645">
        <v>-338.94880000000001</v>
      </c>
      <c r="K3645">
        <v>1.1084719999999999</v>
      </c>
      <c r="L3645">
        <v>213.7296</v>
      </c>
      <c r="M3645">
        <v>0.9999015</v>
      </c>
      <c r="N3645">
        <v>0</v>
      </c>
      <c r="O3645">
        <v>1.101479E-2</v>
      </c>
      <c r="P3645">
        <v>0.99151860000000003</v>
      </c>
      <c r="Q3645">
        <v>0.12617210000000001</v>
      </c>
      <c r="R3645">
        <v>-3.1174940000000002E-2</v>
      </c>
      <c r="S3645">
        <v>3.0482480000000001</v>
      </c>
      <c r="T3645">
        <v>-0.164867299999999</v>
      </c>
      <c r="U3645">
        <v>4.5562739999999997E-2</v>
      </c>
      <c r="V3645">
        <v>4.2185769999999997E-2</v>
      </c>
      <c r="W3645">
        <v>0.13476569999999999</v>
      </c>
      <c r="X3645">
        <v>0.9899791</v>
      </c>
      <c r="Y3645">
        <v>-3.9409700000000002E-3</v>
      </c>
      <c r="Z3645">
        <v>-4.8878660000000005E-4</v>
      </c>
      <c r="AA3645">
        <v>0.99999210000000005</v>
      </c>
      <c r="AB3645">
        <v>53</v>
      </c>
      <c r="AC3645">
        <v>19.961500000000001</v>
      </c>
      <c r="AD3645">
        <v>-1.10846710884299</v>
      </c>
      <c r="AE3645">
        <v>0.300399999999996</v>
      </c>
      <c r="AF3645">
        <v>-8.0254308782441497E-2</v>
      </c>
      <c r="AG3645">
        <v>-1.10846710884299</v>
      </c>
      <c r="AH3645">
        <v>19.902241089163699</v>
      </c>
      <c r="AI3645">
        <v>93.187803029889693</v>
      </c>
      <c r="AJ3645">
        <v>90.231039722486102</v>
      </c>
      <c r="AK3645">
        <v>19.933247112717499</v>
      </c>
      <c r="AL3645">
        <v>82.254928522947196</v>
      </c>
      <c r="AM3645">
        <v>87.559943277083804</v>
      </c>
      <c r="AN3645">
        <v>1.00000002576189</v>
      </c>
    </row>
    <row r="3646" spans="1:40" x14ac:dyDescent="0.25">
      <c r="A3646" t="str">
        <f>"20190312164059443"</f>
        <v>20190312164059443</v>
      </c>
      <c r="B3646" t="str">
        <f>"1552380059439692"</f>
        <v>1552380059439692</v>
      </c>
      <c r="C3646" t="s">
        <v>40</v>
      </c>
      <c r="D3646">
        <v>5.4480110000000002</v>
      </c>
      <c r="E3646">
        <v>0.48643960000000003</v>
      </c>
      <c r="F3646" t="s">
        <v>49</v>
      </c>
      <c r="G3646">
        <v>-318.50200000000001</v>
      </c>
      <c r="H3646" s="1">
        <v>4.6759429999999997E-6</v>
      </c>
      <c r="I3646">
        <v>214.0436</v>
      </c>
      <c r="J3646">
        <v>-338.43</v>
      </c>
      <c r="K3646">
        <v>1.10846</v>
      </c>
      <c r="L3646">
        <v>213.73519999999999</v>
      </c>
      <c r="M3646">
        <v>0.9999036</v>
      </c>
      <c r="N3646">
        <v>0</v>
      </c>
      <c r="O3646">
        <v>1.0820730000000001E-2</v>
      </c>
      <c r="P3646">
        <v>0.99152960000000001</v>
      </c>
      <c r="Q3646">
        <v>0.12611610000000001</v>
      </c>
      <c r="R3646">
        <v>-3.1049670000000001E-2</v>
      </c>
      <c r="S3646">
        <v>3.0481569999999998</v>
      </c>
      <c r="T3646">
        <v>-0.16524759999999999</v>
      </c>
      <c r="U3646">
        <v>4.6813960000000002E-2</v>
      </c>
      <c r="V3646">
        <v>4.1870119999999997E-2</v>
      </c>
      <c r="W3646">
        <v>0.13472029999999999</v>
      </c>
      <c r="X3646">
        <v>0.98999859999999995</v>
      </c>
      <c r="Y3646">
        <v>-4.5447669999999999E-3</v>
      </c>
      <c r="Z3646">
        <v>-4.6305949999999999E-4</v>
      </c>
      <c r="AA3646">
        <v>0.99998960000000003</v>
      </c>
      <c r="AB3646">
        <v>53</v>
      </c>
      <c r="AC3646">
        <v>19.928000000000001</v>
      </c>
      <c r="AD3646">
        <v>-1.1084553240570001</v>
      </c>
      <c r="AE3646">
        <v>0.308400000000006</v>
      </c>
      <c r="AF3646">
        <v>-9.2452301670799097E-2</v>
      </c>
      <c r="AG3646">
        <v>-1.1084553240570001</v>
      </c>
      <c r="AH3646">
        <v>19.8687129778356</v>
      </c>
      <c r="AI3646">
        <v>93.193128802005106</v>
      </c>
      <c r="AJ3646">
        <v>90.266604508679606</v>
      </c>
      <c r="AK3646">
        <v>19.8998235175372</v>
      </c>
      <c r="AL3646">
        <v>82.2575530784449</v>
      </c>
      <c r="AM3646">
        <v>87.578226536314702</v>
      </c>
      <c r="AN3646">
        <v>0.99999994709143003</v>
      </c>
    </row>
    <row r="3647" spans="1:40" x14ac:dyDescent="0.25">
      <c r="A3647" t="str">
        <f>"20190312164059466"</f>
        <v>20190312164059466</v>
      </c>
      <c r="B3647" t="str">
        <f>"1552380059460188"</f>
        <v>1552380059460188</v>
      </c>
      <c r="C3647" t="s">
        <v>40</v>
      </c>
      <c r="D3647">
        <v>5.3756820000000003</v>
      </c>
      <c r="E3647">
        <v>0.48640719999999998</v>
      </c>
      <c r="F3647" t="s">
        <v>49</v>
      </c>
      <c r="G3647">
        <v>-317.92610000000002</v>
      </c>
      <c r="H3647" s="1">
        <v>4.4205380000000001E-6</v>
      </c>
      <c r="I3647">
        <v>214.06020000000001</v>
      </c>
      <c r="J3647">
        <v>-337.88330000000002</v>
      </c>
      <c r="K3647">
        <v>1.1084540000000001</v>
      </c>
      <c r="L3647">
        <v>213.74100000000001</v>
      </c>
      <c r="M3647">
        <v>0.99990570000000001</v>
      </c>
      <c r="N3647">
        <v>0</v>
      </c>
      <c r="O3647">
        <v>1.060642E-2</v>
      </c>
      <c r="P3647">
        <v>0.99150499999999997</v>
      </c>
      <c r="Q3647">
        <v>0.12628149999999999</v>
      </c>
      <c r="R3647">
        <v>-3.1160799999999999E-2</v>
      </c>
      <c r="S3647">
        <v>3.0480649999999998</v>
      </c>
      <c r="T3647">
        <v>-0.16478090000000001</v>
      </c>
      <c r="U3647">
        <v>4.8309329999999998E-2</v>
      </c>
      <c r="V3647">
        <v>4.177148E-2</v>
      </c>
      <c r="W3647">
        <v>0.13489509999999999</v>
      </c>
      <c r="X3647">
        <v>0.98997900000000005</v>
      </c>
      <c r="Y3647">
        <v>-5.248628E-3</v>
      </c>
      <c r="Z3647">
        <v>-4.3117900000000001E-4</v>
      </c>
      <c r="AA3647">
        <v>0.99998609999999999</v>
      </c>
      <c r="AB3647">
        <v>53</v>
      </c>
      <c r="AC3647">
        <v>19.9572</v>
      </c>
      <c r="AD3647">
        <v>-1.108449579462</v>
      </c>
      <c r="AE3647">
        <v>0.31920000000002302</v>
      </c>
      <c r="AF3647">
        <v>-0.107169029604594</v>
      </c>
      <c r="AG3647">
        <v>-1.108449579462</v>
      </c>
      <c r="AH3647">
        <v>19.8980962790082</v>
      </c>
      <c r="AI3647">
        <v>93.188395087074397</v>
      </c>
      <c r="AJ3647">
        <v>90.308585988989606</v>
      </c>
      <c r="AK3647">
        <v>19.929234335513101</v>
      </c>
      <c r="AL3647">
        <v>82.247445787677705</v>
      </c>
      <c r="AM3647">
        <v>87.583877340680601</v>
      </c>
      <c r="AN3647">
        <v>0.99999998249319999</v>
      </c>
    </row>
    <row r="3648" spans="1:40" x14ac:dyDescent="0.25">
      <c r="A3648" t="str">
        <f>"20190312164059488"</f>
        <v>20190312164059488</v>
      </c>
      <c r="B3648" t="str">
        <f>"1552380059479708"</f>
        <v>1552380059479708</v>
      </c>
      <c r="C3648" t="s">
        <v>40</v>
      </c>
      <c r="D3648">
        <v>5.3228119999999999</v>
      </c>
      <c r="E3648">
        <v>0.48642370000000001</v>
      </c>
      <c r="F3648" t="s">
        <v>49</v>
      </c>
      <c r="G3648">
        <v>-317.34070000000003</v>
      </c>
      <c r="H3648" s="1">
        <v>4.1609240000000001E-6</v>
      </c>
      <c r="I3648">
        <v>214.06389999999999</v>
      </c>
      <c r="J3648">
        <v>-337.34660000000002</v>
      </c>
      <c r="K3648">
        <v>1.108439</v>
      </c>
      <c r="L3648">
        <v>213.7466</v>
      </c>
      <c r="M3648">
        <v>0.99990800000000002</v>
      </c>
      <c r="N3648">
        <v>0</v>
      </c>
      <c r="O3648">
        <v>1.038237E-2</v>
      </c>
      <c r="P3648">
        <v>0.99143689999999995</v>
      </c>
      <c r="Q3648">
        <v>0.12686520000000001</v>
      </c>
      <c r="R3648">
        <v>-3.0956669999999999E-2</v>
      </c>
      <c r="S3648">
        <v>3.0480960000000001</v>
      </c>
      <c r="T3648">
        <v>-0.16447059999999999</v>
      </c>
      <c r="U3648">
        <v>4.79126E-2</v>
      </c>
      <c r="V3648">
        <v>4.1348849999999999E-2</v>
      </c>
      <c r="W3648">
        <v>0.13548850000000001</v>
      </c>
      <c r="X3648">
        <v>0.98991569999999995</v>
      </c>
      <c r="Y3648">
        <v>-5.3419269999999998E-3</v>
      </c>
      <c r="Z3648">
        <v>-4.1576980000000003E-4</v>
      </c>
      <c r="AA3648">
        <v>0.99998560000000003</v>
      </c>
      <c r="AB3648">
        <v>53</v>
      </c>
      <c r="AC3648">
        <v>20.0059</v>
      </c>
      <c r="AD3648">
        <v>-1.1084348390759999</v>
      </c>
      <c r="AE3648">
        <v>0.31729999999998798</v>
      </c>
      <c r="AF3648">
        <v>-0.10923109814325301</v>
      </c>
      <c r="AG3648">
        <v>-1.1084348390759999</v>
      </c>
      <c r="AH3648">
        <v>19.9468993303636</v>
      </c>
      <c r="AI3648">
        <v>93.180566476419301</v>
      </c>
      <c r="AJ3648">
        <v>90.313753945097204</v>
      </c>
      <c r="AK3648">
        <v>19.977971671842401</v>
      </c>
      <c r="AL3648">
        <v>82.213131403842993</v>
      </c>
      <c r="AM3648">
        <v>87.608141577619506</v>
      </c>
      <c r="AN3648">
        <v>0.99999997706753097</v>
      </c>
    </row>
    <row r="3649" spans="1:40" x14ac:dyDescent="0.25">
      <c r="A3649" t="str">
        <f>"20190312164059509"</f>
        <v>20190312164059509</v>
      </c>
      <c r="B3649" t="str">
        <f>"1552380059500207"</f>
        <v>1552380059500207</v>
      </c>
      <c r="C3649" t="s">
        <v>40</v>
      </c>
      <c r="D3649">
        <v>5.4173159999999996</v>
      </c>
      <c r="E3649">
        <v>0.48630590000000001</v>
      </c>
      <c r="F3649" t="s">
        <v>49</v>
      </c>
      <c r="G3649">
        <v>-316.70839999999998</v>
      </c>
      <c r="H3649" s="1">
        <v>3.880562E-6</v>
      </c>
      <c r="I3649">
        <v>214.07579999999999</v>
      </c>
      <c r="J3649">
        <v>-336.8347</v>
      </c>
      <c r="K3649">
        <v>1.1084229999999999</v>
      </c>
      <c r="L3649">
        <v>213.75190000000001</v>
      </c>
      <c r="M3649">
        <v>0.99991030000000003</v>
      </c>
      <c r="N3649">
        <v>0</v>
      </c>
      <c r="O3649">
        <v>1.0153580000000001E-2</v>
      </c>
      <c r="P3649">
        <v>0.9914982</v>
      </c>
      <c r="Q3649">
        <v>0.126433399999999</v>
      </c>
      <c r="R3649">
        <v>-3.075717E-2</v>
      </c>
      <c r="S3649">
        <v>3.0483699999999998</v>
      </c>
      <c r="T3649">
        <v>-0.1637217</v>
      </c>
      <c r="U3649">
        <v>4.8614499999999998E-2</v>
      </c>
      <c r="V3649">
        <v>4.0927280000000003E-2</v>
      </c>
      <c r="W3649">
        <v>0.13506660000000001</v>
      </c>
      <c r="X3649">
        <v>0.98999090000000001</v>
      </c>
      <c r="Y3649">
        <v>-5.7984500000000001E-3</v>
      </c>
      <c r="Z3649">
        <v>-3.893139E-4</v>
      </c>
      <c r="AA3649">
        <v>0.99998310000000001</v>
      </c>
      <c r="AB3649">
        <v>53</v>
      </c>
      <c r="AC3649">
        <v>20.126300000000001</v>
      </c>
      <c r="AD3649">
        <v>-1.108419119438</v>
      </c>
      <c r="AE3649">
        <v>0.32389999999997998</v>
      </c>
      <c r="AF3649">
        <v>-0.11916018297569</v>
      </c>
      <c r="AG3649">
        <v>-1.108419119438</v>
      </c>
      <c r="AH3649">
        <v>20.067700643526599</v>
      </c>
      <c r="AI3649">
        <v>93.161406351501398</v>
      </c>
      <c r="AJ3649">
        <v>90.340213134124198</v>
      </c>
      <c r="AK3649">
        <v>20.0986417752977</v>
      </c>
      <c r="AL3649">
        <v>82.237528981896006</v>
      </c>
      <c r="AM3649">
        <v>87.632679383316102</v>
      </c>
      <c r="AN3649">
        <v>1.00000000538328</v>
      </c>
    </row>
    <row r="3650" spans="1:40" x14ac:dyDescent="0.25">
      <c r="A3650" t="str">
        <f>"20190312164059534"</f>
        <v>20190312164059534</v>
      </c>
      <c r="B3650" t="str">
        <f>"1552380059529484"</f>
        <v>1552380059529484</v>
      </c>
      <c r="C3650" t="s">
        <v>40</v>
      </c>
      <c r="D3650">
        <v>5.2766140000000004</v>
      </c>
      <c r="E3650">
        <v>0.48617329999999997</v>
      </c>
      <c r="F3650" t="s">
        <v>49</v>
      </c>
      <c r="G3650">
        <v>-316.4436</v>
      </c>
      <c r="H3650" s="1">
        <v>3.7631180000000001E-6</v>
      </c>
      <c r="I3650">
        <v>214.08850000000001</v>
      </c>
      <c r="J3650">
        <v>-336.27120000000002</v>
      </c>
      <c r="K3650">
        <v>1.108403</v>
      </c>
      <c r="L3650">
        <v>213.75749999999999</v>
      </c>
      <c r="M3650">
        <v>0.99991280000000005</v>
      </c>
      <c r="N3650">
        <v>0</v>
      </c>
      <c r="O3650">
        <v>9.8828979999999993E-3</v>
      </c>
      <c r="P3650">
        <v>0.99154359999999997</v>
      </c>
      <c r="Q3650">
        <v>0.1260984</v>
      </c>
      <c r="R3650">
        <v>-3.0666840000000001E-2</v>
      </c>
      <c r="S3650">
        <v>3.0483699999999998</v>
      </c>
      <c r="T3650">
        <v>-0.16570319999999999</v>
      </c>
      <c r="U3650">
        <v>5.0323489999999999E-2</v>
      </c>
      <c r="V3650">
        <v>4.0574779999999998E-2</v>
      </c>
      <c r="W3650">
        <v>0.13474159999999999</v>
      </c>
      <c r="X3650">
        <v>0.99004970000000003</v>
      </c>
      <c r="Y3650">
        <v>-6.6281419999999897E-3</v>
      </c>
      <c r="Z3650">
        <v>-3.5678350000000001E-4</v>
      </c>
      <c r="AA3650">
        <v>0.99997789999999998</v>
      </c>
      <c r="AB3650">
        <v>54</v>
      </c>
      <c r="AC3650">
        <v>19.8276</v>
      </c>
      <c r="AD3650">
        <v>-1.1083992368819999</v>
      </c>
      <c r="AE3650">
        <v>0.331000000000017</v>
      </c>
      <c r="AF3650">
        <v>-0.134601652989842</v>
      </c>
      <c r="AG3650">
        <v>-1.1083992368819999</v>
      </c>
      <c r="AH3650">
        <v>19.7681444281931</v>
      </c>
      <c r="AI3650">
        <v>93.209138051000195</v>
      </c>
      <c r="AJ3650">
        <v>90.390121970140598</v>
      </c>
      <c r="AK3650">
        <v>19.7996515274186</v>
      </c>
      <c r="AL3650">
        <v>82.256321938724398</v>
      </c>
      <c r="AM3650">
        <v>87.653185063790701</v>
      </c>
      <c r="AN3650">
        <v>1.00000001000634</v>
      </c>
    </row>
    <row r="3651" spans="1:40" x14ac:dyDescent="0.25">
      <c r="A3651" t="str">
        <f>"20190312164059557"</f>
        <v>20190312164059557</v>
      </c>
      <c r="B3651" t="str">
        <f>"1552380059549510"</f>
        <v>1552380059549510</v>
      </c>
      <c r="C3651" t="s">
        <v>40</v>
      </c>
      <c r="D3651">
        <v>5.3201980000000004</v>
      </c>
      <c r="E3651">
        <v>0.48613400000000001</v>
      </c>
      <c r="F3651" t="s">
        <v>49</v>
      </c>
      <c r="G3651">
        <v>-316.00009999999997</v>
      </c>
      <c r="H3651" s="1">
        <v>3.5664470000000001E-6</v>
      </c>
      <c r="I3651">
        <v>214.1009</v>
      </c>
      <c r="J3651">
        <v>-335.70420000000001</v>
      </c>
      <c r="K3651">
        <v>1.108384</v>
      </c>
      <c r="L3651">
        <v>213.76300000000001</v>
      </c>
      <c r="M3651">
        <v>0.99991560000000002</v>
      </c>
      <c r="N3651">
        <v>0</v>
      </c>
      <c r="O3651">
        <v>9.5898879999999995E-3</v>
      </c>
      <c r="P3651">
        <v>0.99153170000000002</v>
      </c>
      <c r="Q3651">
        <v>0.12611339999999999</v>
      </c>
      <c r="R3651">
        <v>-3.0990199999999999E-2</v>
      </c>
      <c r="S3651">
        <v>3.0484010000000001</v>
      </c>
      <c r="T3651">
        <v>-0.16668269999999999</v>
      </c>
      <c r="U3651">
        <v>5.1651000000000002E-2</v>
      </c>
      <c r="V3651">
        <v>4.0613990000000003E-2</v>
      </c>
      <c r="W3651">
        <v>0.134769</v>
      </c>
      <c r="X3651">
        <v>0.99004440000000005</v>
      </c>
      <c r="Y3651">
        <v>-7.3548850000000002E-3</v>
      </c>
      <c r="Z3651">
        <v>-3.230242E-4</v>
      </c>
      <c r="AA3651">
        <v>0.99997290000000005</v>
      </c>
      <c r="AB3651">
        <v>54</v>
      </c>
      <c r="AC3651">
        <v>19.7041</v>
      </c>
      <c r="AD3651">
        <v>-1.1083804335529901</v>
      </c>
      <c r="AE3651">
        <v>0.33789999999998999</v>
      </c>
      <c r="AF3651">
        <v>-0.14844750949856</v>
      </c>
      <c r="AG3651">
        <v>-1.1083804335529901</v>
      </c>
      <c r="AH3651">
        <v>19.644294121258799</v>
      </c>
      <c r="AI3651">
        <v>93.2292558658351</v>
      </c>
      <c r="AJ3651">
        <v>90.432963069397402</v>
      </c>
      <c r="AK3651">
        <v>19.676098072816199</v>
      </c>
      <c r="AL3651">
        <v>82.254737869727506</v>
      </c>
      <c r="AM3651">
        <v>87.650907164831295</v>
      </c>
      <c r="AN3651">
        <v>1.0000000467580299</v>
      </c>
    </row>
    <row r="3652" spans="1:40" x14ac:dyDescent="0.25">
      <c r="A3652" t="str">
        <f>"20190312164059579"</f>
        <v>20190312164059579</v>
      </c>
      <c r="B3652" t="str">
        <f>"1552380059570009"</f>
        <v>1552380059570009</v>
      </c>
      <c r="C3652" t="s">
        <v>40</v>
      </c>
      <c r="D3652">
        <v>5.3424820000000004</v>
      </c>
      <c r="E3652">
        <v>0.48613220000000001</v>
      </c>
      <c r="F3652" t="s">
        <v>49</v>
      </c>
      <c r="G3652">
        <v>-315.48660000000001</v>
      </c>
      <c r="H3652" s="1">
        <v>3.338718E-6</v>
      </c>
      <c r="I3652">
        <v>214.1019</v>
      </c>
      <c r="J3652">
        <v>-335.16980000000001</v>
      </c>
      <c r="K3652">
        <v>1.108352</v>
      </c>
      <c r="L3652">
        <v>213.7679</v>
      </c>
      <c r="M3652">
        <v>0.99991819999999998</v>
      </c>
      <c r="N3652">
        <v>0</v>
      </c>
      <c r="O3652">
        <v>9.2969909999999992E-3</v>
      </c>
      <c r="P3652">
        <v>0.99150939999999999</v>
      </c>
      <c r="Q3652">
        <v>0.1261882</v>
      </c>
      <c r="R3652">
        <v>-3.1395069999999997E-2</v>
      </c>
      <c r="S3652">
        <v>3.048492</v>
      </c>
      <c r="T3652">
        <v>-0.1671261</v>
      </c>
      <c r="U3652">
        <v>5.1101679999999997E-2</v>
      </c>
      <c r="V3652">
        <v>4.0734510000000002E-2</v>
      </c>
      <c r="W3652">
        <v>0.13485829999999999</v>
      </c>
      <c r="X3652">
        <v>0.9900272</v>
      </c>
      <c r="Y3652">
        <v>-7.4665649999999997E-3</v>
      </c>
      <c r="Z3652">
        <v>-3.0477070000000002E-4</v>
      </c>
      <c r="AA3652">
        <v>0.99997210000000003</v>
      </c>
      <c r="AB3652">
        <v>54</v>
      </c>
      <c r="AC3652">
        <v>19.683199999999999</v>
      </c>
      <c r="AD3652">
        <v>-1.1083486612819999</v>
      </c>
      <c r="AE3652">
        <v>0.33400000000000302</v>
      </c>
      <c r="AF3652">
        <v>-0.15050688889019301</v>
      </c>
      <c r="AG3652">
        <v>-1.1083486612819999</v>
      </c>
      <c r="AH3652">
        <v>19.623252152644401</v>
      </c>
      <c r="AI3652">
        <v>93.232616002463899</v>
      </c>
      <c r="AJ3652">
        <v>90.439439923913099</v>
      </c>
      <c r="AK3652">
        <v>19.6551040222339</v>
      </c>
      <c r="AL3652">
        <v>82.249573533867206</v>
      </c>
      <c r="AM3652">
        <v>87.643903306022096</v>
      </c>
      <c r="AN3652">
        <v>0.99999995906183403</v>
      </c>
    </row>
    <row r="3653" spans="1:40" x14ac:dyDescent="0.25">
      <c r="A3653" t="str">
        <f>"20190312164059600"</f>
        <v>20190312164059600</v>
      </c>
      <c r="B3653" t="str">
        <f>"1552380059589526"</f>
        <v>1552380059589526</v>
      </c>
      <c r="C3653" t="s">
        <v>40</v>
      </c>
      <c r="D3653">
        <v>5.1634960000000003</v>
      </c>
      <c r="E3653">
        <v>0.48605530000000002</v>
      </c>
      <c r="F3653" t="s">
        <v>49</v>
      </c>
      <c r="G3653">
        <v>-314.96660000000003</v>
      </c>
      <c r="H3653" s="1">
        <v>3.1081099999999998E-6</v>
      </c>
      <c r="I3653">
        <v>214.09950000000001</v>
      </c>
      <c r="J3653">
        <v>-334.64980000000003</v>
      </c>
      <c r="K3653">
        <v>1.1083320000000001</v>
      </c>
      <c r="L3653">
        <v>213.77260000000001</v>
      </c>
      <c r="M3653">
        <v>0.99992080000000005</v>
      </c>
      <c r="N3653">
        <v>0</v>
      </c>
      <c r="O3653">
        <v>8.9974730000000006E-3</v>
      </c>
      <c r="P3653">
        <v>0.99150590000000005</v>
      </c>
      <c r="Q3653">
        <v>0.12611600000000001</v>
      </c>
      <c r="R3653">
        <v>-3.1801410000000002E-2</v>
      </c>
      <c r="S3653">
        <v>3.0485530000000001</v>
      </c>
      <c r="T3653">
        <v>-0.16724349999999999</v>
      </c>
      <c r="U3653">
        <v>5.0033569999999999E-2</v>
      </c>
      <c r="V3653">
        <v>4.084952E-2</v>
      </c>
      <c r="W3653">
        <v>0.13480490000000001</v>
      </c>
      <c r="X3653">
        <v>0.99002979999999996</v>
      </c>
      <c r="Y3653">
        <v>-7.4151269999999997E-3</v>
      </c>
      <c r="Z3653">
        <v>-2.8997160000000002E-4</v>
      </c>
      <c r="AA3653">
        <v>0.99997250000000004</v>
      </c>
      <c r="AB3653">
        <v>54</v>
      </c>
      <c r="AC3653">
        <v>19.683199999999999</v>
      </c>
      <c r="AD3653">
        <v>-1.1083288918899901</v>
      </c>
      <c r="AE3653">
        <v>0.32689999999999397</v>
      </c>
      <c r="AF3653">
        <v>-0.14930757961944899</v>
      </c>
      <c r="AG3653">
        <v>-1.1083288918899901</v>
      </c>
      <c r="AH3653">
        <v>19.623143967859299</v>
      </c>
      <c r="AI3653">
        <v>93.232577753847394</v>
      </c>
      <c r="AJ3653">
        <v>90.435940800079507</v>
      </c>
      <c r="AK3653">
        <v>19.654985750929999</v>
      </c>
      <c r="AL3653">
        <v>82.2526618357019</v>
      </c>
      <c r="AM3653">
        <v>87.637264818324198</v>
      </c>
      <c r="AN3653">
        <v>1.00000002461814</v>
      </c>
    </row>
    <row r="3654" spans="1:40" x14ac:dyDescent="0.25">
      <c r="A3654" t="str">
        <f>"20190312164059621"</f>
        <v>20190312164059621</v>
      </c>
      <c r="B3654" t="str">
        <f>"1552380059610022"</f>
        <v>1552380059610022</v>
      </c>
      <c r="C3654" t="s">
        <v>40</v>
      </c>
      <c r="D3654">
        <v>5.251792</v>
      </c>
      <c r="E3654">
        <v>0.48593789999999998</v>
      </c>
      <c r="F3654" t="s">
        <v>49</v>
      </c>
      <c r="G3654">
        <v>-314.5</v>
      </c>
      <c r="H3654" s="1">
        <v>2.9012100000000001E-6</v>
      </c>
      <c r="I3654">
        <v>214.09690000000001</v>
      </c>
      <c r="J3654">
        <v>-334.14049999999997</v>
      </c>
      <c r="K3654">
        <v>1.10832</v>
      </c>
      <c r="L3654">
        <v>213.77709999999999</v>
      </c>
      <c r="M3654">
        <v>0.99992329999999996</v>
      </c>
      <c r="N3654">
        <v>0</v>
      </c>
      <c r="O3654">
        <v>8.6943769999999997E-3</v>
      </c>
      <c r="P3654">
        <v>0.99147359999999896</v>
      </c>
      <c r="Q3654">
        <v>0.12624749999999901</v>
      </c>
      <c r="R3654">
        <v>-3.2278179999999997E-2</v>
      </c>
      <c r="S3654">
        <v>3.0486149999999999</v>
      </c>
      <c r="T3654">
        <v>-0.16768710000000001</v>
      </c>
      <c r="U3654">
        <v>4.9057009999999998E-2</v>
      </c>
      <c r="V3654">
        <v>4.1031020000000001E-2</v>
      </c>
      <c r="W3654">
        <v>0.13495839999999901</v>
      </c>
      <c r="X3654">
        <v>0.99000140000000003</v>
      </c>
      <c r="Y3654">
        <v>-7.3972539999999998E-3</v>
      </c>
      <c r="Z3654">
        <v>-2.7456840000000002E-4</v>
      </c>
      <c r="AA3654">
        <v>0.99997259999999999</v>
      </c>
      <c r="AB3654">
        <v>54</v>
      </c>
      <c r="AC3654">
        <v>19.6404999999999</v>
      </c>
      <c r="AD3654">
        <v>-1.10831709879</v>
      </c>
      <c r="AE3654">
        <v>0.31980000000001402</v>
      </c>
      <c r="AF3654">
        <v>-0.14854645606469499</v>
      </c>
      <c r="AG3654">
        <v>-1.10831709879</v>
      </c>
      <c r="AH3654">
        <v>19.580204152562601</v>
      </c>
      <c r="AI3654">
        <v>93.239617931010898</v>
      </c>
      <c r="AJ3654">
        <v>90.434669712614905</v>
      </c>
      <c r="AK3654">
        <v>19.6121092057205</v>
      </c>
      <c r="AL3654">
        <v>82.243785966984305</v>
      </c>
      <c r="AM3654">
        <v>87.626710837330293</v>
      </c>
      <c r="AN3654">
        <v>1.0000000431673699</v>
      </c>
    </row>
    <row r="3655" spans="1:40" x14ac:dyDescent="0.25">
      <c r="A3655" t="str">
        <f>"20190312164059655"</f>
        <v>20190312164059655</v>
      </c>
      <c r="B3655" t="str">
        <f>"1552380059650039"</f>
        <v>1552380059650039</v>
      </c>
      <c r="C3655" t="s">
        <v>40</v>
      </c>
      <c r="D3655">
        <v>5.256894</v>
      </c>
      <c r="E3655">
        <v>0.485767</v>
      </c>
      <c r="F3655" t="s">
        <v>49</v>
      </c>
      <c r="G3655">
        <v>-313.93040000000002</v>
      </c>
      <c r="H3655" s="1">
        <v>2.648593E-6</v>
      </c>
      <c r="I3655">
        <v>214.1</v>
      </c>
      <c r="J3655">
        <v>-333.32560000000001</v>
      </c>
      <c r="K3655">
        <v>1.1083130000000001</v>
      </c>
      <c r="L3655">
        <v>213.78389999999999</v>
      </c>
      <c r="M3655">
        <v>0.9999268</v>
      </c>
      <c r="N3655">
        <v>0</v>
      </c>
      <c r="O3655">
        <v>8.1953830000000005E-3</v>
      </c>
      <c r="P3655">
        <v>0.99149609999999999</v>
      </c>
      <c r="Q3655">
        <v>0.12596179999999901</v>
      </c>
      <c r="R3655">
        <v>-3.2696259999999998E-2</v>
      </c>
      <c r="S3655">
        <v>3.048645</v>
      </c>
      <c r="T3655">
        <v>-0.16718649999999999</v>
      </c>
      <c r="U3655">
        <v>4.8706050000000001E-2</v>
      </c>
      <c r="V3655">
        <v>4.0962060000000002E-2</v>
      </c>
      <c r="W3655">
        <v>0.13473309999999999</v>
      </c>
      <c r="X3655">
        <v>0.99003490000000005</v>
      </c>
      <c r="Y3655">
        <v>-7.7796829999999999E-3</v>
      </c>
      <c r="Z3655">
        <v>-2.3592860000000001E-4</v>
      </c>
      <c r="AA3655">
        <v>0.99996969999999996</v>
      </c>
      <c r="AB3655">
        <v>54</v>
      </c>
      <c r="AC3655">
        <v>19.3951999999999</v>
      </c>
      <c r="AD3655">
        <v>-1.1083103514069901</v>
      </c>
      <c r="AE3655">
        <v>0.31610000000000499</v>
      </c>
      <c r="AF3655">
        <v>-0.15662070313044699</v>
      </c>
      <c r="AG3655">
        <v>-1.1083103514069901</v>
      </c>
      <c r="AH3655">
        <v>19.334023024485099</v>
      </c>
      <c r="AI3655">
        <v>93.280745480940297</v>
      </c>
      <c r="AJ3655">
        <v>90.464130459412701</v>
      </c>
      <c r="AK3655">
        <v>19.366396881996501</v>
      </c>
      <c r="AL3655">
        <v>82.256813363731496</v>
      </c>
      <c r="AM3655">
        <v>87.630775105943997</v>
      </c>
      <c r="AN3655">
        <v>1.00000000090653</v>
      </c>
    </row>
    <row r="3656" spans="1:40" x14ac:dyDescent="0.25">
      <c r="A3656" t="str">
        <f>"20190312164059678"</f>
        <v>20190312164059678</v>
      </c>
      <c r="B3656" t="str">
        <f>"1552380059669558"</f>
        <v>1552380059669558</v>
      </c>
      <c r="C3656" t="s">
        <v>40</v>
      </c>
      <c r="D3656">
        <v>5.2794990000000004</v>
      </c>
      <c r="E3656">
        <v>0.48578179999999999</v>
      </c>
      <c r="F3656" t="s">
        <v>49</v>
      </c>
      <c r="G3656">
        <v>-313.27379999999999</v>
      </c>
      <c r="H3656" s="1">
        <v>2.357435E-6</v>
      </c>
      <c r="I3656">
        <v>214.10679999999999</v>
      </c>
      <c r="J3656">
        <v>-332.77010000000001</v>
      </c>
      <c r="K3656">
        <v>1.1083130000000001</v>
      </c>
      <c r="L3656">
        <v>213.7884</v>
      </c>
      <c r="M3656">
        <v>0.99992910000000002</v>
      </c>
      <c r="N3656">
        <v>0</v>
      </c>
      <c r="O3656">
        <v>7.8488489999999998E-3</v>
      </c>
      <c r="P3656">
        <v>0.99156549999999999</v>
      </c>
      <c r="Q3656">
        <v>0.12530469999999999</v>
      </c>
      <c r="R3656">
        <v>-3.3120259999999999E-2</v>
      </c>
      <c r="S3656">
        <v>3.0487669999999998</v>
      </c>
      <c r="T3656">
        <v>-0.16851259999999901</v>
      </c>
      <c r="U3656">
        <v>4.9087520000000003E-2</v>
      </c>
      <c r="V3656">
        <v>4.1046840000000001E-2</v>
      </c>
      <c r="W3656">
        <v>0.13413530000000001</v>
      </c>
      <c r="X3656">
        <v>0.99011249999999995</v>
      </c>
      <c r="Y3656">
        <v>-8.2494390000000008E-3</v>
      </c>
      <c r="Z3656">
        <v>-2.0567839999999999E-4</v>
      </c>
      <c r="AA3656">
        <v>0.99996600000000002</v>
      </c>
      <c r="AB3656">
        <v>54</v>
      </c>
      <c r="AC3656">
        <v>19.496300000000002</v>
      </c>
      <c r="AD3656">
        <v>-1.10831064256499</v>
      </c>
      <c r="AE3656">
        <v>0.31839999999999602</v>
      </c>
      <c r="AF3656">
        <v>-0.16482802353912801</v>
      </c>
      <c r="AG3656">
        <v>-1.10831064256499</v>
      </c>
      <c r="AH3656">
        <v>19.435407724493899</v>
      </c>
      <c r="AI3656">
        <v>93.263659177077002</v>
      </c>
      <c r="AJ3656">
        <v>90.485903039537902</v>
      </c>
      <c r="AK3656">
        <v>19.467680760046498</v>
      </c>
      <c r="AL3656">
        <v>82.291378090743393</v>
      </c>
      <c r="AM3656">
        <v>87.626062937527294</v>
      </c>
      <c r="AN3656">
        <v>0.99999994221816102</v>
      </c>
    </row>
    <row r="3657" spans="1:40" x14ac:dyDescent="0.25">
      <c r="A3657" t="str">
        <f>"20190312164059699"</f>
        <v>20190312164059699</v>
      </c>
      <c r="B3657" t="str">
        <f>"1552380059690057"</f>
        <v>1552380059690057</v>
      </c>
      <c r="C3657" t="s">
        <v>40</v>
      </c>
      <c r="D3657">
        <v>5.2496900000000002</v>
      </c>
      <c r="E3657">
        <v>0.48574129999999899</v>
      </c>
      <c r="F3657" t="s">
        <v>49</v>
      </c>
      <c r="G3657">
        <v>-313.03410000000002</v>
      </c>
      <c r="H3657" s="1">
        <v>2.251125E-6</v>
      </c>
      <c r="I3657">
        <v>214.09530000000001</v>
      </c>
      <c r="J3657">
        <v>-332.25909999999999</v>
      </c>
      <c r="K3657">
        <v>1.1083050000000001</v>
      </c>
      <c r="L3657">
        <v>213.79230000000001</v>
      </c>
      <c r="M3657">
        <v>0.99993089999999996</v>
      </c>
      <c r="N3657">
        <v>0</v>
      </c>
      <c r="O3657">
        <v>7.5270869999999896E-3</v>
      </c>
      <c r="P3657">
        <v>0.99153360000000001</v>
      </c>
      <c r="Q3657">
        <v>0.1254005</v>
      </c>
      <c r="R3657">
        <v>-3.370095E-2</v>
      </c>
      <c r="S3657">
        <v>3.0487060000000001</v>
      </c>
      <c r="T3657">
        <v>-0.17120489999999999</v>
      </c>
      <c r="U3657">
        <v>4.7409060000000003E-2</v>
      </c>
      <c r="V3657">
        <v>4.1312389999999997E-2</v>
      </c>
      <c r="W3657">
        <v>0.1342988</v>
      </c>
      <c r="X3657">
        <v>0.9900793</v>
      </c>
      <c r="Y3657">
        <v>-8.0209679999999998E-3</v>
      </c>
      <c r="Z3657">
        <v>-1.9732110000000001E-4</v>
      </c>
      <c r="AA3657">
        <v>0.99996779999999996</v>
      </c>
      <c r="AB3657">
        <v>54</v>
      </c>
      <c r="AC3657">
        <v>19.224999999999898</v>
      </c>
      <c r="AD3657">
        <v>-1.1083027488749999</v>
      </c>
      <c r="AE3657">
        <v>0.30299999999999699</v>
      </c>
      <c r="AF3657">
        <v>-0.157753119737012</v>
      </c>
      <c r="AG3657">
        <v>-1.1083027488749999</v>
      </c>
      <c r="AH3657">
        <v>19.163065196275099</v>
      </c>
      <c r="AI3657">
        <v>93.309922732258102</v>
      </c>
      <c r="AJ3657">
        <v>90.471656475902805</v>
      </c>
      <c r="AK3657">
        <v>19.195736212676</v>
      </c>
      <c r="AL3657">
        <v>82.281924761911498</v>
      </c>
      <c r="AM3657">
        <v>87.610642613432702</v>
      </c>
      <c r="AN3657">
        <v>0.99999995076871995</v>
      </c>
    </row>
    <row r="3658" spans="1:40" x14ac:dyDescent="0.25">
      <c r="A3658" t="str">
        <f>"20190312164059722"</f>
        <v>20190312164059722</v>
      </c>
      <c r="B3658" t="str">
        <f>"1552380059709574"</f>
        <v>1552380059709574</v>
      </c>
      <c r="C3658" t="s">
        <v>40</v>
      </c>
      <c r="D3658">
        <v>5.1533179999999996</v>
      </c>
      <c r="E3658">
        <v>0.48581150000000001</v>
      </c>
      <c r="F3658" t="s">
        <v>49</v>
      </c>
      <c r="G3658">
        <v>-312.49880000000002</v>
      </c>
      <c r="H3658" s="1">
        <v>2.013773E-6</v>
      </c>
      <c r="I3658">
        <v>214.0943</v>
      </c>
      <c r="J3658">
        <v>-331.71429999999998</v>
      </c>
      <c r="K3658">
        <v>1.1083019999999999</v>
      </c>
      <c r="L3658">
        <v>213.7962</v>
      </c>
      <c r="M3658">
        <v>0.99993290000000001</v>
      </c>
      <c r="N3658">
        <v>0</v>
      </c>
      <c r="O3658">
        <v>7.1827289999999997E-3</v>
      </c>
      <c r="P3658">
        <v>0.9915292</v>
      </c>
      <c r="Q3658">
        <v>0.12535080000000001</v>
      </c>
      <c r="R3658">
        <v>-3.4019889999999997E-2</v>
      </c>
      <c r="S3658">
        <v>3.0488279999999999</v>
      </c>
      <c r="T3658">
        <v>-0.17100129999999999</v>
      </c>
      <c r="U3658">
        <v>4.6600339999999997E-2</v>
      </c>
      <c r="V3658">
        <v>4.1293719999999999E-2</v>
      </c>
      <c r="W3658">
        <v>0.13432949999999999</v>
      </c>
      <c r="X3658">
        <v>0.99007590000000001</v>
      </c>
      <c r="Y3658">
        <v>-8.0988680000000004E-3</v>
      </c>
      <c r="Z3658">
        <v>-1.7559919999999901E-4</v>
      </c>
      <c r="AA3658">
        <v>0.99996719999999895</v>
      </c>
      <c r="AB3658">
        <v>54</v>
      </c>
      <c r="AC3658">
        <v>19.215499999999899</v>
      </c>
      <c r="AD3658">
        <v>-1.108299986227</v>
      </c>
      <c r="AE3658">
        <v>0.29810000000000503</v>
      </c>
      <c r="AF3658">
        <v>-0.159536280840825</v>
      </c>
      <c r="AG3658">
        <v>-1.108299986227</v>
      </c>
      <c r="AH3658">
        <v>19.1534434507534</v>
      </c>
      <c r="AI3658">
        <v>93.311570877950999</v>
      </c>
      <c r="AJ3658">
        <v>90.477227200054898</v>
      </c>
      <c r="AK3658">
        <v>19.186145436371099</v>
      </c>
      <c r="AL3658">
        <v>82.280149588850307</v>
      </c>
      <c r="AM3658">
        <v>87.611712975213905</v>
      </c>
      <c r="AN3658">
        <v>0.99999993682124699</v>
      </c>
    </row>
    <row r="3659" spans="1:40" x14ac:dyDescent="0.25">
      <c r="A3659" t="str">
        <f>"20190312164059746"</f>
        <v>20190312164059746</v>
      </c>
      <c r="B3659" t="str">
        <f>"1552380059739830"</f>
        <v>1552380059739830</v>
      </c>
      <c r="C3659" t="s">
        <v>40</v>
      </c>
      <c r="D3659">
        <v>5.151948</v>
      </c>
      <c r="E3659">
        <v>0.50151659999999998</v>
      </c>
      <c r="F3659" t="s">
        <v>49</v>
      </c>
      <c r="G3659">
        <v>-311.98160000000001</v>
      </c>
      <c r="H3659" s="1">
        <v>1.7844229999999901E-6</v>
      </c>
      <c r="I3659">
        <v>214.08840000000001</v>
      </c>
      <c r="J3659">
        <v>-331.1311</v>
      </c>
      <c r="K3659">
        <v>1.108295</v>
      </c>
      <c r="L3659">
        <v>213.80029999999999</v>
      </c>
      <c r="M3659">
        <v>0.9999344</v>
      </c>
      <c r="N3659">
        <v>0</v>
      </c>
      <c r="O3659">
        <v>6.8136940000000003E-3</v>
      </c>
      <c r="P3659">
        <v>0.9915872</v>
      </c>
      <c r="Q3659">
        <v>0.1247759</v>
      </c>
      <c r="R3659">
        <v>-3.4435159999999999E-2</v>
      </c>
      <c r="S3659">
        <v>3.0488279999999999</v>
      </c>
      <c r="T3659">
        <v>-0.17124020000000001</v>
      </c>
      <c r="U3659">
        <v>4.5150759999999998E-2</v>
      </c>
      <c r="V3659">
        <v>4.1346710000000002E-2</v>
      </c>
      <c r="W3659">
        <v>0.1338471</v>
      </c>
      <c r="X3659">
        <v>0.99013910000000005</v>
      </c>
      <c r="Y3659">
        <v>-7.9921569999999997E-3</v>
      </c>
      <c r="Z3659">
        <v>-1.5812979999999999E-4</v>
      </c>
      <c r="AA3659">
        <v>0.99996810000000003</v>
      </c>
      <c r="AB3659">
        <v>54</v>
      </c>
      <c r="AC3659">
        <v>19.1494999999999</v>
      </c>
      <c r="AD3659">
        <v>-1.108293215577</v>
      </c>
      <c r="AE3659">
        <v>0.28810000000001401</v>
      </c>
      <c r="AF3659">
        <v>-0.157082900066639</v>
      </c>
      <c r="AG3659">
        <v>-1.108293215577</v>
      </c>
      <c r="AH3659">
        <v>19.0870986422225</v>
      </c>
      <c r="AI3659">
        <v>93.323038287806597</v>
      </c>
      <c r="AJ3659">
        <v>90.471521847907297</v>
      </c>
      <c r="AK3659">
        <v>19.119893395809498</v>
      </c>
      <c r="AL3659">
        <v>82.3080415713153</v>
      </c>
      <c r="AM3659">
        <v>87.608804232307193</v>
      </c>
      <c r="AN3659">
        <v>1.0000000169775201</v>
      </c>
    </row>
    <row r="3660" spans="1:40" x14ac:dyDescent="0.25">
      <c r="A3660" t="str">
        <f>"20190312164059768"</f>
        <v>20190312164059768</v>
      </c>
      <c r="B3660" t="str">
        <f>"1552380059759350"</f>
        <v>1552380059759350</v>
      </c>
      <c r="C3660" t="s">
        <v>40</v>
      </c>
      <c r="D3660">
        <v>5.3224200000000002</v>
      </c>
      <c r="E3660">
        <v>0.50257929999999995</v>
      </c>
      <c r="F3660" t="s">
        <v>49</v>
      </c>
      <c r="G3660">
        <v>-310.09230000000002</v>
      </c>
      <c r="H3660" s="1">
        <v>9.4658399999999995E-7</v>
      </c>
      <c r="I3660">
        <v>213.2304</v>
      </c>
      <c r="J3660">
        <v>-330.59930000000003</v>
      </c>
      <c r="K3660">
        <v>1.108295</v>
      </c>
      <c r="L3660">
        <v>213.80369999999999</v>
      </c>
      <c r="M3660">
        <v>0.99993600000000005</v>
      </c>
      <c r="N3660">
        <v>0</v>
      </c>
      <c r="O3660">
        <v>6.4764260000000004E-3</v>
      </c>
      <c r="P3660">
        <v>0.99155769999999999</v>
      </c>
      <c r="Q3660">
        <v>0.124851</v>
      </c>
      <c r="R3660">
        <v>-3.5014509999999999E-2</v>
      </c>
      <c r="S3660">
        <v>3.0427550000000001</v>
      </c>
      <c r="T3660">
        <v>-0.16028789999999901</v>
      </c>
      <c r="U3660">
        <v>-8.2412719999999995E-2</v>
      </c>
      <c r="V3660">
        <v>4.1594579999999999E-2</v>
      </c>
      <c r="W3660">
        <v>0.13400680000000001</v>
      </c>
      <c r="X3660">
        <v>0.99010710000000002</v>
      </c>
      <c r="Y3660">
        <v>3.3493349999999998E-2</v>
      </c>
      <c r="Z3660">
        <v>-1.2223080000000001E-3</v>
      </c>
      <c r="AA3660">
        <v>0.99943820000000005</v>
      </c>
      <c r="AB3660">
        <v>54</v>
      </c>
      <c r="AC3660">
        <v>20.507000000000001</v>
      </c>
      <c r="AD3660">
        <v>-1.108294053416</v>
      </c>
      <c r="AE3660">
        <v>-0.57329999999998904</v>
      </c>
      <c r="AF3660">
        <v>0.70405095361597902</v>
      </c>
      <c r="AG3660">
        <v>-1.108294053416</v>
      </c>
      <c r="AH3660">
        <v>20.443192405147599</v>
      </c>
      <c r="AI3660">
        <v>93.101323621411893</v>
      </c>
      <c r="AJ3660">
        <v>88.027548223475094</v>
      </c>
      <c r="AK3660">
        <v>20.485314719769601</v>
      </c>
      <c r="AL3660">
        <v>82.298808126774503</v>
      </c>
      <c r="AM3660">
        <v>87.594408352608596</v>
      </c>
      <c r="AN3660">
        <v>1.0000000005010099</v>
      </c>
    </row>
    <row r="3661" spans="1:40" x14ac:dyDescent="0.25">
      <c r="A3661" t="str">
        <f>"20190312164059788"</f>
        <v>20190312164059788</v>
      </c>
      <c r="B3661" t="str">
        <f>"1552380059779846"</f>
        <v>1552380059779846</v>
      </c>
      <c r="C3661" t="s">
        <v>40</v>
      </c>
      <c r="D3661">
        <v>5.1548499999999997</v>
      </c>
      <c r="E3661">
        <v>0.50316530000000004</v>
      </c>
      <c r="F3661" t="s">
        <v>49</v>
      </c>
      <c r="G3661">
        <v>-309.08640000000003</v>
      </c>
      <c r="H3661" s="1">
        <v>1.0414859999999999E-6</v>
      </c>
      <c r="I3661">
        <v>213.1473</v>
      </c>
      <c r="J3661">
        <v>-330.08980000000003</v>
      </c>
      <c r="K3661">
        <v>1.1082989999999999</v>
      </c>
      <c r="L3661">
        <v>213.80690000000001</v>
      </c>
      <c r="M3661">
        <v>0.99993719999999997</v>
      </c>
      <c r="N3661">
        <v>0</v>
      </c>
      <c r="O3661">
        <v>6.1531969999999896E-3</v>
      </c>
      <c r="P3661">
        <v>0.99149109999999996</v>
      </c>
      <c r="Q3661">
        <v>0.12524009999999999</v>
      </c>
      <c r="R3661">
        <v>-3.5503390000000003E-2</v>
      </c>
      <c r="S3661">
        <v>3.0420229999999999</v>
      </c>
      <c r="T3661">
        <v>-0.15671789999999999</v>
      </c>
      <c r="U3661">
        <v>-9.2819209999999999E-2</v>
      </c>
      <c r="V3661">
        <v>4.1765650000000001E-2</v>
      </c>
      <c r="W3661">
        <v>0.13447700000000001</v>
      </c>
      <c r="X3661">
        <v>0.99003609999999997</v>
      </c>
      <c r="Y3661">
        <v>3.6591529999999997E-2</v>
      </c>
      <c r="Z3661">
        <v>-1.2584460000000001E-3</v>
      </c>
      <c r="AA3661">
        <v>0.99932949999999998</v>
      </c>
      <c r="AB3661">
        <v>54</v>
      </c>
      <c r="AC3661">
        <v>21.003399999999999</v>
      </c>
      <c r="AD3661">
        <v>-1.10829795851399</v>
      </c>
      <c r="AE3661">
        <v>-0.65960000000001096</v>
      </c>
      <c r="AF3661">
        <v>0.78664305736751206</v>
      </c>
      <c r="AG3661">
        <v>-1.10829795851399</v>
      </c>
      <c r="AH3661">
        <v>20.940693402734301</v>
      </c>
      <c r="AI3661">
        <v>93.027453312697602</v>
      </c>
      <c r="AJ3661">
        <v>87.8486794382152</v>
      </c>
      <c r="AK3661">
        <v>20.984750936141001</v>
      </c>
      <c r="AL3661">
        <v>82.271621229768499</v>
      </c>
      <c r="AM3661">
        <v>87.584353321329203</v>
      </c>
      <c r="AN3661">
        <v>0.99999995617606496</v>
      </c>
    </row>
    <row r="3662" spans="1:40" x14ac:dyDescent="0.25">
      <c r="A3662" t="str">
        <f>"20190312164059812"</f>
        <v>20190312164059812</v>
      </c>
      <c r="B3662" t="str">
        <f>"1552380059799366"</f>
        <v>1552380059799366</v>
      </c>
      <c r="C3662" t="s">
        <v>40</v>
      </c>
      <c r="D3662">
        <v>5.1752000000000002</v>
      </c>
      <c r="E3662">
        <v>0.50294640000000002</v>
      </c>
      <c r="F3662" t="s">
        <v>49</v>
      </c>
      <c r="G3662">
        <v>-309.00200000000001</v>
      </c>
      <c r="H3662" s="1">
        <v>1.0564449999999999E-6</v>
      </c>
      <c r="I3662">
        <v>213.12360000000001</v>
      </c>
      <c r="J3662">
        <v>-329.53980000000001</v>
      </c>
      <c r="K3662">
        <v>1.1083050000000001</v>
      </c>
      <c r="L3662">
        <v>213.81020000000001</v>
      </c>
      <c r="M3662">
        <v>0.99993849999999995</v>
      </c>
      <c r="N3662">
        <v>0</v>
      </c>
      <c r="O3662">
        <v>5.8035400000000003E-3</v>
      </c>
      <c r="P3662">
        <v>0.99140450000000002</v>
      </c>
      <c r="Q3662">
        <v>0.1257363</v>
      </c>
      <c r="R3662">
        <v>-3.6161140000000001E-2</v>
      </c>
      <c r="S3662">
        <v>3.0424500000000001</v>
      </c>
      <c r="T3662">
        <v>-0.1599005</v>
      </c>
      <c r="U3662">
        <v>-9.8587040000000001E-2</v>
      </c>
      <c r="V3662">
        <v>4.2079360000000003E-2</v>
      </c>
      <c r="W3662">
        <v>0.1350586</v>
      </c>
      <c r="X3662">
        <v>0.98994369999999998</v>
      </c>
      <c r="Y3662">
        <v>3.8126460000000001E-2</v>
      </c>
      <c r="Z3662">
        <v>-1.305687E-3</v>
      </c>
      <c r="AA3662">
        <v>0.99927200000000005</v>
      </c>
      <c r="AB3662">
        <v>54</v>
      </c>
      <c r="AC3662">
        <v>20.537800000000001</v>
      </c>
      <c r="AD3662">
        <v>-1.1083039435549999</v>
      </c>
      <c r="AE3662">
        <v>-0.68659999999999799</v>
      </c>
      <c r="AF3662">
        <v>0.80344857304720696</v>
      </c>
      <c r="AG3662">
        <v>-1.1083039435549999</v>
      </c>
      <c r="AH3662">
        <v>20.473913190682101</v>
      </c>
      <c r="AI3662">
        <v>93.096160664319896</v>
      </c>
      <c r="AJ3662">
        <v>87.752720590408998</v>
      </c>
      <c r="AK3662">
        <v>20.519624474644299</v>
      </c>
      <c r="AL3662">
        <v>82.237991650891999</v>
      </c>
      <c r="AM3662">
        <v>87.566003769641299</v>
      </c>
      <c r="AN3662">
        <v>1.00000001357082</v>
      </c>
    </row>
    <row r="3663" spans="1:40" x14ac:dyDescent="0.25">
      <c r="A3663" t="str">
        <f>"20190312164059834"</f>
        <v>20190312164059834</v>
      </c>
      <c r="B3663" t="str">
        <f>"1552380059829622"</f>
        <v>1552380059829622</v>
      </c>
      <c r="C3663" t="s">
        <v>40</v>
      </c>
      <c r="D3663">
        <v>5.2103960000000002</v>
      </c>
      <c r="E3663">
        <v>0.50341259999999999</v>
      </c>
      <c r="F3663" t="s">
        <v>49</v>
      </c>
      <c r="G3663">
        <v>-309.04989999999998</v>
      </c>
      <c r="H3663" s="1">
        <v>1.047954E-6</v>
      </c>
      <c r="I3663">
        <v>213.1489</v>
      </c>
      <c r="J3663">
        <v>-328.99599999999998</v>
      </c>
      <c r="K3663">
        <v>1.108311</v>
      </c>
      <c r="L3663">
        <v>213.81319999999999</v>
      </c>
      <c r="M3663">
        <v>0.99993960000000004</v>
      </c>
      <c r="N3663">
        <v>0</v>
      </c>
      <c r="O3663">
        <v>5.4577389999999996E-3</v>
      </c>
      <c r="P3663">
        <v>0.99133649999999995</v>
      </c>
      <c r="Q3663">
        <v>0.12619159999999999</v>
      </c>
      <c r="R3663">
        <v>-3.643627E-2</v>
      </c>
      <c r="S3663">
        <v>3.043304</v>
      </c>
      <c r="T3663">
        <v>-0.16461339999999999</v>
      </c>
      <c r="U3663">
        <v>-9.8220829999999995E-2</v>
      </c>
      <c r="V3663">
        <v>4.2013700000000001E-2</v>
      </c>
      <c r="W3663">
        <v>0.1355944</v>
      </c>
      <c r="X3663">
        <v>0.98987320000000001</v>
      </c>
      <c r="Y3663">
        <v>3.764932E-2</v>
      </c>
      <c r="Z3663">
        <v>-1.312162E-3</v>
      </c>
      <c r="AA3663">
        <v>0.99929020000000002</v>
      </c>
      <c r="AB3663">
        <v>54</v>
      </c>
      <c r="AC3663">
        <v>19.946100000000001</v>
      </c>
      <c r="AD3663">
        <v>-1.108309952046</v>
      </c>
      <c r="AE3663">
        <v>-0.664299999999997</v>
      </c>
      <c r="AF3663">
        <v>0.77077852786789103</v>
      </c>
      <c r="AG3663">
        <v>-1.108309952046</v>
      </c>
      <c r="AH3663">
        <v>19.880863077059399</v>
      </c>
      <c r="AI3663">
        <v>93.188407783444603</v>
      </c>
      <c r="AJ3663">
        <v>87.779761900081695</v>
      </c>
      <c r="AK3663">
        <v>19.926644654271499</v>
      </c>
      <c r="AL3663">
        <v>82.207007226858295</v>
      </c>
      <c r="AM3663">
        <v>87.569624309157007</v>
      </c>
      <c r="AN3663">
        <v>0.999999972188644</v>
      </c>
    </row>
    <row r="3664" spans="1:40" x14ac:dyDescent="0.25">
      <c r="A3664" t="str">
        <f>"20190312164059856"</f>
        <v>20190312164059856</v>
      </c>
      <c r="B3664" t="str">
        <f>"1552380059850119"</f>
        <v>1552380059850119</v>
      </c>
      <c r="C3664" t="s">
        <v>40</v>
      </c>
      <c r="D3664">
        <v>5.4011809999999896</v>
      </c>
      <c r="E3664">
        <v>0.50350360000000005</v>
      </c>
      <c r="F3664" t="s">
        <v>49</v>
      </c>
      <c r="G3664">
        <v>-307.52409999999998</v>
      </c>
      <c r="H3664" s="1">
        <v>1.3186069999999999E-6</v>
      </c>
      <c r="I3664">
        <v>213.0838</v>
      </c>
      <c r="J3664">
        <v>-328.44209999999998</v>
      </c>
      <c r="K3664">
        <v>1.1083149999999999</v>
      </c>
      <c r="L3664">
        <v>213.81610000000001</v>
      </c>
      <c r="M3664">
        <v>0.99994079999999996</v>
      </c>
      <c r="N3664">
        <v>0</v>
      </c>
      <c r="O3664">
        <v>5.1046879999999996E-3</v>
      </c>
      <c r="P3664">
        <v>0.99135300000000004</v>
      </c>
      <c r="Q3664">
        <v>0.1260184</v>
      </c>
      <c r="R3664">
        <v>-3.6590150000000002E-2</v>
      </c>
      <c r="S3664">
        <v>3.0424190000000002</v>
      </c>
      <c r="T3664">
        <v>-0.15703989999999901</v>
      </c>
      <c r="U3664">
        <v>-0.1033478</v>
      </c>
      <c r="V3664">
        <v>4.1819050000000003E-2</v>
      </c>
      <c r="W3664">
        <v>0.13550079999999901</v>
      </c>
      <c r="X3664">
        <v>0.9898943</v>
      </c>
      <c r="Y3664">
        <v>3.8992270000000002E-2</v>
      </c>
      <c r="Z3664">
        <v>-1.2686220000000001E-3</v>
      </c>
      <c r="AA3664">
        <v>0.99923870000000004</v>
      </c>
      <c r="AB3664">
        <v>54</v>
      </c>
      <c r="AC3664">
        <v>20.917999999999999</v>
      </c>
      <c r="AD3664">
        <v>-1.1083136813929999</v>
      </c>
      <c r="AE3664">
        <v>-0.73230000000000905</v>
      </c>
      <c r="AF3664">
        <v>0.83672919753950203</v>
      </c>
      <c r="AG3664">
        <v>-1.1083136813929999</v>
      </c>
      <c r="AH3664">
        <v>20.855513587086499</v>
      </c>
      <c r="AI3664">
        <v>93.039537538963103</v>
      </c>
      <c r="AJ3664">
        <v>87.702509043596294</v>
      </c>
      <c r="AK3664">
        <v>20.901696628444501</v>
      </c>
      <c r="AL3664">
        <v>82.212420383523295</v>
      </c>
      <c r="AM3664">
        <v>87.580922365510204</v>
      </c>
      <c r="AN3664">
        <v>1.00000001245801</v>
      </c>
    </row>
    <row r="3665" spans="1:40" x14ac:dyDescent="0.25">
      <c r="A3665" t="str">
        <f>"20190312164059879"</f>
        <v>20190312164059879</v>
      </c>
      <c r="B3665" t="str">
        <f>"1552380059869638"</f>
        <v>1552380059869638</v>
      </c>
      <c r="C3665" t="s">
        <v>40</v>
      </c>
      <c r="D3665">
        <v>5.1986720000000002</v>
      </c>
      <c r="E3665">
        <v>0.50363500000000005</v>
      </c>
      <c r="F3665" t="s">
        <v>49</v>
      </c>
      <c r="G3665">
        <v>-306.77170000000001</v>
      </c>
      <c r="H3665" s="1">
        <v>1.4520729999999999E-6</v>
      </c>
      <c r="I3665">
        <v>213.07140000000001</v>
      </c>
      <c r="J3665">
        <v>-327.89850000000001</v>
      </c>
      <c r="K3665">
        <v>1.108311</v>
      </c>
      <c r="L3665">
        <v>213.81880000000001</v>
      </c>
      <c r="M3665">
        <v>0.99994159999999999</v>
      </c>
      <c r="N3665">
        <v>0</v>
      </c>
      <c r="O3665">
        <v>4.7576349999999996E-3</v>
      </c>
      <c r="P3665">
        <v>0.99132430000000005</v>
      </c>
      <c r="Q3665">
        <v>0.1262355</v>
      </c>
      <c r="R3665">
        <v>-3.6618020000000001E-2</v>
      </c>
      <c r="S3665">
        <v>3.0420530000000001</v>
      </c>
      <c r="T3665">
        <v>-0.155583</v>
      </c>
      <c r="U3665">
        <v>-0.10453800000000001</v>
      </c>
      <c r="V3665">
        <v>4.1504319999999997E-2</v>
      </c>
      <c r="W3665">
        <v>0.13579229999999901</v>
      </c>
      <c r="X3665">
        <v>0.98986759999999996</v>
      </c>
      <c r="Y3665">
        <v>3.90415E-2</v>
      </c>
      <c r="Z3665">
        <v>-1.2405350000000001E-3</v>
      </c>
      <c r="AA3665">
        <v>0.99923680000000004</v>
      </c>
      <c r="AB3665">
        <v>54</v>
      </c>
      <c r="AC3665">
        <v>21.126799999999999</v>
      </c>
      <c r="AD3665">
        <v>-1.108309547927</v>
      </c>
      <c r="AE3665">
        <v>-0.74739999999999895</v>
      </c>
      <c r="AF3665">
        <v>0.84558569940788497</v>
      </c>
      <c r="AG3665">
        <v>-1.108309547927</v>
      </c>
      <c r="AH3665">
        <v>21.065105303619099</v>
      </c>
      <c r="AI3665">
        <v>93.009337125070999</v>
      </c>
      <c r="AJ3665">
        <v>87.701293497210102</v>
      </c>
      <c r="AK3665">
        <v>21.1111825031576</v>
      </c>
      <c r="AL3665">
        <v>82.195562846621598</v>
      </c>
      <c r="AM3665">
        <v>87.599042264625396</v>
      </c>
      <c r="AN3665">
        <v>1.0000000114238501</v>
      </c>
    </row>
    <row r="3666" spans="1:40" x14ac:dyDescent="0.25">
      <c r="A3666" t="str">
        <f>"20190312164059900"</f>
        <v>20190312164059900</v>
      </c>
      <c r="B3666" t="str">
        <f>"1552380059890137"</f>
        <v>1552380059890137</v>
      </c>
      <c r="C3666" t="s">
        <v>40</v>
      </c>
      <c r="D3666">
        <v>5.3294689999999996</v>
      </c>
      <c r="E3666">
        <v>0.50417089999999998</v>
      </c>
      <c r="F3666" t="s">
        <v>42</v>
      </c>
      <c r="G3666">
        <v>-326.69560000000001</v>
      </c>
      <c r="H3666">
        <v>1.04711</v>
      </c>
      <c r="I3666">
        <v>213.7766</v>
      </c>
      <c r="J3666">
        <v>-327.36649999999997</v>
      </c>
      <c r="K3666">
        <v>1.1083130000000001</v>
      </c>
      <c r="L3666">
        <v>213.8212</v>
      </c>
      <c r="M3666">
        <v>0.99994249999999996</v>
      </c>
      <c r="N3666">
        <v>0</v>
      </c>
      <c r="O3666">
        <v>4.4177640000000002E-3</v>
      </c>
      <c r="P3666">
        <v>0.99127770000000004</v>
      </c>
      <c r="Q3666">
        <v>0.1265453</v>
      </c>
      <c r="R3666">
        <v>-3.6812369999999997E-2</v>
      </c>
      <c r="S3666">
        <v>3.0420530000000001</v>
      </c>
      <c r="T3666">
        <v>-0.15489510000000001</v>
      </c>
      <c r="U3666">
        <v>-0.1061096</v>
      </c>
      <c r="V3666">
        <v>4.1363030000000002E-2</v>
      </c>
      <c r="W3666">
        <v>0.13617170000000001</v>
      </c>
      <c r="X3666">
        <v>0.98982139999999996</v>
      </c>
      <c r="Y3666">
        <v>3.9218210000000003E-2</v>
      </c>
      <c r="Z3666">
        <v>-1.22225E-3</v>
      </c>
      <c r="AA3666">
        <v>0.9992299</v>
      </c>
      <c r="AB3666">
        <v>55</v>
      </c>
      <c r="AC3666">
        <v>0.67089999999995997</v>
      </c>
      <c r="AD3666">
        <v>-6.1202999999999903E-2</v>
      </c>
      <c r="AE3666">
        <v>-4.4600000000002603E-2</v>
      </c>
      <c r="AF3666">
        <v>4.7172737930959302E-2</v>
      </c>
      <c r="AG3666">
        <v>-6.1202999999999903E-2</v>
      </c>
      <c r="AH3666">
        <v>0.665185069861147</v>
      </c>
      <c r="AI3666">
        <v>95.243829306414199</v>
      </c>
      <c r="AJ3666">
        <v>85.943562802068399</v>
      </c>
      <c r="AK3666">
        <v>0.66965830957218897</v>
      </c>
      <c r="AL3666">
        <v>82.1736210689958</v>
      </c>
      <c r="AM3666">
        <v>87.607094592170398</v>
      </c>
      <c r="AN3666">
        <v>1.0000000180148101</v>
      </c>
    </row>
    <row r="3667" spans="1:40" x14ac:dyDescent="0.25">
      <c r="A3667" t="str">
        <f>"20190312164059923"</f>
        <v>20190312164059923</v>
      </c>
      <c r="B3667" t="str">
        <f>"1552380059919415"</f>
        <v>1552380059919415</v>
      </c>
      <c r="C3667" t="s">
        <v>40</v>
      </c>
      <c r="D3667">
        <v>5.3997479999999998</v>
      </c>
      <c r="E3667">
        <v>0.50457839999999998</v>
      </c>
      <c r="F3667" t="s">
        <v>42</v>
      </c>
      <c r="G3667">
        <v>-326.20580000000001</v>
      </c>
      <c r="H3667">
        <v>1.048281</v>
      </c>
      <c r="I3667">
        <v>213.77889999999999</v>
      </c>
      <c r="J3667">
        <v>-326.81330000000003</v>
      </c>
      <c r="K3667">
        <v>1.1083190000000001</v>
      </c>
      <c r="L3667">
        <v>213.8235</v>
      </c>
      <c r="M3667">
        <v>0.99994329999999998</v>
      </c>
      <c r="N3667">
        <v>0</v>
      </c>
      <c r="O3667">
        <v>4.0640670000000002E-3</v>
      </c>
      <c r="P3667">
        <v>0.9912533</v>
      </c>
      <c r="Q3667">
        <v>0.1266774</v>
      </c>
      <c r="R3667">
        <v>-3.7009960000000001E-2</v>
      </c>
      <c r="S3667">
        <v>3.0423580000000001</v>
      </c>
      <c r="T3667">
        <v>-0.1573542</v>
      </c>
      <c r="U3667">
        <v>-0.1105194</v>
      </c>
      <c r="V3667">
        <v>4.1211020000000001E-2</v>
      </c>
      <c r="W3667">
        <v>0.1363743</v>
      </c>
      <c r="X3667">
        <v>0.98979989999999995</v>
      </c>
      <c r="Y3667">
        <v>4.0305000000000001E-2</v>
      </c>
      <c r="Z3667">
        <v>-1.2512739999999999E-3</v>
      </c>
      <c r="AA3667">
        <v>0.99918660000000004</v>
      </c>
      <c r="AB3667">
        <v>55</v>
      </c>
      <c r="AC3667">
        <v>0.60750000000001503</v>
      </c>
      <c r="AD3667">
        <v>-6.0038000000000001E-2</v>
      </c>
      <c r="AE3667">
        <v>-4.4600000000002603E-2</v>
      </c>
      <c r="AF3667">
        <v>4.66158174619331E-2</v>
      </c>
      <c r="AG3667">
        <v>-6.0038000000000001E-2</v>
      </c>
      <c r="AH3667">
        <v>0.60147066348293399</v>
      </c>
      <c r="AI3667">
        <v>95.683374618452007</v>
      </c>
      <c r="AJ3667">
        <v>85.568260953977997</v>
      </c>
      <c r="AK3667">
        <v>0.60625452980760897</v>
      </c>
      <c r="AL3667">
        <v>82.161904045777703</v>
      </c>
      <c r="AM3667">
        <v>87.615826676394207</v>
      </c>
      <c r="AN3667">
        <v>1.00000006995496</v>
      </c>
    </row>
    <row r="3668" spans="1:40" x14ac:dyDescent="0.25">
      <c r="A3668" t="str">
        <f>"20190312164059946"</f>
        <v>20190312164059946</v>
      </c>
      <c r="B3668" t="str">
        <f>"1552380059939912"</f>
        <v>1552380059939912</v>
      </c>
      <c r="C3668" t="s">
        <v>40</v>
      </c>
      <c r="D3668">
        <v>5.418088</v>
      </c>
      <c r="E3668">
        <v>0.50998969999999999</v>
      </c>
      <c r="F3668" t="s">
        <v>42</v>
      </c>
      <c r="G3668">
        <v>-325.71469999999999</v>
      </c>
      <c r="H3668">
        <v>1.0503420000000001</v>
      </c>
      <c r="I3668">
        <v>213.78229999999999</v>
      </c>
      <c r="J3668">
        <v>-326.23610000000002</v>
      </c>
      <c r="K3668">
        <v>1.1083240000000001</v>
      </c>
      <c r="L3668">
        <v>213.82570000000001</v>
      </c>
      <c r="M3668">
        <v>0.99994419999999995</v>
      </c>
      <c r="N3668">
        <v>0</v>
      </c>
      <c r="O3668">
        <v>3.6946819999999999E-3</v>
      </c>
      <c r="P3668">
        <v>0.99123919999999999</v>
      </c>
      <c r="Q3668">
        <v>0.12670809999999999</v>
      </c>
      <c r="R3668">
        <v>-3.7283570000000002E-2</v>
      </c>
      <c r="S3668">
        <v>3.0427550000000001</v>
      </c>
      <c r="T3668">
        <v>-0.16062409999999999</v>
      </c>
      <c r="U3668">
        <v>-0.1137238</v>
      </c>
      <c r="V3668">
        <v>4.1119410000000002E-2</v>
      </c>
      <c r="W3668">
        <v>0.13647779999999901</v>
      </c>
      <c r="X3668">
        <v>0.98978940000000004</v>
      </c>
      <c r="Y3668">
        <v>4.0979099999999997E-2</v>
      </c>
      <c r="Z3668">
        <v>-1.275343E-3</v>
      </c>
      <c r="AA3668">
        <v>0.99915920000000003</v>
      </c>
      <c r="AB3668">
        <v>55</v>
      </c>
      <c r="AC3668">
        <v>0.52140000000002795</v>
      </c>
      <c r="AD3668">
        <v>-5.7981999999999902E-2</v>
      </c>
      <c r="AE3668">
        <v>-4.3400000000019603E-2</v>
      </c>
      <c r="AF3668">
        <v>4.4776292480431898E-2</v>
      </c>
      <c r="AG3668">
        <v>-5.7981999999999902E-2</v>
      </c>
      <c r="AH3668">
        <v>0.51491227184363597</v>
      </c>
      <c r="AI3668">
        <v>96.400807005495395</v>
      </c>
      <c r="AJ3668">
        <v>85.030114342139598</v>
      </c>
      <c r="AK3668">
        <v>0.52009756429680398</v>
      </c>
      <c r="AL3668">
        <v>82.155917618234298</v>
      </c>
      <c r="AM3668">
        <v>87.621095269942501</v>
      </c>
      <c r="AN3668">
        <v>1.0000000260619699</v>
      </c>
    </row>
    <row r="3669" spans="1:40" x14ac:dyDescent="0.25">
      <c r="A3669" t="str">
        <f>"20190312164059969"</f>
        <v>20190312164059969</v>
      </c>
      <c r="B3669" t="str">
        <f>"1552380059959430"</f>
        <v>1552380059959430</v>
      </c>
      <c r="C3669" t="s">
        <v>40</v>
      </c>
      <c r="D3669">
        <v>5.3389119999999997</v>
      </c>
      <c r="E3669">
        <v>0.5094708</v>
      </c>
      <c r="F3669" t="s">
        <v>42</v>
      </c>
      <c r="G3669">
        <v>-325.226</v>
      </c>
      <c r="H3669">
        <v>1.049884</v>
      </c>
      <c r="I3669">
        <v>213.77340000000001</v>
      </c>
      <c r="J3669">
        <v>-325.69650000000001</v>
      </c>
      <c r="K3669">
        <v>1.1083289999999999</v>
      </c>
      <c r="L3669">
        <v>213.82749999999999</v>
      </c>
      <c r="M3669">
        <v>0.99994459999999996</v>
      </c>
      <c r="N3669">
        <v>0</v>
      </c>
      <c r="O3669">
        <v>3.3495790000000001E-3</v>
      </c>
      <c r="P3669">
        <v>0.99122969999999999</v>
      </c>
      <c r="Q3669">
        <v>0.12673489999999901</v>
      </c>
      <c r="R3669">
        <v>-3.7442339999999998E-2</v>
      </c>
      <c r="S3669">
        <v>3.0430600000000001</v>
      </c>
      <c r="T3669">
        <v>-0.17609739999999999</v>
      </c>
      <c r="U3669">
        <v>-0.15739439999999999</v>
      </c>
      <c r="V3669">
        <v>4.0936970000000003E-2</v>
      </c>
      <c r="W3669">
        <v>0.1365741</v>
      </c>
      <c r="X3669">
        <v>0.98978359999999999</v>
      </c>
      <c r="Y3669">
        <v>5.4901140000000001E-2</v>
      </c>
      <c r="Z3669">
        <v>-1.7796960000000001E-3</v>
      </c>
      <c r="AA3669">
        <v>0.99849019999999999</v>
      </c>
      <c r="AB3669">
        <v>55</v>
      </c>
      <c r="AC3669">
        <v>0.47050000000001502</v>
      </c>
      <c r="AD3669">
        <v>-5.8444999999999997E-2</v>
      </c>
      <c r="AE3669">
        <v>-5.4099999999976903E-2</v>
      </c>
      <c r="AF3669">
        <v>5.4840585062712201E-2</v>
      </c>
      <c r="AG3669">
        <v>-5.8444999999999997E-2</v>
      </c>
      <c r="AH3669">
        <v>0.46326113909385502</v>
      </c>
      <c r="AI3669">
        <v>97.141102102048507</v>
      </c>
      <c r="AJ3669">
        <v>83.248778347999405</v>
      </c>
      <c r="AK3669">
        <v>0.47014273448555699</v>
      </c>
      <c r="AL3669">
        <v>82.150347262514799</v>
      </c>
      <c r="AM3669">
        <v>87.631624167518495</v>
      </c>
      <c r="AN3669">
        <v>0.99999994756627397</v>
      </c>
    </row>
    <row r="3670" spans="1:40" x14ac:dyDescent="0.25">
      <c r="A3670" t="str">
        <f>"20190312164059991"</f>
        <v>20190312164059991</v>
      </c>
      <c r="B3670" t="str">
        <f>"1552380059979930"</f>
        <v>1552380059979930</v>
      </c>
      <c r="C3670" t="s">
        <v>40</v>
      </c>
      <c r="D3670">
        <v>5.2880589999999996</v>
      </c>
      <c r="E3670">
        <v>0.50897700000000001</v>
      </c>
      <c r="F3670" t="s">
        <v>42</v>
      </c>
      <c r="G3670">
        <v>-324.73329999999999</v>
      </c>
      <c r="H3670">
        <v>1.0528470000000001</v>
      </c>
      <c r="I3670">
        <v>213.7784</v>
      </c>
      <c r="J3670">
        <v>-325.14780000000002</v>
      </c>
      <c r="K3670">
        <v>1.108333</v>
      </c>
      <c r="L3670">
        <v>213.82919999999999</v>
      </c>
      <c r="M3670">
        <v>0.99994499999999997</v>
      </c>
      <c r="N3670">
        <v>0</v>
      </c>
      <c r="O3670">
        <v>2.9987350000000002E-3</v>
      </c>
      <c r="P3670">
        <v>0.99122690000000002</v>
      </c>
      <c r="Q3670">
        <v>0.12661259999999999</v>
      </c>
      <c r="R3670">
        <v>-3.7930360000000003E-2</v>
      </c>
      <c r="S3670">
        <v>3.0431520000000001</v>
      </c>
      <c r="T3670">
        <v>-0.1754607</v>
      </c>
      <c r="U3670">
        <v>-0.15420529999999999</v>
      </c>
      <c r="V3670">
        <v>4.1077540000000003E-2</v>
      </c>
      <c r="W3670">
        <v>0.13652310000000001</v>
      </c>
      <c r="X3670">
        <v>0.98978480000000002</v>
      </c>
      <c r="Y3670">
        <v>5.3509180000000003E-2</v>
      </c>
      <c r="Z3670">
        <v>-1.712996E-3</v>
      </c>
      <c r="AA3670">
        <v>0.99856590000000001</v>
      </c>
      <c r="AB3670">
        <v>55</v>
      </c>
      <c r="AC3670">
        <v>0.41450000000003201</v>
      </c>
      <c r="AD3670">
        <v>-5.5486000000000098E-2</v>
      </c>
      <c r="AE3670">
        <v>-5.0799999999980999E-2</v>
      </c>
      <c r="AF3670">
        <v>5.1139984880354303E-2</v>
      </c>
      <c r="AG3670">
        <v>-5.5486000000000098E-2</v>
      </c>
      <c r="AH3670">
        <v>0.40715782971751302</v>
      </c>
      <c r="AI3670">
        <v>97.700489305656106</v>
      </c>
      <c r="AJ3670">
        <v>82.841004373125898</v>
      </c>
      <c r="AK3670">
        <v>0.41409116453969202</v>
      </c>
      <c r="AL3670">
        <v>82.153296882743703</v>
      </c>
      <c r="AM3670">
        <v>87.623503788314494</v>
      </c>
      <c r="AN3670">
        <v>0.99999993571854795</v>
      </c>
    </row>
    <row r="3671" spans="1:40" x14ac:dyDescent="0.25">
      <c r="A3671" t="str">
        <f>"20190312164100014"</f>
        <v>20190312164100014</v>
      </c>
      <c r="B3671" t="str">
        <f>"1552380060009207"</f>
        <v>1552380060009207</v>
      </c>
      <c r="C3671" t="s">
        <v>40</v>
      </c>
      <c r="D3671">
        <v>5.4688530000000002</v>
      </c>
      <c r="E3671">
        <v>0.50739899999999905</v>
      </c>
      <c r="F3671" t="s">
        <v>49</v>
      </c>
      <c r="G3671">
        <v>-305.49119999999999</v>
      </c>
      <c r="H3671" s="1">
        <v>1.67921699999999E-6</v>
      </c>
      <c r="I3671">
        <v>212.84739999999999</v>
      </c>
      <c r="J3671">
        <v>-324.59410000000003</v>
      </c>
      <c r="K3671">
        <v>1.1083369999999999</v>
      </c>
      <c r="L3671">
        <v>213.83070000000001</v>
      </c>
      <c r="M3671">
        <v>0.99994519999999998</v>
      </c>
      <c r="N3671">
        <v>0</v>
      </c>
      <c r="O3671">
        <v>2.6447749999999998E-3</v>
      </c>
      <c r="P3671">
        <v>0.99121440000000005</v>
      </c>
      <c r="Q3671">
        <v>0.12676080000000001</v>
      </c>
      <c r="R3671">
        <v>-3.7762909999999997E-2</v>
      </c>
      <c r="S3671">
        <v>3.0426639999999998</v>
      </c>
      <c r="T3671">
        <v>-0.1715592</v>
      </c>
      <c r="U3671">
        <v>-0.15197749999999999</v>
      </c>
      <c r="V3671">
        <v>4.0560060000000002E-2</v>
      </c>
      <c r="W3671">
        <v>0.13674700000000001</v>
      </c>
      <c r="X3671">
        <v>0.98977530000000002</v>
      </c>
      <c r="Y3671">
        <v>5.2440819999999999E-2</v>
      </c>
      <c r="Z3671">
        <v>-1.6252580000000001E-3</v>
      </c>
      <c r="AA3671">
        <v>0.99862269999999997</v>
      </c>
      <c r="AB3671">
        <v>55</v>
      </c>
      <c r="AC3671">
        <v>19.102900000000002</v>
      </c>
      <c r="AD3671">
        <v>-1.108335320783</v>
      </c>
      <c r="AE3671">
        <v>-0.98330000000001405</v>
      </c>
      <c r="AF3671">
        <v>1.0303627529339801</v>
      </c>
      <c r="AG3671">
        <v>-1.108335320783</v>
      </c>
      <c r="AH3671">
        <v>19.036321149259599</v>
      </c>
      <c r="AI3671">
        <v>93.327261787386405</v>
      </c>
      <c r="AJ3671">
        <v>86.901823261168204</v>
      </c>
      <c r="AK3671">
        <v>19.0963760301184</v>
      </c>
      <c r="AL3671">
        <v>82.140347432928195</v>
      </c>
      <c r="AM3671">
        <v>87.653385850504193</v>
      </c>
      <c r="AN3671">
        <v>1.0000000024831399</v>
      </c>
    </row>
    <row r="3672" spans="1:40" x14ac:dyDescent="0.25">
      <c r="A3672" t="str">
        <f>"20190312164100035"</f>
        <v>20190312164100035</v>
      </c>
      <c r="B3672" t="str">
        <f>"1552380060029704"</f>
        <v>1552380060029704</v>
      </c>
      <c r="C3672" t="s">
        <v>40</v>
      </c>
      <c r="D3672">
        <v>5.4652459999999996</v>
      </c>
      <c r="E3672">
        <v>0.50682529999999903</v>
      </c>
      <c r="F3672" t="s">
        <v>49</v>
      </c>
      <c r="G3672">
        <v>-303.8236</v>
      </c>
      <c r="H3672" s="1">
        <v>1.9750090000000002E-6</v>
      </c>
      <c r="I3672">
        <v>212.88120000000001</v>
      </c>
      <c r="J3672">
        <v>-324.05829999999997</v>
      </c>
      <c r="K3672">
        <v>1.1083419999999999</v>
      </c>
      <c r="L3672">
        <v>213.83199999999999</v>
      </c>
      <c r="M3672">
        <v>0.99994530000000004</v>
      </c>
      <c r="N3672">
        <v>0</v>
      </c>
      <c r="O3672">
        <v>2.3026750000000001E-3</v>
      </c>
      <c r="P3672">
        <v>0.99118969999999995</v>
      </c>
      <c r="Q3672">
        <v>0.12690770000000001</v>
      </c>
      <c r="R3672">
        <v>-3.7918880000000002E-2</v>
      </c>
      <c r="S3672">
        <v>3.0420530000000001</v>
      </c>
      <c r="T3672">
        <v>-0.16232759999999999</v>
      </c>
      <c r="U3672">
        <v>-0.13906859999999999</v>
      </c>
      <c r="V3672">
        <v>4.0377690000000001E-2</v>
      </c>
      <c r="W3672">
        <v>0.13696849999999999</v>
      </c>
      <c r="X3672">
        <v>0.98975210000000002</v>
      </c>
      <c r="Y3672">
        <v>4.7896679999999997E-2</v>
      </c>
      <c r="Z3672">
        <v>-1.399069E-3</v>
      </c>
      <c r="AA3672">
        <v>0.9988513</v>
      </c>
      <c r="AB3672">
        <v>55</v>
      </c>
      <c r="AC3672">
        <v>20.234699999999901</v>
      </c>
      <c r="AD3672">
        <v>-1.108340024991</v>
      </c>
      <c r="AE3672">
        <v>-0.95079999999998599</v>
      </c>
      <c r="AF3672">
        <v>0.99441694943525005</v>
      </c>
      <c r="AG3672">
        <v>-1.108340024991</v>
      </c>
      <c r="AH3672">
        <v>20.1720696202356</v>
      </c>
      <c r="AI3672">
        <v>93.141106978022904</v>
      </c>
      <c r="AJ3672">
        <v>87.177790435751803</v>
      </c>
      <c r="AK3672">
        <v>20.226954181090999</v>
      </c>
      <c r="AL3672">
        <v>82.127535641628299</v>
      </c>
      <c r="AM3672">
        <v>87.663870507172803</v>
      </c>
      <c r="AN3672">
        <v>0.99999997364819704</v>
      </c>
    </row>
    <row r="3673" spans="1:40" x14ac:dyDescent="0.25">
      <c r="A3673" t="str">
        <f>"20190312164100058"</f>
        <v>20190312164100058</v>
      </c>
      <c r="B3673" t="str">
        <f>"1552380060049222"</f>
        <v>1552380060049222</v>
      </c>
      <c r="C3673" t="s">
        <v>40</v>
      </c>
      <c r="D3673">
        <v>5.4515000000000002</v>
      </c>
      <c r="E3673">
        <v>0.50643099999999996</v>
      </c>
      <c r="F3673" t="s">
        <v>49</v>
      </c>
      <c r="G3673">
        <v>-302.89729999999997</v>
      </c>
      <c r="H3673" s="1">
        <v>2.1393250000000001E-6</v>
      </c>
      <c r="I3673">
        <v>212.8896</v>
      </c>
      <c r="J3673">
        <v>-323.4932</v>
      </c>
      <c r="K3673">
        <v>1.1083480000000001</v>
      </c>
      <c r="L3673">
        <v>213.83320000000001</v>
      </c>
      <c r="M3673">
        <v>0.99994519999999998</v>
      </c>
      <c r="N3673">
        <v>0</v>
      </c>
      <c r="O3673">
        <v>1.9421200000000001E-3</v>
      </c>
      <c r="P3673">
        <v>0.99116689999999996</v>
      </c>
      <c r="Q3673">
        <v>0.126997</v>
      </c>
      <c r="R3673">
        <v>-3.8211380000000003E-2</v>
      </c>
      <c r="S3673">
        <v>3.0419010000000002</v>
      </c>
      <c r="T3673">
        <v>-0.15932449999999901</v>
      </c>
      <c r="U3673">
        <v>-0.13546749999999999</v>
      </c>
      <c r="V3673">
        <v>4.0313580000000002E-2</v>
      </c>
      <c r="W3673">
        <v>0.13713910000000001</v>
      </c>
      <c r="X3673">
        <v>0.98973109999999997</v>
      </c>
      <c r="Y3673">
        <v>4.6363889999999998E-2</v>
      </c>
      <c r="Z3673">
        <v>-1.3143689999999999E-3</v>
      </c>
      <c r="AA3673">
        <v>0.99892380000000003</v>
      </c>
      <c r="AB3673">
        <v>55</v>
      </c>
      <c r="AC3673">
        <v>20.5959</v>
      </c>
      <c r="AD3673">
        <v>-1.1083458606749901</v>
      </c>
      <c r="AE3673">
        <v>-0.94360000000000299</v>
      </c>
      <c r="AF3673">
        <v>0.98076575990105797</v>
      </c>
      <c r="AG3673">
        <v>-1.1083458606749901</v>
      </c>
      <c r="AH3673">
        <v>20.534685883368699</v>
      </c>
      <c r="AI3673">
        <v>93.0859923568282</v>
      </c>
      <c r="AJ3673">
        <v>87.265550172212002</v>
      </c>
      <c r="AK3673">
        <v>20.587949299318101</v>
      </c>
      <c r="AL3673">
        <v>82.117667946409</v>
      </c>
      <c r="AM3673">
        <v>87.6675261812141</v>
      </c>
      <c r="AN3673">
        <v>0.99999998389421796</v>
      </c>
    </row>
    <row r="3674" spans="1:40" x14ac:dyDescent="0.25">
      <c r="A3674" t="str">
        <f>"20190312164100079"</f>
        <v>20190312164100079</v>
      </c>
      <c r="B3674" t="str">
        <f>"1552380060069718"</f>
        <v>1552380060069718</v>
      </c>
      <c r="C3674" t="s">
        <v>40</v>
      </c>
      <c r="D3674">
        <v>5.3154940000000002</v>
      </c>
      <c r="E3674">
        <v>0.50622520000000004</v>
      </c>
      <c r="F3674" t="s">
        <v>42</v>
      </c>
      <c r="G3674">
        <v>-322.28570000000002</v>
      </c>
      <c r="H3674">
        <v>1.04596</v>
      </c>
      <c r="I3674">
        <v>213.7801</v>
      </c>
      <c r="J3674">
        <v>-322.98860000000002</v>
      </c>
      <c r="K3674">
        <v>1.1083590000000001</v>
      </c>
      <c r="L3674">
        <v>213.83410000000001</v>
      </c>
      <c r="M3674">
        <v>0.99994499999999997</v>
      </c>
      <c r="N3674">
        <v>0</v>
      </c>
      <c r="O3674">
        <v>1.6203509999999999E-3</v>
      </c>
      <c r="P3674">
        <v>0.9911877</v>
      </c>
      <c r="Q3674">
        <v>0.1266835</v>
      </c>
      <c r="R3674">
        <v>-3.871074E-2</v>
      </c>
      <c r="S3674">
        <v>3.041779</v>
      </c>
      <c r="T3674">
        <v>-0.1572453</v>
      </c>
      <c r="U3674">
        <v>-0.13311770000000001</v>
      </c>
      <c r="V3674">
        <v>4.0494090000000003E-2</v>
      </c>
      <c r="W3674">
        <v>0.13689860000000001</v>
      </c>
      <c r="X3674">
        <v>0.98975709999999995</v>
      </c>
      <c r="Y3674">
        <v>4.527759E-2</v>
      </c>
      <c r="Z3674">
        <v>-1.252651E-3</v>
      </c>
      <c r="AA3674">
        <v>0.99897369999999996</v>
      </c>
      <c r="AB3674">
        <v>55</v>
      </c>
      <c r="AC3674">
        <v>0.70289999999999897</v>
      </c>
      <c r="AD3674">
        <v>-6.2399000000000003E-2</v>
      </c>
      <c r="AE3674">
        <v>-5.4000000000001998E-2</v>
      </c>
      <c r="AF3674">
        <v>5.4710305885851199E-2</v>
      </c>
      <c r="AG3674">
        <v>-6.2399000000000003E-2</v>
      </c>
      <c r="AH3674">
        <v>0.69734818394481701</v>
      </c>
      <c r="AI3674">
        <v>95.097650529508599</v>
      </c>
      <c r="AJ3674">
        <v>85.514060429359503</v>
      </c>
      <c r="AK3674">
        <v>0.70226871098053201</v>
      </c>
      <c r="AL3674">
        <v>82.131579365385093</v>
      </c>
      <c r="AM3674">
        <v>87.657155275624007</v>
      </c>
      <c r="AN3674">
        <v>1.0000000575036401</v>
      </c>
    </row>
    <row r="3675" spans="1:40" x14ac:dyDescent="0.25">
      <c r="A3675" t="str">
        <f>"20190312164100101"</f>
        <v>20190312164100101</v>
      </c>
      <c r="B3675" t="str">
        <f>"1552380060089239"</f>
        <v>1552380060089239</v>
      </c>
      <c r="C3675" t="s">
        <v>40</v>
      </c>
      <c r="D3675">
        <v>5.31142</v>
      </c>
      <c r="E3675">
        <v>0.50625980000000004</v>
      </c>
      <c r="F3675" t="s">
        <v>42</v>
      </c>
      <c r="G3675">
        <v>-321.79430000000002</v>
      </c>
      <c r="H3675">
        <v>1.0456799999999999</v>
      </c>
      <c r="I3675">
        <v>213.7816</v>
      </c>
      <c r="J3675">
        <v>-322.44749999999999</v>
      </c>
      <c r="K3675">
        <v>1.108368</v>
      </c>
      <c r="L3675">
        <v>213.8348</v>
      </c>
      <c r="M3675">
        <v>0.99994479999999997</v>
      </c>
      <c r="N3675">
        <v>0</v>
      </c>
      <c r="O3675">
        <v>1.27585E-3</v>
      </c>
      <c r="P3675">
        <v>0.99120520000000001</v>
      </c>
      <c r="Q3675">
        <v>0.1265066</v>
      </c>
      <c r="R3675">
        <v>-3.8842479999999999E-2</v>
      </c>
      <c r="S3675">
        <v>3.0419309999999999</v>
      </c>
      <c r="T3675">
        <v>-0.159710299999999</v>
      </c>
      <c r="U3675">
        <v>-0.13278199999999901</v>
      </c>
      <c r="V3675">
        <v>4.0284630000000002E-2</v>
      </c>
      <c r="W3675">
        <v>0.13679949999999999</v>
      </c>
      <c r="X3675">
        <v>0.98977930000000003</v>
      </c>
      <c r="Y3675">
        <v>4.4820329999999999E-2</v>
      </c>
      <c r="Z3675">
        <v>-1.242143E-3</v>
      </c>
      <c r="AA3675">
        <v>0.9989943</v>
      </c>
      <c r="AB3675">
        <v>55</v>
      </c>
      <c r="AC3675">
        <v>0.65319999999996903</v>
      </c>
      <c r="AD3675">
        <v>-6.2687999999999994E-2</v>
      </c>
      <c r="AE3675">
        <v>-5.3200000000003897E-2</v>
      </c>
      <c r="AF3675">
        <v>5.3543482337271499E-2</v>
      </c>
      <c r="AG3675">
        <v>-6.2687999999999994E-2</v>
      </c>
      <c r="AH3675">
        <v>0.64720983645387797</v>
      </c>
      <c r="AI3675">
        <v>95.513626167178103</v>
      </c>
      <c r="AJ3675">
        <v>85.270706550012704</v>
      </c>
      <c r="AK3675">
        <v>0.65243947017900195</v>
      </c>
      <c r="AL3675">
        <v>82.137310916917997</v>
      </c>
      <c r="AM3675">
        <v>87.669312709528896</v>
      </c>
      <c r="AN3675">
        <v>1.00000000866148</v>
      </c>
    </row>
    <row r="3676" spans="1:40" x14ac:dyDescent="0.25">
      <c r="A3676" t="str">
        <f>"20190312164100124"</f>
        <v>20190312164100124</v>
      </c>
      <c r="B3676" t="str">
        <f>"1552380060119494"</f>
        <v>1552380060119494</v>
      </c>
      <c r="C3676" t="s">
        <v>40</v>
      </c>
      <c r="D3676">
        <v>5.3939279999999998</v>
      </c>
      <c r="E3676">
        <v>0.50589810000000002</v>
      </c>
      <c r="F3676" t="s">
        <v>42</v>
      </c>
      <c r="G3676">
        <v>-321.30160000000001</v>
      </c>
      <c r="H3676">
        <v>1.0464639999999901</v>
      </c>
      <c r="I3676">
        <v>213.7843</v>
      </c>
      <c r="J3676">
        <v>-321.88080000000002</v>
      </c>
      <c r="K3676">
        <v>1.108376</v>
      </c>
      <c r="L3676">
        <v>213.83539999999999</v>
      </c>
      <c r="M3676">
        <v>0.99994439999999996</v>
      </c>
      <c r="N3676">
        <v>0</v>
      </c>
      <c r="O3676">
        <v>9.1530069999999999E-4</v>
      </c>
      <c r="P3676">
        <v>0.99120889999999995</v>
      </c>
      <c r="Q3676">
        <v>0.12632939999999901</v>
      </c>
      <c r="R3676">
        <v>-3.9322889999999999E-2</v>
      </c>
      <c r="S3676">
        <v>3.042389</v>
      </c>
      <c r="T3676">
        <v>-0.16447590000000001</v>
      </c>
      <c r="U3676">
        <v>-0.13331599999999999</v>
      </c>
      <c r="V3676">
        <v>4.0407999999999999E-2</v>
      </c>
      <c r="W3676">
        <v>0.13670070000000001</v>
      </c>
      <c r="X3676">
        <v>0.98978790000000005</v>
      </c>
      <c r="Y3676">
        <v>4.4625600000000001E-2</v>
      </c>
      <c r="Z3676">
        <v>-1.254231E-3</v>
      </c>
      <c r="AA3676">
        <v>0.99900299999999997</v>
      </c>
      <c r="AB3676">
        <v>55</v>
      </c>
      <c r="AC3676">
        <v>0.57920000000001404</v>
      </c>
      <c r="AD3676">
        <v>-6.1912000000000099E-2</v>
      </c>
      <c r="AE3676">
        <v>-5.1099999999991E-2</v>
      </c>
      <c r="AF3676">
        <v>5.1051344807158498E-2</v>
      </c>
      <c r="AG3676">
        <v>-6.1912000000000099E-2</v>
      </c>
      <c r="AH3676">
        <v>0.57266032771201003</v>
      </c>
      <c r="AI3676">
        <v>96.146262438902497</v>
      </c>
      <c r="AJ3676">
        <v>84.905680563291696</v>
      </c>
      <c r="AK3676">
        <v>0.57825529525102104</v>
      </c>
      <c r="AL3676">
        <v>82.143025256400094</v>
      </c>
      <c r="AM3676">
        <v>87.662203274351896</v>
      </c>
      <c r="AN3676">
        <v>0.99999998741544904</v>
      </c>
    </row>
    <row r="3677" spans="1:40" x14ac:dyDescent="0.25">
      <c r="A3677" t="str">
        <f>"20190312164100147"</f>
        <v>20190312164100147</v>
      </c>
      <c r="B3677" t="str">
        <f>"1552380060139990"</f>
        <v>1552380060139990</v>
      </c>
      <c r="C3677" t="s">
        <v>40</v>
      </c>
      <c r="D3677">
        <v>5.2690910000000004</v>
      </c>
      <c r="E3677">
        <v>0.50566250000000001</v>
      </c>
      <c r="F3677" t="s">
        <v>42</v>
      </c>
      <c r="G3677">
        <v>-320.80650000000003</v>
      </c>
      <c r="H3677">
        <v>1.0494829999999999</v>
      </c>
      <c r="I3677">
        <v>213.7886</v>
      </c>
      <c r="J3677">
        <v>-321.30090000000001</v>
      </c>
      <c r="K3677">
        <v>1.1083809999999901</v>
      </c>
      <c r="L3677">
        <v>213.8357</v>
      </c>
      <c r="M3677">
        <v>0.99994360000000004</v>
      </c>
      <c r="N3677">
        <v>0</v>
      </c>
      <c r="O3677">
        <v>5.466332E-4</v>
      </c>
      <c r="P3677">
        <v>0.99122410000000005</v>
      </c>
      <c r="Q3677">
        <v>0.12607869999999999</v>
      </c>
      <c r="R3677">
        <v>-3.9736680000000003E-2</v>
      </c>
      <c r="S3677">
        <v>3.042694</v>
      </c>
      <c r="T3677">
        <v>-0.1669031</v>
      </c>
      <c r="U3677">
        <v>-0.13174439999999901</v>
      </c>
      <c r="V3677">
        <v>4.0456409999999998E-2</v>
      </c>
      <c r="W3677">
        <v>0.1365316</v>
      </c>
      <c r="X3677">
        <v>0.9898093</v>
      </c>
      <c r="Y3677">
        <v>4.3737770000000002E-2</v>
      </c>
      <c r="Z3677">
        <v>-1.228079E-3</v>
      </c>
      <c r="AA3677">
        <v>0.99904230000000005</v>
      </c>
      <c r="AB3677">
        <v>55</v>
      </c>
      <c r="AC3677">
        <v>0.49439999999998402</v>
      </c>
      <c r="AD3677">
        <v>-5.8897999999999902E-2</v>
      </c>
      <c r="AE3677">
        <v>-4.7100000000000301E-2</v>
      </c>
      <c r="AF3677">
        <v>4.6713270748130399E-2</v>
      </c>
      <c r="AG3677">
        <v>-5.8897999999999902E-2</v>
      </c>
      <c r="AH3677">
        <v>0.487517549518033</v>
      </c>
      <c r="AI3677">
        <v>96.857529018583705</v>
      </c>
      <c r="AJ3677">
        <v>84.526705751636698</v>
      </c>
      <c r="AK3677">
        <v>0.493279297311428</v>
      </c>
      <c r="AL3677">
        <v>82.152805967388701</v>
      </c>
      <c r="AM3677">
        <v>87.659456184706301</v>
      </c>
      <c r="AN3677">
        <v>1.00000002463756</v>
      </c>
    </row>
    <row r="3678" spans="1:40" x14ac:dyDescent="0.25">
      <c r="A3678" t="str">
        <f>"20190312164100171"</f>
        <v>20190312164100171</v>
      </c>
      <c r="B3678" t="str">
        <f>"1552380060159511"</f>
        <v>1552380060159511</v>
      </c>
      <c r="C3678" t="s">
        <v>40</v>
      </c>
      <c r="D3678">
        <v>5.2830659999999998</v>
      </c>
      <c r="E3678">
        <v>0.50557829999999904</v>
      </c>
      <c r="F3678" t="s">
        <v>49</v>
      </c>
      <c r="G3678">
        <v>-300.92649999999998</v>
      </c>
      <c r="H3678" s="1">
        <v>2.4889079999999998E-6</v>
      </c>
      <c r="I3678">
        <v>212.95529999999999</v>
      </c>
      <c r="J3678">
        <v>-320.74</v>
      </c>
      <c r="K3678">
        <v>1.1083860000000001</v>
      </c>
      <c r="L3678">
        <v>213.83590000000001</v>
      </c>
      <c r="M3678">
        <v>0.99994289999999997</v>
      </c>
      <c r="N3678">
        <v>0</v>
      </c>
      <c r="O3678">
        <v>1.8965400000000001E-4</v>
      </c>
      <c r="P3678">
        <v>0.9912012</v>
      </c>
      <c r="Q3678">
        <v>0.1260974</v>
      </c>
      <c r="R3678">
        <v>-4.0247440000000002E-2</v>
      </c>
      <c r="S3678">
        <v>3.0423279999999999</v>
      </c>
      <c r="T3678">
        <v>-0.1655047</v>
      </c>
      <c r="U3678">
        <v>-0.13146969999999999</v>
      </c>
      <c r="V3678">
        <v>4.0613499999999997E-2</v>
      </c>
      <c r="W3678">
        <v>0.13663029999999901</v>
      </c>
      <c r="X3678">
        <v>0.98978920000000004</v>
      </c>
      <c r="Y3678">
        <v>4.3298549999999998E-2</v>
      </c>
      <c r="Z3678">
        <v>-1.1866229999999999E-3</v>
      </c>
      <c r="AA3678">
        <v>0.99906150000000005</v>
      </c>
      <c r="AB3678">
        <v>55</v>
      </c>
      <c r="AC3678">
        <v>19.813500000000001</v>
      </c>
      <c r="AD3678">
        <v>-1.108383511092</v>
      </c>
      <c r="AE3678">
        <v>-0.88060000000001504</v>
      </c>
      <c r="AF3678">
        <v>0.88160447540422404</v>
      </c>
      <c r="AG3678">
        <v>-1.108383511092</v>
      </c>
      <c r="AH3678">
        <v>19.751644162068299</v>
      </c>
      <c r="AI3678">
        <v>93.208654210947998</v>
      </c>
      <c r="AJ3678">
        <v>87.444328626043998</v>
      </c>
      <c r="AK3678">
        <v>19.802353081482099</v>
      </c>
      <c r="AL3678">
        <v>82.147097008660396</v>
      </c>
      <c r="AM3678">
        <v>87.6503304875867</v>
      </c>
      <c r="AN3678">
        <v>0.99999997784848904</v>
      </c>
    </row>
    <row r="3679" spans="1:40" x14ac:dyDescent="0.25">
      <c r="A3679" t="str">
        <f>"20190312164100192"</f>
        <v>20190312164100192</v>
      </c>
      <c r="B3679" t="str">
        <f>"1552380060180007"</f>
        <v>1552380060180007</v>
      </c>
      <c r="C3679" t="s">
        <v>40</v>
      </c>
      <c r="D3679">
        <v>5.266273</v>
      </c>
      <c r="E3679">
        <v>0.50542149999999997</v>
      </c>
      <c r="F3679" t="s">
        <v>49</v>
      </c>
      <c r="G3679">
        <v>-300.19760000000002</v>
      </c>
      <c r="H3679" s="1">
        <v>2.6182039999999999E-6</v>
      </c>
      <c r="I3679">
        <v>212.94229999999999</v>
      </c>
      <c r="J3679">
        <v>-320.20319999999998</v>
      </c>
      <c r="K3679">
        <v>1.108395</v>
      </c>
      <c r="L3679">
        <v>213.83580000000001</v>
      </c>
      <c r="M3679">
        <v>0.99994209999999994</v>
      </c>
      <c r="N3679">
        <v>0</v>
      </c>
      <c r="O3679">
        <v>-1.5169979999999999E-4</v>
      </c>
      <c r="P3679">
        <v>0.9911662</v>
      </c>
      <c r="Q3679">
        <v>0.1264219</v>
      </c>
      <c r="R3679">
        <v>-4.008652E-2</v>
      </c>
      <c r="S3679">
        <v>3.0421140000000002</v>
      </c>
      <c r="T3679">
        <v>-0.16414049999999999</v>
      </c>
      <c r="U3679">
        <v>-0.1323242</v>
      </c>
      <c r="V3679">
        <v>4.0115100000000001E-2</v>
      </c>
      <c r="W3679">
        <v>0.13703419999999999</v>
      </c>
      <c r="X3679">
        <v>0.98975369999999996</v>
      </c>
      <c r="Y3679">
        <v>4.324223E-2</v>
      </c>
      <c r="Z3679">
        <v>-1.157017E-3</v>
      </c>
      <c r="AA3679">
        <v>0.99906399999999995</v>
      </c>
      <c r="AB3679">
        <v>55</v>
      </c>
      <c r="AC3679">
        <v>20.005599999999902</v>
      </c>
      <c r="AD3679">
        <v>-1.108392381796</v>
      </c>
      <c r="AE3679">
        <v>-0.89350000000001695</v>
      </c>
      <c r="AF3679">
        <v>0.88774535699562696</v>
      </c>
      <c r="AG3679">
        <v>-1.108392381796</v>
      </c>
      <c r="AH3679">
        <v>19.944634851440799</v>
      </c>
      <c r="AI3679">
        <v>93.177713052648699</v>
      </c>
      <c r="AJ3679">
        <v>87.451419284061402</v>
      </c>
      <c r="AK3679">
        <v>19.9951265274366</v>
      </c>
      <c r="AL3679">
        <v>82.123735605664706</v>
      </c>
      <c r="AM3679">
        <v>87.679050239507305</v>
      </c>
      <c r="AN3679">
        <v>0.99999998994066897</v>
      </c>
    </row>
    <row r="3680" spans="1:40" x14ac:dyDescent="0.25">
      <c r="A3680" t="str">
        <f>"20190312164100215"</f>
        <v>20190312164100215</v>
      </c>
      <c r="B3680" t="str">
        <f>"1552380060209286"</f>
        <v>1552380060209286</v>
      </c>
      <c r="C3680" t="s">
        <v>40</v>
      </c>
      <c r="D3680">
        <v>5.2974829999999997</v>
      </c>
      <c r="E3680">
        <v>0.50558159999999996</v>
      </c>
      <c r="F3680" t="s">
        <v>49</v>
      </c>
      <c r="G3680">
        <v>-299.36610000000002</v>
      </c>
      <c r="H3680" s="1">
        <v>2.5557980000000001E-6</v>
      </c>
      <c r="I3680">
        <v>212.9408</v>
      </c>
      <c r="J3680">
        <v>-319.6497</v>
      </c>
      <c r="K3680">
        <v>1.1084000000000001</v>
      </c>
      <c r="L3680">
        <v>213.8356</v>
      </c>
      <c r="M3680">
        <v>0.99994110000000003</v>
      </c>
      <c r="N3680">
        <v>0</v>
      </c>
      <c r="O3680">
        <v>-5.034061E-4</v>
      </c>
      <c r="P3680">
        <v>0.99115260000000005</v>
      </c>
      <c r="Q3680">
        <v>0.12646869999999999</v>
      </c>
      <c r="R3680">
        <v>-4.0278359999999999E-2</v>
      </c>
      <c r="S3680">
        <v>3.0421140000000002</v>
      </c>
      <c r="T3680">
        <v>-0.16181960000000001</v>
      </c>
      <c r="U3680">
        <v>-0.1306763</v>
      </c>
      <c r="V3680">
        <v>3.9958390000000003E-2</v>
      </c>
      <c r="W3680">
        <v>0.1371655</v>
      </c>
      <c r="X3680">
        <v>0.98974189999999995</v>
      </c>
      <c r="Y3680">
        <v>4.2354129999999997E-2</v>
      </c>
      <c r="Z3680">
        <v>-1.0984129999999999E-3</v>
      </c>
      <c r="AA3680">
        <v>0.99910209999999999</v>
      </c>
      <c r="AB3680">
        <v>55</v>
      </c>
      <c r="AC3680">
        <v>20.2835999999999</v>
      </c>
      <c r="AD3680">
        <v>-1.1083974442019999</v>
      </c>
      <c r="AE3680">
        <v>-0.89480000000000304</v>
      </c>
      <c r="AF3680">
        <v>0.88195991379606498</v>
      </c>
      <c r="AG3680">
        <v>-1.1083974442019999</v>
      </c>
      <c r="AH3680">
        <v>20.223775454831401</v>
      </c>
      <c r="AI3680">
        <v>93.134078536430195</v>
      </c>
      <c r="AJ3680">
        <v>87.5029102516975</v>
      </c>
      <c r="AK3680">
        <v>20.273319704264001</v>
      </c>
      <c r="AL3680">
        <v>82.116141336267901</v>
      </c>
      <c r="AM3680">
        <v>87.688079660134903</v>
      </c>
      <c r="AN3680">
        <v>1.00000003796862</v>
      </c>
    </row>
    <row r="3681" spans="1:40" x14ac:dyDescent="0.25">
      <c r="A3681" t="str">
        <f>"20190312164100237"</f>
        <v>20190312164100237</v>
      </c>
      <c r="B3681" t="str">
        <f>"1552380060229783"</f>
        <v>1552380060229783</v>
      </c>
      <c r="C3681" t="s">
        <v>40</v>
      </c>
      <c r="D3681">
        <v>5.2671089999999996</v>
      </c>
      <c r="E3681">
        <v>0.50545810000000002</v>
      </c>
      <c r="F3681" t="s">
        <v>49</v>
      </c>
      <c r="G3681">
        <v>-299.00819999999999</v>
      </c>
      <c r="H3681" s="1">
        <v>2.4923229999999998E-6</v>
      </c>
      <c r="I3681">
        <v>212.93899999999999</v>
      </c>
      <c r="J3681">
        <v>-319.1028</v>
      </c>
      <c r="K3681">
        <v>1.1084130000000001</v>
      </c>
      <c r="L3681">
        <v>213.83519999999999</v>
      </c>
      <c r="M3681">
        <v>0.99993989999999999</v>
      </c>
      <c r="N3681">
        <v>0</v>
      </c>
      <c r="O3681">
        <v>-8.5111880000000005E-4</v>
      </c>
      <c r="P3681">
        <v>0.99112460000000002</v>
      </c>
      <c r="Q3681">
        <v>0.12659889999999999</v>
      </c>
      <c r="R3681">
        <v>-4.0560949999999998E-2</v>
      </c>
      <c r="S3681">
        <v>3.0423279999999999</v>
      </c>
      <c r="T3681">
        <v>-0.1633655</v>
      </c>
      <c r="U3681">
        <v>-0.13215639999999901</v>
      </c>
      <c r="V3681">
        <v>3.989699E-2</v>
      </c>
      <c r="W3681">
        <v>0.13738839999999999</v>
      </c>
      <c r="X3681">
        <v>0.98971339999999997</v>
      </c>
      <c r="Y3681">
        <v>4.2488039999999998E-2</v>
      </c>
      <c r="Z3681">
        <v>-1.0937430000000001E-3</v>
      </c>
      <c r="AA3681">
        <v>0.9990964</v>
      </c>
      <c r="AB3681">
        <v>55</v>
      </c>
      <c r="AC3681">
        <v>20.0946</v>
      </c>
      <c r="AD3681">
        <v>-1.1084105076769999</v>
      </c>
      <c r="AE3681">
        <v>-0.89619999999996403</v>
      </c>
      <c r="AF3681">
        <v>0.87643443022628198</v>
      </c>
      <c r="AG3681">
        <v>-1.1084105076769999</v>
      </c>
      <c r="AH3681">
        <v>20.0345198419143</v>
      </c>
      <c r="AI3681">
        <v>93.163643146087296</v>
      </c>
      <c r="AJ3681">
        <v>87.495123532212006</v>
      </c>
      <c r="AK3681">
        <v>20.084289792274799</v>
      </c>
      <c r="AL3681">
        <v>82.103247567894698</v>
      </c>
      <c r="AM3681">
        <v>87.691561906956494</v>
      </c>
      <c r="AN3681">
        <v>0.99999997820258901</v>
      </c>
    </row>
    <row r="3682" spans="1:40" x14ac:dyDescent="0.25">
      <c r="A3682" t="str">
        <f>"20190312164100259"</f>
        <v>20190312164100259</v>
      </c>
      <c r="B3682" t="str">
        <f>"1552380060249302"</f>
        <v>1552380060249302</v>
      </c>
      <c r="C3682" t="s">
        <v>40</v>
      </c>
      <c r="D3682">
        <v>5.285507</v>
      </c>
      <c r="E3682">
        <v>0.50541139999999996</v>
      </c>
      <c r="F3682" t="s">
        <v>49</v>
      </c>
      <c r="G3682">
        <v>-298.19290000000001</v>
      </c>
      <c r="H3682" s="1">
        <v>2.3476979999999999E-6</v>
      </c>
      <c r="I3682">
        <v>212.9256</v>
      </c>
      <c r="J3682">
        <v>-318.56619999999998</v>
      </c>
      <c r="K3682">
        <v>1.108428</v>
      </c>
      <c r="L3682">
        <v>213.83459999999999</v>
      </c>
      <c r="M3682">
        <v>0.99993829999999995</v>
      </c>
      <c r="N3682">
        <v>0</v>
      </c>
      <c r="O3682">
        <v>-1.191398E-3</v>
      </c>
      <c r="P3682">
        <v>0.99115200000000003</v>
      </c>
      <c r="Q3682">
        <v>0.1262865</v>
      </c>
      <c r="R3682">
        <v>-4.0864780000000003E-2</v>
      </c>
      <c r="S3682">
        <v>3.0420530000000001</v>
      </c>
      <c r="T3682">
        <v>-0.16125599999999901</v>
      </c>
      <c r="U3682">
        <v>-0.1323242</v>
      </c>
      <c r="V3682">
        <v>3.9863299999999997E-2</v>
      </c>
      <c r="W3682">
        <v>0.1371802</v>
      </c>
      <c r="X3682">
        <v>0.98974359999999995</v>
      </c>
      <c r="Y3682">
        <v>4.2209379999999998E-2</v>
      </c>
      <c r="Z3682">
        <v>-1.0543410000000001E-3</v>
      </c>
      <c r="AA3682">
        <v>0.99910829999999995</v>
      </c>
      <c r="AB3682">
        <v>55</v>
      </c>
      <c r="AC3682">
        <v>20.373299999999901</v>
      </c>
      <c r="AD3682">
        <v>-1.108425652302</v>
      </c>
      <c r="AE3682">
        <v>-0.90899999999999104</v>
      </c>
      <c r="AF3682">
        <v>0.882119287875886</v>
      </c>
      <c r="AG3682">
        <v>-1.108425652302</v>
      </c>
      <c r="AH3682">
        <v>20.314357735217001</v>
      </c>
      <c r="AI3682">
        <v>93.120235757366004</v>
      </c>
      <c r="AJ3682">
        <v>87.513582181442501</v>
      </c>
      <c r="AK3682">
        <v>20.3636900403413</v>
      </c>
      <c r="AL3682">
        <v>82.115290288010996</v>
      </c>
      <c r="AM3682">
        <v>87.693579404577605</v>
      </c>
      <c r="AN3682">
        <v>0.99999994184994301</v>
      </c>
    </row>
    <row r="3683" spans="1:40" x14ac:dyDescent="0.25">
      <c r="A3683" t="str">
        <f>"20190312164100280"</f>
        <v>20190312164100280</v>
      </c>
      <c r="B3683" t="str">
        <f>"1552380060269798"</f>
        <v>1552380060269798</v>
      </c>
      <c r="C3683" t="s">
        <v>40</v>
      </c>
      <c r="D3683">
        <v>5.2507820000000001</v>
      </c>
      <c r="E3683">
        <v>0.50528809999999902</v>
      </c>
      <c r="F3683" t="s">
        <v>42</v>
      </c>
      <c r="G3683">
        <v>-317.36020000000002</v>
      </c>
      <c r="H3683">
        <v>1.0445580000000001</v>
      </c>
      <c r="I3683">
        <v>213.7818</v>
      </c>
      <c r="J3683">
        <v>-318.04180000000002</v>
      </c>
      <c r="K3683">
        <v>1.10843799999999</v>
      </c>
      <c r="L3683">
        <v>213.8338</v>
      </c>
      <c r="M3683">
        <v>0.99993659999999995</v>
      </c>
      <c r="N3683">
        <v>0</v>
      </c>
      <c r="O3683">
        <v>-1.5237639999999999E-3</v>
      </c>
      <c r="P3683">
        <v>0.99112929999999999</v>
      </c>
      <c r="Q3683">
        <v>0.12625249999999999</v>
      </c>
      <c r="R3683">
        <v>-4.1508469999999999E-2</v>
      </c>
      <c r="S3683">
        <v>3.0418400000000001</v>
      </c>
      <c r="T3683">
        <v>-0.16113769999999999</v>
      </c>
      <c r="U3683">
        <v>-0.1328125</v>
      </c>
      <c r="V3683">
        <v>4.017863E-2</v>
      </c>
      <c r="W3683">
        <v>0.13725999999999999</v>
      </c>
      <c r="X3683">
        <v>0.98971989999999999</v>
      </c>
      <c r="Y3683">
        <v>4.2041189999999999E-2</v>
      </c>
      <c r="Z3683">
        <v>-1.031602E-3</v>
      </c>
      <c r="AA3683">
        <v>0.99911530000000004</v>
      </c>
      <c r="AB3683">
        <v>55</v>
      </c>
      <c r="AC3683">
        <v>0.68160000000000298</v>
      </c>
      <c r="AD3683">
        <v>-6.3879999999999701E-2</v>
      </c>
      <c r="AE3683">
        <v>-5.1999999999992497E-2</v>
      </c>
      <c r="AF3683">
        <v>5.0520098840757602E-2</v>
      </c>
      <c r="AG3683">
        <v>-6.3879999999999701E-2</v>
      </c>
      <c r="AH3683">
        <v>0.67577706775055402</v>
      </c>
      <c r="AI3683">
        <v>95.385083297592601</v>
      </c>
      <c r="AJ3683">
        <v>85.724604856794301</v>
      </c>
      <c r="AK3683">
        <v>0.680667011162151</v>
      </c>
      <c r="AL3683">
        <v>82.110675320928195</v>
      </c>
      <c r="AM3683">
        <v>87.675299295768994</v>
      </c>
      <c r="AN3683">
        <v>1.00000005518234</v>
      </c>
    </row>
    <row r="3684" spans="1:40" x14ac:dyDescent="0.25">
      <c r="A3684" t="str">
        <f>"20190312164100302"</f>
        <v>20190312164100302</v>
      </c>
      <c r="B3684" t="str">
        <f>"1552380060300055"</f>
        <v>1552380060300055</v>
      </c>
      <c r="C3684" t="s">
        <v>40</v>
      </c>
      <c r="D3684">
        <v>5.2805439999999999</v>
      </c>
      <c r="E3684">
        <v>0.50522349999999905</v>
      </c>
      <c r="F3684" t="s">
        <v>42</v>
      </c>
      <c r="G3684">
        <v>-316.86520000000002</v>
      </c>
      <c r="H3684">
        <v>1.0460959999999999</v>
      </c>
      <c r="I3684">
        <v>213.7818</v>
      </c>
      <c r="J3684">
        <v>-317.4864</v>
      </c>
      <c r="K3684">
        <v>1.1084560000000001</v>
      </c>
      <c r="L3684">
        <v>213.83279999999999</v>
      </c>
      <c r="M3684">
        <v>0.99993460000000001</v>
      </c>
      <c r="N3684">
        <v>0</v>
      </c>
      <c r="O3684">
        <v>-1.8746920000000001E-3</v>
      </c>
      <c r="P3684">
        <v>0.99108830000000003</v>
      </c>
      <c r="Q3684">
        <v>0.12643450000000001</v>
      </c>
      <c r="R3684">
        <v>-4.1933360000000003E-2</v>
      </c>
      <c r="S3684">
        <v>3.041779</v>
      </c>
      <c r="T3684">
        <v>-0.16126489999999999</v>
      </c>
      <c r="U3684">
        <v>-0.1338348</v>
      </c>
      <c r="V3684">
        <v>4.0256689999999998E-2</v>
      </c>
      <c r="W3684">
        <v>0.13756650000000001</v>
      </c>
      <c r="X3684">
        <v>0.9896741</v>
      </c>
      <c r="Y3684">
        <v>4.202699E-2</v>
      </c>
      <c r="Z3684">
        <v>-1.0134689999999999E-3</v>
      </c>
      <c r="AA3684">
        <v>0.99911589999999995</v>
      </c>
      <c r="AB3684">
        <v>55</v>
      </c>
      <c r="AC3684">
        <v>0.62119999999998698</v>
      </c>
      <c r="AD3684">
        <v>-6.2359999999999902E-2</v>
      </c>
      <c r="AE3684">
        <v>-5.0999999999987701E-2</v>
      </c>
      <c r="AF3684">
        <v>4.93413729382974E-2</v>
      </c>
      <c r="AG3684">
        <v>-6.2359999999999902E-2</v>
      </c>
      <c r="AH3684">
        <v>0.61513703314114299</v>
      </c>
      <c r="AI3684">
        <v>95.770221423196503</v>
      </c>
      <c r="AJ3684">
        <v>85.414009368575194</v>
      </c>
      <c r="AK3684">
        <v>0.62025552010854701</v>
      </c>
      <c r="AL3684">
        <v>82.092945411921605</v>
      </c>
      <c r="AM3684">
        <v>87.670680109162504</v>
      </c>
      <c r="AN3684">
        <v>0.99999998361140796</v>
      </c>
    </row>
    <row r="3685" spans="1:40" x14ac:dyDescent="0.25">
      <c r="A3685" t="str">
        <f>"20190312164100325"</f>
        <v>20190312164100325</v>
      </c>
      <c r="B3685" t="str">
        <f>"1552380060319575"</f>
        <v>1552380060319575</v>
      </c>
      <c r="C3685" t="s">
        <v>40</v>
      </c>
      <c r="D3685">
        <v>5.2398199999999999</v>
      </c>
      <c r="E3685">
        <v>0.5051909</v>
      </c>
      <c r="F3685" t="s">
        <v>42</v>
      </c>
      <c r="G3685">
        <v>-316.36799999999999</v>
      </c>
      <c r="H3685">
        <v>1.04999</v>
      </c>
      <c r="I3685">
        <v>213.78319999999999</v>
      </c>
      <c r="J3685">
        <v>-316.91789999999997</v>
      </c>
      <c r="K3685">
        <v>1.1084750000000001</v>
      </c>
      <c r="L3685">
        <v>213.83150000000001</v>
      </c>
      <c r="M3685">
        <v>0.99993220000000005</v>
      </c>
      <c r="N3685">
        <v>0</v>
      </c>
      <c r="O3685">
        <v>-2.232721E-3</v>
      </c>
      <c r="P3685">
        <v>0.99106729999999998</v>
      </c>
      <c r="Q3685">
        <v>0.1264226</v>
      </c>
      <c r="R3685">
        <v>-4.2460449999999997E-2</v>
      </c>
      <c r="S3685">
        <v>3.041595</v>
      </c>
      <c r="T3685">
        <v>-0.15908919999999999</v>
      </c>
      <c r="U3685">
        <v>-0.1344757</v>
      </c>
      <c r="V3685">
        <v>4.0429819999999998E-2</v>
      </c>
      <c r="W3685">
        <v>0.13768739999999999</v>
      </c>
      <c r="X3685">
        <v>0.98965020000000004</v>
      </c>
      <c r="Y3685">
        <v>4.1884190000000002E-2</v>
      </c>
      <c r="Z3685">
        <v>-9.7743409999999993E-4</v>
      </c>
      <c r="AA3685">
        <v>0.99912199999999995</v>
      </c>
      <c r="AB3685">
        <v>55</v>
      </c>
      <c r="AC3685">
        <v>0.54989999999997896</v>
      </c>
      <c r="AD3685">
        <v>-5.8485000000000099E-2</v>
      </c>
      <c r="AE3685">
        <v>-4.8300000000011702E-2</v>
      </c>
      <c r="AF3685">
        <v>4.65495108231175E-2</v>
      </c>
      <c r="AG3685">
        <v>-5.8485000000000099E-2</v>
      </c>
      <c r="AH3685">
        <v>0.54390121995293195</v>
      </c>
      <c r="AI3685">
        <v>96.115175100229294</v>
      </c>
      <c r="AJ3685">
        <v>85.108289894654604</v>
      </c>
      <c r="AK3685">
        <v>0.54901356016874403</v>
      </c>
      <c r="AL3685">
        <v>82.085951569245495</v>
      </c>
      <c r="AM3685">
        <v>87.660617189311196</v>
      </c>
      <c r="AN3685">
        <v>0.99999995441201495</v>
      </c>
    </row>
    <row r="3686" spans="1:40" x14ac:dyDescent="0.25">
      <c r="A3686" t="str">
        <f>"20190312164100349"</f>
        <v>20190312164100349</v>
      </c>
      <c r="B3686" t="str">
        <f>"1552380060340070"</f>
        <v>1552380060340070</v>
      </c>
      <c r="C3686" t="s">
        <v>40</v>
      </c>
      <c r="D3686">
        <v>5.4345980000000003</v>
      </c>
      <c r="E3686">
        <v>0.50506130000000005</v>
      </c>
      <c r="F3686" t="s">
        <v>49</v>
      </c>
      <c r="G3686">
        <v>-295.92419999999998</v>
      </c>
      <c r="H3686" s="1">
        <v>1.9452559999999999E-6</v>
      </c>
      <c r="I3686">
        <v>212.89410000000001</v>
      </c>
      <c r="J3686">
        <v>-316.34010000000001</v>
      </c>
      <c r="K3686">
        <v>1.1084989999999999</v>
      </c>
      <c r="L3686">
        <v>213.83</v>
      </c>
      <c r="M3686">
        <v>0.99992970000000003</v>
      </c>
      <c r="N3686">
        <v>0</v>
      </c>
      <c r="O3686">
        <v>-2.5970469999999999E-3</v>
      </c>
      <c r="P3686">
        <v>0.991062</v>
      </c>
      <c r="Q3686">
        <v>0.12633039999999901</v>
      </c>
      <c r="R3686">
        <v>-4.2861499999999997E-2</v>
      </c>
      <c r="S3686">
        <v>3.0417179999999999</v>
      </c>
      <c r="T3686">
        <v>-0.160603</v>
      </c>
      <c r="U3686">
        <v>-0.13581849999999901</v>
      </c>
      <c r="V3686">
        <v>4.0470640000000002E-2</v>
      </c>
      <c r="W3686">
        <v>0.13774169999999999</v>
      </c>
      <c r="X3686">
        <v>0.98964099999999999</v>
      </c>
      <c r="Y3686">
        <v>4.1957960000000002E-2</v>
      </c>
      <c r="Z3686">
        <v>-9.6940389999999996E-4</v>
      </c>
      <c r="AA3686">
        <v>0.99911890000000003</v>
      </c>
      <c r="AB3686">
        <v>55</v>
      </c>
      <c r="AC3686">
        <v>20.415900000000001</v>
      </c>
      <c r="AD3686">
        <v>-1.1084970547439901</v>
      </c>
      <c r="AE3686">
        <v>-0.93590000000000295</v>
      </c>
      <c r="AF3686">
        <v>0.88028258459828301</v>
      </c>
      <c r="AG3686">
        <v>-1.1084970547439901</v>
      </c>
      <c r="AH3686">
        <v>20.358370634644402</v>
      </c>
      <c r="AI3686">
        <v>93.113728298556794</v>
      </c>
      <c r="AJ3686">
        <v>87.524110337924498</v>
      </c>
      <c r="AK3686">
        <v>20.4075211146938</v>
      </c>
      <c r="AL3686">
        <v>82.082810673778098</v>
      </c>
      <c r="AM3686">
        <v>87.658236112439198</v>
      </c>
      <c r="AN3686">
        <v>0.99999997875094904</v>
      </c>
    </row>
    <row r="3687" spans="1:40" x14ac:dyDescent="0.25">
      <c r="A3687" t="str">
        <f>"20190312164100371"</f>
        <v>20190312164100371</v>
      </c>
      <c r="B3687" t="str">
        <f>"1552380060359591"</f>
        <v>1552380060359591</v>
      </c>
      <c r="C3687" t="s">
        <v>40</v>
      </c>
      <c r="D3687">
        <v>5.3704809999999998</v>
      </c>
      <c r="E3687">
        <v>0.4906026</v>
      </c>
      <c r="F3687" t="s">
        <v>49</v>
      </c>
      <c r="G3687">
        <v>-295.38159999999999</v>
      </c>
      <c r="H3687" s="1">
        <v>1.849008E-6</v>
      </c>
      <c r="I3687">
        <v>212.89250000000001</v>
      </c>
      <c r="J3687">
        <v>-315.8023</v>
      </c>
      <c r="K3687">
        <v>1.1085199999999999</v>
      </c>
      <c r="L3687">
        <v>213.82849999999999</v>
      </c>
      <c r="M3687">
        <v>0.99992689999999995</v>
      </c>
      <c r="N3687">
        <v>0</v>
      </c>
      <c r="O3687">
        <v>-2.9379570000000002E-3</v>
      </c>
      <c r="P3687">
        <v>0.99105949999999998</v>
      </c>
      <c r="Q3687">
        <v>0.1262491</v>
      </c>
      <c r="R3687">
        <v>-4.3154949999999997E-2</v>
      </c>
      <c r="S3687">
        <v>3.041687</v>
      </c>
      <c r="T3687">
        <v>-0.16087460000000001</v>
      </c>
      <c r="U3687">
        <v>-0.13606260000000001</v>
      </c>
      <c r="V3687">
        <v>4.0427520000000002E-2</v>
      </c>
      <c r="W3687">
        <v>0.13781260000000001</v>
      </c>
      <c r="X3687">
        <v>0.98963290000000004</v>
      </c>
      <c r="Y3687">
        <v>4.169846E-2</v>
      </c>
      <c r="Z3687">
        <v>-9.4618440000000001E-4</v>
      </c>
      <c r="AA3687">
        <v>0.99912979999999996</v>
      </c>
      <c r="AB3687">
        <v>55</v>
      </c>
      <c r="AC3687">
        <v>20.4207</v>
      </c>
      <c r="AD3687">
        <v>-1.1085181509919999</v>
      </c>
      <c r="AE3687">
        <v>-0.93599999999997796</v>
      </c>
      <c r="AF3687">
        <v>0.87342830910118696</v>
      </c>
      <c r="AG3687">
        <v>-1.1085181509919999</v>
      </c>
      <c r="AH3687">
        <v>20.363481539562802</v>
      </c>
      <c r="AI3687">
        <v>93.113053870397906</v>
      </c>
      <c r="AJ3687">
        <v>87.543980836048704</v>
      </c>
      <c r="AK3687">
        <v>20.412326420923598</v>
      </c>
      <c r="AL3687">
        <v>82.078709354238896</v>
      </c>
      <c r="AM3687">
        <v>87.660709278381702</v>
      </c>
      <c r="AN3687">
        <v>0.99999998692726</v>
      </c>
    </row>
    <row r="3688" spans="1:40" x14ac:dyDescent="0.25">
      <c r="A3688" t="str">
        <f>"20190312164100391"</f>
        <v>20190312164100391</v>
      </c>
      <c r="B3688" t="str">
        <f>"1552380060380087"</f>
        <v>1552380060380087</v>
      </c>
      <c r="C3688" t="s">
        <v>40</v>
      </c>
      <c r="D3688">
        <v>5.492515</v>
      </c>
      <c r="E3688">
        <v>0.47701450000000001</v>
      </c>
      <c r="F3688" t="s">
        <v>49</v>
      </c>
      <c r="G3688">
        <v>-293.1182</v>
      </c>
      <c r="H3688" s="1">
        <v>1.447519E-6</v>
      </c>
      <c r="I3688">
        <v>213.66200000000001</v>
      </c>
      <c r="J3688">
        <v>-315.28250000000003</v>
      </c>
      <c r="K3688">
        <v>1.1085430000000001</v>
      </c>
      <c r="L3688">
        <v>213.82679999999999</v>
      </c>
      <c r="M3688">
        <v>0.99992389999999998</v>
      </c>
      <c r="N3688">
        <v>0</v>
      </c>
      <c r="O3688">
        <v>-3.2668160000000001E-3</v>
      </c>
      <c r="P3688">
        <v>0.99105109999999996</v>
      </c>
      <c r="Q3688">
        <v>0.12622819999999901</v>
      </c>
      <c r="R3688">
        <v>-4.3410579999999997E-2</v>
      </c>
      <c r="S3688">
        <v>3.0450439999999999</v>
      </c>
      <c r="T3688">
        <v>-0.14880380000000001</v>
      </c>
      <c r="U3688">
        <v>-2.233887E-2</v>
      </c>
      <c r="V3688">
        <v>4.0358600000000001E-2</v>
      </c>
      <c r="W3688">
        <v>0.137958</v>
      </c>
      <c r="X3688">
        <v>0.98961540000000003</v>
      </c>
      <c r="Y3688">
        <v>4.0679890000000002E-3</v>
      </c>
      <c r="Z3688" s="1">
        <v>6.0218859999999998E-5</v>
      </c>
      <c r="AA3688">
        <v>0.99999170000000004</v>
      </c>
      <c r="AB3688">
        <v>55</v>
      </c>
      <c r="AC3688">
        <v>22.164300000000001</v>
      </c>
      <c r="AD3688">
        <v>-1.1085415524810001</v>
      </c>
      <c r="AE3688">
        <v>-0.16479999999998499</v>
      </c>
      <c r="AF3688">
        <v>9.2156791474603206E-2</v>
      </c>
      <c r="AG3688">
        <v>-1.1085415524810001</v>
      </c>
      <c r="AH3688">
        <v>22.1094170582451</v>
      </c>
      <c r="AI3688">
        <v>92.870318044321806</v>
      </c>
      <c r="AJ3688">
        <v>89.761180287477501</v>
      </c>
      <c r="AK3688">
        <v>22.137381956844202</v>
      </c>
      <c r="AL3688">
        <v>82.070297776924704</v>
      </c>
      <c r="AM3688">
        <v>87.664651582765103</v>
      </c>
      <c r="AN3688">
        <v>0.99999993313755697</v>
      </c>
    </row>
    <row r="3689" spans="1:40" x14ac:dyDescent="0.25">
      <c r="A3689" t="str">
        <f>"20190312164100415"</f>
        <v>20190312164100415</v>
      </c>
      <c r="B3689" t="str">
        <f>"1552380060410343"</f>
        <v>1552380060410343</v>
      </c>
      <c r="C3689" t="s">
        <v>40</v>
      </c>
      <c r="D3689">
        <v>5.3583930000000004</v>
      </c>
      <c r="E3689">
        <v>0.47746110000000003</v>
      </c>
      <c r="F3689" t="s">
        <v>49</v>
      </c>
      <c r="G3689">
        <v>-292.1499</v>
      </c>
      <c r="H3689" s="1">
        <v>1.2757699999999999E-6</v>
      </c>
      <c r="I3689">
        <v>214.4718</v>
      </c>
      <c r="J3689">
        <v>-314.72359999999998</v>
      </c>
      <c r="K3689">
        <v>1.108571</v>
      </c>
      <c r="L3689">
        <v>213.82470000000001</v>
      </c>
      <c r="M3689">
        <v>0.99992029999999998</v>
      </c>
      <c r="N3689">
        <v>0</v>
      </c>
      <c r="O3689">
        <v>-3.6151880000000001E-3</v>
      </c>
      <c r="P3689">
        <v>0.99106139999999998</v>
      </c>
      <c r="Q3689">
        <v>0.1261553</v>
      </c>
      <c r="R3689">
        <v>-4.3387509999999997E-2</v>
      </c>
      <c r="S3689">
        <v>3.0494690000000002</v>
      </c>
      <c r="T3689">
        <v>-0.1461344</v>
      </c>
      <c r="U3689">
        <v>8.5037230000000005E-2</v>
      </c>
      <c r="V3689">
        <v>3.9991159999999998E-2</v>
      </c>
      <c r="W3689">
        <v>0.13808219999999999</v>
      </c>
      <c r="X3689">
        <v>0.98961310000000002</v>
      </c>
      <c r="Y3689">
        <v>-3.1448730000000001E-2</v>
      </c>
      <c r="Z3689">
        <v>9.2607910000000004E-4</v>
      </c>
      <c r="AA3689">
        <v>0.99950490000000003</v>
      </c>
      <c r="AB3689">
        <v>55</v>
      </c>
      <c r="AC3689">
        <v>22.573699999999899</v>
      </c>
      <c r="AD3689">
        <v>-1.1085697242300001</v>
      </c>
      <c r="AE3689">
        <v>0.64709999999999401</v>
      </c>
      <c r="AF3689">
        <v>-0.72695815696196697</v>
      </c>
      <c r="AG3689">
        <v>-1.1085697242300001</v>
      </c>
      <c r="AH3689">
        <v>22.516953698593099</v>
      </c>
      <c r="AI3689">
        <v>92.817082958717407</v>
      </c>
      <c r="AJ3689">
        <v>91.849147645991295</v>
      </c>
      <c r="AK3689">
        <v>22.5559437590193</v>
      </c>
      <c r="AL3689">
        <v>82.063113708779099</v>
      </c>
      <c r="AM3689">
        <v>87.685884887056702</v>
      </c>
      <c r="AN3689">
        <v>1.00000003726329</v>
      </c>
    </row>
    <row r="3690" spans="1:40" x14ac:dyDescent="0.25">
      <c r="A3690" t="str">
        <f>"20190312164100437"</f>
        <v>20190312164100437</v>
      </c>
      <c r="B3690" t="str">
        <f>"1552380060429872"</f>
        <v>1552380060429872</v>
      </c>
      <c r="C3690" t="s">
        <v>40</v>
      </c>
      <c r="D3690">
        <v>5.2047990000000004</v>
      </c>
      <c r="E3690">
        <v>0.47775869999999998</v>
      </c>
      <c r="F3690" t="s">
        <v>49</v>
      </c>
      <c r="G3690">
        <v>-290.69839999999999</v>
      </c>
      <c r="H3690" s="1">
        <v>1.018297E-6</v>
      </c>
      <c r="I3690">
        <v>214.46420000000001</v>
      </c>
      <c r="J3690">
        <v>-314.15969999999999</v>
      </c>
      <c r="K3690">
        <v>1.108609</v>
      </c>
      <c r="L3690">
        <v>213.82249999999999</v>
      </c>
      <c r="M3690">
        <v>0.99991629999999998</v>
      </c>
      <c r="N3690">
        <v>0</v>
      </c>
      <c r="O3690">
        <v>-3.9621860000000004E-3</v>
      </c>
      <c r="P3690">
        <v>0.99104959999999997</v>
      </c>
      <c r="Q3690">
        <v>0.12614449999999999</v>
      </c>
      <c r="R3690">
        <v>-4.368665E-2</v>
      </c>
      <c r="S3690">
        <v>3.048492</v>
      </c>
      <c r="T3690">
        <v>-0.1406635</v>
      </c>
      <c r="U3690">
        <v>8.1146239999999994E-2</v>
      </c>
      <c r="V3690">
        <v>3.9946139999999998E-2</v>
      </c>
      <c r="W3690">
        <v>0.13828389999999999</v>
      </c>
      <c r="X3690">
        <v>0.98958670000000004</v>
      </c>
      <c r="Y3690">
        <v>-3.0533250000000001E-2</v>
      </c>
      <c r="Z3690">
        <v>8.8664309999999895E-4</v>
      </c>
      <c r="AA3690">
        <v>0.99953340000000002</v>
      </c>
      <c r="AB3690">
        <v>55</v>
      </c>
      <c r="AC3690">
        <v>23.461299999999898</v>
      </c>
      <c r="AD3690">
        <v>-1.1086079817029999</v>
      </c>
      <c r="AE3690">
        <v>0.64170000000001404</v>
      </c>
      <c r="AF3690">
        <v>-0.73302456660460602</v>
      </c>
      <c r="AG3690">
        <v>-1.1086079817029999</v>
      </c>
      <c r="AH3690">
        <v>23.406350209776701</v>
      </c>
      <c r="AI3690">
        <v>92.710378523339799</v>
      </c>
      <c r="AJ3690">
        <v>91.793764984381198</v>
      </c>
      <c r="AK3690">
        <v>23.4440518429527</v>
      </c>
      <c r="AL3690">
        <v>82.051444784713894</v>
      </c>
      <c r="AM3690">
        <v>87.6884255727648</v>
      </c>
      <c r="AN3690">
        <v>0.99999998395849898</v>
      </c>
    </row>
    <row r="3691" spans="1:40" x14ac:dyDescent="0.25">
      <c r="A3691" t="str">
        <f>"20190312164100459"</f>
        <v>20190312164100459</v>
      </c>
      <c r="B3691" t="str">
        <f>"1552380060450359"</f>
        <v>1552380060450359</v>
      </c>
      <c r="C3691" t="s">
        <v>40</v>
      </c>
      <c r="D3691">
        <v>5.2714549999999996</v>
      </c>
      <c r="E3691">
        <v>0.4776878</v>
      </c>
      <c r="F3691" t="s">
        <v>49</v>
      </c>
      <c r="G3691">
        <v>-290.34379999999999</v>
      </c>
      <c r="H3691" s="1">
        <v>9.5539710000000006E-7</v>
      </c>
      <c r="I3691">
        <v>214.4365</v>
      </c>
      <c r="J3691">
        <v>-313.6268</v>
      </c>
      <c r="K3691">
        <v>1.1086499999999999</v>
      </c>
      <c r="L3691">
        <v>213.8201</v>
      </c>
      <c r="M3691">
        <v>0.99991240000000003</v>
      </c>
      <c r="N3691">
        <v>0</v>
      </c>
      <c r="O3691">
        <v>-4.290772E-3</v>
      </c>
      <c r="P3691">
        <v>0.99105189999999999</v>
      </c>
      <c r="Q3691">
        <v>0.1260028</v>
      </c>
      <c r="R3691">
        <v>-4.4042530000000003E-2</v>
      </c>
      <c r="S3691">
        <v>3.0486149999999999</v>
      </c>
      <c r="T3691">
        <v>-0.14191010000000001</v>
      </c>
      <c r="U3691">
        <v>7.8598020000000005E-2</v>
      </c>
      <c r="V3691">
        <v>3.9974330000000002E-2</v>
      </c>
      <c r="W3691">
        <v>0.1383557</v>
      </c>
      <c r="X3691">
        <v>0.9895756</v>
      </c>
      <c r="Y3691">
        <v>-3.0025309999999999E-2</v>
      </c>
      <c r="Z3691">
        <v>8.9793890000000002E-4</v>
      </c>
      <c r="AA3691">
        <v>0.99954869999999996</v>
      </c>
      <c r="AB3691">
        <v>55</v>
      </c>
      <c r="AC3691">
        <v>23.283000000000001</v>
      </c>
      <c r="AD3691">
        <v>-1.10864904460289</v>
      </c>
      <c r="AE3691">
        <v>0.61639999999999795</v>
      </c>
      <c r="AF3691">
        <v>-0.71468492660322802</v>
      </c>
      <c r="AG3691">
        <v>-1.10864904460289</v>
      </c>
      <c r="AH3691">
        <v>23.227513582901601</v>
      </c>
      <c r="AI3691">
        <v>92.731362581431796</v>
      </c>
      <c r="AJ3691">
        <v>91.762371803844403</v>
      </c>
      <c r="AK3691">
        <v>23.264936374129402</v>
      </c>
      <c r="AL3691">
        <v>82.047291608328507</v>
      </c>
      <c r="AM3691">
        <v>87.686770146745303</v>
      </c>
      <c r="AN3691">
        <v>1.00000005744839</v>
      </c>
    </row>
    <row r="3692" spans="1:40" x14ac:dyDescent="0.25">
      <c r="A3692" t="str">
        <f>"20190312164100481"</f>
        <v>20190312164100481</v>
      </c>
      <c r="B3692" t="str">
        <f>"1552380060469879"</f>
        <v>1552380060469879</v>
      </c>
      <c r="C3692" t="s">
        <v>40</v>
      </c>
      <c r="D3692">
        <v>5.2337429999999996</v>
      </c>
      <c r="E3692">
        <v>0.47743020000000003</v>
      </c>
      <c r="F3692" t="s">
        <v>49</v>
      </c>
      <c r="G3692">
        <v>-290.15179999999998</v>
      </c>
      <c r="H3692" s="1">
        <v>9.2133860000000002E-7</v>
      </c>
      <c r="I3692">
        <v>214.42080000000001</v>
      </c>
      <c r="J3692">
        <v>-313.07119999999998</v>
      </c>
      <c r="K3692">
        <v>1.108689</v>
      </c>
      <c r="L3692">
        <v>213.8175</v>
      </c>
      <c r="M3692">
        <v>0.99990800000000002</v>
      </c>
      <c r="N3692">
        <v>0</v>
      </c>
      <c r="O3692">
        <v>-4.6384039999999996E-3</v>
      </c>
      <c r="P3692">
        <v>0.99102650000000003</v>
      </c>
      <c r="Q3692">
        <v>0.12615109999999999</v>
      </c>
      <c r="R3692">
        <v>-4.4191359999999999E-2</v>
      </c>
      <c r="S3692">
        <v>3.048889</v>
      </c>
      <c r="T3692">
        <v>-0.14398929999999999</v>
      </c>
      <c r="U3692">
        <v>7.8018190000000001E-2</v>
      </c>
      <c r="V3692">
        <v>3.9775770000000002E-2</v>
      </c>
      <c r="W3692">
        <v>0.13873579999999999</v>
      </c>
      <c r="X3692">
        <v>0.98953029999999997</v>
      </c>
      <c r="Y3692">
        <v>-3.017889E-2</v>
      </c>
      <c r="Z3692">
        <v>9.3103279999999999E-4</v>
      </c>
      <c r="AA3692">
        <v>0.99954410000000005</v>
      </c>
      <c r="AB3692">
        <v>55</v>
      </c>
      <c r="AC3692">
        <v>22.9194</v>
      </c>
      <c r="AD3692">
        <v>-1.1086880786614</v>
      </c>
      <c r="AE3692">
        <v>0.60330000000001804</v>
      </c>
      <c r="AF3692">
        <v>-0.70795612646692496</v>
      </c>
      <c r="AG3692">
        <v>-1.1086880786614</v>
      </c>
      <c r="AH3692">
        <v>22.862893144087199</v>
      </c>
      <c r="AI3692">
        <v>92.774935930416206</v>
      </c>
      <c r="AJ3692">
        <v>91.773613722346099</v>
      </c>
      <c r="AK3692">
        <v>22.900704662754698</v>
      </c>
      <c r="AL3692">
        <v>82.025300743963896</v>
      </c>
      <c r="AM3692">
        <v>87.698142744955703</v>
      </c>
      <c r="AN3692">
        <v>0.99999997434941101</v>
      </c>
    </row>
    <row r="3693" spans="1:40" x14ac:dyDescent="0.25">
      <c r="A3693" t="str">
        <f>"20190312164100504"</f>
        <v>20190312164100504</v>
      </c>
      <c r="B3693" t="str">
        <f>"1552380060500134"</f>
        <v>1552380060500134</v>
      </c>
      <c r="C3693" t="s">
        <v>40</v>
      </c>
      <c r="D3693">
        <v>5.3712150000000003</v>
      </c>
      <c r="E3693">
        <v>0.47837600000000002</v>
      </c>
      <c r="F3693" t="s">
        <v>49</v>
      </c>
      <c r="G3693">
        <v>-290.11619999999999</v>
      </c>
      <c r="H3693" s="1">
        <v>9.1501649999999995E-7</v>
      </c>
      <c r="I3693">
        <v>214.41669999999999</v>
      </c>
      <c r="J3693">
        <v>-312.53629999999998</v>
      </c>
      <c r="K3693">
        <v>1.108724</v>
      </c>
      <c r="L3693">
        <v>213.81479999999999</v>
      </c>
      <c r="M3693">
        <v>0.99990349999999995</v>
      </c>
      <c r="N3693">
        <v>0</v>
      </c>
      <c r="O3693">
        <v>-4.9768089999999996E-3</v>
      </c>
      <c r="P3693">
        <v>0.99103520000000001</v>
      </c>
      <c r="Q3693">
        <v>0.12591440000000001</v>
      </c>
      <c r="R3693">
        <v>-4.4669059999999997E-2</v>
      </c>
      <c r="S3693">
        <v>3.0494690000000002</v>
      </c>
      <c r="T3693">
        <v>-0.1472839</v>
      </c>
      <c r="U3693">
        <v>7.9605099999999998E-2</v>
      </c>
      <c r="V3693">
        <v>3.9915039999999999E-2</v>
      </c>
      <c r="W3693">
        <v>0.13871929999999999</v>
      </c>
      <c r="X3693">
        <v>0.98952700000000005</v>
      </c>
      <c r="Y3693">
        <v>-3.1028960000000001E-2</v>
      </c>
      <c r="Z3693">
        <v>9.8897140000000008E-4</v>
      </c>
      <c r="AA3693">
        <v>0.99951800000000002</v>
      </c>
      <c r="AB3693">
        <v>55</v>
      </c>
      <c r="AC3693">
        <v>22.420099999999898</v>
      </c>
      <c r="AD3693">
        <v>-1.1087230849834999</v>
      </c>
      <c r="AE3693">
        <v>0.60189999999999999</v>
      </c>
      <c r="AF3693">
        <v>-0.71174315835993696</v>
      </c>
      <c r="AG3693">
        <v>-1.1087230849834999</v>
      </c>
      <c r="AH3693">
        <v>22.362178747951798</v>
      </c>
      <c r="AI3693">
        <v>92.836982265873402</v>
      </c>
      <c r="AJ3693">
        <v>91.822993975927602</v>
      </c>
      <c r="AK3693">
        <v>22.400957201825001</v>
      </c>
      <c r="AL3693">
        <v>82.026255313310799</v>
      </c>
      <c r="AM3693">
        <v>87.690084093015997</v>
      </c>
      <c r="AN3693">
        <v>0.99999996916984502</v>
      </c>
    </row>
    <row r="3694" spans="1:40" x14ac:dyDescent="0.25">
      <c r="A3694" t="str">
        <f>"20190312164100527"</f>
        <v>20190312164100527</v>
      </c>
      <c r="B3694" t="str">
        <f>"1552380060519654"</f>
        <v>1552380060519654</v>
      </c>
      <c r="C3694" t="s">
        <v>40</v>
      </c>
      <c r="D3694">
        <v>5.2742110000000002</v>
      </c>
      <c r="E3694">
        <v>0.47834369999999998</v>
      </c>
      <c r="F3694" t="s">
        <v>49</v>
      </c>
      <c r="G3694">
        <v>-291.16230000000002</v>
      </c>
      <c r="H3694" s="1">
        <v>1.100575E-6</v>
      </c>
      <c r="I3694">
        <v>214.3151</v>
      </c>
      <c r="J3694">
        <v>-311.95460000000003</v>
      </c>
      <c r="K3694">
        <v>1.108762</v>
      </c>
      <c r="L3694">
        <v>213.8117</v>
      </c>
      <c r="M3694">
        <v>0.99989839999999997</v>
      </c>
      <c r="N3694">
        <v>0</v>
      </c>
      <c r="O3694">
        <v>-5.3434060000000002E-3</v>
      </c>
      <c r="P3694">
        <v>0.99104800000000004</v>
      </c>
      <c r="Q3694">
        <v>0.1256089</v>
      </c>
      <c r="R3694">
        <v>-4.5237159999999998E-2</v>
      </c>
      <c r="S3694">
        <v>3.0504760000000002</v>
      </c>
      <c r="T3694">
        <v>-0.15823570000000001</v>
      </c>
      <c r="U3694">
        <v>7.1411130000000003E-2</v>
      </c>
      <c r="V3694">
        <v>4.0116789999999999E-2</v>
      </c>
      <c r="W3694">
        <v>0.13865459999999999</v>
      </c>
      <c r="X3694">
        <v>0.98952790000000002</v>
      </c>
      <c r="Y3694">
        <v>-2.869975E-2</v>
      </c>
      <c r="Z3694">
        <v>1.02074E-3</v>
      </c>
      <c r="AA3694">
        <v>0.99958749999999996</v>
      </c>
      <c r="AB3694">
        <v>55</v>
      </c>
      <c r="AC3694">
        <v>20.792300000000001</v>
      </c>
      <c r="AD3694">
        <v>-1.108760899425</v>
      </c>
      <c r="AE3694">
        <v>0.50339999999999896</v>
      </c>
      <c r="AF3694">
        <v>-0.61276277486329001</v>
      </c>
      <c r="AG3694">
        <v>-1.108760899425</v>
      </c>
      <c r="AH3694">
        <v>20.730398279996798</v>
      </c>
      <c r="AI3694">
        <v>93.060201348949505</v>
      </c>
      <c r="AJ3694">
        <v>91.693093433506505</v>
      </c>
      <c r="AK3694">
        <v>20.769069353190801</v>
      </c>
      <c r="AL3694">
        <v>82.029998449450304</v>
      </c>
      <c r="AM3694">
        <v>87.678423508184096</v>
      </c>
      <c r="AN3694">
        <v>0.999999959909736</v>
      </c>
    </row>
    <row r="3695" spans="1:40" x14ac:dyDescent="0.25">
      <c r="A3695" t="str">
        <f>"20190312164100549"</f>
        <v>20190312164100549</v>
      </c>
      <c r="B3695" t="str">
        <f>"1552380060540151"</f>
        <v>1552380060540151</v>
      </c>
      <c r="C3695" t="s">
        <v>40</v>
      </c>
      <c r="D3695">
        <v>5.1356279999999996</v>
      </c>
      <c r="E3695">
        <v>0.47830109999999898</v>
      </c>
      <c r="F3695" t="s">
        <v>49</v>
      </c>
      <c r="G3695">
        <v>-290.73110000000003</v>
      </c>
      <c r="H3695" s="1">
        <v>1.0241000000000001E-6</v>
      </c>
      <c r="I3695">
        <v>214.3006</v>
      </c>
      <c r="J3695">
        <v>-311.41039999999998</v>
      </c>
      <c r="K3695">
        <v>1.1087940000000001</v>
      </c>
      <c r="L3695">
        <v>213.80860000000001</v>
      </c>
      <c r="M3695">
        <v>0.99989349999999999</v>
      </c>
      <c r="N3695">
        <v>0</v>
      </c>
      <c r="O3695">
        <v>-5.6820730000000002E-3</v>
      </c>
      <c r="P3695">
        <v>0.99109669999999905</v>
      </c>
      <c r="Q3695">
        <v>0.12509039999999999</v>
      </c>
      <c r="R3695">
        <v>-4.561055E-2</v>
      </c>
      <c r="S3695">
        <v>3.0505070000000001</v>
      </c>
      <c r="T3695">
        <v>-0.15936510000000001</v>
      </c>
      <c r="U3695">
        <v>7.0266720000000005E-2</v>
      </c>
      <c r="V3695">
        <v>4.0152019999999997E-2</v>
      </c>
      <c r="W3695">
        <v>0.13836370000000001</v>
      </c>
      <c r="X3695">
        <v>0.98956719999999998</v>
      </c>
      <c r="Y3695">
        <v>-2.8662239999999999E-2</v>
      </c>
      <c r="Z3695">
        <v>1.0447119999999999E-3</v>
      </c>
      <c r="AA3695">
        <v>0.99958860000000005</v>
      </c>
      <c r="AB3695">
        <v>55</v>
      </c>
      <c r="AC3695">
        <v>20.679299999999898</v>
      </c>
      <c r="AD3695">
        <v>-1.1087929758999999</v>
      </c>
      <c r="AE3695">
        <v>0.49199999999999</v>
      </c>
      <c r="AF3695">
        <v>-0.607757685864869</v>
      </c>
      <c r="AG3695">
        <v>-1.1087929758999999</v>
      </c>
      <c r="AH3695">
        <v>20.6169313055746</v>
      </c>
      <c r="AI3695">
        <v>93.077107243457704</v>
      </c>
      <c r="AJ3695">
        <v>91.688508755673197</v>
      </c>
      <c r="AK3695">
        <v>20.655668658431701</v>
      </c>
      <c r="AL3695">
        <v>82.046828096784594</v>
      </c>
      <c r="AM3695">
        <v>87.676479145714197</v>
      </c>
      <c r="AN3695">
        <v>0.99999997075180402</v>
      </c>
    </row>
    <row r="3696" spans="1:40" x14ac:dyDescent="0.25">
      <c r="A3696" t="str">
        <f>"20190312164100571"</f>
        <v>20190312164100571</v>
      </c>
      <c r="B3696" t="str">
        <f>"1552380060559671"</f>
        <v>1552380060559671</v>
      </c>
      <c r="C3696" t="s">
        <v>40</v>
      </c>
      <c r="D3696">
        <v>5.3036640000000004</v>
      </c>
      <c r="E3696">
        <v>0.47847909999999999</v>
      </c>
      <c r="F3696" t="s">
        <v>49</v>
      </c>
      <c r="G3696">
        <v>-290.26889999999997</v>
      </c>
      <c r="H3696" s="1">
        <v>9.4209830000000003E-7</v>
      </c>
      <c r="I3696">
        <v>214.29130000000001</v>
      </c>
      <c r="J3696">
        <v>-310.86720000000003</v>
      </c>
      <c r="K3696">
        <v>1.1088229999999999</v>
      </c>
      <c r="L3696">
        <v>213.80529999999999</v>
      </c>
      <c r="M3696">
        <v>0.99988860000000002</v>
      </c>
      <c r="N3696">
        <v>0</v>
      </c>
      <c r="O3696">
        <v>-6.013338E-3</v>
      </c>
      <c r="P3696">
        <v>0.99109590000000003</v>
      </c>
      <c r="Q3696">
        <v>0.1248305</v>
      </c>
      <c r="R3696">
        <v>-4.6331539999999997E-2</v>
      </c>
      <c r="S3696">
        <v>3.050354</v>
      </c>
      <c r="T3696">
        <v>-0.15997910000000001</v>
      </c>
      <c r="U3696">
        <v>6.9656369999999995E-2</v>
      </c>
      <c r="V3696">
        <v>4.0542979999999999E-2</v>
      </c>
      <c r="W3696">
        <v>0.1383221</v>
      </c>
      <c r="X3696">
        <v>0.98955709999999997</v>
      </c>
      <c r="Y3696">
        <v>-2.8793659999999999E-2</v>
      </c>
      <c r="Z3696">
        <v>1.069593E-3</v>
      </c>
      <c r="AA3696">
        <v>0.99958480000000005</v>
      </c>
      <c r="AB3696">
        <v>55</v>
      </c>
      <c r="AC3696">
        <v>20.598299999999998</v>
      </c>
      <c r="AD3696">
        <v>-1.1088220579017001</v>
      </c>
      <c r="AE3696">
        <v>0.48600000000001797</v>
      </c>
      <c r="AF3696">
        <v>-0.608106151986048</v>
      </c>
      <c r="AG3696">
        <v>-1.1088220579017001</v>
      </c>
      <c r="AH3696">
        <v>20.535531019949801</v>
      </c>
      <c r="AI3696">
        <v>93.0893496238117</v>
      </c>
      <c r="AJ3696">
        <v>91.696169293488495</v>
      </c>
      <c r="AK3696">
        <v>20.574433496927501</v>
      </c>
      <c r="AL3696">
        <v>82.049234939633095</v>
      </c>
      <c r="AM3696">
        <v>87.653856275757093</v>
      </c>
      <c r="AN3696">
        <v>0.99999999536804995</v>
      </c>
    </row>
    <row r="3697" spans="1:40" x14ac:dyDescent="0.25">
      <c r="A3697" t="str">
        <f>"20190312164100593"</f>
        <v>20190312164100593</v>
      </c>
      <c r="B3697" t="str">
        <f>"1552380060589927"</f>
        <v>1552380060589927</v>
      </c>
      <c r="C3697" t="s">
        <v>40</v>
      </c>
      <c r="D3697">
        <v>5.3761510000000001</v>
      </c>
      <c r="E3697">
        <v>0.4786974</v>
      </c>
      <c r="F3697" t="s">
        <v>49</v>
      </c>
      <c r="G3697">
        <v>-290.04689999999999</v>
      </c>
      <c r="H3697" s="1">
        <v>9.027332E-7</v>
      </c>
      <c r="I3697">
        <v>214.2526</v>
      </c>
      <c r="J3697">
        <v>-310.33049999999997</v>
      </c>
      <c r="K3697">
        <v>1.108849</v>
      </c>
      <c r="L3697">
        <v>213.80189999999999</v>
      </c>
      <c r="M3697">
        <v>0.99988379999999999</v>
      </c>
      <c r="N3697">
        <v>0</v>
      </c>
      <c r="O3697">
        <v>-6.3311319999999997E-3</v>
      </c>
      <c r="P3697">
        <v>0.99107140000000005</v>
      </c>
      <c r="Q3697">
        <v>0.12491099999999999</v>
      </c>
      <c r="R3697">
        <v>-4.6635589999999998E-2</v>
      </c>
      <c r="S3697">
        <v>3.050446</v>
      </c>
      <c r="T3697">
        <v>-0.1624572</v>
      </c>
      <c r="U3697">
        <v>6.5536499999999998E-2</v>
      </c>
      <c r="V3697">
        <v>4.0531030000000003E-2</v>
      </c>
      <c r="W3697">
        <v>0.13860359999999999</v>
      </c>
      <c r="X3697">
        <v>0.98951820000000001</v>
      </c>
      <c r="Y3697">
        <v>-2.7760839999999998E-2</v>
      </c>
      <c r="Z3697">
        <v>1.075555E-3</v>
      </c>
      <c r="AA3697">
        <v>0.999614</v>
      </c>
      <c r="AB3697">
        <v>55</v>
      </c>
      <c r="AC3697">
        <v>20.2835999999999</v>
      </c>
      <c r="AD3697">
        <v>-1.1088480972668</v>
      </c>
      <c r="AE3697">
        <v>0.45070000000001098</v>
      </c>
      <c r="AF3697">
        <v>-0.57739676206839996</v>
      </c>
      <c r="AG3697">
        <v>-1.1088480972668</v>
      </c>
      <c r="AH3697">
        <v>20.219942100870298</v>
      </c>
      <c r="AI3697">
        <v>93.137641672936198</v>
      </c>
      <c r="AJ3697">
        <v>91.635682715173999</v>
      </c>
      <c r="AK3697">
        <v>20.258553494418202</v>
      </c>
      <c r="AL3697">
        <v>82.032949307193405</v>
      </c>
      <c r="AM3697">
        <v>87.654454925099699</v>
      </c>
      <c r="AN3697">
        <v>0.99999999522853</v>
      </c>
    </row>
    <row r="3698" spans="1:40" x14ac:dyDescent="0.25">
      <c r="A3698" t="str">
        <f>"20190312164100616"</f>
        <v>20190312164100616</v>
      </c>
      <c r="B3698" t="str">
        <f>"1552380060609447"</f>
        <v>1552380060609447</v>
      </c>
      <c r="C3698" t="s">
        <v>40</v>
      </c>
      <c r="D3698">
        <v>5.3252370000000004</v>
      </c>
      <c r="E3698">
        <v>0.47875679999999998</v>
      </c>
      <c r="F3698" t="s">
        <v>49</v>
      </c>
      <c r="G3698">
        <v>-290.02690000000001</v>
      </c>
      <c r="H3698" s="1">
        <v>8.9918130000000004E-7</v>
      </c>
      <c r="I3698">
        <v>214.22370000000001</v>
      </c>
      <c r="J3698">
        <v>-309.77589999999998</v>
      </c>
      <c r="K3698">
        <v>1.1088769999999999</v>
      </c>
      <c r="L3698">
        <v>213.79820000000001</v>
      </c>
      <c r="M3698">
        <v>0.99987910000000002</v>
      </c>
      <c r="N3698">
        <v>0</v>
      </c>
      <c r="O3698">
        <v>-6.6462839999999997E-3</v>
      </c>
      <c r="P3698">
        <v>0.99105270000000001</v>
      </c>
      <c r="Q3698">
        <v>0.1249453</v>
      </c>
      <c r="R3698">
        <v>-4.693982E-2</v>
      </c>
      <c r="S3698">
        <v>3.0510250000000001</v>
      </c>
      <c r="T3698">
        <v>-0.166627</v>
      </c>
      <c r="U3698">
        <v>6.3385010000000006E-2</v>
      </c>
      <c r="V3698">
        <v>4.0520550000000002E-2</v>
      </c>
      <c r="W3698">
        <v>0.13882510000000001</v>
      </c>
      <c r="X3698">
        <v>0.98948760000000002</v>
      </c>
      <c r="Y3698">
        <v>-2.7364889999999999E-2</v>
      </c>
      <c r="Z3698">
        <v>1.1093159999999999E-3</v>
      </c>
      <c r="AA3698">
        <v>0.99962490000000004</v>
      </c>
      <c r="AB3698">
        <v>55</v>
      </c>
      <c r="AC3698">
        <v>19.748999999999899</v>
      </c>
      <c r="AD3698">
        <v>-1.10887610081869</v>
      </c>
      <c r="AE3698">
        <v>0.42549999999999899</v>
      </c>
      <c r="AF3698">
        <v>-0.55501208663504498</v>
      </c>
      <c r="AG3698">
        <v>-1.10887610081869</v>
      </c>
      <c r="AH3698">
        <v>19.683708388700399</v>
      </c>
      <c r="AI3698">
        <v>93.223055094298502</v>
      </c>
      <c r="AJ3698">
        <v>91.615113682277098</v>
      </c>
      <c r="AK3698">
        <v>19.722728527125099</v>
      </c>
      <c r="AL3698">
        <v>82.020134577533199</v>
      </c>
      <c r="AM3698">
        <v>87.654988292792794</v>
      </c>
      <c r="AN3698">
        <v>1.0000000169580301</v>
      </c>
    </row>
    <row r="3699" spans="1:40" x14ac:dyDescent="0.25">
      <c r="A3699" t="str">
        <f>"20190312164100637"</f>
        <v>20190312164100637</v>
      </c>
      <c r="B3699" t="str">
        <f>"1552380060629946"</f>
        <v>1552380060629946</v>
      </c>
      <c r="C3699" t="s">
        <v>40</v>
      </c>
      <c r="D3699">
        <v>5.1548499999999997</v>
      </c>
      <c r="E3699">
        <v>0.47873589999999999</v>
      </c>
      <c r="F3699" t="s">
        <v>49</v>
      </c>
      <c r="G3699">
        <v>-289.55070000000001</v>
      </c>
      <c r="H3699" s="1">
        <v>2.9037989999999998E-6</v>
      </c>
      <c r="I3699">
        <v>214.21180000000001</v>
      </c>
      <c r="J3699">
        <v>-309.23309999999998</v>
      </c>
      <c r="K3699">
        <v>1.1089039999999999</v>
      </c>
      <c r="L3699">
        <v>213.7945</v>
      </c>
      <c r="M3699">
        <v>0.99987479999999995</v>
      </c>
      <c r="N3699">
        <v>0</v>
      </c>
      <c r="O3699">
        <v>-6.9399800000000001E-3</v>
      </c>
      <c r="P3699">
        <v>0.99103129999999995</v>
      </c>
      <c r="Q3699">
        <v>0.12511349999999999</v>
      </c>
      <c r="R3699">
        <v>-4.6945140000000003E-2</v>
      </c>
      <c r="S3699">
        <v>3.0511170000000001</v>
      </c>
      <c r="T3699">
        <v>-0.16728119999999999</v>
      </c>
      <c r="U3699">
        <v>6.2393190000000001E-2</v>
      </c>
      <c r="V3699">
        <v>4.0231549999999998E-2</v>
      </c>
      <c r="W3699">
        <v>0.13915659999999999</v>
      </c>
      <c r="X3699">
        <v>0.98945280000000002</v>
      </c>
      <c r="Y3699">
        <v>-2.73323E-2</v>
      </c>
      <c r="Z3699">
        <v>1.1288330000000001E-3</v>
      </c>
      <c r="AA3699">
        <v>0.99962569999999995</v>
      </c>
      <c r="AB3699">
        <v>55</v>
      </c>
      <c r="AC3699">
        <v>19.682399999999902</v>
      </c>
      <c r="AD3699">
        <v>-1.108901096201</v>
      </c>
      <c r="AE3699">
        <v>0.417300000000011</v>
      </c>
      <c r="AF3699">
        <v>-0.55214740466802403</v>
      </c>
      <c r="AG3699">
        <v>-1.108901096201</v>
      </c>
      <c r="AH3699">
        <v>19.616790611121498</v>
      </c>
      <c r="AI3699">
        <v>93.234103715423203</v>
      </c>
      <c r="AJ3699">
        <v>91.612259938068703</v>
      </c>
      <c r="AK3699">
        <v>19.655864322848299</v>
      </c>
      <c r="AL3699">
        <v>82.000954646548806</v>
      </c>
      <c r="AM3699">
        <v>87.671613075787803</v>
      </c>
      <c r="AN3699">
        <v>0.99999999018340102</v>
      </c>
    </row>
    <row r="3700" spans="1:40" x14ac:dyDescent="0.25">
      <c r="A3700" t="str">
        <f>"20190312164100660"</f>
        <v>20190312164100660</v>
      </c>
      <c r="B3700" t="str">
        <f>"1552380060649466"</f>
        <v>1552380060649466</v>
      </c>
      <c r="C3700" t="s">
        <v>40</v>
      </c>
      <c r="D3700">
        <v>5.3531690000000003</v>
      </c>
      <c r="E3700">
        <v>0.47858899999999999</v>
      </c>
      <c r="F3700" t="s">
        <v>49</v>
      </c>
      <c r="G3700">
        <v>-289.29390000000001</v>
      </c>
      <c r="H3700" s="1">
        <v>3.0184499999999999E-6</v>
      </c>
      <c r="I3700">
        <v>214.2054</v>
      </c>
      <c r="J3700">
        <v>-308.70249999999999</v>
      </c>
      <c r="K3700">
        <v>1.1089340000000001</v>
      </c>
      <c r="L3700">
        <v>213.79060000000001</v>
      </c>
      <c r="M3700">
        <v>0.99987079999999995</v>
      </c>
      <c r="N3700">
        <v>0</v>
      </c>
      <c r="O3700">
        <v>-7.207911E-3</v>
      </c>
      <c r="P3700">
        <v>0.99089970000000005</v>
      </c>
      <c r="Q3700">
        <v>0.12604689999999999</v>
      </c>
      <c r="R3700">
        <v>-4.7225830000000003E-2</v>
      </c>
      <c r="S3700">
        <v>3.0515750000000001</v>
      </c>
      <c r="T3700">
        <v>-0.16971</v>
      </c>
      <c r="U3700">
        <v>6.2896729999999998E-2</v>
      </c>
      <c r="V3700">
        <v>4.0243670000000002E-2</v>
      </c>
      <c r="W3700">
        <v>0.14022889999999999</v>
      </c>
      <c r="X3700">
        <v>0.98930090000000004</v>
      </c>
      <c r="Y3700">
        <v>-2.7759430000000002E-2</v>
      </c>
      <c r="Z3700">
        <v>1.1717819999999999E-3</v>
      </c>
      <c r="AA3700">
        <v>0.99961390000000006</v>
      </c>
      <c r="AB3700">
        <v>55</v>
      </c>
      <c r="AC3700">
        <v>19.4085999999999</v>
      </c>
      <c r="AD3700">
        <v>-1.1089309815499999</v>
      </c>
      <c r="AE3700">
        <v>0.41479999999998501</v>
      </c>
      <c r="AF3700">
        <v>-0.55289500722958895</v>
      </c>
      <c r="AG3700">
        <v>-1.1089309815499999</v>
      </c>
      <c r="AH3700">
        <v>19.341991884436101</v>
      </c>
      <c r="AI3700">
        <v>93.279999709630502</v>
      </c>
      <c r="AJ3700">
        <v>91.637366332808895</v>
      </c>
      <c r="AK3700">
        <v>19.3816426256511</v>
      </c>
      <c r="AL3700">
        <v>81.938907954989403</v>
      </c>
      <c r="AM3700">
        <v>87.670555186730098</v>
      </c>
      <c r="AN3700">
        <v>0.99999998405554402</v>
      </c>
    </row>
    <row r="3701" spans="1:40" x14ac:dyDescent="0.25">
      <c r="A3701" t="str">
        <f>"20190312164100694"</f>
        <v>20190312164100694</v>
      </c>
      <c r="B3701" t="str">
        <f>"1552380060689479"</f>
        <v>1552380060689479</v>
      </c>
      <c r="C3701" t="s">
        <v>40</v>
      </c>
      <c r="D3701">
        <v>5.2129979999999998</v>
      </c>
      <c r="E3701">
        <v>0.47857359999999999</v>
      </c>
      <c r="F3701" t="s">
        <v>49</v>
      </c>
      <c r="G3701">
        <v>-288.69900000000001</v>
      </c>
      <c r="H3701" s="1">
        <v>3.2818699999999901E-6</v>
      </c>
      <c r="I3701">
        <v>214.20859999999999</v>
      </c>
      <c r="J3701">
        <v>-307.86149999999998</v>
      </c>
      <c r="K3701">
        <v>1.1089830000000001</v>
      </c>
      <c r="L3701">
        <v>213.7843</v>
      </c>
      <c r="M3701">
        <v>0.99986520000000001</v>
      </c>
      <c r="N3701">
        <v>0</v>
      </c>
      <c r="O3701">
        <v>-7.5934510000000002E-3</v>
      </c>
      <c r="P3701">
        <v>0.99079620000000002</v>
      </c>
      <c r="Q3701">
        <v>0.1266552</v>
      </c>
      <c r="R3701">
        <v>-4.7762989999999998E-2</v>
      </c>
      <c r="S3701">
        <v>3.0520939999999999</v>
      </c>
      <c r="T3701">
        <v>-0.16919890000000001</v>
      </c>
      <c r="U3701">
        <v>6.376648E-2</v>
      </c>
      <c r="V3701">
        <v>4.038949E-2</v>
      </c>
      <c r="W3701">
        <v>0.1410276</v>
      </c>
      <c r="X3701">
        <v>0.98918139999999999</v>
      </c>
      <c r="Y3701">
        <v>-2.842486E-2</v>
      </c>
      <c r="Z3701">
        <v>1.2078429999999999E-3</v>
      </c>
      <c r="AA3701">
        <v>0.99959520000000002</v>
      </c>
      <c r="AB3701">
        <v>55</v>
      </c>
      <c r="AC3701">
        <v>19.162499999999898</v>
      </c>
      <c r="AD3701">
        <v>-1.1089797181299901</v>
      </c>
      <c r="AE3701">
        <v>0.42429999999998802</v>
      </c>
      <c r="AF3701">
        <v>-0.56791156490953298</v>
      </c>
      <c r="AG3701">
        <v>-1.1089797181299901</v>
      </c>
      <c r="AH3701">
        <v>19.094803930972098</v>
      </c>
      <c r="AI3701">
        <v>93.322399757046199</v>
      </c>
      <c r="AJ3701">
        <v>91.703570600490593</v>
      </c>
      <c r="AK3701">
        <v>19.135409499748</v>
      </c>
      <c r="AL3701">
        <v>81.892686359538203</v>
      </c>
      <c r="AM3701">
        <v>87.661841843946306</v>
      </c>
      <c r="AN3701">
        <v>0.99999996848508899</v>
      </c>
    </row>
    <row r="3702" spans="1:40" x14ac:dyDescent="0.25">
      <c r="A3702" t="str">
        <f>"20190312164100716"</f>
        <v>20190312164100716</v>
      </c>
      <c r="B3702" t="str">
        <f>"1552380060709975"</f>
        <v>1552380060709975</v>
      </c>
      <c r="C3702" t="s">
        <v>40</v>
      </c>
      <c r="D3702">
        <v>5.1650549999999997</v>
      </c>
      <c r="E3702">
        <v>0.47847460000000003</v>
      </c>
      <c r="F3702" t="s">
        <v>49</v>
      </c>
      <c r="G3702">
        <v>-287.90010000000001</v>
      </c>
      <c r="H3702" s="1">
        <v>3.6385590000000001E-6</v>
      </c>
      <c r="I3702">
        <v>214.1885</v>
      </c>
      <c r="J3702">
        <v>-307.31970000000001</v>
      </c>
      <c r="K3702">
        <v>1.109013</v>
      </c>
      <c r="L3702">
        <v>213.7801</v>
      </c>
      <c r="M3702">
        <v>0.99986200000000003</v>
      </c>
      <c r="N3702">
        <v>0</v>
      </c>
      <c r="O3702">
        <v>-7.8188890000000007E-3</v>
      </c>
      <c r="P3702">
        <v>0.99069269999999998</v>
      </c>
      <c r="Q3702">
        <v>0.127308</v>
      </c>
      <c r="R3702">
        <v>-4.817747E-2</v>
      </c>
      <c r="S3702">
        <v>3.0524900000000001</v>
      </c>
      <c r="T3702">
        <v>-0.16958399999999901</v>
      </c>
      <c r="U3702">
        <v>6.1813350000000003E-2</v>
      </c>
      <c r="V3702">
        <v>4.0574039999999999E-2</v>
      </c>
      <c r="W3702">
        <v>0.14178389999999999</v>
      </c>
      <c r="X3702">
        <v>0.98906579999999999</v>
      </c>
      <c r="Y3702">
        <v>-2.8008269999999998E-2</v>
      </c>
      <c r="Z3702">
        <v>1.2113930000000001E-3</v>
      </c>
      <c r="AA3702">
        <v>0.99960700000000002</v>
      </c>
      <c r="AB3702">
        <v>55</v>
      </c>
      <c r="AC3702">
        <v>19.419599999999999</v>
      </c>
      <c r="AD3702">
        <v>-1.1090093614409999</v>
      </c>
      <c r="AE3702">
        <v>0.40839999999999999</v>
      </c>
      <c r="AF3702">
        <v>-0.55842314728946096</v>
      </c>
      <c r="AG3702">
        <v>-1.1090093614409999</v>
      </c>
      <c r="AH3702">
        <v>19.352725663483898</v>
      </c>
      <c r="AI3702">
        <v>93.278390333990998</v>
      </c>
      <c r="AJ3702">
        <v>91.652811837822</v>
      </c>
      <c r="AK3702">
        <v>19.3925173399758</v>
      </c>
      <c r="AL3702">
        <v>81.848914321646305</v>
      </c>
      <c r="AM3702">
        <v>87.650895915762206</v>
      </c>
      <c r="AN3702">
        <v>1.0000000418753801</v>
      </c>
    </row>
    <row r="3703" spans="1:40" x14ac:dyDescent="0.25">
      <c r="A3703" t="str">
        <f>"20190312164100739"</f>
        <v>20190312164100739</v>
      </c>
      <c r="B3703" t="str">
        <f>"1552380060729495"</f>
        <v>1552380060729495</v>
      </c>
      <c r="C3703" t="s">
        <v>40</v>
      </c>
      <c r="D3703">
        <v>5.1384489999999996</v>
      </c>
      <c r="E3703">
        <v>0.46696500000000002</v>
      </c>
      <c r="F3703" t="s">
        <v>49</v>
      </c>
      <c r="G3703">
        <v>-287.26190000000003</v>
      </c>
      <c r="H3703" s="1">
        <v>3.9222649999999998E-6</v>
      </c>
      <c r="I3703">
        <v>214.1825</v>
      </c>
      <c r="J3703">
        <v>-306.78030000000001</v>
      </c>
      <c r="K3703">
        <v>1.1090450000000001</v>
      </c>
      <c r="L3703">
        <v>213.7758</v>
      </c>
      <c r="M3703">
        <v>0.99985900000000005</v>
      </c>
      <c r="N3703">
        <v>0</v>
      </c>
      <c r="O3703">
        <v>-8.0222599999999998E-3</v>
      </c>
      <c r="P3703">
        <v>0.99066390000000004</v>
      </c>
      <c r="Q3703">
        <v>0.1274719</v>
      </c>
      <c r="R3703">
        <v>-4.8334099999999998E-2</v>
      </c>
      <c r="S3703">
        <v>3.0528559999999998</v>
      </c>
      <c r="T3703">
        <v>-0.168795</v>
      </c>
      <c r="U3703">
        <v>6.1248780000000003E-2</v>
      </c>
      <c r="V3703">
        <v>4.0521509999999997E-2</v>
      </c>
      <c r="W3703">
        <v>0.1420392</v>
      </c>
      <c r="X3703">
        <v>0.98903129999999995</v>
      </c>
      <c r="Y3703">
        <v>-2.8024569999999999E-2</v>
      </c>
      <c r="Z3703">
        <v>1.2173100000000001E-3</v>
      </c>
      <c r="AA3703">
        <v>0.99960649999999995</v>
      </c>
      <c r="AB3703">
        <v>55</v>
      </c>
      <c r="AC3703">
        <v>19.5183999999999</v>
      </c>
      <c r="AD3703">
        <v>-1.1090410777349999</v>
      </c>
      <c r="AE3703">
        <v>0.40670000000000001</v>
      </c>
      <c r="AF3703">
        <v>-0.56147367400940296</v>
      </c>
      <c r="AG3703">
        <v>-1.1090410777349999</v>
      </c>
      <c r="AH3703">
        <v>19.451735228451799</v>
      </c>
      <c r="AI3703">
        <v>93.261831555612602</v>
      </c>
      <c r="AJ3703">
        <v>91.653381632057702</v>
      </c>
      <c r="AK3703">
        <v>19.4914142174575</v>
      </c>
      <c r="AL3703">
        <v>81.834136973120195</v>
      </c>
      <c r="AM3703">
        <v>87.653852084825004</v>
      </c>
      <c r="AN3703">
        <v>1.0000000197445</v>
      </c>
    </row>
    <row r="3704" spans="1:40" x14ac:dyDescent="0.25">
      <c r="A3704" t="str">
        <f>"20190312164100761"</f>
        <v>20190312164100761</v>
      </c>
      <c r="B3704" t="str">
        <f>"1552380060749991"</f>
        <v>1552380060749991</v>
      </c>
      <c r="C3704" t="s">
        <v>40</v>
      </c>
      <c r="D3704">
        <v>5.0926220000000004</v>
      </c>
      <c r="E3704">
        <v>0.46721240000000003</v>
      </c>
      <c r="F3704" t="s">
        <v>49</v>
      </c>
      <c r="G3704">
        <v>-288.16059999999999</v>
      </c>
      <c r="H3704" s="1">
        <v>3.460901E-6</v>
      </c>
      <c r="I3704">
        <v>214.70949999999999</v>
      </c>
      <c r="J3704">
        <v>-306.22949999999997</v>
      </c>
      <c r="K3704">
        <v>1.109083</v>
      </c>
      <c r="L3704">
        <v>213.7713</v>
      </c>
      <c r="M3704">
        <v>0.99985639999999998</v>
      </c>
      <c r="N3704">
        <v>0</v>
      </c>
      <c r="O3704">
        <v>-8.2058389999999995E-3</v>
      </c>
      <c r="P3704">
        <v>0.99067249999999996</v>
      </c>
      <c r="Q3704">
        <v>0.1273002</v>
      </c>
      <c r="R3704">
        <v>-4.8607039999999997E-2</v>
      </c>
      <c r="S3704">
        <v>3.0592039999999998</v>
      </c>
      <c r="T3704">
        <v>-0.18221470000000001</v>
      </c>
      <c r="U3704">
        <v>0.15341189999999999</v>
      </c>
      <c r="V3704">
        <v>4.0603529999999999E-2</v>
      </c>
      <c r="W3704">
        <v>0.14194860000000001</v>
      </c>
      <c r="X3704">
        <v>0.9890409</v>
      </c>
      <c r="Y3704">
        <v>-5.8162119999999998E-2</v>
      </c>
      <c r="Z3704">
        <v>2.2176299999999999E-3</v>
      </c>
      <c r="AA3704">
        <v>0.99830469999999905</v>
      </c>
      <c r="AB3704">
        <v>55</v>
      </c>
      <c r="AC3704">
        <v>18.0688999999999</v>
      </c>
      <c r="AD3704">
        <v>-1.109079539099</v>
      </c>
      <c r="AE3704">
        <v>0.93819999999999404</v>
      </c>
      <c r="AF3704">
        <v>-1.0823881761990499</v>
      </c>
      <c r="AG3704">
        <v>-1.109079539099</v>
      </c>
      <c r="AH3704">
        <v>17.992984297138399</v>
      </c>
      <c r="AI3704">
        <v>93.5208749065999</v>
      </c>
      <c r="AJ3704">
        <v>93.442543380000103</v>
      </c>
      <c r="AK3704">
        <v>18.059598708307199</v>
      </c>
      <c r="AL3704">
        <v>81.839380753658801</v>
      </c>
      <c r="AM3704">
        <v>87.6491313387492</v>
      </c>
      <c r="AN3704">
        <v>0.99999997678161501</v>
      </c>
    </row>
    <row r="3705" spans="1:40" x14ac:dyDescent="0.25">
      <c r="A3705" t="str">
        <f>"20190312164100784"</f>
        <v>20190312164100784</v>
      </c>
      <c r="B3705" t="str">
        <f>"1552380060780247"</f>
        <v>1552380060780247</v>
      </c>
      <c r="C3705" t="s">
        <v>40</v>
      </c>
      <c r="D3705">
        <v>5.097893</v>
      </c>
      <c r="E3705">
        <v>0.46703539999999999</v>
      </c>
      <c r="F3705" t="s">
        <v>49</v>
      </c>
      <c r="G3705">
        <v>-287.3897</v>
      </c>
      <c r="H3705" s="1">
        <v>3.8041749999999999E-6</v>
      </c>
      <c r="I3705">
        <v>214.6978</v>
      </c>
      <c r="J3705">
        <v>-305.6848</v>
      </c>
      <c r="K3705">
        <v>1.1091139999999999</v>
      </c>
      <c r="L3705">
        <v>213.76669999999999</v>
      </c>
      <c r="M3705">
        <v>0.99985400000000002</v>
      </c>
      <c r="N3705">
        <v>0</v>
      </c>
      <c r="O3705">
        <v>-8.3685959999999903E-3</v>
      </c>
      <c r="P3705">
        <v>0.99062300000000003</v>
      </c>
      <c r="Q3705">
        <v>0.12759319999999999</v>
      </c>
      <c r="R3705">
        <v>-4.884691E-2</v>
      </c>
      <c r="S3705">
        <v>3.0587460000000002</v>
      </c>
      <c r="T3705">
        <v>-0.18006539999999999</v>
      </c>
      <c r="U3705">
        <v>0.1504211</v>
      </c>
      <c r="V3705">
        <v>4.0674120000000001E-2</v>
      </c>
      <c r="W3705">
        <v>0.14231060000000001</v>
      </c>
      <c r="X3705">
        <v>0.98898600000000003</v>
      </c>
      <c r="Y3705">
        <v>-5.7362179999999999E-2</v>
      </c>
      <c r="Z3705">
        <v>2.1779550000000001E-3</v>
      </c>
      <c r="AA3705">
        <v>0.99835099999999999</v>
      </c>
      <c r="AB3705">
        <v>55</v>
      </c>
      <c r="AC3705">
        <v>18.295099999999898</v>
      </c>
      <c r="AD3705">
        <v>-1.109110195825</v>
      </c>
      <c r="AE3705">
        <v>0.93110000000001403</v>
      </c>
      <c r="AF3705">
        <v>-1.0802288918070599</v>
      </c>
      <c r="AG3705">
        <v>-1.109110195825</v>
      </c>
      <c r="AH3705">
        <v>18.219877823066501</v>
      </c>
      <c r="AI3705">
        <v>93.477412417756995</v>
      </c>
      <c r="AJ3705">
        <v>93.393007876971396</v>
      </c>
      <c r="AK3705">
        <v>18.2855398545585</v>
      </c>
      <c r="AL3705">
        <v>81.818427146725298</v>
      </c>
      <c r="AM3705">
        <v>87.644918327348705</v>
      </c>
      <c r="AN3705">
        <v>0.99999999955306695</v>
      </c>
    </row>
    <row r="3706" spans="1:40" x14ac:dyDescent="0.25">
      <c r="A3706" t="str">
        <f>"20190312164100805"</f>
        <v>20190312164100805</v>
      </c>
      <c r="B3706" t="str">
        <f>"1552380060799766"</f>
        <v>1552380060799766</v>
      </c>
      <c r="C3706" t="s">
        <v>40</v>
      </c>
      <c r="D3706">
        <v>5.1553230000000001</v>
      </c>
      <c r="E3706">
        <v>0.46716760000000002</v>
      </c>
      <c r="F3706" t="s">
        <v>49</v>
      </c>
      <c r="G3706">
        <v>-286.45699999999999</v>
      </c>
      <c r="H3706" s="1">
        <v>4.215572E-6</v>
      </c>
      <c r="I3706">
        <v>214.71619999999999</v>
      </c>
      <c r="J3706">
        <v>-305.142</v>
      </c>
      <c r="K3706">
        <v>1.10914</v>
      </c>
      <c r="L3706">
        <v>213.7621</v>
      </c>
      <c r="M3706">
        <v>0.99985199999999996</v>
      </c>
      <c r="N3706">
        <v>0</v>
      </c>
      <c r="O3706">
        <v>-8.5129290000000007E-3</v>
      </c>
      <c r="P3706">
        <v>0.99065329999999996</v>
      </c>
      <c r="Q3706">
        <v>0.1275038</v>
      </c>
      <c r="R3706">
        <v>-4.846727E-2</v>
      </c>
      <c r="S3706">
        <v>3.0585629999999999</v>
      </c>
      <c r="T3706">
        <v>-0.17642659999999999</v>
      </c>
      <c r="U3706">
        <v>0.15104679999999901</v>
      </c>
      <c r="V3706">
        <v>4.0142499999999998E-2</v>
      </c>
      <c r="W3706">
        <v>0.142282299999999</v>
      </c>
      <c r="X3706">
        <v>0.9890118</v>
      </c>
      <c r="Y3706">
        <v>-5.7716660000000003E-2</v>
      </c>
      <c r="Z3706">
        <v>2.152658E-3</v>
      </c>
      <c r="AA3706">
        <v>0.99833070000000002</v>
      </c>
      <c r="AB3706">
        <v>54</v>
      </c>
      <c r="AC3706">
        <v>18.684999999999999</v>
      </c>
      <c r="AD3706">
        <v>-1.1091357844280001</v>
      </c>
      <c r="AE3706">
        <v>0.95409999999998196</v>
      </c>
      <c r="AF3706">
        <v>-1.1092489225165001</v>
      </c>
      <c r="AG3706">
        <v>-1.1091357844280001</v>
      </c>
      <c r="AH3706">
        <v>18.610793745622001</v>
      </c>
      <c r="AI3706">
        <v>93.404558918039299</v>
      </c>
      <c r="AJ3706">
        <v>93.410933651252705</v>
      </c>
      <c r="AK3706">
        <v>18.676783963051101</v>
      </c>
      <c r="AL3706">
        <v>81.820065347117193</v>
      </c>
      <c r="AM3706">
        <v>87.675726364580996</v>
      </c>
      <c r="AN3706">
        <v>1.0000000068693899</v>
      </c>
    </row>
    <row r="3707" spans="1:40" x14ac:dyDescent="0.25">
      <c r="A3707" t="str">
        <f>"20190312164100828"</f>
        <v>20190312164100828</v>
      </c>
      <c r="B3707" t="str">
        <f>"1552380060820263"</f>
        <v>1552380060820263</v>
      </c>
      <c r="C3707" t="s">
        <v>40</v>
      </c>
      <c r="D3707">
        <v>5.1377079999999999</v>
      </c>
      <c r="E3707">
        <v>0.46699499999999999</v>
      </c>
      <c r="F3707" t="s">
        <v>49</v>
      </c>
      <c r="G3707">
        <v>-285.80889999999999</v>
      </c>
      <c r="H3707" s="1">
        <v>4.5031600000000001E-6</v>
      </c>
      <c r="I3707">
        <v>214.715</v>
      </c>
      <c r="J3707">
        <v>-304.6035</v>
      </c>
      <c r="K3707">
        <v>1.1091610000000001</v>
      </c>
      <c r="L3707">
        <v>213.75739999999999</v>
      </c>
      <c r="M3707">
        <v>0.99985020000000002</v>
      </c>
      <c r="N3707">
        <v>0</v>
      </c>
      <c r="O3707">
        <v>-8.6400379999999992E-3</v>
      </c>
      <c r="P3707">
        <v>0.99073089999999997</v>
      </c>
      <c r="Q3707">
        <v>0.12707460000000001</v>
      </c>
      <c r="R3707">
        <v>-4.8007830000000001E-2</v>
      </c>
      <c r="S3707">
        <v>3.0582579999999999</v>
      </c>
      <c r="T3707">
        <v>-0.17545150000000001</v>
      </c>
      <c r="U3707">
        <v>0.1507416</v>
      </c>
      <c r="V3707">
        <v>3.9547539999999999E-2</v>
      </c>
      <c r="W3707">
        <v>0.14190659999999999</v>
      </c>
      <c r="X3707">
        <v>0.98908969999999896</v>
      </c>
      <c r="Y3707">
        <v>-5.7750030000000001E-2</v>
      </c>
      <c r="Z3707">
        <v>2.149237E-3</v>
      </c>
      <c r="AA3707">
        <v>0.99832869999999996</v>
      </c>
      <c r="AB3707">
        <v>54</v>
      </c>
      <c r="AC3707">
        <v>18.794599999999999</v>
      </c>
      <c r="AD3707">
        <v>-1.1091564968400001</v>
      </c>
      <c r="AE3707">
        <v>0.957600000000013</v>
      </c>
      <c r="AF3707">
        <v>-1.11609159437259</v>
      </c>
      <c r="AG3707">
        <v>-1.1091564968400001</v>
      </c>
      <c r="AH3707">
        <v>18.720593779256902</v>
      </c>
      <c r="AI3707">
        <v>93.384696919371393</v>
      </c>
      <c r="AJ3707">
        <v>93.411843451307703</v>
      </c>
      <c r="AK3707">
        <v>18.786604803142598</v>
      </c>
      <c r="AL3707">
        <v>81.841811671219702</v>
      </c>
      <c r="AM3707">
        <v>87.710318098097503</v>
      </c>
      <c r="AN3707">
        <v>0.99999996284484904</v>
      </c>
    </row>
    <row r="3708" spans="1:40" x14ac:dyDescent="0.25">
      <c r="A3708" t="str">
        <f>"20190312164100849"</f>
        <v>20190312164100849</v>
      </c>
      <c r="B3708" t="str">
        <f>"1552380060839783"</f>
        <v>1552380060839783</v>
      </c>
      <c r="C3708" t="s">
        <v>40</v>
      </c>
      <c r="D3708">
        <v>5.1554789999999997</v>
      </c>
      <c r="E3708">
        <v>0.46680120000000003</v>
      </c>
      <c r="F3708" t="s">
        <v>49</v>
      </c>
      <c r="G3708">
        <v>-285.16989999999998</v>
      </c>
      <c r="H3708" s="1">
        <v>4.78419E-6</v>
      </c>
      <c r="I3708">
        <v>214.7346</v>
      </c>
      <c r="J3708">
        <v>-304.07150000000001</v>
      </c>
      <c r="K3708">
        <v>1.1091899999999999</v>
      </c>
      <c r="L3708">
        <v>213.7527</v>
      </c>
      <c r="M3708">
        <v>0.99984839999999997</v>
      </c>
      <c r="N3708">
        <v>0</v>
      </c>
      <c r="O3708">
        <v>-8.7499329999999997E-3</v>
      </c>
      <c r="P3708">
        <v>0.99072899999999997</v>
      </c>
      <c r="Q3708">
        <v>0.12709780000000001</v>
      </c>
      <c r="R3708">
        <v>-4.797912E-2</v>
      </c>
      <c r="S3708">
        <v>3.0578609999999999</v>
      </c>
      <c r="T3708">
        <v>-0.1745244</v>
      </c>
      <c r="U3708">
        <v>0.15376280000000001</v>
      </c>
      <c r="V3708">
        <v>3.9401779999999997E-2</v>
      </c>
      <c r="W3708">
        <v>0.14197460000000001</v>
      </c>
      <c r="X3708">
        <v>0.98908580000000001</v>
      </c>
      <c r="Y3708">
        <v>-5.8849199999999997E-2</v>
      </c>
      <c r="Z3708">
        <v>2.1757109999999999E-3</v>
      </c>
      <c r="AA3708">
        <v>0.9982645</v>
      </c>
      <c r="AB3708">
        <v>54</v>
      </c>
      <c r="AC3708">
        <v>18.901599999999998</v>
      </c>
      <c r="AD3708">
        <v>-1.10918521581</v>
      </c>
      <c r="AE3708">
        <v>0.981899999999996</v>
      </c>
      <c r="AF3708">
        <v>-1.14334227764694</v>
      </c>
      <c r="AG3708">
        <v>-1.10918521581</v>
      </c>
      <c r="AH3708">
        <v>18.8276236622814</v>
      </c>
      <c r="AI3708">
        <v>93.365363988971097</v>
      </c>
      <c r="AJ3708">
        <v>93.475124602577395</v>
      </c>
      <c r="AK3708">
        <v>18.894891801101299</v>
      </c>
      <c r="AL3708">
        <v>81.837876041523899</v>
      </c>
      <c r="AM3708">
        <v>87.718739239429198</v>
      </c>
      <c r="AN3708">
        <v>1.00000000353698</v>
      </c>
    </row>
    <row r="3709" spans="1:40" x14ac:dyDescent="0.25">
      <c r="A3709" t="str">
        <f>"20190312164100871"</f>
        <v>20190312164100871</v>
      </c>
      <c r="B3709" t="str">
        <f>"1552380060860279"</f>
        <v>1552380060860279</v>
      </c>
      <c r="C3709" t="s">
        <v>40</v>
      </c>
      <c r="D3709">
        <v>5.1660029999999999</v>
      </c>
      <c r="E3709">
        <v>0.46676269999999997</v>
      </c>
      <c r="F3709" t="s">
        <v>49</v>
      </c>
      <c r="G3709">
        <v>-284.77629999999999</v>
      </c>
      <c r="H3709" s="1">
        <v>4.9589909999999998E-6</v>
      </c>
      <c r="I3709">
        <v>214.73240000000001</v>
      </c>
      <c r="J3709">
        <v>-303.54199999999997</v>
      </c>
      <c r="K3709">
        <v>1.1092200000000001</v>
      </c>
      <c r="L3709">
        <v>213.74809999999999</v>
      </c>
      <c r="M3709">
        <v>0.99984709999999999</v>
      </c>
      <c r="N3709">
        <v>0</v>
      </c>
      <c r="O3709">
        <v>-8.8439279999999992E-3</v>
      </c>
      <c r="P3709">
        <v>0.99071719999999996</v>
      </c>
      <c r="Q3709">
        <v>0.127029</v>
      </c>
      <c r="R3709">
        <v>-4.8406619999999997E-2</v>
      </c>
      <c r="S3709">
        <v>3.0581670000000001</v>
      </c>
      <c r="T3709">
        <v>-0.1757985</v>
      </c>
      <c r="U3709">
        <v>0.15527340000000001</v>
      </c>
      <c r="V3709">
        <v>3.9727810000000002E-2</v>
      </c>
      <c r="W3709">
        <v>0.1419434</v>
      </c>
      <c r="X3709">
        <v>0.98907719999999999</v>
      </c>
      <c r="Y3709">
        <v>-5.9427199999999902E-2</v>
      </c>
      <c r="Z3709">
        <v>2.2133090000000001E-3</v>
      </c>
      <c r="AA3709">
        <v>0.99823019999999996</v>
      </c>
      <c r="AB3709">
        <v>54</v>
      </c>
      <c r="AC3709">
        <v>18.765699999999999</v>
      </c>
      <c r="AD3709">
        <v>-1.109215041009</v>
      </c>
      <c r="AE3709">
        <v>0.98430000000001805</v>
      </c>
      <c r="AF3709">
        <v>-1.1462490698805601</v>
      </c>
      <c r="AG3709">
        <v>-1.109215041009</v>
      </c>
      <c r="AH3709">
        <v>18.691135362973</v>
      </c>
      <c r="AI3709">
        <v>93.389849565423305</v>
      </c>
      <c r="AJ3709">
        <v>93.509315314537403</v>
      </c>
      <c r="AK3709">
        <v>18.759072101103101</v>
      </c>
      <c r="AL3709">
        <v>81.839681664152494</v>
      </c>
      <c r="AM3709">
        <v>87.699863161923005</v>
      </c>
      <c r="AN3709">
        <v>0.999999967625397</v>
      </c>
    </row>
    <row r="3710" spans="1:40" x14ac:dyDescent="0.25">
      <c r="A3710" t="str">
        <f>"20190312164100894"</f>
        <v>20190312164100894</v>
      </c>
      <c r="B3710" t="str">
        <f>"1552380060889560"</f>
        <v>1552380060889560</v>
      </c>
      <c r="C3710" t="s">
        <v>40</v>
      </c>
      <c r="D3710">
        <v>5.1383029999999996</v>
      </c>
      <c r="E3710">
        <v>0.46668120000000002</v>
      </c>
      <c r="F3710" t="s">
        <v>49</v>
      </c>
      <c r="G3710">
        <v>-284.3777</v>
      </c>
      <c r="H3710" s="1">
        <v>5.1375030000000002E-6</v>
      </c>
      <c r="I3710">
        <v>214.7176</v>
      </c>
      <c r="J3710">
        <v>-302.9803</v>
      </c>
      <c r="K3710">
        <v>1.1092599999999999</v>
      </c>
      <c r="L3710">
        <v>213.74299999999999</v>
      </c>
      <c r="M3710">
        <v>0.99984600000000001</v>
      </c>
      <c r="N3710">
        <v>0</v>
      </c>
      <c r="O3710">
        <v>-8.9255619999999997E-3</v>
      </c>
      <c r="P3710">
        <v>0.99065179999999997</v>
      </c>
      <c r="Q3710">
        <v>0.12750029999999901</v>
      </c>
      <c r="R3710">
        <v>-4.8507130000000002E-2</v>
      </c>
      <c r="S3710">
        <v>3.0583800000000001</v>
      </c>
      <c r="T3710">
        <v>-0.1770166</v>
      </c>
      <c r="U3710">
        <v>0.1547241</v>
      </c>
      <c r="V3710">
        <v>3.9738999999999997E-2</v>
      </c>
      <c r="W3710">
        <v>0.14244889999999999</v>
      </c>
      <c r="X3710">
        <v>0.98900410000000005</v>
      </c>
      <c r="Y3710">
        <v>-5.9324830000000002E-2</v>
      </c>
      <c r="Z3710">
        <v>2.2302340000000002E-3</v>
      </c>
      <c r="AA3710">
        <v>0.99823620000000002</v>
      </c>
      <c r="AB3710">
        <v>54</v>
      </c>
      <c r="AC3710">
        <v>18.602599999999899</v>
      </c>
      <c r="AD3710">
        <v>-1.109254862497</v>
      </c>
      <c r="AE3710">
        <v>0.97460000000000901</v>
      </c>
      <c r="AF3710">
        <v>-1.1365885709071799</v>
      </c>
      <c r="AG3710">
        <v>-1.109254862497</v>
      </c>
      <c r="AH3710">
        <v>18.5274626731339</v>
      </c>
      <c r="AI3710">
        <v>93.419843174654702</v>
      </c>
      <c r="AJ3710">
        <v>93.510476383413703</v>
      </c>
      <c r="AK3710">
        <v>18.595406772476299</v>
      </c>
      <c r="AL3710">
        <v>81.810421530844806</v>
      </c>
      <c r="AM3710">
        <v>87.699046111718701</v>
      </c>
      <c r="AN3710">
        <v>0.99999999352450997</v>
      </c>
    </row>
    <row r="3711" spans="1:40" x14ac:dyDescent="0.25">
      <c r="A3711" t="str">
        <f>"20190312164100917"</f>
        <v>20190312164100917</v>
      </c>
      <c r="B3711" t="str">
        <f>"1552380060910058"</f>
        <v>1552380060910058</v>
      </c>
      <c r="C3711" t="s">
        <v>40</v>
      </c>
      <c r="D3711">
        <v>5.1583410000000001</v>
      </c>
      <c r="E3711">
        <v>0.46672570000000002</v>
      </c>
      <c r="F3711" t="s">
        <v>49</v>
      </c>
      <c r="G3711">
        <v>-283.87419999999997</v>
      </c>
      <c r="H3711" s="1">
        <v>5.3612980000000002E-6</v>
      </c>
      <c r="I3711">
        <v>214.71340000000001</v>
      </c>
      <c r="J3711">
        <v>-302.42840000000001</v>
      </c>
      <c r="K3711">
        <v>1.1092949999999999</v>
      </c>
      <c r="L3711">
        <v>213.7381</v>
      </c>
      <c r="M3711">
        <v>0.99984499999999998</v>
      </c>
      <c r="N3711">
        <v>0</v>
      </c>
      <c r="O3711">
        <v>-8.9867560000000003E-3</v>
      </c>
      <c r="P3711">
        <v>0.99062930000000005</v>
      </c>
      <c r="Q3711">
        <v>0.1276101</v>
      </c>
      <c r="R3711">
        <v>-4.8682370000000003E-2</v>
      </c>
      <c r="S3711">
        <v>3.0587770000000001</v>
      </c>
      <c r="T3711">
        <v>-0.1775852</v>
      </c>
      <c r="U3711">
        <v>0.15534970000000001</v>
      </c>
      <c r="V3711">
        <v>3.98441E-2</v>
      </c>
      <c r="W3711">
        <v>0.14258770000000001</v>
      </c>
      <c r="X3711">
        <v>0.98897990000000002</v>
      </c>
      <c r="Y3711">
        <v>-5.9581799999999997E-2</v>
      </c>
      <c r="Z3711">
        <v>2.2480830000000001E-3</v>
      </c>
      <c r="AA3711">
        <v>0.99822089999999997</v>
      </c>
      <c r="AB3711">
        <v>54</v>
      </c>
      <c r="AC3711">
        <v>18.554200000000002</v>
      </c>
      <c r="AD3711">
        <v>-1.1092896387019999</v>
      </c>
      <c r="AE3711">
        <v>0.97530000000000405</v>
      </c>
      <c r="AF3711">
        <v>-1.1379654308539899</v>
      </c>
      <c r="AG3711">
        <v>-1.1092896387019999</v>
      </c>
      <c r="AH3711">
        <v>18.478815762926001</v>
      </c>
      <c r="AI3711">
        <v>93.4288825302406</v>
      </c>
      <c r="AJ3711">
        <v>93.523947791338699</v>
      </c>
      <c r="AK3711">
        <v>18.547024581439299</v>
      </c>
      <c r="AL3711">
        <v>81.802387107843302</v>
      </c>
      <c r="AM3711">
        <v>87.692910823189493</v>
      </c>
      <c r="AN3711">
        <v>1.0000000235500499</v>
      </c>
    </row>
    <row r="3712" spans="1:40" x14ac:dyDescent="0.25">
      <c r="A3712" t="str">
        <f>"20190312164100939"</f>
        <v>20190312164100939</v>
      </c>
      <c r="B3712" t="str">
        <f>"1552380060929575"</f>
        <v>1552380060929575</v>
      </c>
      <c r="C3712" t="s">
        <v>40</v>
      </c>
      <c r="D3712">
        <v>5.160679</v>
      </c>
      <c r="E3712">
        <v>0.46674599999999999</v>
      </c>
      <c r="F3712" t="s">
        <v>49</v>
      </c>
      <c r="G3712">
        <v>-283.32530000000003</v>
      </c>
      <c r="H3712" s="1">
        <v>5.6058499999999999E-6</v>
      </c>
      <c r="I3712">
        <v>214.7037</v>
      </c>
      <c r="J3712">
        <v>-301.90859999999998</v>
      </c>
      <c r="K3712">
        <v>1.109329</v>
      </c>
      <c r="L3712">
        <v>213.73339999999999</v>
      </c>
      <c r="M3712">
        <v>0.99984430000000002</v>
      </c>
      <c r="N3712">
        <v>0</v>
      </c>
      <c r="O3712">
        <v>-9.0289970000000004E-3</v>
      </c>
      <c r="P3712">
        <v>0.99066730000000003</v>
      </c>
      <c r="Q3712">
        <v>0.12726680000000001</v>
      </c>
      <c r="R3712">
        <v>-4.8801839999999999E-2</v>
      </c>
      <c r="S3712">
        <v>3.0588679999999999</v>
      </c>
      <c r="T3712">
        <v>-0.17762459999999999</v>
      </c>
      <c r="U3712">
        <v>0.15461730000000001</v>
      </c>
      <c r="V3712">
        <v>3.9912759999999999E-2</v>
      </c>
      <c r="W3712">
        <v>0.1422686</v>
      </c>
      <c r="X3712">
        <v>0.98902310000000004</v>
      </c>
      <c r="Y3712">
        <v>-5.9384260000000001E-2</v>
      </c>
      <c r="Z3712">
        <v>2.2452489999999999E-3</v>
      </c>
      <c r="AA3712">
        <v>0.99823269999999997</v>
      </c>
      <c r="AB3712">
        <v>54</v>
      </c>
      <c r="AC3712">
        <v>18.583299999999898</v>
      </c>
      <c r="AD3712">
        <v>-1.10932339415</v>
      </c>
      <c r="AE3712">
        <v>0.97030000000000804</v>
      </c>
      <c r="AF3712">
        <v>-1.13403818467482</v>
      </c>
      <c r="AG3712">
        <v>-1.10932339415</v>
      </c>
      <c r="AH3712">
        <v>18.508007441611099</v>
      </c>
      <c r="AI3712">
        <v>93.423655793843807</v>
      </c>
      <c r="AJ3712">
        <v>93.506291572358407</v>
      </c>
      <c r="AK3712">
        <v>18.5758709205206</v>
      </c>
      <c r="AL3712">
        <v>81.820858620039104</v>
      </c>
      <c r="AM3712">
        <v>87.689040353112205</v>
      </c>
      <c r="AN3712">
        <v>1.0000000376451901</v>
      </c>
    </row>
    <row r="3713" spans="1:40" x14ac:dyDescent="0.25">
      <c r="A3713" t="str">
        <f>"20190312164100961"</f>
        <v>20190312164100961</v>
      </c>
      <c r="B3713" t="str">
        <f>"1552380060950071"</f>
        <v>1552380060950071</v>
      </c>
      <c r="C3713" t="s">
        <v>40</v>
      </c>
      <c r="D3713">
        <v>5.163894</v>
      </c>
      <c r="E3713">
        <v>0.46757929999999998</v>
      </c>
      <c r="F3713" t="s">
        <v>49</v>
      </c>
      <c r="G3713">
        <v>-282.84120000000001</v>
      </c>
      <c r="H3713" s="1">
        <v>5.8218459999999999E-6</v>
      </c>
      <c r="I3713">
        <v>214.6926</v>
      </c>
      <c r="J3713">
        <v>-301.35629999999998</v>
      </c>
      <c r="K3713">
        <v>1.1093569999999999</v>
      </c>
      <c r="L3713">
        <v>213.72839999999999</v>
      </c>
      <c r="M3713">
        <v>0.99984379999999995</v>
      </c>
      <c r="N3713">
        <v>0</v>
      </c>
      <c r="O3713">
        <v>-9.0613519999999999E-3</v>
      </c>
      <c r="P3713">
        <v>0.9907089</v>
      </c>
      <c r="Q3713">
        <v>0.1270413</v>
      </c>
      <c r="R3713">
        <v>-4.854634E-2</v>
      </c>
      <c r="S3713">
        <v>3.0586850000000001</v>
      </c>
      <c r="T3713">
        <v>-0.17795159999999999</v>
      </c>
      <c r="U3713">
        <v>0.1538696</v>
      </c>
      <c r="V3713">
        <v>3.9616329999999998E-2</v>
      </c>
      <c r="W3713">
        <v>0.1420652</v>
      </c>
      <c r="X3713">
        <v>0.98906419999999995</v>
      </c>
      <c r="Y3713">
        <v>-5.9176050000000001E-2</v>
      </c>
      <c r="Z3713">
        <v>2.245356E-3</v>
      </c>
      <c r="AA3713">
        <v>0.9982451</v>
      </c>
      <c r="AB3713">
        <v>54</v>
      </c>
      <c r="AC3713">
        <v>18.515099999999901</v>
      </c>
      <c r="AD3713">
        <v>-1.109351178154</v>
      </c>
      <c r="AE3713">
        <v>0.96420000000000505</v>
      </c>
      <c r="AF3713">
        <v>-1.1279133850202501</v>
      </c>
      <c r="AG3713">
        <v>-1.109351178154</v>
      </c>
      <c r="AH3713">
        <v>18.439583950265899</v>
      </c>
      <c r="AI3713">
        <v>93.436437286586596</v>
      </c>
      <c r="AJ3713">
        <v>93.500309923029903</v>
      </c>
      <c r="AK3713">
        <v>18.507325709012701</v>
      </c>
      <c r="AL3713">
        <v>81.832631720808493</v>
      </c>
      <c r="AM3713">
        <v>87.706280545095694</v>
      </c>
      <c r="AN3713">
        <v>0.99999998318767402</v>
      </c>
    </row>
    <row r="3714" spans="1:40" x14ac:dyDescent="0.25">
      <c r="A3714" t="str">
        <f>"20190312164100985"</f>
        <v>20190312164100985</v>
      </c>
      <c r="B3714" t="str">
        <f>"1552380060980327"</f>
        <v>1552380060980327</v>
      </c>
      <c r="C3714" t="s">
        <v>40</v>
      </c>
      <c r="D3714">
        <v>5.1898080000000002</v>
      </c>
      <c r="E3714">
        <v>0.46322249999999998</v>
      </c>
      <c r="F3714" t="s">
        <v>48</v>
      </c>
      <c r="G3714">
        <v>-272.50729999999999</v>
      </c>
      <c r="H3714" s="1">
        <v>-2.232526E-7</v>
      </c>
      <c r="I3714">
        <v>215.09</v>
      </c>
      <c r="J3714">
        <v>-300.8107</v>
      </c>
      <c r="K3714">
        <v>1.109381</v>
      </c>
      <c r="L3714">
        <v>213.7234</v>
      </c>
      <c r="M3714">
        <v>0.99984329999999999</v>
      </c>
      <c r="N3714">
        <v>0</v>
      </c>
      <c r="O3714">
        <v>-9.0836200000000006E-3</v>
      </c>
      <c r="P3714">
        <v>0.99070760000000002</v>
      </c>
      <c r="Q3714">
        <v>0.127134199999999</v>
      </c>
      <c r="R3714">
        <v>-4.8326220000000003E-2</v>
      </c>
      <c r="S3714">
        <v>3.0502319999999998</v>
      </c>
      <c r="T3714">
        <v>-0.11729340000000001</v>
      </c>
      <c r="U3714">
        <v>0.1439667</v>
      </c>
      <c r="V3714">
        <v>3.936717E-2</v>
      </c>
      <c r="W3714">
        <v>0.14217560000000001</v>
      </c>
      <c r="X3714">
        <v>0.98905829999999995</v>
      </c>
      <c r="Y3714">
        <v>-5.6170610000000003E-2</v>
      </c>
      <c r="Z3714">
        <v>1.428024E-3</v>
      </c>
      <c r="AA3714">
        <v>0.99842019999999998</v>
      </c>
      <c r="AB3714">
        <v>54</v>
      </c>
      <c r="AC3714">
        <v>28.3034</v>
      </c>
      <c r="AD3714">
        <v>-1.1093812232525999</v>
      </c>
      <c r="AE3714">
        <v>1.3666</v>
      </c>
      <c r="AF3714">
        <v>-1.6211857353203301</v>
      </c>
      <c r="AG3714">
        <v>-1.1093812232525999</v>
      </c>
      <c r="AH3714">
        <v>28.246521877980001</v>
      </c>
      <c r="AI3714">
        <v>92.245442382258702</v>
      </c>
      <c r="AJ3714">
        <v>93.28484013357</v>
      </c>
      <c r="AK3714">
        <v>28.3147482434529</v>
      </c>
      <c r="AL3714">
        <v>81.826241523264201</v>
      </c>
      <c r="AM3714">
        <v>87.720677648086095</v>
      </c>
      <c r="AN3714">
        <v>0.99999999805402895</v>
      </c>
    </row>
    <row r="3715" spans="1:40" x14ac:dyDescent="0.25">
      <c r="A3715" t="str">
        <f>"20190312164101007"</f>
        <v>20190312164101007</v>
      </c>
      <c r="B3715" t="str">
        <f>"1552380060999847"</f>
        <v>1552380060999847</v>
      </c>
      <c r="C3715" t="s">
        <v>40</v>
      </c>
      <c r="D3715">
        <v>5.3833089999999997</v>
      </c>
      <c r="E3715">
        <v>0.45275339999999997</v>
      </c>
      <c r="F3715" t="s">
        <v>48</v>
      </c>
      <c r="G3715">
        <v>-270.28919999999999</v>
      </c>
      <c r="H3715" s="1">
        <v>-1.4222530000000001E-6</v>
      </c>
      <c r="I3715">
        <v>215.51750000000001</v>
      </c>
      <c r="J3715">
        <v>-300.25450000000001</v>
      </c>
      <c r="K3715">
        <v>1.10941</v>
      </c>
      <c r="L3715">
        <v>213.7184</v>
      </c>
      <c r="M3715">
        <v>0.99984280000000003</v>
      </c>
      <c r="N3715">
        <v>0</v>
      </c>
      <c r="O3715">
        <v>-9.0964849999999996E-3</v>
      </c>
      <c r="P3715">
        <v>0.99067050000000001</v>
      </c>
      <c r="Q3715">
        <v>0.12741820000000001</v>
      </c>
      <c r="R3715">
        <v>-4.8335009999999998E-2</v>
      </c>
      <c r="S3715">
        <v>3.0511170000000001</v>
      </c>
      <c r="T3715">
        <v>-0.110901</v>
      </c>
      <c r="U3715">
        <v>0.17935179999999901</v>
      </c>
      <c r="V3715">
        <v>3.9357259999999998E-2</v>
      </c>
      <c r="W3715">
        <v>0.1424744</v>
      </c>
      <c r="X3715">
        <v>0.98901570000000005</v>
      </c>
      <c r="Y3715">
        <v>-6.7709950000000005E-2</v>
      </c>
      <c r="Z3715">
        <v>1.5593829999999999E-3</v>
      </c>
      <c r="AA3715">
        <v>0.99770389999999998</v>
      </c>
      <c r="AB3715">
        <v>54</v>
      </c>
      <c r="AC3715">
        <v>29.965299999999999</v>
      </c>
      <c r="AD3715">
        <v>-1.109411422253</v>
      </c>
      <c r="AE3715">
        <v>1.7991000000000099</v>
      </c>
      <c r="AF3715">
        <v>-2.06881045351422</v>
      </c>
      <c r="AG3715">
        <v>-1.109411422253</v>
      </c>
      <c r="AH3715">
        <v>29.906845949797901</v>
      </c>
      <c r="AI3715">
        <v>92.119385188389799</v>
      </c>
      <c r="AJ3715">
        <v>93.957140079280407</v>
      </c>
      <c r="AK3715">
        <v>29.998836728468898</v>
      </c>
      <c r="AL3715">
        <v>81.808945500226898</v>
      </c>
      <c r="AM3715">
        <v>87.721152773498503</v>
      </c>
      <c r="AN3715">
        <v>1.00000000170827</v>
      </c>
    </row>
    <row r="3716" spans="1:40" x14ac:dyDescent="0.25">
      <c r="A3716" t="str">
        <f>"20190312164101029"</f>
        <v>20190312164101029</v>
      </c>
      <c r="B3716" t="str">
        <f>"1552380061020348"</f>
        <v>1552380061020348</v>
      </c>
      <c r="C3716" t="s">
        <v>40</v>
      </c>
      <c r="D3716">
        <v>5.2271650000000003</v>
      </c>
      <c r="E3716">
        <v>0.45269860000000001</v>
      </c>
      <c r="F3716" t="s">
        <v>48</v>
      </c>
      <c r="G3716">
        <v>-275.9873</v>
      </c>
      <c r="H3716" s="1">
        <v>1.5968779999999999E-6</v>
      </c>
      <c r="I3716">
        <v>215.8169</v>
      </c>
      <c r="J3716">
        <v>-299.73719999999997</v>
      </c>
      <c r="K3716">
        <v>1.1094329999999999</v>
      </c>
      <c r="L3716">
        <v>213.71360000000001</v>
      </c>
      <c r="M3716">
        <v>0.99984280000000003</v>
      </c>
      <c r="N3716">
        <v>0</v>
      </c>
      <c r="O3716">
        <v>-9.094062E-3</v>
      </c>
      <c r="P3716">
        <v>0.99066659999999995</v>
      </c>
      <c r="Q3716">
        <v>0.12756680000000001</v>
      </c>
      <c r="R3716">
        <v>-4.8028099999999997E-2</v>
      </c>
      <c r="S3716">
        <v>3.0591430000000002</v>
      </c>
      <c r="T3716">
        <v>-0.13985259999999999</v>
      </c>
      <c r="U3716">
        <v>0.26454159999999999</v>
      </c>
      <c r="V3716">
        <v>3.9046160000000003E-2</v>
      </c>
      <c r="W3716">
        <v>0.14263439999999999</v>
      </c>
      <c r="X3716">
        <v>0.98900500000000002</v>
      </c>
      <c r="Y3716">
        <v>-9.5103889999999996E-2</v>
      </c>
      <c r="Z3716">
        <v>2.583564E-3</v>
      </c>
      <c r="AA3716">
        <v>0.99546400000000002</v>
      </c>
      <c r="AB3716">
        <v>54</v>
      </c>
      <c r="AC3716">
        <v>23.749899999999901</v>
      </c>
      <c r="AD3716">
        <v>-1.1094314031219901</v>
      </c>
      <c r="AE3716">
        <v>2.10329999999998</v>
      </c>
      <c r="AF3716">
        <v>-2.3142105182995101</v>
      </c>
      <c r="AG3716">
        <v>-1.1094314031219901</v>
      </c>
      <c r="AH3716">
        <v>23.678520778661198</v>
      </c>
      <c r="AI3716">
        <v>92.669867224628902</v>
      </c>
      <c r="AJ3716">
        <v>95.582051218198899</v>
      </c>
      <c r="AK3716">
        <v>23.817194516288598</v>
      </c>
      <c r="AL3716">
        <v>81.799683836258495</v>
      </c>
      <c r="AM3716">
        <v>87.739122751230099</v>
      </c>
      <c r="AN3716">
        <v>1.0000000323495499</v>
      </c>
    </row>
    <row r="3717" spans="1:40" x14ac:dyDescent="0.25">
      <c r="A3717" t="str">
        <f>"20190312164101050"</f>
        <v>20190312164101050</v>
      </c>
      <c r="B3717" t="str">
        <f>"1552380061039863"</f>
        <v>1552380061039863</v>
      </c>
      <c r="C3717" t="s">
        <v>40</v>
      </c>
      <c r="D3717">
        <v>5.2871880000000004</v>
      </c>
      <c r="E3717">
        <v>0.45328570000000001</v>
      </c>
      <c r="F3717" t="s">
        <v>48</v>
      </c>
      <c r="G3717">
        <v>-277.55590000000001</v>
      </c>
      <c r="H3717" s="1">
        <v>2.439029E-6</v>
      </c>
      <c r="I3717">
        <v>215.64750000000001</v>
      </c>
      <c r="J3717">
        <v>-299.2133</v>
      </c>
      <c r="K3717">
        <v>1.109461</v>
      </c>
      <c r="L3717">
        <v>213.7089</v>
      </c>
      <c r="M3717">
        <v>0.99984280000000003</v>
      </c>
      <c r="N3717">
        <v>0</v>
      </c>
      <c r="O3717">
        <v>-9.0692410000000005E-3</v>
      </c>
      <c r="P3717">
        <v>0.99061770000000005</v>
      </c>
      <c r="Q3717">
        <v>0.1279805</v>
      </c>
      <c r="R3717">
        <v>-4.7934560000000001E-2</v>
      </c>
      <c r="S3717">
        <v>3.060883</v>
      </c>
      <c r="T3717">
        <v>-0.15309489999999901</v>
      </c>
      <c r="U3717">
        <v>0.26686100000000001</v>
      </c>
      <c r="V3717">
        <v>3.8969339999999998E-2</v>
      </c>
      <c r="W3717">
        <v>0.1430582</v>
      </c>
      <c r="X3717">
        <v>0.98894680000000001</v>
      </c>
      <c r="Y3717">
        <v>-9.5757209999999995E-2</v>
      </c>
      <c r="Z3717">
        <v>2.8412709999999998E-3</v>
      </c>
      <c r="AA3717">
        <v>0.99540070000000003</v>
      </c>
      <c r="AB3717">
        <v>54</v>
      </c>
      <c r="AC3717">
        <v>21.657399999999999</v>
      </c>
      <c r="AD3717">
        <v>-1.1094585609709999</v>
      </c>
      <c r="AE3717">
        <v>1.9386000000000001</v>
      </c>
      <c r="AF3717">
        <v>-2.1294154789192299</v>
      </c>
      <c r="AG3717">
        <v>-1.1094585609709999</v>
      </c>
      <c r="AH3717">
        <v>21.5827365781347</v>
      </c>
      <c r="AI3717">
        <v>92.928499940037995</v>
      </c>
      <c r="AJ3717">
        <v>95.634731726842205</v>
      </c>
      <c r="AK3717">
        <v>21.715888809383902</v>
      </c>
      <c r="AL3717">
        <v>81.775150152748694</v>
      </c>
      <c r="AM3717">
        <v>87.743433577749798</v>
      </c>
      <c r="AN3717">
        <v>1.0000000156387501</v>
      </c>
    </row>
    <row r="3718" spans="1:40" x14ac:dyDescent="0.25">
      <c r="A3718" t="str">
        <f>"20190312164101073"</f>
        <v>20190312164101073</v>
      </c>
      <c r="B3718" t="str">
        <f>"1552380061070119"</f>
        <v>1552380061070119</v>
      </c>
      <c r="C3718" t="s">
        <v>40</v>
      </c>
      <c r="D3718">
        <v>5.2541370000000001</v>
      </c>
      <c r="E3718">
        <v>0.45351760000000002</v>
      </c>
      <c r="F3718" t="s">
        <v>48</v>
      </c>
      <c r="G3718">
        <v>-277.49180000000001</v>
      </c>
      <c r="H3718" s="1">
        <v>2.4081179999999999E-6</v>
      </c>
      <c r="I3718">
        <v>215.5736</v>
      </c>
      <c r="J3718">
        <v>-298.6764</v>
      </c>
      <c r="K3718">
        <v>1.1094949999999999</v>
      </c>
      <c r="L3718">
        <v>213.70400000000001</v>
      </c>
      <c r="M3718">
        <v>0.99984309999999998</v>
      </c>
      <c r="N3718">
        <v>0</v>
      </c>
      <c r="O3718">
        <v>-9.0150730000000002E-3</v>
      </c>
      <c r="P3718">
        <v>0.99057879999999998</v>
      </c>
      <c r="Q3718">
        <v>0.12815219999999999</v>
      </c>
      <c r="R3718">
        <v>-4.8278120000000001E-2</v>
      </c>
      <c r="S3718">
        <v>3.06134</v>
      </c>
      <c r="T3718">
        <v>-0.1563628</v>
      </c>
      <c r="U3718">
        <v>0.26280209999999998</v>
      </c>
      <c r="V3718">
        <v>3.9356160000000001E-2</v>
      </c>
      <c r="W3718">
        <v>0.1432389</v>
      </c>
      <c r="X3718">
        <v>0.98890529999999999</v>
      </c>
      <c r="Y3718">
        <v>-9.4376650000000006E-2</v>
      </c>
      <c r="Z3718">
        <v>2.8636439999999998E-3</v>
      </c>
      <c r="AA3718">
        <v>0.99553250000000004</v>
      </c>
      <c r="AB3718">
        <v>54</v>
      </c>
      <c r="AC3718">
        <v>21.1845999999999</v>
      </c>
      <c r="AD3718">
        <v>-1.109492591882</v>
      </c>
      <c r="AE3718">
        <v>1.8695999999999899</v>
      </c>
      <c r="AF3718">
        <v>-2.0549340334177799</v>
      </c>
      <c r="AG3718">
        <v>-1.109492591882</v>
      </c>
      <c r="AH3718">
        <v>21.1094290414676</v>
      </c>
      <c r="AI3718">
        <v>92.994517022073396</v>
      </c>
      <c r="AJ3718">
        <v>95.560038307638493</v>
      </c>
      <c r="AK3718">
        <v>21.238213723142898</v>
      </c>
      <c r="AL3718">
        <v>81.764688865469907</v>
      </c>
      <c r="AM3718">
        <v>87.720962266117297</v>
      </c>
      <c r="AN3718">
        <v>0.99999999108562199</v>
      </c>
    </row>
    <row r="3719" spans="1:40" x14ac:dyDescent="0.25">
      <c r="A3719" t="str">
        <f>"20190312164101095"</f>
        <v>20190312164101095</v>
      </c>
      <c r="B3719" t="str">
        <f>"1552380061089639"</f>
        <v>1552380061089639</v>
      </c>
      <c r="C3719" t="s">
        <v>40</v>
      </c>
      <c r="D3719">
        <v>5.2367299999999997</v>
      </c>
      <c r="E3719">
        <v>0.45345459999999899</v>
      </c>
      <c r="F3719" t="s">
        <v>48</v>
      </c>
      <c r="G3719">
        <v>-277.7604</v>
      </c>
      <c r="H3719" s="1">
        <v>2.5551299999999999E-6</v>
      </c>
      <c r="I3719">
        <v>215.48099999999999</v>
      </c>
      <c r="J3719">
        <v>-298.13099999999997</v>
      </c>
      <c r="K3719">
        <v>1.10954</v>
      </c>
      <c r="L3719">
        <v>213.69919999999999</v>
      </c>
      <c r="M3719">
        <v>0.99984399999999996</v>
      </c>
      <c r="N3719">
        <v>0</v>
      </c>
      <c r="O3719">
        <v>-8.9270489999999994E-3</v>
      </c>
      <c r="P3719">
        <v>0.9905543</v>
      </c>
      <c r="Q3719">
        <v>0.12816540000000001</v>
      </c>
      <c r="R3719">
        <v>-4.874585E-2</v>
      </c>
      <c r="S3719">
        <v>3.0622250000000002</v>
      </c>
      <c r="T3719">
        <v>-0.16243640000000001</v>
      </c>
      <c r="U3719">
        <v>0.26016240000000002</v>
      </c>
      <c r="V3719">
        <v>3.9898410000000002E-2</v>
      </c>
      <c r="W3719">
        <v>0.1432611</v>
      </c>
      <c r="X3719">
        <v>0.98888030000000005</v>
      </c>
      <c r="Y3719">
        <v>-9.3403440000000004E-2</v>
      </c>
      <c r="Z3719">
        <v>2.9435709999999999E-3</v>
      </c>
      <c r="AA3719">
        <v>0.99562399999999995</v>
      </c>
      <c r="AB3719">
        <v>54</v>
      </c>
      <c r="AC3719">
        <v>20.3705999999999</v>
      </c>
      <c r="AD3719">
        <v>-1.1095374448699999</v>
      </c>
      <c r="AE3719">
        <v>1.7818000000000001</v>
      </c>
      <c r="AF3719">
        <v>-1.9578352088650299</v>
      </c>
      <c r="AG3719">
        <v>-1.1095374448699999</v>
      </c>
      <c r="AH3719">
        <v>20.294130216247101</v>
      </c>
      <c r="AI3719">
        <v>93.114973261768299</v>
      </c>
      <c r="AJ3719">
        <v>95.510441494680407</v>
      </c>
      <c r="AK3719">
        <v>20.4185188806788</v>
      </c>
      <c r="AL3719">
        <v>81.763403193923097</v>
      </c>
      <c r="AM3719">
        <v>87.689537087168503</v>
      </c>
      <c r="AN3719">
        <v>0.99999993681091204</v>
      </c>
    </row>
    <row r="3720" spans="1:40" x14ac:dyDescent="0.25">
      <c r="A3720" t="str">
        <f>"20190312164101117"</f>
        <v>20190312164101117</v>
      </c>
      <c r="B3720" t="str">
        <f>"1552380061110139"</f>
        <v>1552380061110139</v>
      </c>
      <c r="C3720" t="s">
        <v>40</v>
      </c>
      <c r="D3720">
        <v>5.236237</v>
      </c>
      <c r="E3720">
        <v>0.45367360000000001</v>
      </c>
      <c r="F3720" t="s">
        <v>48</v>
      </c>
      <c r="G3720">
        <v>-277.40440000000001</v>
      </c>
      <c r="H3720" s="1">
        <v>2.3668750000000001E-6</v>
      </c>
      <c r="I3720">
        <v>215.45349999999999</v>
      </c>
      <c r="J3720">
        <v>-297.58620000000002</v>
      </c>
      <c r="K3720">
        <v>1.1095839999999999</v>
      </c>
      <c r="L3720">
        <v>213.6944</v>
      </c>
      <c r="M3720">
        <v>0.99984499999999998</v>
      </c>
      <c r="N3720">
        <v>0</v>
      </c>
      <c r="O3720">
        <v>-8.8054659999999996E-3</v>
      </c>
      <c r="P3720">
        <v>0.99054399999999998</v>
      </c>
      <c r="Q3720">
        <v>0.1282171</v>
      </c>
      <c r="R3720">
        <v>-4.8818760000000003E-2</v>
      </c>
      <c r="S3720">
        <v>3.0625309999999999</v>
      </c>
      <c r="T3720">
        <v>-0.16394349999999999</v>
      </c>
      <c r="U3720">
        <v>0.25921630000000001</v>
      </c>
      <c r="V3720">
        <v>4.0077729999999999E-2</v>
      </c>
      <c r="W3720">
        <v>0.14332149999999999</v>
      </c>
      <c r="X3720">
        <v>0.98886439999999998</v>
      </c>
      <c r="Y3720">
        <v>-9.2966770000000004E-2</v>
      </c>
      <c r="Z3720">
        <v>2.9524350000000002E-3</v>
      </c>
      <c r="AA3720">
        <v>0.99566480000000002</v>
      </c>
      <c r="AB3720">
        <v>54</v>
      </c>
      <c r="AC3720">
        <v>20.181799999999999</v>
      </c>
      <c r="AD3720">
        <v>-1.1095816331249999</v>
      </c>
      <c r="AE3720">
        <v>1.7590999999999799</v>
      </c>
      <c r="AF3720">
        <v>-1.9309698144379299</v>
      </c>
      <c r="AG3720">
        <v>-1.1095816331249999</v>
      </c>
      <c r="AH3720">
        <v>20.105211587275502</v>
      </c>
      <c r="AI3720">
        <v>93.144438238127606</v>
      </c>
      <c r="AJ3720">
        <v>95.486045711230602</v>
      </c>
      <c r="AK3720">
        <v>20.228182043721901</v>
      </c>
      <c r="AL3720">
        <v>81.759907293629396</v>
      </c>
      <c r="AM3720">
        <v>87.679126962190495</v>
      </c>
      <c r="AN3720">
        <v>1.00000003919578</v>
      </c>
    </row>
    <row r="3721" spans="1:40" x14ac:dyDescent="0.25">
      <c r="A3721" t="str">
        <f>"20190312164101139"</f>
        <v>20190312164101139</v>
      </c>
      <c r="B3721" t="str">
        <f>"1552380061129655"</f>
        <v>1552380061129655</v>
      </c>
      <c r="C3721" t="s">
        <v>40</v>
      </c>
      <c r="D3721">
        <v>5.2577870000000004</v>
      </c>
      <c r="E3721">
        <v>0.45358209999999999</v>
      </c>
      <c r="F3721" t="s">
        <v>48</v>
      </c>
      <c r="G3721">
        <v>-276.9332</v>
      </c>
      <c r="H3721" s="1">
        <v>2.117298E-6</v>
      </c>
      <c r="I3721">
        <v>215.42699999999999</v>
      </c>
      <c r="J3721">
        <v>-297.06970000000001</v>
      </c>
      <c r="K3721">
        <v>1.109621</v>
      </c>
      <c r="L3721">
        <v>213.68989999999999</v>
      </c>
      <c r="M3721">
        <v>0.99984620000000002</v>
      </c>
      <c r="N3721">
        <v>0</v>
      </c>
      <c r="O3721">
        <v>-8.6605710000000006E-3</v>
      </c>
      <c r="P3721">
        <v>0.99053910000000001</v>
      </c>
      <c r="Q3721">
        <v>0.1280847</v>
      </c>
      <c r="R3721">
        <v>-4.9263599999999998E-2</v>
      </c>
      <c r="S3721">
        <v>3.062592</v>
      </c>
      <c r="T3721">
        <v>-0.16453789999999999</v>
      </c>
      <c r="U3721">
        <v>0.25692749999999998</v>
      </c>
      <c r="V3721">
        <v>4.0653359999999999E-2</v>
      </c>
      <c r="W3721">
        <v>0.14319599999999999</v>
      </c>
      <c r="X3721">
        <v>0.98885909999999999</v>
      </c>
      <c r="Y3721">
        <v>-9.2082339999999999E-2</v>
      </c>
      <c r="Z3721">
        <v>2.9316899999999998E-3</v>
      </c>
      <c r="AA3721">
        <v>0.9957471</v>
      </c>
      <c r="AB3721">
        <v>54</v>
      </c>
      <c r="AC3721">
        <v>20.136500000000002</v>
      </c>
      <c r="AD3721">
        <v>-1.1096188827019999</v>
      </c>
      <c r="AE3721">
        <v>1.7371000000000201</v>
      </c>
      <c r="AF3721">
        <v>-1.9057046968245199</v>
      </c>
      <c r="AG3721">
        <v>-1.1096188827019999</v>
      </c>
      <c r="AH3721">
        <v>20.060234768936599</v>
      </c>
      <c r="AI3721">
        <v>93.151890607043697</v>
      </c>
      <c r="AJ3721">
        <v>95.426762661679206</v>
      </c>
      <c r="AK3721">
        <v>20.181079838333702</v>
      </c>
      <c r="AL3721">
        <v>81.767172985973403</v>
      </c>
      <c r="AM3721">
        <v>87.645817271495105</v>
      </c>
      <c r="AN3721">
        <v>1.00000005487404</v>
      </c>
    </row>
    <row r="3722" spans="1:40" x14ac:dyDescent="0.25">
      <c r="A3722" t="str">
        <f>"20190312164101163"</f>
        <v>20190312164101163</v>
      </c>
      <c r="B3722" t="str">
        <f>"1552380061160219"</f>
        <v>1552380061160219</v>
      </c>
      <c r="C3722" t="s">
        <v>40</v>
      </c>
      <c r="D3722">
        <v>5.2421369999999996</v>
      </c>
      <c r="E3722">
        <v>0.45369179999999998</v>
      </c>
      <c r="F3722" t="s">
        <v>48</v>
      </c>
      <c r="G3722">
        <v>-276.68099999999998</v>
      </c>
      <c r="H3722" s="1">
        <v>1.9843659999999999E-6</v>
      </c>
      <c r="I3722">
        <v>215.39680000000001</v>
      </c>
      <c r="J3722">
        <v>-296.51280000000003</v>
      </c>
      <c r="K3722">
        <v>1.1096619999999999</v>
      </c>
      <c r="L3722">
        <v>213.68520000000001</v>
      </c>
      <c r="M3722">
        <v>0.99984770000000001</v>
      </c>
      <c r="N3722">
        <v>0</v>
      </c>
      <c r="O3722">
        <v>-8.479459E-3</v>
      </c>
      <c r="P3722">
        <v>0.99051350000000005</v>
      </c>
      <c r="Q3722">
        <v>0.12840389999999999</v>
      </c>
      <c r="R3722">
        <v>-4.8944269999999998E-2</v>
      </c>
      <c r="S3722">
        <v>3.0629580000000001</v>
      </c>
      <c r="T3722">
        <v>-0.16669600000000001</v>
      </c>
      <c r="U3722">
        <v>0.25642399999999999</v>
      </c>
      <c r="V3722">
        <v>4.0501179999999998E-2</v>
      </c>
      <c r="W3722">
        <v>0.1435207</v>
      </c>
      <c r="X3722">
        <v>0.98881819999999998</v>
      </c>
      <c r="Y3722">
        <v>-9.1726530000000001E-2</v>
      </c>
      <c r="Z3722">
        <v>2.9502600000000001E-3</v>
      </c>
      <c r="AA3722">
        <v>0.99577990000000005</v>
      </c>
      <c r="AB3722">
        <v>54</v>
      </c>
      <c r="AC3722">
        <v>19.831800000000001</v>
      </c>
      <c r="AD3722">
        <v>-1.109660015634</v>
      </c>
      <c r="AE3722">
        <v>1.7116</v>
      </c>
      <c r="AF3722">
        <v>-1.87389752836154</v>
      </c>
      <c r="AG3722">
        <v>-1.109660015634</v>
      </c>
      <c r="AH3722">
        <v>19.755179461495199</v>
      </c>
      <c r="AI3722">
        <v>93.200622420027699</v>
      </c>
      <c r="AJ3722">
        <v>95.418636238895402</v>
      </c>
      <c r="AK3722">
        <v>19.8748573039652</v>
      </c>
      <c r="AL3722">
        <v>81.748374296358193</v>
      </c>
      <c r="AM3722">
        <v>87.654523053530198</v>
      </c>
      <c r="AN3722">
        <v>0.99999998478056096</v>
      </c>
    </row>
    <row r="3723" spans="1:40" x14ac:dyDescent="0.25">
      <c r="A3723" t="str">
        <f>"20190312164101186"</f>
        <v>20190312164101186</v>
      </c>
      <c r="B3723" t="str">
        <f>"1552380061179739"</f>
        <v>1552380061179739</v>
      </c>
      <c r="C3723" t="s">
        <v>40</v>
      </c>
      <c r="D3723">
        <v>5.2513040000000002</v>
      </c>
      <c r="E3723">
        <v>0.45361699999999999</v>
      </c>
      <c r="F3723" t="s">
        <v>48</v>
      </c>
      <c r="G3723">
        <v>-275.8741</v>
      </c>
      <c r="H3723" s="1">
        <v>1.554351E-6</v>
      </c>
      <c r="I3723">
        <v>215.41130000000001</v>
      </c>
      <c r="J3723">
        <v>-295.96570000000003</v>
      </c>
      <c r="K3723">
        <v>1.109696</v>
      </c>
      <c r="L3723">
        <v>213.6807</v>
      </c>
      <c r="M3723">
        <v>0.99984930000000005</v>
      </c>
      <c r="N3723">
        <v>0</v>
      </c>
      <c r="O3723">
        <v>-8.2819999999999994E-3</v>
      </c>
      <c r="P3723">
        <v>0.99050070000000001</v>
      </c>
      <c r="Q3723">
        <v>0.12866420000000001</v>
      </c>
      <c r="R3723">
        <v>-4.8517930000000001E-2</v>
      </c>
      <c r="S3723">
        <v>3.0627439999999999</v>
      </c>
      <c r="T3723">
        <v>-0.1646714</v>
      </c>
      <c r="U3723">
        <v>0.25614930000000002</v>
      </c>
      <c r="V3723">
        <v>4.0259919999999998E-2</v>
      </c>
      <c r="W3723">
        <v>0.14378489999999999</v>
      </c>
      <c r="X3723">
        <v>0.98878969999999999</v>
      </c>
      <c r="Y3723">
        <v>-9.1451169999999998E-2</v>
      </c>
      <c r="Z3723">
        <v>2.8967160000000001E-3</v>
      </c>
      <c r="AA3723">
        <v>0.9958053</v>
      </c>
      <c r="AB3723">
        <v>54</v>
      </c>
      <c r="AC3723">
        <v>20.0916</v>
      </c>
      <c r="AD3723">
        <v>-1.1096944456489899</v>
      </c>
      <c r="AE3723">
        <v>1.7305999999999999</v>
      </c>
      <c r="AF3723">
        <v>-1.89123183177284</v>
      </c>
      <c r="AG3723">
        <v>-1.1096944456489899</v>
      </c>
      <c r="AH3723">
        <v>20.015966304260399</v>
      </c>
      <c r="AI3723">
        <v>93.1592139418279</v>
      </c>
      <c r="AJ3723">
        <v>95.397633658347004</v>
      </c>
      <c r="AK3723">
        <v>20.1357166919259</v>
      </c>
      <c r="AL3723">
        <v>81.733078350560604</v>
      </c>
      <c r="AM3723">
        <v>87.668412147175999</v>
      </c>
      <c r="AN3723">
        <v>1.00000001472625</v>
      </c>
    </row>
    <row r="3724" spans="1:40" x14ac:dyDescent="0.25">
      <c r="A3724" t="str">
        <f>"20190312164101209"</f>
        <v>20190312164101209</v>
      </c>
      <c r="B3724" t="str">
        <f>"1552380061200235"</f>
        <v>1552380061200235</v>
      </c>
      <c r="C3724" t="s">
        <v>40</v>
      </c>
      <c r="D3724">
        <v>5.2561419999999996</v>
      </c>
      <c r="E3724">
        <v>0.45353169999999998</v>
      </c>
      <c r="F3724" t="s">
        <v>48</v>
      </c>
      <c r="G3724">
        <v>-275.40030000000002</v>
      </c>
      <c r="H3724" s="1">
        <v>1.3021500000000001E-6</v>
      </c>
      <c r="I3724">
        <v>215.41309999999999</v>
      </c>
      <c r="J3724">
        <v>-295.40210000000002</v>
      </c>
      <c r="K3724">
        <v>1.109729</v>
      </c>
      <c r="L3724">
        <v>213.67619999999999</v>
      </c>
      <c r="M3724">
        <v>0.99985119999999905</v>
      </c>
      <c r="N3724">
        <v>0</v>
      </c>
      <c r="O3724">
        <v>-8.0643450000000005E-3</v>
      </c>
      <c r="P3724">
        <v>0.99048069999999999</v>
      </c>
      <c r="Q3724">
        <v>0.12893779999999999</v>
      </c>
      <c r="R3724">
        <v>-4.8201069999999999E-2</v>
      </c>
      <c r="S3724">
        <v>3.0628359999999999</v>
      </c>
      <c r="T3724">
        <v>-0.16526869999999999</v>
      </c>
      <c r="U3724">
        <v>0.25801089999999999</v>
      </c>
      <c r="V3724">
        <v>4.0149600000000001E-2</v>
      </c>
      <c r="W3724">
        <v>0.14406099999999999</v>
      </c>
      <c r="X3724">
        <v>0.98875400000000002</v>
      </c>
      <c r="Y3724">
        <v>-9.1831670000000004E-2</v>
      </c>
      <c r="Z3724">
        <v>2.9055690000000002E-3</v>
      </c>
      <c r="AA3724">
        <v>0.9957703</v>
      </c>
      <c r="AB3724">
        <v>54</v>
      </c>
      <c r="AC3724">
        <v>20.001799999999999</v>
      </c>
      <c r="AD3724">
        <v>-1.1097276978499999</v>
      </c>
      <c r="AE3724">
        <v>1.7368999999999899</v>
      </c>
      <c r="AF3724">
        <v>-1.8923821759189901</v>
      </c>
      <c r="AG3724">
        <v>-1.1097276978499999</v>
      </c>
      <c r="AH3724">
        <v>19.926263192560398</v>
      </c>
      <c r="AI3724">
        <v>93.1733582019816</v>
      </c>
      <c r="AJ3724">
        <v>95.425066136634896</v>
      </c>
      <c r="AK3724">
        <v>20.046659838544102</v>
      </c>
      <c r="AL3724">
        <v>81.717092577803996</v>
      </c>
      <c r="AM3724">
        <v>87.6747102667116</v>
      </c>
      <c r="AN3724">
        <v>1.0000000173085799</v>
      </c>
    </row>
    <row r="3725" spans="1:40" x14ac:dyDescent="0.25">
      <c r="A3725" t="str">
        <f>"20190312164101230"</f>
        <v>20190312164101230</v>
      </c>
      <c r="B3725" t="str">
        <f>"1552380061219755"</f>
        <v>1552380061219755</v>
      </c>
      <c r="C3725" t="s">
        <v>40</v>
      </c>
      <c r="D3725">
        <v>5.3034230000000004</v>
      </c>
      <c r="E3725">
        <v>0.45344950000000001</v>
      </c>
      <c r="F3725" t="s">
        <v>48</v>
      </c>
      <c r="G3725">
        <v>-274.6934</v>
      </c>
      <c r="H3725" s="1">
        <v>9.2501649999999996E-7</v>
      </c>
      <c r="I3725">
        <v>215.43459999999999</v>
      </c>
      <c r="J3725">
        <v>-294.90170000000001</v>
      </c>
      <c r="K3725">
        <v>1.1097589999999999</v>
      </c>
      <c r="L3725">
        <v>213.67230000000001</v>
      </c>
      <c r="M3725">
        <v>0.99985279999999999</v>
      </c>
      <c r="N3725">
        <v>0</v>
      </c>
      <c r="O3725">
        <v>-7.8626540000000002E-3</v>
      </c>
      <c r="P3725">
        <v>0.9905216</v>
      </c>
      <c r="Q3725">
        <v>0.12875529999999999</v>
      </c>
      <c r="R3725">
        <v>-4.7847920000000002E-2</v>
      </c>
      <c r="S3725">
        <v>3.062897</v>
      </c>
      <c r="T3725">
        <v>-0.16413269999999999</v>
      </c>
      <c r="U3725">
        <v>0.26007079999999999</v>
      </c>
      <c r="V3725">
        <v>3.9989190000000001E-2</v>
      </c>
      <c r="W3725">
        <v>0.14388119999999999</v>
      </c>
      <c r="X3725">
        <v>0.98878659999999996</v>
      </c>
      <c r="Y3725">
        <v>-9.229569E-2</v>
      </c>
      <c r="Z3725">
        <v>2.887106E-3</v>
      </c>
      <c r="AA3725">
        <v>0.99572749999999999</v>
      </c>
      <c r="AB3725">
        <v>54</v>
      </c>
      <c r="AC3725">
        <v>20.208300000000001</v>
      </c>
      <c r="AD3725">
        <v>-1.1097580749835001</v>
      </c>
      <c r="AE3725">
        <v>1.76229999999998</v>
      </c>
      <c r="AF3725">
        <v>-1.91542200382753</v>
      </c>
      <c r="AG3725">
        <v>-1.1097580749835001</v>
      </c>
      <c r="AH3725">
        <v>20.1335574848795</v>
      </c>
      <c r="AI3725">
        <v>93.140787808213503</v>
      </c>
      <c r="AJ3725">
        <v>95.434523307382094</v>
      </c>
      <c r="AK3725">
        <v>20.254889321709101</v>
      </c>
      <c r="AL3725">
        <v>81.727502150446398</v>
      </c>
      <c r="AM3725">
        <v>87.684066652603605</v>
      </c>
      <c r="AN3725">
        <v>0.99999993768492601</v>
      </c>
    </row>
    <row r="3726" spans="1:40" x14ac:dyDescent="0.25">
      <c r="A3726" t="str">
        <f>"20190312164101251"</f>
        <v>20190312164101251</v>
      </c>
      <c r="B3726" t="str">
        <f>"1552380061240251"</f>
        <v>1552380061240251</v>
      </c>
      <c r="C3726" t="s">
        <v>40</v>
      </c>
      <c r="D3726">
        <v>5.2521849999999999</v>
      </c>
      <c r="E3726">
        <v>0.45332210000000001</v>
      </c>
      <c r="F3726" t="s">
        <v>48</v>
      </c>
      <c r="G3726">
        <v>-274.12349999999998</v>
      </c>
      <c r="H3726" s="1">
        <v>6.2099579999999997E-7</v>
      </c>
      <c r="I3726">
        <v>215.452</v>
      </c>
      <c r="J3726">
        <v>-294.39060000000001</v>
      </c>
      <c r="K3726">
        <v>1.1097790000000001</v>
      </c>
      <c r="L3726">
        <v>213.66839999999999</v>
      </c>
      <c r="M3726">
        <v>0.99985440000000003</v>
      </c>
      <c r="N3726">
        <v>0</v>
      </c>
      <c r="O3726">
        <v>-7.6525279999999996E-3</v>
      </c>
      <c r="P3726">
        <v>0.99050609999999994</v>
      </c>
      <c r="Q3726">
        <v>0.12895299999999901</v>
      </c>
      <c r="R3726">
        <v>-4.7636289999999998E-2</v>
      </c>
      <c r="S3726">
        <v>3.0626220000000002</v>
      </c>
      <c r="T3726">
        <v>-0.16357369999999999</v>
      </c>
      <c r="U3726">
        <v>0.26232909999999998</v>
      </c>
      <c r="V3726">
        <v>3.9979359999999999E-2</v>
      </c>
      <c r="W3726">
        <v>0.14407990000000001</v>
      </c>
      <c r="X3726">
        <v>0.98875809999999997</v>
      </c>
      <c r="Y3726">
        <v>-9.2823379999999997E-2</v>
      </c>
      <c r="Z3726">
        <v>2.8803140000000001E-3</v>
      </c>
      <c r="AA3726">
        <v>0.99567839999999996</v>
      </c>
      <c r="AB3726">
        <v>54</v>
      </c>
      <c r="AC3726">
        <v>20.267099999999999</v>
      </c>
      <c r="AD3726">
        <v>-1.1097783790042</v>
      </c>
      <c r="AE3726">
        <v>1.7836000000000001</v>
      </c>
      <c r="AF3726">
        <v>-1.9329092641333701</v>
      </c>
      <c r="AG3726">
        <v>-1.1097783790042</v>
      </c>
      <c r="AH3726">
        <v>20.192775119002398</v>
      </c>
      <c r="AI3726">
        <v>93.131479130480898</v>
      </c>
      <c r="AJ3726">
        <v>95.467853490570704</v>
      </c>
      <c r="AK3726">
        <v>20.315410733738101</v>
      </c>
      <c r="AL3726">
        <v>81.715997906227003</v>
      </c>
      <c r="AM3726">
        <v>87.684568661898894</v>
      </c>
      <c r="AN3726">
        <v>0.999999973562814</v>
      </c>
    </row>
    <row r="3727" spans="1:40" x14ac:dyDescent="0.25">
      <c r="A3727" t="str">
        <f>"20190312164101273"</f>
        <v>20190312164101273</v>
      </c>
      <c r="B3727" t="str">
        <f>"1552380061270039"</f>
        <v>1552380061270039</v>
      </c>
      <c r="C3727" t="s">
        <v>40</v>
      </c>
      <c r="D3727">
        <v>5.3025510000000002</v>
      </c>
      <c r="E3727">
        <v>0.45332139999999999</v>
      </c>
      <c r="F3727" t="s">
        <v>48</v>
      </c>
      <c r="G3727">
        <v>-273.57159999999999</v>
      </c>
      <c r="H3727" s="1">
        <v>3.2698770000000001E-7</v>
      </c>
      <c r="I3727">
        <v>215.4597</v>
      </c>
      <c r="J3727">
        <v>-293.84980000000002</v>
      </c>
      <c r="K3727">
        <v>1.1098030000000001</v>
      </c>
      <c r="L3727">
        <v>213.6643</v>
      </c>
      <c r="M3727">
        <v>0.99985610000000003</v>
      </c>
      <c r="N3727">
        <v>0</v>
      </c>
      <c r="O3727">
        <v>-7.4277550000000003E-3</v>
      </c>
      <c r="P3727">
        <v>0.99049140000000002</v>
      </c>
      <c r="Q3727">
        <v>0.12904360000000001</v>
      </c>
      <c r="R3727">
        <v>-4.7692989999999998E-2</v>
      </c>
      <c r="S3727">
        <v>3.0627140000000002</v>
      </c>
      <c r="T3727">
        <v>-0.1632614</v>
      </c>
      <c r="U3727">
        <v>0.26351930000000001</v>
      </c>
      <c r="V3727">
        <v>4.0252780000000002E-2</v>
      </c>
      <c r="W3727">
        <v>0.14417140000000001</v>
      </c>
      <c r="X3727">
        <v>0.98873370000000005</v>
      </c>
      <c r="Y3727">
        <v>-9.298178E-2</v>
      </c>
      <c r="Z3727">
        <v>2.8669450000000001E-3</v>
      </c>
      <c r="AA3727">
        <v>0.99566370000000004</v>
      </c>
      <c r="AB3727">
        <v>54</v>
      </c>
      <c r="AC3727">
        <v>20.278199999999998</v>
      </c>
      <c r="AD3727">
        <v>-1.1098026730123001</v>
      </c>
      <c r="AE3727">
        <v>1.7954000000000001</v>
      </c>
      <c r="AF3727">
        <v>-1.94022323559103</v>
      </c>
      <c r="AG3727">
        <v>-1.1098026730123001</v>
      </c>
      <c r="AH3727">
        <v>20.204257081395699</v>
      </c>
      <c r="AI3727">
        <v>93.1296801644759</v>
      </c>
      <c r="AJ3727">
        <v>95.485317298652404</v>
      </c>
      <c r="AK3727">
        <v>20.327521550550198</v>
      </c>
      <c r="AL3727">
        <v>81.710700284930596</v>
      </c>
      <c r="AM3727">
        <v>87.668693304804293</v>
      </c>
      <c r="AN3727">
        <v>1.00000000419568</v>
      </c>
    </row>
    <row r="3728" spans="1:40" x14ac:dyDescent="0.25">
      <c r="A3728" t="str">
        <f>"20190312164101297"</f>
        <v>20190312164101297</v>
      </c>
      <c r="B3728" t="str">
        <f>"1552380061289558"</f>
        <v>1552380061289558</v>
      </c>
      <c r="C3728" t="s">
        <v>40</v>
      </c>
      <c r="D3728">
        <v>5.3087790000000004</v>
      </c>
      <c r="E3728">
        <v>0.45318370000000002</v>
      </c>
      <c r="F3728" t="s">
        <v>48</v>
      </c>
      <c r="G3728">
        <v>-273.0652</v>
      </c>
      <c r="H3728" s="1">
        <v>5.7949280000000002E-8</v>
      </c>
      <c r="I3728">
        <v>215.44880000000001</v>
      </c>
      <c r="J3728">
        <v>-293.30360000000002</v>
      </c>
      <c r="K3728">
        <v>1.109823</v>
      </c>
      <c r="L3728">
        <v>213.66040000000001</v>
      </c>
      <c r="M3728">
        <v>0.99985769999999996</v>
      </c>
      <c r="N3728">
        <v>0</v>
      </c>
      <c r="O3728">
        <v>-7.1999150000000003E-3</v>
      </c>
      <c r="P3728">
        <v>0.99048190000000003</v>
      </c>
      <c r="Q3728">
        <v>0.12922210000000001</v>
      </c>
      <c r="R3728">
        <v>-4.7407409999999997E-2</v>
      </c>
      <c r="S3728">
        <v>3.062805</v>
      </c>
      <c r="T3728">
        <v>-0.1635394</v>
      </c>
      <c r="U3728">
        <v>0.26295469999999999</v>
      </c>
      <c r="V3728">
        <v>4.018745E-2</v>
      </c>
      <c r="W3728">
        <v>0.1443497</v>
      </c>
      <c r="X3728">
        <v>0.98871030000000004</v>
      </c>
      <c r="Y3728">
        <v>-9.257058E-2</v>
      </c>
      <c r="Z3728">
        <v>2.8486689999999999E-3</v>
      </c>
      <c r="AA3728">
        <v>0.99570199999999998</v>
      </c>
      <c r="AB3728">
        <v>54</v>
      </c>
      <c r="AC3728">
        <v>20.238399999999999</v>
      </c>
      <c r="AD3728">
        <v>-1.10982294205072</v>
      </c>
      <c r="AE3728">
        <v>1.78839999999999</v>
      </c>
      <c r="AF3728">
        <v>-1.9283315024197101</v>
      </c>
      <c r="AG3728">
        <v>-1.10982294205072</v>
      </c>
      <c r="AH3728">
        <v>20.164828657708998</v>
      </c>
      <c r="AI3728">
        <v>93.135964059688803</v>
      </c>
      <c r="AJ3728">
        <v>95.462496398326195</v>
      </c>
      <c r="AK3728">
        <v>20.287200007410799</v>
      </c>
      <c r="AL3728">
        <v>81.700376106335895</v>
      </c>
      <c r="AM3728">
        <v>87.672417810298697</v>
      </c>
      <c r="AN3728">
        <v>0.99999996217683995</v>
      </c>
    </row>
    <row r="3729" spans="1:40" x14ac:dyDescent="0.25">
      <c r="A3729" t="str">
        <f>"20190312164101319"</f>
        <v>20190312164101319</v>
      </c>
      <c r="B3729" t="str">
        <f>"1552380061310058"</f>
        <v>1552380061310058</v>
      </c>
      <c r="C3729" t="s">
        <v>40</v>
      </c>
      <c r="D3729">
        <v>5.2771720000000002</v>
      </c>
      <c r="E3729">
        <v>0.45316650000000003</v>
      </c>
      <c r="F3729" t="s">
        <v>48</v>
      </c>
      <c r="G3729">
        <v>-272.49639999999999</v>
      </c>
      <c r="H3729" s="1">
        <v>-2.4526379999999998E-7</v>
      </c>
      <c r="I3729">
        <v>215.46180000000001</v>
      </c>
      <c r="J3729">
        <v>-292.77449999999999</v>
      </c>
      <c r="K3729">
        <v>1.109842</v>
      </c>
      <c r="L3729">
        <v>213.6567</v>
      </c>
      <c r="M3729">
        <v>0.99985930000000001</v>
      </c>
      <c r="N3729">
        <v>0</v>
      </c>
      <c r="O3729">
        <v>-6.9792689999999998E-3</v>
      </c>
      <c r="P3729">
        <v>0.99049719999999997</v>
      </c>
      <c r="Q3729">
        <v>0.1291446</v>
      </c>
      <c r="R3729">
        <v>-4.7297489999999998E-2</v>
      </c>
      <c r="S3729">
        <v>3.0628660000000001</v>
      </c>
      <c r="T3729">
        <v>-0.16336889999999901</v>
      </c>
      <c r="U3729">
        <v>0.26516719999999999</v>
      </c>
      <c r="V3729">
        <v>4.0291510000000003E-2</v>
      </c>
      <c r="W3729">
        <v>0.1442724</v>
      </c>
      <c r="X3729">
        <v>0.98871739999999997</v>
      </c>
      <c r="Y3729">
        <v>-9.3063019999999996E-2</v>
      </c>
      <c r="Z3729">
        <v>2.8469179999999999E-3</v>
      </c>
      <c r="AA3729">
        <v>0.99565610000000004</v>
      </c>
      <c r="AB3729">
        <v>53</v>
      </c>
      <c r="AC3729">
        <v>20.278099999999899</v>
      </c>
      <c r="AD3729">
        <v>-1.1098422452637999</v>
      </c>
      <c r="AE3729">
        <v>1.8051000000000099</v>
      </c>
      <c r="AF3729">
        <v>-1.9408307735397099</v>
      </c>
      <c r="AG3729">
        <v>-1.1098422452637999</v>
      </c>
      <c r="AH3729">
        <v>20.204958317609599</v>
      </c>
      <c r="AI3729">
        <v>93.1296751834536</v>
      </c>
      <c r="AJ3729">
        <v>95.486835152142902</v>
      </c>
      <c r="AK3729">
        <v>20.3282786904654</v>
      </c>
      <c r="AL3729">
        <v>81.704852355342098</v>
      </c>
      <c r="AM3729">
        <v>87.666414242638297</v>
      </c>
      <c r="AN3729">
        <v>1.0000000141212999</v>
      </c>
    </row>
    <row r="3730" spans="1:40" x14ac:dyDescent="0.25">
      <c r="A3730" t="str">
        <f>"20190312164101341"</f>
        <v>20190312164101341</v>
      </c>
      <c r="B3730" t="str">
        <f>"1552380061329575"</f>
        <v>1552380061329575</v>
      </c>
      <c r="C3730" t="s">
        <v>40</v>
      </c>
      <c r="D3730">
        <v>5.2822120000000004</v>
      </c>
      <c r="E3730">
        <v>0.45306679999999999</v>
      </c>
      <c r="F3730" t="s">
        <v>48</v>
      </c>
      <c r="G3730">
        <v>-272.05529999999999</v>
      </c>
      <c r="H3730" s="1">
        <v>-4.7957169999999997E-7</v>
      </c>
      <c r="I3730">
        <v>215.45189999999999</v>
      </c>
      <c r="J3730">
        <v>-292.25580000000002</v>
      </c>
      <c r="K3730">
        <v>1.109856</v>
      </c>
      <c r="L3730">
        <v>213.6532</v>
      </c>
      <c r="M3730">
        <v>0.99986079999999999</v>
      </c>
      <c r="N3730">
        <v>0</v>
      </c>
      <c r="O3730">
        <v>-6.7598429999999998E-3</v>
      </c>
      <c r="P3730">
        <v>0.99047949999999996</v>
      </c>
      <c r="Q3730">
        <v>0.12935530000000001</v>
      </c>
      <c r="R3730">
        <v>-4.7092259999999997E-2</v>
      </c>
      <c r="S3730">
        <v>3.0628359999999999</v>
      </c>
      <c r="T3730">
        <v>-0.16406370000000001</v>
      </c>
      <c r="U3730">
        <v>0.26538089999999998</v>
      </c>
      <c r="V3730">
        <v>4.0299889999999998E-2</v>
      </c>
      <c r="W3730">
        <v>0.1444819</v>
      </c>
      <c r="X3730">
        <v>0.98868639999999997</v>
      </c>
      <c r="Y3730">
        <v>-9.2913640000000006E-2</v>
      </c>
      <c r="Z3730">
        <v>2.8433099999999999E-3</v>
      </c>
      <c r="AA3730">
        <v>0.9956701</v>
      </c>
      <c r="AB3730">
        <v>53</v>
      </c>
      <c r="AC3730">
        <v>20.200500000000002</v>
      </c>
      <c r="AD3730">
        <v>-1.1098564795717001</v>
      </c>
      <c r="AE3730">
        <v>1.79869999999999</v>
      </c>
      <c r="AF3730">
        <v>-1.9294485219236599</v>
      </c>
      <c r="AG3730">
        <v>-1.1098564795717001</v>
      </c>
      <c r="AH3730">
        <v>20.1275982328041</v>
      </c>
      <c r="AI3730">
        <v>93.141778726047093</v>
      </c>
      <c r="AJ3730">
        <v>95.4756900057873</v>
      </c>
      <c r="AK3730">
        <v>20.250302803296101</v>
      </c>
      <c r="AL3730">
        <v>81.692721250197806</v>
      </c>
      <c r="AM3730">
        <v>87.665856327035897</v>
      </c>
      <c r="AN3730">
        <v>0.99999994905328904</v>
      </c>
    </row>
    <row r="3731" spans="1:40" x14ac:dyDescent="0.25">
      <c r="A3731" t="str">
        <f>"20190312164101363"</f>
        <v>20190312164101363</v>
      </c>
      <c r="B3731" t="str">
        <f>"1552380061360337"</f>
        <v>1552380061360337</v>
      </c>
      <c r="C3731" t="s">
        <v>40</v>
      </c>
      <c r="D3731">
        <v>5.2828749999999998</v>
      </c>
      <c r="E3731">
        <v>0.4529956</v>
      </c>
      <c r="F3731" t="s">
        <v>48</v>
      </c>
      <c r="G3731">
        <v>-271.46080000000001</v>
      </c>
      <c r="H3731" s="1">
        <v>-7.9652280000000003E-7</v>
      </c>
      <c r="I3731">
        <v>215.46449999999999</v>
      </c>
      <c r="J3731">
        <v>-291.71769999999998</v>
      </c>
      <c r="K3731">
        <v>1.109874</v>
      </c>
      <c r="L3731">
        <v>213.6497</v>
      </c>
      <c r="M3731">
        <v>0.99986249999999999</v>
      </c>
      <c r="N3731">
        <v>0</v>
      </c>
      <c r="O3731">
        <v>-6.5282659999999996E-3</v>
      </c>
      <c r="P3731">
        <v>0.99045839999999996</v>
      </c>
      <c r="Q3731">
        <v>0.12954640000000001</v>
      </c>
      <c r="R3731">
        <v>-4.7015889999999998E-2</v>
      </c>
      <c r="S3731">
        <v>3.062897</v>
      </c>
      <c r="T3731">
        <v>-0.163470899999999</v>
      </c>
      <c r="U3731">
        <v>0.26678469999999999</v>
      </c>
      <c r="V3731">
        <v>4.0449159999999998E-2</v>
      </c>
      <c r="W3731">
        <v>0.14467149999999901</v>
      </c>
      <c r="X3731">
        <v>0.98865259999999999</v>
      </c>
      <c r="Y3731">
        <v>-9.3135289999999996E-2</v>
      </c>
      <c r="Z3731">
        <v>2.8265080000000001E-3</v>
      </c>
      <c r="AA3731">
        <v>0.99564949999999997</v>
      </c>
      <c r="AB3731">
        <v>53</v>
      </c>
      <c r="AC3731">
        <v>20.256899999999899</v>
      </c>
      <c r="AD3731">
        <v>-1.1098747965228</v>
      </c>
      <c r="AE3731">
        <v>1.81479999999999</v>
      </c>
      <c r="AF3731">
        <v>-1.94123803724416</v>
      </c>
      <c r="AG3731">
        <v>-1.1098747965228</v>
      </c>
      <c r="AH3731">
        <v>20.1845091370967</v>
      </c>
      <c r="AI3731">
        <v>93.132896299689705</v>
      </c>
      <c r="AJ3731">
        <v>95.4935054266317</v>
      </c>
      <c r="AK3731">
        <v>20.307994393507698</v>
      </c>
      <c r="AL3731">
        <v>81.681742803371094</v>
      </c>
      <c r="AM3731">
        <v>87.657140314812594</v>
      </c>
      <c r="AN3731">
        <v>0.99999997047185696</v>
      </c>
    </row>
    <row r="3732" spans="1:40" x14ac:dyDescent="0.25">
      <c r="A3732" t="str">
        <f>"20190312164101386"</f>
        <v>20190312164101386</v>
      </c>
      <c r="B3732" t="str">
        <f>"1552380061379857"</f>
        <v>1552380061379857</v>
      </c>
      <c r="C3732" t="s">
        <v>40</v>
      </c>
      <c r="D3732">
        <v>5.2935530000000002</v>
      </c>
      <c r="E3732">
        <v>0.4529069</v>
      </c>
      <c r="F3732" t="s">
        <v>48</v>
      </c>
      <c r="G3732">
        <v>-270.88619999999997</v>
      </c>
      <c r="H3732" s="1">
        <v>-1.102599E-6</v>
      </c>
      <c r="I3732">
        <v>215.47149999999999</v>
      </c>
      <c r="J3732">
        <v>-291.16890000000001</v>
      </c>
      <c r="K3732">
        <v>1.10989</v>
      </c>
      <c r="L3732">
        <v>213.6463</v>
      </c>
      <c r="M3732">
        <v>0.99986399999999998</v>
      </c>
      <c r="N3732">
        <v>0</v>
      </c>
      <c r="O3732">
        <v>-6.2848849999999996E-3</v>
      </c>
      <c r="P3732">
        <v>0.99045870000000003</v>
      </c>
      <c r="Q3732">
        <v>0.129632</v>
      </c>
      <c r="R3732">
        <v>-4.6770319999999997E-2</v>
      </c>
      <c r="S3732">
        <v>3.0629580000000001</v>
      </c>
      <c r="T3732">
        <v>-0.16319049999999999</v>
      </c>
      <c r="U3732">
        <v>0.26786799999999999</v>
      </c>
      <c r="V3732">
        <v>4.0440990000000003E-2</v>
      </c>
      <c r="W3732">
        <v>0.14475550000000001</v>
      </c>
      <c r="X3732">
        <v>0.98864070000000004</v>
      </c>
      <c r="Y3732">
        <v>-9.3241400000000002E-2</v>
      </c>
      <c r="Z3732">
        <v>2.8114500000000001E-3</v>
      </c>
      <c r="AA3732">
        <v>0.99563959999999996</v>
      </c>
      <c r="AB3732">
        <v>53</v>
      </c>
      <c r="AC3732">
        <v>20.282699999999998</v>
      </c>
      <c r="AD3732">
        <v>-1.1098911025989999</v>
      </c>
      <c r="AE3732">
        <v>1.8251999999999899</v>
      </c>
      <c r="AF3732">
        <v>-1.9468703295174601</v>
      </c>
      <c r="AG3732">
        <v>-1.1098911025989999</v>
      </c>
      <c r="AH3732">
        <v>20.2107938374475</v>
      </c>
      <c r="AI3732">
        <v>93.128830116350997</v>
      </c>
      <c r="AJ3732">
        <v>95.502225253824705</v>
      </c>
      <c r="AK3732">
        <v>20.334658833611901</v>
      </c>
      <c r="AL3732">
        <v>81.676879264821594</v>
      </c>
      <c r="AM3732">
        <v>87.657584839742</v>
      </c>
      <c r="AN3732">
        <v>1.0000000310744499</v>
      </c>
    </row>
    <row r="3733" spans="1:40" x14ac:dyDescent="0.25">
      <c r="A3733" t="str">
        <f>"20190312164101409"</f>
        <v>20190312164101409</v>
      </c>
      <c r="B3733" t="str">
        <f>"1552380061399377"</f>
        <v>1552380061399377</v>
      </c>
      <c r="C3733" t="s">
        <v>40</v>
      </c>
      <c r="D3733">
        <v>5.2828739999999996</v>
      </c>
      <c r="E3733">
        <v>0.4529029</v>
      </c>
      <c r="F3733" t="s">
        <v>48</v>
      </c>
      <c r="G3733">
        <v>-270.37950000000001</v>
      </c>
      <c r="H3733" s="1">
        <v>-1.3723570000000001E-6</v>
      </c>
      <c r="I3733">
        <v>215.47399999999999</v>
      </c>
      <c r="J3733">
        <v>-290.63670000000002</v>
      </c>
      <c r="K3733">
        <v>1.1099049999999999</v>
      </c>
      <c r="L3733">
        <v>213.6431</v>
      </c>
      <c r="M3733">
        <v>0.99986560000000002</v>
      </c>
      <c r="N3733">
        <v>0</v>
      </c>
      <c r="O3733">
        <v>-6.0391100000000003E-3</v>
      </c>
      <c r="P3733">
        <v>0.9904541</v>
      </c>
      <c r="Q3733">
        <v>0.12986389999999901</v>
      </c>
      <c r="R3733">
        <v>-4.6221819999999997E-2</v>
      </c>
      <c r="S3733">
        <v>3.0629879999999998</v>
      </c>
      <c r="T3733">
        <v>-0.1635249</v>
      </c>
      <c r="U3733">
        <v>0.269287099999999</v>
      </c>
      <c r="V3733">
        <v>4.013183E-2</v>
      </c>
      <c r="W3733">
        <v>0.1449858</v>
      </c>
      <c r="X3733">
        <v>0.98861949999999998</v>
      </c>
      <c r="Y3733">
        <v>-9.3453060000000004E-2</v>
      </c>
      <c r="Z3733">
        <v>2.8096639999999999E-3</v>
      </c>
      <c r="AA3733">
        <v>0.9956197</v>
      </c>
      <c r="AB3733">
        <v>53</v>
      </c>
      <c r="AC3733">
        <v>20.257200000000001</v>
      </c>
      <c r="AD3733">
        <v>-1.109906372357</v>
      </c>
      <c r="AE3733">
        <v>1.83090000000001</v>
      </c>
      <c r="AF3733">
        <v>-1.9474174570505001</v>
      </c>
      <c r="AG3733">
        <v>-1.109906372357</v>
      </c>
      <c r="AH3733">
        <v>20.1856654253172</v>
      </c>
      <c r="AI3733">
        <v>93.132716441550897</v>
      </c>
      <c r="AJ3733">
        <v>95.510571336202204</v>
      </c>
      <c r="AK3733">
        <v>20.309736964576199</v>
      </c>
      <c r="AL3733">
        <v>81.663542940023305</v>
      </c>
      <c r="AM3733">
        <v>87.675422433691097</v>
      </c>
      <c r="AN3733">
        <v>0.999999980880519</v>
      </c>
    </row>
    <row r="3734" spans="1:40" x14ac:dyDescent="0.25">
      <c r="A3734" t="str">
        <f>"20190312164101429"</f>
        <v>20190312164101429</v>
      </c>
      <c r="B3734" t="str">
        <f>"1552380061419876"</f>
        <v>1552380061419876</v>
      </c>
      <c r="C3734" t="s">
        <v>40</v>
      </c>
      <c r="D3734">
        <v>5.3142469999999999</v>
      </c>
      <c r="E3734">
        <v>0.45796999999999999</v>
      </c>
      <c r="F3734" t="s">
        <v>48</v>
      </c>
      <c r="G3734">
        <v>-269.78410000000002</v>
      </c>
      <c r="H3734" s="1">
        <v>3.6316300000000001E-6</v>
      </c>
      <c r="I3734">
        <v>215.48949999999999</v>
      </c>
      <c r="J3734">
        <v>-290.1499</v>
      </c>
      <c r="K3734">
        <v>1.1099220000000001</v>
      </c>
      <c r="L3734">
        <v>213.6403</v>
      </c>
      <c r="M3734">
        <v>0.99986699999999995</v>
      </c>
      <c r="N3734">
        <v>0</v>
      </c>
      <c r="O3734">
        <v>-5.8016569999999896E-3</v>
      </c>
      <c r="P3734">
        <v>0.99046610000000002</v>
      </c>
      <c r="Q3734">
        <v>0.12986429999999999</v>
      </c>
      <c r="R3734">
        <v>-4.5959409999999999E-2</v>
      </c>
      <c r="S3734">
        <v>3.0629270000000002</v>
      </c>
      <c r="T3734">
        <v>-0.16302729999999999</v>
      </c>
      <c r="U3734">
        <v>0.2712097</v>
      </c>
      <c r="V3734">
        <v>4.0100150000000001E-2</v>
      </c>
      <c r="W3734">
        <v>0.14498529999999901</v>
      </c>
      <c r="X3734">
        <v>0.98862090000000002</v>
      </c>
      <c r="Y3734">
        <v>-9.3839119999999998E-2</v>
      </c>
      <c r="Z3734">
        <v>2.7987440000000001E-3</v>
      </c>
      <c r="AA3734">
        <v>0.99558340000000001</v>
      </c>
      <c r="AB3734">
        <v>53</v>
      </c>
      <c r="AC3734">
        <v>20.365799999999901</v>
      </c>
      <c r="AD3734">
        <v>-1.10991836836999</v>
      </c>
      <c r="AE3734">
        <v>1.84919999999999</v>
      </c>
      <c r="AF3734">
        <v>-1.9615594897586801</v>
      </c>
      <c r="AG3734">
        <v>-1.10991836836999</v>
      </c>
      <c r="AH3734">
        <v>20.294941283063299</v>
      </c>
      <c r="AI3734">
        <v>93.115862846368401</v>
      </c>
      <c r="AJ3734">
        <v>95.520639726673593</v>
      </c>
      <c r="AK3734">
        <v>20.419703134455599</v>
      </c>
      <c r="AL3734">
        <v>81.663572235561503</v>
      </c>
      <c r="AM3734">
        <v>87.677258726389198</v>
      </c>
      <c r="AN3734">
        <v>1.00000002158146</v>
      </c>
    </row>
    <row r="3735" spans="1:40" x14ac:dyDescent="0.25">
      <c r="A3735" t="str">
        <f>"20190312164101452"</f>
        <v>20190312164101452</v>
      </c>
      <c r="B3735" t="str">
        <f>"1552380061450129"</f>
        <v>1552380061450129</v>
      </c>
      <c r="C3735" t="s">
        <v>40</v>
      </c>
      <c r="D3735">
        <v>5.4524150000000002</v>
      </c>
      <c r="E3735">
        <v>0.45771309999999898</v>
      </c>
      <c r="F3735" t="s">
        <v>48</v>
      </c>
      <c r="G3735">
        <v>-264.46010000000001</v>
      </c>
      <c r="H3735" s="1">
        <v>7.9487669999999998E-7</v>
      </c>
      <c r="I3735">
        <v>215.57230000000001</v>
      </c>
      <c r="J3735">
        <v>-289.60340000000002</v>
      </c>
      <c r="K3735">
        <v>1.1099460000000001</v>
      </c>
      <c r="L3735">
        <v>213.63730000000001</v>
      </c>
      <c r="M3735">
        <v>0.9998688</v>
      </c>
      <c r="N3735">
        <v>0</v>
      </c>
      <c r="O3735">
        <v>-5.5142689999999996E-3</v>
      </c>
      <c r="P3735">
        <v>0.99041500000000005</v>
      </c>
      <c r="Q3735">
        <v>0.13037319999999999</v>
      </c>
      <c r="R3735">
        <v>-4.5623289999999997E-2</v>
      </c>
      <c r="S3735">
        <v>3.056854</v>
      </c>
      <c r="T3735">
        <v>-0.13207049999999901</v>
      </c>
      <c r="U3735">
        <v>0.22988890000000001</v>
      </c>
      <c r="V3735">
        <v>4.0042189999999998E-2</v>
      </c>
      <c r="W3735">
        <v>0.14549239999999999</v>
      </c>
      <c r="X3735">
        <v>0.98854869999999995</v>
      </c>
      <c r="Y3735">
        <v>-8.0411170000000004E-2</v>
      </c>
      <c r="Z3735">
        <v>1.971652E-3</v>
      </c>
      <c r="AA3735">
        <v>0.99675979999999997</v>
      </c>
      <c r="AB3735">
        <v>53</v>
      </c>
      <c r="AC3735">
        <v>25.1433</v>
      </c>
      <c r="AD3735">
        <v>-1.1099452051233001</v>
      </c>
      <c r="AE3735">
        <v>1.9350000000000001</v>
      </c>
      <c r="AF3735">
        <v>-2.0696241223324101</v>
      </c>
      <c r="AG3735">
        <v>-1.1099452051233001</v>
      </c>
      <c r="AH3735">
        <v>25.083652062682901</v>
      </c>
      <c r="AI3735">
        <v>92.525101468905802</v>
      </c>
      <c r="AJ3735">
        <v>94.716726772299396</v>
      </c>
      <c r="AK3735">
        <v>25.1933507729292</v>
      </c>
      <c r="AL3735">
        <v>81.634205764420798</v>
      </c>
      <c r="AM3735">
        <v>87.680443089031598</v>
      </c>
      <c r="AN3735">
        <v>0.99999997385472195</v>
      </c>
    </row>
    <row r="3736" spans="1:40" x14ac:dyDescent="0.25">
      <c r="A3736" t="str">
        <f>"20190312164101476"</f>
        <v>20190312164101476</v>
      </c>
      <c r="B3736" t="str">
        <f>"1552380061469649"</f>
        <v>1552380061469649</v>
      </c>
      <c r="C3736" t="s">
        <v>40</v>
      </c>
      <c r="D3736">
        <v>5.3204849999999997</v>
      </c>
      <c r="E3736">
        <v>0.45807639999999999</v>
      </c>
      <c r="F3736" t="s">
        <v>48</v>
      </c>
      <c r="G3736">
        <v>-262.88990000000001</v>
      </c>
      <c r="H3736" s="1">
        <v>-4.5049170000000003E-8</v>
      </c>
      <c r="I3736">
        <v>215.67080000000001</v>
      </c>
      <c r="J3736">
        <v>-289.03949999999998</v>
      </c>
      <c r="K3736">
        <v>1.109974</v>
      </c>
      <c r="L3736">
        <v>213.6344</v>
      </c>
      <c r="M3736">
        <v>0.99987040000000005</v>
      </c>
      <c r="N3736">
        <v>0</v>
      </c>
      <c r="O3736">
        <v>-5.187662E-3</v>
      </c>
      <c r="P3736">
        <v>0.99033890000000002</v>
      </c>
      <c r="Q3736">
        <v>0.13095370000000001</v>
      </c>
      <c r="R3736">
        <v>-4.5610199999999997E-2</v>
      </c>
      <c r="S3736">
        <v>3.0564269999999998</v>
      </c>
      <c r="T3736">
        <v>-0.1269941</v>
      </c>
      <c r="U3736">
        <v>0.23266600000000001</v>
      </c>
      <c r="V3736">
        <v>4.0343539999999997E-2</v>
      </c>
      <c r="W3736">
        <v>0.146070799999999</v>
      </c>
      <c r="X3736">
        <v>0.98845119999999997</v>
      </c>
      <c r="Y3736">
        <v>-8.1002249999999998E-2</v>
      </c>
      <c r="Z3736">
        <v>1.8948420000000001E-3</v>
      </c>
      <c r="AA3736">
        <v>0.99671209999999999</v>
      </c>
      <c r="AB3736">
        <v>53</v>
      </c>
      <c r="AC3736">
        <v>26.1495999999999</v>
      </c>
      <c r="AD3736">
        <v>-1.10997404504917</v>
      </c>
      <c r="AE3736">
        <v>2.0364000000000102</v>
      </c>
      <c r="AF3736">
        <v>-2.16816069072406</v>
      </c>
      <c r="AG3736">
        <v>-1.10997404504917</v>
      </c>
      <c r="AH3736">
        <v>26.091954759588699</v>
      </c>
      <c r="AI3736">
        <v>92.427585777777097</v>
      </c>
      <c r="AJ3736">
        <v>94.750188515630995</v>
      </c>
      <c r="AK3736">
        <v>26.205401472557298</v>
      </c>
      <c r="AL3736">
        <v>81.600708473178202</v>
      </c>
      <c r="AM3736">
        <v>87.662775558739895</v>
      </c>
      <c r="AN3736">
        <v>1.0000000273069001</v>
      </c>
    </row>
    <row r="3737" spans="1:40" x14ac:dyDescent="0.25">
      <c r="A3737" t="str">
        <f>"20190312164101497"</f>
        <v>20190312164101497</v>
      </c>
      <c r="B3737" t="str">
        <f>"1552380061490157"</f>
        <v>1552380061490157</v>
      </c>
      <c r="C3737" t="s">
        <v>40</v>
      </c>
      <c r="D3737">
        <v>5.5953369999999998</v>
      </c>
      <c r="E3737">
        <v>0.47895799999999999</v>
      </c>
      <c r="F3737" t="s">
        <v>48</v>
      </c>
      <c r="G3737">
        <v>-262.4547</v>
      </c>
      <c r="H3737" s="1">
        <v>-2.7503030000000002E-7</v>
      </c>
      <c r="I3737">
        <v>215.63399999999999</v>
      </c>
      <c r="J3737">
        <v>-288.52670000000001</v>
      </c>
      <c r="K3737">
        <v>1.1100099999999999</v>
      </c>
      <c r="L3737">
        <v>213.6319</v>
      </c>
      <c r="M3737">
        <v>0.99987210000000004</v>
      </c>
      <c r="N3737">
        <v>0</v>
      </c>
      <c r="O3737">
        <v>-4.8566970000000001E-3</v>
      </c>
      <c r="P3737">
        <v>0.99028430000000001</v>
      </c>
      <c r="Q3737">
        <v>0.13137009999999999</v>
      </c>
      <c r="R3737">
        <v>-4.5599140000000003E-2</v>
      </c>
      <c r="S3737">
        <v>3.056702</v>
      </c>
      <c r="T3737">
        <v>-0.12762390000000001</v>
      </c>
      <c r="U3737">
        <v>0.2299194</v>
      </c>
      <c r="V3737">
        <v>4.0649600000000001E-2</v>
      </c>
      <c r="W3737">
        <v>0.14648639999999999</v>
      </c>
      <c r="X3737">
        <v>0.98837719999999996</v>
      </c>
      <c r="Y3737">
        <v>-7.9775620000000005E-2</v>
      </c>
      <c r="Z3737">
        <v>1.8647679999999999E-3</v>
      </c>
      <c r="AA3737">
        <v>0.99681109999999995</v>
      </c>
      <c r="AB3737">
        <v>53</v>
      </c>
      <c r="AC3737">
        <v>26.071999999999999</v>
      </c>
      <c r="AD3737">
        <v>-1.1100102750303</v>
      </c>
      <c r="AE3737">
        <v>2.0021000000000102</v>
      </c>
      <c r="AF3737">
        <v>-2.1248858712790399</v>
      </c>
      <c r="AG3737">
        <v>-1.1100102750303</v>
      </c>
      <c r="AH3737">
        <v>26.015088846009402</v>
      </c>
      <c r="AI3737">
        <v>92.435111436299493</v>
      </c>
      <c r="AJ3737">
        <v>94.669495018489599</v>
      </c>
      <c r="AK3737">
        <v>26.125315508954099</v>
      </c>
      <c r="AL3737">
        <v>81.576637808661502</v>
      </c>
      <c r="AM3737">
        <v>87.644888339717795</v>
      </c>
      <c r="AN3737">
        <v>1.00000007242247</v>
      </c>
    </row>
    <row r="3738" spans="1:40" x14ac:dyDescent="0.25">
      <c r="A3738" t="str">
        <f>"20190312164101519"</f>
        <v>20190312164101519</v>
      </c>
      <c r="B3738" t="str">
        <f>"1552380061509665"</f>
        <v>1552380061509665</v>
      </c>
      <c r="C3738" t="s">
        <v>40</v>
      </c>
      <c r="D3738">
        <v>5.508318</v>
      </c>
      <c r="E3738">
        <v>0.48906369999999999</v>
      </c>
      <c r="F3738" t="s">
        <v>48</v>
      </c>
      <c r="G3738">
        <v>-265.11349999999999</v>
      </c>
      <c r="H3738" s="1">
        <v>1.2057040000000001E-6</v>
      </c>
      <c r="I3738">
        <v>214.1276</v>
      </c>
      <c r="J3738">
        <v>-288.01249999999999</v>
      </c>
      <c r="K3738">
        <v>1.1100509999999999</v>
      </c>
      <c r="L3738">
        <v>213.62970000000001</v>
      </c>
      <c r="M3738">
        <v>0.99987409999999999</v>
      </c>
      <c r="N3738">
        <v>0</v>
      </c>
      <c r="O3738">
        <v>-4.4854600000000001E-3</v>
      </c>
      <c r="P3738">
        <v>0.99031409999999997</v>
      </c>
      <c r="Q3738">
        <v>0.13112480000000001</v>
      </c>
      <c r="R3738">
        <v>-4.5657999999999997E-2</v>
      </c>
      <c r="S3738">
        <v>3.0515750000000001</v>
      </c>
      <c r="T3738">
        <v>-0.1446733</v>
      </c>
      <c r="U3738">
        <v>6.4605709999999997E-2</v>
      </c>
      <c r="V3738">
        <v>4.1063700000000002E-2</v>
      </c>
      <c r="W3738">
        <v>0.1462425</v>
      </c>
      <c r="X3738">
        <v>0.9883961</v>
      </c>
      <c r="Y3738">
        <v>-2.5617500000000001E-2</v>
      </c>
      <c r="Z3738">
        <v>8.1938289999999902E-4</v>
      </c>
      <c r="AA3738">
        <v>0.99967150000000005</v>
      </c>
      <c r="AB3738">
        <v>53</v>
      </c>
      <c r="AC3738">
        <v>22.899000000000001</v>
      </c>
      <c r="AD3738">
        <v>-1.1100497942959999</v>
      </c>
      <c r="AE3738">
        <v>0.49789999999998702</v>
      </c>
      <c r="AF3738">
        <v>-0.59921200712297296</v>
      </c>
      <c r="AG3738">
        <v>-1.1100497942959999</v>
      </c>
      <c r="AH3738">
        <v>22.842882585973602</v>
      </c>
      <c r="AI3738">
        <v>92.781144415822197</v>
      </c>
      <c r="AJ3738">
        <v>91.502632048912602</v>
      </c>
      <c r="AK3738">
        <v>22.877686736466099</v>
      </c>
      <c r="AL3738">
        <v>81.590763542177697</v>
      </c>
      <c r="AM3738">
        <v>87.620969539444204</v>
      </c>
      <c r="AN3738">
        <v>0.99999997337957403</v>
      </c>
    </row>
    <row r="3739" spans="1:40" x14ac:dyDescent="0.25">
      <c r="A3739" t="str">
        <f>"20190312164101541"</f>
        <v>20190312164101541</v>
      </c>
      <c r="B3739" t="str">
        <f>"1552380061530161"</f>
        <v>1552380061530161</v>
      </c>
      <c r="C3739" t="s">
        <v>40</v>
      </c>
      <c r="D3739">
        <v>5.4430779999999999</v>
      </c>
      <c r="E3739">
        <v>0.49238369999999998</v>
      </c>
      <c r="F3739" t="s">
        <v>48</v>
      </c>
      <c r="G3739">
        <v>-263.57130000000001</v>
      </c>
      <c r="H3739" s="1">
        <v>4.1285749999999999E-7</v>
      </c>
      <c r="I3739">
        <v>213.49080000000001</v>
      </c>
      <c r="J3739">
        <v>-287.48320000000001</v>
      </c>
      <c r="K3739">
        <v>1.110101</v>
      </c>
      <c r="L3739">
        <v>213.6276</v>
      </c>
      <c r="M3739">
        <v>0.99987579999999998</v>
      </c>
      <c r="N3739">
        <v>0</v>
      </c>
      <c r="O3739">
        <v>-4.0621629999999997E-3</v>
      </c>
      <c r="P3739">
        <v>0.99031360000000002</v>
      </c>
      <c r="Q3739">
        <v>0.13128409999999999</v>
      </c>
      <c r="R3739">
        <v>-4.5209640000000002E-2</v>
      </c>
      <c r="S3739">
        <v>3.0468440000000001</v>
      </c>
      <c r="T3739">
        <v>-0.1383789</v>
      </c>
      <c r="U3739">
        <v>-1.7318730000000001E-2</v>
      </c>
      <c r="V3739">
        <v>4.101979E-2</v>
      </c>
      <c r="W3739">
        <v>0.1464029</v>
      </c>
      <c r="X3739">
        <v>0.98837419999999998</v>
      </c>
      <c r="Y3739">
        <v>1.62395799999999E-3</v>
      </c>
      <c r="Z3739">
        <v>1.475572E-4</v>
      </c>
      <c r="AA3739">
        <v>0.99999870000000002</v>
      </c>
      <c r="AB3739">
        <v>53</v>
      </c>
      <c r="AC3739">
        <v>23.911899999999999</v>
      </c>
      <c r="AD3739">
        <v>-1.1101005871425</v>
      </c>
      <c r="AE3739">
        <v>-0.13679999999999301</v>
      </c>
      <c r="AF3739">
        <v>3.9568295220217202E-2</v>
      </c>
      <c r="AG3739">
        <v>-1.1101005871425</v>
      </c>
      <c r="AH3739">
        <v>23.860834192276801</v>
      </c>
      <c r="AI3739">
        <v>92.663702379564498</v>
      </c>
      <c r="AJ3739">
        <v>89.904986798774303</v>
      </c>
      <c r="AK3739">
        <v>23.886676146230201</v>
      </c>
      <c r="AL3739">
        <v>81.581473497066398</v>
      </c>
      <c r="AM3739">
        <v>87.623457955460694</v>
      </c>
      <c r="AN3739">
        <v>0.99999999576284704</v>
      </c>
    </row>
    <row r="3740" spans="1:40" x14ac:dyDescent="0.25">
      <c r="A3740" t="str">
        <f>"20190312164101564"</f>
        <v>20190312164101564</v>
      </c>
      <c r="B3740" t="str">
        <f>"1552380061559950"</f>
        <v>1552380061559950</v>
      </c>
      <c r="C3740" t="s">
        <v>40</v>
      </c>
      <c r="D3740">
        <v>5.4107760000000003</v>
      </c>
      <c r="E3740">
        <v>0.49449219999999999</v>
      </c>
      <c r="F3740" t="s">
        <v>48</v>
      </c>
      <c r="G3740">
        <v>-266.81040000000002</v>
      </c>
      <c r="H3740" s="1">
        <v>2.1427330000000001E-6</v>
      </c>
      <c r="I3740">
        <v>213.3494</v>
      </c>
      <c r="J3740">
        <v>-286.95370000000003</v>
      </c>
      <c r="K3740">
        <v>1.110139</v>
      </c>
      <c r="L3740">
        <v>213.6258</v>
      </c>
      <c r="M3740">
        <v>0.99987760000000003</v>
      </c>
      <c r="N3740">
        <v>0</v>
      </c>
      <c r="O3740">
        <v>-3.6033430000000002E-3</v>
      </c>
      <c r="P3740">
        <v>0.99023000000000005</v>
      </c>
      <c r="Q3740">
        <v>0.13197990000000001</v>
      </c>
      <c r="R3740">
        <v>-4.5008380000000001E-2</v>
      </c>
      <c r="S3740">
        <v>3.0491329999999999</v>
      </c>
      <c r="T3740">
        <v>-0.16373409999999999</v>
      </c>
      <c r="U3740">
        <v>-4.1030879999999999E-2</v>
      </c>
      <c r="V3740">
        <v>4.1258070000000001E-2</v>
      </c>
      <c r="W3740">
        <v>0.1470986</v>
      </c>
      <c r="X3740">
        <v>0.98826099999999995</v>
      </c>
      <c r="Y3740">
        <v>9.8428470000000001E-3</v>
      </c>
      <c r="Z3740" s="1">
        <v>-7.0703970000000004E-5</v>
      </c>
      <c r="AA3740">
        <v>0.99995149999999999</v>
      </c>
      <c r="AB3740">
        <v>53</v>
      </c>
      <c r="AC3740">
        <v>20.1433</v>
      </c>
      <c r="AD3740">
        <v>-1.1101368572669901</v>
      </c>
      <c r="AE3740">
        <v>-0.27639999999999498</v>
      </c>
      <c r="AF3740">
        <v>0.20318953499551301</v>
      </c>
      <c r="AG3740">
        <v>-1.1101368572669901</v>
      </c>
      <c r="AH3740">
        <v>20.0831775479779</v>
      </c>
      <c r="AI3740">
        <v>93.163754637819295</v>
      </c>
      <c r="AJ3740">
        <v>89.420335474083601</v>
      </c>
      <c r="AK3740">
        <v>20.114862919060599</v>
      </c>
      <c r="AL3740">
        <v>81.541176713772401</v>
      </c>
      <c r="AM3740">
        <v>87.609395336851804</v>
      </c>
      <c r="AN3740">
        <v>1.00000001529154</v>
      </c>
    </row>
    <row r="3741" spans="1:40" x14ac:dyDescent="0.25">
      <c r="A3741" t="str">
        <f>"20190312164101587"</f>
        <v>20190312164101587</v>
      </c>
      <c r="B3741" t="str">
        <f>"1552380061579470"</f>
        <v>1552380061579470</v>
      </c>
      <c r="C3741" t="s">
        <v>40</v>
      </c>
      <c r="D3741">
        <v>5.8023579999999999</v>
      </c>
      <c r="E3741">
        <v>0.495259</v>
      </c>
      <c r="F3741" t="s">
        <v>48</v>
      </c>
      <c r="G3741">
        <v>-267.1961</v>
      </c>
      <c r="H3741" s="1">
        <v>2.351952E-6</v>
      </c>
      <c r="I3741">
        <v>213.25909999999999</v>
      </c>
      <c r="J3741">
        <v>-286.40719999999999</v>
      </c>
      <c r="K3741">
        <v>1.1101859999999999</v>
      </c>
      <c r="L3741">
        <v>213.6241</v>
      </c>
      <c r="M3741">
        <v>0.99987939999999997</v>
      </c>
      <c r="N3741">
        <v>0</v>
      </c>
      <c r="O3741">
        <v>-3.0947000000000001E-3</v>
      </c>
      <c r="P3741">
        <v>0.99015330000000001</v>
      </c>
      <c r="Q3741">
        <v>0.13261629999999899</v>
      </c>
      <c r="R3741">
        <v>-4.482887E-2</v>
      </c>
      <c r="S3741">
        <v>3.0498660000000002</v>
      </c>
      <c r="T3741">
        <v>-0.1713655</v>
      </c>
      <c r="U3741">
        <v>-5.6594850000000002E-2</v>
      </c>
      <c r="V3741">
        <v>4.156692E-2</v>
      </c>
      <c r="W3741">
        <v>0.1477349</v>
      </c>
      <c r="X3741">
        <v>0.98815319999999995</v>
      </c>
      <c r="Y3741">
        <v>1.543923E-2</v>
      </c>
      <c r="Z3741">
        <v>-2.5961849999999999E-4</v>
      </c>
      <c r="AA3741">
        <v>0.99988080000000001</v>
      </c>
      <c r="AB3741">
        <v>53</v>
      </c>
      <c r="AC3741">
        <v>19.211099999999899</v>
      </c>
      <c r="AD3741">
        <v>-1.1101836480480001</v>
      </c>
      <c r="AE3741">
        <v>-0.36500000000000898</v>
      </c>
      <c r="AF3741">
        <v>0.30452218092383698</v>
      </c>
      <c r="AG3741">
        <v>-1.1101836480480001</v>
      </c>
      <c r="AH3741">
        <v>19.148214741900102</v>
      </c>
      <c r="AI3741">
        <v>93.317786676902799</v>
      </c>
      <c r="AJ3741">
        <v>89.088877724063394</v>
      </c>
      <c r="AK3741">
        <v>19.182788360741199</v>
      </c>
      <c r="AL3741">
        <v>81.504317231301698</v>
      </c>
      <c r="AM3741">
        <v>87.591258287100302</v>
      </c>
      <c r="AN3741">
        <v>1.0000000780932601</v>
      </c>
    </row>
    <row r="3742" spans="1:40" x14ac:dyDescent="0.25">
      <c r="A3742" t="str">
        <f>"20190312164101609"</f>
        <v>20190312164101609</v>
      </c>
      <c r="B3742" t="str">
        <f>"1552380061599966"</f>
        <v>1552380061599966</v>
      </c>
      <c r="C3742" t="s">
        <v>40</v>
      </c>
      <c r="D3742">
        <v>5.4962609999999996</v>
      </c>
      <c r="E3742">
        <v>0.49597429999999898</v>
      </c>
      <c r="F3742" t="s">
        <v>48</v>
      </c>
      <c r="G3742">
        <v>-265.42380000000003</v>
      </c>
      <c r="H3742" s="1">
        <v>1.411684E-6</v>
      </c>
      <c r="I3742">
        <v>213.19290000000001</v>
      </c>
      <c r="J3742">
        <v>-285.87560000000002</v>
      </c>
      <c r="K3742">
        <v>1.1102320000000001</v>
      </c>
      <c r="L3742">
        <v>213.62280000000001</v>
      </c>
      <c r="M3742">
        <v>0.99988089999999996</v>
      </c>
      <c r="N3742">
        <v>0</v>
      </c>
      <c r="O3742">
        <v>-2.569062E-3</v>
      </c>
      <c r="P3742">
        <v>0.99002500000000004</v>
      </c>
      <c r="Q3742">
        <v>0.13354179999999999</v>
      </c>
      <c r="R3742">
        <v>-4.4914799999999998E-2</v>
      </c>
      <c r="S3742">
        <v>3.048645</v>
      </c>
      <c r="T3742">
        <v>-0.16129649999999901</v>
      </c>
      <c r="U3742">
        <v>-6.2652589999999994E-2</v>
      </c>
      <c r="V3742">
        <v>4.215853E-2</v>
      </c>
      <c r="W3742">
        <v>0.1486596</v>
      </c>
      <c r="X3742">
        <v>0.98798940000000002</v>
      </c>
      <c r="Y3742">
        <v>1.795623E-2</v>
      </c>
      <c r="Z3742">
        <v>-3.3880029999999999E-4</v>
      </c>
      <c r="AA3742">
        <v>0.99983869999999997</v>
      </c>
      <c r="AB3742">
        <v>53</v>
      </c>
      <c r="AC3742">
        <v>20.451799999999899</v>
      </c>
      <c r="AD3742">
        <v>-1.110230588316</v>
      </c>
      <c r="AE3742">
        <v>-0.429900000000003</v>
      </c>
      <c r="AF3742">
        <v>0.37624230032532402</v>
      </c>
      <c r="AG3742">
        <v>-1.110230588316</v>
      </c>
      <c r="AH3742">
        <v>20.392768441982199</v>
      </c>
      <c r="AI3742">
        <v>93.115712285774705</v>
      </c>
      <c r="AJ3742">
        <v>88.943024804624599</v>
      </c>
      <c r="AK3742">
        <v>20.426433241172901</v>
      </c>
      <c r="AL3742">
        <v>81.450743904993402</v>
      </c>
      <c r="AM3742">
        <v>87.556612070743299</v>
      </c>
      <c r="AN3742">
        <v>1.0000000364181301</v>
      </c>
    </row>
    <row r="3743" spans="1:40" x14ac:dyDescent="0.25">
      <c r="A3743" t="str">
        <f>"20190312164101631"</f>
        <v>20190312164101631</v>
      </c>
      <c r="B3743" t="str">
        <f>"1552380061619487"</f>
        <v>1552380061619487</v>
      </c>
      <c r="C3743" t="s">
        <v>40</v>
      </c>
      <c r="D3743">
        <v>5.452763</v>
      </c>
      <c r="E3743">
        <v>0.49643510000000002</v>
      </c>
      <c r="F3743" t="s">
        <v>48</v>
      </c>
      <c r="G3743">
        <v>-263.84390000000002</v>
      </c>
      <c r="H3743" s="1">
        <v>5.7409810000000003E-7</v>
      </c>
      <c r="I3743">
        <v>213.1217</v>
      </c>
      <c r="J3743">
        <v>-285.37119999999999</v>
      </c>
      <c r="K3743">
        <v>1.110284</v>
      </c>
      <c r="L3743">
        <v>213.62180000000001</v>
      </c>
      <c r="M3743">
        <v>0.99988220000000005</v>
      </c>
      <c r="N3743">
        <v>0</v>
      </c>
      <c r="O3743">
        <v>-2.04528E-3</v>
      </c>
      <c r="P3743">
        <v>0.98996790000000001</v>
      </c>
      <c r="Q3743">
        <v>0.13413949999999999</v>
      </c>
      <c r="R3743">
        <v>-4.4386950000000001E-2</v>
      </c>
      <c r="S3743">
        <v>3.0477910000000001</v>
      </c>
      <c r="T3743">
        <v>-0.15358569999999999</v>
      </c>
      <c r="U3743">
        <v>-6.9320679999999996E-2</v>
      </c>
      <c r="V3743">
        <v>4.2136090000000001E-2</v>
      </c>
      <c r="W3743">
        <v>0.14925649999999999</v>
      </c>
      <c r="X3743">
        <v>0.98790029999999995</v>
      </c>
      <c r="Y3743">
        <v>2.0670040000000001E-2</v>
      </c>
      <c r="Z3743">
        <v>-4.174103E-4</v>
      </c>
      <c r="AA3743">
        <v>0.99978630000000002</v>
      </c>
      <c r="AB3743">
        <v>53</v>
      </c>
      <c r="AC3743">
        <v>21.527299999999901</v>
      </c>
      <c r="AD3743">
        <v>-1.1102834259018901</v>
      </c>
      <c r="AE3743">
        <v>-0.50010000000000299</v>
      </c>
      <c r="AF3743">
        <v>0.45485522083580798</v>
      </c>
      <c r="AG3743">
        <v>-1.1102834259018901</v>
      </c>
      <c r="AH3743">
        <v>21.471194441628001</v>
      </c>
      <c r="AI3743">
        <v>92.959486614689894</v>
      </c>
      <c r="AJ3743">
        <v>88.786402546673301</v>
      </c>
      <c r="AK3743">
        <v>21.5046928205903</v>
      </c>
      <c r="AL3743">
        <v>81.416157693149103</v>
      </c>
      <c r="AM3743">
        <v>87.557691065592294</v>
      </c>
      <c r="AN3743">
        <v>0.99999997780641303</v>
      </c>
    </row>
    <row r="3744" spans="1:40" x14ac:dyDescent="0.25">
      <c r="A3744" t="str">
        <f>"20190312164101653"</f>
        <v>20190312164101653</v>
      </c>
      <c r="B3744" t="str">
        <f>"1552380061649742"</f>
        <v>1552380061649742</v>
      </c>
      <c r="C3744" t="s">
        <v>40</v>
      </c>
      <c r="D3744">
        <v>5.5148330000000003</v>
      </c>
      <c r="E3744">
        <v>0.49729000000000001</v>
      </c>
      <c r="F3744" t="s">
        <v>48</v>
      </c>
      <c r="G3744">
        <v>-263.56389999999999</v>
      </c>
      <c r="H3744" s="1">
        <v>4.2553389999999999E-7</v>
      </c>
      <c r="I3744">
        <v>213.11150000000001</v>
      </c>
      <c r="J3744">
        <v>-284.84359999999998</v>
      </c>
      <c r="K3744">
        <v>1.11032999999999</v>
      </c>
      <c r="L3744">
        <v>213.62110000000001</v>
      </c>
      <c r="M3744">
        <v>0.99988330000000003</v>
      </c>
      <c r="N3744">
        <v>0</v>
      </c>
      <c r="O3744">
        <v>-1.476694E-3</v>
      </c>
      <c r="P3744">
        <v>0.98991189999999996</v>
      </c>
      <c r="Q3744">
        <v>0.1347624</v>
      </c>
      <c r="R3744">
        <v>-4.375035E-2</v>
      </c>
      <c r="S3744">
        <v>3.0482179999999999</v>
      </c>
      <c r="T3744">
        <v>-0.155195</v>
      </c>
      <c r="U3744">
        <v>-7.1334839999999997E-2</v>
      </c>
      <c r="V3744">
        <v>4.2049000000000003E-2</v>
      </c>
      <c r="W3744">
        <v>0.14987839999999999</v>
      </c>
      <c r="X3744">
        <v>0.98780990000000002</v>
      </c>
      <c r="Y3744">
        <v>2.1892829999999999E-2</v>
      </c>
      <c r="Z3744">
        <v>-4.8174900000000001E-4</v>
      </c>
      <c r="AA3744">
        <v>0.99976019999999999</v>
      </c>
      <c r="AB3744">
        <v>53</v>
      </c>
      <c r="AC3744">
        <v>21.279699999999899</v>
      </c>
      <c r="AD3744">
        <v>-1.1103295744660999</v>
      </c>
      <c r="AE3744">
        <v>-0.50960000000000605</v>
      </c>
      <c r="AF3744">
        <v>0.47687464384805101</v>
      </c>
      <c r="AG3744">
        <v>-1.1103295744660999</v>
      </c>
      <c r="AH3744">
        <v>21.222683110442699</v>
      </c>
      <c r="AI3744">
        <v>92.994119030085201</v>
      </c>
      <c r="AJ3744">
        <v>88.712777869401293</v>
      </c>
      <c r="AK3744">
        <v>21.257058112451698</v>
      </c>
      <c r="AL3744">
        <v>81.380120495611393</v>
      </c>
      <c r="AM3744">
        <v>87.562510138536894</v>
      </c>
      <c r="AN3744">
        <v>1.0000000258627799</v>
      </c>
    </row>
    <row r="3745" spans="1:40" x14ac:dyDescent="0.25">
      <c r="A3745" t="str">
        <f>"20190312164101676"</f>
        <v>20190312164101676</v>
      </c>
      <c r="B3745" t="str">
        <f>"1552380061670237"</f>
        <v>1552380061670237</v>
      </c>
      <c r="C3745" t="s">
        <v>40</v>
      </c>
      <c r="D3745">
        <v>5.6101679999999998</v>
      </c>
      <c r="E3745">
        <v>0.49809219999999998</v>
      </c>
      <c r="F3745" t="s">
        <v>48</v>
      </c>
      <c r="G3745">
        <v>-263.29579999999999</v>
      </c>
      <c r="H3745" s="1">
        <v>2.8414040000000002E-7</v>
      </c>
      <c r="I3745">
        <v>213.08250000000001</v>
      </c>
      <c r="J3745">
        <v>-284.3048</v>
      </c>
      <c r="K3745">
        <v>1.1103799999999999</v>
      </c>
      <c r="L3745">
        <v>213.6207</v>
      </c>
      <c r="M3745">
        <v>0.999884</v>
      </c>
      <c r="N3745">
        <v>0</v>
      </c>
      <c r="O3745">
        <v>-8.8073160000000004E-4</v>
      </c>
      <c r="P3745">
        <v>0.98983929999999998</v>
      </c>
      <c r="Q3745">
        <v>0.13544400000000001</v>
      </c>
      <c r="R3745">
        <v>-4.3283090000000003E-2</v>
      </c>
      <c r="S3745">
        <v>3.048584</v>
      </c>
      <c r="T3745">
        <v>-0.15709010000000001</v>
      </c>
      <c r="U3745">
        <v>-7.6202389999999995E-2</v>
      </c>
      <c r="V3745">
        <v>4.2159269999999999E-2</v>
      </c>
      <c r="W3745">
        <v>0.15055869999999999</v>
      </c>
      <c r="X3745">
        <v>0.98770170000000002</v>
      </c>
      <c r="Y3745">
        <v>2.407687E-2</v>
      </c>
      <c r="Z3745">
        <v>-5.7446790000000004E-4</v>
      </c>
      <c r="AA3745">
        <v>0.99970999999999999</v>
      </c>
      <c r="AB3745">
        <v>53</v>
      </c>
      <c r="AC3745">
        <v>21.009</v>
      </c>
      <c r="AD3745">
        <v>-1.1103797158595901</v>
      </c>
      <c r="AE3745">
        <v>-0.53819999999998902</v>
      </c>
      <c r="AF3745">
        <v>0.51824764088339603</v>
      </c>
      <c r="AG3745">
        <v>-1.1103797158595901</v>
      </c>
      <c r="AH3745">
        <v>20.950979943920402</v>
      </c>
      <c r="AI3745">
        <v>93.032851161062993</v>
      </c>
      <c r="AJ3745">
        <v>88.583009071434404</v>
      </c>
      <c r="AK3745">
        <v>20.986783563500801</v>
      </c>
      <c r="AL3745">
        <v>81.340694468929001</v>
      </c>
      <c r="AM3745">
        <v>87.555858369358404</v>
      </c>
      <c r="AN3745">
        <v>0.99999998718775596</v>
      </c>
    </row>
    <row r="3746" spans="1:40" x14ac:dyDescent="0.25">
      <c r="A3746" t="str">
        <f>"20190312164101699"</f>
        <v>20190312164101699</v>
      </c>
      <c r="B3746" t="str">
        <f>"1552380061689758"</f>
        <v>1552380061689758</v>
      </c>
      <c r="C3746" t="s">
        <v>40</v>
      </c>
      <c r="D3746">
        <v>5.4932749999999997</v>
      </c>
      <c r="E3746">
        <v>0.49831999999999999</v>
      </c>
      <c r="F3746" t="s">
        <v>48</v>
      </c>
      <c r="G3746">
        <v>-262.90230000000003</v>
      </c>
      <c r="H3746" s="1">
        <v>7.6056470000000001E-8</v>
      </c>
      <c r="I3746">
        <v>213.0513</v>
      </c>
      <c r="J3746">
        <v>-283.78399999999999</v>
      </c>
      <c r="K3746">
        <v>1.1104240000000001</v>
      </c>
      <c r="L3746">
        <v>213.6206</v>
      </c>
      <c r="M3746">
        <v>0.9998842</v>
      </c>
      <c r="N3746">
        <v>0</v>
      </c>
      <c r="O3746">
        <v>-2.9378800000000001E-4</v>
      </c>
      <c r="P3746">
        <v>0.98972039999999994</v>
      </c>
      <c r="Q3746">
        <v>0.1366511</v>
      </c>
      <c r="R3746">
        <v>-4.2190289999999998E-2</v>
      </c>
      <c r="S3746">
        <v>3.048889</v>
      </c>
      <c r="T3746">
        <v>-0.1581786</v>
      </c>
      <c r="U3746">
        <v>-8.1115720000000002E-2</v>
      </c>
      <c r="V3746">
        <v>4.1635529999999997E-2</v>
      </c>
      <c r="W3746">
        <v>0.1517616</v>
      </c>
      <c r="X3746">
        <v>0.98753979999999997</v>
      </c>
      <c r="Y3746">
        <v>2.6266979999999999E-2</v>
      </c>
      <c r="Z3746">
        <v>-6.6556600000000003E-4</v>
      </c>
      <c r="AA3746">
        <v>0.99965479999999995</v>
      </c>
      <c r="AB3746">
        <v>53</v>
      </c>
      <c r="AC3746">
        <v>20.881699999999899</v>
      </c>
      <c r="AD3746">
        <v>-1.1104239239435301</v>
      </c>
      <c r="AE3746">
        <v>-0.56929999999999803</v>
      </c>
      <c r="AF3746">
        <v>0.56157763269574001</v>
      </c>
      <c r="AG3746">
        <v>-1.1104239239435301</v>
      </c>
      <c r="AH3746">
        <v>20.8230271253993</v>
      </c>
      <c r="AI3746">
        <v>93.051397798072898</v>
      </c>
      <c r="AJ3746">
        <v>88.455160694889202</v>
      </c>
      <c r="AK3746">
        <v>20.8601742416866</v>
      </c>
      <c r="AL3746">
        <v>81.270972136151897</v>
      </c>
      <c r="AM3746">
        <v>87.585790274642804</v>
      </c>
      <c r="AN3746">
        <v>0.99999997858848999</v>
      </c>
    </row>
    <row r="3747" spans="1:40" x14ac:dyDescent="0.25">
      <c r="A3747" t="str">
        <f>"20190312164101731"</f>
        <v>20190312164101731</v>
      </c>
      <c r="B3747" t="str">
        <f>"1552380061720014"</f>
        <v>1552380061720014</v>
      </c>
      <c r="C3747" t="s">
        <v>40</v>
      </c>
      <c r="D3747">
        <v>5.5577319999999997</v>
      </c>
      <c r="E3747">
        <v>0.49893949999999998</v>
      </c>
      <c r="F3747" t="s">
        <v>48</v>
      </c>
      <c r="G3747">
        <v>-261.72300000000001</v>
      </c>
      <c r="H3747" s="1">
        <v>-5.5108069999999998E-7</v>
      </c>
      <c r="I3747">
        <v>213.04249999999999</v>
      </c>
      <c r="J3747">
        <v>-283.0009</v>
      </c>
      <c r="K3747">
        <v>1.1104780000000001</v>
      </c>
      <c r="L3747">
        <v>213.62100000000001</v>
      </c>
      <c r="M3747">
        <v>0.9998842</v>
      </c>
      <c r="N3747">
        <v>0</v>
      </c>
      <c r="O3747">
        <v>6.0129159999999999E-4</v>
      </c>
      <c r="P3747">
        <v>0.98958710000000005</v>
      </c>
      <c r="Q3747">
        <v>0.13789660000000001</v>
      </c>
      <c r="R3747">
        <v>-4.1253709999999999E-2</v>
      </c>
      <c r="S3747">
        <v>3.04895</v>
      </c>
      <c r="T3747">
        <v>-0.15346689999999999</v>
      </c>
      <c r="U3747">
        <v>-7.9895019999999997E-2</v>
      </c>
      <c r="V3747">
        <v>4.1570370000000002E-2</v>
      </c>
      <c r="W3747">
        <v>0.1530029</v>
      </c>
      <c r="X3747">
        <v>0.98735099999999998</v>
      </c>
      <c r="Y3747">
        <v>2.6761650000000001E-2</v>
      </c>
      <c r="Z3747">
        <v>-7.0321860000000002E-4</v>
      </c>
      <c r="AA3747">
        <v>0.99964160000000002</v>
      </c>
      <c r="AB3747">
        <v>53</v>
      </c>
      <c r="AC3747">
        <v>21.277899999999899</v>
      </c>
      <c r="AD3747">
        <v>-1.1104785510807</v>
      </c>
      <c r="AE3747">
        <v>-0.57849999999999102</v>
      </c>
      <c r="AF3747">
        <v>0.58969063021512402</v>
      </c>
      <c r="AG3747">
        <v>-1.1104785510807</v>
      </c>
      <c r="AH3747">
        <v>21.219794129886601</v>
      </c>
      <c r="AI3747">
        <v>92.994527624403204</v>
      </c>
      <c r="AJ3747">
        <v>88.408180083884005</v>
      </c>
      <c r="AK3747">
        <v>21.2570120328926</v>
      </c>
      <c r="AL3747">
        <v>81.199010586310195</v>
      </c>
      <c r="AM3747">
        <v>87.589103699152503</v>
      </c>
      <c r="AN3747">
        <v>0.99999999013567298</v>
      </c>
    </row>
    <row r="3748" spans="1:40" x14ac:dyDescent="0.25">
      <c r="A3748" t="str">
        <f>"20190312164101754"</f>
        <v>20190312164101754</v>
      </c>
      <c r="B3748" t="str">
        <f>"1552380061750270"</f>
        <v>1552380061750270</v>
      </c>
      <c r="C3748" t="s">
        <v>40</v>
      </c>
      <c r="D3748">
        <v>5.4639930000000003</v>
      </c>
      <c r="E3748">
        <v>0.49899270000000001</v>
      </c>
      <c r="F3748" t="s">
        <v>48</v>
      </c>
      <c r="G3748">
        <v>-260.03809999999999</v>
      </c>
      <c r="H3748" s="1">
        <v>-1.445823E-6</v>
      </c>
      <c r="I3748">
        <v>212.99979999999999</v>
      </c>
      <c r="J3748">
        <v>-282.48649999999998</v>
      </c>
      <c r="K3748">
        <v>1.1105050000000001</v>
      </c>
      <c r="L3748">
        <v>213.6217</v>
      </c>
      <c r="M3748">
        <v>0.99988370000000004</v>
      </c>
      <c r="N3748">
        <v>0</v>
      </c>
      <c r="O3748">
        <v>1.1944060000000001E-3</v>
      </c>
      <c r="P3748">
        <v>0.98952320000000005</v>
      </c>
      <c r="Q3748">
        <v>0.1386358</v>
      </c>
      <c r="R3748">
        <v>-4.029721E-2</v>
      </c>
      <c r="S3748">
        <v>3.048645</v>
      </c>
      <c r="T3748">
        <v>-0.1474327</v>
      </c>
      <c r="U3748">
        <v>-8.2473749999999998E-2</v>
      </c>
      <c r="V3748">
        <v>4.1192449999999999E-2</v>
      </c>
      <c r="W3748">
        <v>0.15373889999999901</v>
      </c>
      <c r="X3748">
        <v>0.98725249999999998</v>
      </c>
      <c r="Y3748">
        <v>2.8202459999999999E-2</v>
      </c>
      <c r="Z3748">
        <v>-7.3913789999999896E-4</v>
      </c>
      <c r="AA3748">
        <v>0.99960199999999999</v>
      </c>
      <c r="AB3748">
        <v>53</v>
      </c>
      <c r="AC3748">
        <v>22.4483999999999</v>
      </c>
      <c r="AD3748">
        <v>-1.1105064458229901</v>
      </c>
      <c r="AE3748">
        <v>-0.62190000000001</v>
      </c>
      <c r="AF3748">
        <v>0.64713270383160604</v>
      </c>
      <c r="AG3748">
        <v>-1.1105064458229901</v>
      </c>
      <c r="AH3748">
        <v>22.3928830174262</v>
      </c>
      <c r="AI3748">
        <v>92.837899918369999</v>
      </c>
      <c r="AJ3748">
        <v>88.344667995044901</v>
      </c>
      <c r="AK3748">
        <v>22.429739524450898</v>
      </c>
      <c r="AL3748">
        <v>81.156335931636804</v>
      </c>
      <c r="AM3748">
        <v>87.610757785881006</v>
      </c>
      <c r="AN3748">
        <v>0.99999998303323101</v>
      </c>
    </row>
    <row r="3749" spans="1:40" x14ac:dyDescent="0.25">
      <c r="A3749" t="str">
        <f>"20190312164101776"</f>
        <v>20190312164101776</v>
      </c>
      <c r="B3749" t="str">
        <f>"1552380061769790"</f>
        <v>1552380061769790</v>
      </c>
      <c r="C3749" t="s">
        <v>40</v>
      </c>
      <c r="D3749">
        <v>5.553998</v>
      </c>
      <c r="E3749">
        <v>0.49904850000000001</v>
      </c>
      <c r="F3749" t="s">
        <v>48</v>
      </c>
      <c r="G3749">
        <v>-258.83199999999999</v>
      </c>
      <c r="H3749" s="1">
        <v>3.2339489999999999E-6</v>
      </c>
      <c r="I3749">
        <v>212.99680000000001</v>
      </c>
      <c r="J3749">
        <v>-281.94959999999998</v>
      </c>
      <c r="K3749">
        <v>1.1105240000000001</v>
      </c>
      <c r="L3749">
        <v>213.62270000000001</v>
      </c>
      <c r="M3749">
        <v>0.99988310000000002</v>
      </c>
      <c r="N3749">
        <v>0</v>
      </c>
      <c r="O3749">
        <v>1.8159160000000001E-3</v>
      </c>
      <c r="P3749">
        <v>0.98952220000000002</v>
      </c>
      <c r="Q3749">
        <v>0.13886679999999901</v>
      </c>
      <c r="R3749">
        <v>-3.9526840000000001E-2</v>
      </c>
      <c r="S3749">
        <v>3.0485229999999999</v>
      </c>
      <c r="T3749">
        <v>-0.1431183</v>
      </c>
      <c r="U3749">
        <v>-8.0535889999999999E-2</v>
      </c>
      <c r="V3749">
        <v>4.1030509999999999E-2</v>
      </c>
      <c r="W3749">
        <v>0.1539674</v>
      </c>
      <c r="X3749">
        <v>0.98722359999999998</v>
      </c>
      <c r="Y3749">
        <v>2.8191210000000001E-2</v>
      </c>
      <c r="Z3749">
        <v>-7.4646339999999997E-4</v>
      </c>
      <c r="AA3749">
        <v>0.99960230000000005</v>
      </c>
      <c r="AB3749">
        <v>53</v>
      </c>
      <c r="AC3749">
        <v>23.1175999999999</v>
      </c>
      <c r="AD3749">
        <v>-1.1105207660509999</v>
      </c>
      <c r="AE3749">
        <v>-0.62590000000000101</v>
      </c>
      <c r="AF3749">
        <v>0.66634686457855596</v>
      </c>
      <c r="AG3749">
        <v>-1.1105207660509999</v>
      </c>
      <c r="AH3749">
        <v>23.063242508475</v>
      </c>
      <c r="AI3749">
        <v>92.755578171931106</v>
      </c>
      <c r="AJ3749">
        <v>88.345061628693003</v>
      </c>
      <c r="AK3749">
        <v>23.099576392663401</v>
      </c>
      <c r="AL3749">
        <v>81.143085791930503</v>
      </c>
      <c r="AM3749">
        <v>87.620070211863194</v>
      </c>
      <c r="AN3749">
        <v>0.99999994970528805</v>
      </c>
    </row>
    <row r="3750" spans="1:40" x14ac:dyDescent="0.25">
      <c r="A3750" t="str">
        <f>"20190312164101800"</f>
        <v>20190312164101800</v>
      </c>
      <c r="B3750" t="str">
        <f>"1552380061790286"</f>
        <v>1552380061790286</v>
      </c>
      <c r="C3750" t="s">
        <v>40</v>
      </c>
      <c r="D3750">
        <v>5.4913629999999998</v>
      </c>
      <c r="E3750">
        <v>0.49919649999999999</v>
      </c>
      <c r="F3750" t="s">
        <v>48</v>
      </c>
      <c r="G3750">
        <v>-257.9418</v>
      </c>
      <c r="H3750" s="1">
        <v>2.7601629999999999E-6</v>
      </c>
      <c r="I3750">
        <v>212.99799999999999</v>
      </c>
      <c r="J3750">
        <v>-281.40929999999997</v>
      </c>
      <c r="K3750">
        <v>1.110544</v>
      </c>
      <c r="L3750">
        <v>213.6241</v>
      </c>
      <c r="M3750">
        <v>0.99988169999999998</v>
      </c>
      <c r="N3750">
        <v>0</v>
      </c>
      <c r="O3750">
        <v>2.4441160000000001E-3</v>
      </c>
      <c r="P3750">
        <v>0.98949529999999997</v>
      </c>
      <c r="Q3750">
        <v>0.13920879999999999</v>
      </c>
      <c r="R3750">
        <v>-3.8990030000000002E-2</v>
      </c>
      <c r="S3750">
        <v>3.0483699999999998</v>
      </c>
      <c r="T3750">
        <v>-0.14100739999999901</v>
      </c>
      <c r="U3750">
        <v>-7.9315189999999994E-2</v>
      </c>
      <c r="V3750">
        <v>4.1109710000000001E-2</v>
      </c>
      <c r="W3750">
        <v>0.1543062</v>
      </c>
      <c r="X3750">
        <v>0.98716749999999998</v>
      </c>
      <c r="Y3750">
        <v>2.8420589999999999E-2</v>
      </c>
      <c r="Z3750">
        <v>-7.6984959999999996E-4</v>
      </c>
      <c r="AA3750">
        <v>0.99959580000000003</v>
      </c>
      <c r="AB3750">
        <v>53</v>
      </c>
      <c r="AC3750">
        <v>23.467499999999902</v>
      </c>
      <c r="AD3750">
        <v>-1.110541239837</v>
      </c>
      <c r="AE3750">
        <v>-0.62610000000000798</v>
      </c>
      <c r="AF3750">
        <v>0.68193598106387698</v>
      </c>
      <c r="AG3750">
        <v>-1.110541239837</v>
      </c>
      <c r="AH3750">
        <v>23.413504056491501</v>
      </c>
      <c r="AI3750">
        <v>92.714448987262799</v>
      </c>
      <c r="AJ3750">
        <v>88.331688809179894</v>
      </c>
      <c r="AK3750">
        <v>23.449744363872998</v>
      </c>
      <c r="AL3750">
        <v>81.123440023267705</v>
      </c>
      <c r="AM3750">
        <v>87.615346246228199</v>
      </c>
      <c r="AN3750">
        <v>1.00000004233548</v>
      </c>
    </row>
    <row r="3751" spans="1:40" x14ac:dyDescent="0.25">
      <c r="A3751" t="str">
        <f>"20190312164101821"</f>
        <v>20190312164101821</v>
      </c>
      <c r="B3751" t="str">
        <f>"1552380061809806"</f>
        <v>1552380061809806</v>
      </c>
      <c r="C3751" t="s">
        <v>40</v>
      </c>
      <c r="D3751">
        <v>5.48109</v>
      </c>
      <c r="E3751">
        <v>0.49939640000000002</v>
      </c>
      <c r="F3751" t="s">
        <v>48</v>
      </c>
      <c r="G3751">
        <v>-257.25560000000002</v>
      </c>
      <c r="H3751" s="1">
        <v>2.3950789999999998E-6</v>
      </c>
      <c r="I3751">
        <v>212.99709999999999</v>
      </c>
      <c r="J3751">
        <v>-280.90390000000002</v>
      </c>
      <c r="K3751">
        <v>1.1105590000000001</v>
      </c>
      <c r="L3751">
        <v>213.62569999999999</v>
      </c>
      <c r="M3751">
        <v>0.99987999999999999</v>
      </c>
      <c r="N3751">
        <v>0</v>
      </c>
      <c r="O3751">
        <v>3.032809E-3</v>
      </c>
      <c r="P3751">
        <v>0.98946800000000001</v>
      </c>
      <c r="Q3751">
        <v>0.13949790000000001</v>
      </c>
      <c r="R3751">
        <v>-3.8648080000000001E-2</v>
      </c>
      <c r="S3751">
        <v>3.0484309999999999</v>
      </c>
      <c r="T3751">
        <v>-0.14016149999999999</v>
      </c>
      <c r="U3751">
        <v>-7.9132079999999994E-2</v>
      </c>
      <c r="V3751">
        <v>4.1345699999999999E-2</v>
      </c>
      <c r="W3751">
        <v>0.15459310000000001</v>
      </c>
      <c r="X3751">
        <v>0.98711269999999995</v>
      </c>
      <c r="Y3751">
        <v>2.8947810000000001E-2</v>
      </c>
      <c r="Z3751">
        <v>-8.0438489999999998E-4</v>
      </c>
      <c r="AA3751">
        <v>0.99958060000000004</v>
      </c>
      <c r="AB3751">
        <v>52</v>
      </c>
      <c r="AC3751">
        <v>23.648299999999999</v>
      </c>
      <c r="AD3751">
        <v>-1.1105566049210001</v>
      </c>
      <c r="AE3751">
        <v>-0.62860000000000504</v>
      </c>
      <c r="AF3751">
        <v>0.69878616880654298</v>
      </c>
      <c r="AG3751">
        <v>-1.1105566049210001</v>
      </c>
      <c r="AH3751">
        <v>23.594287169293299</v>
      </c>
      <c r="AI3751">
        <v>92.693679664930499</v>
      </c>
      <c r="AJ3751">
        <v>88.303580955840403</v>
      </c>
      <c r="AK3751">
        <v>23.630743219575798</v>
      </c>
      <c r="AL3751">
        <v>81.106801734920296</v>
      </c>
      <c r="AM3751">
        <v>87.601540108588097</v>
      </c>
      <c r="AN3751">
        <v>0.99999998798869405</v>
      </c>
    </row>
    <row r="3752" spans="1:40" x14ac:dyDescent="0.25">
      <c r="A3752" t="str">
        <f>"20190312164101843"</f>
        <v>20190312164101843</v>
      </c>
      <c r="B3752" t="str">
        <f>"1552380061840062"</f>
        <v>1552380061840062</v>
      </c>
      <c r="C3752" t="s">
        <v>40</v>
      </c>
      <c r="D3752">
        <v>5.2735089999999998</v>
      </c>
      <c r="E3752">
        <v>0.49955460000000002</v>
      </c>
      <c r="F3752" t="s">
        <v>48</v>
      </c>
      <c r="G3752">
        <v>-257.10070000000002</v>
      </c>
      <c r="H3752" s="1">
        <v>2.312449E-6</v>
      </c>
      <c r="I3752">
        <v>213.00120000000001</v>
      </c>
      <c r="J3752">
        <v>-280.3888</v>
      </c>
      <c r="K3752">
        <v>1.1105750000000001</v>
      </c>
      <c r="L3752">
        <v>213.6276</v>
      </c>
      <c r="M3752">
        <v>0.99987820000000005</v>
      </c>
      <c r="N3752">
        <v>0</v>
      </c>
      <c r="O3752">
        <v>3.6342879999999998E-3</v>
      </c>
      <c r="P3752">
        <v>0.98944319999999997</v>
      </c>
      <c r="Q3752">
        <v>0.1396732</v>
      </c>
      <c r="R3752">
        <v>-3.8647590000000002E-2</v>
      </c>
      <c r="S3752">
        <v>3.048889</v>
      </c>
      <c r="T3752">
        <v>-0.1422484</v>
      </c>
      <c r="U3752">
        <v>-7.9986570000000007E-2</v>
      </c>
      <c r="V3752">
        <v>4.1936710000000002E-2</v>
      </c>
      <c r="W3752">
        <v>0.15476599999999999</v>
      </c>
      <c r="X3752">
        <v>0.98706070000000001</v>
      </c>
      <c r="Y3752">
        <v>2.982255E-2</v>
      </c>
      <c r="Z3752">
        <v>-8.6466069999999997E-4</v>
      </c>
      <c r="AA3752">
        <v>0.99955479999999997</v>
      </c>
      <c r="AB3752">
        <v>52</v>
      </c>
      <c r="AC3752">
        <v>23.288099999999901</v>
      </c>
      <c r="AD3752">
        <v>-1.110572687551</v>
      </c>
      <c r="AE3752">
        <v>-0.62639999999998897</v>
      </c>
      <c r="AF3752">
        <v>0.70942906859921295</v>
      </c>
      <c r="AG3752">
        <v>-1.110572687551</v>
      </c>
      <c r="AH3752">
        <v>23.232871730275001</v>
      </c>
      <c r="AI3752">
        <v>92.735484091649298</v>
      </c>
      <c r="AJ3752">
        <v>88.250983969472799</v>
      </c>
      <c r="AK3752">
        <v>23.270216804600601</v>
      </c>
      <c r="AL3752">
        <v>81.096774848007797</v>
      </c>
      <c r="AM3752">
        <v>87.567168572549704</v>
      </c>
      <c r="AN3752">
        <v>1.00000001394305</v>
      </c>
    </row>
    <row r="3753" spans="1:40" x14ac:dyDescent="0.25">
      <c r="A3753" t="str">
        <f>"20190312164101866"</f>
        <v>20190312164101866</v>
      </c>
      <c r="B3753" t="str">
        <f>"1552380061859584"</f>
        <v>1552380061859584</v>
      </c>
      <c r="C3753" t="s">
        <v>40</v>
      </c>
      <c r="D3753">
        <v>5.3691680000000002</v>
      </c>
      <c r="E3753">
        <v>0.49963010000000002</v>
      </c>
      <c r="F3753" t="s">
        <v>48</v>
      </c>
      <c r="G3753">
        <v>-256.52640000000002</v>
      </c>
      <c r="H3753" s="1">
        <v>2.0073670000000002E-6</v>
      </c>
      <c r="I3753">
        <v>212.989</v>
      </c>
      <c r="J3753">
        <v>-279.85239999999999</v>
      </c>
      <c r="K3753">
        <v>1.1106039999999999</v>
      </c>
      <c r="L3753">
        <v>213.62989999999999</v>
      </c>
      <c r="M3753">
        <v>0.99987570000000003</v>
      </c>
      <c r="N3753">
        <v>0</v>
      </c>
      <c r="O3753">
        <v>4.2625049999999998E-3</v>
      </c>
      <c r="P3753">
        <v>0.9892765</v>
      </c>
      <c r="Q3753">
        <v>0.14069400000000001</v>
      </c>
      <c r="R3753">
        <v>-3.9208079999999999E-2</v>
      </c>
      <c r="S3753">
        <v>3.0488279999999999</v>
      </c>
      <c r="T3753">
        <v>-0.14189450000000001</v>
      </c>
      <c r="U3753">
        <v>-8.1588750000000002E-2</v>
      </c>
      <c r="V3753">
        <v>4.3113289999999999E-2</v>
      </c>
      <c r="W3753">
        <v>0.1557839</v>
      </c>
      <c r="X3753">
        <v>0.9868498</v>
      </c>
      <c r="Y3753">
        <v>3.097422E-2</v>
      </c>
      <c r="Z3753">
        <v>-9.1852389999999996E-4</v>
      </c>
      <c r="AA3753">
        <v>0.99951979999999996</v>
      </c>
      <c r="AB3753">
        <v>52</v>
      </c>
      <c r="AC3753">
        <v>23.325999999999901</v>
      </c>
      <c r="AD3753">
        <v>-1.110601992633</v>
      </c>
      <c r="AE3753">
        <v>-0.64089999999998704</v>
      </c>
      <c r="AF3753">
        <v>0.73865960508525197</v>
      </c>
      <c r="AG3753">
        <v>-1.110601992633</v>
      </c>
      <c r="AH3753">
        <v>23.2703436580599</v>
      </c>
      <c r="AI3753">
        <v>92.731055419434895</v>
      </c>
      <c r="AJ3753">
        <v>88.181897411261104</v>
      </c>
      <c r="AK3753">
        <v>23.308538108651</v>
      </c>
      <c r="AL3753">
        <v>81.037736878426898</v>
      </c>
      <c r="AM3753">
        <v>87.498464519419102</v>
      </c>
      <c r="AN3753">
        <v>0.99999995351693605</v>
      </c>
    </row>
    <row r="3754" spans="1:40" x14ac:dyDescent="0.25">
      <c r="A3754" t="str">
        <f>"20190312164101887"</f>
        <v>20190312164101887</v>
      </c>
      <c r="B3754" t="str">
        <f>"1552380061880081"</f>
        <v>1552380061880081</v>
      </c>
      <c r="C3754" t="s">
        <v>40</v>
      </c>
      <c r="D3754">
        <v>5.3841619999999999</v>
      </c>
      <c r="E3754">
        <v>0.49977240000000001</v>
      </c>
      <c r="F3754" t="s">
        <v>48</v>
      </c>
      <c r="G3754">
        <v>-255.25659999999999</v>
      </c>
      <c r="H3754" s="1">
        <v>1.3335079999999901E-6</v>
      </c>
      <c r="I3754">
        <v>212.9462</v>
      </c>
      <c r="J3754">
        <v>-279.33789999999999</v>
      </c>
      <c r="K3754">
        <v>1.110627</v>
      </c>
      <c r="L3754">
        <v>213.63249999999999</v>
      </c>
      <c r="M3754">
        <v>0.99987300000000001</v>
      </c>
      <c r="N3754">
        <v>0</v>
      </c>
      <c r="O3754">
        <v>4.865538E-3</v>
      </c>
      <c r="P3754">
        <v>0.98898629999999998</v>
      </c>
      <c r="Q3754">
        <v>0.14262279999999999</v>
      </c>
      <c r="R3754">
        <v>-3.9561579999999999E-2</v>
      </c>
      <c r="S3754">
        <v>3.048737</v>
      </c>
      <c r="T3754">
        <v>-0.13766339999999999</v>
      </c>
      <c r="U3754">
        <v>-8.4747310000000006E-2</v>
      </c>
      <c r="V3754">
        <v>4.4055780000000003E-2</v>
      </c>
      <c r="W3754">
        <v>0.15770629999999999</v>
      </c>
      <c r="X3754">
        <v>0.98650280000000001</v>
      </c>
      <c r="Y3754">
        <v>3.2612519999999999E-2</v>
      </c>
      <c r="Z3754">
        <v>-9.5535360000000003E-4</v>
      </c>
      <c r="AA3754">
        <v>0.99946760000000001</v>
      </c>
      <c r="AB3754">
        <v>52</v>
      </c>
      <c r="AC3754">
        <v>24.081299999999999</v>
      </c>
      <c r="AD3754">
        <v>-1.110625666492</v>
      </c>
      <c r="AE3754">
        <v>-0.68629999999998803</v>
      </c>
      <c r="AF3754">
        <v>0.80176983756278197</v>
      </c>
      <c r="AG3754">
        <v>-1.110625666492</v>
      </c>
      <c r="AH3754">
        <v>24.026611209076499</v>
      </c>
      <c r="AI3754">
        <v>92.645132615634196</v>
      </c>
      <c r="AJ3754">
        <v>88.088744717098507</v>
      </c>
      <c r="AK3754">
        <v>24.065626325438</v>
      </c>
      <c r="AL3754">
        <v>80.926213167352103</v>
      </c>
      <c r="AM3754">
        <v>87.442952843696006</v>
      </c>
      <c r="AN3754">
        <v>0.99999998160946901</v>
      </c>
    </row>
    <row r="3755" spans="1:40" x14ac:dyDescent="0.25">
      <c r="A3755" t="str">
        <f>"20190312164101910"</f>
        <v>20190312164101910</v>
      </c>
      <c r="B3755" t="str">
        <f>"1552380061899598"</f>
        <v>1552380061899598</v>
      </c>
      <c r="C3755" t="s">
        <v>40</v>
      </c>
      <c r="D3755">
        <v>5.318587</v>
      </c>
      <c r="E3755">
        <v>0.49991210000000003</v>
      </c>
      <c r="F3755" t="s">
        <v>48</v>
      </c>
      <c r="G3755">
        <v>-253.78880000000001</v>
      </c>
      <c r="H3755" s="1">
        <v>5.5442060000000002E-7</v>
      </c>
      <c r="I3755">
        <v>212.90010000000001</v>
      </c>
      <c r="J3755">
        <v>-278.82659999999998</v>
      </c>
      <c r="K3755">
        <v>1.1106469999999999</v>
      </c>
      <c r="L3755">
        <v>213.6354</v>
      </c>
      <c r="M3755">
        <v>0.99986989999999998</v>
      </c>
      <c r="N3755">
        <v>0</v>
      </c>
      <c r="O3755">
        <v>5.4656929999999998E-3</v>
      </c>
      <c r="P3755">
        <v>0.98877190000000004</v>
      </c>
      <c r="Q3755">
        <v>0.14421239999999999</v>
      </c>
      <c r="R3755">
        <v>-3.9157959999999999E-2</v>
      </c>
      <c r="S3755">
        <v>3.0490719999999998</v>
      </c>
      <c r="T3755">
        <v>-0.13254389999999999</v>
      </c>
      <c r="U3755">
        <v>-8.7402339999999995E-2</v>
      </c>
      <c r="V3755">
        <v>4.4239689999999998E-2</v>
      </c>
      <c r="W3755">
        <v>0.1592906</v>
      </c>
      <c r="X3755">
        <v>0.98624000000000001</v>
      </c>
      <c r="Y3755">
        <v>3.4079789999999999E-2</v>
      </c>
      <c r="Z3755">
        <v>-9.7769229999999994E-4</v>
      </c>
      <c r="AA3755">
        <v>0.99941860000000005</v>
      </c>
      <c r="AB3755">
        <v>52</v>
      </c>
      <c r="AC3755">
        <v>25.037799999999901</v>
      </c>
      <c r="AD3755">
        <v>-1.1106464455793901</v>
      </c>
      <c r="AE3755">
        <v>-0.73529999999999496</v>
      </c>
      <c r="AF3755">
        <v>0.87044240862783395</v>
      </c>
      <c r="AG3755">
        <v>-1.1106464455793901</v>
      </c>
      <c r="AH3755">
        <v>24.984287267816999</v>
      </c>
      <c r="AI3755">
        <v>92.543797880655404</v>
      </c>
      <c r="AJ3755">
        <v>88.004645398421601</v>
      </c>
      <c r="AK3755">
        <v>25.0241046951658</v>
      </c>
      <c r="AL3755">
        <v>80.834277402821698</v>
      </c>
      <c r="AM3755">
        <v>87.431609464532201</v>
      </c>
      <c r="AN3755">
        <v>0.99999999150982799</v>
      </c>
    </row>
    <row r="3756" spans="1:40" x14ac:dyDescent="0.25">
      <c r="A3756" t="str">
        <f>"20190312164101932"</f>
        <v>20190312164101932</v>
      </c>
      <c r="B3756" t="str">
        <f>"1552380061920094"</f>
        <v>1552380061920094</v>
      </c>
      <c r="C3756" t="s">
        <v>40</v>
      </c>
      <c r="D3756">
        <v>5.4327139999999998</v>
      </c>
      <c r="E3756">
        <v>0.49980760000000002</v>
      </c>
      <c r="F3756" t="s">
        <v>48</v>
      </c>
      <c r="G3756">
        <v>-252.4333</v>
      </c>
      <c r="H3756" s="1">
        <v>-1.65593799999999E-7</v>
      </c>
      <c r="I3756">
        <v>212.87110000000001</v>
      </c>
      <c r="J3756">
        <v>-278.30790000000002</v>
      </c>
      <c r="K3756">
        <v>1.110665</v>
      </c>
      <c r="L3756">
        <v>213.6386</v>
      </c>
      <c r="M3756">
        <v>0.99986649999999999</v>
      </c>
      <c r="N3756">
        <v>0</v>
      </c>
      <c r="O3756">
        <v>6.0754290000000002E-3</v>
      </c>
      <c r="P3756">
        <v>0.98865959999999997</v>
      </c>
      <c r="Q3756">
        <v>0.1451895</v>
      </c>
      <c r="R3756">
        <v>-3.8375340000000001E-2</v>
      </c>
      <c r="S3756">
        <v>3.0492859999999999</v>
      </c>
      <c r="T3756">
        <v>-0.12831619999999999</v>
      </c>
      <c r="U3756">
        <v>-8.8302610000000004E-2</v>
      </c>
      <c r="V3756">
        <v>4.4056060000000001E-2</v>
      </c>
      <c r="W3756">
        <v>0.16026209999999999</v>
      </c>
      <c r="X3756">
        <v>0.98609080000000005</v>
      </c>
      <c r="Y3756">
        <v>3.4983060000000003E-2</v>
      </c>
      <c r="Z3756">
        <v>-9.9110249999999995E-4</v>
      </c>
      <c r="AA3756">
        <v>0.99938740000000004</v>
      </c>
      <c r="AB3756">
        <v>52</v>
      </c>
      <c r="AC3756">
        <v>25.874600000000001</v>
      </c>
      <c r="AD3756">
        <v>-1.1106651655938</v>
      </c>
      <c r="AE3756">
        <v>-0.76749999999998397</v>
      </c>
      <c r="AF3756">
        <v>0.92300402893732802</v>
      </c>
      <c r="AG3756">
        <v>-1.1106651655938</v>
      </c>
      <c r="AH3756">
        <v>25.8219226017818</v>
      </c>
      <c r="AI3756">
        <v>92.4613459857935</v>
      </c>
      <c r="AJ3756">
        <v>87.952835273239103</v>
      </c>
      <c r="AK3756">
        <v>25.862273689679899</v>
      </c>
      <c r="AL3756">
        <v>80.777889970350898</v>
      </c>
      <c r="AM3756">
        <v>87.441869662409403</v>
      </c>
      <c r="AN3756">
        <v>0.99999997148188602</v>
      </c>
    </row>
    <row r="3757" spans="1:40" x14ac:dyDescent="0.25">
      <c r="A3757" t="str">
        <f>"20190312164101955"</f>
        <v>20190312164101955</v>
      </c>
      <c r="B3757" t="str">
        <f>"1552380061950350"</f>
        <v>1552380061950350</v>
      </c>
      <c r="C3757" t="s">
        <v>40</v>
      </c>
      <c r="D3757">
        <v>5.402698</v>
      </c>
      <c r="E3757">
        <v>0.49966769999999999</v>
      </c>
      <c r="F3757" t="s">
        <v>48</v>
      </c>
      <c r="G3757">
        <v>-251.26009999999999</v>
      </c>
      <c r="H3757" s="1">
        <v>-7.9051919999999997E-7</v>
      </c>
      <c r="I3757">
        <v>212.88409999999999</v>
      </c>
      <c r="J3757">
        <v>-277.76900000000001</v>
      </c>
      <c r="K3757">
        <v>1.1106910000000001</v>
      </c>
      <c r="L3757">
        <v>213.64230000000001</v>
      </c>
      <c r="M3757">
        <v>0.99986240000000004</v>
      </c>
      <c r="N3757">
        <v>0</v>
      </c>
      <c r="O3757">
        <v>6.7100099999999998E-3</v>
      </c>
      <c r="P3757">
        <v>0.98859779999999997</v>
      </c>
      <c r="Q3757">
        <v>0.14582229999999999</v>
      </c>
      <c r="R3757">
        <v>-3.7555140000000001E-2</v>
      </c>
      <c r="S3757">
        <v>3.0494690000000002</v>
      </c>
      <c r="T3757">
        <v>-0.12522049999999901</v>
      </c>
      <c r="U3757">
        <v>-8.5067749999999998E-2</v>
      </c>
      <c r="V3757">
        <v>4.3860440000000001E-2</v>
      </c>
      <c r="W3757">
        <v>0.16089039999999999</v>
      </c>
      <c r="X3757">
        <v>0.98599720000000002</v>
      </c>
      <c r="Y3757">
        <v>3.4557869999999997E-2</v>
      </c>
      <c r="Z3757">
        <v>-9.8448989999999994E-4</v>
      </c>
      <c r="AA3757">
        <v>0.99940220000000002</v>
      </c>
      <c r="AB3757">
        <v>52</v>
      </c>
      <c r="AC3757">
        <v>26.508900000000001</v>
      </c>
      <c r="AD3757">
        <v>-1.1106917905192</v>
      </c>
      <c r="AE3757">
        <v>-0.75820000000001597</v>
      </c>
      <c r="AF3757">
        <v>0.93443930618076798</v>
      </c>
      <c r="AG3757">
        <v>-1.1106917905192</v>
      </c>
      <c r="AH3757">
        <v>26.456807699616402</v>
      </c>
      <c r="AI3757">
        <v>92.402444775616999</v>
      </c>
      <c r="AJ3757">
        <v>87.977186707068</v>
      </c>
      <c r="AK3757">
        <v>26.496593870249502</v>
      </c>
      <c r="AL3757">
        <v>80.741417720407199</v>
      </c>
      <c r="AM3757">
        <v>87.452971970027903</v>
      </c>
      <c r="AN3757">
        <v>0.99999996870849595</v>
      </c>
    </row>
    <row r="3758" spans="1:40" x14ac:dyDescent="0.25">
      <c r="A3758" t="str">
        <f>"20190312164101977"</f>
        <v>20190312164101977</v>
      </c>
      <c r="B3758" t="str">
        <f>"1552380061969870"</f>
        <v>1552380061969870</v>
      </c>
      <c r="C3758" t="s">
        <v>40</v>
      </c>
      <c r="D3758">
        <v>5.443829</v>
      </c>
      <c r="E3758">
        <v>0.49962719999999999</v>
      </c>
      <c r="F3758" t="s">
        <v>48</v>
      </c>
      <c r="G3758">
        <v>-250.3999</v>
      </c>
      <c r="H3758" s="1">
        <v>-1.249836E-6</v>
      </c>
      <c r="I3758">
        <v>212.9195</v>
      </c>
      <c r="J3758">
        <v>-277.2559</v>
      </c>
      <c r="K3758">
        <v>1.110706</v>
      </c>
      <c r="L3758">
        <v>213.64609999999999</v>
      </c>
      <c r="M3758">
        <v>0.99985829999999998</v>
      </c>
      <c r="N3758">
        <v>0</v>
      </c>
      <c r="O3758">
        <v>7.3144780000000001E-3</v>
      </c>
      <c r="P3758">
        <v>0.98861589999999999</v>
      </c>
      <c r="Q3758">
        <v>0.1459105</v>
      </c>
      <c r="R3758">
        <v>-3.6724310000000003E-2</v>
      </c>
      <c r="S3758">
        <v>3.0498349999999999</v>
      </c>
      <c r="T3758">
        <v>-0.1237683</v>
      </c>
      <c r="U3758">
        <v>-8.0535889999999999E-2</v>
      </c>
      <c r="V3758">
        <v>4.3626409999999997E-2</v>
      </c>
      <c r="W3758">
        <v>0.16097520000000001</v>
      </c>
      <c r="X3758">
        <v>0.98599380000000003</v>
      </c>
      <c r="Y3758">
        <v>3.3675789999999997E-2</v>
      </c>
      <c r="Z3758">
        <v>-9.796163000000001E-4</v>
      </c>
      <c r="AA3758">
        <v>0.99943230000000005</v>
      </c>
      <c r="AB3758">
        <v>52</v>
      </c>
      <c r="AC3758">
        <v>26.855999999999899</v>
      </c>
      <c r="AD3758">
        <v>-1.110707249836</v>
      </c>
      <c r="AE3758">
        <v>-0.72659999999999003</v>
      </c>
      <c r="AF3758">
        <v>0.92146577093464399</v>
      </c>
      <c r="AG3758">
        <v>-1.110707249836</v>
      </c>
      <c r="AH3758">
        <v>26.804151817820198</v>
      </c>
      <c r="AI3758">
        <v>92.371458850168096</v>
      </c>
      <c r="AJ3758">
        <v>88.031076823528096</v>
      </c>
      <c r="AK3758">
        <v>26.842975327533999</v>
      </c>
      <c r="AL3758">
        <v>80.7364954074108</v>
      </c>
      <c r="AM3758">
        <v>87.466535891653805</v>
      </c>
      <c r="AN3758">
        <v>1.0000000261514801</v>
      </c>
    </row>
    <row r="3759" spans="1:40" x14ac:dyDescent="0.25">
      <c r="A3759" t="str">
        <f>"20190312164102001"</f>
        <v>20190312164102001</v>
      </c>
      <c r="B3759" t="str">
        <f>"1552380061990366"</f>
        <v>1552380061990366</v>
      </c>
      <c r="C3759" t="s">
        <v>40</v>
      </c>
      <c r="D3759">
        <v>5.2755580000000002</v>
      </c>
      <c r="E3759">
        <v>0.49959720000000002</v>
      </c>
      <c r="F3759" t="s">
        <v>48</v>
      </c>
      <c r="G3759">
        <v>-249.8571</v>
      </c>
      <c r="H3759" s="1">
        <v>3.7817810000000001E-6</v>
      </c>
      <c r="I3759">
        <v>212.9436</v>
      </c>
      <c r="J3759">
        <v>-276.71940000000001</v>
      </c>
      <c r="K3759">
        <v>1.1107279999999999</v>
      </c>
      <c r="L3759">
        <v>213.65039999999999</v>
      </c>
      <c r="M3759">
        <v>0.9998534</v>
      </c>
      <c r="N3759">
        <v>0</v>
      </c>
      <c r="O3759">
        <v>7.9472480000000005E-3</v>
      </c>
      <c r="P3759">
        <v>0.98847879999999999</v>
      </c>
      <c r="Q3759">
        <v>0.14685909999999999</v>
      </c>
      <c r="R3759">
        <v>-3.6632860000000003E-2</v>
      </c>
      <c r="S3759">
        <v>3.0498959999999999</v>
      </c>
      <c r="T3759">
        <v>-0.12363780000000001</v>
      </c>
      <c r="U3759">
        <v>-7.8201290000000007E-2</v>
      </c>
      <c r="V3759">
        <v>4.4156899999999999E-2</v>
      </c>
      <c r="W3759">
        <v>0.1619187</v>
      </c>
      <c r="X3759">
        <v>0.98581560000000001</v>
      </c>
      <c r="Y3759">
        <v>3.3542910000000002E-2</v>
      </c>
      <c r="Z3759">
        <v>-1.001523E-3</v>
      </c>
      <c r="AA3759">
        <v>0.99943680000000001</v>
      </c>
      <c r="AB3759">
        <v>52</v>
      </c>
      <c r="AC3759">
        <v>26.862300000000001</v>
      </c>
      <c r="AD3759">
        <v>-1.110724218219</v>
      </c>
      <c r="AE3759">
        <v>-0.70679999999998699</v>
      </c>
      <c r="AF3759">
        <v>0.91871393000797796</v>
      </c>
      <c r="AG3759">
        <v>-1.110724218219</v>
      </c>
      <c r="AH3759">
        <v>26.810027691474598</v>
      </c>
      <c r="AI3759">
        <v>92.370984822771305</v>
      </c>
      <c r="AJ3759">
        <v>88.037382054996996</v>
      </c>
      <c r="AK3759">
        <v>26.848749102924</v>
      </c>
      <c r="AL3759">
        <v>80.681717496369998</v>
      </c>
      <c r="AM3759">
        <v>87.435307354245296</v>
      </c>
      <c r="AN3759">
        <v>0.99999994721532803</v>
      </c>
    </row>
    <row r="3760" spans="1:40" x14ac:dyDescent="0.25">
      <c r="A3760" t="str">
        <f>"20190312164102022"</f>
        <v>20190312164102022</v>
      </c>
      <c r="B3760" t="str">
        <f>"1552380062009886"</f>
        <v>1552380062009886</v>
      </c>
      <c r="C3760" t="s">
        <v>40</v>
      </c>
      <c r="D3760">
        <v>5.7114529999999997</v>
      </c>
      <c r="E3760">
        <v>0.49957659999999998</v>
      </c>
      <c r="F3760" t="s">
        <v>48</v>
      </c>
      <c r="G3760">
        <v>-248.85419999999999</v>
      </c>
      <c r="H3760" s="1">
        <v>3.2484850000000001E-6</v>
      </c>
      <c r="I3760">
        <v>212.9342</v>
      </c>
      <c r="J3760">
        <v>-276.21030000000002</v>
      </c>
      <c r="K3760">
        <v>1.1107389999999999</v>
      </c>
      <c r="L3760">
        <v>213.6549</v>
      </c>
      <c r="M3760">
        <v>0.99984859999999998</v>
      </c>
      <c r="N3760">
        <v>0</v>
      </c>
      <c r="O3760">
        <v>8.5481229999999995E-3</v>
      </c>
      <c r="P3760">
        <v>0.98837960000000002</v>
      </c>
      <c r="Q3760">
        <v>0.14740139999999999</v>
      </c>
      <c r="R3760">
        <v>-3.7132070000000003E-2</v>
      </c>
      <c r="S3760">
        <v>3.0501100000000001</v>
      </c>
      <c r="T3760">
        <v>-0.1215791</v>
      </c>
      <c r="U3760">
        <v>-7.8399659999999996E-2</v>
      </c>
      <c r="V3760">
        <v>4.5247519999999999E-2</v>
      </c>
      <c r="W3760">
        <v>0.16245789999999999</v>
      </c>
      <c r="X3760">
        <v>0.98567749999999998</v>
      </c>
      <c r="Y3760">
        <v>3.4206800000000002E-2</v>
      </c>
      <c r="Z3760">
        <v>-1.021955E-3</v>
      </c>
      <c r="AA3760">
        <v>0.99941429999999998</v>
      </c>
      <c r="AB3760">
        <v>52</v>
      </c>
      <c r="AC3760">
        <v>27.356100000000001</v>
      </c>
      <c r="AD3760">
        <v>-1.11073575151499</v>
      </c>
      <c r="AE3760">
        <v>-0.72069999999999301</v>
      </c>
      <c r="AF3760">
        <v>0.95297385723570205</v>
      </c>
      <c r="AG3760">
        <v>-1.11073575151499</v>
      </c>
      <c r="AH3760">
        <v>27.303957091975999</v>
      </c>
      <c r="AI3760">
        <v>92.328114413611999</v>
      </c>
      <c r="AJ3760">
        <v>88.001050741056204</v>
      </c>
      <c r="AK3760">
        <v>27.343152085352799</v>
      </c>
      <c r="AL3760">
        <v>80.650409774073907</v>
      </c>
      <c r="AM3760">
        <v>87.371682722917598</v>
      </c>
      <c r="AN3760">
        <v>1.0000000206724</v>
      </c>
    </row>
    <row r="3761" spans="1:40" x14ac:dyDescent="0.25">
      <c r="A3761" t="str">
        <f>"20190312164102045"</f>
        <v>20190312164102045</v>
      </c>
      <c r="B3761" t="str">
        <f>"1552380062040142"</f>
        <v>1552380062040142</v>
      </c>
      <c r="C3761" t="s">
        <v>40</v>
      </c>
      <c r="D3761">
        <v>5.32341</v>
      </c>
      <c r="E3761">
        <v>0.4995694</v>
      </c>
      <c r="F3761" t="s">
        <v>48</v>
      </c>
      <c r="G3761">
        <v>-248.22460000000001</v>
      </c>
      <c r="H3761" s="1">
        <v>2.9141129999999999E-6</v>
      </c>
      <c r="I3761">
        <v>212.9195</v>
      </c>
      <c r="J3761">
        <v>-275.68579999999997</v>
      </c>
      <c r="K3761">
        <v>1.110743</v>
      </c>
      <c r="L3761">
        <v>213.65969999999999</v>
      </c>
      <c r="M3761">
        <v>0.99984309999999998</v>
      </c>
      <c r="N3761">
        <v>0</v>
      </c>
      <c r="O3761">
        <v>9.1674070000000007E-3</v>
      </c>
      <c r="P3761">
        <v>0.98832949999999997</v>
      </c>
      <c r="Q3761">
        <v>0.147637299999999</v>
      </c>
      <c r="R3761">
        <v>-3.7523760000000003E-2</v>
      </c>
      <c r="S3761">
        <v>3.0503230000000001</v>
      </c>
      <c r="T3761">
        <v>-0.1210657</v>
      </c>
      <c r="U3761">
        <v>-8.0154420000000004E-2</v>
      </c>
      <c r="V3761">
        <v>4.6250289999999999E-2</v>
      </c>
      <c r="W3761">
        <v>0.16269129999999901</v>
      </c>
      <c r="X3761">
        <v>0.98559240000000004</v>
      </c>
      <c r="Y3761">
        <v>3.5397409999999997E-2</v>
      </c>
      <c r="Z3761">
        <v>-1.0657469999999999E-3</v>
      </c>
      <c r="AA3761">
        <v>0.9993727</v>
      </c>
      <c r="AB3761">
        <v>52</v>
      </c>
      <c r="AC3761">
        <v>27.461199999999899</v>
      </c>
      <c r="AD3761">
        <v>-1.110740085887</v>
      </c>
      <c r="AE3761">
        <v>-0.74019999999998698</v>
      </c>
      <c r="AF3761">
        <v>0.99032680016989605</v>
      </c>
      <c r="AG3761">
        <v>-1.110740085887</v>
      </c>
      <c r="AH3761">
        <v>27.4084513411917</v>
      </c>
      <c r="AI3761">
        <v>92.319156209056999</v>
      </c>
      <c r="AJ3761">
        <v>87.930679411952198</v>
      </c>
      <c r="AK3761">
        <v>27.4488195671873</v>
      </c>
      <c r="AL3761">
        <v>80.636856093399601</v>
      </c>
      <c r="AM3761">
        <v>87.313287066934805</v>
      </c>
      <c r="AN3761">
        <v>0.99999996367926602</v>
      </c>
    </row>
    <row r="3762" spans="1:40" x14ac:dyDescent="0.25">
      <c r="A3762" t="str">
        <f>"20190312164102067"</f>
        <v>20190312164102067</v>
      </c>
      <c r="B3762" t="str">
        <f>"1552380062059662"</f>
        <v>1552380062059662</v>
      </c>
      <c r="C3762" t="s">
        <v>40</v>
      </c>
      <c r="D3762">
        <v>5.4213909999999998</v>
      </c>
      <c r="E3762">
        <v>0.49959120000000001</v>
      </c>
      <c r="F3762" t="s">
        <v>48</v>
      </c>
      <c r="G3762">
        <v>-247.6395</v>
      </c>
      <c r="H3762" s="1">
        <v>2.6029730000000002E-6</v>
      </c>
      <c r="I3762">
        <v>212.91390000000001</v>
      </c>
      <c r="J3762">
        <v>-275.16789999999997</v>
      </c>
      <c r="K3762">
        <v>1.1107499999999999</v>
      </c>
      <c r="L3762">
        <v>213.66489999999999</v>
      </c>
      <c r="M3762">
        <v>0.99983750000000005</v>
      </c>
      <c r="N3762">
        <v>0</v>
      </c>
      <c r="O3762">
        <v>9.7762979999999992E-3</v>
      </c>
      <c r="P3762">
        <v>0.98831060000000004</v>
      </c>
      <c r="Q3762">
        <v>0.147729</v>
      </c>
      <c r="R3762">
        <v>-3.7664950000000003E-2</v>
      </c>
      <c r="S3762">
        <v>3.050354</v>
      </c>
      <c r="T3762">
        <v>-0.1208056</v>
      </c>
      <c r="U3762">
        <v>-8.1115720000000002E-2</v>
      </c>
      <c r="V3762">
        <v>4.6992989999999998E-2</v>
      </c>
      <c r="W3762">
        <v>0.1627797</v>
      </c>
      <c r="X3762">
        <v>0.98554269999999999</v>
      </c>
      <c r="Y3762">
        <v>3.6319419999999998E-2</v>
      </c>
      <c r="Z3762">
        <v>-1.105796E-3</v>
      </c>
      <c r="AA3762">
        <v>0.99933959999999999</v>
      </c>
      <c r="AB3762">
        <v>52</v>
      </c>
      <c r="AC3762">
        <v>27.528399999999898</v>
      </c>
      <c r="AD3762">
        <v>-1.1107473970270001</v>
      </c>
      <c r="AE3762">
        <v>-0.75099999999997602</v>
      </c>
      <c r="AF3762">
        <v>1.018463937073</v>
      </c>
      <c r="AG3762">
        <v>-1.1107473970270001</v>
      </c>
      <c r="AH3762">
        <v>27.475043722868399</v>
      </c>
      <c r="AI3762">
        <v>92.313477394185</v>
      </c>
      <c r="AJ3762">
        <v>87.877092386650105</v>
      </c>
      <c r="AK3762">
        <v>27.5163416199292</v>
      </c>
      <c r="AL3762">
        <v>80.631722991164594</v>
      </c>
      <c r="AM3762">
        <v>87.270070377277307</v>
      </c>
      <c r="AN3762">
        <v>0.99999999268226003</v>
      </c>
    </row>
    <row r="3763" spans="1:40" x14ac:dyDescent="0.25">
      <c r="A3763" t="str">
        <f>"20190312164102088"</f>
        <v>20190312164102088</v>
      </c>
      <c r="B3763" t="str">
        <f>"1552380062080161"</f>
        <v>1552380062080161</v>
      </c>
      <c r="C3763" t="s">
        <v>40</v>
      </c>
      <c r="D3763">
        <v>5.4143559999999997</v>
      </c>
      <c r="E3763">
        <v>0.49973709999999999</v>
      </c>
      <c r="F3763" t="s">
        <v>48</v>
      </c>
      <c r="G3763">
        <v>-247.1472</v>
      </c>
      <c r="H3763" s="1">
        <v>2.341148E-6</v>
      </c>
      <c r="I3763">
        <v>212.91030000000001</v>
      </c>
      <c r="J3763">
        <v>-274.6669</v>
      </c>
      <c r="K3763">
        <v>1.1107479999999901</v>
      </c>
      <c r="L3763">
        <v>213.67019999999999</v>
      </c>
      <c r="M3763">
        <v>0.99983149999999998</v>
      </c>
      <c r="N3763">
        <v>0</v>
      </c>
      <c r="O3763">
        <v>1.035994E-2</v>
      </c>
      <c r="P3763">
        <v>0.98829420000000001</v>
      </c>
      <c r="Q3763">
        <v>0.14778250000000001</v>
      </c>
      <c r="R3763">
        <v>-3.7879629999999997E-2</v>
      </c>
      <c r="S3763">
        <v>3.0504150000000001</v>
      </c>
      <c r="T3763">
        <v>-0.120918899999999</v>
      </c>
      <c r="U3763">
        <v>-8.2153320000000002E-2</v>
      </c>
      <c r="V3763">
        <v>4.7785460000000002E-2</v>
      </c>
      <c r="W3763">
        <v>0.162831</v>
      </c>
      <c r="X3763">
        <v>0.98549609999999999</v>
      </c>
      <c r="Y3763">
        <v>3.7240660000000002E-2</v>
      </c>
      <c r="Z3763">
        <v>-1.148179E-3</v>
      </c>
      <c r="AA3763">
        <v>0.99930569999999996</v>
      </c>
      <c r="AB3763">
        <v>52</v>
      </c>
      <c r="AC3763">
        <v>27.5197</v>
      </c>
      <c r="AD3763">
        <v>-1.1107456588519999</v>
      </c>
      <c r="AE3763">
        <v>-0.75989999999998703</v>
      </c>
      <c r="AF3763">
        <v>1.04329607682745</v>
      </c>
      <c r="AG3763">
        <v>-1.1107456588519999</v>
      </c>
      <c r="AH3763">
        <v>27.4656397989901</v>
      </c>
      <c r="AI3763">
        <v>92.314185601074001</v>
      </c>
      <c r="AJ3763">
        <v>87.824637006969397</v>
      </c>
      <c r="AK3763">
        <v>27.507882364705001</v>
      </c>
      <c r="AL3763">
        <v>80.628743794900501</v>
      </c>
      <c r="AM3763">
        <v>87.2239743483008</v>
      </c>
      <c r="AN3763">
        <v>0.99999997393180995</v>
      </c>
    </row>
    <row r="3764" spans="1:40" x14ac:dyDescent="0.25">
      <c r="A3764" t="str">
        <f>"20190312164102112"</f>
        <v>20190312164102112</v>
      </c>
      <c r="B3764" t="str">
        <f>"1552380062099678"</f>
        <v>1552380062099678</v>
      </c>
      <c r="C3764" t="s">
        <v>40</v>
      </c>
      <c r="D3764">
        <v>5.2879699999999996</v>
      </c>
      <c r="E3764">
        <v>0.49973830000000002</v>
      </c>
      <c r="F3764" t="s">
        <v>48</v>
      </c>
      <c r="G3764">
        <v>-246.5779</v>
      </c>
      <c r="H3764" s="1">
        <v>2.038811E-6</v>
      </c>
      <c r="I3764">
        <v>212.8964</v>
      </c>
      <c r="J3764">
        <v>-274.13510000000002</v>
      </c>
      <c r="K3764">
        <v>1.110741</v>
      </c>
      <c r="L3764">
        <v>213.67599999999999</v>
      </c>
      <c r="M3764">
        <v>0.99982510000000002</v>
      </c>
      <c r="N3764">
        <v>0</v>
      </c>
      <c r="O3764">
        <v>1.097035E-2</v>
      </c>
      <c r="P3764">
        <v>0.98832410000000004</v>
      </c>
      <c r="Q3764">
        <v>0.14774139999999999</v>
      </c>
      <c r="R3764">
        <v>-3.7256499999999998E-2</v>
      </c>
      <c r="S3764">
        <v>3.050354</v>
      </c>
      <c r="T3764">
        <v>-0.12062249999999999</v>
      </c>
      <c r="U3764">
        <v>-8.4030149999999998E-2</v>
      </c>
      <c r="V3764">
        <v>4.7768610000000003E-2</v>
      </c>
      <c r="W3764">
        <v>0.1627854</v>
      </c>
      <c r="X3764">
        <v>0.98550450000000001</v>
      </c>
      <c r="Y3764">
        <v>3.8464409999999997E-2</v>
      </c>
      <c r="Z3764">
        <v>-1.1936900000000001E-3</v>
      </c>
      <c r="AA3764">
        <v>0.99925920000000001</v>
      </c>
      <c r="AB3764">
        <v>52</v>
      </c>
      <c r="AC3764">
        <v>27.557200000000002</v>
      </c>
      <c r="AD3764">
        <v>-1.110738961189</v>
      </c>
      <c r="AE3764">
        <v>-0.77959999999998697</v>
      </c>
      <c r="AF3764">
        <v>1.0801464568442101</v>
      </c>
      <c r="AG3764">
        <v>-1.110738961189</v>
      </c>
      <c r="AH3764">
        <v>27.502342534307498</v>
      </c>
      <c r="AI3764">
        <v>92.310971880379498</v>
      </c>
      <c r="AJ3764">
        <v>87.750880971020294</v>
      </c>
      <c r="AK3764">
        <v>27.545948926884201</v>
      </c>
      <c r="AL3764">
        <v>80.631392277266499</v>
      </c>
      <c r="AM3764">
        <v>87.224975310038502</v>
      </c>
      <c r="AN3764">
        <v>1.00000002303737</v>
      </c>
    </row>
    <row r="3765" spans="1:40" x14ac:dyDescent="0.25">
      <c r="A3765" t="str">
        <f>"20190312164102133"</f>
        <v>20190312164102133</v>
      </c>
      <c r="B3765" t="str">
        <f>"1552380062129935"</f>
        <v>1552380062129935</v>
      </c>
      <c r="C3765" t="s">
        <v>40</v>
      </c>
      <c r="D3765">
        <v>5.3580809999999897</v>
      </c>
      <c r="E3765">
        <v>0.49977070000000001</v>
      </c>
      <c r="F3765" t="s">
        <v>48</v>
      </c>
      <c r="G3765">
        <v>-246.32749999999999</v>
      </c>
      <c r="H3765" s="1">
        <v>1.904074E-6</v>
      </c>
      <c r="I3765">
        <v>212.93010000000001</v>
      </c>
      <c r="J3765">
        <v>-273.6302</v>
      </c>
      <c r="K3765">
        <v>1.11073</v>
      </c>
      <c r="L3765">
        <v>213.68199999999999</v>
      </c>
      <c r="M3765">
        <v>0.99981889999999995</v>
      </c>
      <c r="N3765">
        <v>0</v>
      </c>
      <c r="O3765">
        <v>1.153762E-2</v>
      </c>
      <c r="P3765">
        <v>0.98839929999999998</v>
      </c>
      <c r="Q3765">
        <v>0.147280299999999</v>
      </c>
      <c r="R3765">
        <v>-3.7095099999999999E-2</v>
      </c>
      <c r="S3765">
        <v>3.0505680000000002</v>
      </c>
      <c r="T3765">
        <v>-0.121851</v>
      </c>
      <c r="U3765">
        <v>-8.1832890000000005E-2</v>
      </c>
      <c r="V3765">
        <v>4.8173180000000003E-2</v>
      </c>
      <c r="W3765">
        <v>0.16232099999999999</v>
      </c>
      <c r="X3765">
        <v>0.98556140000000003</v>
      </c>
      <c r="Y3765">
        <v>3.8309099999999999E-2</v>
      </c>
      <c r="Z3765">
        <v>-1.225313E-3</v>
      </c>
      <c r="AA3765">
        <v>0.99926519999999996</v>
      </c>
      <c r="AB3765">
        <v>52</v>
      </c>
      <c r="AC3765">
        <v>27.302700000000002</v>
      </c>
      <c r="AD3765">
        <v>-1.110728095926</v>
      </c>
      <c r="AE3765">
        <v>-0.75190000000000601</v>
      </c>
      <c r="AF3765">
        <v>1.0651327174527101</v>
      </c>
      <c r="AG3765">
        <v>-1.110728095926</v>
      </c>
      <c r="AH3765">
        <v>27.247145662815601</v>
      </c>
      <c r="AI3765">
        <v>92.332586559760003</v>
      </c>
      <c r="AJ3765">
        <v>87.7613599548705</v>
      </c>
      <c r="AK3765">
        <v>27.290569275476098</v>
      </c>
      <c r="AL3765">
        <v>80.658359051667802</v>
      </c>
      <c r="AM3765">
        <v>87.201671115936904</v>
      </c>
      <c r="AN3765">
        <v>1.0000000177411299</v>
      </c>
    </row>
    <row r="3766" spans="1:40" x14ac:dyDescent="0.25">
      <c r="A3766" t="str">
        <f>"20190312164102157"</f>
        <v>20190312164102157</v>
      </c>
      <c r="B3766" t="str">
        <f>"1552380062149454"</f>
        <v>1552380062149454</v>
      </c>
      <c r="C3766" t="s">
        <v>40</v>
      </c>
      <c r="D3766">
        <v>5.3195269999999999</v>
      </c>
      <c r="E3766">
        <v>0.4997412</v>
      </c>
      <c r="F3766" t="s">
        <v>48</v>
      </c>
      <c r="G3766">
        <v>-246.3306</v>
      </c>
      <c r="H3766" s="1">
        <v>1.904648E-6</v>
      </c>
      <c r="I3766">
        <v>212.95500000000001</v>
      </c>
      <c r="J3766">
        <v>-273.0967</v>
      </c>
      <c r="K3766">
        <v>1.110717</v>
      </c>
      <c r="L3766">
        <v>213.6885</v>
      </c>
      <c r="M3766">
        <v>0.99981200000000003</v>
      </c>
      <c r="N3766">
        <v>0</v>
      </c>
      <c r="O3766">
        <v>1.212158E-2</v>
      </c>
      <c r="P3766">
        <v>0.9884868</v>
      </c>
      <c r="Q3766">
        <v>0.14675279999999999</v>
      </c>
      <c r="R3766">
        <v>-3.6844759999999997E-2</v>
      </c>
      <c r="S3766">
        <v>3.050659</v>
      </c>
      <c r="T3766">
        <v>-0.124121</v>
      </c>
      <c r="U3766">
        <v>-8.1237790000000004E-2</v>
      </c>
      <c r="V3766">
        <v>4.8507729999999999E-2</v>
      </c>
      <c r="W3766">
        <v>0.1617902</v>
      </c>
      <c r="X3766">
        <v>0.98563219999999996</v>
      </c>
      <c r="Y3766">
        <v>3.8694850000000003E-2</v>
      </c>
      <c r="Z3766">
        <v>-1.279678E-3</v>
      </c>
      <c r="AA3766">
        <v>0.99925019999999998</v>
      </c>
      <c r="AB3766">
        <v>52</v>
      </c>
      <c r="AC3766">
        <v>26.766099999999899</v>
      </c>
      <c r="AD3766">
        <v>-1.110715095352</v>
      </c>
      <c r="AE3766">
        <v>-0.73349999999999205</v>
      </c>
      <c r="AF3766">
        <v>1.0561134103751399</v>
      </c>
      <c r="AG3766">
        <v>-1.110715095352</v>
      </c>
      <c r="AH3766">
        <v>26.709281790751501</v>
      </c>
      <c r="AI3766">
        <v>92.379436299476794</v>
      </c>
      <c r="AJ3766">
        <v>87.735643549699404</v>
      </c>
      <c r="AK3766">
        <v>26.753220317120402</v>
      </c>
      <c r="AL3766">
        <v>80.689178416106202</v>
      </c>
      <c r="AM3766">
        <v>87.182470750135494</v>
      </c>
      <c r="AN3766">
        <v>0.99999995118131502</v>
      </c>
    </row>
    <row r="3767" spans="1:40" x14ac:dyDescent="0.25">
      <c r="A3767" t="str">
        <f>"20190312164102179"</f>
        <v>20190312164102179</v>
      </c>
      <c r="B3767" t="str">
        <f>"1552380062169951"</f>
        <v>1552380062169951</v>
      </c>
      <c r="C3767" t="s">
        <v>40</v>
      </c>
      <c r="D3767">
        <v>5.282851</v>
      </c>
      <c r="E3767">
        <v>0.49974370000000001</v>
      </c>
      <c r="F3767" t="s">
        <v>48</v>
      </c>
      <c r="G3767">
        <v>-246.3348</v>
      </c>
      <c r="H3767" s="1">
        <v>1.9057259999999999E-6</v>
      </c>
      <c r="I3767">
        <v>212.98230000000001</v>
      </c>
      <c r="J3767">
        <v>-272.56869999999998</v>
      </c>
      <c r="K3767">
        <v>1.1107009999999999</v>
      </c>
      <c r="L3767">
        <v>213.6952</v>
      </c>
      <c r="M3767">
        <v>0.99980500000000005</v>
      </c>
      <c r="N3767">
        <v>0</v>
      </c>
      <c r="O3767">
        <v>1.268069E-2</v>
      </c>
      <c r="P3767">
        <v>0.98863429999999997</v>
      </c>
      <c r="Q3767">
        <v>0.14590880000000001</v>
      </c>
      <c r="R3767">
        <v>-3.6234589999999997E-2</v>
      </c>
      <c r="S3767">
        <v>3.050751</v>
      </c>
      <c r="T3767">
        <v>-0.12661739999999999</v>
      </c>
      <c r="U3767">
        <v>-8.0505370000000007E-2</v>
      </c>
      <c r="V3767">
        <v>4.845994E-2</v>
      </c>
      <c r="W3767">
        <v>0.16094220000000001</v>
      </c>
      <c r="X3767">
        <v>0.98577340000000002</v>
      </c>
      <c r="Y3767">
        <v>3.9010660000000003E-2</v>
      </c>
      <c r="Z3767">
        <v>-1.3351039999999999E-3</v>
      </c>
      <c r="AA3767">
        <v>0.99923790000000001</v>
      </c>
      <c r="AB3767">
        <v>52</v>
      </c>
      <c r="AC3767">
        <v>26.233899999999899</v>
      </c>
      <c r="AD3767">
        <v>-1.1106990942739901</v>
      </c>
      <c r="AE3767">
        <v>-0.71289999999998999</v>
      </c>
      <c r="AF3767">
        <v>1.0436753026379699</v>
      </c>
      <c r="AG3767">
        <v>-1.1106990942739901</v>
      </c>
      <c r="AH3767">
        <v>26.175862658599701</v>
      </c>
      <c r="AI3767">
        <v>92.427800964562493</v>
      </c>
      <c r="AJ3767">
        <v>87.716731137440107</v>
      </c>
      <c r="AK3767">
        <v>26.220196348182299</v>
      </c>
      <c r="AL3767">
        <v>80.738410686387098</v>
      </c>
      <c r="AM3767">
        <v>87.185644655843404</v>
      </c>
      <c r="AN3767">
        <v>0.99999997683660102</v>
      </c>
    </row>
    <row r="3768" spans="1:40" x14ac:dyDescent="0.25">
      <c r="A3768" t="str">
        <f>"20190312164102201"</f>
        <v>20190312164102201</v>
      </c>
      <c r="B3768" t="str">
        <f>"1552380062189471"</f>
        <v>1552380062189471</v>
      </c>
      <c r="C3768" t="s">
        <v>40</v>
      </c>
      <c r="D3768">
        <v>5.3752610000000001</v>
      </c>
      <c r="E3768">
        <v>0.51233099999999998</v>
      </c>
      <c r="F3768" t="s">
        <v>48</v>
      </c>
      <c r="G3768">
        <v>-246.828</v>
      </c>
      <c r="H3768" s="1">
        <v>2.166058E-6</v>
      </c>
      <c r="I3768">
        <v>213.03020000000001</v>
      </c>
      <c r="J3768">
        <v>-272.06720000000001</v>
      </c>
      <c r="K3768">
        <v>1.110681</v>
      </c>
      <c r="L3768">
        <v>213.70189999999999</v>
      </c>
      <c r="M3768">
        <v>0.99979859999999998</v>
      </c>
      <c r="N3768">
        <v>0</v>
      </c>
      <c r="O3768">
        <v>1.3190540000000001E-2</v>
      </c>
      <c r="P3768">
        <v>0.98861759999999999</v>
      </c>
      <c r="Q3768">
        <v>0.1461789</v>
      </c>
      <c r="R3768">
        <v>-3.5594279999999999E-2</v>
      </c>
      <c r="S3768">
        <v>3.0510250000000001</v>
      </c>
      <c r="T3768">
        <v>-0.1316502</v>
      </c>
      <c r="U3768">
        <v>-7.8826899999999894E-2</v>
      </c>
      <c r="V3768">
        <v>4.8330489999999997E-2</v>
      </c>
      <c r="W3768">
        <v>0.16120619999999999</v>
      </c>
      <c r="X3768">
        <v>0.98573659999999996</v>
      </c>
      <c r="Y3768">
        <v>3.8964480000000003E-2</v>
      </c>
      <c r="Z3768">
        <v>-1.4090000000000001E-3</v>
      </c>
      <c r="AA3768">
        <v>0.99923960000000001</v>
      </c>
      <c r="AB3768">
        <v>52</v>
      </c>
      <c r="AC3768">
        <v>25.2392</v>
      </c>
      <c r="AD3768">
        <v>-1.110678833942</v>
      </c>
      <c r="AE3768">
        <v>-0.67169999999998697</v>
      </c>
      <c r="AF3768">
        <v>1.00265800372772</v>
      </c>
      <c r="AG3768">
        <v>-1.110678833942</v>
      </c>
      <c r="AH3768">
        <v>25.179416251901099</v>
      </c>
      <c r="AI3768">
        <v>92.523715676460995</v>
      </c>
      <c r="AJ3768">
        <v>87.719655788578507</v>
      </c>
      <c r="AK3768">
        <v>25.223836610062001</v>
      </c>
      <c r="AL3768">
        <v>80.723084316420596</v>
      </c>
      <c r="AM3768">
        <v>87.193045925448999</v>
      </c>
      <c r="AN3768">
        <v>0.99999995988081902</v>
      </c>
    </row>
    <row r="3769" spans="1:40" x14ac:dyDescent="0.25">
      <c r="A3769" t="str">
        <f>"20190312164102224"</f>
        <v>20190312164102224</v>
      </c>
      <c r="B3769" t="str">
        <f>"1552380062219726"</f>
        <v>1552380062219726</v>
      </c>
      <c r="C3769" t="s">
        <v>40</v>
      </c>
      <c r="D3769">
        <v>5.7499039999999999</v>
      </c>
      <c r="E3769">
        <v>0.51255779999999995</v>
      </c>
      <c r="F3769" t="s">
        <v>42</v>
      </c>
      <c r="G3769">
        <v>-270.94709999999998</v>
      </c>
      <c r="H3769">
        <v>1.0375810000000001</v>
      </c>
      <c r="I3769">
        <v>213.63759999999999</v>
      </c>
      <c r="J3769">
        <v>-271.54129999999998</v>
      </c>
      <c r="K3769">
        <v>1.110654</v>
      </c>
      <c r="L3769">
        <v>213.70920000000001</v>
      </c>
      <c r="M3769">
        <v>0.99979169999999995</v>
      </c>
      <c r="N3769">
        <v>0</v>
      </c>
      <c r="O3769">
        <v>1.3705119999999999E-2</v>
      </c>
      <c r="P3769">
        <v>0.98861690000000002</v>
      </c>
      <c r="Q3769">
        <v>0.14635209999999901</v>
      </c>
      <c r="R3769">
        <v>-3.4898940000000003E-2</v>
      </c>
      <c r="S3769">
        <v>3.0577999999999999</v>
      </c>
      <c r="T3769">
        <v>-0.19975760000000001</v>
      </c>
      <c r="U3769">
        <v>-0.1749115</v>
      </c>
      <c r="V3769">
        <v>4.8151369999999999E-2</v>
      </c>
      <c r="W3769">
        <v>0.16137290000000001</v>
      </c>
      <c r="X3769">
        <v>0.98571810000000004</v>
      </c>
      <c r="Y3769">
        <v>7.0608190000000001E-2</v>
      </c>
      <c r="Z3769">
        <v>-3.1957919999999998E-3</v>
      </c>
      <c r="AA3769">
        <v>0.99749900000000002</v>
      </c>
      <c r="AB3769">
        <v>52</v>
      </c>
      <c r="AC3769">
        <v>0.59419999999999995</v>
      </c>
      <c r="AD3769">
        <v>-7.3073000000000096E-2</v>
      </c>
      <c r="AE3769">
        <v>-7.1600000000017802E-2</v>
      </c>
      <c r="AF3769">
        <v>7.8566601219182505E-2</v>
      </c>
      <c r="AG3769">
        <v>-7.3073000000000096E-2</v>
      </c>
      <c r="AH3769">
        <v>0.584450423073402</v>
      </c>
      <c r="AI3769">
        <v>97.063740068892002</v>
      </c>
      <c r="AJ3769">
        <v>82.343731648304001</v>
      </c>
      <c r="AK3769">
        <v>0.59421769679706904</v>
      </c>
      <c r="AL3769">
        <v>80.713406492422493</v>
      </c>
      <c r="AM3769">
        <v>87.203379967732801</v>
      </c>
      <c r="AN3769">
        <v>0.999999969977448</v>
      </c>
    </row>
    <row r="3770" spans="1:40" x14ac:dyDescent="0.25">
      <c r="A3770" t="str">
        <f>"20190312164102248"</f>
        <v>20190312164102248</v>
      </c>
      <c r="B3770" t="str">
        <f>"1552380062240224"</f>
        <v>1552380062240224</v>
      </c>
      <c r="C3770" t="s">
        <v>40</v>
      </c>
      <c r="D3770">
        <v>5.3414250000000001</v>
      </c>
      <c r="E3770">
        <v>0.51280800000000004</v>
      </c>
      <c r="F3770" t="s">
        <v>42</v>
      </c>
      <c r="G3770">
        <v>-270.47719999999998</v>
      </c>
      <c r="H3770">
        <v>1.0493410000000001</v>
      </c>
      <c r="I3770">
        <v>213.648</v>
      </c>
      <c r="J3770">
        <v>-270.9973</v>
      </c>
      <c r="K3770">
        <v>1.1106199999999999</v>
      </c>
      <c r="L3770">
        <v>213.71700000000001</v>
      </c>
      <c r="M3770">
        <v>0.99978449999999996</v>
      </c>
      <c r="N3770">
        <v>0</v>
      </c>
      <c r="O3770">
        <v>1.4213989999999999E-2</v>
      </c>
      <c r="P3770">
        <v>0.98871419999999999</v>
      </c>
      <c r="Q3770">
        <v>0.145873</v>
      </c>
      <c r="R3770">
        <v>-3.4136769999999997E-2</v>
      </c>
      <c r="S3770">
        <v>3.054443</v>
      </c>
      <c r="T3770">
        <v>-0.176037</v>
      </c>
      <c r="U3770">
        <v>-0.17535400000000001</v>
      </c>
      <c r="V3770">
        <v>4.7903800000000003E-2</v>
      </c>
      <c r="W3770">
        <v>0.16088769999999999</v>
      </c>
      <c r="X3770">
        <v>0.98580950000000001</v>
      </c>
      <c r="Y3770">
        <v>7.1360000000000007E-2</v>
      </c>
      <c r="Z3770">
        <v>-2.8709579999999998E-3</v>
      </c>
      <c r="AA3770">
        <v>0.99744650000000001</v>
      </c>
      <c r="AB3770">
        <v>52</v>
      </c>
      <c r="AC3770">
        <v>0.520100000000013</v>
      </c>
      <c r="AD3770">
        <v>-6.1279E-2</v>
      </c>
      <c r="AE3770">
        <v>-6.9000000000016798E-2</v>
      </c>
      <c r="AF3770">
        <v>7.5358542548931803E-2</v>
      </c>
      <c r="AG3770">
        <v>-6.1279E-2</v>
      </c>
      <c r="AH3770">
        <v>0.51208085282695004</v>
      </c>
      <c r="AI3770">
        <v>96.751906695630495</v>
      </c>
      <c r="AJ3770">
        <v>81.628360370413901</v>
      </c>
      <c r="AK3770">
        <v>0.52121092237987099</v>
      </c>
      <c r="AL3770">
        <v>80.741574736195403</v>
      </c>
      <c r="AM3770">
        <v>87.217993676780594</v>
      </c>
      <c r="AN3770">
        <v>0.99999999817799001</v>
      </c>
    </row>
    <row r="3771" spans="1:40" x14ac:dyDescent="0.25">
      <c r="A3771" t="str">
        <f>"20190312164102267"</f>
        <v>20190312164102267</v>
      </c>
      <c r="B3771" t="str">
        <f>"1552380062259742"</f>
        <v>1552380062259742</v>
      </c>
      <c r="C3771" t="s">
        <v>40</v>
      </c>
      <c r="D3771">
        <v>5.3429929999999999</v>
      </c>
      <c r="E3771">
        <v>0.51319859999999995</v>
      </c>
      <c r="F3771" t="s">
        <v>48</v>
      </c>
      <c r="G3771">
        <v>-249.64869999999999</v>
      </c>
      <c r="H3771" s="1">
        <v>3.690804E-6</v>
      </c>
      <c r="I3771">
        <v>212.48759999999999</v>
      </c>
      <c r="J3771">
        <v>-270.5301</v>
      </c>
      <c r="K3771">
        <v>1.110587</v>
      </c>
      <c r="L3771">
        <v>213.72389999999999</v>
      </c>
      <c r="M3771">
        <v>0.99977859999999996</v>
      </c>
      <c r="N3771">
        <v>0</v>
      </c>
      <c r="O3771">
        <v>1.4629E-2</v>
      </c>
      <c r="P3771">
        <v>0.9888304</v>
      </c>
      <c r="Q3771">
        <v>0.14518739999999999</v>
      </c>
      <c r="R3771">
        <v>-3.3690499999999998E-2</v>
      </c>
      <c r="S3771">
        <v>3.0515439999999998</v>
      </c>
      <c r="T3771">
        <v>-0.15875020000000001</v>
      </c>
      <c r="U3771">
        <v>-0.17572019999999999</v>
      </c>
      <c r="V3771">
        <v>4.7879619999999998E-2</v>
      </c>
      <c r="W3771">
        <v>0.16019810000000001</v>
      </c>
      <c r="X3771">
        <v>0.98592299999999999</v>
      </c>
      <c r="Y3771">
        <v>7.1972380000000002E-2</v>
      </c>
      <c r="Z3771">
        <v>-2.6293430000000001E-3</v>
      </c>
      <c r="AA3771">
        <v>0.99740309999999999</v>
      </c>
      <c r="AB3771">
        <v>52</v>
      </c>
      <c r="AC3771">
        <v>20.881399999999999</v>
      </c>
      <c r="AD3771">
        <v>-1.110583309196</v>
      </c>
      <c r="AE3771">
        <v>-1.2363</v>
      </c>
      <c r="AF3771">
        <v>1.5373431639241499</v>
      </c>
      <c r="AG3771">
        <v>-1.110583309196</v>
      </c>
      <c r="AH3771">
        <v>20.802439281801</v>
      </c>
      <c r="AI3771">
        <v>93.047662860928099</v>
      </c>
      <c r="AJ3771">
        <v>85.773407091400202</v>
      </c>
      <c r="AK3771">
        <v>20.888712247607501</v>
      </c>
      <c r="AL3771">
        <v>80.781605401525397</v>
      </c>
      <c r="AM3771">
        <v>87.2197153248229</v>
      </c>
      <c r="AN3771">
        <v>1.0000000255919701</v>
      </c>
    </row>
    <row r="3772" spans="1:40" x14ac:dyDescent="0.25">
      <c r="A3772" t="str">
        <f>"20190312164102289"</f>
        <v>20190312164102289</v>
      </c>
      <c r="B3772" t="str">
        <f>"1552380062280238"</f>
        <v>1552380062280238</v>
      </c>
      <c r="C3772" t="s">
        <v>40</v>
      </c>
      <c r="D3772">
        <v>5.3257430000000001</v>
      </c>
      <c r="E3772">
        <v>0.51333499999999999</v>
      </c>
      <c r="F3772" t="s">
        <v>48</v>
      </c>
      <c r="G3772">
        <v>-249.9324</v>
      </c>
      <c r="H3772" s="1">
        <v>3.840051E-6</v>
      </c>
      <c r="I3772">
        <v>212.5275</v>
      </c>
      <c r="J3772">
        <v>-270.0224</v>
      </c>
      <c r="K3772">
        <v>1.1105510000000001</v>
      </c>
      <c r="L3772">
        <v>213.73159999999999</v>
      </c>
      <c r="M3772">
        <v>0.99977229999999995</v>
      </c>
      <c r="N3772">
        <v>0</v>
      </c>
      <c r="O3772">
        <v>1.505454E-2</v>
      </c>
      <c r="P3772">
        <v>0.98902100000000004</v>
      </c>
      <c r="Q3772">
        <v>0.1439376</v>
      </c>
      <c r="R3772">
        <v>-3.3459059999999999E-2</v>
      </c>
      <c r="S3772">
        <v>3.051971</v>
      </c>
      <c r="T3772">
        <v>-0.1645559</v>
      </c>
      <c r="U3772">
        <v>-0.17726140000000001</v>
      </c>
      <c r="V3772">
        <v>4.8084849999999998E-2</v>
      </c>
      <c r="W3772">
        <v>0.15894459999999999</v>
      </c>
      <c r="X3772">
        <v>0.98611590000000005</v>
      </c>
      <c r="Y3772">
        <v>7.2880249999999994E-2</v>
      </c>
      <c r="Z3772">
        <v>-2.772297E-3</v>
      </c>
      <c r="AA3772">
        <v>0.99733689999999997</v>
      </c>
      <c r="AB3772">
        <v>52</v>
      </c>
      <c r="AC3772">
        <v>20.09</v>
      </c>
      <c r="AD3772">
        <v>-1.110547159949</v>
      </c>
      <c r="AE3772">
        <v>-1.20409999999998</v>
      </c>
      <c r="AF3772">
        <v>1.5018709371546901</v>
      </c>
      <c r="AG3772">
        <v>-1.110547159949</v>
      </c>
      <c r="AH3772">
        <v>20.0086713824337</v>
      </c>
      <c r="AI3772">
        <v>93.167951328934706</v>
      </c>
      <c r="AJ3772">
        <v>85.707371038854106</v>
      </c>
      <c r="AK3772">
        <v>20.095667737016399</v>
      </c>
      <c r="AL3772">
        <v>80.854358142818199</v>
      </c>
      <c r="AM3772">
        <v>87.208362133031599</v>
      </c>
      <c r="AN3772">
        <v>1.0000000534507401</v>
      </c>
    </row>
    <row r="3773" spans="1:40" x14ac:dyDescent="0.25">
      <c r="A3773" t="str">
        <f>"20190312164102312"</f>
        <v>20190312164102312</v>
      </c>
      <c r="B3773" t="str">
        <f>"1552380062299758"</f>
        <v>1552380062299758</v>
      </c>
      <c r="C3773" t="s">
        <v>40</v>
      </c>
      <c r="D3773">
        <v>5.5049380000000001</v>
      </c>
      <c r="E3773">
        <v>0.51360550000000005</v>
      </c>
      <c r="F3773" t="s">
        <v>48</v>
      </c>
      <c r="G3773">
        <v>-250.4838</v>
      </c>
      <c r="H3773" s="1">
        <v>-1.191242E-6</v>
      </c>
      <c r="I3773">
        <v>212.6009</v>
      </c>
      <c r="J3773">
        <v>-269.50810000000001</v>
      </c>
      <c r="K3773">
        <v>1.1105100000000001</v>
      </c>
      <c r="L3773">
        <v>213.7396</v>
      </c>
      <c r="M3773">
        <v>0.99976640000000006</v>
      </c>
      <c r="N3773">
        <v>0</v>
      </c>
      <c r="O3773">
        <v>1.5456879999999999E-2</v>
      </c>
      <c r="P3773">
        <v>0.98922759999999998</v>
      </c>
      <c r="Q3773">
        <v>0.14244319999999999</v>
      </c>
      <c r="R3773">
        <v>-3.3749479999999998E-2</v>
      </c>
      <c r="S3773">
        <v>3.0525820000000001</v>
      </c>
      <c r="T3773">
        <v>-0.1735052</v>
      </c>
      <c r="U3773">
        <v>-0.176651</v>
      </c>
      <c r="V3773">
        <v>4.8790769999999997E-2</v>
      </c>
      <c r="W3773">
        <v>0.15744639999999999</v>
      </c>
      <c r="X3773">
        <v>0.98632149999999996</v>
      </c>
      <c r="Y3773">
        <v>7.3056239999999995E-2</v>
      </c>
      <c r="Z3773">
        <v>-2.9500939999999999E-3</v>
      </c>
      <c r="AA3773">
        <v>0.99732350000000003</v>
      </c>
      <c r="AB3773">
        <v>52</v>
      </c>
      <c r="AC3773">
        <v>19.0243</v>
      </c>
      <c r="AD3773">
        <v>-1.110511191242</v>
      </c>
      <c r="AE3773">
        <v>-1.1387</v>
      </c>
      <c r="AF3773">
        <v>1.42780601994025</v>
      </c>
      <c r="AG3773">
        <v>-1.110511191242</v>
      </c>
      <c r="AH3773">
        <v>18.940117022885399</v>
      </c>
      <c r="AI3773">
        <v>93.346094820227506</v>
      </c>
      <c r="AJ3773">
        <v>85.688895877151595</v>
      </c>
      <c r="AK3773">
        <v>19.026294909336499</v>
      </c>
      <c r="AL3773">
        <v>80.941292943956</v>
      </c>
      <c r="AM3773">
        <v>87.168034643031007</v>
      </c>
      <c r="AN3773">
        <v>1.0000000047362001</v>
      </c>
    </row>
    <row r="3774" spans="1:40" x14ac:dyDescent="0.25">
      <c r="A3774" t="str">
        <f>"20190312164102334"</f>
        <v>20190312164102334</v>
      </c>
      <c r="B3774" t="str">
        <f>"1552380062330014"</f>
        <v>1552380062330014</v>
      </c>
      <c r="C3774" t="s">
        <v>40</v>
      </c>
      <c r="D3774">
        <v>5.3157639999999997</v>
      </c>
      <c r="E3774">
        <v>0.51368539999999996</v>
      </c>
      <c r="F3774" t="s">
        <v>48</v>
      </c>
      <c r="G3774">
        <v>-250.10509999999999</v>
      </c>
      <c r="H3774" s="1">
        <v>-1.392708E-6</v>
      </c>
      <c r="I3774">
        <v>212.6002</v>
      </c>
      <c r="J3774">
        <v>-268.99290000000002</v>
      </c>
      <c r="K3774">
        <v>1.1104700000000001</v>
      </c>
      <c r="L3774">
        <v>213.74780000000001</v>
      </c>
      <c r="M3774">
        <v>0.9997606</v>
      </c>
      <c r="N3774">
        <v>0</v>
      </c>
      <c r="O3774">
        <v>1.583027E-2</v>
      </c>
      <c r="P3774">
        <v>0.98944370000000004</v>
      </c>
      <c r="Q3774">
        <v>0.1408614</v>
      </c>
      <c r="R3774">
        <v>-3.4053220000000002E-2</v>
      </c>
      <c r="S3774">
        <v>3.0516969999999999</v>
      </c>
      <c r="T3774">
        <v>-0.17466129999999999</v>
      </c>
      <c r="U3774">
        <v>-0.1791992</v>
      </c>
      <c r="V3774">
        <v>4.9482850000000002E-2</v>
      </c>
      <c r="W3774">
        <v>0.15586120000000001</v>
      </c>
      <c r="X3774">
        <v>0.98653880000000005</v>
      </c>
      <c r="Y3774">
        <v>7.4270729999999993E-2</v>
      </c>
      <c r="Z3774">
        <v>-3.0265439999999999E-3</v>
      </c>
      <c r="AA3774">
        <v>0.99723349999999999</v>
      </c>
      <c r="AB3774">
        <v>52</v>
      </c>
      <c r="AC3774">
        <v>18.887799999999999</v>
      </c>
      <c r="AD3774">
        <v>-1.1104713927079899</v>
      </c>
      <c r="AE3774">
        <v>-1.1476000000000099</v>
      </c>
      <c r="AF3774">
        <v>1.44152477203247</v>
      </c>
      <c r="AG3774">
        <v>-1.1104713927079899</v>
      </c>
      <c r="AH3774">
        <v>18.802509667260502</v>
      </c>
      <c r="AI3774">
        <v>93.370080986692599</v>
      </c>
      <c r="AJ3774">
        <v>85.615902673503399</v>
      </c>
      <c r="AK3774">
        <v>18.890354950869298</v>
      </c>
      <c r="AL3774">
        <v>81.033253882683496</v>
      </c>
      <c r="AM3774">
        <v>87.128562551430804</v>
      </c>
      <c r="AN3774">
        <v>1.0000000350075</v>
      </c>
    </row>
    <row r="3775" spans="1:40" x14ac:dyDescent="0.25">
      <c r="A3775" t="str">
        <f>"20190312164102357"</f>
        <v>20190312164102357</v>
      </c>
      <c r="B3775" t="str">
        <f>"1552380062349534"</f>
        <v>1552380062349534</v>
      </c>
      <c r="C3775" t="s">
        <v>40</v>
      </c>
      <c r="D3775">
        <v>5.3046680000000004</v>
      </c>
      <c r="E3775">
        <v>0.51387109999999903</v>
      </c>
      <c r="F3775" t="s">
        <v>48</v>
      </c>
      <c r="G3775">
        <v>-250.45</v>
      </c>
      <c r="H3775" s="1">
        <v>-1.2114660000000001E-6</v>
      </c>
      <c r="I3775">
        <v>212.65199999999999</v>
      </c>
      <c r="J3775">
        <v>-268.4674</v>
      </c>
      <c r="K3775">
        <v>1.110428</v>
      </c>
      <c r="L3775">
        <v>213.75630000000001</v>
      </c>
      <c r="M3775">
        <v>0.99975499999999995</v>
      </c>
      <c r="N3775">
        <v>0</v>
      </c>
      <c r="O3775">
        <v>1.6178689999999999E-2</v>
      </c>
      <c r="P3775">
        <v>0.98956239999999995</v>
      </c>
      <c r="Q3775">
        <v>0.13997809999999999</v>
      </c>
      <c r="R3775">
        <v>-3.4242389999999998E-2</v>
      </c>
      <c r="S3775">
        <v>3.0517880000000002</v>
      </c>
      <c r="T3775">
        <v>-0.18276139999999999</v>
      </c>
      <c r="U3775">
        <v>-0.18034359999999999</v>
      </c>
      <c r="V3775">
        <v>5.0033969999999997E-2</v>
      </c>
      <c r="W3775">
        <v>0.1549719</v>
      </c>
      <c r="X3775">
        <v>0.9866511</v>
      </c>
      <c r="Y3775">
        <v>7.4973369999999998E-2</v>
      </c>
      <c r="Z3775">
        <v>-3.2083670000000002E-3</v>
      </c>
      <c r="AA3775">
        <v>0.99718039999999997</v>
      </c>
      <c r="AB3775">
        <v>51</v>
      </c>
      <c r="AC3775">
        <v>18.017399999999999</v>
      </c>
      <c r="AD3775">
        <v>-1.1104292114659999</v>
      </c>
      <c r="AE3775">
        <v>-1.1042999999999901</v>
      </c>
      <c r="AF3775">
        <v>1.3904250393027799</v>
      </c>
      <c r="AG3775">
        <v>-1.1104292114659999</v>
      </c>
      <c r="AH3775">
        <v>17.929325734526799</v>
      </c>
      <c r="AI3775">
        <v>93.533429841126406</v>
      </c>
      <c r="AJ3775">
        <v>85.565569094704898</v>
      </c>
      <c r="AK3775">
        <v>18.017409806028301</v>
      </c>
      <c r="AL3775">
        <v>81.084833814996003</v>
      </c>
      <c r="AM3775">
        <v>87.096965952423901</v>
      </c>
      <c r="AN3775">
        <v>1.0000000405373799</v>
      </c>
    </row>
    <row r="3776" spans="1:40" x14ac:dyDescent="0.25">
      <c r="A3776" t="str">
        <f>"20190312164102378"</f>
        <v>20190312164102378</v>
      </c>
      <c r="B3776" t="str">
        <f>"1552380062370030"</f>
        <v>1552380062370030</v>
      </c>
      <c r="C3776" t="s">
        <v>40</v>
      </c>
      <c r="D3776">
        <v>5.3965930000000002</v>
      </c>
      <c r="E3776">
        <v>0.51406070000000004</v>
      </c>
      <c r="F3776" t="s">
        <v>48</v>
      </c>
      <c r="G3776">
        <v>-250.53579999999999</v>
      </c>
      <c r="H3776" s="1">
        <v>-1.167276E-6</v>
      </c>
      <c r="I3776">
        <v>212.68620000000001</v>
      </c>
      <c r="J3776">
        <v>-267.97809999999998</v>
      </c>
      <c r="K3776">
        <v>1.1103879999999999</v>
      </c>
      <c r="L3776">
        <v>213.76439999999999</v>
      </c>
      <c r="M3776">
        <v>0.99975040000000004</v>
      </c>
      <c r="N3776">
        <v>0</v>
      </c>
      <c r="O3776">
        <v>1.6472839999999999E-2</v>
      </c>
      <c r="P3776">
        <v>0.98959770000000002</v>
      </c>
      <c r="Q3776">
        <v>0.1396355</v>
      </c>
      <c r="R3776">
        <v>-3.4624120000000001E-2</v>
      </c>
      <c r="S3776">
        <v>3.0520320000000001</v>
      </c>
      <c r="T3776">
        <v>-0.18899969999999999</v>
      </c>
      <c r="U3776">
        <v>-0.18214420000000001</v>
      </c>
      <c r="V3776">
        <v>5.0721309999999999E-2</v>
      </c>
      <c r="W3776">
        <v>0.154621799999999</v>
      </c>
      <c r="X3776">
        <v>0.98667090000000002</v>
      </c>
      <c r="Y3776">
        <v>7.5834769999999996E-2</v>
      </c>
      <c r="Z3776">
        <v>-3.3621609999999998E-3</v>
      </c>
      <c r="AA3776">
        <v>0.99711470000000002</v>
      </c>
      <c r="AB3776">
        <v>51</v>
      </c>
      <c r="AC3776">
        <v>17.4422999999999</v>
      </c>
      <c r="AD3776">
        <v>-1.110389167276</v>
      </c>
      <c r="AE3776">
        <v>-1.0781999999999801</v>
      </c>
      <c r="AF3776">
        <v>1.3599202659321099</v>
      </c>
      <c r="AG3776">
        <v>-1.110389167276</v>
      </c>
      <c r="AH3776">
        <v>17.352114758657802</v>
      </c>
      <c r="AI3776">
        <v>93.650292074920003</v>
      </c>
      <c r="AJ3776">
        <v>85.518773927787095</v>
      </c>
      <c r="AK3776">
        <v>17.440706230830401</v>
      </c>
      <c r="AL3776">
        <v>81.105137518185302</v>
      </c>
      <c r="AM3776">
        <v>87.057214198270898</v>
      </c>
      <c r="AN3776">
        <v>1.00000000861508</v>
      </c>
    </row>
    <row r="3777" spans="1:40" x14ac:dyDescent="0.25">
      <c r="A3777" t="str">
        <f>"20190312164102402"</f>
        <v>20190312164102402</v>
      </c>
      <c r="B3777" t="str">
        <f>"1552380062389551"</f>
        <v>1552380062389551</v>
      </c>
      <c r="C3777" t="s">
        <v>40</v>
      </c>
      <c r="D3777">
        <v>5.3427610000000003</v>
      </c>
      <c r="E3777">
        <v>0.51418189999999997</v>
      </c>
      <c r="F3777" t="s">
        <v>42</v>
      </c>
      <c r="G3777">
        <v>-266.8057</v>
      </c>
      <c r="H3777">
        <v>1.0366979999999999</v>
      </c>
      <c r="I3777">
        <v>213.69319999999999</v>
      </c>
      <c r="J3777">
        <v>-267.4513</v>
      </c>
      <c r="K3777">
        <v>1.110349</v>
      </c>
      <c r="L3777">
        <v>213.7732</v>
      </c>
      <c r="M3777">
        <v>0.99974569999999996</v>
      </c>
      <c r="N3777">
        <v>0</v>
      </c>
      <c r="O3777">
        <v>1.6757749999999998E-2</v>
      </c>
      <c r="P3777">
        <v>0.98957620000000002</v>
      </c>
      <c r="Q3777">
        <v>0.139431</v>
      </c>
      <c r="R3777">
        <v>-3.6029749999999999E-2</v>
      </c>
      <c r="S3777">
        <v>3.0521240000000001</v>
      </c>
      <c r="T3777">
        <v>-0.19199550000000001</v>
      </c>
      <c r="U3777">
        <v>-0.18466189999999999</v>
      </c>
      <c r="V3777">
        <v>5.2423379999999999E-2</v>
      </c>
      <c r="W3777">
        <v>0.154410299999999</v>
      </c>
      <c r="X3777">
        <v>0.98661509999999997</v>
      </c>
      <c r="Y3777">
        <v>7.6928330000000003E-2</v>
      </c>
      <c r="Z3777">
        <v>-3.4673899999999999E-3</v>
      </c>
      <c r="AA3777">
        <v>0.99703059999999999</v>
      </c>
      <c r="AB3777">
        <v>51</v>
      </c>
      <c r="AC3777">
        <v>0.64560000000000095</v>
      </c>
      <c r="AD3777">
        <v>-7.3651000000000105E-2</v>
      </c>
      <c r="AE3777">
        <v>-8.0000000000012506E-2</v>
      </c>
      <c r="AF3777">
        <v>8.9659563976736495E-2</v>
      </c>
      <c r="AG3777">
        <v>-7.3651000000000105E-2</v>
      </c>
      <c r="AH3777">
        <v>0.63601624437877302</v>
      </c>
      <c r="AI3777">
        <v>96.541350395007598</v>
      </c>
      <c r="AJ3777">
        <v>81.975857072919197</v>
      </c>
      <c r="AK3777">
        <v>0.64651370467081204</v>
      </c>
      <c r="AL3777">
        <v>81.1174032812484</v>
      </c>
      <c r="AM3777">
        <v>86.958472972153501</v>
      </c>
      <c r="AN3777">
        <v>1.0000000535323601</v>
      </c>
    </row>
    <row r="3778" spans="1:40" x14ac:dyDescent="0.25">
      <c r="A3778" t="str">
        <f>"20190312164102424"</f>
        <v>20190312164102424</v>
      </c>
      <c r="B3778" t="str">
        <f>"1552380062410046"</f>
        <v>1552380062410046</v>
      </c>
      <c r="C3778" t="s">
        <v>40</v>
      </c>
      <c r="D3778">
        <v>5.3828500000000004</v>
      </c>
      <c r="E3778">
        <v>0.5142719</v>
      </c>
      <c r="F3778" t="s">
        <v>42</v>
      </c>
      <c r="G3778">
        <v>-266.34550000000002</v>
      </c>
      <c r="H3778">
        <v>1.040268</v>
      </c>
      <c r="I3778">
        <v>213.7046</v>
      </c>
      <c r="J3778">
        <v>-266.92129999999997</v>
      </c>
      <c r="K3778">
        <v>1.1103019999999999</v>
      </c>
      <c r="L3778">
        <v>213.78229999999999</v>
      </c>
      <c r="M3778">
        <v>0.99974130000000005</v>
      </c>
      <c r="N3778">
        <v>0</v>
      </c>
      <c r="O3778">
        <v>1.7018180000000001E-2</v>
      </c>
      <c r="P3778">
        <v>0.98955700000000002</v>
      </c>
      <c r="Q3778">
        <v>0.1392494</v>
      </c>
      <c r="R3778">
        <v>-3.7239099999999997E-2</v>
      </c>
      <c r="S3778">
        <v>3.051971</v>
      </c>
      <c r="T3778">
        <v>-0.19348180000000001</v>
      </c>
      <c r="U3778">
        <v>-0.1890106</v>
      </c>
      <c r="V3778">
        <v>5.3904260000000002E-2</v>
      </c>
      <c r="W3778">
        <v>0.15422089999999999</v>
      </c>
      <c r="X3778">
        <v>0.98656489999999997</v>
      </c>
      <c r="Y3778">
        <v>7.8599589999999997E-2</v>
      </c>
      <c r="Z3778">
        <v>-3.563559E-3</v>
      </c>
      <c r="AA3778">
        <v>0.99689989999999995</v>
      </c>
      <c r="AB3778">
        <v>51</v>
      </c>
      <c r="AC3778">
        <v>0.57579999999995801</v>
      </c>
      <c r="AD3778">
        <v>-7.0034000000000096E-2</v>
      </c>
      <c r="AE3778">
        <v>-7.7699999999992997E-2</v>
      </c>
      <c r="AF3778">
        <v>8.6236001219869698E-2</v>
      </c>
      <c r="AG3778">
        <v>-7.0034000000000096E-2</v>
      </c>
      <c r="AH3778">
        <v>0.56616824080552997</v>
      </c>
      <c r="AI3778">
        <v>96.971959539158306</v>
      </c>
      <c r="AJ3778">
        <v>81.339549175625507</v>
      </c>
      <c r="AK3778">
        <v>0.57696437148165602</v>
      </c>
      <c r="AL3778">
        <v>81.128386441418399</v>
      </c>
      <c r="AM3778">
        <v>86.872563895697098</v>
      </c>
      <c r="AN3778">
        <v>1.0000000285774799</v>
      </c>
    </row>
    <row r="3779" spans="1:40" x14ac:dyDescent="0.25">
      <c r="A3779" t="str">
        <f>"20190312164102447"</f>
        <v>20190312164102447</v>
      </c>
      <c r="B3779" t="str">
        <f>"1552380062439326"</f>
        <v>1552380062439326</v>
      </c>
      <c r="C3779" t="s">
        <v>40</v>
      </c>
      <c r="D3779">
        <v>6.1595829999999996</v>
      </c>
      <c r="E3779">
        <v>0.51390079999999905</v>
      </c>
      <c r="F3779" t="s">
        <v>42</v>
      </c>
      <c r="G3779">
        <v>-265.8836</v>
      </c>
      <c r="H3779">
        <v>1.0452539999999999</v>
      </c>
      <c r="I3779">
        <v>213.71639999999999</v>
      </c>
      <c r="J3779">
        <v>-266.41759999999999</v>
      </c>
      <c r="K3779">
        <v>1.1102620000000001</v>
      </c>
      <c r="L3779">
        <v>213.791</v>
      </c>
      <c r="M3779">
        <v>0.9997374</v>
      </c>
      <c r="N3779">
        <v>0</v>
      </c>
      <c r="O3779">
        <v>1.724477E-2</v>
      </c>
      <c r="P3779">
        <v>0.98961220000000005</v>
      </c>
      <c r="Q3779">
        <v>0.1386839</v>
      </c>
      <c r="R3779">
        <v>-3.7877609999999999E-2</v>
      </c>
      <c r="S3779">
        <v>3.0512999999999999</v>
      </c>
      <c r="T3779">
        <v>-0.19132769999999999</v>
      </c>
      <c r="U3779">
        <v>-0.1934814</v>
      </c>
      <c r="V3779">
        <v>5.4780910000000002E-2</v>
      </c>
      <c r="W3779">
        <v>0.1536489</v>
      </c>
      <c r="X3779">
        <v>0.98660579999999998</v>
      </c>
      <c r="Y3779">
        <v>8.0294329999999997E-2</v>
      </c>
      <c r="Z3779">
        <v>-3.5917879999999998E-3</v>
      </c>
      <c r="AA3779">
        <v>0.99676469999999995</v>
      </c>
      <c r="AB3779">
        <v>51</v>
      </c>
      <c r="AC3779">
        <v>0.53399999999999104</v>
      </c>
      <c r="AD3779">
        <v>-6.5007999999999899E-2</v>
      </c>
      <c r="AE3779">
        <v>-7.4600000000003705E-2</v>
      </c>
      <c r="AF3779">
        <v>8.2597982693814298E-2</v>
      </c>
      <c r="AG3779">
        <v>-6.5007999999999899E-2</v>
      </c>
      <c r="AH3779">
        <v>0.52500232306149597</v>
      </c>
      <c r="AI3779">
        <v>96.973754947510699</v>
      </c>
      <c r="AJ3779">
        <v>81.059013494631003</v>
      </c>
      <c r="AK3779">
        <v>0.53542124166776905</v>
      </c>
      <c r="AL3779">
        <v>81.161554428197604</v>
      </c>
      <c r="AM3779">
        <v>86.821937029752604</v>
      </c>
      <c r="AN3779">
        <v>0.99999996858263795</v>
      </c>
    </row>
    <row r="3780" spans="1:40" x14ac:dyDescent="0.25">
      <c r="A3780" t="str">
        <f>"20190312164102468"</f>
        <v>20190312164102468</v>
      </c>
      <c r="B3780" t="str">
        <f>"1552380062459822"</f>
        <v>1552380062459822</v>
      </c>
      <c r="C3780" t="s">
        <v>40</v>
      </c>
      <c r="D3780">
        <v>5.3992440000000004</v>
      </c>
      <c r="E3780">
        <v>0.51352159999999902</v>
      </c>
      <c r="F3780" t="s">
        <v>42</v>
      </c>
      <c r="G3780">
        <v>-265.42180000000002</v>
      </c>
      <c r="H3780">
        <v>1.0497259999999999</v>
      </c>
      <c r="I3780">
        <v>213.72800000000001</v>
      </c>
      <c r="J3780">
        <v>-265.9221</v>
      </c>
      <c r="K3780">
        <v>1.110228</v>
      </c>
      <c r="L3780">
        <v>213.7997</v>
      </c>
      <c r="M3780">
        <v>0.99973389999999995</v>
      </c>
      <c r="N3780">
        <v>0</v>
      </c>
      <c r="O3780">
        <v>1.7451629999999999E-2</v>
      </c>
      <c r="P3780">
        <v>0.98964070000000004</v>
      </c>
      <c r="Q3780">
        <v>0.13841700000000001</v>
      </c>
      <c r="R3780">
        <v>-3.8108889999999999E-2</v>
      </c>
      <c r="S3780">
        <v>3.0501399999999999</v>
      </c>
      <c r="T3780">
        <v>-0.18557129999999999</v>
      </c>
      <c r="U3780">
        <v>-0.19238279999999999</v>
      </c>
      <c r="V3780">
        <v>5.5228739999999998E-2</v>
      </c>
      <c r="W3780">
        <v>0.15337519999999999</v>
      </c>
      <c r="X3780">
        <v>0.98662349999999999</v>
      </c>
      <c r="Y3780">
        <v>8.0177899999999996E-2</v>
      </c>
      <c r="Z3780">
        <v>-3.4943140000000001E-3</v>
      </c>
      <c r="AA3780">
        <v>0.99677439999999995</v>
      </c>
      <c r="AB3780">
        <v>51</v>
      </c>
      <c r="AC3780">
        <v>0.50029999999998098</v>
      </c>
      <c r="AD3780">
        <v>-6.0502E-2</v>
      </c>
      <c r="AE3780">
        <v>-7.1700000000021094E-2</v>
      </c>
      <c r="AF3780">
        <v>7.9284961782216001E-2</v>
      </c>
      <c r="AG3780">
        <v>-6.0502E-2</v>
      </c>
      <c r="AH3780">
        <v>0.49192306568741401</v>
      </c>
      <c r="AI3780">
        <v>96.923178460129606</v>
      </c>
      <c r="AJ3780">
        <v>80.844176853450804</v>
      </c>
      <c r="AK3780">
        <v>0.50193117030536205</v>
      </c>
      <c r="AL3780">
        <v>81.177425102124204</v>
      </c>
      <c r="AM3780">
        <v>86.796067862326197</v>
      </c>
      <c r="AN3780">
        <v>1.0000000482246301</v>
      </c>
    </row>
    <row r="3781" spans="1:40" x14ac:dyDescent="0.25">
      <c r="A3781" t="str">
        <f>"20190312164102491"</f>
        <v>20190312164102491</v>
      </c>
      <c r="B3781" t="str">
        <f>"1552380062480319"</f>
        <v>1552380062480319</v>
      </c>
      <c r="C3781" t="s">
        <v>40</v>
      </c>
      <c r="D3781">
        <v>5.4393750000000001</v>
      </c>
      <c r="E3781">
        <v>0.51327140000000004</v>
      </c>
      <c r="F3781" t="s">
        <v>42</v>
      </c>
      <c r="G3781">
        <v>-264.96269999999998</v>
      </c>
      <c r="H3781">
        <v>1.0517459999999901</v>
      </c>
      <c r="I3781">
        <v>213.74</v>
      </c>
      <c r="J3781">
        <v>-265.41390000000001</v>
      </c>
      <c r="K3781">
        <v>1.1101970000000001</v>
      </c>
      <c r="L3781">
        <v>213.80869999999999</v>
      </c>
      <c r="M3781">
        <v>0.99973029999999996</v>
      </c>
      <c r="N3781">
        <v>0</v>
      </c>
      <c r="O3781">
        <v>1.765187E-2</v>
      </c>
      <c r="P3781">
        <v>0.98952799999999996</v>
      </c>
      <c r="Q3781">
        <v>0.13932320000000001</v>
      </c>
      <c r="R3781">
        <v>-3.7728249999999998E-2</v>
      </c>
      <c r="S3781">
        <v>3.050049</v>
      </c>
      <c r="T3781">
        <v>-0.18588109999999999</v>
      </c>
      <c r="U3781">
        <v>-0.19003300000000001</v>
      </c>
      <c r="V3781">
        <v>5.5053539999999998E-2</v>
      </c>
      <c r="W3781">
        <v>0.15427270000000001</v>
      </c>
      <c r="X3781">
        <v>0.98649330000000002</v>
      </c>
      <c r="Y3781">
        <v>7.9614509999999999E-2</v>
      </c>
      <c r="Z3781">
        <v>-3.4953720000000001E-3</v>
      </c>
      <c r="AA3781">
        <v>0.99681960000000003</v>
      </c>
      <c r="AB3781">
        <v>51</v>
      </c>
      <c r="AC3781">
        <v>0.45120000000002802</v>
      </c>
      <c r="AD3781">
        <v>-5.8451000000000003E-2</v>
      </c>
      <c r="AE3781">
        <v>-6.8699999999978403E-2</v>
      </c>
      <c r="AF3781">
        <v>7.5417735712924899E-2</v>
      </c>
      <c r="AG3781">
        <v>-5.8451000000000003E-2</v>
      </c>
      <c r="AH3781">
        <v>0.442656486799128</v>
      </c>
      <c r="AI3781">
        <v>97.416501565291696</v>
      </c>
      <c r="AJ3781">
        <v>80.331056358919497</v>
      </c>
      <c r="AK3781">
        <v>0.452823497144761</v>
      </c>
      <c r="AL3781">
        <v>81.125382266778502</v>
      </c>
      <c r="AM3781">
        <v>86.805789846585398</v>
      </c>
      <c r="AN3781">
        <v>0.99999999458835498</v>
      </c>
    </row>
    <row r="3782" spans="1:40" x14ac:dyDescent="0.25">
      <c r="A3782" t="str">
        <f>"20190312164102513"</f>
        <v>20190312164102513</v>
      </c>
      <c r="B3782" t="str">
        <f>"1552380062509598"</f>
        <v>1552380062509598</v>
      </c>
      <c r="C3782" t="s">
        <v>40</v>
      </c>
      <c r="D3782">
        <v>5.3646060000000002</v>
      </c>
      <c r="E3782">
        <v>0.51262730000000001</v>
      </c>
      <c r="F3782" t="s">
        <v>48</v>
      </c>
      <c r="G3782">
        <v>-247.1046</v>
      </c>
      <c r="H3782" s="1">
        <v>2.3281510000000001E-6</v>
      </c>
      <c r="I3782">
        <v>212.68989999999999</v>
      </c>
      <c r="J3782">
        <v>-264.89839999999998</v>
      </c>
      <c r="K3782">
        <v>1.11016</v>
      </c>
      <c r="L3782">
        <v>213.81790000000001</v>
      </c>
      <c r="M3782">
        <v>0.99972709999999998</v>
      </c>
      <c r="N3782">
        <v>0</v>
      </c>
      <c r="O3782">
        <v>1.7846130000000002E-2</v>
      </c>
      <c r="P3782">
        <v>0.98951109999999998</v>
      </c>
      <c r="Q3782">
        <v>0.13961089999999901</v>
      </c>
      <c r="R3782">
        <v>-3.7101660000000002E-2</v>
      </c>
      <c r="S3782">
        <v>3.0507200000000001</v>
      </c>
      <c r="T3782">
        <v>-0.1849827</v>
      </c>
      <c r="U3782">
        <v>-0.18641659999999999</v>
      </c>
      <c r="V3782">
        <v>5.4627969999999998E-2</v>
      </c>
      <c r="W3782">
        <v>0.154553</v>
      </c>
      <c r="X3782">
        <v>0.98647309999999999</v>
      </c>
      <c r="Y3782">
        <v>7.8620659999999995E-2</v>
      </c>
      <c r="Z3782">
        <v>-3.4595530000000002E-3</v>
      </c>
      <c r="AA3782">
        <v>0.99689859999999997</v>
      </c>
      <c r="AB3782">
        <v>51</v>
      </c>
      <c r="AC3782">
        <v>17.793799999999901</v>
      </c>
      <c r="AD3782">
        <v>-1.110157671849</v>
      </c>
      <c r="AE3782">
        <v>-1.1280000000000101</v>
      </c>
      <c r="AF3782">
        <v>1.43982474636142</v>
      </c>
      <c r="AG3782">
        <v>-1.110157671849</v>
      </c>
      <c r="AH3782">
        <v>17.702202341109601</v>
      </c>
      <c r="AI3782">
        <v>93.576708379979806</v>
      </c>
      <c r="AJ3782">
        <v>85.350031577272901</v>
      </c>
      <c r="AK3782">
        <v>17.795322786681499</v>
      </c>
      <c r="AL3782">
        <v>81.109127451147401</v>
      </c>
      <c r="AM3782">
        <v>86.830366136760404</v>
      </c>
      <c r="AN3782">
        <v>1.00000001096946</v>
      </c>
    </row>
    <row r="3783" spans="1:40" x14ac:dyDescent="0.25">
      <c r="A3783" t="str">
        <f>"20190312164102535"</f>
        <v>20190312164102535</v>
      </c>
      <c r="B3783" t="str">
        <f>"1552380062530098"</f>
        <v>1552380062530098</v>
      </c>
      <c r="C3783" t="s">
        <v>40</v>
      </c>
      <c r="D3783">
        <v>5.3395590000000004</v>
      </c>
      <c r="E3783">
        <v>0.51218649999999999</v>
      </c>
      <c r="F3783" t="s">
        <v>48</v>
      </c>
      <c r="G3783">
        <v>-246.1815</v>
      </c>
      <c r="H3783" s="1">
        <v>1.8355639999999999E-6</v>
      </c>
      <c r="I3783">
        <v>212.72</v>
      </c>
      <c r="J3783">
        <v>-264.37959999999998</v>
      </c>
      <c r="K3783">
        <v>1.110139</v>
      </c>
      <c r="L3783">
        <v>213.82730000000001</v>
      </c>
      <c r="M3783">
        <v>0.99972360000000005</v>
      </c>
      <c r="N3783">
        <v>0</v>
      </c>
      <c r="O3783">
        <v>1.803604E-2</v>
      </c>
      <c r="P3783">
        <v>0.9895699</v>
      </c>
      <c r="Q3783">
        <v>0.13934830000000001</v>
      </c>
      <c r="R3783">
        <v>-3.6516100000000003E-2</v>
      </c>
      <c r="S3783">
        <v>3.0505680000000002</v>
      </c>
      <c r="T3783">
        <v>-0.1809385</v>
      </c>
      <c r="U3783">
        <v>-0.17893979999999901</v>
      </c>
      <c r="V3783">
        <v>5.42394E-2</v>
      </c>
      <c r="W3783">
        <v>0.15428449999999999</v>
      </c>
      <c r="X3783">
        <v>0.98653659999999999</v>
      </c>
      <c r="Y3783">
        <v>7.638942E-2</v>
      </c>
      <c r="Z3783">
        <v>-3.329654E-3</v>
      </c>
      <c r="AA3783">
        <v>0.99707250000000003</v>
      </c>
      <c r="AB3783">
        <v>51</v>
      </c>
      <c r="AC3783">
        <v>18.198099999999901</v>
      </c>
      <c r="AD3783">
        <v>-1.1101371644360001</v>
      </c>
      <c r="AE3783">
        <v>-1.1073</v>
      </c>
      <c r="AF3783">
        <v>1.4300766382013199</v>
      </c>
      <c r="AG3783">
        <v>-1.1101371644360001</v>
      </c>
      <c r="AH3783">
        <v>18.108027753021801</v>
      </c>
      <c r="AI3783">
        <v>93.497342225137601</v>
      </c>
      <c r="AJ3783">
        <v>85.484453440966803</v>
      </c>
      <c r="AK3783">
        <v>18.198301921311199</v>
      </c>
      <c r="AL3783">
        <v>81.1246984018143</v>
      </c>
      <c r="AM3783">
        <v>86.853068495679906</v>
      </c>
      <c r="AN3783">
        <v>1.0000000412960799</v>
      </c>
    </row>
    <row r="3784" spans="1:40" x14ac:dyDescent="0.25">
      <c r="A3784" t="str">
        <f>"20190312164102558"</f>
        <v>20190312164102558</v>
      </c>
      <c r="B3784" t="str">
        <f>"1552380062549614"</f>
        <v>1552380062549614</v>
      </c>
      <c r="C3784" t="s">
        <v>40</v>
      </c>
      <c r="D3784">
        <v>5.5706860000000002</v>
      </c>
      <c r="E3784">
        <v>0.51169179999999903</v>
      </c>
      <c r="F3784" t="s">
        <v>48</v>
      </c>
      <c r="G3784">
        <v>-245.76669999999999</v>
      </c>
      <c r="H3784" s="1">
        <v>1.612662E-6</v>
      </c>
      <c r="I3784">
        <v>212.77010000000001</v>
      </c>
      <c r="J3784">
        <v>-263.86900000000003</v>
      </c>
      <c r="K3784">
        <v>1.1101190000000001</v>
      </c>
      <c r="L3784">
        <v>213.83670000000001</v>
      </c>
      <c r="M3784">
        <v>0.99972030000000001</v>
      </c>
      <c r="N3784">
        <v>0</v>
      </c>
      <c r="O3784">
        <v>1.8219869999999999E-2</v>
      </c>
      <c r="P3784">
        <v>0.98958020000000002</v>
      </c>
      <c r="Q3784">
        <v>0.1394223</v>
      </c>
      <c r="R3784">
        <v>-3.5947970000000003E-2</v>
      </c>
      <c r="S3784">
        <v>3.0508419999999998</v>
      </c>
      <c r="T3784">
        <v>-0.18196300000000001</v>
      </c>
      <c r="U3784">
        <v>-0.17327879999999901</v>
      </c>
      <c r="V3784">
        <v>5.3859879999999999E-2</v>
      </c>
      <c r="W3784">
        <v>0.15435279999999901</v>
      </c>
      <c r="X3784">
        <v>0.9865467</v>
      </c>
      <c r="Y3784">
        <v>7.4724159999999998E-2</v>
      </c>
      <c r="Z3784">
        <v>-3.3097180000000001E-3</v>
      </c>
      <c r="AA3784">
        <v>0.99719880000000005</v>
      </c>
      <c r="AB3784">
        <v>51</v>
      </c>
      <c r="AC3784">
        <v>18.1023</v>
      </c>
      <c r="AD3784">
        <v>-1.1101173873379999</v>
      </c>
      <c r="AE3784">
        <v>-1.06659999999999</v>
      </c>
      <c r="AF3784">
        <v>1.39106864931023</v>
      </c>
      <c r="AG3784">
        <v>-1.1101173873379999</v>
      </c>
      <c r="AH3784">
        <v>18.012353935242398</v>
      </c>
      <c r="AI3784">
        <v>93.516285042267398</v>
      </c>
      <c r="AJ3784">
        <v>85.583893561276994</v>
      </c>
      <c r="AK3784">
        <v>18.100064278593202</v>
      </c>
      <c r="AL3784">
        <v>81.120737575439406</v>
      </c>
      <c r="AM3784">
        <v>86.875076111061304</v>
      </c>
      <c r="AN3784">
        <v>1.00000003241117</v>
      </c>
    </row>
    <row r="3785" spans="1:40" x14ac:dyDescent="0.25">
      <c r="A3785" t="str">
        <f>"20190312164102580"</f>
        <v>20190312164102580</v>
      </c>
      <c r="B3785" t="str">
        <f>"1552380062570110"</f>
        <v>1552380062570110</v>
      </c>
      <c r="C3785" t="s">
        <v>40</v>
      </c>
      <c r="D3785">
        <v>5.4732890000000003</v>
      </c>
      <c r="E3785">
        <v>0.51129910000000001</v>
      </c>
      <c r="F3785" t="s">
        <v>42</v>
      </c>
      <c r="G3785">
        <v>-262.68939999999998</v>
      </c>
      <c r="H3785">
        <v>1.0402009999999999</v>
      </c>
      <c r="I3785">
        <v>213.77189999999999</v>
      </c>
      <c r="J3785">
        <v>-263.36829999999998</v>
      </c>
      <c r="K3785">
        <v>1.110106</v>
      </c>
      <c r="L3785">
        <v>213.8459</v>
      </c>
      <c r="M3785">
        <v>0.99971719999999997</v>
      </c>
      <c r="N3785">
        <v>0</v>
      </c>
      <c r="O3785">
        <v>1.839814E-2</v>
      </c>
      <c r="P3785">
        <v>0.98961869999999996</v>
      </c>
      <c r="Q3785">
        <v>0.13916829999999999</v>
      </c>
      <c r="R3785">
        <v>-3.5876900000000003E-2</v>
      </c>
      <c r="S3785">
        <v>3.0509949999999999</v>
      </c>
      <c r="T3785">
        <v>-0.18092240000000001</v>
      </c>
      <c r="U3785">
        <v>-0.16706849999999901</v>
      </c>
      <c r="V3785">
        <v>5.3971480000000002E-2</v>
      </c>
      <c r="W3785">
        <v>0.1540947</v>
      </c>
      <c r="X3785">
        <v>0.98658089999999998</v>
      </c>
      <c r="Y3785">
        <v>7.2880329999999993E-2</v>
      </c>
      <c r="Z3785">
        <v>-3.2468179999999998E-3</v>
      </c>
      <c r="AA3785">
        <v>0.99733539999999998</v>
      </c>
      <c r="AB3785">
        <v>51</v>
      </c>
      <c r="AC3785">
        <v>0.67889999999999795</v>
      </c>
      <c r="AD3785">
        <v>-6.9905000000000106E-2</v>
      </c>
      <c r="AE3785">
        <v>-7.4000000000012195E-2</v>
      </c>
      <c r="AF3785">
        <v>8.5582658260869499E-2</v>
      </c>
      <c r="AG3785">
        <v>-6.9905000000000106E-2</v>
      </c>
      <c r="AH3785">
        <v>0.67039905287034296</v>
      </c>
      <c r="AI3785">
        <v>95.905348425893195</v>
      </c>
      <c r="AJ3785">
        <v>82.725011823407101</v>
      </c>
      <c r="AK3785">
        <v>0.679445355057675</v>
      </c>
      <c r="AL3785">
        <v>81.135704256898606</v>
      </c>
      <c r="AM3785">
        <v>86.868722340328205</v>
      </c>
      <c r="AN3785">
        <v>0.999999984733145</v>
      </c>
    </row>
    <row r="3786" spans="1:40" x14ac:dyDescent="0.25">
      <c r="A3786" t="str">
        <f>"20190312164102603"</f>
        <v>20190312164102603</v>
      </c>
      <c r="B3786" t="str">
        <f>"1552380062589632"</f>
        <v>1552380062589632</v>
      </c>
      <c r="C3786" t="s">
        <v>40</v>
      </c>
      <c r="D3786">
        <v>5.5324600000000004</v>
      </c>
      <c r="E3786">
        <v>0.51093169999999999</v>
      </c>
      <c r="F3786" t="s">
        <v>42</v>
      </c>
      <c r="G3786">
        <v>-262.23219999999998</v>
      </c>
      <c r="H3786">
        <v>1.043048</v>
      </c>
      <c r="I3786">
        <v>213.7852</v>
      </c>
      <c r="J3786">
        <v>-262.8623</v>
      </c>
      <c r="K3786">
        <v>1.1100939999999999</v>
      </c>
      <c r="L3786">
        <v>213.8553</v>
      </c>
      <c r="M3786">
        <v>0.99971379999999999</v>
      </c>
      <c r="N3786">
        <v>0</v>
      </c>
      <c r="O3786">
        <v>1.8576990000000002E-2</v>
      </c>
      <c r="P3786">
        <v>0.98956169999999999</v>
      </c>
      <c r="Q3786">
        <v>0.139567</v>
      </c>
      <c r="R3786">
        <v>-3.5897800000000001E-2</v>
      </c>
      <c r="S3786">
        <v>3.0509029999999999</v>
      </c>
      <c r="T3786">
        <v>-0.1800995</v>
      </c>
      <c r="U3786">
        <v>-0.162796</v>
      </c>
      <c r="V3786">
        <v>5.4172659999999997E-2</v>
      </c>
      <c r="W3786">
        <v>0.1544876</v>
      </c>
      <c r="X3786">
        <v>0.98650839999999995</v>
      </c>
      <c r="Y3786">
        <v>7.1670949999999997E-2</v>
      </c>
      <c r="Z3786">
        <v>-3.2071949999999999E-3</v>
      </c>
      <c r="AA3786">
        <v>0.99742319999999995</v>
      </c>
      <c r="AB3786">
        <v>51</v>
      </c>
      <c r="AC3786">
        <v>0.63010000000002697</v>
      </c>
      <c r="AD3786">
        <v>-6.7046000000000106E-2</v>
      </c>
      <c r="AE3786">
        <v>-7.0099999999996498E-2</v>
      </c>
      <c r="AF3786">
        <v>8.08899449587384E-2</v>
      </c>
      <c r="AG3786">
        <v>-6.7046000000000106E-2</v>
      </c>
      <c r="AH3786">
        <v>0.62173555800475799</v>
      </c>
      <c r="AI3786">
        <v>96.103762931637803</v>
      </c>
      <c r="AJ3786">
        <v>82.587258854846098</v>
      </c>
      <c r="AK3786">
        <v>0.63055011965657004</v>
      </c>
      <c r="AL3786">
        <v>81.112919685331804</v>
      </c>
      <c r="AM3786">
        <v>86.856843268154805</v>
      </c>
      <c r="AN3786">
        <v>0.99999995945789699</v>
      </c>
    </row>
    <row r="3787" spans="1:40" x14ac:dyDescent="0.25">
      <c r="A3787" t="str">
        <f>"20190312164102625"</f>
        <v>20190312164102625</v>
      </c>
      <c r="B3787" t="str">
        <f>"1552380062619887"</f>
        <v>1552380062619887</v>
      </c>
      <c r="C3787" t="s">
        <v>40</v>
      </c>
      <c r="D3787">
        <v>5.4906949999999997</v>
      </c>
      <c r="E3787">
        <v>0.51048009999999999</v>
      </c>
      <c r="F3787" t="s">
        <v>42</v>
      </c>
      <c r="G3787">
        <v>-261.77370000000002</v>
      </c>
      <c r="H3787">
        <v>1.047026</v>
      </c>
      <c r="I3787">
        <v>213.79820000000001</v>
      </c>
      <c r="J3787">
        <v>-262.33920000000001</v>
      </c>
      <c r="K3787">
        <v>1.11009</v>
      </c>
      <c r="L3787">
        <v>213.86519999999999</v>
      </c>
      <c r="M3787">
        <v>0.99971049999999995</v>
      </c>
      <c r="N3787">
        <v>0</v>
      </c>
      <c r="O3787">
        <v>1.8760869999999999E-2</v>
      </c>
      <c r="P3787">
        <v>0.98940899999999998</v>
      </c>
      <c r="Q3787">
        <v>0.1403874</v>
      </c>
      <c r="R3787">
        <v>-3.6896030000000003E-2</v>
      </c>
      <c r="S3787">
        <v>3.0508120000000001</v>
      </c>
      <c r="T3787">
        <v>-0.17690929999999999</v>
      </c>
      <c r="U3787">
        <v>-0.15931699999999999</v>
      </c>
      <c r="V3787">
        <v>5.5353260000000001E-2</v>
      </c>
      <c r="W3787">
        <v>0.1553011</v>
      </c>
      <c r="X3787">
        <v>0.9863151</v>
      </c>
      <c r="Y3787">
        <v>7.0728470000000002E-2</v>
      </c>
      <c r="Z3787">
        <v>-3.1340309999999998E-3</v>
      </c>
      <c r="AA3787">
        <v>0.99749069999999995</v>
      </c>
      <c r="AB3787">
        <v>51</v>
      </c>
      <c r="AC3787">
        <v>0.56549999999998501</v>
      </c>
      <c r="AD3787">
        <v>-6.3063999999999995E-2</v>
      </c>
      <c r="AE3787">
        <v>-6.6999999999978799E-2</v>
      </c>
      <c r="AF3787">
        <v>7.6658515915675698E-2</v>
      </c>
      <c r="AG3787">
        <v>-6.3063999999999995E-2</v>
      </c>
      <c r="AH3787">
        <v>0.55730831441162998</v>
      </c>
      <c r="AI3787">
        <v>96.396303631210898</v>
      </c>
      <c r="AJ3787">
        <v>82.168035469713402</v>
      </c>
      <c r="AK3787">
        <v>0.56607963527292304</v>
      </c>
      <c r="AL3787">
        <v>81.065740034243106</v>
      </c>
      <c r="AM3787">
        <v>86.787857348581895</v>
      </c>
      <c r="AN3787">
        <v>0.99999994577092199</v>
      </c>
    </row>
    <row r="3788" spans="1:40" x14ac:dyDescent="0.25">
      <c r="A3788" t="str">
        <f>"20190312164102649"</f>
        <v>20190312164102649</v>
      </c>
      <c r="B3788" t="str">
        <f>"1552380062640383"</f>
        <v>1552380062640383</v>
      </c>
      <c r="C3788" t="s">
        <v>40</v>
      </c>
      <c r="D3788">
        <v>5.505865</v>
      </c>
      <c r="E3788">
        <v>0.51026549999999904</v>
      </c>
      <c r="F3788" t="s">
        <v>42</v>
      </c>
      <c r="G3788">
        <v>-261.3152</v>
      </c>
      <c r="H3788">
        <v>1.0513889999999999</v>
      </c>
      <c r="I3788">
        <v>213.81180000000001</v>
      </c>
      <c r="J3788">
        <v>-261.82249999999999</v>
      </c>
      <c r="K3788">
        <v>1.11009</v>
      </c>
      <c r="L3788">
        <v>213.875</v>
      </c>
      <c r="M3788">
        <v>0.99970729999999997</v>
      </c>
      <c r="N3788">
        <v>0</v>
      </c>
      <c r="O3788">
        <v>1.894175E-2</v>
      </c>
      <c r="P3788">
        <v>0.98928660000000002</v>
      </c>
      <c r="Q3788">
        <v>0.14106579999999999</v>
      </c>
      <c r="R3788">
        <v>-3.7586109999999999E-2</v>
      </c>
      <c r="S3788">
        <v>3.0509949999999999</v>
      </c>
      <c r="T3788">
        <v>-0.17492750000000001</v>
      </c>
      <c r="U3788">
        <v>-0.1587982</v>
      </c>
      <c r="V3788">
        <v>5.6222469999999997E-2</v>
      </c>
      <c r="W3788">
        <v>0.15597369999999999</v>
      </c>
      <c r="X3788">
        <v>0.98615989999999998</v>
      </c>
      <c r="Y3788">
        <v>7.0739720000000006E-2</v>
      </c>
      <c r="Z3788">
        <v>-3.1094870000000002E-3</v>
      </c>
      <c r="AA3788">
        <v>0.99748999999999999</v>
      </c>
      <c r="AB3788">
        <v>51</v>
      </c>
      <c r="AC3788">
        <v>0.50729999999998598</v>
      </c>
      <c r="AD3788">
        <v>-5.87010000000001E-2</v>
      </c>
      <c r="AE3788">
        <v>-6.3199999999994802E-2</v>
      </c>
      <c r="AF3788">
        <v>7.1851550706097306E-2</v>
      </c>
      <c r="AG3788">
        <v>-5.87010000000001E-2</v>
      </c>
      <c r="AH3788">
        <v>0.49942688076275599</v>
      </c>
      <c r="AI3788">
        <v>96.6358968814436</v>
      </c>
      <c r="AJ3788">
        <v>81.813145730030996</v>
      </c>
      <c r="AK3788">
        <v>0.50797210747076205</v>
      </c>
      <c r="AL3788">
        <v>81.026728479462193</v>
      </c>
      <c r="AM3788">
        <v>86.737012986766004</v>
      </c>
      <c r="AN3788">
        <v>1.0000000547962899</v>
      </c>
    </row>
    <row r="3789" spans="1:40" x14ac:dyDescent="0.25">
      <c r="A3789" t="str">
        <f>"20190312164102669"</f>
        <v>20190312164102669</v>
      </c>
      <c r="B3789" t="str">
        <f>"1552380062659903"</f>
        <v>1552380062659903</v>
      </c>
      <c r="C3789" t="s">
        <v>40</v>
      </c>
      <c r="D3789">
        <v>5.4182220000000001</v>
      </c>
      <c r="E3789">
        <v>0.48853829999999998</v>
      </c>
      <c r="F3789" t="s">
        <v>48</v>
      </c>
      <c r="G3789">
        <v>-242.203</v>
      </c>
      <c r="H3789" s="1">
        <v>-2.8745990000000002E-7</v>
      </c>
      <c r="I3789">
        <v>212.85499999999999</v>
      </c>
      <c r="J3789">
        <v>-261.3417</v>
      </c>
      <c r="K3789">
        <v>1.110087</v>
      </c>
      <c r="L3789">
        <v>213.88419999999999</v>
      </c>
      <c r="M3789">
        <v>0.99970400000000004</v>
      </c>
      <c r="N3789">
        <v>0</v>
      </c>
      <c r="O3789">
        <v>1.9109609999999999E-2</v>
      </c>
      <c r="P3789">
        <v>0.98910589999999998</v>
      </c>
      <c r="Q3789">
        <v>0.14208809999999999</v>
      </c>
      <c r="R3789">
        <v>-3.8474349999999997E-2</v>
      </c>
      <c r="S3789">
        <v>3.0510860000000002</v>
      </c>
      <c r="T3789">
        <v>-0.1726335</v>
      </c>
      <c r="U3789">
        <v>-0.15861510000000001</v>
      </c>
      <c r="V3789">
        <v>5.7275220000000002E-2</v>
      </c>
      <c r="W3789">
        <v>0.15698909999999999</v>
      </c>
      <c r="X3789">
        <v>0.98593810000000004</v>
      </c>
      <c r="Y3789">
        <v>7.0849309999999999E-2</v>
      </c>
      <c r="Z3789">
        <v>-3.0812700000000001E-3</v>
      </c>
      <c r="AA3789">
        <v>0.99748230000000004</v>
      </c>
      <c r="AB3789">
        <v>51</v>
      </c>
      <c r="AC3789">
        <v>19.1387</v>
      </c>
      <c r="AD3789">
        <v>-1.1100872874598999</v>
      </c>
      <c r="AE3789">
        <v>-1.0291999999999999</v>
      </c>
      <c r="AF3789">
        <v>1.3901233330896099</v>
      </c>
      <c r="AG3789">
        <v>-1.1100872874598999</v>
      </c>
      <c r="AH3789">
        <v>19.0516247612399</v>
      </c>
      <c r="AI3789">
        <v>93.325879678321201</v>
      </c>
      <c r="AJ3789">
        <v>85.826744421366499</v>
      </c>
      <c r="AK3789">
        <v>19.134501370824101</v>
      </c>
      <c r="AL3789">
        <v>80.967824047553805</v>
      </c>
      <c r="AM3789">
        <v>86.675304121498101</v>
      </c>
      <c r="AN3789">
        <v>0.99999998268823398</v>
      </c>
    </row>
    <row r="3790" spans="1:40" x14ac:dyDescent="0.25">
      <c r="A3790" t="str">
        <f>"20190312164102692"</f>
        <v>20190312164102692</v>
      </c>
      <c r="B3790" t="str">
        <f>"1552380062680399"</f>
        <v>1552380062680399</v>
      </c>
      <c r="C3790" t="s">
        <v>40</v>
      </c>
      <c r="D3790">
        <v>5.6656950000000004</v>
      </c>
      <c r="E3790">
        <v>0.48700389999999999</v>
      </c>
      <c r="F3790" t="s">
        <v>48</v>
      </c>
      <c r="G3790">
        <v>-242.24100000000001</v>
      </c>
      <c r="H3790" s="1">
        <v>-3.1568269999999998E-7</v>
      </c>
      <c r="I3790">
        <v>213.9624</v>
      </c>
      <c r="J3790">
        <v>-260.82799999999997</v>
      </c>
      <c r="K3790">
        <v>1.11009</v>
      </c>
      <c r="L3790">
        <v>213.89410000000001</v>
      </c>
      <c r="M3790">
        <v>0.9997007</v>
      </c>
      <c r="N3790">
        <v>0</v>
      </c>
      <c r="O3790">
        <v>1.9288159999999999E-2</v>
      </c>
      <c r="P3790">
        <v>0.98893730000000002</v>
      </c>
      <c r="Q3790">
        <v>0.1429887</v>
      </c>
      <c r="R3790">
        <v>-3.9468549999999998E-2</v>
      </c>
      <c r="S3790">
        <v>3.0590519999999999</v>
      </c>
      <c r="T3790">
        <v>-0.17778459999999999</v>
      </c>
      <c r="U3790">
        <v>1.2527470000000001E-2</v>
      </c>
      <c r="V3790">
        <v>5.8443899999999903E-2</v>
      </c>
      <c r="W3790">
        <v>0.15788379999999999</v>
      </c>
      <c r="X3790">
        <v>0.98572669999999996</v>
      </c>
      <c r="Y3790">
        <v>1.5137680000000001E-2</v>
      </c>
      <c r="Z3790">
        <v>-1.559604E-3</v>
      </c>
      <c r="AA3790">
        <v>0.9998842</v>
      </c>
      <c r="AB3790">
        <v>51</v>
      </c>
      <c r="AC3790">
        <v>18.5869999999999</v>
      </c>
      <c r="AD3790">
        <v>-1.1100903156827</v>
      </c>
      <c r="AE3790">
        <v>6.8299999999993505E-2</v>
      </c>
      <c r="AF3790">
        <v>0.28923068303761301</v>
      </c>
      <c r="AG3790">
        <v>-1.1100903156827</v>
      </c>
      <c r="AH3790">
        <v>18.518804026298401</v>
      </c>
      <c r="AI3790">
        <v>93.4300132916877</v>
      </c>
      <c r="AJ3790">
        <v>89.105214884287903</v>
      </c>
      <c r="AK3790">
        <v>18.5543002417614</v>
      </c>
      <c r="AL3790">
        <v>80.915914815049007</v>
      </c>
      <c r="AM3790">
        <v>86.606895935494904</v>
      </c>
      <c r="AN3790">
        <v>1.00000005542126</v>
      </c>
    </row>
    <row r="3791" spans="1:40" x14ac:dyDescent="0.25">
      <c r="A3791" t="str">
        <f>"20190312164102714"</f>
        <v>20190312164102714</v>
      </c>
      <c r="B3791" t="str">
        <f>"1552380062709679"</f>
        <v>1552380062709679</v>
      </c>
      <c r="C3791" t="s">
        <v>40</v>
      </c>
      <c r="D3791">
        <v>5.5414529999999997</v>
      </c>
      <c r="E3791">
        <v>0.48647299999999899</v>
      </c>
      <c r="F3791" t="s">
        <v>48</v>
      </c>
      <c r="G3791">
        <v>-240.03100000000001</v>
      </c>
      <c r="H3791" s="1">
        <v>-1.49518E-6</v>
      </c>
      <c r="I3791">
        <v>214.04140000000001</v>
      </c>
      <c r="J3791">
        <v>-260.32049999999998</v>
      </c>
      <c r="K3791">
        <v>1.11009</v>
      </c>
      <c r="L3791">
        <v>213.904</v>
      </c>
      <c r="M3791">
        <v>0.99969730000000001</v>
      </c>
      <c r="N3791">
        <v>0</v>
      </c>
      <c r="O3791">
        <v>1.9464039999999998E-2</v>
      </c>
      <c r="P3791">
        <v>0.98881470000000005</v>
      </c>
      <c r="Q3791">
        <v>0.14356060000000001</v>
      </c>
      <c r="R3791">
        <v>-4.0454179999999999E-2</v>
      </c>
      <c r="S3791">
        <v>3.058014</v>
      </c>
      <c r="T3791">
        <v>-0.16322879999999901</v>
      </c>
      <c r="U3791">
        <v>2.165222E-2</v>
      </c>
      <c r="V3791">
        <v>5.9602160000000001E-2</v>
      </c>
      <c r="W3791">
        <v>0.15845020000000001</v>
      </c>
      <c r="X3791">
        <v>0.98556639999999995</v>
      </c>
      <c r="Y3791">
        <v>1.234152E-2</v>
      </c>
      <c r="Z3791">
        <v>-1.3673779999999901E-3</v>
      </c>
      <c r="AA3791">
        <v>0.99992289999999995</v>
      </c>
      <c r="AB3791">
        <v>51</v>
      </c>
      <c r="AC3791">
        <v>20.2895</v>
      </c>
      <c r="AD3791">
        <v>-1.1100914951799901</v>
      </c>
      <c r="AE3791">
        <v>0.13739999999998501</v>
      </c>
      <c r="AF3791">
        <v>0.256817658043199</v>
      </c>
      <c r="AG3791">
        <v>-1.1100914951799901</v>
      </c>
      <c r="AH3791">
        <v>20.227781626330199</v>
      </c>
      <c r="AI3791">
        <v>93.140962789601005</v>
      </c>
      <c r="AJ3791">
        <v>89.272595600582605</v>
      </c>
      <c r="AK3791">
        <v>20.259847185002599</v>
      </c>
      <c r="AL3791">
        <v>80.8830483279731</v>
      </c>
      <c r="AM3791">
        <v>86.539250687485705</v>
      </c>
      <c r="AN3791">
        <v>1.00000000608283</v>
      </c>
    </row>
    <row r="3792" spans="1:40" x14ac:dyDescent="0.25">
      <c r="A3792" t="str">
        <f>"20190312164102737"</f>
        <v>20190312164102737</v>
      </c>
      <c r="B3792" t="str">
        <f>"1552380062730175"</f>
        <v>1552380062730175</v>
      </c>
      <c r="C3792" t="s">
        <v>40</v>
      </c>
      <c r="D3792">
        <v>5.7366679999999999</v>
      </c>
      <c r="E3792">
        <v>0.48627890000000001</v>
      </c>
      <c r="F3792" t="s">
        <v>48</v>
      </c>
      <c r="G3792">
        <v>-238.90100000000001</v>
      </c>
      <c r="H3792" s="1">
        <v>3.2237639999999998E-6</v>
      </c>
      <c r="I3792">
        <v>214.0702</v>
      </c>
      <c r="J3792">
        <v>-259.79910000000001</v>
      </c>
      <c r="K3792">
        <v>1.1100909999999999</v>
      </c>
      <c r="L3792">
        <v>213.9143</v>
      </c>
      <c r="M3792">
        <v>0.99969390000000002</v>
      </c>
      <c r="N3792">
        <v>0</v>
      </c>
      <c r="O3792">
        <v>1.9644410000000001E-2</v>
      </c>
      <c r="P3792">
        <v>0.9887148</v>
      </c>
      <c r="Q3792">
        <v>0.14394970000000001</v>
      </c>
      <c r="R3792">
        <v>-4.1497390000000002E-2</v>
      </c>
      <c r="S3792">
        <v>3.057922</v>
      </c>
      <c r="T3792">
        <v>-0.158479799999999</v>
      </c>
      <c r="U3792">
        <v>2.3727419999999999E-2</v>
      </c>
      <c r="V3792">
        <v>6.0822809999999998E-2</v>
      </c>
      <c r="W3792">
        <v>0.15883349999999999</v>
      </c>
      <c r="X3792">
        <v>0.98543009999999998</v>
      </c>
      <c r="Y3792">
        <v>1.1846189999999999E-2</v>
      </c>
      <c r="Z3792">
        <v>-1.3241990000000001E-3</v>
      </c>
      <c r="AA3792">
        <v>0.99992899999999996</v>
      </c>
      <c r="AB3792">
        <v>51</v>
      </c>
      <c r="AC3792">
        <v>20.898099999999999</v>
      </c>
      <c r="AD3792">
        <v>-1.110087776236</v>
      </c>
      <c r="AE3792">
        <v>0.15590000000000201</v>
      </c>
      <c r="AF3792">
        <v>0.25399074545760297</v>
      </c>
      <c r="AG3792">
        <v>-1.110087776236</v>
      </c>
      <c r="AH3792">
        <v>20.838334361475901</v>
      </c>
      <c r="AI3792">
        <v>93.049119448822594</v>
      </c>
      <c r="AJ3792">
        <v>89.301677528339198</v>
      </c>
      <c r="AK3792">
        <v>20.8694270436539</v>
      </c>
      <c r="AL3792">
        <v>80.860805010292395</v>
      </c>
      <c r="AM3792">
        <v>86.468065027358705</v>
      </c>
      <c r="AN3792">
        <v>0.999999988462278</v>
      </c>
    </row>
    <row r="3793" spans="1:40" x14ac:dyDescent="0.25">
      <c r="A3793" t="str">
        <f>"20190312164102771"</f>
        <v>20190312164102771</v>
      </c>
      <c r="B3793" t="str">
        <f>"1552380062760434"</f>
        <v>1552380062760434</v>
      </c>
      <c r="C3793" t="s">
        <v>40</v>
      </c>
      <c r="D3793">
        <v>5.4233760000000002</v>
      </c>
      <c r="E3793">
        <v>0.48608010000000001</v>
      </c>
      <c r="F3793" t="s">
        <v>48</v>
      </c>
      <c r="G3793">
        <v>-238.1044</v>
      </c>
      <c r="H3793" s="1">
        <v>2.7998310000000001E-6</v>
      </c>
      <c r="I3793">
        <v>214.0703</v>
      </c>
      <c r="J3793">
        <v>-259.05959999999999</v>
      </c>
      <c r="K3793">
        <v>1.1100920000000001</v>
      </c>
      <c r="L3793">
        <v>213.929</v>
      </c>
      <c r="M3793">
        <v>0.99968880000000004</v>
      </c>
      <c r="N3793">
        <v>0</v>
      </c>
      <c r="O3793">
        <v>1.989958E-2</v>
      </c>
      <c r="P3793">
        <v>0.98872599999999999</v>
      </c>
      <c r="Q3793">
        <v>0.14378659999999999</v>
      </c>
      <c r="R3793">
        <v>-4.1789800000000002E-2</v>
      </c>
      <c r="S3793">
        <v>3.0579529999999999</v>
      </c>
      <c r="T3793">
        <v>-0.156471</v>
      </c>
      <c r="U3793">
        <v>2.1987920000000001E-2</v>
      </c>
      <c r="V3793">
        <v>6.1369430000000003E-2</v>
      </c>
      <c r="W3793">
        <v>0.15866540000000001</v>
      </c>
      <c r="X3793">
        <v>0.9854233</v>
      </c>
      <c r="Y3793">
        <v>1.2669919999999999E-2</v>
      </c>
      <c r="Z3793">
        <v>-1.341535E-3</v>
      </c>
      <c r="AA3793">
        <v>0.9999188</v>
      </c>
      <c r="AB3793">
        <v>51</v>
      </c>
      <c r="AC3793">
        <v>20.955199999999898</v>
      </c>
      <c r="AD3793">
        <v>-1.1100892001689999</v>
      </c>
      <c r="AE3793">
        <v>0.14130000000000101</v>
      </c>
      <c r="AF3793">
        <v>0.275003155645349</v>
      </c>
      <c r="AG3793">
        <v>-1.1100892001689999</v>
      </c>
      <c r="AH3793">
        <v>20.895226376512198</v>
      </c>
      <c r="AI3793">
        <v>93.040799618697406</v>
      </c>
      <c r="AJ3793">
        <v>89.245970814783405</v>
      </c>
      <c r="AK3793">
        <v>20.9265001874092</v>
      </c>
      <c r="AL3793">
        <v>80.870560225780295</v>
      </c>
      <c r="AM3793">
        <v>86.436380120213101</v>
      </c>
      <c r="AN3793">
        <v>0.99999999813928697</v>
      </c>
    </row>
    <row r="3794" spans="1:40" x14ac:dyDescent="0.25">
      <c r="A3794" t="str">
        <f>"20190312164102792"</f>
        <v>20190312164102792</v>
      </c>
      <c r="B3794" t="str">
        <f>"1552380062779951"</f>
        <v>1552380062779951</v>
      </c>
      <c r="C3794" t="s">
        <v>40</v>
      </c>
      <c r="D3794">
        <v>5.5356629999999996</v>
      </c>
      <c r="E3794">
        <v>0.48600840000000001</v>
      </c>
      <c r="F3794" t="s">
        <v>48</v>
      </c>
      <c r="G3794">
        <v>-237.43950000000001</v>
      </c>
      <c r="H3794" s="1">
        <v>2.4449480000000001E-6</v>
      </c>
      <c r="I3794">
        <v>214.0941</v>
      </c>
      <c r="J3794">
        <v>-258.55869999999999</v>
      </c>
      <c r="K3794">
        <v>1.1100749999999999</v>
      </c>
      <c r="L3794">
        <v>213.9391</v>
      </c>
      <c r="M3794">
        <v>0.99968539999999995</v>
      </c>
      <c r="N3794">
        <v>0</v>
      </c>
      <c r="O3794">
        <v>2.0071930000000002E-2</v>
      </c>
      <c r="P3794">
        <v>0.98864220000000003</v>
      </c>
      <c r="Q3794">
        <v>0.14399609999999999</v>
      </c>
      <c r="R3794">
        <v>-4.3036249999999998E-2</v>
      </c>
      <c r="S3794">
        <v>3.0580440000000002</v>
      </c>
      <c r="T3794">
        <v>-0.15701570000000001</v>
      </c>
      <c r="U3794">
        <v>2.3345950000000001E-2</v>
      </c>
      <c r="V3794">
        <v>6.2784870000000007E-2</v>
      </c>
      <c r="W3794">
        <v>0.1588697</v>
      </c>
      <c r="X3794">
        <v>0.98530119999999999</v>
      </c>
      <c r="Y3794">
        <v>1.2398340000000001E-2</v>
      </c>
      <c r="Z3794">
        <v>-1.348031E-3</v>
      </c>
      <c r="AA3794">
        <v>0.99992219999999998</v>
      </c>
      <c r="AB3794">
        <v>51</v>
      </c>
      <c r="AC3794">
        <v>21.1191999999999</v>
      </c>
      <c r="AD3794">
        <v>-1.1100725550520001</v>
      </c>
      <c r="AE3794">
        <v>0.155000000000001</v>
      </c>
      <c r="AF3794">
        <v>0.26824123900737801</v>
      </c>
      <c r="AG3794">
        <v>-1.1100725550520001</v>
      </c>
      <c r="AH3794">
        <v>21.059874964415499</v>
      </c>
      <c r="AI3794">
        <v>93.017041757906995</v>
      </c>
      <c r="AJ3794">
        <v>89.270258732867006</v>
      </c>
      <c r="AK3794">
        <v>21.090816673533499</v>
      </c>
      <c r="AL3794">
        <v>80.858704224971106</v>
      </c>
      <c r="AM3794">
        <v>86.353956512114394</v>
      </c>
      <c r="AN3794">
        <v>0.99999998810022295</v>
      </c>
    </row>
    <row r="3795" spans="1:40" x14ac:dyDescent="0.25">
      <c r="A3795" t="str">
        <f>"20190312164102816"</f>
        <v>20190312164102816</v>
      </c>
      <c r="B3795" t="str">
        <f>"1552380062810207"</f>
        <v>1552380062810207</v>
      </c>
      <c r="C3795" t="s">
        <v>40</v>
      </c>
      <c r="D3795">
        <v>5.5796890000000001</v>
      </c>
      <c r="E3795">
        <v>0.48600989999999999</v>
      </c>
      <c r="F3795" t="s">
        <v>48</v>
      </c>
      <c r="G3795">
        <v>-236.75380000000001</v>
      </c>
      <c r="H3795" s="1">
        <v>2.080315E-6</v>
      </c>
      <c r="I3795">
        <v>214.0889</v>
      </c>
      <c r="J3795">
        <v>-258.03910000000002</v>
      </c>
      <c r="K3795">
        <v>1.110079</v>
      </c>
      <c r="L3795">
        <v>213.9496</v>
      </c>
      <c r="M3795">
        <v>0.99968179999999995</v>
      </c>
      <c r="N3795">
        <v>0</v>
      </c>
      <c r="O3795">
        <v>2.0250669999999998E-2</v>
      </c>
      <c r="P3795">
        <v>0.98844980000000005</v>
      </c>
      <c r="Q3795">
        <v>0.14497179999999901</v>
      </c>
      <c r="R3795">
        <v>-4.4160560000000001E-2</v>
      </c>
      <c r="S3795">
        <v>3.0580289999999999</v>
      </c>
      <c r="T3795">
        <v>-0.1556823</v>
      </c>
      <c r="U3795">
        <v>2.1011350000000002E-2</v>
      </c>
      <c r="V3795">
        <v>6.4081910000000006E-2</v>
      </c>
      <c r="W3795">
        <v>0.15983900000000001</v>
      </c>
      <c r="X3795">
        <v>0.98506090000000002</v>
      </c>
      <c r="Y3795">
        <v>1.333968E-2</v>
      </c>
      <c r="Z3795">
        <v>-1.3696489999999999E-3</v>
      </c>
      <c r="AA3795">
        <v>0.99991010000000002</v>
      </c>
      <c r="AB3795">
        <v>51</v>
      </c>
      <c r="AC3795">
        <v>21.285299999999999</v>
      </c>
      <c r="AD3795">
        <v>-1.110076919685</v>
      </c>
      <c r="AE3795">
        <v>0.13929999999999099</v>
      </c>
      <c r="AF3795">
        <v>0.29102739936351202</v>
      </c>
      <c r="AG3795">
        <v>-1.110076919685</v>
      </c>
      <c r="AH3795">
        <v>21.226026009194499</v>
      </c>
      <c r="AI3795">
        <v>92.993441647381701</v>
      </c>
      <c r="AJ3795">
        <v>89.214473922781906</v>
      </c>
      <c r="AK3795">
        <v>21.257025846947599</v>
      </c>
      <c r="AL3795">
        <v>80.802448545886705</v>
      </c>
      <c r="AM3795">
        <v>86.277939086851902</v>
      </c>
      <c r="AN3795">
        <v>0.99999998690952896</v>
      </c>
    </row>
    <row r="3796" spans="1:40" x14ac:dyDescent="0.25">
      <c r="A3796" t="str">
        <f>"20190312164102837"</f>
        <v>20190312164102837</v>
      </c>
      <c r="B3796" t="str">
        <f>"1552380062829727"</f>
        <v>1552380062829727</v>
      </c>
      <c r="C3796" t="s">
        <v>40</v>
      </c>
      <c r="D3796">
        <v>5.842174</v>
      </c>
      <c r="E3796">
        <v>0.48599429999999999</v>
      </c>
      <c r="F3796" t="s">
        <v>48</v>
      </c>
      <c r="G3796">
        <v>-235.70359999999999</v>
      </c>
      <c r="H3796" s="1">
        <v>1.5217509999999999E-6</v>
      </c>
      <c r="I3796">
        <v>214.0822</v>
      </c>
      <c r="J3796">
        <v>-257.53919999999999</v>
      </c>
      <c r="K3796">
        <v>1.1100859999999999</v>
      </c>
      <c r="L3796">
        <v>213.9599</v>
      </c>
      <c r="M3796">
        <v>0.99967859999999997</v>
      </c>
      <c r="N3796">
        <v>0</v>
      </c>
      <c r="O3796">
        <v>2.0421169999999999E-2</v>
      </c>
      <c r="P3796">
        <v>0.98834</v>
      </c>
      <c r="Q3796">
        <v>0.14541029999999999</v>
      </c>
      <c r="R3796">
        <v>-4.5171490000000002E-2</v>
      </c>
      <c r="S3796">
        <v>3.0581510000000001</v>
      </c>
      <c r="T3796">
        <v>-0.15199089999999901</v>
      </c>
      <c r="U3796">
        <v>1.8157960000000001E-2</v>
      </c>
      <c r="V3796">
        <v>6.5259380000000006E-2</v>
      </c>
      <c r="W3796">
        <v>0.160272</v>
      </c>
      <c r="X3796">
        <v>0.98491320000000004</v>
      </c>
      <c r="Y3796">
        <v>1.4443869999999999E-2</v>
      </c>
      <c r="Z3796">
        <v>-1.3730560000000001E-3</v>
      </c>
      <c r="AA3796">
        <v>0.99989470000000003</v>
      </c>
      <c r="AB3796">
        <v>51</v>
      </c>
      <c r="AC3796">
        <v>21.835599999999999</v>
      </c>
      <c r="AD3796">
        <v>-1.110084478249</v>
      </c>
      <c r="AE3796">
        <v>0.122299999999995</v>
      </c>
      <c r="AF3796">
        <v>0.32284994264699801</v>
      </c>
      <c r="AG3796">
        <v>-1.110084478249</v>
      </c>
      <c r="AH3796">
        <v>21.7772610538326</v>
      </c>
      <c r="AI3796">
        <v>92.917776580049704</v>
      </c>
      <c r="AJ3796">
        <v>89.150646902628907</v>
      </c>
      <c r="AK3796">
        <v>21.807925592341199</v>
      </c>
      <c r="AL3796">
        <v>80.777315170813097</v>
      </c>
      <c r="AM3796">
        <v>86.209179077984899</v>
      </c>
      <c r="AN3796">
        <v>0.99999995609811099</v>
      </c>
    </row>
    <row r="3797" spans="1:40" x14ac:dyDescent="0.25">
      <c r="A3797" t="str">
        <f>"20190312164102860"</f>
        <v>20190312164102860</v>
      </c>
      <c r="B3797" t="str">
        <f>"1552380062850223"</f>
        <v>1552380062850223</v>
      </c>
      <c r="C3797" t="s">
        <v>40</v>
      </c>
      <c r="D3797">
        <v>5.7568729999999997</v>
      </c>
      <c r="E3797">
        <v>0.48582589999999998</v>
      </c>
      <c r="F3797" t="s">
        <v>48</v>
      </c>
      <c r="G3797">
        <v>-235.04220000000001</v>
      </c>
      <c r="H3797" s="1">
        <v>1.1701870000000001E-6</v>
      </c>
      <c r="I3797">
        <v>214.07300000000001</v>
      </c>
      <c r="J3797">
        <v>-257.02010000000001</v>
      </c>
      <c r="K3797">
        <v>1.110087</v>
      </c>
      <c r="L3797">
        <v>213.97059999999999</v>
      </c>
      <c r="M3797">
        <v>0.99967490000000003</v>
      </c>
      <c r="N3797">
        <v>0</v>
      </c>
      <c r="O3797">
        <v>2.059331E-2</v>
      </c>
      <c r="P3797">
        <v>0.98831440000000004</v>
      </c>
      <c r="Q3797">
        <v>0.14523449999999999</v>
      </c>
      <c r="R3797">
        <v>-4.6276629999999999E-2</v>
      </c>
      <c r="S3797">
        <v>3.0583040000000001</v>
      </c>
      <c r="T3797">
        <v>-0.15090809999999999</v>
      </c>
      <c r="U3797">
        <v>1.538086E-2</v>
      </c>
      <c r="V3797">
        <v>6.653568E-2</v>
      </c>
      <c r="W3797">
        <v>0.16009219999999999</v>
      </c>
      <c r="X3797">
        <v>0.98485710000000004</v>
      </c>
      <c r="Y3797">
        <v>1.552335E-2</v>
      </c>
      <c r="Z3797">
        <v>-1.398329E-3</v>
      </c>
      <c r="AA3797">
        <v>0.9998785</v>
      </c>
      <c r="AB3797">
        <v>51</v>
      </c>
      <c r="AC3797">
        <v>21.977900000000002</v>
      </c>
      <c r="AD3797">
        <v>-1.1100858298129901</v>
      </c>
      <c r="AE3797">
        <v>0.102399999999988</v>
      </c>
      <c r="AF3797">
        <v>0.34937927332739299</v>
      </c>
      <c r="AG3797">
        <v>-1.1100858298129901</v>
      </c>
      <c r="AH3797">
        <v>21.919428057967199</v>
      </c>
      <c r="AI3797">
        <v>92.898838524636403</v>
      </c>
      <c r="AJ3797">
        <v>89.086825497266602</v>
      </c>
      <c r="AK3797">
        <v>21.9503002898498</v>
      </c>
      <c r="AL3797">
        <v>80.787752199763005</v>
      </c>
      <c r="AM3797">
        <v>86.135043747902301</v>
      </c>
      <c r="AN3797">
        <v>1.0000000083171501</v>
      </c>
    </row>
    <row r="3798" spans="1:40" x14ac:dyDescent="0.25">
      <c r="A3798" t="str">
        <f>"20190312164102881"</f>
        <v>20190312164102881</v>
      </c>
      <c r="B3798" t="str">
        <f>"1552380062869743"</f>
        <v>1552380062869743</v>
      </c>
      <c r="C3798" t="s">
        <v>40</v>
      </c>
      <c r="D3798">
        <v>5.6787070000000002</v>
      </c>
      <c r="E3798">
        <v>0.48568270000000002</v>
      </c>
      <c r="F3798" t="s">
        <v>48</v>
      </c>
      <c r="G3798">
        <v>-234.5275</v>
      </c>
      <c r="H3798" s="1">
        <v>8.9651119999999903E-7</v>
      </c>
      <c r="I3798">
        <v>214.06710000000001</v>
      </c>
      <c r="J3798">
        <v>-256.54559999999998</v>
      </c>
      <c r="K3798">
        <v>1.110087</v>
      </c>
      <c r="L3798">
        <v>213.98050000000001</v>
      </c>
      <c r="M3798">
        <v>0.99967189999999995</v>
      </c>
      <c r="N3798">
        <v>0</v>
      </c>
      <c r="O3798">
        <v>2.0741019999999999E-2</v>
      </c>
      <c r="P3798">
        <v>0.98827379999999998</v>
      </c>
      <c r="Q3798">
        <v>0.1451122</v>
      </c>
      <c r="R3798">
        <v>-4.7512350000000002E-2</v>
      </c>
      <c r="S3798">
        <v>3.058243</v>
      </c>
      <c r="T3798">
        <v>-0.15093480000000001</v>
      </c>
      <c r="U3798">
        <v>1.312256E-2</v>
      </c>
      <c r="V3798">
        <v>6.7918919999999994E-2</v>
      </c>
      <c r="W3798">
        <v>0.1599651</v>
      </c>
      <c r="X3798">
        <v>0.98478330000000003</v>
      </c>
      <c r="Y3798">
        <v>1.6408039999999999E-2</v>
      </c>
      <c r="Z3798">
        <v>-1.4277109999999999E-3</v>
      </c>
      <c r="AA3798">
        <v>0.99986430000000004</v>
      </c>
      <c r="AB3798">
        <v>50</v>
      </c>
      <c r="AC3798">
        <v>22.018099999999901</v>
      </c>
      <c r="AD3798">
        <v>-1.1100861034888001</v>
      </c>
      <c r="AE3798">
        <v>8.6600000000004201E-2</v>
      </c>
      <c r="AF3798">
        <v>0.36920960796692598</v>
      </c>
      <c r="AG3798">
        <v>-1.1100861034888001</v>
      </c>
      <c r="AH3798">
        <v>21.959341843696102</v>
      </c>
      <c r="AI3798">
        <v>92.893537869064303</v>
      </c>
      <c r="AJ3798">
        <v>89.0367580486149</v>
      </c>
      <c r="AK3798">
        <v>21.990482057019101</v>
      </c>
      <c r="AL3798">
        <v>80.795129311222297</v>
      </c>
      <c r="AM3798">
        <v>86.054649877923396</v>
      </c>
      <c r="AN3798">
        <v>0.99999998043543303</v>
      </c>
    </row>
    <row r="3799" spans="1:40" x14ac:dyDescent="0.25">
      <c r="A3799" t="str">
        <f>"20190312164102904"</f>
        <v>20190312164102904</v>
      </c>
      <c r="B3799" t="str">
        <f>"1552380062899999"</f>
        <v>1552380062899999</v>
      </c>
      <c r="C3799" t="s">
        <v>40</v>
      </c>
      <c r="D3799">
        <v>5.8569579999999997</v>
      </c>
      <c r="E3799">
        <v>0.48541479999999998</v>
      </c>
      <c r="F3799" t="s">
        <v>48</v>
      </c>
      <c r="G3799">
        <v>-233.97800000000001</v>
      </c>
      <c r="H3799" s="1">
        <v>6.04485E-7</v>
      </c>
      <c r="I3799">
        <v>214.05840000000001</v>
      </c>
      <c r="J3799">
        <v>-256.03449999999998</v>
      </c>
      <c r="K3799">
        <v>1.1100840000000001</v>
      </c>
      <c r="L3799">
        <v>213.99119999999999</v>
      </c>
      <c r="M3799">
        <v>0.99966900000000003</v>
      </c>
      <c r="N3799">
        <v>0</v>
      </c>
      <c r="O3799">
        <v>2.0887960000000001E-2</v>
      </c>
      <c r="P3799">
        <v>0.98811669999999996</v>
      </c>
      <c r="Q3799">
        <v>0.14589779999999999</v>
      </c>
      <c r="R3799">
        <v>-4.8367170000000001E-2</v>
      </c>
      <c r="S3799">
        <v>3.0581969999999998</v>
      </c>
      <c r="T3799">
        <v>-0.1504306</v>
      </c>
      <c r="U3799">
        <v>1.055908E-2</v>
      </c>
      <c r="V3799">
        <v>6.8918809999999997E-2</v>
      </c>
      <c r="W3799">
        <v>0.1607432</v>
      </c>
      <c r="X3799">
        <v>0.98458710000000005</v>
      </c>
      <c r="Y3799">
        <v>1.739197E-2</v>
      </c>
      <c r="Z3799">
        <v>-1.4543799999999999E-3</v>
      </c>
      <c r="AA3799">
        <v>0.99984770000000001</v>
      </c>
      <c r="AB3799">
        <v>50</v>
      </c>
      <c r="AC3799">
        <v>22.0565</v>
      </c>
      <c r="AD3799">
        <v>-1.110083395515</v>
      </c>
      <c r="AE3799">
        <v>6.7200000000013901E-2</v>
      </c>
      <c r="AF3799">
        <v>0.39258750685433702</v>
      </c>
      <c r="AG3799">
        <v>-1.110083395515</v>
      </c>
      <c r="AH3799">
        <v>21.997371330059199</v>
      </c>
      <c r="AI3799">
        <v>92.888485267072397</v>
      </c>
      <c r="AJ3799">
        <v>88.977549673586196</v>
      </c>
      <c r="AK3799">
        <v>22.028861875458901</v>
      </c>
      <c r="AL3799">
        <v>80.749962875242502</v>
      </c>
      <c r="AM3799">
        <v>85.995959497066707</v>
      </c>
      <c r="AN3799">
        <v>0.99999996810223202</v>
      </c>
    </row>
    <row r="3800" spans="1:40" x14ac:dyDescent="0.25">
      <c r="A3800" t="str">
        <f>"20190312164102927"</f>
        <v>20190312164102927</v>
      </c>
      <c r="B3800" t="str">
        <f>"1552380062920494"</f>
        <v>1552380062920494</v>
      </c>
      <c r="C3800" t="s">
        <v>40</v>
      </c>
      <c r="D3800">
        <v>5.6286120000000004</v>
      </c>
      <c r="E3800">
        <v>0.48533510000000002</v>
      </c>
      <c r="F3800" t="s">
        <v>48</v>
      </c>
      <c r="G3800">
        <v>-233.1874</v>
      </c>
      <c r="H3800" s="1">
        <v>1.8346840000000001E-7</v>
      </c>
      <c r="I3800">
        <v>214.06549999999999</v>
      </c>
      <c r="J3800">
        <v>-255.51859999999999</v>
      </c>
      <c r="K3800">
        <v>1.1100749999999999</v>
      </c>
      <c r="L3800">
        <v>214.00200000000001</v>
      </c>
      <c r="M3800">
        <v>0.99966639999999996</v>
      </c>
      <c r="N3800">
        <v>0</v>
      </c>
      <c r="O3800">
        <v>2.1014479999999999E-2</v>
      </c>
      <c r="P3800">
        <v>0.98787749999999996</v>
      </c>
      <c r="Q3800">
        <v>0.14712800000000001</v>
      </c>
      <c r="R3800">
        <v>-4.9510650000000003E-2</v>
      </c>
      <c r="S3800">
        <v>3.0585019999999998</v>
      </c>
      <c r="T3800">
        <v>-0.14860509999999999</v>
      </c>
      <c r="U3800">
        <v>9.9487299999999994E-3</v>
      </c>
      <c r="V3800">
        <v>7.0187749999999993E-2</v>
      </c>
      <c r="W3800">
        <v>0.16196389999999999</v>
      </c>
      <c r="X3800">
        <v>0.98429739999999999</v>
      </c>
      <c r="Y3800">
        <v>1.7718970000000001E-2</v>
      </c>
      <c r="Z3800">
        <v>-1.4506930000000001E-3</v>
      </c>
      <c r="AA3800">
        <v>0.99984189999999995</v>
      </c>
      <c r="AB3800">
        <v>50</v>
      </c>
      <c r="AC3800">
        <v>22.3311999999999</v>
      </c>
      <c r="AD3800">
        <v>-1.1100748165315999</v>
      </c>
      <c r="AE3800">
        <v>6.3499999999976298E-2</v>
      </c>
      <c r="AF3800">
        <v>0.404845115273398</v>
      </c>
      <c r="AG3800">
        <v>-1.1100748165315999</v>
      </c>
      <c r="AH3800">
        <v>22.272566057761399</v>
      </c>
      <c r="AI3800">
        <v>92.852816204795701</v>
      </c>
      <c r="AJ3800">
        <v>88.958657826837495</v>
      </c>
      <c r="AK3800">
        <v>22.3038867568638</v>
      </c>
      <c r="AL3800">
        <v>80.679093567148399</v>
      </c>
      <c r="AM3800">
        <v>85.921287082862193</v>
      </c>
      <c r="AN3800">
        <v>0.99999999840001597</v>
      </c>
    </row>
    <row r="3801" spans="1:40" x14ac:dyDescent="0.25">
      <c r="A3801" t="str">
        <f>"20190312164102948"</f>
        <v>20190312164102948</v>
      </c>
      <c r="B3801" t="str">
        <f>"1552380062940015"</f>
        <v>1552380062940015</v>
      </c>
      <c r="C3801" t="s">
        <v>40</v>
      </c>
      <c r="D3801">
        <v>5.6926110000000003</v>
      </c>
      <c r="E3801">
        <v>0.485267</v>
      </c>
      <c r="F3801" t="s">
        <v>48</v>
      </c>
      <c r="G3801">
        <v>-232.19409999999999</v>
      </c>
      <c r="H3801" s="1">
        <v>-3.446339E-7</v>
      </c>
      <c r="I3801">
        <v>214.0547</v>
      </c>
      <c r="J3801">
        <v>-255.029</v>
      </c>
      <c r="K3801">
        <v>1.110053</v>
      </c>
      <c r="L3801">
        <v>214.01240000000001</v>
      </c>
      <c r="M3801">
        <v>0.99966449999999996</v>
      </c>
      <c r="N3801">
        <v>0</v>
      </c>
      <c r="O3801">
        <v>2.1106679999999999E-2</v>
      </c>
      <c r="P3801">
        <v>0.98755599999999999</v>
      </c>
      <c r="Q3801">
        <v>0.1488681</v>
      </c>
      <c r="R3801">
        <v>-5.0710980000000003E-2</v>
      </c>
      <c r="S3801">
        <v>3.0588380000000002</v>
      </c>
      <c r="T3801">
        <v>-0.1455784</v>
      </c>
      <c r="U3801">
        <v>6.9122309999999996E-3</v>
      </c>
      <c r="V3801">
        <v>7.1479749999999995E-2</v>
      </c>
      <c r="W3801">
        <v>0.16369139999999999</v>
      </c>
      <c r="X3801">
        <v>0.98391850000000003</v>
      </c>
      <c r="Y3801">
        <v>1.880459E-2</v>
      </c>
      <c r="Z3801">
        <v>-1.4512329999999999E-3</v>
      </c>
      <c r="AA3801">
        <v>0.99982210000000005</v>
      </c>
      <c r="AB3801">
        <v>50</v>
      </c>
      <c r="AC3801">
        <v>22.834900000000001</v>
      </c>
      <c r="AD3801">
        <v>-1.11005334463389</v>
      </c>
      <c r="AE3801">
        <v>4.2299999999983101E-2</v>
      </c>
      <c r="AF3801">
        <v>0.43869598194519499</v>
      </c>
      <c r="AG3801">
        <v>-1.11005334463389</v>
      </c>
      <c r="AH3801">
        <v>22.7768800435937</v>
      </c>
      <c r="AI3801">
        <v>92.789641167091901</v>
      </c>
      <c r="AJ3801">
        <v>88.896586330758097</v>
      </c>
      <c r="AK3801">
        <v>22.808133135194701</v>
      </c>
      <c r="AL3801">
        <v>80.578775585439701</v>
      </c>
      <c r="AM3801">
        <v>85.844873579284496</v>
      </c>
      <c r="AN3801">
        <v>0.99999992186813302</v>
      </c>
    </row>
    <row r="3802" spans="1:40" x14ac:dyDescent="0.25">
      <c r="A3802" t="str">
        <f>"20190312164102970"</f>
        <v>20190312164102970</v>
      </c>
      <c r="B3802" t="str">
        <f>"1552380062960134"</f>
        <v>1552380062960134</v>
      </c>
      <c r="C3802" t="s">
        <v>40</v>
      </c>
      <c r="D3802">
        <v>5.541137</v>
      </c>
      <c r="E3802">
        <v>0.48521310000000001</v>
      </c>
      <c r="F3802" t="s">
        <v>48</v>
      </c>
      <c r="G3802">
        <v>-230.9614</v>
      </c>
      <c r="H3802" s="1">
        <v>-1.0003059999999999E-6</v>
      </c>
      <c r="I3802">
        <v>214.04769999999999</v>
      </c>
      <c r="J3802">
        <v>-254.5352</v>
      </c>
      <c r="K3802">
        <v>1.1100099999999999</v>
      </c>
      <c r="L3802">
        <v>214.02279999999999</v>
      </c>
      <c r="M3802">
        <v>0.99966350000000004</v>
      </c>
      <c r="N3802">
        <v>0</v>
      </c>
      <c r="O3802">
        <v>2.1158349999999999E-2</v>
      </c>
      <c r="P3802">
        <v>0.98749560000000003</v>
      </c>
      <c r="Q3802">
        <v>0.14893689999999901</v>
      </c>
      <c r="R3802">
        <v>-5.1678710000000003E-2</v>
      </c>
      <c r="S3802">
        <v>3.0592959999999998</v>
      </c>
      <c r="T3802">
        <v>-0.14110230000000001</v>
      </c>
      <c r="U3802">
        <v>4.4860840000000004E-3</v>
      </c>
      <c r="V3802">
        <v>7.2509530000000003E-2</v>
      </c>
      <c r="W3802">
        <v>0.16375120000000001</v>
      </c>
      <c r="X3802">
        <v>0.98383330000000002</v>
      </c>
      <c r="Y3802">
        <v>1.965128E-2</v>
      </c>
      <c r="Z3802">
        <v>-1.4283500000000001E-3</v>
      </c>
      <c r="AA3802">
        <v>0.99980590000000003</v>
      </c>
      <c r="AB3802">
        <v>50</v>
      </c>
      <c r="AC3802">
        <v>23.573799999999999</v>
      </c>
      <c r="AD3802">
        <v>-1.110011000306</v>
      </c>
      <c r="AE3802">
        <v>2.4900000000002299E-2</v>
      </c>
      <c r="AF3802">
        <v>0.47289598095781299</v>
      </c>
      <c r="AG3802">
        <v>-1.110011000306</v>
      </c>
      <c r="AH3802">
        <v>23.516907922807199</v>
      </c>
      <c r="AI3802">
        <v>92.701841254051004</v>
      </c>
      <c r="AJ3802">
        <v>88.848007877009096</v>
      </c>
      <c r="AK3802">
        <v>23.547838823964302</v>
      </c>
      <c r="AL3802">
        <v>80.575303412122295</v>
      </c>
      <c r="AM3802">
        <v>85.784862856102606</v>
      </c>
      <c r="AN3802">
        <v>1.00000002481557</v>
      </c>
    </row>
    <row r="3803" spans="1:40" x14ac:dyDescent="0.25">
      <c r="A3803" t="str">
        <f>"20190312164102994"</f>
        <v>20190312164102994</v>
      </c>
      <c r="B3803" t="str">
        <f>"1552380062990390"</f>
        <v>1552380062990390</v>
      </c>
      <c r="C3803" t="s">
        <v>40</v>
      </c>
      <c r="D3803">
        <v>5.5338070000000004</v>
      </c>
      <c r="E3803">
        <v>0.48504409999999998</v>
      </c>
      <c r="F3803" t="s">
        <v>48</v>
      </c>
      <c r="G3803">
        <v>-230.46350000000001</v>
      </c>
      <c r="H3803" s="1">
        <v>-1.265054E-6</v>
      </c>
      <c r="I3803">
        <v>214.04300000000001</v>
      </c>
      <c r="J3803">
        <v>-254.01660000000001</v>
      </c>
      <c r="K3803">
        <v>1.1099509999999999</v>
      </c>
      <c r="L3803">
        <v>214.03380000000001</v>
      </c>
      <c r="M3803">
        <v>0.99966390000000005</v>
      </c>
      <c r="N3803">
        <v>0</v>
      </c>
      <c r="O3803">
        <v>2.1136240000000001E-2</v>
      </c>
      <c r="P3803">
        <v>0.98774729999999999</v>
      </c>
      <c r="Q3803">
        <v>0.14713090000000001</v>
      </c>
      <c r="R3803">
        <v>-5.2038309999999997E-2</v>
      </c>
      <c r="S3803">
        <v>3.059402</v>
      </c>
      <c r="T3803">
        <v>-0.14107739999999999</v>
      </c>
      <c r="U3803">
        <v>2.5634770000000002E-3</v>
      </c>
      <c r="V3803">
        <v>7.2874640000000004E-2</v>
      </c>
      <c r="W3803">
        <v>0.16193560000000001</v>
      </c>
      <c r="X3803">
        <v>0.98410679999999995</v>
      </c>
      <c r="Y3803">
        <v>2.0256909999999999E-2</v>
      </c>
      <c r="Z3803">
        <v>-1.4409879999999901E-3</v>
      </c>
      <c r="AA3803">
        <v>0.99979379999999995</v>
      </c>
      <c r="AB3803">
        <v>50</v>
      </c>
      <c r="AC3803">
        <v>23.553100000000001</v>
      </c>
      <c r="AD3803">
        <v>-1.1099522650539999</v>
      </c>
      <c r="AE3803">
        <v>9.1999999999927695E-3</v>
      </c>
      <c r="AF3803">
        <v>0.48759926317899199</v>
      </c>
      <c r="AG3803">
        <v>-1.1099522650539999</v>
      </c>
      <c r="AH3803">
        <v>23.495851697738001</v>
      </c>
      <c r="AI3803">
        <v>92.704080583063998</v>
      </c>
      <c r="AJ3803">
        <v>88.811136081355301</v>
      </c>
      <c r="AK3803">
        <v>23.527107643615</v>
      </c>
      <c r="AL3803">
        <v>80.680736958069502</v>
      </c>
      <c r="AM3803">
        <v>85.764888342081903</v>
      </c>
      <c r="AN3803">
        <v>1.00000002275436</v>
      </c>
    </row>
    <row r="3804" spans="1:40" x14ac:dyDescent="0.25">
      <c r="A3804" t="str">
        <f>"20190312164103016"</f>
        <v>20190312164103016</v>
      </c>
      <c r="B3804" t="str">
        <f>"1552380063009914"</f>
        <v>1552380063009914</v>
      </c>
      <c r="C3804" t="s">
        <v>40</v>
      </c>
      <c r="D3804">
        <v>5.5346869999999999</v>
      </c>
      <c r="E3804">
        <v>0.48496149999999999</v>
      </c>
      <c r="F3804" t="s">
        <v>48</v>
      </c>
      <c r="G3804">
        <v>-230.9812</v>
      </c>
      <c r="H3804" s="1">
        <v>-9.901493999999999E-7</v>
      </c>
      <c r="I3804">
        <v>214.0556</v>
      </c>
      <c r="J3804">
        <v>-253.5103</v>
      </c>
      <c r="K3804">
        <v>1.1098629999999901</v>
      </c>
      <c r="L3804">
        <v>214.0444</v>
      </c>
      <c r="M3804">
        <v>0.99966670000000002</v>
      </c>
      <c r="N3804">
        <v>0</v>
      </c>
      <c r="O3804">
        <v>2.1009369999999999E-2</v>
      </c>
      <c r="P3804">
        <v>0.98808470000000004</v>
      </c>
      <c r="Q3804">
        <v>0.1447775</v>
      </c>
      <c r="R3804">
        <v>-5.22339E-2</v>
      </c>
      <c r="S3804">
        <v>3.059326</v>
      </c>
      <c r="T3804">
        <v>-0.1474125</v>
      </c>
      <c r="U3804">
        <v>2.89917E-3</v>
      </c>
      <c r="V3804">
        <v>7.2983329999999999E-2</v>
      </c>
      <c r="W3804">
        <v>0.15957070000000001</v>
      </c>
      <c r="X3804">
        <v>0.98448500000000005</v>
      </c>
      <c r="Y3804">
        <v>2.0016679999999999E-2</v>
      </c>
      <c r="Z3804">
        <v>-1.4937660000000001E-3</v>
      </c>
      <c r="AA3804">
        <v>0.99979850000000003</v>
      </c>
      <c r="AB3804">
        <v>50</v>
      </c>
      <c r="AC3804">
        <v>22.5291</v>
      </c>
      <c r="AD3804">
        <v>-1.1098639901493901</v>
      </c>
      <c r="AE3804">
        <v>1.12000000000023E-2</v>
      </c>
      <c r="AF3804">
        <v>0.46105900688284401</v>
      </c>
      <c r="AG3804">
        <v>-1.1098639901493901</v>
      </c>
      <c r="AH3804">
        <v>22.469829552211099</v>
      </c>
      <c r="AI3804">
        <v>92.827148001017605</v>
      </c>
      <c r="AJ3804">
        <v>88.824511389394203</v>
      </c>
      <c r="AK3804">
        <v>22.5019468844337</v>
      </c>
      <c r="AL3804">
        <v>80.818021415546696</v>
      </c>
      <c r="AM3804">
        <v>85.760218290099303</v>
      </c>
      <c r="AN3804">
        <v>1.0000000449906801</v>
      </c>
    </row>
    <row r="3805" spans="1:40" x14ac:dyDescent="0.25">
      <c r="A3805" t="str">
        <f>"20190312164103062"</f>
        <v>20190312164103062</v>
      </c>
      <c r="B3805" t="str">
        <f>"1552380063049926"</f>
        <v>1552380063049926</v>
      </c>
      <c r="C3805" t="s">
        <v>40</v>
      </c>
      <c r="D3805">
        <v>5.4840859999999996</v>
      </c>
      <c r="E3805">
        <v>0.4859908</v>
      </c>
      <c r="F3805" t="s">
        <v>48</v>
      </c>
      <c r="G3805">
        <v>-231.65870000000001</v>
      </c>
      <c r="H3805" s="1">
        <v>-6.3006600000000003E-7</v>
      </c>
      <c r="I3805">
        <v>214.06639999999999</v>
      </c>
      <c r="J3805">
        <v>-252.4975</v>
      </c>
      <c r="K3805">
        <v>1.109639</v>
      </c>
      <c r="L3805">
        <v>214.0651</v>
      </c>
      <c r="M3805">
        <v>0.99967989999999995</v>
      </c>
      <c r="N3805">
        <v>0</v>
      </c>
      <c r="O3805">
        <v>2.0372169999999998E-2</v>
      </c>
      <c r="P3805">
        <v>0.98831210000000003</v>
      </c>
      <c r="Q3805">
        <v>0.1431046</v>
      </c>
      <c r="R3805">
        <v>-5.2538790000000002E-2</v>
      </c>
      <c r="S3805">
        <v>3.0591430000000002</v>
      </c>
      <c r="T3805">
        <v>-0.1553773</v>
      </c>
      <c r="U3805">
        <v>3.0822750000000002E-3</v>
      </c>
      <c r="V3805">
        <v>7.2749919999999996E-2</v>
      </c>
      <c r="W3805">
        <v>0.15785650000000001</v>
      </c>
      <c r="X3805">
        <v>0.9847785</v>
      </c>
      <c r="Y3805">
        <v>1.931594E-2</v>
      </c>
      <c r="Z3805">
        <v>-1.524341E-3</v>
      </c>
      <c r="AA3805">
        <v>0.99981220000000004</v>
      </c>
      <c r="AB3805">
        <v>50</v>
      </c>
      <c r="AC3805">
        <v>20.8387999999999</v>
      </c>
      <c r="AD3805">
        <v>-1.1096396300660001</v>
      </c>
      <c r="AE3805">
        <v>1.2999999999863099E-3</v>
      </c>
      <c r="AF3805">
        <v>0.422082844068983</v>
      </c>
      <c r="AG3805">
        <v>-1.1096396300660001</v>
      </c>
      <c r="AH3805">
        <v>20.775593067684198</v>
      </c>
      <c r="AI3805">
        <v>93.056674964055901</v>
      </c>
      <c r="AJ3805">
        <v>88.836122798117998</v>
      </c>
      <c r="AK3805">
        <v>20.809486330755</v>
      </c>
      <c r="AL3805">
        <v>80.917497977555399</v>
      </c>
      <c r="AM3805">
        <v>85.774983466354897</v>
      </c>
      <c r="AN3805">
        <v>0.99999995975725198</v>
      </c>
    </row>
    <row r="3806" spans="1:40" x14ac:dyDescent="0.25">
      <c r="A3806" t="str">
        <f>"20190312164103082"</f>
        <v>20190312164103082</v>
      </c>
      <c r="B3806" t="str">
        <f>"1552380063070240"</f>
        <v>1552380063070240</v>
      </c>
      <c r="C3806" t="s">
        <v>40</v>
      </c>
      <c r="D3806">
        <v>5.422218</v>
      </c>
      <c r="E3806">
        <v>0.48682259999999999</v>
      </c>
      <c r="F3806" t="s">
        <v>48</v>
      </c>
      <c r="G3806">
        <v>-232.07910000000001</v>
      </c>
      <c r="H3806" s="1">
        <v>-4.0468429999999998E-7</v>
      </c>
      <c r="I3806">
        <v>214.02789999999999</v>
      </c>
      <c r="J3806">
        <v>-252.0308</v>
      </c>
      <c r="K3806">
        <v>1.1095330000000001</v>
      </c>
      <c r="L3806">
        <v>214.07429999999999</v>
      </c>
      <c r="M3806">
        <v>0.99968900000000005</v>
      </c>
      <c r="N3806">
        <v>0</v>
      </c>
      <c r="O3806">
        <v>1.9925390000000001E-2</v>
      </c>
      <c r="P3806">
        <v>0.98817410000000006</v>
      </c>
      <c r="Q3806">
        <v>0.1438178</v>
      </c>
      <c r="R3806">
        <v>-5.3182930000000003E-2</v>
      </c>
      <c r="S3806">
        <v>3.0592350000000001</v>
      </c>
      <c r="T3806">
        <v>-0.16625390000000001</v>
      </c>
      <c r="U3806">
        <v>-5.5694580000000002E-3</v>
      </c>
      <c r="V3806">
        <v>7.2993269999999999E-2</v>
      </c>
      <c r="W3806">
        <v>0.15854579999999999</v>
      </c>
      <c r="X3806">
        <v>0.98464980000000002</v>
      </c>
      <c r="Y3806">
        <v>2.168637E-2</v>
      </c>
      <c r="Z3806">
        <v>-1.670955E-3</v>
      </c>
      <c r="AA3806">
        <v>0.99976339999999997</v>
      </c>
      <c r="AB3806">
        <v>50</v>
      </c>
      <c r="AC3806">
        <v>19.951699999999899</v>
      </c>
      <c r="AD3806">
        <v>-1.1095334046843</v>
      </c>
      <c r="AE3806">
        <v>-4.6400000000005499E-2</v>
      </c>
      <c r="AF3806">
        <v>0.44261209182232197</v>
      </c>
      <c r="AG3806">
        <v>-1.1095334046843</v>
      </c>
      <c r="AH3806">
        <v>19.885316848209001</v>
      </c>
      <c r="AI3806">
        <v>93.192810060586297</v>
      </c>
      <c r="AJ3806">
        <v>88.7249075151406</v>
      </c>
      <c r="AK3806">
        <v>19.921164524033301</v>
      </c>
      <c r="AL3806">
        <v>80.877500747233199</v>
      </c>
      <c r="AM3806">
        <v>85.760350073996094</v>
      </c>
      <c r="AN3806">
        <v>1.00000000840148</v>
      </c>
    </row>
    <row r="3807" spans="1:40" x14ac:dyDescent="0.25">
      <c r="A3807" t="str">
        <f>"20190312164103105"</f>
        <v>20190312164103105</v>
      </c>
      <c r="B3807" t="str">
        <f>"1552380063099520"</f>
        <v>1552380063099520</v>
      </c>
      <c r="C3807" t="s">
        <v>40</v>
      </c>
      <c r="D3807">
        <v>5.5059809999999896</v>
      </c>
      <c r="E3807">
        <v>0.48802190000000001</v>
      </c>
      <c r="F3807" t="s">
        <v>48</v>
      </c>
      <c r="G3807">
        <v>-231.67449999999999</v>
      </c>
      <c r="H3807" s="1">
        <v>-6.1798469999999898E-7</v>
      </c>
      <c r="I3807">
        <v>213.98230000000001</v>
      </c>
      <c r="J3807">
        <v>-251.52269999999999</v>
      </c>
      <c r="K3807">
        <v>1.1094299999999999</v>
      </c>
      <c r="L3807">
        <v>214.0839</v>
      </c>
      <c r="M3807">
        <v>0.99970040000000004</v>
      </c>
      <c r="N3807">
        <v>0</v>
      </c>
      <c r="O3807">
        <v>1.9347059999999999E-2</v>
      </c>
      <c r="P3807">
        <v>0.98799619999999999</v>
      </c>
      <c r="Q3807">
        <v>0.14452309999999999</v>
      </c>
      <c r="R3807">
        <v>-5.4559740000000002E-2</v>
      </c>
      <c r="S3807">
        <v>3.059418</v>
      </c>
      <c r="T3807">
        <v>-0.1667554</v>
      </c>
      <c r="U3807">
        <v>-1.382446E-2</v>
      </c>
      <c r="V3807">
        <v>7.3839600000000005E-2</v>
      </c>
      <c r="W3807">
        <v>0.15922520000000001</v>
      </c>
      <c r="X3807">
        <v>0.98447700000000005</v>
      </c>
      <c r="Y3807">
        <v>2.3802759999999999E-2</v>
      </c>
      <c r="Z3807">
        <v>-1.7020239999999999E-3</v>
      </c>
      <c r="AA3807">
        <v>0.99971520000000003</v>
      </c>
      <c r="AB3807">
        <v>50</v>
      </c>
      <c r="AC3807">
        <v>19.848199999999899</v>
      </c>
      <c r="AD3807">
        <v>-1.1094306179847</v>
      </c>
      <c r="AE3807">
        <v>-0.10159999999999</v>
      </c>
      <c r="AF3807">
        <v>0.48411596263877898</v>
      </c>
      <c r="AG3807">
        <v>-1.1094306179847</v>
      </c>
      <c r="AH3807">
        <v>19.780718222984301</v>
      </c>
      <c r="AI3807">
        <v>93.209195692053498</v>
      </c>
      <c r="AJ3807">
        <v>88.598015250440994</v>
      </c>
      <c r="AK3807">
        <v>19.817719797658501</v>
      </c>
      <c r="AL3807">
        <v>80.838072672680994</v>
      </c>
      <c r="AM3807">
        <v>85.710625304471094</v>
      </c>
      <c r="AN3807">
        <v>0.99999995718609902</v>
      </c>
    </row>
    <row r="3808" spans="1:40" x14ac:dyDescent="0.25">
      <c r="A3808" t="str">
        <f>"20190312164103127"</f>
        <v>20190312164103127</v>
      </c>
      <c r="B3808" t="str">
        <f>"1552380063120020"</f>
        <v>1552380063120020</v>
      </c>
      <c r="C3808" t="s">
        <v>40</v>
      </c>
      <c r="D3808">
        <v>5.7744470000000003</v>
      </c>
      <c r="E3808">
        <v>0.48873549999999899</v>
      </c>
      <c r="F3808" t="s">
        <v>48</v>
      </c>
      <c r="G3808">
        <v>-231.39060000000001</v>
      </c>
      <c r="H3808" s="1">
        <v>-7.6574790000000004E-7</v>
      </c>
      <c r="I3808">
        <v>213.90629999999999</v>
      </c>
      <c r="J3808">
        <v>-251.01900000000001</v>
      </c>
      <c r="K3808">
        <v>1.1093329999999999</v>
      </c>
      <c r="L3808">
        <v>214.0932</v>
      </c>
      <c r="M3808">
        <v>0.99971279999999996</v>
      </c>
      <c r="N3808">
        <v>0</v>
      </c>
      <c r="O3808">
        <v>1.8697800000000001E-2</v>
      </c>
      <c r="P3808">
        <v>0.98778180000000004</v>
      </c>
      <c r="Q3808">
        <v>0.1452049</v>
      </c>
      <c r="R3808">
        <v>-5.6593900000000003E-2</v>
      </c>
      <c r="S3808">
        <v>3.059631</v>
      </c>
      <c r="T3808">
        <v>-0.16860839999999999</v>
      </c>
      <c r="U3808">
        <v>-2.6992800000000001E-2</v>
      </c>
      <c r="V3808">
        <v>7.5267719999999996E-2</v>
      </c>
      <c r="W3808">
        <v>0.15988139999999901</v>
      </c>
      <c r="X3808">
        <v>0.98426250000000004</v>
      </c>
      <c r="Y3808">
        <v>2.744951E-2</v>
      </c>
      <c r="Z3808">
        <v>-1.785427E-3</v>
      </c>
      <c r="AA3808">
        <v>0.9996216</v>
      </c>
      <c r="AB3808">
        <v>50</v>
      </c>
      <c r="AC3808">
        <v>19.628399999999999</v>
      </c>
      <c r="AD3808">
        <v>-1.1093337657479001</v>
      </c>
      <c r="AE3808">
        <v>-0.186900000000008</v>
      </c>
      <c r="AF3808">
        <v>0.55215296167875905</v>
      </c>
      <c r="AG3808">
        <v>-1.1093337657479001</v>
      </c>
      <c r="AH3808">
        <v>19.5590041601723</v>
      </c>
      <c r="AI3808">
        <v>93.244893683191904</v>
      </c>
      <c r="AJ3808">
        <v>88.382962951200895</v>
      </c>
      <c r="AK3808">
        <v>19.598217725970802</v>
      </c>
      <c r="AL3808">
        <v>80.799987494519996</v>
      </c>
      <c r="AM3808">
        <v>85.627034713952099</v>
      </c>
      <c r="AN3808">
        <v>0.999999980323104</v>
      </c>
    </row>
    <row r="3809" spans="1:40" x14ac:dyDescent="0.25">
      <c r="A3809" t="str">
        <f>"20190312164103149"</f>
        <v>20190312164103149</v>
      </c>
      <c r="B3809" t="str">
        <f>"1552380063140512"</f>
        <v>1552380063140512</v>
      </c>
      <c r="C3809" t="s">
        <v>40</v>
      </c>
      <c r="D3809">
        <v>5.70899</v>
      </c>
      <c r="E3809">
        <v>0.48933369999999998</v>
      </c>
      <c r="F3809" t="s">
        <v>48</v>
      </c>
      <c r="G3809">
        <v>-230.6002</v>
      </c>
      <c r="H3809" s="1">
        <v>-1.1831270000000001E-6</v>
      </c>
      <c r="I3809">
        <v>213.83260000000001</v>
      </c>
      <c r="J3809">
        <v>-250.53829999999999</v>
      </c>
      <c r="K3809">
        <v>1.109253</v>
      </c>
      <c r="L3809">
        <v>214.10169999999999</v>
      </c>
      <c r="M3809">
        <v>0.99972519999999998</v>
      </c>
      <c r="N3809">
        <v>0</v>
      </c>
      <c r="O3809">
        <v>1.8024499999999999E-2</v>
      </c>
      <c r="P3809">
        <v>0.98770349999999996</v>
      </c>
      <c r="Q3809">
        <v>0.144839299999999</v>
      </c>
      <c r="R3809">
        <v>-5.8851500000000001E-2</v>
      </c>
      <c r="S3809">
        <v>3.0593110000000001</v>
      </c>
      <c r="T3809">
        <v>-0.16620929999999901</v>
      </c>
      <c r="U3809">
        <v>-3.9047239999999997E-2</v>
      </c>
      <c r="V3809">
        <v>7.689008E-2</v>
      </c>
      <c r="W3809">
        <v>0.1594949</v>
      </c>
      <c r="X3809">
        <v>0.98419979999999996</v>
      </c>
      <c r="Y3809">
        <v>3.0713480000000001E-2</v>
      </c>
      <c r="Z3809">
        <v>-1.812258E-3</v>
      </c>
      <c r="AA3809">
        <v>0.99952660000000004</v>
      </c>
      <c r="AB3809">
        <v>50</v>
      </c>
      <c r="AC3809">
        <v>19.938099999999899</v>
      </c>
      <c r="AD3809">
        <v>-1.109254183127</v>
      </c>
      <c r="AE3809">
        <v>-0.26909999999998002</v>
      </c>
      <c r="AF3809">
        <v>0.62653201417204196</v>
      </c>
      <c r="AG3809">
        <v>-1.109254183127</v>
      </c>
      <c r="AH3809">
        <v>19.8685226151321</v>
      </c>
      <c r="AI3809">
        <v>93.193906078224302</v>
      </c>
      <c r="AJ3809">
        <v>88.193839108370398</v>
      </c>
      <c r="AK3809">
        <v>19.909323899007301</v>
      </c>
      <c r="AL3809">
        <v>80.822420149642596</v>
      </c>
      <c r="AM3809">
        <v>85.532871569537605</v>
      </c>
      <c r="AN3809">
        <v>0.99999997692422704</v>
      </c>
    </row>
    <row r="3810" spans="1:40" x14ac:dyDescent="0.25">
      <c r="A3810" t="str">
        <f>"20190312164103172"</f>
        <v>20190312164103172</v>
      </c>
      <c r="B3810" t="str">
        <f>"1552380063160033"</f>
        <v>1552380063160033</v>
      </c>
      <c r="C3810" t="s">
        <v>40</v>
      </c>
      <c r="D3810">
        <v>5.4846050000000002</v>
      </c>
      <c r="E3810">
        <v>0.48988490000000001</v>
      </c>
      <c r="F3810" t="s">
        <v>48</v>
      </c>
      <c r="G3810">
        <v>-230.23480000000001</v>
      </c>
      <c r="H3810" s="1">
        <v>-1.3744590000000001E-6</v>
      </c>
      <c r="I3810">
        <v>213.76150000000001</v>
      </c>
      <c r="J3810">
        <v>-250.03110000000001</v>
      </c>
      <c r="K3810">
        <v>1.1091719999999901</v>
      </c>
      <c r="L3810">
        <v>214.1104</v>
      </c>
      <c r="M3810">
        <v>0.99973860000000003</v>
      </c>
      <c r="N3810">
        <v>0</v>
      </c>
      <c r="O3810">
        <v>1.7274029999999999E-2</v>
      </c>
      <c r="P3810">
        <v>0.98764229999999997</v>
      </c>
      <c r="Q3810">
        <v>0.14438509999999999</v>
      </c>
      <c r="R3810">
        <v>-6.0955059999999998E-2</v>
      </c>
      <c r="S3810">
        <v>3.0588069999999998</v>
      </c>
      <c r="T3810">
        <v>-0.16711389999999901</v>
      </c>
      <c r="U3810">
        <v>-5.1254269999999998E-2</v>
      </c>
      <c r="V3810">
        <v>7.8279680000000004E-2</v>
      </c>
      <c r="W3810">
        <v>0.1590213</v>
      </c>
      <c r="X3810">
        <v>0.98416689999999996</v>
      </c>
      <c r="Y3810">
        <v>3.3948609999999997E-2</v>
      </c>
      <c r="Z3810">
        <v>-1.8696920000000001E-3</v>
      </c>
      <c r="AA3810">
        <v>0.99942180000000003</v>
      </c>
      <c r="AB3810">
        <v>50</v>
      </c>
      <c r="AC3810">
        <v>19.796299999999999</v>
      </c>
      <c r="AD3810">
        <v>-1.10917337445899</v>
      </c>
      <c r="AE3810">
        <v>-0.348899999999986</v>
      </c>
      <c r="AF3810">
        <v>0.68868686091839404</v>
      </c>
      <c r="AG3810">
        <v>-1.10917337445899</v>
      </c>
      <c r="AH3810">
        <v>19.725413525377199</v>
      </c>
      <c r="AI3810">
        <v>93.216435666604397</v>
      </c>
      <c r="AJ3810">
        <v>88.000405456066403</v>
      </c>
      <c r="AK3810">
        <v>19.768573390969401</v>
      </c>
      <c r="AL3810">
        <v>80.849906308071894</v>
      </c>
      <c r="AM3810">
        <v>85.452323409695595</v>
      </c>
      <c r="AN3810">
        <v>0.99999998460510098</v>
      </c>
    </row>
    <row r="3811" spans="1:40" x14ac:dyDescent="0.25">
      <c r="A3811" t="str">
        <f>"20190312164103195"</f>
        <v>20190312164103195</v>
      </c>
      <c r="B3811" t="str">
        <f>"1552380063190289"</f>
        <v>1552380063190289</v>
      </c>
      <c r="C3811" t="s">
        <v>40</v>
      </c>
      <c r="D3811">
        <v>5.4208360000000004</v>
      </c>
      <c r="E3811">
        <v>0.49057099999999998</v>
      </c>
      <c r="F3811" t="s">
        <v>48</v>
      </c>
      <c r="G3811">
        <v>-229.85890000000001</v>
      </c>
      <c r="H3811" s="1">
        <v>3.7498180000000002E-6</v>
      </c>
      <c r="I3811">
        <v>213.6968</v>
      </c>
      <c r="J3811">
        <v>-249.51929999999999</v>
      </c>
      <c r="K3811">
        <v>1.109105</v>
      </c>
      <c r="L3811">
        <v>214.11869999999999</v>
      </c>
      <c r="M3811">
        <v>0.99975179999999997</v>
      </c>
      <c r="N3811">
        <v>0</v>
      </c>
      <c r="O3811">
        <v>1.6491499999999999E-2</v>
      </c>
      <c r="P3811">
        <v>0.98752419999999996</v>
      </c>
      <c r="Q3811">
        <v>0.1445061</v>
      </c>
      <c r="R3811">
        <v>-6.2560539999999998E-2</v>
      </c>
      <c r="S3811">
        <v>3.058243</v>
      </c>
      <c r="T3811">
        <v>-0.1681571</v>
      </c>
      <c r="U3811">
        <v>-6.2698359999999995E-2</v>
      </c>
      <c r="V3811">
        <v>7.9135979999999995E-2</v>
      </c>
      <c r="W3811">
        <v>0.15912390000000001</v>
      </c>
      <c r="X3811">
        <v>0.98408189999999995</v>
      </c>
      <c r="Y3811">
        <v>3.6903600000000002E-2</v>
      </c>
      <c r="Z3811">
        <v>-1.919811E-3</v>
      </c>
      <c r="AA3811">
        <v>0.99931700000000001</v>
      </c>
      <c r="AB3811">
        <v>50</v>
      </c>
      <c r="AC3811">
        <v>19.6603999999999</v>
      </c>
      <c r="AD3811">
        <v>-1.1091012501819999</v>
      </c>
      <c r="AE3811">
        <v>-0.421899999999993</v>
      </c>
      <c r="AF3811">
        <v>0.74374266432994096</v>
      </c>
      <c r="AG3811">
        <v>-1.1091012501819999</v>
      </c>
      <c r="AH3811">
        <v>19.588457126591301</v>
      </c>
      <c r="AI3811">
        <v>93.238306856714004</v>
      </c>
      <c r="AJ3811">
        <v>87.825614544200903</v>
      </c>
      <c r="AK3811">
        <v>19.633922464301499</v>
      </c>
      <c r="AL3811">
        <v>80.843952569428097</v>
      </c>
      <c r="AM3811">
        <v>85.402393166175003</v>
      </c>
      <c r="AN3811">
        <v>1.0000000523946799</v>
      </c>
    </row>
    <row r="3812" spans="1:40" x14ac:dyDescent="0.25">
      <c r="A3812" t="str">
        <f>"20190312164103218"</f>
        <v>20190312164103218</v>
      </c>
      <c r="B3812" t="str">
        <f>"1552380063209809"</f>
        <v>1552380063209809</v>
      </c>
      <c r="C3812" t="s">
        <v>40</v>
      </c>
      <c r="D3812">
        <v>5.5431319999999999</v>
      </c>
      <c r="E3812">
        <v>0.49098209999999998</v>
      </c>
      <c r="F3812" t="s">
        <v>48</v>
      </c>
      <c r="G3812">
        <v>-229.51439999999999</v>
      </c>
      <c r="H3812" s="1">
        <v>3.5689510000000002E-6</v>
      </c>
      <c r="I3812">
        <v>213.64080000000001</v>
      </c>
      <c r="J3812">
        <v>-249.00489999999999</v>
      </c>
      <c r="K3812">
        <v>1.1090469999999999</v>
      </c>
      <c r="L3812">
        <v>214.1267</v>
      </c>
      <c r="M3812">
        <v>0.9997646</v>
      </c>
      <c r="N3812">
        <v>0</v>
      </c>
      <c r="O3812">
        <v>1.5691779999999999E-2</v>
      </c>
      <c r="P3812">
        <v>0.98746560000000005</v>
      </c>
      <c r="Q3812">
        <v>0.14417260000000001</v>
      </c>
      <c r="R3812">
        <v>-6.4235319999999999E-2</v>
      </c>
      <c r="S3812">
        <v>3.0580750000000001</v>
      </c>
      <c r="T3812">
        <v>-0.16954469999999999</v>
      </c>
      <c r="U3812">
        <v>-7.3059079999999998E-2</v>
      </c>
      <c r="V3812">
        <v>8.0041420000000002E-2</v>
      </c>
      <c r="W3812">
        <v>0.15877369999999999</v>
      </c>
      <c r="X3812">
        <v>0.98406519999999997</v>
      </c>
      <c r="Y3812">
        <v>3.9485159999999998E-2</v>
      </c>
      <c r="Z3812">
        <v>-1.9628639999999999E-3</v>
      </c>
      <c r="AA3812">
        <v>0.99921819999999895</v>
      </c>
      <c r="AB3812">
        <v>50</v>
      </c>
      <c r="AC3812">
        <v>19.490500000000001</v>
      </c>
      <c r="AD3812">
        <v>-1.1090434310489901</v>
      </c>
      <c r="AE3812">
        <v>-0.48589999999998601</v>
      </c>
      <c r="AF3812">
        <v>0.789161570339034</v>
      </c>
      <c r="AG3812">
        <v>-1.1090434310489901</v>
      </c>
      <c r="AH3812">
        <v>19.4176426730514</v>
      </c>
      <c r="AI3812">
        <v>93.266220549186102</v>
      </c>
      <c r="AJ3812">
        <v>87.672696007420896</v>
      </c>
      <c r="AK3812">
        <v>19.465292196480299</v>
      </c>
      <c r="AL3812">
        <v>80.864275601318496</v>
      </c>
      <c r="AM3812">
        <v>85.349940136244101</v>
      </c>
      <c r="AN3812">
        <v>1.0000000172891701</v>
      </c>
    </row>
    <row r="3813" spans="1:40" x14ac:dyDescent="0.25">
      <c r="A3813" t="str">
        <f>"20190312164103240"</f>
        <v>20190312164103240</v>
      </c>
      <c r="B3813" t="str">
        <f>"1552380063230304"</f>
        <v>1552380063230304</v>
      </c>
      <c r="C3813" t="s">
        <v>40</v>
      </c>
      <c r="D3813">
        <v>5.5437750000000001</v>
      </c>
      <c r="E3813">
        <v>0.49137039999999998</v>
      </c>
      <c r="F3813" t="s">
        <v>42</v>
      </c>
      <c r="G3813">
        <v>-247.82830000000001</v>
      </c>
      <c r="H3813">
        <v>1.043428</v>
      </c>
      <c r="I3813">
        <v>214.09559999999999</v>
      </c>
      <c r="J3813">
        <v>-248.52080000000001</v>
      </c>
      <c r="K3813">
        <v>1.108997</v>
      </c>
      <c r="L3813">
        <v>214.13380000000001</v>
      </c>
      <c r="M3813">
        <v>0.99977640000000001</v>
      </c>
      <c r="N3813">
        <v>0</v>
      </c>
      <c r="O3813">
        <v>1.493363E-2</v>
      </c>
      <c r="P3813">
        <v>0.98755369999999998</v>
      </c>
      <c r="Q3813">
        <v>0.14292079999999999</v>
      </c>
      <c r="R3813">
        <v>-6.5662819999999997E-2</v>
      </c>
      <c r="S3813">
        <v>3.0577390000000002</v>
      </c>
      <c r="T3813">
        <v>-0.17057839999999999</v>
      </c>
      <c r="U3813">
        <v>-8.0474850000000001E-2</v>
      </c>
      <c r="V3813">
        <v>8.0737149999999994E-2</v>
      </c>
      <c r="W3813">
        <v>0.15751039999999999</v>
      </c>
      <c r="X3813">
        <v>0.98421130000000001</v>
      </c>
      <c r="Y3813">
        <v>4.1149360000000003E-2</v>
      </c>
      <c r="Z3813">
        <v>-1.9790879999999999E-3</v>
      </c>
      <c r="AA3813">
        <v>0.99915109999999996</v>
      </c>
      <c r="AB3813">
        <v>50</v>
      </c>
      <c r="AC3813">
        <v>0.69249999999999501</v>
      </c>
      <c r="AD3813">
        <v>-6.5568999999999905E-2</v>
      </c>
      <c r="AE3813">
        <v>-3.8200000000017498E-2</v>
      </c>
      <c r="AF3813">
        <v>4.8108446159787099E-2</v>
      </c>
      <c r="AG3813">
        <v>-6.5568999999999905E-2</v>
      </c>
      <c r="AH3813">
        <v>0.68572326918079796</v>
      </c>
      <c r="AI3813">
        <v>95.448715731944603</v>
      </c>
      <c r="AJ3813">
        <v>85.986862382011395</v>
      </c>
      <c r="AK3813">
        <v>0.69052886851232398</v>
      </c>
      <c r="AL3813">
        <v>80.937579165596702</v>
      </c>
      <c r="AM3813">
        <v>85.310393934276306</v>
      </c>
      <c r="AN3813">
        <v>0.999999948272984</v>
      </c>
    </row>
    <row r="3814" spans="1:40" x14ac:dyDescent="0.25">
      <c r="A3814" t="str">
        <f>"20190312164103262"</f>
        <v>20190312164103262</v>
      </c>
      <c r="B3814" t="str">
        <f>"1552380063249824"</f>
        <v>1552380063249824</v>
      </c>
      <c r="C3814" t="s">
        <v>40</v>
      </c>
      <c r="D3814">
        <v>5.5605260000000003</v>
      </c>
      <c r="E3814">
        <v>0.49157200000000001</v>
      </c>
      <c r="F3814" t="s">
        <v>42</v>
      </c>
      <c r="G3814">
        <v>-247.3827</v>
      </c>
      <c r="H3814">
        <v>1.0441510000000001</v>
      </c>
      <c r="I3814">
        <v>214.10059999999999</v>
      </c>
      <c r="J3814">
        <v>-248.01669999999999</v>
      </c>
      <c r="K3814">
        <v>1.108954</v>
      </c>
      <c r="L3814">
        <v>214.14080000000001</v>
      </c>
      <c r="M3814">
        <v>0.99978789999999995</v>
      </c>
      <c r="N3814">
        <v>0</v>
      </c>
      <c r="O3814">
        <v>1.414194E-2</v>
      </c>
      <c r="P3814">
        <v>0.98767340000000003</v>
      </c>
      <c r="Q3814">
        <v>0.14183950000000001</v>
      </c>
      <c r="R3814">
        <v>-6.6203449999999997E-2</v>
      </c>
      <c r="S3814">
        <v>3.0572050000000002</v>
      </c>
      <c r="T3814">
        <v>-0.1743864</v>
      </c>
      <c r="U3814">
        <v>-8.8226319999999997E-2</v>
      </c>
      <c r="V3814">
        <v>8.0511730000000004E-2</v>
      </c>
      <c r="W3814">
        <v>0.1564207</v>
      </c>
      <c r="X3814">
        <v>0.98440360000000005</v>
      </c>
      <c r="Y3814">
        <v>4.2888599999999999E-2</v>
      </c>
      <c r="Z3814">
        <v>-2.0279199999999999E-3</v>
      </c>
      <c r="AA3814">
        <v>0.99907780000000002</v>
      </c>
      <c r="AB3814">
        <v>50</v>
      </c>
      <c r="AC3814">
        <v>0.63399999999998602</v>
      </c>
      <c r="AD3814">
        <v>-6.4802999999999902E-2</v>
      </c>
      <c r="AE3814">
        <v>-4.0200000000027103E-2</v>
      </c>
      <c r="AF3814">
        <v>4.8656669842887301E-2</v>
      </c>
      <c r="AG3814">
        <v>-6.4802999999999902E-2</v>
      </c>
      <c r="AH3814">
        <v>0.62684528294720199</v>
      </c>
      <c r="AI3814">
        <v>95.884670136902201</v>
      </c>
      <c r="AJ3814">
        <v>85.561515590621894</v>
      </c>
      <c r="AK3814">
        <v>0.63206163392691195</v>
      </c>
      <c r="AL3814">
        <v>81.000798607482807</v>
      </c>
      <c r="AM3814">
        <v>85.324338768753506</v>
      </c>
      <c r="AN3814">
        <v>1.00000001087452</v>
      </c>
    </row>
    <row r="3815" spans="1:40" x14ac:dyDescent="0.25">
      <c r="A3815" t="str">
        <f>"20190312164103284"</f>
        <v>20190312164103284</v>
      </c>
      <c r="B3815" t="str">
        <f>"1552380063280080"</f>
        <v>1552380063280080</v>
      </c>
      <c r="C3815" t="s">
        <v>40</v>
      </c>
      <c r="D3815">
        <v>5.586544</v>
      </c>
      <c r="E3815">
        <v>0.49217349999999999</v>
      </c>
      <c r="F3815" t="s">
        <v>42</v>
      </c>
      <c r="G3815">
        <v>-246.93620000000001</v>
      </c>
      <c r="H3815">
        <v>1.0461720000000001</v>
      </c>
      <c r="I3815">
        <v>214.10849999999999</v>
      </c>
      <c r="J3815">
        <v>-247.53360000000001</v>
      </c>
      <c r="K3815">
        <v>1.1089150000000001</v>
      </c>
      <c r="L3815">
        <v>214.1472</v>
      </c>
      <c r="M3815">
        <v>0.99979850000000003</v>
      </c>
      <c r="N3815">
        <v>0</v>
      </c>
      <c r="O3815">
        <v>1.338171E-2</v>
      </c>
      <c r="P3815">
        <v>0.9876897</v>
      </c>
      <c r="Q3815">
        <v>0.14112479999999999</v>
      </c>
      <c r="R3815">
        <v>-6.7479570000000003E-2</v>
      </c>
      <c r="S3815">
        <v>3.0568080000000002</v>
      </c>
      <c r="T3815">
        <v>-0.17766019999999999</v>
      </c>
      <c r="U3815">
        <v>-9.1537480000000004E-2</v>
      </c>
      <c r="V3815">
        <v>8.1048880000000004E-2</v>
      </c>
      <c r="W3815">
        <v>0.1556958</v>
      </c>
      <c r="X3815">
        <v>0.98447439999999997</v>
      </c>
      <c r="Y3815">
        <v>4.321113E-2</v>
      </c>
      <c r="Z3815">
        <v>-2.0313829999999999E-3</v>
      </c>
      <c r="AA3815">
        <v>0.9990639</v>
      </c>
      <c r="AB3815">
        <v>50</v>
      </c>
      <c r="AC3815">
        <v>0.59739999999999305</v>
      </c>
      <c r="AD3815">
        <v>-6.2742999999999993E-2</v>
      </c>
      <c r="AE3815">
        <v>-3.8700000000005702E-2</v>
      </c>
      <c r="AF3815">
        <v>4.6184349394842499E-2</v>
      </c>
      <c r="AG3815">
        <v>-6.2742999999999993E-2</v>
      </c>
      <c r="AH3815">
        <v>0.59034391787499496</v>
      </c>
      <c r="AI3815">
        <v>96.048398493679599</v>
      </c>
      <c r="AJ3815">
        <v>85.526693125249096</v>
      </c>
      <c r="AK3815">
        <v>0.59546252573106895</v>
      </c>
      <c r="AL3815">
        <v>81.042847171889605</v>
      </c>
      <c r="AM3815">
        <v>85.293620825020099</v>
      </c>
      <c r="AN3815">
        <v>0.99999997367112603</v>
      </c>
    </row>
    <row r="3816" spans="1:40" x14ac:dyDescent="0.25">
      <c r="A3816" t="str">
        <f>"20190312164103306"</f>
        <v>20190312164103306</v>
      </c>
      <c r="B3816" t="str">
        <f>"1552380063299601"</f>
        <v>1552380063299601</v>
      </c>
      <c r="C3816" t="s">
        <v>40</v>
      </c>
      <c r="D3816">
        <v>5.4624129999999997</v>
      </c>
      <c r="E3816">
        <v>0.49246319999999999</v>
      </c>
      <c r="F3816" t="s">
        <v>42</v>
      </c>
      <c r="G3816">
        <v>-246.49039999999999</v>
      </c>
      <c r="H3816">
        <v>1.047887</v>
      </c>
      <c r="I3816">
        <v>214.11279999999999</v>
      </c>
      <c r="J3816">
        <v>-247.0386</v>
      </c>
      <c r="K3816">
        <v>1.108892</v>
      </c>
      <c r="L3816">
        <v>214.1533</v>
      </c>
      <c r="M3816">
        <v>0.99980860000000005</v>
      </c>
      <c r="N3816">
        <v>0</v>
      </c>
      <c r="O3816">
        <v>1.26017E-2</v>
      </c>
      <c r="P3816">
        <v>0.98764719999999995</v>
      </c>
      <c r="Q3816">
        <v>0.1408886</v>
      </c>
      <c r="R3816">
        <v>-6.8581249999999996E-2</v>
      </c>
      <c r="S3816">
        <v>3.0561219999999998</v>
      </c>
      <c r="T3816">
        <v>-0.17893979999999901</v>
      </c>
      <c r="U3816">
        <v>-0.1001129</v>
      </c>
      <c r="V3816">
        <v>8.1390509999999999E-2</v>
      </c>
      <c r="W3816">
        <v>0.15545419999999999</v>
      </c>
      <c r="X3816">
        <v>0.98448440000000004</v>
      </c>
      <c r="Y3816">
        <v>4.5235379999999999E-2</v>
      </c>
      <c r="Z3816">
        <v>-2.0599300000000002E-3</v>
      </c>
      <c r="AA3816">
        <v>0.99897420000000003</v>
      </c>
      <c r="AB3816">
        <v>50</v>
      </c>
      <c r="AC3816">
        <v>0.54820000000000801</v>
      </c>
      <c r="AD3816">
        <v>-6.10049999999999E-2</v>
      </c>
      <c r="AE3816">
        <v>-4.0500000000008599E-2</v>
      </c>
      <c r="AF3816">
        <v>4.6829037139451503E-2</v>
      </c>
      <c r="AG3816">
        <v>-6.10049999999999E-2</v>
      </c>
      <c r="AH3816">
        <v>0.54098299361769997</v>
      </c>
      <c r="AI3816">
        <v>96.410119529094302</v>
      </c>
      <c r="AJ3816">
        <v>85.052645707767397</v>
      </c>
      <c r="AK3816">
        <v>0.54642215193747101</v>
      </c>
      <c r="AL3816">
        <v>81.056860501933997</v>
      </c>
      <c r="AM3816">
        <v>85.273920379950994</v>
      </c>
      <c r="AN3816">
        <v>0.99999997862952905</v>
      </c>
    </row>
    <row r="3817" spans="1:40" x14ac:dyDescent="0.25">
      <c r="A3817" t="str">
        <f>"20190312164103328"</f>
        <v>20190312164103328</v>
      </c>
      <c r="B3817" t="str">
        <f>"1552380063320100"</f>
        <v>1552380063320100</v>
      </c>
      <c r="C3817" t="s">
        <v>40</v>
      </c>
      <c r="D3817">
        <v>5.5449710000000003</v>
      </c>
      <c r="E3817">
        <v>0.49275920000000001</v>
      </c>
      <c r="F3817" t="s">
        <v>42</v>
      </c>
      <c r="G3817">
        <v>-246.03659999999999</v>
      </c>
      <c r="H3817">
        <v>1.0501529999999999</v>
      </c>
      <c r="I3817">
        <v>214.11869999999999</v>
      </c>
      <c r="J3817">
        <v>-246.5574</v>
      </c>
      <c r="K3817">
        <v>1.108876</v>
      </c>
      <c r="L3817">
        <v>214.15889999999999</v>
      </c>
      <c r="M3817">
        <v>0.99981759999999997</v>
      </c>
      <c r="N3817">
        <v>0</v>
      </c>
      <c r="O3817">
        <v>1.1843930000000001E-2</v>
      </c>
      <c r="P3817">
        <v>0.98751469999999997</v>
      </c>
      <c r="Q3817">
        <v>0.14103019999999999</v>
      </c>
      <c r="R3817">
        <v>-7.0179030000000003E-2</v>
      </c>
      <c r="S3817">
        <v>3.0557400000000001</v>
      </c>
      <c r="T3817">
        <v>-0.1791568</v>
      </c>
      <c r="U3817">
        <v>-0.1055145</v>
      </c>
      <c r="V3817">
        <v>8.2247479999999998E-2</v>
      </c>
      <c r="W3817">
        <v>0.155607299999999</v>
      </c>
      <c r="X3817">
        <v>0.98438899999999996</v>
      </c>
      <c r="Y3817">
        <v>4.6245519999999998E-2</v>
      </c>
      <c r="Z3817">
        <v>-2.047817E-3</v>
      </c>
      <c r="AA3817">
        <v>0.99892800000000004</v>
      </c>
      <c r="AB3817">
        <v>50</v>
      </c>
      <c r="AC3817">
        <v>0.52080000000000803</v>
      </c>
      <c r="AD3817">
        <v>-5.8722999999999803E-2</v>
      </c>
      <c r="AE3817">
        <v>-4.0199999999998598E-2</v>
      </c>
      <c r="AF3817">
        <v>4.5787506707772402E-2</v>
      </c>
      <c r="AG3817">
        <v>-5.8722999999999803E-2</v>
      </c>
      <c r="AH3817">
        <v>0.51379371442273503</v>
      </c>
      <c r="AI3817">
        <v>96.494693638513596</v>
      </c>
      <c r="AJ3817">
        <v>84.907452464320798</v>
      </c>
      <c r="AK3817">
        <v>0.51916169685351898</v>
      </c>
      <c r="AL3817">
        <v>81.047980573695895</v>
      </c>
      <c r="AM3817">
        <v>85.223927228627204</v>
      </c>
      <c r="AN3817">
        <v>0.99999999155032004</v>
      </c>
    </row>
    <row r="3818" spans="1:40" x14ac:dyDescent="0.25">
      <c r="A3818" t="str">
        <f>"20190312164103350"</f>
        <v>20190312164103350</v>
      </c>
      <c r="B3818" t="str">
        <f>"1552380063339617"</f>
        <v>1552380063339617</v>
      </c>
      <c r="C3818" t="s">
        <v>40</v>
      </c>
      <c r="D3818">
        <v>5.7811640000000004</v>
      </c>
      <c r="E3818">
        <v>0.49301869999999998</v>
      </c>
      <c r="F3818" t="s">
        <v>48</v>
      </c>
      <c r="G3818">
        <v>-227.58949999999999</v>
      </c>
      <c r="H3818" s="1">
        <v>2.552602E-6</v>
      </c>
      <c r="I3818">
        <v>213.45830000000001</v>
      </c>
      <c r="J3818">
        <v>-246.0676</v>
      </c>
      <c r="K3818">
        <v>1.1088739999999999</v>
      </c>
      <c r="L3818">
        <v>214.16409999999999</v>
      </c>
      <c r="M3818">
        <v>0.99982570000000004</v>
      </c>
      <c r="N3818">
        <v>0</v>
      </c>
      <c r="O3818">
        <v>1.1073670000000001E-2</v>
      </c>
      <c r="P3818">
        <v>0.98745039999999995</v>
      </c>
      <c r="Q3818">
        <v>0.1410225</v>
      </c>
      <c r="R3818">
        <v>-7.1097519999999997E-2</v>
      </c>
      <c r="S3818">
        <v>3.0554350000000001</v>
      </c>
      <c r="T3818">
        <v>-0.1786227</v>
      </c>
      <c r="U3818">
        <v>-0.112854</v>
      </c>
      <c r="V3818">
        <v>8.2411880000000007E-2</v>
      </c>
      <c r="W3818">
        <v>0.15564359999999999</v>
      </c>
      <c r="X3818">
        <v>0.98436950000000001</v>
      </c>
      <c r="Y3818">
        <v>4.787491E-2</v>
      </c>
      <c r="Z3818">
        <v>-2.044428E-3</v>
      </c>
      <c r="AA3818">
        <v>0.99885119999999905</v>
      </c>
      <c r="AB3818">
        <v>50</v>
      </c>
      <c r="AC3818">
        <v>18.478100000000001</v>
      </c>
      <c r="AD3818">
        <v>-1.1088714473979999</v>
      </c>
      <c r="AE3818">
        <v>-0.705799999999982</v>
      </c>
      <c r="AF3818">
        <v>0.90713818516196698</v>
      </c>
      <c r="AG3818">
        <v>-1.1088714473979999</v>
      </c>
      <c r="AH3818">
        <v>18.402973759702</v>
      </c>
      <c r="AI3818">
        <v>93.444017454400793</v>
      </c>
      <c r="AJ3818">
        <v>87.178002049261707</v>
      </c>
      <c r="AK3818">
        <v>18.458654847363999</v>
      </c>
      <c r="AL3818">
        <v>81.0458749828409</v>
      </c>
      <c r="AM3818">
        <v>85.214330531260202</v>
      </c>
      <c r="AN3818">
        <v>0.99999998035817195</v>
      </c>
    </row>
    <row r="3819" spans="1:40" x14ac:dyDescent="0.25">
      <c r="A3819" t="str">
        <f>"20190312164103373"</f>
        <v>20190312164103373</v>
      </c>
      <c r="B3819" t="str">
        <f>"1552380063360113"</f>
        <v>1552380063360113</v>
      </c>
      <c r="C3819" t="s">
        <v>40</v>
      </c>
      <c r="D3819">
        <v>5.543647</v>
      </c>
      <c r="E3819">
        <v>0.49328329999999998</v>
      </c>
      <c r="F3819" t="s">
        <v>48</v>
      </c>
      <c r="G3819">
        <v>-227.0754</v>
      </c>
      <c r="H3819" s="1">
        <v>2.280093E-6</v>
      </c>
      <c r="I3819">
        <v>213.43340000000001</v>
      </c>
      <c r="J3819">
        <v>-245.5615</v>
      </c>
      <c r="K3819">
        <v>1.1088849999999999</v>
      </c>
      <c r="L3819">
        <v>214.16919999999999</v>
      </c>
      <c r="M3819">
        <v>0.99983279999999997</v>
      </c>
      <c r="N3819">
        <v>0</v>
      </c>
      <c r="O3819">
        <v>1.028017E-2</v>
      </c>
      <c r="P3819">
        <v>0.98732960000000003</v>
      </c>
      <c r="Q3819">
        <v>0.14119029999999999</v>
      </c>
      <c r="R3819">
        <v>-7.2427790000000006E-2</v>
      </c>
      <c r="S3819">
        <v>3.055161</v>
      </c>
      <c r="T3819">
        <v>-0.1783777</v>
      </c>
      <c r="U3819">
        <v>-0.1175537</v>
      </c>
      <c r="V3819">
        <v>8.2964019999999999E-2</v>
      </c>
      <c r="W3819">
        <v>0.15589459999999999</v>
      </c>
      <c r="X3819">
        <v>0.98428340000000003</v>
      </c>
      <c r="Y3819">
        <v>4.8620190000000001E-2</v>
      </c>
      <c r="Z3819">
        <v>-2.0172050000000002E-3</v>
      </c>
      <c r="AA3819">
        <v>0.99881529999999996</v>
      </c>
      <c r="AB3819">
        <v>50</v>
      </c>
      <c r="AC3819">
        <v>18.4861</v>
      </c>
      <c r="AD3819">
        <v>-1.1088827199069999</v>
      </c>
      <c r="AE3819">
        <v>-0.73579999999998302</v>
      </c>
      <c r="AF3819">
        <v>0.92250900837604</v>
      </c>
      <c r="AG3819">
        <v>-1.1088827199069999</v>
      </c>
      <c r="AH3819">
        <v>18.411415457298698</v>
      </c>
      <c r="AI3819">
        <v>93.442338781528903</v>
      </c>
      <c r="AJ3819">
        <v>87.131578115730093</v>
      </c>
      <c r="AK3819">
        <v>18.467833194457398</v>
      </c>
      <c r="AL3819">
        <v>81.0313160537615</v>
      </c>
      <c r="AM3819">
        <v>85.181998659114797</v>
      </c>
      <c r="AN3819">
        <v>0.99999998321964001</v>
      </c>
    </row>
    <row r="3820" spans="1:40" x14ac:dyDescent="0.25">
      <c r="A3820" t="str">
        <f>"20190312164103396"</f>
        <v>20190312164103396</v>
      </c>
      <c r="B3820" t="str">
        <f>"1552380063390372"</f>
        <v>1552380063390372</v>
      </c>
      <c r="C3820" t="s">
        <v>40</v>
      </c>
      <c r="D3820">
        <v>5.4356419999999996</v>
      </c>
      <c r="E3820">
        <v>0.49365140000000002</v>
      </c>
      <c r="F3820" t="s">
        <v>48</v>
      </c>
      <c r="G3820">
        <v>-226.54079999999999</v>
      </c>
      <c r="H3820" s="1">
        <v>1.9973100000000002E-6</v>
      </c>
      <c r="I3820">
        <v>213.39500000000001</v>
      </c>
      <c r="J3820">
        <v>-245.0573</v>
      </c>
      <c r="K3820">
        <v>1.1089070000000001</v>
      </c>
      <c r="L3820">
        <v>214.1738</v>
      </c>
      <c r="M3820">
        <v>0.99983849999999996</v>
      </c>
      <c r="N3820">
        <v>0</v>
      </c>
      <c r="O3820">
        <v>9.493886E-3</v>
      </c>
      <c r="P3820">
        <v>0.98703160000000001</v>
      </c>
      <c r="Q3820">
        <v>0.14252999999999999</v>
      </c>
      <c r="R3820">
        <v>-7.3851340000000001E-2</v>
      </c>
      <c r="S3820">
        <v>3.0548250000000001</v>
      </c>
      <c r="T3820">
        <v>-0.1780931</v>
      </c>
      <c r="U3820">
        <v>-0.12434389999999899</v>
      </c>
      <c r="V3820">
        <v>8.3616640000000006E-2</v>
      </c>
      <c r="W3820">
        <v>0.15736069999999999</v>
      </c>
      <c r="X3820">
        <v>0.98399479999999995</v>
      </c>
      <c r="Y3820">
        <v>5.0054769999999998E-2</v>
      </c>
      <c r="Z3820">
        <v>-2.0101009999999998E-3</v>
      </c>
      <c r="AA3820">
        <v>0.99874439999999998</v>
      </c>
      <c r="AB3820">
        <v>50</v>
      </c>
      <c r="AC3820">
        <v>18.516500000000001</v>
      </c>
      <c r="AD3820">
        <v>-1.10890500268999</v>
      </c>
      <c r="AE3820">
        <v>-0.77879999999998895</v>
      </c>
      <c r="AF3820">
        <v>0.95117354234279095</v>
      </c>
      <c r="AG3820">
        <v>-1.10890500268999</v>
      </c>
      <c r="AH3820">
        <v>18.442244290834999</v>
      </c>
      <c r="AI3820">
        <v>93.436411470404295</v>
      </c>
      <c r="AJ3820">
        <v>87.047540268613602</v>
      </c>
      <c r="AK3820">
        <v>18.500020970136202</v>
      </c>
      <c r="AL3820">
        <v>80.946264669108601</v>
      </c>
      <c r="AM3820">
        <v>85.142861974256803</v>
      </c>
      <c r="AN3820">
        <v>0.99999994940820802</v>
      </c>
    </row>
    <row r="3821" spans="1:40" x14ac:dyDescent="0.25">
      <c r="A3821" t="str">
        <f>"20190312164103417"</f>
        <v>20190312164103417</v>
      </c>
      <c r="B3821" t="str">
        <f>"1552380063409892"</f>
        <v>1552380063409892</v>
      </c>
      <c r="C3821" t="s">
        <v>40</v>
      </c>
      <c r="D3821">
        <v>5.5504899999999999</v>
      </c>
      <c r="E3821">
        <v>0.51442979999999905</v>
      </c>
      <c r="F3821" t="s">
        <v>48</v>
      </c>
      <c r="G3821">
        <v>-225.55420000000001</v>
      </c>
      <c r="H3821" s="1">
        <v>1.474866E-6</v>
      </c>
      <c r="I3821">
        <v>213.33609999999999</v>
      </c>
      <c r="J3821">
        <v>-244.57499999999999</v>
      </c>
      <c r="K3821">
        <v>1.108943</v>
      </c>
      <c r="L3821">
        <v>214.17789999999999</v>
      </c>
      <c r="M3821">
        <v>0.99984269999999997</v>
      </c>
      <c r="N3821">
        <v>0</v>
      </c>
      <c r="O3821">
        <v>8.744936E-3</v>
      </c>
      <c r="P3821">
        <v>0.98669799999999996</v>
      </c>
      <c r="Q3821">
        <v>0.1439184</v>
      </c>
      <c r="R3821">
        <v>-7.5598250000000006E-2</v>
      </c>
      <c r="S3821">
        <v>3.0546570000000002</v>
      </c>
      <c r="T3821">
        <v>-0.17368149999999999</v>
      </c>
      <c r="U3821">
        <v>-0.131210299999999</v>
      </c>
      <c r="V3821">
        <v>8.4628399999999895E-2</v>
      </c>
      <c r="W3821">
        <v>0.15891159999999999</v>
      </c>
      <c r="X3821">
        <v>0.98365899999999995</v>
      </c>
      <c r="Y3821">
        <v>5.1553689999999999E-2</v>
      </c>
      <c r="Z3821">
        <v>-1.9604290000000001E-3</v>
      </c>
      <c r="AA3821">
        <v>0.99866829999999995</v>
      </c>
      <c r="AB3821">
        <v>49</v>
      </c>
      <c r="AC3821">
        <v>19.020799999999898</v>
      </c>
      <c r="AD3821">
        <v>-1.108941525134</v>
      </c>
      <c r="AE3821">
        <v>-0.84180000000000599</v>
      </c>
      <c r="AF3821">
        <v>1.0047148711465399</v>
      </c>
      <c r="AG3821">
        <v>-1.108941525134</v>
      </c>
      <c r="AH3821">
        <v>18.948429075565802</v>
      </c>
      <c r="AI3821">
        <v>93.344680997664298</v>
      </c>
      <c r="AJ3821">
        <v>86.964810997274</v>
      </c>
      <c r="AK3821">
        <v>19.007424015637099</v>
      </c>
      <c r="AL3821">
        <v>80.8562722484494</v>
      </c>
      <c r="AM3821">
        <v>85.082707082339098</v>
      </c>
      <c r="AN3821">
        <v>0.99999994549105797</v>
      </c>
    </row>
    <row r="3822" spans="1:40" x14ac:dyDescent="0.25">
      <c r="A3822" t="str">
        <f>"20190312164103441"</f>
        <v>20190312164103441</v>
      </c>
      <c r="B3822" t="str">
        <f>"1552380063430385"</f>
        <v>1552380063430385</v>
      </c>
      <c r="C3822" t="s">
        <v>40</v>
      </c>
      <c r="D3822">
        <v>5.5560600000000004</v>
      </c>
      <c r="E3822">
        <v>0.5146326</v>
      </c>
      <c r="F3822" t="s">
        <v>42</v>
      </c>
      <c r="G3822">
        <v>-243.83320000000001</v>
      </c>
      <c r="H3822">
        <v>1.049636</v>
      </c>
      <c r="I3822">
        <v>214.1054</v>
      </c>
      <c r="J3822">
        <v>-244.0804</v>
      </c>
      <c r="K3822">
        <v>1.108986</v>
      </c>
      <c r="L3822">
        <v>214.1816</v>
      </c>
      <c r="M3822">
        <v>0.9998456</v>
      </c>
      <c r="N3822">
        <v>0</v>
      </c>
      <c r="O3822">
        <v>7.9809849999999995E-3</v>
      </c>
      <c r="P3822">
        <v>0.98649299999999995</v>
      </c>
      <c r="Q3822">
        <v>0.14485190000000001</v>
      </c>
      <c r="R3822">
        <v>-7.6484449999999995E-2</v>
      </c>
      <c r="S3822">
        <v>3.0533290000000002</v>
      </c>
      <c r="T3822">
        <v>-0.24433920000000001</v>
      </c>
      <c r="U3822">
        <v>-0.29695129999999997</v>
      </c>
      <c r="V3822">
        <v>8.4764439999999996E-2</v>
      </c>
      <c r="W3822">
        <v>0.160067299999999</v>
      </c>
      <c r="X3822">
        <v>0.98345990000000005</v>
      </c>
      <c r="Y3822">
        <v>0.1043837</v>
      </c>
      <c r="Z3822">
        <v>-4.7964519999999997E-3</v>
      </c>
      <c r="AA3822">
        <v>0.99452560000000001</v>
      </c>
      <c r="AB3822">
        <v>49</v>
      </c>
      <c r="AC3822">
        <v>0.24719999999999201</v>
      </c>
      <c r="AD3822">
        <v>-5.935E-2</v>
      </c>
      <c r="AE3822">
        <v>-7.6200000000000004E-2</v>
      </c>
      <c r="AF3822">
        <v>7.4261526278504505E-2</v>
      </c>
      <c r="AG3822">
        <v>-5.935E-2</v>
      </c>
      <c r="AH3822">
        <v>0.23425264826009501</v>
      </c>
      <c r="AI3822">
        <v>103.57770279154001</v>
      </c>
      <c r="AJ3822">
        <v>72.410621073325203</v>
      </c>
      <c r="AK3822">
        <v>0.25280723882452599</v>
      </c>
      <c r="AL3822">
        <v>80.789197080856994</v>
      </c>
      <c r="AM3822">
        <v>85.073849207958702</v>
      </c>
      <c r="AN3822">
        <v>0.99999996286290604</v>
      </c>
    </row>
    <row r="3823" spans="1:40" x14ac:dyDescent="0.25">
      <c r="A3823" t="str">
        <f>"20190312164103463"</f>
        <v>20190312164103463</v>
      </c>
      <c r="B3823" t="str">
        <f>"1552380063449905"</f>
        <v>1552380063449905</v>
      </c>
      <c r="C3823" t="s">
        <v>40</v>
      </c>
      <c r="D3823">
        <v>5.7659070000000003</v>
      </c>
      <c r="E3823">
        <v>0.51452089999999995</v>
      </c>
      <c r="F3823" t="s">
        <v>42</v>
      </c>
      <c r="G3823">
        <v>-242.97229999999999</v>
      </c>
      <c r="H3823">
        <v>1.0168410000000001</v>
      </c>
      <c r="I3823">
        <v>214.07210000000001</v>
      </c>
      <c r="J3823">
        <v>-243.5909</v>
      </c>
      <c r="K3823">
        <v>1.1090310000000001</v>
      </c>
      <c r="L3823">
        <v>214.1849</v>
      </c>
      <c r="M3823">
        <v>0.99984689999999998</v>
      </c>
      <c r="N3823">
        <v>0</v>
      </c>
      <c r="O3823">
        <v>7.2263249999999996E-3</v>
      </c>
      <c r="P3823">
        <v>0.98637189999999997</v>
      </c>
      <c r="Q3823">
        <v>0.14514879999999999</v>
      </c>
      <c r="R3823">
        <v>-7.7476950000000003E-2</v>
      </c>
      <c r="S3823">
        <v>3.0550380000000001</v>
      </c>
      <c r="T3823">
        <v>-0.2541195</v>
      </c>
      <c r="U3823">
        <v>-0.30126950000000002</v>
      </c>
      <c r="V3823">
        <v>8.5013749999999999E-2</v>
      </c>
      <c r="W3823">
        <v>0.160624499999999</v>
      </c>
      <c r="X3823">
        <v>0.98334750000000004</v>
      </c>
      <c r="Y3823">
        <v>0.104944</v>
      </c>
      <c r="Z3823">
        <v>-4.9453689999999998E-3</v>
      </c>
      <c r="AA3823">
        <v>0.99446579999999996</v>
      </c>
      <c r="AB3823">
        <v>49</v>
      </c>
      <c r="AC3823">
        <v>0.61860000000001403</v>
      </c>
      <c r="AD3823">
        <v>-9.2189999999999994E-2</v>
      </c>
      <c r="AE3823">
        <v>-0.112799999999992</v>
      </c>
      <c r="AF3823">
        <v>0.114800169924949</v>
      </c>
      <c r="AG3823">
        <v>-9.2189999999999994E-2</v>
      </c>
      <c r="AH3823">
        <v>0.60476896105642597</v>
      </c>
      <c r="AI3823">
        <v>98.517540850587906</v>
      </c>
      <c r="AJ3823">
        <v>79.251719600547005</v>
      </c>
      <c r="AK3823">
        <v>0.62243358792088499</v>
      </c>
      <c r="AL3823">
        <v>80.756853128160103</v>
      </c>
      <c r="AM3823">
        <v>85.058870046661696</v>
      </c>
      <c r="AN3823">
        <v>0.99999993672277898</v>
      </c>
    </row>
    <row r="3824" spans="1:40" x14ac:dyDescent="0.25">
      <c r="A3824" t="str">
        <f>"20190312164103485"</f>
        <v>20190312164103485</v>
      </c>
      <c r="B3824" t="str">
        <f>"1552380063480160"</f>
        <v>1552380063480160</v>
      </c>
      <c r="C3824" t="s">
        <v>40</v>
      </c>
      <c r="D3824">
        <v>5.5616940000000001</v>
      </c>
      <c r="E3824">
        <v>0.51451780000000003</v>
      </c>
      <c r="F3824" t="s">
        <v>42</v>
      </c>
      <c r="G3824">
        <v>-242.53229999999999</v>
      </c>
      <c r="H3824">
        <v>1.0200800000000001</v>
      </c>
      <c r="I3824">
        <v>214.0796</v>
      </c>
      <c r="J3824">
        <v>-243.09530000000001</v>
      </c>
      <c r="K3824">
        <v>1.109083</v>
      </c>
      <c r="L3824">
        <v>214.18790000000001</v>
      </c>
      <c r="M3824">
        <v>0.99984770000000001</v>
      </c>
      <c r="N3824">
        <v>0</v>
      </c>
      <c r="O3824">
        <v>6.4604969999999999E-3</v>
      </c>
      <c r="P3824">
        <v>0.98634520000000003</v>
      </c>
      <c r="Q3824">
        <v>0.14471989999999901</v>
      </c>
      <c r="R3824">
        <v>-7.8611899999999901E-2</v>
      </c>
      <c r="S3824">
        <v>3.0553889999999999</v>
      </c>
      <c r="T3824">
        <v>-0.25678590000000001</v>
      </c>
      <c r="U3824">
        <v>-0.30364989999999997</v>
      </c>
      <c r="V3824">
        <v>8.5392739999999995E-2</v>
      </c>
      <c r="W3824">
        <v>0.16047349999999999</v>
      </c>
      <c r="X3824">
        <v>0.98333939999999997</v>
      </c>
      <c r="Y3824">
        <v>0.1049332</v>
      </c>
      <c r="Z3824">
        <v>-4.931759E-3</v>
      </c>
      <c r="AA3824">
        <v>0.99446699999999999</v>
      </c>
      <c r="AB3824">
        <v>49</v>
      </c>
      <c r="AC3824">
        <v>0.56300000000001604</v>
      </c>
      <c r="AD3824">
        <v>-8.9003000000000096E-2</v>
      </c>
      <c r="AE3824">
        <v>-0.108300000000014</v>
      </c>
      <c r="AF3824">
        <v>0.109301343122284</v>
      </c>
      <c r="AG3824">
        <v>-8.9003000000000096E-2</v>
      </c>
      <c r="AH3824">
        <v>0.54905636750254905</v>
      </c>
      <c r="AI3824">
        <v>99.0334066800269</v>
      </c>
      <c r="AJ3824">
        <v>78.741242862096399</v>
      </c>
      <c r="AK3824">
        <v>0.56686084034128603</v>
      </c>
      <c r="AL3824">
        <v>80.765619271923697</v>
      </c>
      <c r="AM3824">
        <v>85.036911665392594</v>
      </c>
      <c r="AN3824">
        <v>1.0000000199196499</v>
      </c>
    </row>
    <row r="3825" spans="1:40" x14ac:dyDescent="0.25">
      <c r="A3825" t="str">
        <f>"20190312164103507"</f>
        <v>20190312164103507</v>
      </c>
      <c r="B3825" t="str">
        <f>"1552380063499681"</f>
        <v>1552380063499681</v>
      </c>
      <c r="C3825" t="s">
        <v>40</v>
      </c>
      <c r="D3825">
        <v>5.5554040000000002</v>
      </c>
      <c r="E3825">
        <v>0.51391049999999905</v>
      </c>
      <c r="F3825" t="s">
        <v>42</v>
      </c>
      <c r="G3825">
        <v>-242.0864</v>
      </c>
      <c r="H3825">
        <v>1.0368949999999999</v>
      </c>
      <c r="I3825">
        <v>214.08529999999999</v>
      </c>
      <c r="J3825">
        <v>-242.6147</v>
      </c>
      <c r="K3825">
        <v>1.109129</v>
      </c>
      <c r="L3825">
        <v>214.19040000000001</v>
      </c>
      <c r="M3825">
        <v>0.99984790000000001</v>
      </c>
      <c r="N3825">
        <v>0</v>
      </c>
      <c r="O3825">
        <v>5.716184E-3</v>
      </c>
      <c r="P3825">
        <v>0.98628179999999999</v>
      </c>
      <c r="Q3825">
        <v>0.144343</v>
      </c>
      <c r="R3825">
        <v>-8.0084699999999995E-2</v>
      </c>
      <c r="S3825">
        <v>3.0489199999999999</v>
      </c>
      <c r="T3825">
        <v>-0.2182702</v>
      </c>
      <c r="U3825">
        <v>-0.30934139999999999</v>
      </c>
      <c r="V3825">
        <v>8.6130499999999999E-2</v>
      </c>
      <c r="W3825">
        <v>0.16036049999999999</v>
      </c>
      <c r="X3825">
        <v>0.98329350000000004</v>
      </c>
      <c r="Y3825">
        <v>0.1063434</v>
      </c>
      <c r="Z3825">
        <v>-4.1996999999999998E-3</v>
      </c>
      <c r="AA3825">
        <v>0.9943206</v>
      </c>
      <c r="AB3825">
        <v>49</v>
      </c>
      <c r="AC3825">
        <v>0.52830000000000099</v>
      </c>
      <c r="AD3825">
        <v>-7.2233999999999896E-2</v>
      </c>
      <c r="AE3825">
        <v>-0.105100000000021</v>
      </c>
      <c r="AF3825">
        <v>0.10620858914680401</v>
      </c>
      <c r="AG3825">
        <v>-7.2233999999999896E-2</v>
      </c>
      <c r="AH3825">
        <v>0.51836862134817396</v>
      </c>
      <c r="AI3825">
        <v>97.773554612021002</v>
      </c>
      <c r="AJ3825">
        <v>78.420917770614395</v>
      </c>
      <c r="AK3825">
        <v>0.534044981965903</v>
      </c>
      <c r="AL3825">
        <v>80.772178737561106</v>
      </c>
      <c r="AM3825">
        <v>84.994016973888293</v>
      </c>
      <c r="AN3825">
        <v>1.0000000300663701</v>
      </c>
    </row>
    <row r="3826" spans="1:40" x14ac:dyDescent="0.25">
      <c r="A3826" t="str">
        <f>"20190312164103529"</f>
        <v>20190312164103529</v>
      </c>
      <c r="B3826" t="str">
        <f>"1552380063520177"</f>
        <v>1552380063520177</v>
      </c>
      <c r="C3826" t="s">
        <v>40</v>
      </c>
      <c r="D3826">
        <v>5.5529120000000001</v>
      </c>
      <c r="E3826">
        <v>0.51351449999999998</v>
      </c>
      <c r="F3826" t="s">
        <v>42</v>
      </c>
      <c r="G3826">
        <v>-241.64400000000001</v>
      </c>
      <c r="H3826">
        <v>1.0435299999999901</v>
      </c>
      <c r="I3826">
        <v>214.09139999999999</v>
      </c>
      <c r="J3826">
        <v>-242.12960000000001</v>
      </c>
      <c r="K3826">
        <v>1.10917</v>
      </c>
      <c r="L3826">
        <v>214.1925</v>
      </c>
      <c r="M3826">
        <v>0.9998475</v>
      </c>
      <c r="N3826">
        <v>0</v>
      </c>
      <c r="O3826">
        <v>4.9634040000000003E-3</v>
      </c>
      <c r="P3826">
        <v>0.98617189999999999</v>
      </c>
      <c r="Q3826">
        <v>0.1444732</v>
      </c>
      <c r="R3826">
        <v>-8.119664E-2</v>
      </c>
      <c r="S3826">
        <v>3.0466920000000002</v>
      </c>
      <c r="T3826">
        <v>-0.2059569</v>
      </c>
      <c r="U3826">
        <v>-0.30999759999999998</v>
      </c>
      <c r="V3826">
        <v>8.6499380000000001E-2</v>
      </c>
      <c r="W3826">
        <v>0.160748799999999</v>
      </c>
      <c r="X3826">
        <v>0.98319769999999895</v>
      </c>
      <c r="Y3826">
        <v>0.1059131</v>
      </c>
      <c r="Z3826">
        <v>-3.9009689999999998E-3</v>
      </c>
      <c r="AA3826">
        <v>0.99436769999999997</v>
      </c>
      <c r="AB3826">
        <v>49</v>
      </c>
      <c r="AC3826">
        <v>0.48560000000000503</v>
      </c>
      <c r="AD3826">
        <v>-6.5640000000000101E-2</v>
      </c>
      <c r="AE3826">
        <v>-0.10110000000000199</v>
      </c>
      <c r="AF3826">
        <v>0.10172779897300201</v>
      </c>
      <c r="AG3826">
        <v>-6.5640000000000101E-2</v>
      </c>
      <c r="AH3826">
        <v>0.47674311609550202</v>
      </c>
      <c r="AI3826">
        <v>97.668913767869896</v>
      </c>
      <c r="AJ3826">
        <v>77.954826908508494</v>
      </c>
      <c r="AK3826">
        <v>0.49187514007961503</v>
      </c>
      <c r="AL3826">
        <v>80.749638260431595</v>
      </c>
      <c r="AM3826">
        <v>84.972199635083797</v>
      </c>
      <c r="AN3826">
        <v>1.00000001836355</v>
      </c>
    </row>
    <row r="3827" spans="1:40" x14ac:dyDescent="0.25">
      <c r="A3827" t="str">
        <f>"20190312164103551"</f>
        <v>20190312164103551</v>
      </c>
      <c r="B3827" t="str">
        <f>"1552380063539697"</f>
        <v>1552380063539697</v>
      </c>
      <c r="C3827" t="s">
        <v>40</v>
      </c>
      <c r="D3827">
        <v>5.4732830000000003</v>
      </c>
      <c r="E3827">
        <v>0.51350039999999997</v>
      </c>
      <c r="F3827" t="s">
        <v>48</v>
      </c>
      <c r="G3827">
        <v>-225.01679999999999</v>
      </c>
      <c r="H3827" s="1">
        <v>1.2280210000000001E-6</v>
      </c>
      <c r="I3827">
        <v>212.44040000000001</v>
      </c>
      <c r="J3827">
        <v>-241.65219999999999</v>
      </c>
      <c r="K3827">
        <v>1.1092040000000001</v>
      </c>
      <c r="L3827">
        <v>214.1943</v>
      </c>
      <c r="M3827">
        <v>0.99984669999999998</v>
      </c>
      <c r="N3827">
        <v>0</v>
      </c>
      <c r="O3827">
        <v>4.221476E-3</v>
      </c>
      <c r="P3827">
        <v>0.98582760000000003</v>
      </c>
      <c r="Q3827">
        <v>0.14565910000000001</v>
      </c>
      <c r="R3827">
        <v>-8.3233219999999997E-2</v>
      </c>
      <c r="S3827">
        <v>3.045334</v>
      </c>
      <c r="T3827">
        <v>-0.19738420000000001</v>
      </c>
      <c r="U3827">
        <v>-0.31179810000000002</v>
      </c>
      <c r="V3827">
        <v>8.7804629999999995E-2</v>
      </c>
      <c r="W3827">
        <v>0.16217039999999999</v>
      </c>
      <c r="X3827">
        <v>0.98284850000000001</v>
      </c>
      <c r="Y3827">
        <v>0.10582370000000001</v>
      </c>
      <c r="Z3827">
        <v>-3.6896730000000001E-3</v>
      </c>
      <c r="AA3827">
        <v>0.99437799999999998</v>
      </c>
      <c r="AB3827">
        <v>49</v>
      </c>
      <c r="AC3827">
        <v>16.635400000000001</v>
      </c>
      <c r="AD3827">
        <v>-1.1092027719790001</v>
      </c>
      <c r="AE3827">
        <v>-1.75389999999998</v>
      </c>
      <c r="AF3827">
        <v>1.8161349418308199</v>
      </c>
      <c r="AG3827">
        <v>-1.1092027719790001</v>
      </c>
      <c r="AH3827">
        <v>16.5550543719263</v>
      </c>
      <c r="AI3827">
        <v>93.810345528308503</v>
      </c>
      <c r="AJ3827">
        <v>83.739529778744</v>
      </c>
      <c r="AK3827">
        <v>16.691270238473201</v>
      </c>
      <c r="AL3827">
        <v>80.667103800519399</v>
      </c>
      <c r="AM3827">
        <v>84.894925701943194</v>
      </c>
      <c r="AN3827">
        <v>1.00000003281892</v>
      </c>
    </row>
    <row r="3828" spans="1:40" x14ac:dyDescent="0.25">
      <c r="A3828" t="str">
        <f>"20190312164103574"</f>
        <v>20190312164103574</v>
      </c>
      <c r="B3828" t="str">
        <f>"1552380063569953"</f>
        <v>1552380063569953</v>
      </c>
      <c r="C3828" t="s">
        <v>40</v>
      </c>
      <c r="D3828">
        <v>5.4759070000000003</v>
      </c>
      <c r="E3828">
        <v>0.51385459999999905</v>
      </c>
      <c r="F3828" t="s">
        <v>48</v>
      </c>
      <c r="G3828">
        <v>-224.76349999999999</v>
      </c>
      <c r="H3828" s="1">
        <v>1.0934589999999999E-6</v>
      </c>
      <c r="I3828">
        <v>212.43510000000001</v>
      </c>
      <c r="J3828">
        <v>-241.15770000000001</v>
      </c>
      <c r="K3828">
        <v>1.10924</v>
      </c>
      <c r="L3828">
        <v>214.19569999999999</v>
      </c>
      <c r="M3828">
        <v>0.9998454</v>
      </c>
      <c r="N3828">
        <v>0</v>
      </c>
      <c r="O3828">
        <v>3.45736E-3</v>
      </c>
      <c r="P3828">
        <v>0.98562399999999994</v>
      </c>
      <c r="Q3828">
        <v>0.14578569999999999</v>
      </c>
      <c r="R3828">
        <v>-8.5394250000000005E-2</v>
      </c>
      <c r="S3828">
        <v>3.0459139999999998</v>
      </c>
      <c r="T3828">
        <v>-0.200047</v>
      </c>
      <c r="U3828">
        <v>-0.317276</v>
      </c>
      <c r="V3828">
        <v>8.9209469999999999E-2</v>
      </c>
      <c r="W3828">
        <v>0.16252520000000001</v>
      </c>
      <c r="X3828">
        <v>0.98266330000000002</v>
      </c>
      <c r="Y3828">
        <v>0.1068076</v>
      </c>
      <c r="Z3828">
        <v>-3.7204719999999998E-3</v>
      </c>
      <c r="AA3828">
        <v>0.99427279999999996</v>
      </c>
      <c r="AB3828">
        <v>49</v>
      </c>
      <c r="AC3828">
        <v>16.394200000000001</v>
      </c>
      <c r="AD3828">
        <v>-1.109238906541</v>
      </c>
      <c r="AE3828">
        <v>-1.76059999999998</v>
      </c>
      <c r="AF3828">
        <v>1.8090910733738801</v>
      </c>
      <c r="AG3828">
        <v>-1.109238906541</v>
      </c>
      <c r="AH3828">
        <v>16.3141803014666</v>
      </c>
      <c r="AI3828">
        <v>93.866061339398996</v>
      </c>
      <c r="AJ3828">
        <v>83.672282481223704</v>
      </c>
      <c r="AK3828">
        <v>16.451616953123601</v>
      </c>
      <c r="AL3828">
        <v>80.646501312295797</v>
      </c>
      <c r="AM3828">
        <v>84.812716329791201</v>
      </c>
      <c r="AN3828">
        <v>0.99999996566980498</v>
      </c>
    </row>
    <row r="3829" spans="1:40" x14ac:dyDescent="0.25">
      <c r="A3829" t="str">
        <f>"20190312164103597"</f>
        <v>20190312164103597</v>
      </c>
      <c r="B3829" t="str">
        <f>"1552380063590449"</f>
        <v>1552380063590449</v>
      </c>
      <c r="C3829" t="s">
        <v>40</v>
      </c>
      <c r="D3829">
        <v>5.5329480000000002</v>
      </c>
      <c r="E3829">
        <v>0.51394810000000002</v>
      </c>
      <c r="F3829" t="s">
        <v>48</v>
      </c>
      <c r="G3829">
        <v>-224.852</v>
      </c>
      <c r="H3829" s="1">
        <v>1.1397779999999999E-6</v>
      </c>
      <c r="I3829">
        <v>212.45240000000001</v>
      </c>
      <c r="J3829">
        <v>-240.66759999999999</v>
      </c>
      <c r="K3829">
        <v>1.1092740000000001</v>
      </c>
      <c r="L3829">
        <v>214.1968</v>
      </c>
      <c r="M3829">
        <v>0.99984410000000001</v>
      </c>
      <c r="N3829">
        <v>0</v>
      </c>
      <c r="O3829">
        <v>2.7174920000000002E-3</v>
      </c>
      <c r="P3829">
        <v>0.98555899999999996</v>
      </c>
      <c r="Q3829">
        <v>0.14534739999999999</v>
      </c>
      <c r="R3829">
        <v>-8.6877499999999996E-2</v>
      </c>
      <c r="S3829">
        <v>3.0461879999999999</v>
      </c>
      <c r="T3829">
        <v>-0.20722460000000001</v>
      </c>
      <c r="U3829">
        <v>-0.32568360000000002</v>
      </c>
      <c r="V3829">
        <v>8.9956209999999995E-2</v>
      </c>
      <c r="W3829">
        <v>0.162297</v>
      </c>
      <c r="X3829">
        <v>0.98263299999999998</v>
      </c>
      <c r="Y3829">
        <v>0.10875659999999999</v>
      </c>
      <c r="Z3829">
        <v>-3.8686509999999999E-3</v>
      </c>
      <c r="AA3829">
        <v>0.99406090000000003</v>
      </c>
      <c r="AB3829">
        <v>49</v>
      </c>
      <c r="AC3829">
        <v>15.8155999999999</v>
      </c>
      <c r="AD3829">
        <v>-1.1092728602219999</v>
      </c>
      <c r="AE3829">
        <v>-1.74439999999998</v>
      </c>
      <c r="AF3829">
        <v>1.7787338664517001</v>
      </c>
      <c r="AG3829">
        <v>-1.1092728602219999</v>
      </c>
      <c r="AH3829">
        <v>15.734328509874899</v>
      </c>
      <c r="AI3829">
        <v>94.007249161961496</v>
      </c>
      <c r="AJ3829">
        <v>83.550211296935103</v>
      </c>
      <c r="AK3829">
        <v>15.873357367071099</v>
      </c>
      <c r="AL3829">
        <v>80.659752691100294</v>
      </c>
      <c r="AM3829">
        <v>84.769374920557098</v>
      </c>
      <c r="AN3829">
        <v>1.00000002430778</v>
      </c>
    </row>
    <row r="3830" spans="1:40" x14ac:dyDescent="0.25">
      <c r="A3830" t="str">
        <f>"20190312164103619"</f>
        <v>20190312164103619</v>
      </c>
      <c r="B3830" t="str">
        <f>"1552380063609972"</f>
        <v>1552380063609972</v>
      </c>
      <c r="C3830" t="s">
        <v>40</v>
      </c>
      <c r="D3830">
        <v>5.605048</v>
      </c>
      <c r="E3830">
        <v>0.51360150000000004</v>
      </c>
      <c r="F3830" t="s">
        <v>48</v>
      </c>
      <c r="G3830">
        <v>-224.82650000000001</v>
      </c>
      <c r="H3830" s="1">
        <v>1.1250579999999999E-6</v>
      </c>
      <c r="I3830">
        <v>212.4785</v>
      </c>
      <c r="J3830">
        <v>-240.1944</v>
      </c>
      <c r="K3830">
        <v>1.1093139999999999</v>
      </c>
      <c r="L3830">
        <v>214.19749999999999</v>
      </c>
      <c r="M3830">
        <v>0.99984260000000003</v>
      </c>
      <c r="N3830">
        <v>0</v>
      </c>
      <c r="O3830">
        <v>2.0418799999999998E-3</v>
      </c>
      <c r="P3830">
        <v>0.98566589999999998</v>
      </c>
      <c r="Q3830">
        <v>0.14383799999999999</v>
      </c>
      <c r="R3830">
        <v>-8.8167969999999998E-2</v>
      </c>
      <c r="S3830">
        <v>3.046265</v>
      </c>
      <c r="T3830">
        <v>-0.2133138</v>
      </c>
      <c r="U3830">
        <v>-0.33042909999999998</v>
      </c>
      <c r="V3830">
        <v>9.0566350000000004E-2</v>
      </c>
      <c r="W3830">
        <v>0.16097609999999901</v>
      </c>
      <c r="X3830">
        <v>0.98279419999999995</v>
      </c>
      <c r="Y3830">
        <v>0.1095976</v>
      </c>
      <c r="Z3830">
        <v>-3.963828E-3</v>
      </c>
      <c r="AA3830">
        <v>0.99396810000000002</v>
      </c>
      <c r="AB3830">
        <v>48</v>
      </c>
      <c r="AC3830">
        <v>15.367899999999899</v>
      </c>
      <c r="AD3830">
        <v>-1.10931287494199</v>
      </c>
      <c r="AE3830">
        <v>-1.7189999999999901</v>
      </c>
      <c r="AF3830">
        <v>1.7414191657809499</v>
      </c>
      <c r="AG3830">
        <v>-1.10931287494199</v>
      </c>
      <c r="AH3830">
        <v>15.2856955709128</v>
      </c>
      <c r="AI3830">
        <v>94.124205705229002</v>
      </c>
      <c r="AJ3830">
        <v>83.500613721565202</v>
      </c>
      <c r="AK3830">
        <v>15.42451311556</v>
      </c>
      <c r="AL3830">
        <v>80.736442953169401</v>
      </c>
      <c r="AM3830">
        <v>84.734955159288006</v>
      </c>
      <c r="AN3830">
        <v>1.0000000040385799</v>
      </c>
    </row>
    <row r="3831" spans="1:40" x14ac:dyDescent="0.25">
      <c r="A3831" t="str">
        <f>"20190312164103642"</f>
        <v>20190312164103642</v>
      </c>
      <c r="B3831" t="str">
        <f>"1552380063629489"</f>
        <v>1552380063629489</v>
      </c>
      <c r="C3831" t="s">
        <v>40</v>
      </c>
      <c r="D3831">
        <v>5.6589980000000004</v>
      </c>
      <c r="E3831">
        <v>0.51323629999999998</v>
      </c>
      <c r="F3831" t="s">
        <v>42</v>
      </c>
      <c r="G3831">
        <v>-239.0539</v>
      </c>
      <c r="H3831">
        <v>1.0266679999999999</v>
      </c>
      <c r="I3831">
        <v>214.07329999999999</v>
      </c>
      <c r="J3831">
        <v>-239.70500000000001</v>
      </c>
      <c r="K3831">
        <v>1.1093850000000001</v>
      </c>
      <c r="L3831">
        <v>214.1979</v>
      </c>
      <c r="M3831">
        <v>0.99984030000000002</v>
      </c>
      <c r="N3831">
        <v>0</v>
      </c>
      <c r="O3831">
        <v>1.4138009999999999E-3</v>
      </c>
      <c r="P3831">
        <v>0.98575849999999998</v>
      </c>
      <c r="Q3831">
        <v>0.14272739999999901</v>
      </c>
      <c r="R3831">
        <v>-8.8933810000000002E-2</v>
      </c>
      <c r="S3831">
        <v>3.0462039999999999</v>
      </c>
      <c r="T3831">
        <v>-0.22081580000000001</v>
      </c>
      <c r="U3831">
        <v>-0.33128360000000001</v>
      </c>
      <c r="V3831">
        <v>9.0690460000000001E-2</v>
      </c>
      <c r="W3831">
        <v>0.1600597</v>
      </c>
      <c r="X3831">
        <v>0.98293240000000004</v>
      </c>
      <c r="Y3831">
        <v>0.1092341</v>
      </c>
      <c r="Z3831">
        <v>-4.0444319999999997E-3</v>
      </c>
      <c r="AA3831">
        <v>0.9940078</v>
      </c>
      <c r="AB3831">
        <v>48</v>
      </c>
      <c r="AC3831">
        <v>0.651100000000013</v>
      </c>
      <c r="AD3831">
        <v>-8.2716999999999902E-2</v>
      </c>
      <c r="AE3831">
        <v>-0.124600000000015</v>
      </c>
      <c r="AF3831">
        <v>0.12359621992820299</v>
      </c>
      <c r="AG3831">
        <v>-8.2716999999999902E-2</v>
      </c>
      <c r="AH3831">
        <v>0.64094400405626495</v>
      </c>
      <c r="AI3831">
        <v>97.222050779829004</v>
      </c>
      <c r="AJ3831">
        <v>79.085359481041195</v>
      </c>
      <c r="AK3831">
        <v>0.65797214531104398</v>
      </c>
      <c r="AL3831">
        <v>80.7896384224683</v>
      </c>
      <c r="AM3831">
        <v>84.728517792936501</v>
      </c>
      <c r="AN3831">
        <v>0.99999998503442999</v>
      </c>
    </row>
    <row r="3832" spans="1:40" x14ac:dyDescent="0.25">
      <c r="A3832" t="str">
        <f>"20190312164103663"</f>
        <v>20190312164103663</v>
      </c>
      <c r="B3832" t="str">
        <f>"1552380063659746"</f>
        <v>1552380063659746</v>
      </c>
      <c r="C3832" t="s">
        <v>40</v>
      </c>
      <c r="D3832">
        <v>5.5445919999999997</v>
      </c>
      <c r="E3832">
        <v>0.512903</v>
      </c>
      <c r="F3832" t="s">
        <v>42</v>
      </c>
      <c r="G3832">
        <v>-238.6217</v>
      </c>
      <c r="H3832">
        <v>1.031461</v>
      </c>
      <c r="I3832">
        <v>214.08019999999999</v>
      </c>
      <c r="J3832">
        <v>-239.22880000000001</v>
      </c>
      <c r="K3832">
        <v>1.1094809999999999</v>
      </c>
      <c r="L3832">
        <v>214.19810000000001</v>
      </c>
      <c r="M3832">
        <v>0.99983719999999998</v>
      </c>
      <c r="N3832">
        <v>0</v>
      </c>
      <c r="O3832">
        <v>8.6831619999999904E-4</v>
      </c>
      <c r="P3832">
        <v>0.98579360000000005</v>
      </c>
      <c r="Q3832">
        <v>0.14217389999999999</v>
      </c>
      <c r="R3832">
        <v>-8.9429659999999994E-2</v>
      </c>
      <c r="S3832">
        <v>3.045258</v>
      </c>
      <c r="T3832">
        <v>-0.21918460000000001</v>
      </c>
      <c r="U3832">
        <v>-0.3303528</v>
      </c>
      <c r="V3832">
        <v>9.062228E-2</v>
      </c>
      <c r="W3832">
        <v>0.159728799999999</v>
      </c>
      <c r="X3832">
        <v>0.98299250000000005</v>
      </c>
      <c r="Y3832">
        <v>0.10843220000000001</v>
      </c>
      <c r="Z3832">
        <v>-3.9480950000000004E-3</v>
      </c>
      <c r="AA3832">
        <v>0.99409599999999998</v>
      </c>
      <c r="AB3832">
        <v>48</v>
      </c>
      <c r="AC3832">
        <v>0.60710000000000197</v>
      </c>
      <c r="AD3832">
        <v>-7.8019999999999895E-2</v>
      </c>
      <c r="AE3832">
        <v>-0.11790000000002</v>
      </c>
      <c r="AF3832">
        <v>0.11657192411195</v>
      </c>
      <c r="AG3832">
        <v>-7.8019999999999895E-2</v>
      </c>
      <c r="AH3832">
        <v>0.59748820319299001</v>
      </c>
      <c r="AI3832">
        <v>97.3034115557099</v>
      </c>
      <c r="AJ3832">
        <v>78.9600889002879</v>
      </c>
      <c r="AK3832">
        <v>0.61373307459020898</v>
      </c>
      <c r="AL3832">
        <v>80.808844572405505</v>
      </c>
      <c r="AM3832">
        <v>84.732778773591406</v>
      </c>
      <c r="AN3832">
        <v>0.99999997111904304</v>
      </c>
    </row>
    <row r="3833" spans="1:40" x14ac:dyDescent="0.25">
      <c r="A3833" t="str">
        <f>"20190312164103687"</f>
        <v>20190312164103687</v>
      </c>
      <c r="B3833" t="str">
        <f>"1552380063680241"</f>
        <v>1552380063680241</v>
      </c>
      <c r="C3833" t="s">
        <v>40</v>
      </c>
      <c r="D3833">
        <v>5.7067209999999999</v>
      </c>
      <c r="E3833">
        <v>0.51274900000000001</v>
      </c>
      <c r="F3833" t="s">
        <v>42</v>
      </c>
      <c r="G3833">
        <v>-238.1902</v>
      </c>
      <c r="H3833">
        <v>1.036157</v>
      </c>
      <c r="I3833">
        <v>214.08580000000001</v>
      </c>
      <c r="J3833">
        <v>-238.73779999999999</v>
      </c>
      <c r="K3833">
        <v>1.10959599999999</v>
      </c>
      <c r="L3833">
        <v>214.19820000000001</v>
      </c>
      <c r="M3833">
        <v>0.99983299999999997</v>
      </c>
      <c r="N3833">
        <v>0</v>
      </c>
      <c r="O3833">
        <v>3.9091240000000001E-4</v>
      </c>
      <c r="P3833">
        <v>0.9856975</v>
      </c>
      <c r="Q3833">
        <v>0.14229129999999901</v>
      </c>
      <c r="R3833">
        <v>-9.0298710000000004E-2</v>
      </c>
      <c r="S3833">
        <v>3.0443730000000002</v>
      </c>
      <c r="T3833">
        <v>-0.2149498</v>
      </c>
      <c r="U3833">
        <v>-0.3292542</v>
      </c>
      <c r="V3833">
        <v>9.0989529999999999E-2</v>
      </c>
      <c r="W3833">
        <v>0.16010450000000001</v>
      </c>
      <c r="X3833">
        <v>0.98289749999999998</v>
      </c>
      <c r="Y3833">
        <v>0.1076476</v>
      </c>
      <c r="Z3833">
        <v>-3.8120350000000001E-3</v>
      </c>
      <c r="AA3833">
        <v>0.9941818</v>
      </c>
      <c r="AB3833">
        <v>48</v>
      </c>
      <c r="AC3833">
        <v>0.54759999999998799</v>
      </c>
      <c r="AD3833">
        <v>-7.3438999999999796E-2</v>
      </c>
      <c r="AE3833">
        <v>-0.11240000000000799</v>
      </c>
      <c r="AF3833">
        <v>0.110703509388015</v>
      </c>
      <c r="AG3833">
        <v>-7.3438999999999796E-2</v>
      </c>
      <c r="AH3833">
        <v>0.53826631929256996</v>
      </c>
      <c r="AI3833">
        <v>97.611853750306395</v>
      </c>
      <c r="AJ3833">
        <v>78.378214778038895</v>
      </c>
      <c r="AK3833">
        <v>0.55441787867689996</v>
      </c>
      <c r="AL3833">
        <v>80.787038365723603</v>
      </c>
      <c r="AM3833">
        <v>84.711045713896098</v>
      </c>
      <c r="AN3833">
        <v>1.0000000204980599</v>
      </c>
    </row>
    <row r="3834" spans="1:40" x14ac:dyDescent="0.25">
      <c r="A3834" t="str">
        <f>"20190312164103708"</f>
        <v>20190312164103708</v>
      </c>
      <c r="B3834" t="str">
        <f>"1552380063699761"</f>
        <v>1552380063699761</v>
      </c>
      <c r="C3834" t="s">
        <v>40</v>
      </c>
      <c r="D3834">
        <v>5.5484519999999904</v>
      </c>
      <c r="E3834">
        <v>0.51241890000000001</v>
      </c>
      <c r="F3834" t="s">
        <v>42</v>
      </c>
      <c r="G3834">
        <v>-237.75899999999999</v>
      </c>
      <c r="H3834">
        <v>1.041188</v>
      </c>
      <c r="I3834">
        <v>214.0916</v>
      </c>
      <c r="J3834">
        <v>-238.27019999999999</v>
      </c>
      <c r="K3834">
        <v>1.1097269999999999</v>
      </c>
      <c r="L3834">
        <v>214.19800000000001</v>
      </c>
      <c r="M3834">
        <v>0.9998281</v>
      </c>
      <c r="N3834">
        <v>0</v>
      </c>
      <c r="O3834" s="1">
        <v>3.2837170000000003E-5</v>
      </c>
      <c r="P3834">
        <v>0.98574819999999996</v>
      </c>
      <c r="Q3834">
        <v>0.1416897</v>
      </c>
      <c r="R3834">
        <v>-9.0689619999999999E-2</v>
      </c>
      <c r="S3834">
        <v>3.0439609999999999</v>
      </c>
      <c r="T3834">
        <v>-0.21282019999999999</v>
      </c>
      <c r="U3834">
        <v>-0.33087159999999999</v>
      </c>
      <c r="V3834">
        <v>9.0992729999999994E-2</v>
      </c>
      <c r="W3834">
        <v>0.1597924</v>
      </c>
      <c r="X3834">
        <v>0.98294789999999999</v>
      </c>
      <c r="Y3834">
        <v>0.1078336</v>
      </c>
      <c r="Z3834">
        <v>-3.7562979999999999E-3</v>
      </c>
      <c r="AA3834">
        <v>0.99416179999999998</v>
      </c>
      <c r="AB3834">
        <v>48</v>
      </c>
      <c r="AC3834">
        <v>0.51119999999997301</v>
      </c>
      <c r="AD3834">
        <v>-6.85390000000001E-2</v>
      </c>
      <c r="AE3834">
        <v>-0.106399999999979</v>
      </c>
      <c r="AF3834">
        <v>0.10461432389156999</v>
      </c>
      <c r="AG3834">
        <v>-6.85390000000001E-2</v>
      </c>
      <c r="AH3834">
        <v>0.50253796585482302</v>
      </c>
      <c r="AI3834">
        <v>97.605334177129805</v>
      </c>
      <c r="AJ3834">
        <v>78.240571600395697</v>
      </c>
      <c r="AK3834">
        <v>0.51786693118000304</v>
      </c>
      <c r="AL3834">
        <v>80.805152775766004</v>
      </c>
      <c r="AM3834">
        <v>84.711130421333493</v>
      </c>
      <c r="AN3834">
        <v>0.99999993106250895</v>
      </c>
    </row>
    <row r="3835" spans="1:40" x14ac:dyDescent="0.25">
      <c r="A3835" t="str">
        <f>"20190312164103730"</f>
        <v>20190312164103730</v>
      </c>
      <c r="B3835" t="str">
        <f>"1552380063720257"</f>
        <v>1552380063720257</v>
      </c>
      <c r="C3835" t="s">
        <v>40</v>
      </c>
      <c r="D3835">
        <v>5.6189419999999997</v>
      </c>
      <c r="E3835">
        <v>0.51224629999999904</v>
      </c>
      <c r="F3835" t="s">
        <v>42</v>
      </c>
      <c r="G3835">
        <v>-237.33090000000001</v>
      </c>
      <c r="H3835">
        <v>1.0439000000000001</v>
      </c>
      <c r="I3835">
        <v>214.09610000000001</v>
      </c>
      <c r="J3835">
        <v>-237.80609999999999</v>
      </c>
      <c r="K3835">
        <v>1.1098680000000001</v>
      </c>
      <c r="L3835">
        <v>214.1978</v>
      </c>
      <c r="M3835">
        <v>0.99982199999999999</v>
      </c>
      <c r="N3835">
        <v>0</v>
      </c>
      <c r="O3835">
        <v>-2.2661560000000001E-4</v>
      </c>
      <c r="P3835">
        <v>0.98590509999999998</v>
      </c>
      <c r="Q3835">
        <v>0.1402071</v>
      </c>
      <c r="R3835">
        <v>-9.1287779999999999E-2</v>
      </c>
      <c r="S3835">
        <v>3.0437159999999999</v>
      </c>
      <c r="T3835">
        <v>-0.2133534</v>
      </c>
      <c r="U3835">
        <v>-0.32977289999999998</v>
      </c>
      <c r="V3835">
        <v>9.1296730000000006E-2</v>
      </c>
      <c r="W3835">
        <v>0.15865270000000001</v>
      </c>
      <c r="X3835">
        <v>0.98310439999999999</v>
      </c>
      <c r="Y3835">
        <v>0.1072303</v>
      </c>
      <c r="Z3835">
        <v>-3.7268850000000001E-3</v>
      </c>
      <c r="AA3835">
        <v>0.99422719999999998</v>
      </c>
      <c r="AB3835">
        <v>48</v>
      </c>
      <c r="AC3835">
        <v>0.47519999999997198</v>
      </c>
      <c r="AD3835">
        <v>-6.5967999999999999E-2</v>
      </c>
      <c r="AE3835">
        <v>-0.101699999999993</v>
      </c>
      <c r="AF3835">
        <v>9.9754081953207396E-2</v>
      </c>
      <c r="AG3835">
        <v>-6.5967999999999999E-2</v>
      </c>
      <c r="AH3835">
        <v>0.46662436413493202</v>
      </c>
      <c r="AI3835">
        <v>97.871192777442701</v>
      </c>
      <c r="AJ3835">
        <v>77.933051697742698</v>
      </c>
      <c r="AK3835">
        <v>0.48170629131728898</v>
      </c>
      <c r="AL3835">
        <v>80.871297388335506</v>
      </c>
      <c r="AM3835">
        <v>84.694401308801403</v>
      </c>
      <c r="AN3835">
        <v>1.0000000167126699</v>
      </c>
    </row>
    <row r="3836" spans="1:40" x14ac:dyDescent="0.25">
      <c r="A3836" t="str">
        <f>"20190312164103753"</f>
        <v>20190312164103753</v>
      </c>
      <c r="B3836" t="str">
        <f>"1552380063739777"</f>
        <v>1552380063739777</v>
      </c>
      <c r="C3836" t="s">
        <v>40</v>
      </c>
      <c r="D3836">
        <v>5.5221400000000003</v>
      </c>
      <c r="E3836">
        <v>0.51207789999999997</v>
      </c>
      <c r="F3836" t="s">
        <v>42</v>
      </c>
      <c r="G3836">
        <v>-236.90469999999999</v>
      </c>
      <c r="H3836">
        <v>1.045723</v>
      </c>
      <c r="I3836">
        <v>214.09989999999999</v>
      </c>
      <c r="J3836">
        <v>-237.3304</v>
      </c>
      <c r="K3836">
        <v>1.1100239999999999</v>
      </c>
      <c r="L3836">
        <v>214.19749999999999</v>
      </c>
      <c r="M3836">
        <v>0.99981469999999995</v>
      </c>
      <c r="N3836">
        <v>0</v>
      </c>
      <c r="O3836">
        <v>-4.0809089999999999E-4</v>
      </c>
      <c r="P3836">
        <v>0.98590949999999999</v>
      </c>
      <c r="Q3836">
        <v>0.13973089999999999</v>
      </c>
      <c r="R3836">
        <v>-9.1966519999999996E-2</v>
      </c>
      <c r="S3836">
        <v>3.0431370000000002</v>
      </c>
      <c r="T3836">
        <v>-0.21669169999999999</v>
      </c>
      <c r="U3836">
        <v>-0.33006289999999999</v>
      </c>
      <c r="V3836">
        <v>9.1760019999999998E-2</v>
      </c>
      <c r="W3836">
        <v>0.1585656</v>
      </c>
      <c r="X3836">
        <v>0.98307529999999999</v>
      </c>
      <c r="Y3836">
        <v>0.1071561</v>
      </c>
      <c r="Z3836">
        <v>-3.7702500000000002E-3</v>
      </c>
      <c r="AA3836">
        <v>0.99423499999999998</v>
      </c>
      <c r="AB3836">
        <v>48</v>
      </c>
      <c r="AC3836">
        <v>0.42570000000000602</v>
      </c>
      <c r="AD3836">
        <v>-6.43009999999999E-2</v>
      </c>
      <c r="AE3836">
        <v>-9.7599999999999895E-2</v>
      </c>
      <c r="AF3836">
        <v>9.53592273366516E-2</v>
      </c>
      <c r="AG3836">
        <v>-6.43009999999999E-2</v>
      </c>
      <c r="AH3836">
        <v>0.41670724895636602</v>
      </c>
      <c r="AI3836">
        <v>98.554247166794497</v>
      </c>
      <c r="AJ3836">
        <v>77.110383088688195</v>
      </c>
      <c r="AK3836">
        <v>0.43228801992656002</v>
      </c>
      <c r="AL3836">
        <v>80.876351661522307</v>
      </c>
      <c r="AM3836">
        <v>84.667475647946205</v>
      </c>
      <c r="AN3836">
        <v>0.99999999812192497</v>
      </c>
    </row>
    <row r="3837" spans="1:40" x14ac:dyDescent="0.25">
      <c r="A3837" t="str">
        <f>"20190312164103775"</f>
        <v>20190312164103775</v>
      </c>
      <c r="B3837" t="str">
        <f>"1552380063770036"</f>
        <v>1552380063770036</v>
      </c>
      <c r="C3837" t="s">
        <v>40</v>
      </c>
      <c r="D3837">
        <v>5.5873879999999998</v>
      </c>
      <c r="E3837">
        <v>0.51193829999999996</v>
      </c>
      <c r="F3837" t="s">
        <v>48</v>
      </c>
      <c r="G3837">
        <v>-221.60939999999999</v>
      </c>
      <c r="H3837" s="1">
        <v>-5.8721499999999995E-7</v>
      </c>
      <c r="I3837">
        <v>212.48570000000001</v>
      </c>
      <c r="J3837">
        <v>-236.8493</v>
      </c>
      <c r="K3837">
        <v>1.110174</v>
      </c>
      <c r="L3837">
        <v>214.19720000000001</v>
      </c>
      <c r="M3837">
        <v>0.99980690000000005</v>
      </c>
      <c r="N3837">
        <v>0</v>
      </c>
      <c r="O3837">
        <v>-5.2389579999999997E-4</v>
      </c>
      <c r="P3837">
        <v>0.98603549999999995</v>
      </c>
      <c r="Q3837">
        <v>0.13841039999999999</v>
      </c>
      <c r="R3837">
        <v>-9.2612020000000003E-2</v>
      </c>
      <c r="S3837">
        <v>3.0424190000000002</v>
      </c>
      <c r="T3837">
        <v>-0.21481910000000001</v>
      </c>
      <c r="U3837">
        <v>-0.33128360000000001</v>
      </c>
      <c r="V3837">
        <v>9.2256889999999994E-2</v>
      </c>
      <c r="W3837">
        <v>0.1576621</v>
      </c>
      <c r="X3837">
        <v>0.98317410000000005</v>
      </c>
      <c r="Y3837">
        <v>0.1074643</v>
      </c>
      <c r="Z3837">
        <v>-3.7412330000000001E-3</v>
      </c>
      <c r="AA3837">
        <v>0.99420189999999997</v>
      </c>
      <c r="AB3837">
        <v>47</v>
      </c>
      <c r="AC3837">
        <v>15.2399</v>
      </c>
      <c r="AD3837">
        <v>-1.110174587215</v>
      </c>
      <c r="AE3837">
        <v>-1.7115</v>
      </c>
      <c r="AF3837">
        <v>1.6946333281545101</v>
      </c>
      <c r="AG3837">
        <v>-1.110174587215</v>
      </c>
      <c r="AH3837">
        <v>15.161341268774899</v>
      </c>
      <c r="AI3837">
        <v>94.162127254202204</v>
      </c>
      <c r="AJ3837">
        <v>83.622332365381595</v>
      </c>
      <c r="AK3837">
        <v>15.296095540994999</v>
      </c>
      <c r="AL3837">
        <v>80.928777812426205</v>
      </c>
      <c r="AM3837">
        <v>84.639304055992199</v>
      </c>
      <c r="AN3837">
        <v>0.99999999121984595</v>
      </c>
    </row>
    <row r="3838" spans="1:40" x14ac:dyDescent="0.25">
      <c r="A3838" t="str">
        <f>"20190312164103809"</f>
        <v>20190312164103809</v>
      </c>
      <c r="B3838" t="str">
        <f>"1552380063800292"</f>
        <v>1552380063800292</v>
      </c>
      <c r="C3838" t="s">
        <v>40</v>
      </c>
      <c r="D3838">
        <v>5.5801660000000002</v>
      </c>
      <c r="E3838">
        <v>0.51208350000000002</v>
      </c>
      <c r="F3838" t="s">
        <v>48</v>
      </c>
      <c r="G3838">
        <v>-221.2312</v>
      </c>
      <c r="H3838" s="1">
        <v>-7.8865899999999999E-7</v>
      </c>
      <c r="I3838">
        <v>212.49039999999999</v>
      </c>
      <c r="J3838">
        <v>-236.14619999999999</v>
      </c>
      <c r="K3838">
        <v>1.1103689999999999</v>
      </c>
      <c r="L3838">
        <v>214.19669999999999</v>
      </c>
      <c r="M3838">
        <v>0.99979510000000005</v>
      </c>
      <c r="N3838">
        <v>0</v>
      </c>
      <c r="O3838">
        <v>-6.0342540000000002E-4</v>
      </c>
      <c r="P3838">
        <v>0.98609650000000004</v>
      </c>
      <c r="Q3838">
        <v>0.13786909999999999</v>
      </c>
      <c r="R3838">
        <v>-9.2769240000000003E-2</v>
      </c>
      <c r="S3838">
        <v>3.0416110000000001</v>
      </c>
      <c r="T3838">
        <v>-0.21620619999999999</v>
      </c>
      <c r="U3838">
        <v>-0.33239750000000001</v>
      </c>
      <c r="V3838">
        <v>9.2295340000000003E-2</v>
      </c>
      <c r="W3838">
        <v>0.15772610000000001</v>
      </c>
      <c r="X3838">
        <v>0.98316029999999999</v>
      </c>
      <c r="Y3838">
        <v>0.1077694</v>
      </c>
      <c r="Z3838">
        <v>-3.7714150000000002E-3</v>
      </c>
      <c r="AA3838">
        <v>0.99416879999999996</v>
      </c>
      <c r="AB3838">
        <v>47</v>
      </c>
      <c r="AC3838">
        <v>14.9149999999999</v>
      </c>
      <c r="AD3838">
        <v>-1.110369788659</v>
      </c>
      <c r="AE3838">
        <v>-1.7062999999999899</v>
      </c>
      <c r="AF3838">
        <v>1.6880628962725299</v>
      </c>
      <c r="AG3838">
        <v>-1.110369788659</v>
      </c>
      <c r="AH3838">
        <v>14.834870218056</v>
      </c>
      <c r="AI3838">
        <v>94.253183868436096</v>
      </c>
      <c r="AJ3838">
        <v>83.508224471424697</v>
      </c>
      <c r="AK3838">
        <v>14.971835284824101</v>
      </c>
      <c r="AL3838">
        <v>80.925065086194195</v>
      </c>
      <c r="AM3838">
        <v>84.637008059872798</v>
      </c>
      <c r="AN3838">
        <v>1.0000000639515001</v>
      </c>
    </row>
    <row r="3839" spans="1:40" x14ac:dyDescent="0.25">
      <c r="A3839" t="str">
        <f>"20190312164103830"</f>
        <v>20190312164103830</v>
      </c>
      <c r="B3839" t="str">
        <f>"1552380063819809"</f>
        <v>1552380063819809</v>
      </c>
      <c r="C3839" t="s">
        <v>40</v>
      </c>
      <c r="D3839">
        <v>6.2409100000000004</v>
      </c>
      <c r="E3839">
        <v>0.51197409999999999</v>
      </c>
      <c r="F3839" t="s">
        <v>42</v>
      </c>
      <c r="G3839">
        <v>-235.2242</v>
      </c>
      <c r="H3839">
        <v>1.0431429999999999</v>
      </c>
      <c r="I3839">
        <v>214.09450000000001</v>
      </c>
      <c r="J3839">
        <v>-235.69380000000001</v>
      </c>
      <c r="K3839">
        <v>1.1104719999999999</v>
      </c>
      <c r="L3839">
        <v>214.19640000000001</v>
      </c>
      <c r="M3839">
        <v>0.99978769999999995</v>
      </c>
      <c r="N3839">
        <v>0</v>
      </c>
      <c r="O3839">
        <v>-6.2512419999999997E-4</v>
      </c>
      <c r="P3839">
        <v>0.98604999999999998</v>
      </c>
      <c r="Q3839">
        <v>0.138287299999999</v>
      </c>
      <c r="R3839">
        <v>-9.2641650000000006E-2</v>
      </c>
      <c r="S3839">
        <v>3.0417019999999999</v>
      </c>
      <c r="T3839">
        <v>-0.22197990000000001</v>
      </c>
      <c r="U3839">
        <v>-0.33619690000000002</v>
      </c>
      <c r="V3839">
        <v>9.2125040000000005E-2</v>
      </c>
      <c r="W3839">
        <v>0.15851470000000001</v>
      </c>
      <c r="X3839">
        <v>0.98304939999999996</v>
      </c>
      <c r="Y3839">
        <v>0.108954</v>
      </c>
      <c r="Z3839">
        <v>-3.9129519999999999E-3</v>
      </c>
      <c r="AA3839">
        <v>0.99403909999999995</v>
      </c>
      <c r="AB3839">
        <v>47</v>
      </c>
      <c r="AC3839">
        <v>0.46960000000001401</v>
      </c>
      <c r="AD3839">
        <v>-6.7328999999999903E-2</v>
      </c>
      <c r="AE3839">
        <v>-0.1019</v>
      </c>
      <c r="AF3839">
        <v>9.9650024627958494E-2</v>
      </c>
      <c r="AG3839">
        <v>-6.7328999999999903E-2</v>
      </c>
      <c r="AH3839">
        <v>0.46062069074120598</v>
      </c>
      <c r="AI3839">
        <v>98.130553242544806</v>
      </c>
      <c r="AJ3839">
        <v>77.792833813765697</v>
      </c>
      <c r="AK3839">
        <v>0.47606170019048799</v>
      </c>
      <c r="AL3839">
        <v>80.879305648298796</v>
      </c>
      <c r="AM3839">
        <v>84.646245725616794</v>
      </c>
      <c r="AN3839">
        <v>1.00000002797572</v>
      </c>
    </row>
    <row r="3840" spans="1:40" x14ac:dyDescent="0.25">
      <c r="A3840" t="str">
        <f>"20190312164103853"</f>
        <v>20190312164103853</v>
      </c>
      <c r="B3840" t="str">
        <f>"1552380063850066"</f>
        <v>1552380063850066</v>
      </c>
      <c r="C3840" t="s">
        <v>40</v>
      </c>
      <c r="D3840">
        <v>5.5161490000000004</v>
      </c>
      <c r="E3840">
        <v>0.5118026</v>
      </c>
      <c r="F3840" t="s">
        <v>42</v>
      </c>
      <c r="G3840">
        <v>-234.80439999999999</v>
      </c>
      <c r="H3840">
        <v>1.0461339999999999</v>
      </c>
      <c r="I3840">
        <v>214.0984</v>
      </c>
      <c r="J3840">
        <v>-235.21879999999999</v>
      </c>
      <c r="K3840">
        <v>1.1105750000000001</v>
      </c>
      <c r="L3840">
        <v>214.196</v>
      </c>
      <c r="M3840">
        <v>0.99978009999999995</v>
      </c>
      <c r="N3840">
        <v>0</v>
      </c>
      <c r="O3840">
        <v>-6.3660500000000005E-4</v>
      </c>
      <c r="P3840">
        <v>0.98581479999999999</v>
      </c>
      <c r="Q3840">
        <v>0.13973329999999901</v>
      </c>
      <c r="R3840">
        <v>-9.2975020000000005E-2</v>
      </c>
      <c r="S3840">
        <v>3.0418400000000001</v>
      </c>
      <c r="T3840">
        <v>-0.22007669999999999</v>
      </c>
      <c r="U3840">
        <v>-0.33474730000000003</v>
      </c>
      <c r="V3840">
        <v>9.2427949999999995E-2</v>
      </c>
      <c r="W3840">
        <v>0.1603252</v>
      </c>
      <c r="X3840">
        <v>0.98272729999999997</v>
      </c>
      <c r="Y3840">
        <v>0.1084758</v>
      </c>
      <c r="Z3840">
        <v>-3.8613670000000001E-3</v>
      </c>
      <c r="AA3840">
        <v>0.99409159999999996</v>
      </c>
      <c r="AB3840">
        <v>47</v>
      </c>
      <c r="AC3840">
        <v>0.41439999999999999</v>
      </c>
      <c r="AD3840">
        <v>-6.4440999999999901E-2</v>
      </c>
      <c r="AE3840">
        <v>-9.7599999999999895E-2</v>
      </c>
      <c r="AF3840">
        <v>9.5156018656937694E-2</v>
      </c>
      <c r="AG3840">
        <v>-6.4440999999999901E-2</v>
      </c>
      <c r="AH3840">
        <v>0.405179110438944</v>
      </c>
      <c r="AI3840">
        <v>98.801263846336795</v>
      </c>
      <c r="AJ3840">
        <v>76.783633254745595</v>
      </c>
      <c r="AK3840">
        <v>0.42116199009850502</v>
      </c>
      <c r="AL3840">
        <v>80.774227705410297</v>
      </c>
      <c r="AM3840">
        <v>84.626995014220597</v>
      </c>
      <c r="AN3840">
        <v>1.00000002093076</v>
      </c>
    </row>
    <row r="3841" spans="1:40" x14ac:dyDescent="0.25">
      <c r="A3841" t="str">
        <f>"20190312164103877"</f>
        <v>20190312164103877</v>
      </c>
      <c r="B3841" t="str">
        <f>"1552380063869585"</f>
        <v>1552380063869585</v>
      </c>
      <c r="C3841" t="s">
        <v>40</v>
      </c>
      <c r="D3841">
        <v>5.5550350000000002</v>
      </c>
      <c r="E3841">
        <v>0.51189839999999998</v>
      </c>
      <c r="F3841" t="s">
        <v>48</v>
      </c>
      <c r="G3841">
        <v>-219.32</v>
      </c>
      <c r="H3841" s="1">
        <v>3.5175740000000001E-6</v>
      </c>
      <c r="I3841">
        <v>212.44919999999999</v>
      </c>
      <c r="J3841">
        <v>-234.74</v>
      </c>
      <c r="K3841">
        <v>1.1106739999999999</v>
      </c>
      <c r="L3841">
        <v>214.19560000000001</v>
      </c>
      <c r="M3841">
        <v>0.99977260000000001</v>
      </c>
      <c r="N3841">
        <v>0</v>
      </c>
      <c r="O3841">
        <v>-6.4395580000000004E-4</v>
      </c>
      <c r="P3841">
        <v>0.98550389999999999</v>
      </c>
      <c r="Q3841">
        <v>0.141428</v>
      </c>
      <c r="R3841">
        <v>-9.3702270000000004E-2</v>
      </c>
      <c r="S3841">
        <v>3.041763</v>
      </c>
      <c r="T3841">
        <v>-0.21247450000000001</v>
      </c>
      <c r="U3841">
        <v>-0.3341827</v>
      </c>
      <c r="V3841">
        <v>9.3131829999999999E-2</v>
      </c>
      <c r="W3841">
        <v>0.1623647</v>
      </c>
      <c r="X3841">
        <v>0.98232589999999997</v>
      </c>
      <c r="Y3841">
        <v>0.10830819999999999</v>
      </c>
      <c r="Z3841">
        <v>-3.7220970000000002E-3</v>
      </c>
      <c r="AA3841">
        <v>0.99411039999999995</v>
      </c>
      <c r="AB3841">
        <v>47</v>
      </c>
      <c r="AC3841">
        <v>15.42</v>
      </c>
      <c r="AD3841">
        <v>-1.1106704824260001</v>
      </c>
      <c r="AE3841">
        <v>-1.7464000000000199</v>
      </c>
      <c r="AF3841">
        <v>1.72761817341229</v>
      </c>
      <c r="AG3841">
        <v>-1.1106704824260001</v>
      </c>
      <c r="AH3841">
        <v>15.3425323341698</v>
      </c>
      <c r="AI3841">
        <v>94.114597305362594</v>
      </c>
      <c r="AJ3841">
        <v>83.575374546666694</v>
      </c>
      <c r="AK3841">
        <v>15.4793911992262</v>
      </c>
      <c r="AL3841">
        <v>80.655821432401893</v>
      </c>
      <c r="AM3841">
        <v>84.584120380613498</v>
      </c>
      <c r="AN3841">
        <v>1.0000000036880199</v>
      </c>
    </row>
    <row r="3842" spans="1:40" x14ac:dyDescent="0.25">
      <c r="A3842" t="str">
        <f>"20190312164103898"</f>
        <v>20190312164103898</v>
      </c>
      <c r="B3842" t="str">
        <f>"1552380063890081"</f>
        <v>1552380063890081</v>
      </c>
      <c r="C3842" t="s">
        <v>40</v>
      </c>
      <c r="D3842">
        <v>5.5451169999999896</v>
      </c>
      <c r="E3842">
        <v>0.51192929999999903</v>
      </c>
      <c r="F3842" t="s">
        <v>48</v>
      </c>
      <c r="G3842">
        <v>-218.63319999999999</v>
      </c>
      <c r="H3842" s="1">
        <v>3.153732E-6</v>
      </c>
      <c r="I3842">
        <v>212.4117</v>
      </c>
      <c r="J3842">
        <v>-234.3014</v>
      </c>
      <c r="K3842">
        <v>1.110752</v>
      </c>
      <c r="L3842">
        <v>214.1953</v>
      </c>
      <c r="M3842">
        <v>0.99976620000000005</v>
      </c>
      <c r="N3842">
        <v>0</v>
      </c>
      <c r="O3842">
        <v>-6.4926699999999905E-4</v>
      </c>
      <c r="P3842">
        <v>0.98517220000000005</v>
      </c>
      <c r="Q3842">
        <v>0.14321149999999999</v>
      </c>
      <c r="R3842">
        <v>-9.4479869999999994E-2</v>
      </c>
      <c r="S3842">
        <v>3.0421909999999999</v>
      </c>
      <c r="T3842">
        <v>-0.20977950000000001</v>
      </c>
      <c r="U3842">
        <v>-0.33694459999999998</v>
      </c>
      <c r="V3842">
        <v>9.3891970000000005E-2</v>
      </c>
      <c r="W3842">
        <v>0.16444829999999999</v>
      </c>
      <c r="X3842">
        <v>0.98190679999999997</v>
      </c>
      <c r="Y3842">
        <v>0.1091839</v>
      </c>
      <c r="Z3842">
        <v>-3.7040060000000001E-3</v>
      </c>
      <c r="AA3842">
        <v>0.99401470000000003</v>
      </c>
      <c r="AB3842">
        <v>46</v>
      </c>
      <c r="AC3842">
        <v>15.668200000000001</v>
      </c>
      <c r="AD3842">
        <v>-1.110748846268</v>
      </c>
      <c r="AE3842">
        <v>-1.7836000000000001</v>
      </c>
      <c r="AF3842">
        <v>1.7646692202137899</v>
      </c>
      <c r="AG3842">
        <v>-1.110748846268</v>
      </c>
      <c r="AH3842">
        <v>15.5919972899519</v>
      </c>
      <c r="AI3842">
        <v>94.049012524583503</v>
      </c>
      <c r="AJ3842">
        <v>83.542861841811202</v>
      </c>
      <c r="AK3842">
        <v>15.7308041735355</v>
      </c>
      <c r="AL3842">
        <v>80.534812964513094</v>
      </c>
      <c r="AM3842">
        <v>84.537865846748403</v>
      </c>
      <c r="AN3842">
        <v>0.99999995464480396</v>
      </c>
    </row>
    <row r="3843" spans="1:40" x14ac:dyDescent="0.25">
      <c r="A3843" t="str">
        <f>"20190312164103920"</f>
        <v>20190312164103920</v>
      </c>
      <c r="B3843" t="str">
        <f>"1552380063909601"</f>
        <v>1552380063909601</v>
      </c>
      <c r="C3843" t="s">
        <v>40</v>
      </c>
      <c r="D3843">
        <v>5.6849889999999998</v>
      </c>
      <c r="E3843">
        <v>0.51185069999999999</v>
      </c>
      <c r="F3843" t="s">
        <v>42</v>
      </c>
      <c r="G3843">
        <v>-233.16370000000001</v>
      </c>
      <c r="H3843">
        <v>1.033657</v>
      </c>
      <c r="I3843">
        <v>214.06829999999999</v>
      </c>
      <c r="J3843">
        <v>-233.85300000000001</v>
      </c>
      <c r="K3843">
        <v>1.1108150000000001</v>
      </c>
      <c r="L3843">
        <v>214.19489999999999</v>
      </c>
      <c r="M3843">
        <v>0.99975979999999998</v>
      </c>
      <c r="N3843">
        <v>0</v>
      </c>
      <c r="O3843">
        <v>-6.5227850000000001E-4</v>
      </c>
      <c r="P3843">
        <v>0.98485769999999995</v>
      </c>
      <c r="Q3843">
        <v>0.1446654</v>
      </c>
      <c r="R3843">
        <v>-9.5538419999999999E-2</v>
      </c>
      <c r="S3843">
        <v>3.0426030000000002</v>
      </c>
      <c r="T3843">
        <v>-0.2062669</v>
      </c>
      <c r="U3843">
        <v>-0.339126599999999</v>
      </c>
      <c r="V3843">
        <v>9.4937439999999998E-2</v>
      </c>
      <c r="W3843">
        <v>0.16619020000000001</v>
      </c>
      <c r="X3843">
        <v>0.98151299999999997</v>
      </c>
      <c r="Y3843">
        <v>0.1098773</v>
      </c>
      <c r="Z3843">
        <v>-3.6646959999999998E-3</v>
      </c>
      <c r="AA3843">
        <v>0.9939384</v>
      </c>
      <c r="AB3843">
        <v>46</v>
      </c>
      <c r="AC3843">
        <v>0.68929999999997404</v>
      </c>
      <c r="AD3843">
        <v>-7.7157999999999796E-2</v>
      </c>
      <c r="AE3843">
        <v>-0.12659999999999599</v>
      </c>
      <c r="AF3843">
        <v>0.124639498821522</v>
      </c>
      <c r="AG3843">
        <v>-7.7157999999999796E-2</v>
      </c>
      <c r="AH3843">
        <v>0.68112654205684398</v>
      </c>
      <c r="AI3843">
        <v>96.358222580222005</v>
      </c>
      <c r="AJ3843">
        <v>79.630162767290201</v>
      </c>
      <c r="AK3843">
        <v>0.69672213107148595</v>
      </c>
      <c r="AL3843">
        <v>80.433617753755897</v>
      </c>
      <c r="AM3843">
        <v>84.475217876921903</v>
      </c>
      <c r="AN3843">
        <v>1.00000003462939</v>
      </c>
    </row>
    <row r="3844" spans="1:40" x14ac:dyDescent="0.25">
      <c r="A3844" t="str">
        <f>"20190312164103942"</f>
        <v>20190312164103942</v>
      </c>
      <c r="B3844" t="str">
        <f>"1552380063930097"</f>
        <v>1552380063930097</v>
      </c>
      <c r="C3844" t="s">
        <v>40</v>
      </c>
      <c r="D3844">
        <v>5.5888770000000001</v>
      </c>
      <c r="E3844">
        <v>0.51189399999999996</v>
      </c>
      <c r="F3844" t="s">
        <v>42</v>
      </c>
      <c r="G3844">
        <v>-232.75239999999999</v>
      </c>
      <c r="H3844">
        <v>1.0378179999999999</v>
      </c>
      <c r="I3844">
        <v>214.0711</v>
      </c>
      <c r="J3844">
        <v>-233.3981</v>
      </c>
      <c r="K3844">
        <v>1.11087</v>
      </c>
      <c r="L3844">
        <v>214.19460000000001</v>
      </c>
      <c r="M3844">
        <v>0.99975349999999996</v>
      </c>
      <c r="N3844">
        <v>0</v>
      </c>
      <c r="O3844">
        <v>-6.5283059999999996E-4</v>
      </c>
      <c r="P3844">
        <v>0.98474479999999998</v>
      </c>
      <c r="Q3844">
        <v>0.14485519999999999</v>
      </c>
      <c r="R3844">
        <v>-9.6409159999999994E-2</v>
      </c>
      <c r="S3844">
        <v>3.0426329999999999</v>
      </c>
      <c r="T3844">
        <v>-0.2019368</v>
      </c>
      <c r="U3844">
        <v>-0.34178160000000002</v>
      </c>
      <c r="V3844">
        <v>9.5799300000000004E-2</v>
      </c>
      <c r="W3844">
        <v>0.1666599</v>
      </c>
      <c r="X3844">
        <v>0.98134960000000004</v>
      </c>
      <c r="Y3844">
        <v>0.1107407</v>
      </c>
      <c r="Z3844">
        <v>-3.616218E-3</v>
      </c>
      <c r="AA3844">
        <v>0.99384280000000003</v>
      </c>
      <c r="AB3844">
        <v>46</v>
      </c>
      <c r="AC3844">
        <v>0.64570000000000405</v>
      </c>
      <c r="AD3844">
        <v>-7.3051999999999895E-2</v>
      </c>
      <c r="AE3844">
        <v>-0.12350000000000699</v>
      </c>
      <c r="AF3844">
        <v>0.121577095557327</v>
      </c>
      <c r="AG3844">
        <v>-7.3051999999999895E-2</v>
      </c>
      <c r="AH3844">
        <v>0.63790363297446995</v>
      </c>
      <c r="AI3844">
        <v>96.418445823316205</v>
      </c>
      <c r="AJ3844">
        <v>79.209492775804094</v>
      </c>
      <c r="AK3844">
        <v>0.653481927699751</v>
      </c>
      <c r="AL3844">
        <v>80.406325291433603</v>
      </c>
      <c r="AM3844">
        <v>84.424455025363699</v>
      </c>
      <c r="AN3844">
        <v>1.0000000327843199</v>
      </c>
    </row>
    <row r="3845" spans="1:40" x14ac:dyDescent="0.25">
      <c r="A3845" t="str">
        <f>"20190312164103965"</f>
        <v>20190312164103965</v>
      </c>
      <c r="B3845" t="str">
        <f>"1552380063960353"</f>
        <v>1552380063960353</v>
      </c>
      <c r="C3845" t="s">
        <v>40</v>
      </c>
      <c r="D3845">
        <v>5.664555</v>
      </c>
      <c r="E3845">
        <v>0.51200779999999901</v>
      </c>
      <c r="F3845" t="s">
        <v>42</v>
      </c>
      <c r="G3845">
        <v>-232.33529999999999</v>
      </c>
      <c r="H3845">
        <v>1.0406169999999999</v>
      </c>
      <c r="I3845">
        <v>214.07409999999999</v>
      </c>
      <c r="J3845">
        <v>-232.9333</v>
      </c>
      <c r="K3845">
        <v>1.1109100000000001</v>
      </c>
      <c r="L3845">
        <v>214.1943</v>
      </c>
      <c r="M3845">
        <v>0.99974750000000001</v>
      </c>
      <c r="N3845">
        <v>0</v>
      </c>
      <c r="O3845">
        <v>-6.5088679999999999E-4</v>
      </c>
      <c r="P3845">
        <v>0.98472420000000005</v>
      </c>
      <c r="Q3845">
        <v>0.14433779999999999</v>
      </c>
      <c r="R3845">
        <v>-9.7390989999999997E-2</v>
      </c>
      <c r="S3845">
        <v>3.0423429999999998</v>
      </c>
      <c r="T3845">
        <v>-0.2011838</v>
      </c>
      <c r="U3845">
        <v>-0.3445587</v>
      </c>
      <c r="V3845">
        <v>9.6776409999999993E-2</v>
      </c>
      <c r="W3845">
        <v>0.16641069999999999</v>
      </c>
      <c r="X3845">
        <v>0.98129599999999995</v>
      </c>
      <c r="Y3845">
        <v>0.1116487</v>
      </c>
      <c r="Z3845">
        <v>-3.632939E-3</v>
      </c>
      <c r="AA3845">
        <v>0.99374110000000004</v>
      </c>
      <c r="AB3845">
        <v>46</v>
      </c>
      <c r="AC3845">
        <v>0.59800000000001297</v>
      </c>
      <c r="AD3845">
        <v>-7.0293000000000105E-2</v>
      </c>
      <c r="AE3845">
        <v>-0.12020000000001101</v>
      </c>
      <c r="AF3845">
        <v>0.118240333405059</v>
      </c>
      <c r="AG3845">
        <v>-7.0293000000000105E-2</v>
      </c>
      <c r="AH3845">
        <v>0.59023934691438296</v>
      </c>
      <c r="AI3845">
        <v>96.660398529272697</v>
      </c>
      <c r="AJ3845">
        <v>78.672104336681997</v>
      </c>
      <c r="AK3845">
        <v>0.60605640739015099</v>
      </c>
      <c r="AL3845">
        <v>80.420805458203802</v>
      </c>
      <c r="AM3845">
        <v>84.3676450965784</v>
      </c>
      <c r="AN3845">
        <v>1.00000001711148</v>
      </c>
    </row>
    <row r="3846" spans="1:40" x14ac:dyDescent="0.25">
      <c r="A3846" t="str">
        <f>"20190312164103987"</f>
        <v>20190312164103987</v>
      </c>
      <c r="B3846" t="str">
        <f>"1552380063979876"</f>
        <v>1552380063979876</v>
      </c>
      <c r="C3846" t="s">
        <v>40</v>
      </c>
      <c r="D3846">
        <v>5.5894899999999996</v>
      </c>
      <c r="E3846">
        <v>0.51212259999999998</v>
      </c>
      <c r="F3846" t="s">
        <v>48</v>
      </c>
      <c r="G3846">
        <v>-216.4008</v>
      </c>
      <c r="H3846" s="1">
        <v>1.9706199999999999E-6</v>
      </c>
      <c r="I3846">
        <v>212.30019999999999</v>
      </c>
      <c r="J3846">
        <v>-232.4795</v>
      </c>
      <c r="K3846">
        <v>1.110946</v>
      </c>
      <c r="L3846">
        <v>214.19399999999999</v>
      </c>
      <c r="M3846">
        <v>0.99974180000000001</v>
      </c>
      <c r="N3846">
        <v>0</v>
      </c>
      <c r="O3846">
        <v>-6.4767470000000001E-4</v>
      </c>
      <c r="P3846">
        <v>0.98473849999999996</v>
      </c>
      <c r="Q3846">
        <v>0.143390299999999</v>
      </c>
      <c r="R3846">
        <v>-9.8637520000000006E-2</v>
      </c>
      <c r="S3846">
        <v>3.0420379999999998</v>
      </c>
      <c r="T3846">
        <v>-0.2044106</v>
      </c>
      <c r="U3846">
        <v>-0.34851070000000001</v>
      </c>
      <c r="V3846">
        <v>9.8020969999999999E-2</v>
      </c>
      <c r="W3846">
        <v>0.16571340000000001</v>
      </c>
      <c r="X3846">
        <v>0.98129049999999995</v>
      </c>
      <c r="Y3846">
        <v>0.11292679999999999</v>
      </c>
      <c r="Z3846">
        <v>-3.7341459999999998E-3</v>
      </c>
      <c r="AA3846">
        <v>0.99359629999999999</v>
      </c>
      <c r="AB3846">
        <v>45</v>
      </c>
      <c r="AC3846">
        <v>16.078699999999898</v>
      </c>
      <c r="AD3846">
        <v>-1.1109440293799999</v>
      </c>
      <c r="AE3846">
        <v>-1.8938000000000199</v>
      </c>
      <c r="AF3846">
        <v>1.8745564652747599</v>
      </c>
      <c r="AG3846">
        <v>-1.1109440293799999</v>
      </c>
      <c r="AH3846">
        <v>16.004563174395201</v>
      </c>
      <c r="AI3846">
        <v>93.943897409512502</v>
      </c>
      <c r="AJ3846">
        <v>83.319590686869603</v>
      </c>
      <c r="AK3846">
        <v>16.1522196920772</v>
      </c>
      <c r="AL3846">
        <v>80.461320595781501</v>
      </c>
      <c r="AM3846">
        <v>84.295655045408694</v>
      </c>
      <c r="AN3846">
        <v>1.00000004344477</v>
      </c>
    </row>
    <row r="3847" spans="1:40" x14ac:dyDescent="0.25">
      <c r="A3847" t="str">
        <f>"20190312164104010"</f>
        <v>20190312164104010</v>
      </c>
      <c r="B3847" t="str">
        <f>"1552380064000369"</f>
        <v>1552380064000369</v>
      </c>
      <c r="C3847" t="s">
        <v>40</v>
      </c>
      <c r="D3847">
        <v>5.7002639999999998</v>
      </c>
      <c r="E3847">
        <v>0.51215909999999998</v>
      </c>
      <c r="F3847" t="s">
        <v>48</v>
      </c>
      <c r="G3847">
        <v>-216.2756</v>
      </c>
      <c r="H3847" s="1">
        <v>1.9033489999999999E-6</v>
      </c>
      <c r="I3847">
        <v>212.31479999999999</v>
      </c>
      <c r="J3847">
        <v>-232.0384</v>
      </c>
      <c r="K3847">
        <v>1.110975</v>
      </c>
      <c r="L3847">
        <v>214.19370000000001</v>
      </c>
      <c r="M3847">
        <v>0.99973619999999996</v>
      </c>
      <c r="N3847">
        <v>0</v>
      </c>
      <c r="O3847">
        <v>-6.4429839999999999E-4</v>
      </c>
      <c r="P3847">
        <v>0.98466900000000002</v>
      </c>
      <c r="Q3847">
        <v>0.14276459999999999</v>
      </c>
      <c r="R3847">
        <v>-0.10022490000000001</v>
      </c>
      <c r="S3847">
        <v>3.0415190000000001</v>
      </c>
      <c r="T3847">
        <v>-0.2085273</v>
      </c>
      <c r="U3847">
        <v>-0.35272219999999999</v>
      </c>
      <c r="V3847">
        <v>9.9607650000000006E-2</v>
      </c>
      <c r="W3847">
        <v>0.165323</v>
      </c>
      <c r="X3847">
        <v>0.98119650000000003</v>
      </c>
      <c r="Y3847">
        <v>0.1142936</v>
      </c>
      <c r="Z3847">
        <v>-3.856394E-3</v>
      </c>
      <c r="AA3847">
        <v>0.99343959999999998</v>
      </c>
      <c r="AB3847">
        <v>45</v>
      </c>
      <c r="AC3847">
        <v>15.7628</v>
      </c>
      <c r="AD3847">
        <v>-1.1109730966509901</v>
      </c>
      <c r="AE3847">
        <v>-1.87890000000001</v>
      </c>
      <c r="AF3847">
        <v>1.85963262140925</v>
      </c>
      <c r="AG3847">
        <v>-1.1109730966509901</v>
      </c>
      <c r="AH3847">
        <v>15.6871728302013</v>
      </c>
      <c r="AI3847">
        <v>94.0228766161664</v>
      </c>
      <c r="AJ3847">
        <v>83.239434438091905</v>
      </c>
      <c r="AK3847">
        <v>15.8360312614208</v>
      </c>
      <c r="AL3847">
        <v>80.484001055967298</v>
      </c>
      <c r="AM3847">
        <v>84.203390183941593</v>
      </c>
      <c r="AN3847">
        <v>0.99999997493988502</v>
      </c>
    </row>
    <row r="3848" spans="1:40" x14ac:dyDescent="0.25">
      <c r="A3848" t="str">
        <f>"20190312164104031"</f>
        <v>20190312164104031</v>
      </c>
      <c r="B3848" t="str">
        <f>"1552380064019889"</f>
        <v>1552380064019889</v>
      </c>
      <c r="C3848" t="s">
        <v>40</v>
      </c>
      <c r="D3848">
        <v>5.7237119999999999</v>
      </c>
      <c r="E3848">
        <v>0.51217139999999906</v>
      </c>
      <c r="F3848" t="s">
        <v>48</v>
      </c>
      <c r="G3848">
        <v>-216.19059999999999</v>
      </c>
      <c r="H3848" s="1">
        <v>1.857423E-6</v>
      </c>
      <c r="I3848">
        <v>212.3313</v>
      </c>
      <c r="J3848">
        <v>-231.60140000000001</v>
      </c>
      <c r="K3848">
        <v>1.111016</v>
      </c>
      <c r="L3848">
        <v>214.1934</v>
      </c>
      <c r="M3848">
        <v>0.99973089999999998</v>
      </c>
      <c r="N3848">
        <v>0</v>
      </c>
      <c r="O3848">
        <v>-6.4118979999999996E-4</v>
      </c>
      <c r="P3848">
        <v>0.9844965</v>
      </c>
      <c r="Q3848">
        <v>0.14263679999999901</v>
      </c>
      <c r="R3848">
        <v>-0.1020856</v>
      </c>
      <c r="S3848">
        <v>3.041229</v>
      </c>
      <c r="T3848">
        <v>-0.21319840000000001</v>
      </c>
      <c r="U3848">
        <v>-0.35739140000000003</v>
      </c>
      <c r="V3848">
        <v>0.1014684</v>
      </c>
      <c r="W3848">
        <v>0.16542319999999999</v>
      </c>
      <c r="X3848">
        <v>0.980989</v>
      </c>
      <c r="Y3848">
        <v>0.1157965</v>
      </c>
      <c r="Z3848">
        <v>-3.9952499999999997E-3</v>
      </c>
      <c r="AA3848">
        <v>0.99326490000000001</v>
      </c>
      <c r="AB3848">
        <v>45</v>
      </c>
      <c r="AC3848">
        <v>15.4108</v>
      </c>
      <c r="AD3848">
        <v>-1.1110141425769999</v>
      </c>
      <c r="AE3848">
        <v>-1.8620999999999901</v>
      </c>
      <c r="AF3848">
        <v>1.84277583276707</v>
      </c>
      <c r="AG3848">
        <v>-1.1110141425769999</v>
      </c>
      <c r="AH3848">
        <v>15.333443387654301</v>
      </c>
      <c r="AI3848">
        <v>94.114727904061994</v>
      </c>
      <c r="AJ3848">
        <v>83.147050365414302</v>
      </c>
      <c r="AK3848">
        <v>15.483690171184501</v>
      </c>
      <c r="AL3848">
        <v>80.478180537723503</v>
      </c>
      <c r="AM3848">
        <v>84.094622880804195</v>
      </c>
      <c r="AN3848">
        <v>1.0000000447088899</v>
      </c>
    </row>
    <row r="3849" spans="1:40" x14ac:dyDescent="0.25">
      <c r="A3849" t="str">
        <f>"20190312164104055"</f>
        <v>20190312164104055</v>
      </c>
      <c r="B3849" t="str">
        <f>"1552380064050146"</f>
        <v>1552380064050146</v>
      </c>
      <c r="C3849" t="s">
        <v>40</v>
      </c>
      <c r="D3849">
        <v>5.6650130000000001</v>
      </c>
      <c r="E3849">
        <v>0.51238159999999999</v>
      </c>
      <c r="F3849" t="s">
        <v>48</v>
      </c>
      <c r="G3849">
        <v>-215.71170000000001</v>
      </c>
      <c r="H3849" s="1">
        <v>1.6040870000000001E-6</v>
      </c>
      <c r="I3849">
        <v>212.29669999999999</v>
      </c>
      <c r="J3849">
        <v>-231.1429</v>
      </c>
      <c r="K3849">
        <v>1.1110629999999999</v>
      </c>
      <c r="L3849">
        <v>214.19309999999999</v>
      </c>
      <c r="M3849">
        <v>0.99972519999999998</v>
      </c>
      <c r="N3849">
        <v>0</v>
      </c>
      <c r="O3849">
        <v>-6.3779159999999995E-4</v>
      </c>
      <c r="P3849">
        <v>0.98420160000000001</v>
      </c>
      <c r="Q3849">
        <v>0.14375260000000001</v>
      </c>
      <c r="R3849">
        <v>-0.1033562</v>
      </c>
      <c r="S3849">
        <v>3.0403899999999999</v>
      </c>
      <c r="T3849">
        <v>-0.21258569999999999</v>
      </c>
      <c r="U3849">
        <v>-0.36291499999999999</v>
      </c>
      <c r="V3849">
        <v>0.1027399</v>
      </c>
      <c r="W3849">
        <v>0.16677410000000001</v>
      </c>
      <c r="X3849">
        <v>0.98062780000000005</v>
      </c>
      <c r="Y3849">
        <v>0.117608199999999</v>
      </c>
      <c r="Z3849">
        <v>-4.0477339999999999E-3</v>
      </c>
      <c r="AA3849">
        <v>0.99305180000000004</v>
      </c>
      <c r="AB3849">
        <v>45</v>
      </c>
      <c r="AC3849">
        <v>15.431199999999899</v>
      </c>
      <c r="AD3849">
        <v>-1.111061395913</v>
      </c>
      <c r="AE3849">
        <v>-1.8964000000000001</v>
      </c>
      <c r="AF3849">
        <v>1.87696932134172</v>
      </c>
      <c r="AG3849">
        <v>-1.111061395913</v>
      </c>
      <c r="AH3849">
        <v>15.353993711839101</v>
      </c>
      <c r="AI3849">
        <v>94.108402978255498</v>
      </c>
      <c r="AJ3849">
        <v>83.030382542247395</v>
      </c>
      <c r="AK3849">
        <v>15.508146058183099</v>
      </c>
      <c r="AL3849">
        <v>80.399688775744096</v>
      </c>
      <c r="AM3849">
        <v>84.018969116899697</v>
      </c>
      <c r="AN3849">
        <v>0.99999998480782903</v>
      </c>
    </row>
    <row r="3850" spans="1:40" x14ac:dyDescent="0.25">
      <c r="A3850" t="str">
        <f>"20190312164104077"</f>
        <v>20190312164104077</v>
      </c>
      <c r="B3850" t="str">
        <f>"1552380064069666"</f>
        <v>1552380064069666</v>
      </c>
      <c r="C3850" t="s">
        <v>40</v>
      </c>
      <c r="D3850">
        <v>5.7223660000000001</v>
      </c>
      <c r="E3850">
        <v>0.51241170000000003</v>
      </c>
      <c r="F3850" t="s">
        <v>48</v>
      </c>
      <c r="G3850">
        <v>-215.14689999999999</v>
      </c>
      <c r="H3850" s="1">
        <v>1.305528E-6</v>
      </c>
      <c r="I3850">
        <v>212.25110000000001</v>
      </c>
      <c r="J3850">
        <v>-230.69499999999999</v>
      </c>
      <c r="K3850">
        <v>1.111111</v>
      </c>
      <c r="L3850">
        <v>214.1927</v>
      </c>
      <c r="M3850">
        <v>0.99971980000000005</v>
      </c>
      <c r="N3850">
        <v>0</v>
      </c>
      <c r="O3850">
        <v>-6.3384559999999995E-4</v>
      </c>
      <c r="P3850">
        <v>0.98388589999999998</v>
      </c>
      <c r="Q3850">
        <v>0.14495569999999999</v>
      </c>
      <c r="R3850">
        <v>-0.1046749</v>
      </c>
      <c r="S3850">
        <v>3.0402529999999999</v>
      </c>
      <c r="T3850">
        <v>-0.2111729</v>
      </c>
      <c r="U3850">
        <v>-0.3690948</v>
      </c>
      <c r="V3850">
        <v>0.10406070000000001</v>
      </c>
      <c r="W3850">
        <v>0.16819809999999999</v>
      </c>
      <c r="X3850">
        <v>0.98024520000000004</v>
      </c>
      <c r="Y3850">
        <v>0.1196059</v>
      </c>
      <c r="Z3850">
        <v>-4.0899100000000004E-3</v>
      </c>
      <c r="AA3850">
        <v>0.9928131</v>
      </c>
      <c r="AB3850">
        <v>45</v>
      </c>
      <c r="AC3850">
        <v>15.5481</v>
      </c>
      <c r="AD3850">
        <v>-1.111109694472</v>
      </c>
      <c r="AE3850">
        <v>-1.94159999999999</v>
      </c>
      <c r="AF3850">
        <v>1.92207658091636</v>
      </c>
      <c r="AG3850">
        <v>-1.111109694472</v>
      </c>
      <c r="AH3850">
        <v>15.471529214724001</v>
      </c>
      <c r="AI3850">
        <v>94.076494189009793</v>
      </c>
      <c r="AJ3850">
        <v>82.918249871111399</v>
      </c>
      <c r="AK3850">
        <v>15.6300082974423</v>
      </c>
      <c r="AL3850">
        <v>80.316930143474707</v>
      </c>
      <c r="AM3850">
        <v>83.940299796346295</v>
      </c>
      <c r="AN3850">
        <v>0.999999941125568</v>
      </c>
    </row>
    <row r="3851" spans="1:40" x14ac:dyDescent="0.25">
      <c r="A3851" t="str">
        <f>"20190312164104098"</f>
        <v>20190312164104098</v>
      </c>
      <c r="B3851" t="str">
        <f>"1552380064090162"</f>
        <v>1552380064090162</v>
      </c>
      <c r="C3851" t="s">
        <v>40</v>
      </c>
      <c r="D3851">
        <v>5.7254620000000003</v>
      </c>
      <c r="E3851">
        <v>0.51239079999999904</v>
      </c>
      <c r="F3851" t="s">
        <v>48</v>
      </c>
      <c r="G3851">
        <v>-214.46809999999999</v>
      </c>
      <c r="H3851" s="1">
        <v>9.4671809999999999E-7</v>
      </c>
      <c r="I3851">
        <v>212.1961</v>
      </c>
      <c r="J3851">
        <v>-230.27610000000001</v>
      </c>
      <c r="K3851">
        <v>1.1111489999999999</v>
      </c>
      <c r="L3851">
        <v>214.1925</v>
      </c>
      <c r="M3851">
        <v>0.99971489999999996</v>
      </c>
      <c r="N3851">
        <v>0</v>
      </c>
      <c r="O3851">
        <v>-6.2936069999999897E-4</v>
      </c>
      <c r="P3851">
        <v>0.98356350000000003</v>
      </c>
      <c r="Q3851">
        <v>0.14601220000000001</v>
      </c>
      <c r="R3851">
        <v>-0.106222</v>
      </c>
      <c r="S3851">
        <v>3.0400390000000002</v>
      </c>
      <c r="T3851">
        <v>-0.20816180000000001</v>
      </c>
      <c r="U3851">
        <v>-0.37406919999999999</v>
      </c>
      <c r="V3851">
        <v>0.1056112</v>
      </c>
      <c r="W3851">
        <v>0.16944489999999901</v>
      </c>
      <c r="X3851">
        <v>0.97986459999999997</v>
      </c>
      <c r="Y3851">
        <v>0.1212234</v>
      </c>
      <c r="Z3851">
        <v>-4.0870230000000004E-3</v>
      </c>
      <c r="AA3851">
        <v>0.99261679999999997</v>
      </c>
      <c r="AB3851">
        <v>44</v>
      </c>
      <c r="AC3851">
        <v>15.808</v>
      </c>
      <c r="AD3851">
        <v>-1.11114805328189</v>
      </c>
      <c r="AE3851">
        <v>-1.99639999999999</v>
      </c>
      <c r="AF3851">
        <v>1.9768341871313799</v>
      </c>
      <c r="AG3851">
        <v>-1.11114805328189</v>
      </c>
      <c r="AH3851">
        <v>15.732742937832599</v>
      </c>
      <c r="AI3851">
        <v>94.008474933962503</v>
      </c>
      <c r="AJ3851">
        <v>82.838263379686893</v>
      </c>
      <c r="AK3851">
        <v>15.895336540874</v>
      </c>
      <c r="AL3851">
        <v>80.244453727453404</v>
      </c>
      <c r="AM3851">
        <v>83.848327049107894</v>
      </c>
      <c r="AN3851">
        <v>0.99999996701730398</v>
      </c>
    </row>
    <row r="3852" spans="1:40" x14ac:dyDescent="0.25">
      <c r="A3852" t="str">
        <f>"20190312164104121"</f>
        <v>20190312164104121</v>
      </c>
      <c r="B3852" t="str">
        <f>"1552380064109681"</f>
        <v>1552380064109681</v>
      </c>
      <c r="C3852" t="s">
        <v>40</v>
      </c>
      <c r="D3852">
        <v>5.7389789999999996</v>
      </c>
      <c r="E3852">
        <v>0.51242279999999996</v>
      </c>
      <c r="F3852" t="s">
        <v>48</v>
      </c>
      <c r="G3852">
        <v>-213.73310000000001</v>
      </c>
      <c r="H3852" s="1">
        <v>5.5851500000000002E-7</v>
      </c>
      <c r="I3852">
        <v>212.1293</v>
      </c>
      <c r="J3852">
        <v>-229.84200000000001</v>
      </c>
      <c r="K3852">
        <v>1.1111879999999901</v>
      </c>
      <c r="L3852">
        <v>214.19220000000001</v>
      </c>
      <c r="M3852">
        <v>0.99971010000000005</v>
      </c>
      <c r="N3852">
        <v>0</v>
      </c>
      <c r="O3852">
        <v>-6.2416920000000001E-4</v>
      </c>
      <c r="P3852">
        <v>0.98301870000000002</v>
      </c>
      <c r="Q3852">
        <v>0.14786949999999999</v>
      </c>
      <c r="R3852">
        <v>-0.1086683</v>
      </c>
      <c r="S3852">
        <v>3.0394899999999998</v>
      </c>
      <c r="T3852">
        <v>-0.20415520000000001</v>
      </c>
      <c r="U3852">
        <v>-0.37907410000000002</v>
      </c>
      <c r="V3852">
        <v>0.1080622</v>
      </c>
      <c r="W3852">
        <v>0.17148459999999999</v>
      </c>
      <c r="X3852">
        <v>0.97924230000000001</v>
      </c>
      <c r="Y3852">
        <v>0.1228668</v>
      </c>
      <c r="Z3852">
        <v>-4.0641119999999999E-3</v>
      </c>
      <c r="AA3852">
        <v>0.99241480000000004</v>
      </c>
      <c r="AB3852">
        <v>44</v>
      </c>
      <c r="AC3852">
        <v>16.108899999999998</v>
      </c>
      <c r="AD3852">
        <v>-1.11118744148499</v>
      </c>
      <c r="AE3852">
        <v>-2.0629000000000102</v>
      </c>
      <c r="AF3852">
        <v>2.04327654886688</v>
      </c>
      <c r="AG3852">
        <v>-1.11118744148499</v>
      </c>
      <c r="AH3852">
        <v>16.0351175519667</v>
      </c>
      <c r="AI3852">
        <v>93.932399242396002</v>
      </c>
      <c r="AJ3852">
        <v>82.738214078558798</v>
      </c>
      <c r="AK3852">
        <v>16.202922930467</v>
      </c>
      <c r="AL3852">
        <v>80.125851388527593</v>
      </c>
      <c r="AM3852">
        <v>83.7027259259076</v>
      </c>
      <c r="AN3852">
        <v>0.99999994460764297</v>
      </c>
    </row>
    <row r="3853" spans="1:40" x14ac:dyDescent="0.25">
      <c r="A3853" t="str">
        <f>"20190312164104143"</f>
        <v>20190312164104143</v>
      </c>
      <c r="B3853" t="str">
        <f>"1552380064139938"</f>
        <v>1552380064139938</v>
      </c>
      <c r="C3853" t="s">
        <v>40</v>
      </c>
      <c r="D3853">
        <v>5.6913499999999999</v>
      </c>
      <c r="E3853">
        <v>0.51240959999999902</v>
      </c>
      <c r="F3853" t="s">
        <v>48</v>
      </c>
      <c r="G3853">
        <v>-212.8819</v>
      </c>
      <c r="H3853" s="1">
        <v>1.095928E-7</v>
      </c>
      <c r="I3853">
        <v>212.03630000000001</v>
      </c>
      <c r="J3853">
        <v>-229.39570000000001</v>
      </c>
      <c r="K3853">
        <v>1.111226</v>
      </c>
      <c r="L3853">
        <v>214.1919</v>
      </c>
      <c r="M3853">
        <v>0.99970530000000002</v>
      </c>
      <c r="N3853">
        <v>0</v>
      </c>
      <c r="O3853">
        <v>-6.1867949999999997E-4</v>
      </c>
      <c r="P3853">
        <v>0.98246250000000002</v>
      </c>
      <c r="Q3853">
        <v>0.14961969999999999</v>
      </c>
      <c r="R3853">
        <v>-0.1112722</v>
      </c>
      <c r="S3853">
        <v>3.0390630000000001</v>
      </c>
      <c r="T3853">
        <v>-0.19911239999999999</v>
      </c>
      <c r="U3853">
        <v>-0.386322</v>
      </c>
      <c r="V3853">
        <v>0.11067100000000001</v>
      </c>
      <c r="W3853">
        <v>0.1734183</v>
      </c>
      <c r="X3853">
        <v>0.97861030000000004</v>
      </c>
      <c r="Y3853">
        <v>0.12522719999999901</v>
      </c>
      <c r="Z3853">
        <v>-4.041195E-3</v>
      </c>
      <c r="AA3853">
        <v>0.9921198</v>
      </c>
      <c r="AB3853">
        <v>44</v>
      </c>
      <c r="AC3853">
        <v>16.5138</v>
      </c>
      <c r="AD3853">
        <v>-1.1112258904072001</v>
      </c>
      <c r="AE3853">
        <v>-2.15559999999999</v>
      </c>
      <c r="AF3853">
        <v>2.1358705396659698</v>
      </c>
      <c r="AG3853">
        <v>-1.1112258904072001</v>
      </c>
      <c r="AH3853">
        <v>16.441928368989402</v>
      </c>
      <c r="AI3853">
        <v>93.834329519074998</v>
      </c>
      <c r="AJ3853">
        <v>82.598502826066607</v>
      </c>
      <c r="AK3853">
        <v>16.617273375397801</v>
      </c>
      <c r="AL3853">
        <v>80.013374414928194</v>
      </c>
      <c r="AM3853">
        <v>83.5478356872364</v>
      </c>
      <c r="AN3853">
        <v>1.0000000481409801</v>
      </c>
    </row>
    <row r="3854" spans="1:40" x14ac:dyDescent="0.25">
      <c r="A3854" t="str">
        <f>"20190312164104167"</f>
        <v>20190312164104167</v>
      </c>
      <c r="B3854" t="str">
        <f>"1552380064160433"</f>
        <v>1552380064160433</v>
      </c>
      <c r="C3854" t="s">
        <v>40</v>
      </c>
      <c r="D3854">
        <v>5.7230299999999996</v>
      </c>
      <c r="E3854">
        <v>0.512378</v>
      </c>
      <c r="F3854" t="s">
        <v>48</v>
      </c>
      <c r="G3854">
        <v>-211.9111</v>
      </c>
      <c r="H3854" s="1">
        <v>-4.0235699999999998E-7</v>
      </c>
      <c r="I3854">
        <v>211.9297</v>
      </c>
      <c r="J3854">
        <v>-228.94569999999999</v>
      </c>
      <c r="K3854">
        <v>1.111254</v>
      </c>
      <c r="L3854">
        <v>214.19159999999999</v>
      </c>
      <c r="M3854">
        <v>0.99970060000000005</v>
      </c>
      <c r="N3854">
        <v>0</v>
      </c>
      <c r="O3854">
        <v>-6.1323559999999896E-4</v>
      </c>
      <c r="P3854">
        <v>0.98200600000000005</v>
      </c>
      <c r="Q3854">
        <v>0.1505649</v>
      </c>
      <c r="R3854">
        <v>-0.1139931</v>
      </c>
      <c r="S3854">
        <v>3.0384519999999999</v>
      </c>
      <c r="T3854">
        <v>-0.19310749999999999</v>
      </c>
      <c r="U3854">
        <v>-0.39312740000000002</v>
      </c>
      <c r="V3854">
        <v>0.11339680000000001</v>
      </c>
      <c r="W3854">
        <v>0.17454159999999999</v>
      </c>
      <c r="X3854">
        <v>0.97809840000000003</v>
      </c>
      <c r="Y3854">
        <v>0.1274545</v>
      </c>
      <c r="Z3854">
        <v>-3.9905469999999997E-3</v>
      </c>
      <c r="AA3854">
        <v>0.99183639999999995</v>
      </c>
      <c r="AB3854">
        <v>43</v>
      </c>
      <c r="AC3854">
        <v>17.034599999999902</v>
      </c>
      <c r="AD3854">
        <v>-1.1112544023569999</v>
      </c>
      <c r="AE3854">
        <v>-2.26189999999999</v>
      </c>
      <c r="AF3854">
        <v>2.2420741158444</v>
      </c>
      <c r="AG3854">
        <v>-1.1112544023569999</v>
      </c>
      <c r="AH3854">
        <v>16.965038351863502</v>
      </c>
      <c r="AI3854">
        <v>93.715454985338795</v>
      </c>
      <c r="AJ3854">
        <v>82.471503686769793</v>
      </c>
      <c r="AK3854">
        <v>17.148594956086001</v>
      </c>
      <c r="AL3854">
        <v>79.948017256802402</v>
      </c>
      <c r="AM3854">
        <v>83.386881302151295</v>
      </c>
      <c r="AN3854">
        <v>1.0000000422316699</v>
      </c>
    </row>
    <row r="3855" spans="1:40" x14ac:dyDescent="0.25">
      <c r="A3855" t="str">
        <f>"20190312164104188"</f>
        <v>20190312164104188</v>
      </c>
      <c r="B3855" t="str">
        <f>"1552380064179953"</f>
        <v>1552380064179953</v>
      </c>
      <c r="C3855" t="s">
        <v>40</v>
      </c>
      <c r="D3855">
        <v>5.751163</v>
      </c>
      <c r="E3855">
        <v>0.51237739999999998</v>
      </c>
      <c r="F3855" t="s">
        <v>48</v>
      </c>
      <c r="G3855">
        <v>-211.16970000000001</v>
      </c>
      <c r="H3855" s="1">
        <v>-7.9323630000000005E-7</v>
      </c>
      <c r="I3855">
        <v>211.84639999999999</v>
      </c>
      <c r="J3855">
        <v>-228.53270000000001</v>
      </c>
      <c r="K3855">
        <v>1.1112740000000001</v>
      </c>
      <c r="L3855">
        <v>214.19139999999999</v>
      </c>
      <c r="M3855">
        <v>0.99969640000000004</v>
      </c>
      <c r="N3855">
        <v>0</v>
      </c>
      <c r="O3855">
        <v>-6.0873730000000003E-4</v>
      </c>
      <c r="P3855">
        <v>0.98184649999999996</v>
      </c>
      <c r="Q3855">
        <v>0.149807</v>
      </c>
      <c r="R3855">
        <v>-0.1163438</v>
      </c>
      <c r="S3855">
        <v>3.0375670000000001</v>
      </c>
      <c r="T3855">
        <v>-0.1898918</v>
      </c>
      <c r="U3855">
        <v>-0.40075680000000002</v>
      </c>
      <c r="V3855">
        <v>0.1157514</v>
      </c>
      <c r="W3855">
        <v>0.1739462</v>
      </c>
      <c r="X3855">
        <v>0.97792860000000004</v>
      </c>
      <c r="Y3855">
        <v>0.12994810000000001</v>
      </c>
      <c r="Z3855">
        <v>-4.0025349999999998E-3</v>
      </c>
      <c r="AA3855">
        <v>0.99151270000000002</v>
      </c>
      <c r="AB3855">
        <v>43</v>
      </c>
      <c r="AC3855">
        <v>17.363</v>
      </c>
      <c r="AD3855">
        <v>-1.1112747932363001</v>
      </c>
      <c r="AE3855">
        <v>-2.3450000000000002</v>
      </c>
      <c r="AF3855">
        <v>2.3250732325890802</v>
      </c>
      <c r="AG3855">
        <v>-1.1112747932363001</v>
      </c>
      <c r="AH3855">
        <v>17.294848647407701</v>
      </c>
      <c r="AI3855">
        <v>93.643776582408705</v>
      </c>
      <c r="AJ3855">
        <v>82.343216310643498</v>
      </c>
      <c r="AK3855">
        <v>17.485785282329299</v>
      </c>
      <c r="AL3855">
        <v>79.982660769122404</v>
      </c>
      <c r="AM3855">
        <v>83.249657789636302</v>
      </c>
      <c r="AN3855">
        <v>1.0000000068971799</v>
      </c>
    </row>
    <row r="3856" spans="1:40" x14ac:dyDescent="0.25">
      <c r="A3856" t="str">
        <f>"20190312164104211"</f>
        <v>20190312164104211</v>
      </c>
      <c r="B3856" t="str">
        <f>"1552380064199474"</f>
        <v>1552380064199474</v>
      </c>
      <c r="C3856" t="s">
        <v>40</v>
      </c>
      <c r="D3856">
        <v>5.7797499999999999</v>
      </c>
      <c r="E3856">
        <v>0.51241029999999999</v>
      </c>
      <c r="F3856" t="s">
        <v>48</v>
      </c>
      <c r="G3856">
        <v>-211.04750000000001</v>
      </c>
      <c r="H3856" s="1">
        <v>-8.5811239999999997E-7</v>
      </c>
      <c r="I3856">
        <v>211.84309999999999</v>
      </c>
      <c r="J3856">
        <v>-228.11279999999999</v>
      </c>
      <c r="K3856">
        <v>1.1113040000000001</v>
      </c>
      <c r="L3856">
        <v>214.19110000000001</v>
      </c>
      <c r="M3856">
        <v>0.99969189999999997</v>
      </c>
      <c r="N3856">
        <v>0</v>
      </c>
      <c r="O3856">
        <v>-6.052144E-4</v>
      </c>
      <c r="P3856">
        <v>0.9820411</v>
      </c>
      <c r="Q3856">
        <v>0.1471953</v>
      </c>
      <c r="R3856">
        <v>-0.1180205</v>
      </c>
      <c r="S3856">
        <v>3.0366059999999999</v>
      </c>
      <c r="T3856">
        <v>-0.1929932</v>
      </c>
      <c r="U3856">
        <v>-0.40782170000000001</v>
      </c>
      <c r="V3856">
        <v>0.11743140000000001</v>
      </c>
      <c r="W3856">
        <v>0.17151520000000001</v>
      </c>
      <c r="X3856">
        <v>0.97815759999999996</v>
      </c>
      <c r="Y3856">
        <v>0.1322458</v>
      </c>
      <c r="Z3856">
        <v>-4.1412699999999998E-3</v>
      </c>
      <c r="AA3856">
        <v>0.99120830000000004</v>
      </c>
      <c r="AB3856">
        <v>43</v>
      </c>
      <c r="AC3856">
        <v>17.065299999999901</v>
      </c>
      <c r="AD3856">
        <v>-1.1113048581123901</v>
      </c>
      <c r="AE3856">
        <v>-2.3480000000000101</v>
      </c>
      <c r="AF3856">
        <v>2.3279793557077002</v>
      </c>
      <c r="AG3856">
        <v>-1.1113048581123901</v>
      </c>
      <c r="AH3856">
        <v>16.995982407881701</v>
      </c>
      <c r="AI3856">
        <v>93.706524745920206</v>
      </c>
      <c r="AJ3856">
        <v>82.2005977251372</v>
      </c>
      <c r="AK3856">
        <v>17.190634205208699</v>
      </c>
      <c r="AL3856">
        <v>80.124071764818396</v>
      </c>
      <c r="AM3856">
        <v>83.1541957556353</v>
      </c>
      <c r="AN3856">
        <v>0.99999994398737801</v>
      </c>
    </row>
    <row r="3857" spans="1:40" x14ac:dyDescent="0.25">
      <c r="A3857" t="str">
        <f>"20190312164104233"</f>
        <v>20190312164104233</v>
      </c>
      <c r="B3857" t="str">
        <f>"1552380064219970"</f>
        <v>1552380064219970</v>
      </c>
      <c r="C3857" t="s">
        <v>40</v>
      </c>
      <c r="D3857">
        <v>5.8370769999999998</v>
      </c>
      <c r="E3857">
        <v>0.51240029999999903</v>
      </c>
      <c r="F3857" t="s">
        <v>48</v>
      </c>
      <c r="G3857">
        <v>-211.41120000000001</v>
      </c>
      <c r="H3857" s="1">
        <v>-6.6771119999999995E-7</v>
      </c>
      <c r="I3857">
        <v>211.91480000000001</v>
      </c>
      <c r="J3857">
        <v>-227.685</v>
      </c>
      <c r="K3857">
        <v>1.111332</v>
      </c>
      <c r="L3857">
        <v>214.1908</v>
      </c>
      <c r="M3857">
        <v>0.9996874</v>
      </c>
      <c r="N3857">
        <v>0</v>
      </c>
      <c r="O3857">
        <v>-6.0287619999999998E-4</v>
      </c>
      <c r="P3857">
        <v>0.98221309999999995</v>
      </c>
      <c r="Q3857">
        <v>0.1444732</v>
      </c>
      <c r="R3857">
        <v>-0.11993819999999999</v>
      </c>
      <c r="S3857">
        <v>3.0354160000000001</v>
      </c>
      <c r="T3857">
        <v>-0.20197319999999999</v>
      </c>
      <c r="U3857">
        <v>-0.41369630000000002</v>
      </c>
      <c r="V3857">
        <v>0.1193516</v>
      </c>
      <c r="W3857">
        <v>0.1689783</v>
      </c>
      <c r="X3857">
        <v>0.97836670000000003</v>
      </c>
      <c r="Y3857">
        <v>0.13415389999999999</v>
      </c>
      <c r="Z3857">
        <v>-4.3979520000000001E-3</v>
      </c>
      <c r="AA3857">
        <v>0.99095080000000002</v>
      </c>
      <c r="AB3857">
        <v>43</v>
      </c>
      <c r="AC3857">
        <v>16.273799999999898</v>
      </c>
      <c r="AD3857">
        <v>-1.1113326677111901</v>
      </c>
      <c r="AE3857">
        <v>-2.2759999999999798</v>
      </c>
      <c r="AF3857">
        <v>2.25586706627388</v>
      </c>
      <c r="AG3857">
        <v>-1.1113326677111901</v>
      </c>
      <c r="AH3857">
        <v>16.2010657180648</v>
      </c>
      <c r="AI3857">
        <v>93.886748246016097</v>
      </c>
      <c r="AJ3857">
        <v>82.072995353478106</v>
      </c>
      <c r="AK3857">
        <v>16.3950763011362</v>
      </c>
      <c r="AL3857">
        <v>80.271578779356702</v>
      </c>
      <c r="AM3857">
        <v>83.044815852525801</v>
      </c>
      <c r="AN3857">
        <v>0.99999993498116702</v>
      </c>
    </row>
    <row r="3858" spans="1:40" x14ac:dyDescent="0.25">
      <c r="A3858" t="str">
        <f>"20190312164104256"</f>
        <v>20190312164104256</v>
      </c>
      <c r="B3858" t="str">
        <f>"1552380064250229"</f>
        <v>1552380064250229</v>
      </c>
      <c r="C3858" t="s">
        <v>40</v>
      </c>
      <c r="D3858">
        <v>5.7711839999999999</v>
      </c>
      <c r="E3858">
        <v>0.51236899999999996</v>
      </c>
      <c r="F3858" t="s">
        <v>48</v>
      </c>
      <c r="G3858">
        <v>-211.7518</v>
      </c>
      <c r="H3858" s="1">
        <v>-4.8989259999999895E-7</v>
      </c>
      <c r="I3858">
        <v>211.9933</v>
      </c>
      <c r="J3858">
        <v>-227.2578</v>
      </c>
      <c r="K3858">
        <v>1.1113580000000001</v>
      </c>
      <c r="L3858">
        <v>214.19049999999999</v>
      </c>
      <c r="M3858">
        <v>0.99968259999999998</v>
      </c>
      <c r="N3858">
        <v>0</v>
      </c>
      <c r="O3858">
        <v>-6.0701919999999897E-4</v>
      </c>
      <c r="P3858">
        <v>0.98222640000000006</v>
      </c>
      <c r="Q3858">
        <v>0.14262349999999999</v>
      </c>
      <c r="R3858">
        <v>-0.1220224</v>
      </c>
      <c r="S3858">
        <v>3.034348</v>
      </c>
      <c r="T3858">
        <v>-0.21164430000000001</v>
      </c>
      <c r="U3858">
        <v>-0.41850280000000001</v>
      </c>
      <c r="V3858">
        <v>0.12143320000000001</v>
      </c>
      <c r="W3858">
        <v>0.16731389999999999</v>
      </c>
      <c r="X3858">
        <v>0.97839670000000001</v>
      </c>
      <c r="Y3858">
        <v>0.13570479999999999</v>
      </c>
      <c r="Z3858">
        <v>-4.66264E-3</v>
      </c>
      <c r="AA3858">
        <v>0.99073829999999996</v>
      </c>
      <c r="AB3858">
        <v>43</v>
      </c>
      <c r="AC3858">
        <v>15.505999999999901</v>
      </c>
      <c r="AD3858">
        <v>-1.1113584898926001</v>
      </c>
      <c r="AE3858">
        <v>-2.1971999999999801</v>
      </c>
      <c r="AF3858">
        <v>2.1768219630893499</v>
      </c>
      <c r="AG3858">
        <v>-1.1113584898926001</v>
      </c>
      <c r="AH3858">
        <v>15.429629606273901</v>
      </c>
      <c r="AI3858">
        <v>94.079500109440602</v>
      </c>
      <c r="AJ3858">
        <v>81.969672960343303</v>
      </c>
      <c r="AK3858">
        <v>15.622008236422401</v>
      </c>
      <c r="AL3858">
        <v>80.368320228353596</v>
      </c>
      <c r="AM3858">
        <v>82.924944944532697</v>
      </c>
      <c r="AN3858">
        <v>1.00000003288316</v>
      </c>
    </row>
    <row r="3859" spans="1:40" x14ac:dyDescent="0.25">
      <c r="A3859" t="str">
        <f>"20190312164104279"</f>
        <v>20190312164104279</v>
      </c>
      <c r="B3859" t="str">
        <f>"1552380064269745"</f>
        <v>1552380064269745</v>
      </c>
      <c r="C3859" t="s">
        <v>40</v>
      </c>
      <c r="D3859">
        <v>5.7390850000000002</v>
      </c>
      <c r="E3859">
        <v>0.51244509999999999</v>
      </c>
      <c r="F3859" t="s">
        <v>48</v>
      </c>
      <c r="G3859">
        <v>-211.7867</v>
      </c>
      <c r="H3859" s="1">
        <v>-4.7297259999999898E-7</v>
      </c>
      <c r="I3859">
        <v>212.03030000000001</v>
      </c>
      <c r="J3859">
        <v>-226.8237</v>
      </c>
      <c r="K3859">
        <v>1.1113820000000001</v>
      </c>
      <c r="L3859">
        <v>214.1902</v>
      </c>
      <c r="M3859">
        <v>0.9996775</v>
      </c>
      <c r="N3859">
        <v>0</v>
      </c>
      <c r="O3859">
        <v>-6.3234949999999999E-4</v>
      </c>
      <c r="P3859">
        <v>0.98212920000000004</v>
      </c>
      <c r="Q3859">
        <v>0.14111989999999999</v>
      </c>
      <c r="R3859">
        <v>-0.12452969999999999</v>
      </c>
      <c r="S3859">
        <v>3.0333100000000002</v>
      </c>
      <c r="T3859">
        <v>-0.21789610000000001</v>
      </c>
      <c r="U3859">
        <v>-0.42353819999999998</v>
      </c>
      <c r="V3859">
        <v>0.1239196</v>
      </c>
      <c r="W3859">
        <v>0.16600490000000001</v>
      </c>
      <c r="X3859">
        <v>0.97830790000000001</v>
      </c>
      <c r="Y3859">
        <v>0.13731559999999901</v>
      </c>
      <c r="Z3859">
        <v>-4.8567979999999998E-3</v>
      </c>
      <c r="AA3859">
        <v>0.99051549999999999</v>
      </c>
      <c r="AB3859">
        <v>42</v>
      </c>
      <c r="AC3859">
        <v>15.037000000000001</v>
      </c>
      <c r="AD3859">
        <v>-1.1113824729725901</v>
      </c>
      <c r="AE3859">
        <v>-2.1598999999999902</v>
      </c>
      <c r="AF3859">
        <v>2.1389397477679601</v>
      </c>
      <c r="AG3859">
        <v>-1.1113824729725901</v>
      </c>
      <c r="AH3859">
        <v>14.9583028435398</v>
      </c>
      <c r="AI3859">
        <v>94.206562022851898</v>
      </c>
      <c r="AJ3859">
        <v>81.862242595311102</v>
      </c>
      <c r="AK3859">
        <v>15.151272494574901</v>
      </c>
      <c r="AL3859">
        <v>80.444384079852696</v>
      </c>
      <c r="AM3859">
        <v>82.780944628732797</v>
      </c>
      <c r="AN3859">
        <v>1.0000000206452899</v>
      </c>
    </row>
    <row r="3860" spans="1:40" x14ac:dyDescent="0.25">
      <c r="A3860" t="str">
        <f>"20190312164104300"</f>
        <v>20190312164104300</v>
      </c>
      <c r="B3860" t="str">
        <f>"1552380064290242"</f>
        <v>1552380064290242</v>
      </c>
      <c r="C3860" t="s">
        <v>40</v>
      </c>
      <c r="D3860">
        <v>5.8293809999999997</v>
      </c>
      <c r="E3860">
        <v>0.51246199999999997</v>
      </c>
      <c r="F3860" t="s">
        <v>48</v>
      </c>
      <c r="G3860">
        <v>-211.81890000000001</v>
      </c>
      <c r="H3860" s="1">
        <v>-4.5688639999999997E-7</v>
      </c>
      <c r="I3860">
        <v>212.0549</v>
      </c>
      <c r="J3860">
        <v>-226.42519999999999</v>
      </c>
      <c r="K3860">
        <v>1.1113949999999999</v>
      </c>
      <c r="L3860">
        <v>214.18989999999999</v>
      </c>
      <c r="M3860">
        <v>0.99967220000000001</v>
      </c>
      <c r="N3860">
        <v>0</v>
      </c>
      <c r="O3860">
        <v>-6.8480639999999996E-4</v>
      </c>
      <c r="P3860">
        <v>0.98214089999999998</v>
      </c>
      <c r="Q3860">
        <v>0.1401849</v>
      </c>
      <c r="R3860">
        <v>-0.1254904</v>
      </c>
      <c r="S3860">
        <v>3.0321349999999998</v>
      </c>
      <c r="T3860">
        <v>-0.22458520000000001</v>
      </c>
      <c r="U3860">
        <v>-0.43150329999999898</v>
      </c>
      <c r="V3860">
        <v>0.1248364</v>
      </c>
      <c r="W3860">
        <v>0.16526569999999999</v>
      </c>
      <c r="X3860">
        <v>0.97831650000000003</v>
      </c>
      <c r="Y3860">
        <v>0.13983870000000001</v>
      </c>
      <c r="Z3860">
        <v>-5.0954920000000001E-3</v>
      </c>
      <c r="AA3860">
        <v>0.99016119999999996</v>
      </c>
      <c r="AB3860">
        <v>42</v>
      </c>
      <c r="AC3860">
        <v>14.6062999999999</v>
      </c>
      <c r="AD3860">
        <v>-1.1113954568864</v>
      </c>
      <c r="AE3860">
        <v>-2.13499999999999</v>
      </c>
      <c r="AF3860">
        <v>2.1130158985555001</v>
      </c>
      <c r="AG3860">
        <v>-1.1113954568864</v>
      </c>
      <c r="AH3860">
        <v>14.5254203616986</v>
      </c>
      <c r="AI3860">
        <v>94.329995228861506</v>
      </c>
      <c r="AJ3860">
        <v>81.723228457901897</v>
      </c>
      <c r="AK3860">
        <v>14.7203217605182</v>
      </c>
      <c r="AL3860">
        <v>80.487330387589395</v>
      </c>
      <c r="AM3860">
        <v>82.728168448339702</v>
      </c>
      <c r="AN3860">
        <v>1.00000002626684</v>
      </c>
    </row>
    <row r="3861" spans="1:40" x14ac:dyDescent="0.25">
      <c r="A3861" t="str">
        <f>"20190312164104322"</f>
        <v>20190312164104322</v>
      </c>
      <c r="B3861" t="str">
        <f>"1552380064309762"</f>
        <v>1552380064309762</v>
      </c>
      <c r="C3861" t="s">
        <v>40</v>
      </c>
      <c r="D3861">
        <v>6.5142989999999896</v>
      </c>
      <c r="E3861">
        <v>0.51247810000000005</v>
      </c>
      <c r="F3861" t="s">
        <v>48</v>
      </c>
      <c r="G3861">
        <v>-211.6474</v>
      </c>
      <c r="H3861" s="1">
        <v>-5.4885040000000002E-7</v>
      </c>
      <c r="I3861">
        <v>212.0703</v>
      </c>
      <c r="J3861">
        <v>-226.018</v>
      </c>
      <c r="K3861">
        <v>1.111405</v>
      </c>
      <c r="L3861">
        <v>214.18960000000001</v>
      </c>
      <c r="M3861">
        <v>0.99966650000000001</v>
      </c>
      <c r="N3861">
        <v>0</v>
      </c>
      <c r="O3861">
        <v>-7.6752159999999995E-4</v>
      </c>
      <c r="P3861">
        <v>0.98221619999999998</v>
      </c>
      <c r="Q3861">
        <v>0.1381135</v>
      </c>
      <c r="R3861">
        <v>-0.12718460000000001</v>
      </c>
      <c r="S3861">
        <v>3.0315249999999998</v>
      </c>
      <c r="T3861">
        <v>-0.2279912</v>
      </c>
      <c r="U3861">
        <v>-0.43482969999999999</v>
      </c>
      <c r="V3861">
        <v>0.12645960000000001</v>
      </c>
      <c r="W3861">
        <v>0.16340639999999901</v>
      </c>
      <c r="X3861">
        <v>0.97842030000000002</v>
      </c>
      <c r="Y3861">
        <v>0.14083519999999999</v>
      </c>
      <c r="Z3861">
        <v>-5.2042349999999998E-3</v>
      </c>
      <c r="AA3861">
        <v>0.99001939999999999</v>
      </c>
      <c r="AB3861">
        <v>42</v>
      </c>
      <c r="AC3861">
        <v>14.3705999999999</v>
      </c>
      <c r="AD3861">
        <v>-1.11140554885039</v>
      </c>
      <c r="AE3861">
        <v>-2.1193</v>
      </c>
      <c r="AF3861">
        <v>2.0959960355015199</v>
      </c>
      <c r="AG3861">
        <v>-1.11140554885039</v>
      </c>
      <c r="AH3861">
        <v>14.288577874976299</v>
      </c>
      <c r="AI3861">
        <v>94.400762750717305</v>
      </c>
      <c r="AJ3861">
        <v>81.654781822443596</v>
      </c>
      <c r="AK3861">
        <v>14.4841941220116</v>
      </c>
      <c r="AL3861">
        <v>80.595328332666597</v>
      </c>
      <c r="AM3861">
        <v>82.635420081848295</v>
      </c>
      <c r="AN3861">
        <v>0.99999998272260404</v>
      </c>
    </row>
    <row r="3862" spans="1:40" x14ac:dyDescent="0.25">
      <c r="A3862" t="str">
        <f>"20190312164104345"</f>
        <v>20190312164104345</v>
      </c>
      <c r="B3862" t="str">
        <f>"1552380064340018"</f>
        <v>1552380064340018</v>
      </c>
      <c r="C3862" t="s">
        <v>40</v>
      </c>
      <c r="D3862">
        <v>5.8470089999999999</v>
      </c>
      <c r="E3862">
        <v>0.5124978</v>
      </c>
      <c r="F3862" t="s">
        <v>48</v>
      </c>
      <c r="G3862">
        <v>-211.67269999999999</v>
      </c>
      <c r="H3862" s="1">
        <v>-5.3706799999999998E-7</v>
      </c>
      <c r="I3862">
        <v>212.1086</v>
      </c>
      <c r="J3862">
        <v>-225.6062</v>
      </c>
      <c r="K3862">
        <v>1.111399</v>
      </c>
      <c r="L3862">
        <v>214.1891</v>
      </c>
      <c r="M3862">
        <v>0.9996604</v>
      </c>
      <c r="N3862">
        <v>0</v>
      </c>
      <c r="O3862">
        <v>-8.919609E-4</v>
      </c>
      <c r="P3862">
        <v>0.98221670000000005</v>
      </c>
      <c r="Q3862">
        <v>0.13635050000000001</v>
      </c>
      <c r="R3862">
        <v>-0.1290713</v>
      </c>
      <c r="S3862">
        <v>3.030411</v>
      </c>
      <c r="T3862">
        <v>-0.23478099999999999</v>
      </c>
      <c r="U3862">
        <v>-0.4395905</v>
      </c>
      <c r="V3862">
        <v>0.12823679999999901</v>
      </c>
      <c r="W3862">
        <v>0.161857</v>
      </c>
      <c r="X3862">
        <v>0.9784465</v>
      </c>
      <c r="Y3862">
        <v>0.1422592</v>
      </c>
      <c r="Z3862">
        <v>-5.4053340000000004E-3</v>
      </c>
      <c r="AA3862">
        <v>0.98981470000000005</v>
      </c>
      <c r="AB3862">
        <v>41</v>
      </c>
      <c r="AC3862">
        <v>13.9335</v>
      </c>
      <c r="AD3862">
        <v>-1.1113995370680001</v>
      </c>
      <c r="AE3862">
        <v>-2.0804999999999998</v>
      </c>
      <c r="AF3862">
        <v>2.0552755484873502</v>
      </c>
      <c r="AG3862">
        <v>-1.1113995370680001</v>
      </c>
      <c r="AH3862">
        <v>13.8491588047679</v>
      </c>
      <c r="AI3862">
        <v>94.538676219333894</v>
      </c>
      <c r="AJ3862">
        <v>81.558666928585495</v>
      </c>
      <c r="AK3862">
        <v>14.0448768635002</v>
      </c>
      <c r="AL3862">
        <v>80.685300015044106</v>
      </c>
      <c r="AM3862">
        <v>82.533279588814594</v>
      </c>
      <c r="AN3862">
        <v>0.99999995934274399</v>
      </c>
    </row>
    <row r="3863" spans="1:40" x14ac:dyDescent="0.25">
      <c r="A3863" t="str">
        <f>"20190312164104368"</f>
        <v>20190312164104368</v>
      </c>
      <c r="B3863" t="str">
        <f>"1552380064359538"</f>
        <v>1552380064359538</v>
      </c>
      <c r="C3863" t="s">
        <v>40</v>
      </c>
      <c r="D3863">
        <v>5.8021739999999999</v>
      </c>
      <c r="E3863">
        <v>0.51247379999999998</v>
      </c>
      <c r="F3863" t="s">
        <v>48</v>
      </c>
      <c r="G3863">
        <v>-211.61850000000001</v>
      </c>
      <c r="H3863" s="1">
        <v>-5.6715000000000005E-7</v>
      </c>
      <c r="I3863">
        <v>212.13740000000001</v>
      </c>
      <c r="J3863">
        <v>-225.19929999999999</v>
      </c>
      <c r="K3863">
        <v>1.1114029999999999</v>
      </c>
      <c r="L3863">
        <v>214.18860000000001</v>
      </c>
      <c r="M3863">
        <v>0.99965360000000003</v>
      </c>
      <c r="N3863">
        <v>0</v>
      </c>
      <c r="O3863">
        <v>-1.0676450000000001E-3</v>
      </c>
      <c r="P3863">
        <v>0.98196019999999995</v>
      </c>
      <c r="Q3863">
        <v>0.136232399999999</v>
      </c>
      <c r="R3863">
        <v>-0.13113039999999901</v>
      </c>
      <c r="S3863">
        <v>3.0293429999999999</v>
      </c>
      <c r="T3863">
        <v>-0.24069860000000001</v>
      </c>
      <c r="U3863">
        <v>-0.4443512</v>
      </c>
      <c r="V3863">
        <v>0.130139899999999</v>
      </c>
      <c r="W3863">
        <v>0.16196479999999999</v>
      </c>
      <c r="X3863">
        <v>0.97817739999999997</v>
      </c>
      <c r="Y3863">
        <v>0.1436328</v>
      </c>
      <c r="Z3863">
        <v>-5.5827910000000001E-3</v>
      </c>
      <c r="AA3863">
        <v>0.98961529999999998</v>
      </c>
      <c r="AB3863">
        <v>41</v>
      </c>
      <c r="AC3863">
        <v>13.580799999999901</v>
      </c>
      <c r="AD3863">
        <v>-1.11140356715</v>
      </c>
      <c r="AE3863">
        <v>-2.0511999999999899</v>
      </c>
      <c r="AF3863">
        <v>2.0234451776372202</v>
      </c>
      <c r="AG3863">
        <v>-1.11140356715</v>
      </c>
      <c r="AH3863">
        <v>13.4946225500716</v>
      </c>
      <c r="AI3863">
        <v>94.656375028349501</v>
      </c>
      <c r="AJ3863">
        <v>81.472341256884107</v>
      </c>
      <c r="AK3863">
        <v>13.690667845100799</v>
      </c>
      <c r="AL3863">
        <v>80.679041400711398</v>
      </c>
      <c r="AM3863">
        <v>82.421687508427596</v>
      </c>
      <c r="AN3863">
        <v>1.0000000079408999</v>
      </c>
    </row>
    <row r="3864" spans="1:40" x14ac:dyDescent="0.25">
      <c r="A3864" t="str">
        <f>"20190312164104389"</f>
        <v>20190312164104389</v>
      </c>
      <c r="B3864" t="str">
        <f>"1552380064380034"</f>
        <v>1552380064380034</v>
      </c>
      <c r="C3864" t="s">
        <v>40</v>
      </c>
      <c r="D3864">
        <v>6.3938980000000001</v>
      </c>
      <c r="E3864">
        <v>0.51243700000000003</v>
      </c>
      <c r="F3864" t="s">
        <v>48</v>
      </c>
      <c r="G3864">
        <v>-211.19759999999999</v>
      </c>
      <c r="H3864" s="1">
        <v>-7.8977329999999996E-7</v>
      </c>
      <c r="I3864">
        <v>212.10679999999999</v>
      </c>
      <c r="J3864">
        <v>-224.80600000000001</v>
      </c>
      <c r="K3864">
        <v>1.1114059999999999</v>
      </c>
      <c r="L3864">
        <v>214.18790000000001</v>
      </c>
      <c r="M3864">
        <v>0.99964589999999998</v>
      </c>
      <c r="N3864">
        <v>0</v>
      </c>
      <c r="O3864">
        <v>-1.295308E-3</v>
      </c>
      <c r="P3864">
        <v>0.98159370000000001</v>
      </c>
      <c r="Q3864">
        <v>0.13692989999999999</v>
      </c>
      <c r="R3864">
        <v>-0.13313320000000001</v>
      </c>
      <c r="S3864">
        <v>3.0283359999999999</v>
      </c>
      <c r="T3864">
        <v>-0.2403787</v>
      </c>
      <c r="U3864">
        <v>-0.4502563</v>
      </c>
      <c r="V3864">
        <v>0.13193920000000001</v>
      </c>
      <c r="W3864">
        <v>0.1629138</v>
      </c>
      <c r="X3864">
        <v>0.9777787</v>
      </c>
      <c r="Y3864">
        <v>0.14533940000000001</v>
      </c>
      <c r="Z3864">
        <v>-5.625746E-3</v>
      </c>
      <c r="AA3864">
        <v>0.98936590000000002</v>
      </c>
      <c r="AB3864">
        <v>41</v>
      </c>
      <c r="AC3864">
        <v>13.6083999999999</v>
      </c>
      <c r="AD3864">
        <v>-1.1114067897733</v>
      </c>
      <c r="AE3864">
        <v>-2.0811000000000202</v>
      </c>
      <c r="AF3864">
        <v>2.05010306655719</v>
      </c>
      <c r="AG3864">
        <v>-1.1114067897733</v>
      </c>
      <c r="AH3864">
        <v>13.5229471360175</v>
      </c>
      <c r="AI3864">
        <v>94.645548014227003</v>
      </c>
      <c r="AJ3864">
        <v>81.379498950160894</v>
      </c>
      <c r="AK3864">
        <v>13.7225452041297</v>
      </c>
      <c r="AL3864">
        <v>80.6239359587601</v>
      </c>
      <c r="AM3864">
        <v>82.315058407328195</v>
      </c>
      <c r="AN3864">
        <v>1.00000002245038</v>
      </c>
    </row>
    <row r="3865" spans="1:40" x14ac:dyDescent="0.25">
      <c r="A3865" t="str">
        <f>"20190312164104411"</f>
        <v>20190312164104411</v>
      </c>
      <c r="B3865" t="str">
        <f>"1552380064399554"</f>
        <v>1552380064399554</v>
      </c>
      <c r="C3865" t="s">
        <v>40</v>
      </c>
      <c r="D3865">
        <v>5.833774</v>
      </c>
      <c r="E3865">
        <v>0.51240529999999995</v>
      </c>
      <c r="F3865" t="s">
        <v>48</v>
      </c>
      <c r="G3865">
        <v>-210.63460000000001</v>
      </c>
      <c r="H3865" s="1">
        <v>-1.0870689999999999E-6</v>
      </c>
      <c r="I3865">
        <v>212.05340000000001</v>
      </c>
      <c r="J3865">
        <v>-224.40860000000001</v>
      </c>
      <c r="K3865">
        <v>1.111408</v>
      </c>
      <c r="L3865">
        <v>214.18709999999999</v>
      </c>
      <c r="M3865">
        <v>0.999637</v>
      </c>
      <c r="N3865">
        <v>0</v>
      </c>
      <c r="O3865">
        <v>-1.589139E-3</v>
      </c>
      <c r="P3865">
        <v>0.98127960000000003</v>
      </c>
      <c r="Q3865">
        <v>0.13673629999999901</v>
      </c>
      <c r="R3865">
        <v>-0.1356221</v>
      </c>
      <c r="S3865">
        <v>3.0275120000000002</v>
      </c>
      <c r="T3865">
        <v>-0.23743610000000001</v>
      </c>
      <c r="U3865">
        <v>-0.45600889999999999</v>
      </c>
      <c r="V3865">
        <v>0.13416310000000001</v>
      </c>
      <c r="W3865">
        <v>0.1630027</v>
      </c>
      <c r="X3865">
        <v>0.97746120000000003</v>
      </c>
      <c r="Y3865">
        <v>0.14693310000000001</v>
      </c>
      <c r="Z3865">
        <v>-5.5969640000000003E-3</v>
      </c>
      <c r="AA3865">
        <v>0.98913059999999997</v>
      </c>
      <c r="AB3865">
        <v>41</v>
      </c>
      <c r="AC3865">
        <v>13.773999999999999</v>
      </c>
      <c r="AD3865">
        <v>-1.1114090870690001</v>
      </c>
      <c r="AE3865">
        <v>-2.13369999999997</v>
      </c>
      <c r="AF3865">
        <v>2.0984583151842</v>
      </c>
      <c r="AG3865">
        <v>-1.1114090870690001</v>
      </c>
      <c r="AH3865">
        <v>13.6903296951592</v>
      </c>
      <c r="AI3865">
        <v>94.587860998332602</v>
      </c>
      <c r="AJ3865">
        <v>81.285509913968198</v>
      </c>
      <c r="AK3865">
        <v>13.8947430570538</v>
      </c>
      <c r="AL3865">
        <v>80.618773214401202</v>
      </c>
      <c r="AM3865">
        <v>82.184605262732305</v>
      </c>
      <c r="AN3865">
        <v>1.00000000755716</v>
      </c>
    </row>
    <row r="3866" spans="1:40" x14ac:dyDescent="0.25">
      <c r="A3866" t="str">
        <f>"20190312164104434"</f>
        <v>20190312164104434</v>
      </c>
      <c r="B3866" t="str">
        <f>"1552380064429809"</f>
        <v>1552380064429809</v>
      </c>
      <c r="C3866" t="s">
        <v>40</v>
      </c>
      <c r="D3866">
        <v>5.8639640000000002</v>
      </c>
      <c r="E3866">
        <v>0.51238409999999901</v>
      </c>
      <c r="F3866" t="s">
        <v>48</v>
      </c>
      <c r="G3866">
        <v>-210.23410000000001</v>
      </c>
      <c r="H3866" s="1">
        <v>-1.2985919999999999E-6</v>
      </c>
      <c r="I3866">
        <v>212.01750000000001</v>
      </c>
      <c r="J3866">
        <v>-224.00790000000001</v>
      </c>
      <c r="K3866">
        <v>1.1113980000000001</v>
      </c>
      <c r="L3866">
        <v>214.18610000000001</v>
      </c>
      <c r="M3866">
        <v>0.9996275</v>
      </c>
      <c r="N3866">
        <v>0</v>
      </c>
      <c r="O3866">
        <v>-1.9592490000000001E-3</v>
      </c>
      <c r="P3866">
        <v>0.98103669999999998</v>
      </c>
      <c r="Q3866">
        <v>0.13592960000000001</v>
      </c>
      <c r="R3866">
        <v>-0.13816819999999999</v>
      </c>
      <c r="S3866">
        <v>3.0262760000000002</v>
      </c>
      <c r="T3866">
        <v>-0.2372882</v>
      </c>
      <c r="U3866">
        <v>-0.46321109999999999</v>
      </c>
      <c r="V3866">
        <v>0.1363724</v>
      </c>
      <c r="W3866">
        <v>0.1624871</v>
      </c>
      <c r="X3866">
        <v>0.97724129999999998</v>
      </c>
      <c r="Y3866">
        <v>0.14892259999999999</v>
      </c>
      <c r="Z3866">
        <v>-5.6433630000000002E-3</v>
      </c>
      <c r="AA3866">
        <v>0.98883279999999996</v>
      </c>
      <c r="AB3866">
        <v>40</v>
      </c>
      <c r="AC3866">
        <v>13.7737999999999</v>
      </c>
      <c r="AD3866">
        <v>-1.11139929859199</v>
      </c>
      <c r="AE3866">
        <v>-2.1685999999999899</v>
      </c>
      <c r="AF3866">
        <v>2.1280792300289901</v>
      </c>
      <c r="AG3866">
        <v>-1.11139929859199</v>
      </c>
      <c r="AH3866">
        <v>13.691040845211999</v>
      </c>
      <c r="AI3866">
        <v>94.586099183134806</v>
      </c>
      <c r="AJ3866">
        <v>81.164879451628593</v>
      </c>
      <c r="AK3866">
        <v>13.899947087505501</v>
      </c>
      <c r="AL3866">
        <v>80.648714237876206</v>
      </c>
      <c r="AM3866">
        <v>82.055771995935601</v>
      </c>
      <c r="AN3866">
        <v>1.00000002378692</v>
      </c>
    </row>
    <row r="3867" spans="1:40" x14ac:dyDescent="0.25">
      <c r="A3867" t="str">
        <f>"20190312164104457"</f>
        <v>20190312164104457</v>
      </c>
      <c r="B3867" t="str">
        <f>"1552380064450305"</f>
        <v>1552380064450305</v>
      </c>
      <c r="C3867" t="s">
        <v>40</v>
      </c>
      <c r="D3867">
        <v>5.8342549999999997</v>
      </c>
      <c r="E3867">
        <v>0.51237849999999996</v>
      </c>
      <c r="F3867" t="s">
        <v>46</v>
      </c>
      <c r="G3867">
        <v>-209.92869999999999</v>
      </c>
      <c r="H3867" s="1">
        <v>6.84893699999999E-6</v>
      </c>
      <c r="I3867">
        <v>211.99709999999999</v>
      </c>
      <c r="J3867">
        <v>-223.60820000000001</v>
      </c>
      <c r="K3867">
        <v>1.1113770000000001</v>
      </c>
      <c r="L3867">
        <v>214.1848</v>
      </c>
      <c r="M3867">
        <v>0.99961719999999998</v>
      </c>
      <c r="N3867">
        <v>0</v>
      </c>
      <c r="O3867">
        <v>-2.4143329999999998E-3</v>
      </c>
      <c r="P3867">
        <v>0.98079870000000002</v>
      </c>
      <c r="Q3867">
        <v>0.1348965</v>
      </c>
      <c r="R3867">
        <v>-0.14084440000000001</v>
      </c>
      <c r="S3867">
        <v>3.0248409999999999</v>
      </c>
      <c r="T3867">
        <v>-0.23877580000000001</v>
      </c>
      <c r="U3867">
        <v>-0.47029110000000002</v>
      </c>
      <c r="V3867">
        <v>0.1386319</v>
      </c>
      <c r="W3867">
        <v>0.16175439999999999</v>
      </c>
      <c r="X3867">
        <v>0.97704489999999999</v>
      </c>
      <c r="Y3867">
        <v>0.15079289999999901</v>
      </c>
      <c r="Z3867">
        <v>-5.7178849999999998E-3</v>
      </c>
      <c r="AA3867">
        <v>0.98854880000000001</v>
      </c>
      <c r="AB3867">
        <v>40</v>
      </c>
      <c r="AC3867">
        <v>13.679500000000001</v>
      </c>
      <c r="AD3867">
        <v>-1.1113701510629901</v>
      </c>
      <c r="AE3867">
        <v>-2.1877</v>
      </c>
      <c r="AF3867">
        <v>2.1408757434452199</v>
      </c>
      <c r="AG3867">
        <v>-1.1113701510629901</v>
      </c>
      <c r="AH3867">
        <v>13.5972335469034</v>
      </c>
      <c r="AI3867">
        <v>94.616068374252094</v>
      </c>
      <c r="AJ3867">
        <v>81.0522724944598</v>
      </c>
      <c r="AK3867">
        <v>13.8095348470027</v>
      </c>
      <c r="AL3867">
        <v>80.691257565441404</v>
      </c>
      <c r="AM3867">
        <v>81.924267457372096</v>
      </c>
      <c r="AN3867">
        <v>1.0000000131164899</v>
      </c>
    </row>
    <row r="3868" spans="1:40" x14ac:dyDescent="0.25">
      <c r="A3868" t="str">
        <f>"20190312164104480"</f>
        <v>20190312164104480</v>
      </c>
      <c r="B3868" t="str">
        <f>"1552380064469825"</f>
        <v>1552380064469825</v>
      </c>
      <c r="C3868" t="s">
        <v>40</v>
      </c>
      <c r="D3868">
        <v>6.3432769999999996</v>
      </c>
      <c r="E3868">
        <v>0.51240370000000002</v>
      </c>
      <c r="F3868" t="s">
        <v>46</v>
      </c>
      <c r="G3868">
        <v>-209.6859</v>
      </c>
      <c r="H3868" s="1">
        <v>6.7423639999999999E-6</v>
      </c>
      <c r="I3868">
        <v>211.98419999999999</v>
      </c>
      <c r="J3868">
        <v>-223.20070000000001</v>
      </c>
      <c r="K3868">
        <v>1.1113550000000001</v>
      </c>
      <c r="L3868">
        <v>214.1832</v>
      </c>
      <c r="M3868">
        <v>0.99960539999999998</v>
      </c>
      <c r="N3868">
        <v>0</v>
      </c>
      <c r="O3868">
        <v>-2.989603E-3</v>
      </c>
      <c r="P3868">
        <v>0.98041449999999997</v>
      </c>
      <c r="Q3868">
        <v>0.13440099999999999</v>
      </c>
      <c r="R3868">
        <v>-0.143959</v>
      </c>
      <c r="S3868">
        <v>3.0233150000000002</v>
      </c>
      <c r="T3868">
        <v>-0.2413399</v>
      </c>
      <c r="U3868">
        <v>-0.47785949999999999</v>
      </c>
      <c r="V3868">
        <v>0.14121710000000001</v>
      </c>
      <c r="W3868">
        <v>0.1615837</v>
      </c>
      <c r="X3868">
        <v>0.97670290000000004</v>
      </c>
      <c r="Y3868">
        <v>0.15270059999999999</v>
      </c>
      <c r="Z3868">
        <v>-5.8108350000000003E-3</v>
      </c>
      <c r="AA3868">
        <v>0.98825540000000001</v>
      </c>
      <c r="AB3868">
        <v>40</v>
      </c>
      <c r="AC3868">
        <v>13.514799999999999</v>
      </c>
      <c r="AD3868">
        <v>-1.1113482576360001</v>
      </c>
      <c r="AE3868">
        <v>-2.1990000000000101</v>
      </c>
      <c r="AF3868">
        <v>2.1444435901926902</v>
      </c>
      <c r="AG3868">
        <v>-1.1113482576360001</v>
      </c>
      <c r="AH3868">
        <v>13.4328250353615</v>
      </c>
      <c r="AI3868">
        <v>94.670648452050699</v>
      </c>
      <c r="AJ3868">
        <v>80.929721858274306</v>
      </c>
      <c r="AK3868">
        <v>13.648242439666101</v>
      </c>
      <c r="AL3868">
        <v>80.7011687531852</v>
      </c>
      <c r="AM3868">
        <v>81.772872883881604</v>
      </c>
      <c r="AN3868">
        <v>1.00000005815325</v>
      </c>
    </row>
    <row r="3869" spans="1:40" x14ac:dyDescent="0.25">
      <c r="A3869" t="str">
        <f>"20190312164104503"</f>
        <v>20190312164104503</v>
      </c>
      <c r="B3869" t="str">
        <f>"1552380064490321"</f>
        <v>1552380064490321</v>
      </c>
      <c r="C3869" t="s">
        <v>40</v>
      </c>
      <c r="D3869">
        <v>5.8348319999999996</v>
      </c>
      <c r="E3869">
        <v>0.51246899999999995</v>
      </c>
      <c r="F3869" t="s">
        <v>46</v>
      </c>
      <c r="G3869">
        <v>-209.42240000000001</v>
      </c>
      <c r="H3869" s="1">
        <v>6.6275069999999996E-6</v>
      </c>
      <c r="I3869">
        <v>211.9616</v>
      </c>
      <c r="J3869">
        <v>-222.80549999999999</v>
      </c>
      <c r="K3869">
        <v>1.1113280000000001</v>
      </c>
      <c r="L3869">
        <v>214.18119999999999</v>
      </c>
      <c r="M3869">
        <v>0.99959240000000005</v>
      </c>
      <c r="N3869">
        <v>0</v>
      </c>
      <c r="O3869">
        <v>-3.669795E-3</v>
      </c>
      <c r="P3869">
        <v>0.97977320000000001</v>
      </c>
      <c r="Q3869">
        <v>0.1351002</v>
      </c>
      <c r="R3869">
        <v>-0.14762220000000001</v>
      </c>
      <c r="S3869">
        <v>3.0217900000000002</v>
      </c>
      <c r="T3869">
        <v>-0.2437346</v>
      </c>
      <c r="U3869">
        <v>-0.48721310000000001</v>
      </c>
      <c r="V3869">
        <v>0.1442543</v>
      </c>
      <c r="W3869">
        <v>0.16259860000000001</v>
      </c>
      <c r="X3869">
        <v>0.97609040000000002</v>
      </c>
      <c r="Y3869">
        <v>0.15507290000000001</v>
      </c>
      <c r="Z3869">
        <v>-5.9102740000000001E-3</v>
      </c>
      <c r="AA3869">
        <v>0.98788540000000002</v>
      </c>
      <c r="AB3869">
        <v>39</v>
      </c>
      <c r="AC3869">
        <v>13.383099999999899</v>
      </c>
      <c r="AD3869">
        <v>-1.111321372493</v>
      </c>
      <c r="AE3869">
        <v>-2.2195999999999798</v>
      </c>
      <c r="AF3869">
        <v>2.15598350560284</v>
      </c>
      <c r="AG3869">
        <v>-1.111321372493</v>
      </c>
      <c r="AH3869">
        <v>13.301890786521</v>
      </c>
      <c r="AI3869">
        <v>94.714507770168396</v>
      </c>
      <c r="AJ3869">
        <v>80.793505684452498</v>
      </c>
      <c r="AK3869">
        <v>13.521227701873901</v>
      </c>
      <c r="AL3869">
        <v>80.642239794095403</v>
      </c>
      <c r="AM3869">
        <v>81.593232337533095</v>
      </c>
      <c r="AN3869">
        <v>1.0000000383812999</v>
      </c>
    </row>
    <row r="3870" spans="1:40" x14ac:dyDescent="0.25">
      <c r="A3870" t="str">
        <f>"20190312164104523"</f>
        <v>20190312164104523</v>
      </c>
      <c r="B3870" t="str">
        <f>"1552380064519602"</f>
        <v>1552380064519602</v>
      </c>
      <c r="C3870" t="s">
        <v>40</v>
      </c>
      <c r="D3870">
        <v>5.8917679999999999</v>
      </c>
      <c r="E3870">
        <v>0.51267379999999996</v>
      </c>
      <c r="F3870" t="s">
        <v>46</v>
      </c>
      <c r="G3870">
        <v>-208.9203</v>
      </c>
      <c r="H3870" s="1">
        <v>6.4110040000000002E-6</v>
      </c>
      <c r="I3870">
        <v>211.8912</v>
      </c>
      <c r="J3870">
        <v>-222.45330000000001</v>
      </c>
      <c r="K3870">
        <v>1.111297</v>
      </c>
      <c r="L3870">
        <v>214.17920000000001</v>
      </c>
      <c r="M3870">
        <v>0.99958020000000003</v>
      </c>
      <c r="N3870">
        <v>0</v>
      </c>
      <c r="O3870">
        <v>-4.3664159999999997E-3</v>
      </c>
      <c r="P3870">
        <v>0.97902250000000002</v>
      </c>
      <c r="Q3870">
        <v>0.13624020000000001</v>
      </c>
      <c r="R3870">
        <v>-0.151506</v>
      </c>
      <c r="S3870">
        <v>3.020203</v>
      </c>
      <c r="T3870">
        <v>-0.24172630000000001</v>
      </c>
      <c r="U3870">
        <v>-0.49810789999999999</v>
      </c>
      <c r="V3870">
        <v>0.14749499999999999</v>
      </c>
      <c r="W3870">
        <v>0.16400989999999999</v>
      </c>
      <c r="X3870">
        <v>0.97536959999999995</v>
      </c>
      <c r="Y3870">
        <v>0.15793750000000001</v>
      </c>
      <c r="Z3870">
        <v>-5.9214559999999899E-3</v>
      </c>
      <c r="AA3870">
        <v>0.98743130000000001</v>
      </c>
      <c r="AB3870">
        <v>39</v>
      </c>
      <c r="AC3870">
        <v>13.532999999999999</v>
      </c>
      <c r="AD3870">
        <v>-1.1112905889960001</v>
      </c>
      <c r="AE3870">
        <v>-2.28800000000001</v>
      </c>
      <c r="AF3870">
        <v>2.21434634445583</v>
      </c>
      <c r="AG3870">
        <v>-1.1112905889960001</v>
      </c>
      <c r="AH3870">
        <v>13.4546589630994</v>
      </c>
      <c r="AI3870">
        <v>94.659243179152398</v>
      </c>
      <c r="AJ3870">
        <v>80.654131767246596</v>
      </c>
      <c r="AK3870">
        <v>13.680867820416401</v>
      </c>
      <c r="AL3870">
        <v>80.560277038501894</v>
      </c>
      <c r="AM3870">
        <v>81.400906414729107</v>
      </c>
      <c r="AN3870">
        <v>0.99999993946358301</v>
      </c>
    </row>
    <row r="3871" spans="1:40" x14ac:dyDescent="0.25">
      <c r="A3871" t="str">
        <f>"20190312164104545"</f>
        <v>20190312164104545</v>
      </c>
      <c r="B3871" t="str">
        <f>"1552380064540101"</f>
        <v>1552380064540101</v>
      </c>
      <c r="C3871" t="s">
        <v>40</v>
      </c>
      <c r="D3871">
        <v>5.7764430000000004</v>
      </c>
      <c r="E3871">
        <v>0.51286049999999905</v>
      </c>
      <c r="F3871" t="s">
        <v>46</v>
      </c>
      <c r="G3871">
        <v>-208.31370000000001</v>
      </c>
      <c r="H3871" s="1">
        <v>6.1510799999999997E-6</v>
      </c>
      <c r="I3871">
        <v>211.78749999999999</v>
      </c>
      <c r="J3871">
        <v>-222.0676</v>
      </c>
      <c r="K3871">
        <v>1.1112500000000001</v>
      </c>
      <c r="L3871">
        <v>214.1765</v>
      </c>
      <c r="M3871">
        <v>0.99956579999999995</v>
      </c>
      <c r="N3871">
        <v>0</v>
      </c>
      <c r="O3871">
        <v>-5.24144E-3</v>
      </c>
      <c r="P3871">
        <v>0.97841400000000001</v>
      </c>
      <c r="Q3871">
        <v>0.1362235</v>
      </c>
      <c r="R3871">
        <v>-0.15540019999999999</v>
      </c>
      <c r="S3871">
        <v>3.0182799999999999</v>
      </c>
      <c r="T3871">
        <v>-0.23721999999999999</v>
      </c>
      <c r="U3871">
        <v>-0.5105286</v>
      </c>
      <c r="V3871">
        <v>0.1505753</v>
      </c>
      <c r="W3871">
        <v>0.16427890000000001</v>
      </c>
      <c r="X3871">
        <v>0.97485359999999999</v>
      </c>
      <c r="Y3871">
        <v>0.1611368</v>
      </c>
      <c r="Z3871">
        <v>-5.8695450000000003E-3</v>
      </c>
      <c r="AA3871">
        <v>0.98691459999999998</v>
      </c>
      <c r="AB3871">
        <v>38</v>
      </c>
      <c r="AC3871">
        <v>13.7538999999999</v>
      </c>
      <c r="AD3871">
        <v>-1.1112438489200001</v>
      </c>
      <c r="AE3871">
        <v>-2.38900000000001</v>
      </c>
      <c r="AF3871">
        <v>2.3022580463399098</v>
      </c>
      <c r="AG3871">
        <v>-1.1112438489200001</v>
      </c>
      <c r="AH3871">
        <v>13.679555772305701</v>
      </c>
      <c r="AI3871">
        <v>94.580031689045995</v>
      </c>
      <c r="AJ3871">
        <v>80.446693723812999</v>
      </c>
      <c r="AK3871">
        <v>13.9163752870969</v>
      </c>
      <c r="AL3871">
        <v>80.544653217371305</v>
      </c>
      <c r="AM3871">
        <v>81.219517014041301</v>
      </c>
      <c r="AN3871">
        <v>1.0000000096941299</v>
      </c>
    </row>
    <row r="3872" spans="1:40" x14ac:dyDescent="0.25">
      <c r="A3872" t="str">
        <f>"20190312164104568"</f>
        <v>20190312164104568</v>
      </c>
      <c r="B3872" t="str">
        <f>"1552380064559618"</f>
        <v>1552380064559618</v>
      </c>
      <c r="C3872" t="s">
        <v>40</v>
      </c>
      <c r="D3872">
        <v>6.1307539999999996</v>
      </c>
      <c r="E3872">
        <v>0.51305190000000001</v>
      </c>
      <c r="F3872" t="s">
        <v>46</v>
      </c>
      <c r="G3872">
        <v>-207.857</v>
      </c>
      <c r="H3872" s="1">
        <v>5.9556009999999996E-6</v>
      </c>
      <c r="I3872">
        <v>211.70670000000001</v>
      </c>
      <c r="J3872">
        <v>-221.69569999999999</v>
      </c>
      <c r="K3872">
        <v>1.1111869999999999</v>
      </c>
      <c r="L3872">
        <v>214.17339999999999</v>
      </c>
      <c r="M3872">
        <v>0.99955119999999997</v>
      </c>
      <c r="N3872">
        <v>0</v>
      </c>
      <c r="O3872">
        <v>-6.2068169999999999E-3</v>
      </c>
      <c r="P3872">
        <v>0.97767440000000005</v>
      </c>
      <c r="Q3872">
        <v>0.13647989999999999</v>
      </c>
      <c r="R3872">
        <v>-0.15976960000000001</v>
      </c>
      <c r="S3872">
        <v>3.0157929999999999</v>
      </c>
      <c r="T3872">
        <v>-0.2358295</v>
      </c>
      <c r="U3872">
        <v>-0.52413940000000003</v>
      </c>
      <c r="V3872">
        <v>0.15404509999999999</v>
      </c>
      <c r="W3872">
        <v>0.16477890000000001</v>
      </c>
      <c r="X3872">
        <v>0.97422690000000001</v>
      </c>
      <c r="Y3872">
        <v>0.16464089999999901</v>
      </c>
      <c r="Z3872">
        <v>-5.8987220000000003E-3</v>
      </c>
      <c r="AA3872">
        <v>0.98633590000000004</v>
      </c>
      <c r="AB3872">
        <v>38</v>
      </c>
      <c r="AC3872">
        <v>13.8386999999999</v>
      </c>
      <c r="AD3872">
        <v>-1.111181044399</v>
      </c>
      <c r="AE3872">
        <v>-2.4666999999999701</v>
      </c>
      <c r="AF3872">
        <v>2.3659370305012</v>
      </c>
      <c r="AG3872">
        <v>-1.111181044399</v>
      </c>
      <c r="AH3872">
        <v>13.7677186605962</v>
      </c>
      <c r="AI3872">
        <v>94.547914128636904</v>
      </c>
      <c r="AJ3872">
        <v>80.249149961759201</v>
      </c>
      <c r="AK3872">
        <v>14.0136525739386</v>
      </c>
      <c r="AL3872">
        <v>80.515609585304304</v>
      </c>
      <c r="AM3872">
        <v>81.0147614833228</v>
      </c>
      <c r="AN3872">
        <v>1.0000000157014099</v>
      </c>
    </row>
    <row r="3873" spans="1:40" x14ac:dyDescent="0.25">
      <c r="A3873" t="str">
        <f>"20190312164104589"</f>
        <v>20190312164104589</v>
      </c>
      <c r="B3873" t="str">
        <f>"1552380064580114"</f>
        <v>1552380064580114</v>
      </c>
      <c r="C3873" t="s">
        <v>40</v>
      </c>
      <c r="D3873">
        <v>5.9423199999999996</v>
      </c>
      <c r="E3873">
        <v>0.51328949999999995</v>
      </c>
      <c r="F3873" t="s">
        <v>46</v>
      </c>
      <c r="G3873">
        <v>-207.3817</v>
      </c>
      <c r="H3873" s="1">
        <v>5.7530020000000003E-6</v>
      </c>
      <c r="I3873">
        <v>211.6131</v>
      </c>
      <c r="J3873">
        <v>-221.33240000000001</v>
      </c>
      <c r="K3873">
        <v>1.1111150000000001</v>
      </c>
      <c r="L3873">
        <v>214.17</v>
      </c>
      <c r="M3873">
        <v>0.99953590000000003</v>
      </c>
      <c r="N3873">
        <v>0</v>
      </c>
      <c r="O3873">
        <v>-7.270833E-3</v>
      </c>
      <c r="P3873">
        <v>0.97692670000000004</v>
      </c>
      <c r="Q3873">
        <v>0.1361821</v>
      </c>
      <c r="R3873">
        <v>-0.16452629999999999</v>
      </c>
      <c r="S3873">
        <v>3.0130620000000001</v>
      </c>
      <c r="T3873">
        <v>-0.23389969999999999</v>
      </c>
      <c r="U3873">
        <v>-0.53894039999999999</v>
      </c>
      <c r="V3873">
        <v>0.15780659999999999</v>
      </c>
      <c r="W3873">
        <v>0.16468949999999999</v>
      </c>
      <c r="X3873">
        <v>0.97363980000000006</v>
      </c>
      <c r="Y3873">
        <v>0.1684388</v>
      </c>
      <c r="Z3873">
        <v>-5.9175360000000002E-3</v>
      </c>
      <c r="AA3873">
        <v>0.98569430000000002</v>
      </c>
      <c r="AB3873">
        <v>38</v>
      </c>
      <c r="AC3873">
        <v>13.950699999999999</v>
      </c>
      <c r="AD3873">
        <v>-1.111109246998</v>
      </c>
      <c r="AE3873">
        <v>-2.5568999999999802</v>
      </c>
      <c r="AF3873">
        <v>2.4403775740527598</v>
      </c>
      <c r="AG3873">
        <v>-1.111109246998</v>
      </c>
      <c r="AH3873">
        <v>13.883722256579601</v>
      </c>
      <c r="AI3873">
        <v>94.5068081293376</v>
      </c>
      <c r="AJ3873">
        <v>80.0308103405644</v>
      </c>
      <c r="AK3873">
        <v>14.1402881922735</v>
      </c>
      <c r="AL3873">
        <v>80.520802696744596</v>
      </c>
      <c r="AM3873">
        <v>80.7936142739822</v>
      </c>
      <c r="AN3873">
        <v>1.0000000072789199</v>
      </c>
    </row>
    <row r="3874" spans="1:40" x14ac:dyDescent="0.25">
      <c r="A3874" t="str">
        <f>"20190312164104613"</f>
        <v>20190312164104613</v>
      </c>
      <c r="B3874" t="str">
        <f>"1552380064610369"</f>
        <v>1552380064610369</v>
      </c>
      <c r="C3874" t="s">
        <v>40</v>
      </c>
      <c r="D3874">
        <v>6.2338190000000004</v>
      </c>
      <c r="E3874">
        <v>0.51354299999999997</v>
      </c>
      <c r="F3874" t="s">
        <v>46</v>
      </c>
      <c r="G3874">
        <v>-207.08619999999999</v>
      </c>
      <c r="H3874" s="1">
        <v>5.6276129999999998E-6</v>
      </c>
      <c r="I3874">
        <v>211.54859999999999</v>
      </c>
      <c r="J3874">
        <v>-220.959</v>
      </c>
      <c r="K3874">
        <v>1.11103</v>
      </c>
      <c r="L3874">
        <v>214.16589999999999</v>
      </c>
      <c r="M3874">
        <v>0.99951840000000003</v>
      </c>
      <c r="N3874">
        <v>0</v>
      </c>
      <c r="O3874">
        <v>-8.4893709999999904E-3</v>
      </c>
      <c r="P3874">
        <v>0.97605569999999997</v>
      </c>
      <c r="Q3874">
        <v>0.1356617</v>
      </c>
      <c r="R3874">
        <v>-0.17003289999999999</v>
      </c>
      <c r="S3874">
        <v>3.0103149999999999</v>
      </c>
      <c r="T3874">
        <v>-0.23478470000000001</v>
      </c>
      <c r="U3874">
        <v>-0.55390930000000005</v>
      </c>
      <c r="V3874">
        <v>0.16217119999999999</v>
      </c>
      <c r="W3874">
        <v>0.16434949999999901</v>
      </c>
      <c r="X3874">
        <v>0.97297979999999995</v>
      </c>
      <c r="Y3874">
        <v>0.172125799999999</v>
      </c>
      <c r="Z3874">
        <v>-5.9908280000000001E-3</v>
      </c>
      <c r="AA3874">
        <v>0.98505679999999995</v>
      </c>
      <c r="AB3874">
        <v>37</v>
      </c>
      <c r="AC3874">
        <v>13.8728</v>
      </c>
      <c r="AD3874">
        <v>-1.1110243723869999</v>
      </c>
      <c r="AE3874">
        <v>-2.6173000000000002</v>
      </c>
      <c r="AF3874">
        <v>2.4839973619901001</v>
      </c>
      <c r="AG3874">
        <v>-1.1110243723869999</v>
      </c>
      <c r="AH3874">
        <v>13.809004052896899</v>
      </c>
      <c r="AI3874">
        <v>94.527552470732005</v>
      </c>
      <c r="AJ3874">
        <v>79.802550640044004</v>
      </c>
      <c r="AK3874">
        <v>14.074558997827699</v>
      </c>
      <c r="AL3874">
        <v>80.540552053951203</v>
      </c>
      <c r="AM3874">
        <v>80.537225159088194</v>
      </c>
      <c r="AN3874">
        <v>0.99999997373386396</v>
      </c>
    </row>
    <row r="3875" spans="1:40" x14ac:dyDescent="0.25">
      <c r="A3875" t="str">
        <f>"20190312164104635"</f>
        <v>20190312164104635</v>
      </c>
      <c r="B3875" t="str">
        <f>"1552380064629890"</f>
        <v>1552380064629890</v>
      </c>
      <c r="C3875" t="s">
        <v>40</v>
      </c>
      <c r="D3875">
        <v>5.8959460000000004</v>
      </c>
      <c r="E3875">
        <v>0.51368449999999999</v>
      </c>
      <c r="F3875" t="s">
        <v>46</v>
      </c>
      <c r="G3875">
        <v>-206.816</v>
      </c>
      <c r="H3875" s="1">
        <v>5.5136619999999996E-6</v>
      </c>
      <c r="I3875">
        <v>211.48140000000001</v>
      </c>
      <c r="J3875">
        <v>-220.57929999999999</v>
      </c>
      <c r="K3875">
        <v>1.1109439999999999</v>
      </c>
      <c r="L3875">
        <v>214.1611</v>
      </c>
      <c r="M3875">
        <v>0.99949840000000001</v>
      </c>
      <c r="N3875">
        <v>0</v>
      </c>
      <c r="O3875">
        <v>-9.8569969999999993E-3</v>
      </c>
      <c r="P3875">
        <v>0.97513300000000003</v>
      </c>
      <c r="Q3875">
        <v>0.1348211</v>
      </c>
      <c r="R3875">
        <v>-0.175895</v>
      </c>
      <c r="S3875">
        <v>3.0070039999999998</v>
      </c>
      <c r="T3875">
        <v>-0.2362204</v>
      </c>
      <c r="U3875">
        <v>-0.57075500000000001</v>
      </c>
      <c r="V3875">
        <v>0.1667467</v>
      </c>
      <c r="W3875">
        <v>0.1636773</v>
      </c>
      <c r="X3875">
        <v>0.9723195</v>
      </c>
      <c r="Y3875">
        <v>0.1762869</v>
      </c>
      <c r="Z3875">
        <v>-6.0862199999999998E-3</v>
      </c>
      <c r="AA3875">
        <v>0.98431999999999997</v>
      </c>
      <c r="AB3875">
        <v>37</v>
      </c>
      <c r="AC3875">
        <v>13.763299999999999</v>
      </c>
      <c r="AD3875">
        <v>-1.1109384863380001</v>
      </c>
      <c r="AE3875">
        <v>-2.6796999999999902</v>
      </c>
      <c r="AF3875">
        <v>2.5279744349871498</v>
      </c>
      <c r="AG3875">
        <v>-1.1109384863380001</v>
      </c>
      <c r="AH3875">
        <v>13.703037794151101</v>
      </c>
      <c r="AI3875">
        <v>94.5583822716127</v>
      </c>
      <c r="AJ3875">
        <v>79.547438640004103</v>
      </c>
      <c r="AK3875">
        <v>13.9784864650043</v>
      </c>
      <c r="AL3875">
        <v>80.579594913662604</v>
      </c>
      <c r="AM3875">
        <v>80.268794632709302</v>
      </c>
      <c r="AN3875">
        <v>0.999999965288214</v>
      </c>
    </row>
    <row r="3876" spans="1:40" x14ac:dyDescent="0.25">
      <c r="A3876" t="str">
        <f>"20190312164104659"</f>
        <v>20190312164104659</v>
      </c>
      <c r="B3876" t="str">
        <f>"1552380064650386"</f>
        <v>1552380064650386</v>
      </c>
      <c r="C3876" t="s">
        <v>40</v>
      </c>
      <c r="D3876">
        <v>6.1482210000000004</v>
      </c>
      <c r="E3876">
        <v>0.51379049999999904</v>
      </c>
      <c r="F3876" t="s">
        <v>46</v>
      </c>
      <c r="G3876">
        <v>-206.55439999999999</v>
      </c>
      <c r="H3876" s="1">
        <v>5.4032009999999996E-6</v>
      </c>
      <c r="I3876">
        <v>211.41800000000001</v>
      </c>
      <c r="J3876">
        <v>-220.21180000000001</v>
      </c>
      <c r="K3876">
        <v>1.110867</v>
      </c>
      <c r="L3876">
        <v>214.1558</v>
      </c>
      <c r="M3876">
        <v>0.99947600000000003</v>
      </c>
      <c r="N3876">
        <v>0</v>
      </c>
      <c r="O3876">
        <v>-1.130959E-2</v>
      </c>
      <c r="P3876">
        <v>0.97415879999999999</v>
      </c>
      <c r="Q3876">
        <v>0.1342284</v>
      </c>
      <c r="R3876">
        <v>-0.1816526</v>
      </c>
      <c r="S3876">
        <v>3.0034329999999998</v>
      </c>
      <c r="T3876">
        <v>-0.23790739999999999</v>
      </c>
      <c r="U3876">
        <v>-0.58743290000000004</v>
      </c>
      <c r="V3876">
        <v>0.17113449999999999</v>
      </c>
      <c r="W3876">
        <v>0.16323660000000001</v>
      </c>
      <c r="X3876">
        <v>0.97163100000000002</v>
      </c>
      <c r="Y3876">
        <v>0.18032380000000001</v>
      </c>
      <c r="Z3876">
        <v>-6.1778569999999897E-3</v>
      </c>
      <c r="AA3876">
        <v>0.98358789999999996</v>
      </c>
      <c r="AB3876">
        <v>37</v>
      </c>
      <c r="AC3876">
        <v>13.657400000000001</v>
      </c>
      <c r="AD3876">
        <v>-1.1108615967990001</v>
      </c>
      <c r="AE3876">
        <v>-2.7377999999999898</v>
      </c>
      <c r="AF3876">
        <v>2.5667688090438499</v>
      </c>
      <c r="AG3876">
        <v>-1.1108615967990001</v>
      </c>
      <c r="AH3876">
        <v>13.600997840279501</v>
      </c>
      <c r="AI3876">
        <v>94.588627142054804</v>
      </c>
      <c r="AJ3876">
        <v>79.312879606881495</v>
      </c>
      <c r="AK3876">
        <v>13.885584534243099</v>
      </c>
      <c r="AL3876">
        <v>80.605189750635304</v>
      </c>
      <c r="AM3876">
        <v>80.010881470054201</v>
      </c>
      <c r="AN3876">
        <v>1.0000000024154001</v>
      </c>
    </row>
    <row r="3877" spans="1:40" x14ac:dyDescent="0.25">
      <c r="A3877" t="str">
        <f>"20190312164104681"</f>
        <v>20190312164104681</v>
      </c>
      <c r="B3877" t="str">
        <f>"1552380064670412"</f>
        <v>1552380064670412</v>
      </c>
      <c r="C3877" t="s">
        <v>40</v>
      </c>
      <c r="D3877">
        <v>5.8308660000000003</v>
      </c>
      <c r="E3877">
        <v>0.5139243</v>
      </c>
      <c r="F3877" t="s">
        <v>46</v>
      </c>
      <c r="G3877">
        <v>-206.29949999999999</v>
      </c>
      <c r="H3877" s="1">
        <v>5.2958439999999997E-6</v>
      </c>
      <c r="I3877">
        <v>211.35310000000001</v>
      </c>
      <c r="J3877">
        <v>-219.86429999999999</v>
      </c>
      <c r="K3877">
        <v>1.110789</v>
      </c>
      <c r="L3877">
        <v>214.15010000000001</v>
      </c>
      <c r="M3877">
        <v>0.99945139999999999</v>
      </c>
      <c r="N3877">
        <v>0</v>
      </c>
      <c r="O3877">
        <v>-1.2802819999999999E-2</v>
      </c>
      <c r="P3877">
        <v>0.97312589999999999</v>
      </c>
      <c r="Q3877">
        <v>0.13341800000000001</v>
      </c>
      <c r="R3877">
        <v>-0.1876843</v>
      </c>
      <c r="S3877">
        <v>2.999908</v>
      </c>
      <c r="T3877">
        <v>-0.23953569999999999</v>
      </c>
      <c r="U3877">
        <v>-0.60433959999999998</v>
      </c>
      <c r="V3877">
        <v>0.1757542</v>
      </c>
      <c r="W3877">
        <v>0.16255899999999901</v>
      </c>
      <c r="X3877">
        <v>0.97091970000000005</v>
      </c>
      <c r="Y3877">
        <v>0.1843881</v>
      </c>
      <c r="Z3877">
        <v>-6.2663509999999999E-3</v>
      </c>
      <c r="AA3877">
        <v>0.98283359999999997</v>
      </c>
      <c r="AB3877">
        <v>36</v>
      </c>
      <c r="AC3877">
        <v>13.5647999999999</v>
      </c>
      <c r="AD3877">
        <v>-1.110783704156</v>
      </c>
      <c r="AE3877">
        <v>-2.7969999999999899</v>
      </c>
      <c r="AF3877">
        <v>2.6062582042998201</v>
      </c>
      <c r="AG3877">
        <v>-1.110783704156</v>
      </c>
      <c r="AH3877">
        <v>13.5125997182563</v>
      </c>
      <c r="AI3877">
        <v>94.614675999426694</v>
      </c>
      <c r="AJ3877">
        <v>79.083067619553603</v>
      </c>
      <c r="AK3877">
        <v>13.806403348110599</v>
      </c>
      <c r="AL3877">
        <v>80.644539085217801</v>
      </c>
      <c r="AM3877">
        <v>79.739524981608994</v>
      </c>
      <c r="AN3877">
        <v>1.0000000155733599</v>
      </c>
    </row>
    <row r="3878" spans="1:40" x14ac:dyDescent="0.25">
      <c r="A3878" t="str">
        <f>"20190312164104726"</f>
        <v>20190312164104726</v>
      </c>
      <c r="B3878" t="str">
        <f>"1552380064720188"</f>
        <v>1552380064720188</v>
      </c>
      <c r="C3878" t="s">
        <v>40</v>
      </c>
      <c r="D3878">
        <v>5.8956480000000004</v>
      </c>
      <c r="E3878">
        <v>0.52643649999999997</v>
      </c>
      <c r="F3878" t="s">
        <v>46</v>
      </c>
      <c r="G3878">
        <v>-206.071</v>
      </c>
      <c r="H3878" s="1">
        <v>5.2010379999999996E-6</v>
      </c>
      <c r="I3878">
        <v>211.27860000000001</v>
      </c>
      <c r="J3878">
        <v>-219.1575</v>
      </c>
      <c r="K3878">
        <v>1.110687</v>
      </c>
      <c r="L3878">
        <v>214.13650000000001</v>
      </c>
      <c r="M3878">
        <v>0.99939100000000003</v>
      </c>
      <c r="N3878">
        <v>0</v>
      </c>
      <c r="O3878">
        <v>-1.613318E-2</v>
      </c>
      <c r="P3878">
        <v>0.97058739999999999</v>
      </c>
      <c r="Q3878">
        <v>0.13239479999999901</v>
      </c>
      <c r="R3878">
        <v>-0.2010776</v>
      </c>
      <c r="S3878">
        <v>2.9956360000000002</v>
      </c>
      <c r="T3878">
        <v>-0.2412407</v>
      </c>
      <c r="U3878">
        <v>-0.62362669999999998</v>
      </c>
      <c r="V3878">
        <v>0.18599399999999999</v>
      </c>
      <c r="W3878">
        <v>0.16176670000000001</v>
      </c>
      <c r="X3878">
        <v>0.96914279999999997</v>
      </c>
      <c r="Y3878">
        <v>0.18744910000000001</v>
      </c>
      <c r="Z3878">
        <v>-6.1724969999999999E-3</v>
      </c>
      <c r="AA3878">
        <v>0.98225490000000004</v>
      </c>
      <c r="AB3878">
        <v>35</v>
      </c>
      <c r="AC3878">
        <v>13.086499999999999</v>
      </c>
      <c r="AD3878">
        <v>-1.1106817989619999</v>
      </c>
      <c r="AE3878">
        <v>-2.8578999999999999</v>
      </c>
      <c r="AF3878">
        <v>2.62822954374173</v>
      </c>
      <c r="AG3878">
        <v>-1.1106817989619999</v>
      </c>
      <c r="AH3878">
        <v>13.0412602744341</v>
      </c>
      <c r="AI3878">
        <v>94.7724528701644</v>
      </c>
      <c r="AJ3878">
        <v>78.605698624632396</v>
      </c>
      <c r="AK3878">
        <v>13.3497443473152</v>
      </c>
      <c r="AL3878">
        <v>80.690543299195795</v>
      </c>
      <c r="AM3878">
        <v>79.136117012334196</v>
      </c>
      <c r="AN3878">
        <v>1.00000000002836</v>
      </c>
    </row>
    <row r="3879" spans="1:40" x14ac:dyDescent="0.25">
      <c r="A3879" t="str">
        <f>"20190312164104746"</f>
        <v>20190312164104746</v>
      </c>
      <c r="B3879" t="str">
        <f>"1552380064739708"</f>
        <v>1552380064739708</v>
      </c>
      <c r="C3879" t="s">
        <v>40</v>
      </c>
      <c r="D3879">
        <v>6.7485489999999997</v>
      </c>
      <c r="E3879">
        <v>0.52528609999999998</v>
      </c>
      <c r="F3879" t="s">
        <v>46</v>
      </c>
      <c r="G3879">
        <v>-208.49340000000001</v>
      </c>
      <c r="H3879" s="1">
        <v>6.2619669999999899E-6</v>
      </c>
      <c r="I3879">
        <v>211.4307</v>
      </c>
      <c r="J3879">
        <v>-218.8218</v>
      </c>
      <c r="K3879">
        <v>1.1106590000000001</v>
      </c>
      <c r="L3879">
        <v>214.12909999999999</v>
      </c>
      <c r="M3879">
        <v>0.99935469999999904</v>
      </c>
      <c r="N3879">
        <v>0</v>
      </c>
      <c r="O3879">
        <v>-1.7855490000000002E-2</v>
      </c>
      <c r="P3879">
        <v>0.96915410000000002</v>
      </c>
      <c r="Q3879">
        <v>0.1312979</v>
      </c>
      <c r="R3879">
        <v>-0.20857100000000001</v>
      </c>
      <c r="S3879">
        <v>2.9767299999999999</v>
      </c>
      <c r="T3879">
        <v>-0.31003199999999997</v>
      </c>
      <c r="U3879">
        <v>-0.75531009999999998</v>
      </c>
      <c r="V3879">
        <v>0.19185569999999999</v>
      </c>
      <c r="W3879">
        <v>0.16080620000000001</v>
      </c>
      <c r="X3879">
        <v>0.9681594</v>
      </c>
      <c r="Y3879">
        <v>0.22752520000000001</v>
      </c>
      <c r="Z3879">
        <v>-9.8079880000000001E-3</v>
      </c>
      <c r="AA3879">
        <v>0.9737228</v>
      </c>
      <c r="AB3879">
        <v>35</v>
      </c>
      <c r="AC3879">
        <v>10.328399999999901</v>
      </c>
      <c r="AD3879">
        <v>-1.110652738033</v>
      </c>
      <c r="AE3879">
        <v>-2.6983999999999901</v>
      </c>
      <c r="AF3879">
        <v>2.48654508333138</v>
      </c>
      <c r="AG3879">
        <v>-1.110652738033</v>
      </c>
      <c r="AH3879">
        <v>10.263853639549801</v>
      </c>
      <c r="AI3879">
        <v>96.003608132184695</v>
      </c>
      <c r="AJ3879">
        <v>76.381767501871096</v>
      </c>
      <c r="AK3879">
        <v>10.618999363877901</v>
      </c>
      <c r="AL3879">
        <v>80.746305343654299</v>
      </c>
      <c r="AM3879">
        <v>78.791174753208693</v>
      </c>
      <c r="AN3879">
        <v>0.99999993369464202</v>
      </c>
    </row>
    <row r="3880" spans="1:40" x14ac:dyDescent="0.25">
      <c r="A3880" t="str">
        <f>"20190312164104768"</f>
        <v>20190312164104768</v>
      </c>
      <c r="B3880" t="str">
        <f>"1552380064760204"</f>
        <v>1552380064760204</v>
      </c>
      <c r="C3880" t="s">
        <v>40</v>
      </c>
      <c r="D3880">
        <v>5.9506420000000002</v>
      </c>
      <c r="E3880">
        <v>0.51947200000000004</v>
      </c>
      <c r="F3880" t="s">
        <v>46</v>
      </c>
      <c r="G3880">
        <v>-208.24690000000001</v>
      </c>
      <c r="H3880" s="1">
        <v>6.1556869999999996E-6</v>
      </c>
      <c r="I3880">
        <v>211.39599999999999</v>
      </c>
      <c r="J3880">
        <v>-218.48249999999999</v>
      </c>
      <c r="K3880">
        <v>1.1106339999999999</v>
      </c>
      <c r="L3880">
        <v>214.1208</v>
      </c>
      <c r="M3880">
        <v>0.99931099999999995</v>
      </c>
      <c r="N3880">
        <v>0</v>
      </c>
      <c r="O3880">
        <v>-1.9718010000000001E-2</v>
      </c>
      <c r="P3880">
        <v>0.96729419999999999</v>
      </c>
      <c r="Q3880">
        <v>0.13201280000000001</v>
      </c>
      <c r="R3880">
        <v>-0.21659800000000001</v>
      </c>
      <c r="S3880">
        <v>2.9724430000000002</v>
      </c>
      <c r="T3880">
        <v>-0.31218839999999998</v>
      </c>
      <c r="U3880">
        <v>-0.76823430000000004</v>
      </c>
      <c r="V3880">
        <v>0.19813710000000001</v>
      </c>
      <c r="W3880">
        <v>0.16168569999999999</v>
      </c>
      <c r="X3880">
        <v>0.96674680000000002</v>
      </c>
      <c r="Y3880">
        <v>0.22999810000000001</v>
      </c>
      <c r="Z3880">
        <v>-9.8200200000000005E-3</v>
      </c>
      <c r="AA3880">
        <v>0.97314160000000005</v>
      </c>
      <c r="AB3880">
        <v>35</v>
      </c>
      <c r="AC3880">
        <v>10.2355999999999</v>
      </c>
      <c r="AD3880">
        <v>-1.110627844313</v>
      </c>
      <c r="AE3880">
        <v>-2.7248000000000099</v>
      </c>
      <c r="AF3880">
        <v>2.4949139066393</v>
      </c>
      <c r="AG3880">
        <v>-1.110627844313</v>
      </c>
      <c r="AH3880">
        <v>10.175487957565201</v>
      </c>
      <c r="AI3880">
        <v>96.051179182451094</v>
      </c>
      <c r="AJ3880">
        <v>76.223504293854504</v>
      </c>
      <c r="AK3880">
        <v>10.535589436982599</v>
      </c>
      <c r="AL3880">
        <v>80.695245938563602</v>
      </c>
      <c r="AM3880">
        <v>78.417489770666194</v>
      </c>
      <c r="AN3880">
        <v>0.99999997564556897</v>
      </c>
    </row>
    <row r="3881" spans="1:40" x14ac:dyDescent="0.25">
      <c r="A3881" t="str">
        <f>"20190312164104792"</f>
        <v>20190312164104792</v>
      </c>
      <c r="B3881" t="str">
        <f>"1552380064779724"</f>
        <v>1552380064779724</v>
      </c>
      <c r="C3881" t="s">
        <v>40</v>
      </c>
      <c r="D3881">
        <v>5.9171769999999997</v>
      </c>
      <c r="E3881">
        <v>0.51864469999999996</v>
      </c>
      <c r="F3881" t="s">
        <v>46</v>
      </c>
      <c r="G3881">
        <v>-202.15870000000001</v>
      </c>
      <c r="H3881" s="1">
        <v>3.5812410000000002E-6</v>
      </c>
      <c r="I3881">
        <v>209.96119999999999</v>
      </c>
      <c r="J3881">
        <v>-218.1352</v>
      </c>
      <c r="K3881">
        <v>1.1106049999999901</v>
      </c>
      <c r="L3881">
        <v>214.11160000000001</v>
      </c>
      <c r="M3881">
        <v>0.99925779999999997</v>
      </c>
      <c r="N3881">
        <v>0</v>
      </c>
      <c r="O3881">
        <v>-2.1782300000000001E-2</v>
      </c>
      <c r="P3881">
        <v>0.96528150000000001</v>
      </c>
      <c r="Q3881">
        <v>0.1332632</v>
      </c>
      <c r="R3881">
        <v>-0.22466149999999999</v>
      </c>
      <c r="S3881">
        <v>2.9600070000000001</v>
      </c>
      <c r="T3881">
        <v>-0.20139190000000001</v>
      </c>
      <c r="U3881">
        <v>-0.75427250000000001</v>
      </c>
      <c r="V3881">
        <v>0.20427790000000001</v>
      </c>
      <c r="W3881">
        <v>0.163134</v>
      </c>
      <c r="X3881">
        <v>0.96522430000000004</v>
      </c>
      <c r="Y3881">
        <v>0.22531190000000001</v>
      </c>
      <c r="Z3881">
        <v>-6.0792349999999997E-3</v>
      </c>
      <c r="AA3881">
        <v>0.97426769999999996</v>
      </c>
      <c r="AB3881">
        <v>34</v>
      </c>
      <c r="AC3881">
        <v>15.9764999999999</v>
      </c>
      <c r="AD3881">
        <v>-1.1106014187590001</v>
      </c>
      <c r="AE3881">
        <v>-4.1504000000000101</v>
      </c>
      <c r="AF3881">
        <v>3.7841037269123698</v>
      </c>
      <c r="AG3881">
        <v>-1.1106014187590001</v>
      </c>
      <c r="AH3881">
        <v>15.9907695363986</v>
      </c>
      <c r="AI3881">
        <v>93.866514022978706</v>
      </c>
      <c r="AJ3881">
        <v>76.686271009471795</v>
      </c>
      <c r="AK3881">
        <v>16.469899419656301</v>
      </c>
      <c r="AL3881">
        <v>80.611148673776697</v>
      </c>
      <c r="AM3881">
        <v>78.050377722245202</v>
      </c>
      <c r="AN3881">
        <v>1.00000005584744</v>
      </c>
    </row>
    <row r="3882" spans="1:40" x14ac:dyDescent="0.25">
      <c r="A3882" t="str">
        <f>"20190312164104813"</f>
        <v>20190312164104813</v>
      </c>
      <c r="B3882" t="str">
        <f>"1552380064809979"</f>
        <v>1552380064809979</v>
      </c>
      <c r="C3882" t="s">
        <v>40</v>
      </c>
      <c r="D3882">
        <v>5.8935789999999999</v>
      </c>
      <c r="E3882">
        <v>0.51831769999999999</v>
      </c>
      <c r="F3882" t="s">
        <v>46</v>
      </c>
      <c r="G3882">
        <v>-201.3425</v>
      </c>
      <c r="H3882" s="1">
        <v>3.239843E-6</v>
      </c>
      <c r="I3882">
        <v>209.72630000000001</v>
      </c>
      <c r="J3882">
        <v>-217.80879999999999</v>
      </c>
      <c r="K3882">
        <v>1.1105640000000001</v>
      </c>
      <c r="L3882">
        <v>214.102</v>
      </c>
      <c r="M3882">
        <v>0.99919840000000004</v>
      </c>
      <c r="N3882">
        <v>0</v>
      </c>
      <c r="O3882">
        <v>-2.3901149999999999E-2</v>
      </c>
      <c r="P3882">
        <v>0.96289349999999996</v>
      </c>
      <c r="Q3882">
        <v>0.13364479999999901</v>
      </c>
      <c r="R3882">
        <v>-0.2344687</v>
      </c>
      <c r="S3882">
        <v>2.9552459999999998</v>
      </c>
      <c r="T3882">
        <v>-0.19544800000000001</v>
      </c>
      <c r="U3882">
        <v>-0.77174379999999998</v>
      </c>
      <c r="V3882">
        <v>0.21212790000000001</v>
      </c>
      <c r="W3882">
        <v>0.16370219999999999</v>
      </c>
      <c r="X3882">
        <v>0.96343310000000004</v>
      </c>
      <c r="Y3882">
        <v>0.22904150000000001</v>
      </c>
      <c r="Z3882">
        <v>-5.888758E-3</v>
      </c>
      <c r="AA3882">
        <v>0.97339889999999996</v>
      </c>
      <c r="AB3882">
        <v>34</v>
      </c>
      <c r="AC3882">
        <v>16.466299999999901</v>
      </c>
      <c r="AD3882">
        <v>-1.11056076015699</v>
      </c>
      <c r="AE3882">
        <v>-4.3756999999999904</v>
      </c>
      <c r="AF3882">
        <v>3.9638408064128501</v>
      </c>
      <c r="AG3882">
        <v>-1.11056076015699</v>
      </c>
      <c r="AH3882">
        <v>16.496141782100601</v>
      </c>
      <c r="AI3882">
        <v>93.745193026926302</v>
      </c>
      <c r="AJ3882">
        <v>76.488613080272501</v>
      </c>
      <c r="AK3882">
        <v>17.002002024342602</v>
      </c>
      <c r="AL3882">
        <v>80.578149046052602</v>
      </c>
      <c r="AM3882">
        <v>77.582790094864393</v>
      </c>
      <c r="AN3882">
        <v>0.99999999720943</v>
      </c>
    </row>
    <row r="3883" spans="1:40" x14ac:dyDescent="0.25">
      <c r="A3883" t="str">
        <f>"20190312164104849"</f>
        <v>20190312164104849</v>
      </c>
      <c r="B3883" t="str">
        <f>"1552380064840236"</f>
        <v>1552380064840236</v>
      </c>
      <c r="C3883" t="s">
        <v>40</v>
      </c>
      <c r="D3883">
        <v>5.9218929999999999</v>
      </c>
      <c r="E3883">
        <v>0.51699410000000001</v>
      </c>
      <c r="F3883" t="s">
        <v>46</v>
      </c>
      <c r="G3883">
        <v>-200.94210000000001</v>
      </c>
      <c r="H3883" s="1">
        <v>3.0862089999999998E-6</v>
      </c>
      <c r="I3883">
        <v>209.535</v>
      </c>
      <c r="J3883">
        <v>-217.2954</v>
      </c>
      <c r="K3883">
        <v>1.1104419999999999</v>
      </c>
      <c r="L3883">
        <v>214.08500000000001</v>
      </c>
      <c r="M3883">
        <v>0.99908229999999998</v>
      </c>
      <c r="N3883">
        <v>0</v>
      </c>
      <c r="O3883">
        <v>-2.7684360000000002E-2</v>
      </c>
      <c r="P3883">
        <v>0.96022689999999999</v>
      </c>
      <c r="Q3883">
        <v>0.1323954</v>
      </c>
      <c r="R3883">
        <v>-0.24583669999999999</v>
      </c>
      <c r="S3883">
        <v>2.9481809999999999</v>
      </c>
      <c r="T3883">
        <v>-0.19411829999999999</v>
      </c>
      <c r="U3883">
        <v>-0.79827879999999996</v>
      </c>
      <c r="V3883">
        <v>0.2199797</v>
      </c>
      <c r="W3883">
        <v>0.1627971</v>
      </c>
      <c r="X3883">
        <v>0.96182429999999997</v>
      </c>
      <c r="Y3883">
        <v>0.23410610000000001</v>
      </c>
      <c r="Z3883">
        <v>-5.7751969999999897E-3</v>
      </c>
      <c r="AA3883">
        <v>0.97219390000000006</v>
      </c>
      <c r="AB3883">
        <v>34</v>
      </c>
      <c r="AC3883">
        <v>16.353299999999901</v>
      </c>
      <c r="AD3883">
        <v>-1.110438913791</v>
      </c>
      <c r="AE3883">
        <v>-4.5500000000000096</v>
      </c>
      <c r="AF3883">
        <v>4.0778303468774304</v>
      </c>
      <c r="AG3883">
        <v>-1.110438913791</v>
      </c>
      <c r="AH3883">
        <v>16.402859887572198</v>
      </c>
      <c r="AI3883">
        <v>93.758822364152294</v>
      </c>
      <c r="AJ3883">
        <v>76.0390158468566</v>
      </c>
      <c r="AK3883">
        <v>16.938582804074802</v>
      </c>
      <c r="AL3883">
        <v>80.630712391113406</v>
      </c>
      <c r="AM3883">
        <v>77.117404386034494</v>
      </c>
      <c r="AN3883">
        <v>0.99999997412549402</v>
      </c>
    </row>
    <row r="3884" spans="1:40" x14ac:dyDescent="0.25">
      <c r="A3884" t="str">
        <f>"20190312164104870"</f>
        <v>20190312164104870</v>
      </c>
      <c r="B3884" t="str">
        <f>"1552380064859756"</f>
        <v>1552380064859756</v>
      </c>
      <c r="C3884" t="s">
        <v>40</v>
      </c>
      <c r="D3884">
        <v>5.951721</v>
      </c>
      <c r="E3884">
        <v>0.51725759999999998</v>
      </c>
      <c r="F3884" t="s">
        <v>46</v>
      </c>
      <c r="G3884">
        <v>-208.36590000000001</v>
      </c>
      <c r="H3884" s="1">
        <v>6.1851829999999998E-6</v>
      </c>
      <c r="I3884">
        <v>211.66200000000001</v>
      </c>
      <c r="J3884">
        <v>-216.9838</v>
      </c>
      <c r="K3884">
        <v>1.110355</v>
      </c>
      <c r="L3884">
        <v>214.07339999999999</v>
      </c>
      <c r="M3884">
        <v>0.99899649999999995</v>
      </c>
      <c r="N3884">
        <v>0</v>
      </c>
      <c r="O3884">
        <v>-3.0256740000000001E-2</v>
      </c>
      <c r="P3884">
        <v>0.9581636</v>
      </c>
      <c r="Q3884">
        <v>0.13249320000000001</v>
      </c>
      <c r="R3884">
        <v>-0.25370880000000001</v>
      </c>
      <c r="S3884">
        <v>2.9688870000000001</v>
      </c>
      <c r="T3884">
        <v>-0.36919570000000002</v>
      </c>
      <c r="U3884">
        <v>-0.80560299999999996</v>
      </c>
      <c r="V3884">
        <v>0.2254795</v>
      </c>
      <c r="W3884">
        <v>0.16307369999999999</v>
      </c>
      <c r="X3884">
        <v>0.960503</v>
      </c>
      <c r="Y3884">
        <v>0.23110359999999999</v>
      </c>
      <c r="Z3884">
        <v>-1.038269E-2</v>
      </c>
      <c r="AA3884">
        <v>0.97287369999999995</v>
      </c>
      <c r="AB3884">
        <v>33</v>
      </c>
      <c r="AC3884">
        <v>8.6178999999999899</v>
      </c>
      <c r="AD3884">
        <v>-1.110348814817</v>
      </c>
      <c r="AE3884">
        <v>-2.41139999999998</v>
      </c>
      <c r="AF3884">
        <v>2.1168146524520601</v>
      </c>
      <c r="AG3884">
        <v>-1.110348814817</v>
      </c>
      <c r="AH3884">
        <v>8.5552434525846905</v>
      </c>
      <c r="AI3884">
        <v>97.180664210525705</v>
      </c>
      <c r="AJ3884">
        <v>76.102486777195097</v>
      </c>
      <c r="AK3884">
        <v>8.88290320201647</v>
      </c>
      <c r="AL3884">
        <v>80.614650208187996</v>
      </c>
      <c r="AM3884">
        <v>76.788943543388797</v>
      </c>
      <c r="AN3884">
        <v>1.0000000247804599</v>
      </c>
    </row>
    <row r="3885" spans="1:40" x14ac:dyDescent="0.25">
      <c r="A3885" t="str">
        <f>"20190312164104893"</f>
        <v>20190312164104893</v>
      </c>
      <c r="B3885" t="str">
        <f>"1552380064890013"</f>
        <v>1552380064890013</v>
      </c>
      <c r="C3885" t="s">
        <v>40</v>
      </c>
      <c r="D3885">
        <v>6.0013480000000001</v>
      </c>
      <c r="E3885">
        <v>0.51612799999999903</v>
      </c>
      <c r="F3885" t="s">
        <v>46</v>
      </c>
      <c r="G3885">
        <v>-207.1446</v>
      </c>
      <c r="H3885" s="1">
        <v>5.67491999999999E-6</v>
      </c>
      <c r="I3885">
        <v>211.3038</v>
      </c>
      <c r="J3885">
        <v>-216.64840000000001</v>
      </c>
      <c r="K3885">
        <v>1.110255</v>
      </c>
      <c r="L3885">
        <v>214.05969999999999</v>
      </c>
      <c r="M3885">
        <v>0.99888940000000004</v>
      </c>
      <c r="N3885">
        <v>0</v>
      </c>
      <c r="O3885">
        <v>-3.3262600000000003E-2</v>
      </c>
      <c r="P3885">
        <v>0.95596890000000001</v>
      </c>
      <c r="Q3885">
        <v>0.13337499999999999</v>
      </c>
      <c r="R3885">
        <v>-0.26140869999999999</v>
      </c>
      <c r="S3885">
        <v>2.956772</v>
      </c>
      <c r="T3885">
        <v>-0.33367229999999998</v>
      </c>
      <c r="U3885">
        <v>-0.83229059999999899</v>
      </c>
      <c r="V3885">
        <v>0.23040920000000001</v>
      </c>
      <c r="W3885">
        <v>0.1641369</v>
      </c>
      <c r="X3885">
        <v>0.95915099999999998</v>
      </c>
      <c r="Y3885">
        <v>0.237571</v>
      </c>
      <c r="Z3885">
        <v>-9.4416840000000005E-3</v>
      </c>
      <c r="AA3885">
        <v>0.97132430000000003</v>
      </c>
      <c r="AB3885">
        <v>32</v>
      </c>
      <c r="AC3885">
        <v>9.5038000000000107</v>
      </c>
      <c r="AD3885">
        <v>-1.1102493250799901</v>
      </c>
      <c r="AE3885">
        <v>-2.7558999999999898</v>
      </c>
      <c r="AF3885">
        <v>2.4077653398987602</v>
      </c>
      <c r="AG3885">
        <v>-1.1102493250799901</v>
      </c>
      <c r="AH3885">
        <v>9.4710264259474304</v>
      </c>
      <c r="AI3885">
        <v>96.481694255943793</v>
      </c>
      <c r="AJ3885">
        <v>75.736185118351102</v>
      </c>
      <c r="AK3885">
        <v>9.8351578053863893</v>
      </c>
      <c r="AL3885">
        <v>80.552900905176699</v>
      </c>
      <c r="AM3885">
        <v>76.492238804026499</v>
      </c>
      <c r="AN3885">
        <v>0.99999998109362398</v>
      </c>
    </row>
    <row r="3886" spans="1:40" x14ac:dyDescent="0.25">
      <c r="A3886" t="str">
        <f>"20190312164104917"</f>
        <v>20190312164104917</v>
      </c>
      <c r="B3886" t="str">
        <f>"1552380064909532"</f>
        <v>1552380064909532</v>
      </c>
      <c r="C3886" t="s">
        <v>40</v>
      </c>
      <c r="D3886">
        <v>5.8437539999999997</v>
      </c>
      <c r="E3886">
        <v>0.51628909999999995</v>
      </c>
      <c r="F3886" t="s">
        <v>46</v>
      </c>
      <c r="G3886">
        <v>-206.03559999999999</v>
      </c>
      <c r="H3886" s="1">
        <v>5.2088739999999999E-6</v>
      </c>
      <c r="I3886">
        <v>211.00890000000001</v>
      </c>
      <c r="J3886">
        <v>-216.3253</v>
      </c>
      <c r="K3886">
        <v>1.110171</v>
      </c>
      <c r="L3886">
        <v>214.0454</v>
      </c>
      <c r="M3886">
        <v>0.9987684</v>
      </c>
      <c r="N3886">
        <v>0</v>
      </c>
      <c r="O3886">
        <v>-3.639295E-2</v>
      </c>
      <c r="P3886">
        <v>0.95386420000000005</v>
      </c>
      <c r="Q3886">
        <v>0.1337602</v>
      </c>
      <c r="R3886">
        <v>-0.26879690000000001</v>
      </c>
      <c r="S3886">
        <v>2.9493559999999999</v>
      </c>
      <c r="T3886">
        <v>-0.30854280000000001</v>
      </c>
      <c r="U3886">
        <v>-0.84783940000000002</v>
      </c>
      <c r="V3886">
        <v>0.234904</v>
      </c>
      <c r="W3886">
        <v>0.16471640000000001</v>
      </c>
      <c r="X3886">
        <v>0.9579607</v>
      </c>
      <c r="Y3886">
        <v>0.24007339999999999</v>
      </c>
      <c r="Z3886">
        <v>-8.5578670000000003E-3</v>
      </c>
      <c r="AA3886">
        <v>0.97071700000000005</v>
      </c>
      <c r="AB3886">
        <v>32</v>
      </c>
      <c r="AC3886">
        <v>10.2897</v>
      </c>
      <c r="AD3886">
        <v>-1.1101657911259999</v>
      </c>
      <c r="AE3886">
        <v>-3.0364999999999802</v>
      </c>
      <c r="AF3886">
        <v>2.63162124286761</v>
      </c>
      <c r="AG3886">
        <v>-1.1101657911259999</v>
      </c>
      <c r="AH3886">
        <v>10.2833324213955</v>
      </c>
      <c r="AI3886">
        <v>95.970706581991706</v>
      </c>
      <c r="AJ3886">
        <v>75.645431679458795</v>
      </c>
      <c r="AK3886">
        <v>10.6726203033099</v>
      </c>
      <c r="AL3886">
        <v>80.519240434326093</v>
      </c>
      <c r="AM3886">
        <v>76.222210477952501</v>
      </c>
      <c r="AN3886">
        <v>1.0000000421947199</v>
      </c>
    </row>
    <row r="3887" spans="1:40" x14ac:dyDescent="0.25">
      <c r="A3887" t="str">
        <f>"20190312164104937"</f>
        <v>20190312164104937</v>
      </c>
      <c r="B3887" t="str">
        <f>"1552380064930028"</f>
        <v>1552380064930028</v>
      </c>
      <c r="C3887" t="s">
        <v>40</v>
      </c>
      <c r="D3887">
        <v>5.9335839999999997</v>
      </c>
      <c r="E3887">
        <v>0.51615259999999996</v>
      </c>
      <c r="F3887" t="s">
        <v>46</v>
      </c>
      <c r="G3887">
        <v>-205.89750000000001</v>
      </c>
      <c r="H3887" s="1">
        <v>5.1517129999999999E-6</v>
      </c>
      <c r="I3887">
        <v>210.96250000000001</v>
      </c>
      <c r="J3887">
        <v>-216.03800000000001</v>
      </c>
      <c r="K3887">
        <v>1.1101080000000001</v>
      </c>
      <c r="L3887">
        <v>214.03149999999999</v>
      </c>
      <c r="M3887">
        <v>0.99864390000000003</v>
      </c>
      <c r="N3887">
        <v>0</v>
      </c>
      <c r="O3887">
        <v>-3.9374630000000001E-2</v>
      </c>
      <c r="P3887">
        <v>0.95202699999999996</v>
      </c>
      <c r="Q3887">
        <v>0.1322091</v>
      </c>
      <c r="R3887">
        <v>-0.27598159999999999</v>
      </c>
      <c r="S3887">
        <v>2.9437869999999999</v>
      </c>
      <c r="T3887">
        <v>-0.31340129999999999</v>
      </c>
      <c r="U3887">
        <v>-0.87030030000000003</v>
      </c>
      <c r="V3887">
        <v>0.23931379999999999</v>
      </c>
      <c r="W3887">
        <v>0.1633706</v>
      </c>
      <c r="X3887">
        <v>0.95709929999999999</v>
      </c>
      <c r="Y3887">
        <v>0.24444550000000001</v>
      </c>
      <c r="Z3887">
        <v>-8.6168129999999992E-3</v>
      </c>
      <c r="AA3887">
        <v>0.96962479999999995</v>
      </c>
      <c r="AB3887">
        <v>32</v>
      </c>
      <c r="AC3887">
        <v>10.1404999999999</v>
      </c>
      <c r="AD3887">
        <v>-1.1101028482869999</v>
      </c>
      <c r="AE3887">
        <v>-3.06899999999998</v>
      </c>
      <c r="AF3887">
        <v>2.6381440080492098</v>
      </c>
      <c r="AG3887">
        <v>-1.1101028482869999</v>
      </c>
      <c r="AH3887">
        <v>10.1421911989317</v>
      </c>
      <c r="AI3887">
        <v>96.046735474277298</v>
      </c>
      <c r="AJ3887">
        <v>75.419570138485895</v>
      </c>
      <c r="AK3887">
        <v>10.5383193373833</v>
      </c>
      <c r="AL3887">
        <v>80.597408184465195</v>
      </c>
      <c r="AM3887">
        <v>75.9615606012363</v>
      </c>
      <c r="AN3887">
        <v>1.0000000589376401</v>
      </c>
    </row>
    <row r="3888" spans="1:40" x14ac:dyDescent="0.25">
      <c r="A3888" t="str">
        <f>"20190312164104960"</f>
        <v>20190312164104960</v>
      </c>
      <c r="B3888" t="str">
        <f>"1552380064949548"</f>
        <v>1552380064949548</v>
      </c>
      <c r="C3888" t="s">
        <v>40</v>
      </c>
      <c r="D3888">
        <v>5.958107</v>
      </c>
      <c r="E3888">
        <v>0.51537460000000002</v>
      </c>
      <c r="F3888" t="s">
        <v>46</v>
      </c>
      <c r="G3888">
        <v>-205.87200000000001</v>
      </c>
      <c r="H3888" s="1">
        <v>5.141214E-6</v>
      </c>
      <c r="I3888">
        <v>210.95330000000001</v>
      </c>
      <c r="J3888">
        <v>-215.7397</v>
      </c>
      <c r="K3888">
        <v>1.1100399999999999</v>
      </c>
      <c r="L3888">
        <v>214.01589999999999</v>
      </c>
      <c r="M3888">
        <v>0.99849659999999996</v>
      </c>
      <c r="N3888">
        <v>0</v>
      </c>
      <c r="O3888">
        <v>-4.2668690000000002E-2</v>
      </c>
      <c r="P3888">
        <v>0.95038710000000004</v>
      </c>
      <c r="Q3888">
        <v>0.13016710000000001</v>
      </c>
      <c r="R3888">
        <v>-0.28252660000000002</v>
      </c>
      <c r="S3888">
        <v>2.9378660000000001</v>
      </c>
      <c r="T3888">
        <v>-0.32080829999999999</v>
      </c>
      <c r="U3888">
        <v>-0.88955689999999998</v>
      </c>
      <c r="V3888">
        <v>0.2427754</v>
      </c>
      <c r="W3888">
        <v>0.1615644</v>
      </c>
      <c r="X3888">
        <v>0.95653390000000005</v>
      </c>
      <c r="Y3888">
        <v>0.24755840000000001</v>
      </c>
      <c r="Z3888">
        <v>-8.6443279999999997E-3</v>
      </c>
      <c r="AA3888">
        <v>0.96883439999999998</v>
      </c>
      <c r="AB3888">
        <v>31</v>
      </c>
      <c r="AC3888">
        <v>9.8676999999999797</v>
      </c>
      <c r="AD3888">
        <v>-1.1100348587859901</v>
      </c>
      <c r="AE3888">
        <v>-3.06259999999997</v>
      </c>
      <c r="AF3888">
        <v>2.6084085702970201</v>
      </c>
      <c r="AG3888">
        <v>-1.1100348587859901</v>
      </c>
      <c r="AH3888">
        <v>9.8754692064941203</v>
      </c>
      <c r="AI3888">
        <v>96.202350657038394</v>
      </c>
      <c r="AJ3888">
        <v>75.204354641182206</v>
      </c>
      <c r="AK3888">
        <v>10.2742817123988</v>
      </c>
      <c r="AL3888">
        <v>80.702288983378693</v>
      </c>
      <c r="AM3888">
        <v>75.758624455962803</v>
      </c>
      <c r="AN3888">
        <v>1.0000000260208599</v>
      </c>
    </row>
    <row r="3889" spans="1:40" x14ac:dyDescent="0.25">
      <c r="A3889" t="str">
        <f>"20190312164104981"</f>
        <v>20190312164104981</v>
      </c>
      <c r="B3889" t="str">
        <f>"1552380064970046"</f>
        <v>1552380064970046</v>
      </c>
      <c r="C3889" t="s">
        <v>40</v>
      </c>
      <c r="D3889">
        <v>5.9002109999999997</v>
      </c>
      <c r="E3889">
        <v>0.51472839999999997</v>
      </c>
      <c r="F3889" t="s">
        <v>46</v>
      </c>
      <c r="G3889">
        <v>-205.45410000000001</v>
      </c>
      <c r="H3889" s="1">
        <v>4.9649480000000002E-6</v>
      </c>
      <c r="I3889">
        <v>210.84970000000001</v>
      </c>
      <c r="J3889">
        <v>-215.4419</v>
      </c>
      <c r="K3889">
        <v>1.1099920000000001</v>
      </c>
      <c r="L3889">
        <v>213.9991</v>
      </c>
      <c r="M3889">
        <v>0.99833099999999997</v>
      </c>
      <c r="N3889">
        <v>0</v>
      </c>
      <c r="O3889">
        <v>-4.613478E-2</v>
      </c>
      <c r="P3889">
        <v>0.94877199999999995</v>
      </c>
      <c r="Q3889">
        <v>0.12817590000000001</v>
      </c>
      <c r="R3889">
        <v>-0.28879529999999998</v>
      </c>
      <c r="S3889">
        <v>2.931702</v>
      </c>
      <c r="T3889">
        <v>-0.31639410000000001</v>
      </c>
      <c r="U3889">
        <v>-0.90246579999999998</v>
      </c>
      <c r="V3889">
        <v>0.2457936</v>
      </c>
      <c r="W3889">
        <v>0.15980039999999901</v>
      </c>
      <c r="X3889">
        <v>0.95605929999999995</v>
      </c>
      <c r="Y3889">
        <v>0.24870200000000001</v>
      </c>
      <c r="Z3889">
        <v>-8.2346269999999996E-3</v>
      </c>
      <c r="AA3889">
        <v>0.96854510000000005</v>
      </c>
      <c r="AB3889">
        <v>30</v>
      </c>
      <c r="AC3889">
        <v>9.9877999999999894</v>
      </c>
      <c r="AD3889">
        <v>-1.109987035052</v>
      </c>
      <c r="AE3889">
        <v>-3.14939999999998</v>
      </c>
      <c r="AF3889">
        <v>2.6551517159536102</v>
      </c>
      <c r="AG3889">
        <v>-1.109987035052</v>
      </c>
      <c r="AH3889">
        <v>10.0100851902499</v>
      </c>
      <c r="AI3889">
        <v>96.117638154130901</v>
      </c>
      <c r="AJ3889">
        <v>75.144514751002703</v>
      </c>
      <c r="AK3889">
        <v>10.415551227312701</v>
      </c>
      <c r="AL3889">
        <v>80.804689299057301</v>
      </c>
      <c r="AM3889">
        <v>75.582049885788095</v>
      </c>
      <c r="AN3889">
        <v>1.0000000233788</v>
      </c>
    </row>
    <row r="3890" spans="1:40" x14ac:dyDescent="0.25">
      <c r="A3890" t="str">
        <f>"20190312164105005"</f>
        <v>20190312164105005</v>
      </c>
      <c r="B3890" t="str">
        <f>"1552380065000301"</f>
        <v>1552380065000301</v>
      </c>
      <c r="C3890" t="s">
        <v>40</v>
      </c>
      <c r="D3890">
        <v>5.9223600000000003</v>
      </c>
      <c r="E3890">
        <v>0.51415619999999995</v>
      </c>
      <c r="F3890" t="s">
        <v>46</v>
      </c>
      <c r="G3890">
        <v>-205.126</v>
      </c>
      <c r="H3890" s="1">
        <v>4.8268180000000002E-6</v>
      </c>
      <c r="I3890">
        <v>210.76519999999999</v>
      </c>
      <c r="J3890">
        <v>-215.14830000000001</v>
      </c>
      <c r="K3890">
        <v>1.1099730000000001</v>
      </c>
      <c r="L3890">
        <v>213.9813</v>
      </c>
      <c r="M3890">
        <v>0.99814990000000003</v>
      </c>
      <c r="N3890">
        <v>0</v>
      </c>
      <c r="O3890">
        <v>-4.9687790000000003E-2</v>
      </c>
      <c r="P3890">
        <v>0.94702719999999996</v>
      </c>
      <c r="Q3890">
        <v>0.12723400000000001</v>
      </c>
      <c r="R3890">
        <v>-0.29487459999999999</v>
      </c>
      <c r="S3890">
        <v>2.925354</v>
      </c>
      <c r="T3890">
        <v>-0.31476599999999999</v>
      </c>
      <c r="U3890">
        <v>-0.91705320000000001</v>
      </c>
      <c r="V3890">
        <v>0.2485483</v>
      </c>
      <c r="W3890">
        <v>0.15906979999999901</v>
      </c>
      <c r="X3890">
        <v>0.95546880000000001</v>
      </c>
      <c r="Y3890">
        <v>0.25026860000000001</v>
      </c>
      <c r="Z3890">
        <v>-7.9147829999999999E-3</v>
      </c>
      <c r="AA3890">
        <v>0.96814409999999895</v>
      </c>
      <c r="AB3890">
        <v>30</v>
      </c>
      <c r="AC3890">
        <v>10.0223</v>
      </c>
      <c r="AD3890">
        <v>-1.1099681731819999</v>
      </c>
      <c r="AE3890">
        <v>-3.2161000000000102</v>
      </c>
      <c r="AF3890">
        <v>2.68398359312526</v>
      </c>
      <c r="AG3890">
        <v>-1.1099681731819999</v>
      </c>
      <c r="AH3890">
        <v>10.0579556009919</v>
      </c>
      <c r="AI3890">
        <v>96.086230015437494</v>
      </c>
      <c r="AJ3890">
        <v>75.058679947659499</v>
      </c>
      <c r="AK3890">
        <v>10.4689191488504</v>
      </c>
      <c r="AL3890">
        <v>80.8470921767303</v>
      </c>
      <c r="AM3890">
        <v>75.418683580999698</v>
      </c>
      <c r="AN3890">
        <v>1.00000004323918</v>
      </c>
    </row>
    <row r="3891" spans="1:40" x14ac:dyDescent="0.25">
      <c r="A3891" t="str">
        <f>"20190312164105027"</f>
        <v>20190312164105027</v>
      </c>
      <c r="B3891" t="str">
        <f>"1552380065019820"</f>
        <v>1552380065019820</v>
      </c>
      <c r="C3891" t="s">
        <v>40</v>
      </c>
      <c r="D3891">
        <v>8.1380149999999993</v>
      </c>
      <c r="E3891">
        <v>0.51372689999999999</v>
      </c>
      <c r="F3891" t="s">
        <v>46</v>
      </c>
      <c r="G3891">
        <v>-204.81460000000001</v>
      </c>
      <c r="H3891" s="1">
        <v>4.6954559999999998E-6</v>
      </c>
      <c r="I3891">
        <v>210.68860000000001</v>
      </c>
      <c r="J3891">
        <v>-214.8468</v>
      </c>
      <c r="K3891">
        <v>1.1099730000000001</v>
      </c>
      <c r="L3891">
        <v>213.96180000000001</v>
      </c>
      <c r="M3891">
        <v>0.99794550000000004</v>
      </c>
      <c r="N3891">
        <v>0</v>
      </c>
      <c r="O3891">
        <v>-5.345507E-2</v>
      </c>
      <c r="P3891">
        <v>0.94500269999999997</v>
      </c>
      <c r="Q3891">
        <v>0.12627930000000001</v>
      </c>
      <c r="R3891">
        <v>-0.301701</v>
      </c>
      <c r="S3891">
        <v>2.9202119999999998</v>
      </c>
      <c r="T3891">
        <v>-0.3136697</v>
      </c>
      <c r="U3891">
        <v>-0.93051150000000005</v>
      </c>
      <c r="V3891">
        <v>0.25185390000000002</v>
      </c>
      <c r="W3891">
        <v>0.15831229999999999</v>
      </c>
      <c r="X3891">
        <v>0.95472869999999999</v>
      </c>
      <c r="Y3891">
        <v>0.25117780000000001</v>
      </c>
      <c r="Z3891">
        <v>-7.5507450000000002E-3</v>
      </c>
      <c r="AA3891">
        <v>0.96791150000000004</v>
      </c>
      <c r="AB3891">
        <v>30</v>
      </c>
      <c r="AC3891">
        <v>10.0321999999999</v>
      </c>
      <c r="AD3891">
        <v>-1.1099683045440001</v>
      </c>
      <c r="AE3891">
        <v>-3.2732000000000001</v>
      </c>
      <c r="AF3891">
        <v>2.7020136026358199</v>
      </c>
      <c r="AG3891">
        <v>-1.1099683045440001</v>
      </c>
      <c r="AH3891">
        <v>10.081380627081799</v>
      </c>
      <c r="AI3891">
        <v>96.070437331015697</v>
      </c>
      <c r="AJ3891">
        <v>74.996204428247296</v>
      </c>
      <c r="AK3891">
        <v>10.4960536628783</v>
      </c>
      <c r="AL3891">
        <v>80.891050646394703</v>
      </c>
      <c r="AM3891">
        <v>75.222233570620403</v>
      </c>
      <c r="AN3891">
        <v>1.00000003094009</v>
      </c>
    </row>
    <row r="3892" spans="1:40" x14ac:dyDescent="0.25">
      <c r="A3892" t="str">
        <f>"20190312164105050"</f>
        <v>20190312164105050</v>
      </c>
      <c r="B3892" t="str">
        <f>"1552380065040317"</f>
        <v>1552380065040317</v>
      </c>
      <c r="C3892" t="s">
        <v>40</v>
      </c>
      <c r="D3892">
        <v>5.8891400000000003</v>
      </c>
      <c r="E3892">
        <v>0.51323569999999996</v>
      </c>
      <c r="F3892" t="s">
        <v>46</v>
      </c>
      <c r="G3892">
        <v>-204.458</v>
      </c>
      <c r="H3892" s="1">
        <v>4.5461049999999999E-6</v>
      </c>
      <c r="I3892">
        <v>210.58770000000001</v>
      </c>
      <c r="J3892">
        <v>-214.56030000000001</v>
      </c>
      <c r="K3892">
        <v>1.109982</v>
      </c>
      <c r="L3892">
        <v>213.94210000000001</v>
      </c>
      <c r="M3892">
        <v>0.99773319999999999</v>
      </c>
      <c r="N3892">
        <v>0</v>
      </c>
      <c r="O3892">
        <v>-5.7132160000000001E-2</v>
      </c>
      <c r="P3892">
        <v>0.94356019999999896</v>
      </c>
      <c r="Q3892">
        <v>0.1248488</v>
      </c>
      <c r="R3892">
        <v>-0.3067684</v>
      </c>
      <c r="S3892">
        <v>2.9140320000000002</v>
      </c>
      <c r="T3892">
        <v>-0.3113438</v>
      </c>
      <c r="U3892">
        <v>-0.9464264</v>
      </c>
      <c r="V3892">
        <v>0.2534517</v>
      </c>
      <c r="W3892">
        <v>0.15708610000000001</v>
      </c>
      <c r="X3892">
        <v>0.95450829999999998</v>
      </c>
      <c r="Y3892">
        <v>0.25301699999999999</v>
      </c>
      <c r="Z3892">
        <v>-7.21958199999999E-3</v>
      </c>
      <c r="AA3892">
        <v>0.96743489999999999</v>
      </c>
      <c r="AB3892">
        <v>29</v>
      </c>
      <c r="AC3892">
        <v>10.1023</v>
      </c>
      <c r="AD3892">
        <v>-1.109977453895</v>
      </c>
      <c r="AE3892">
        <v>-3.3543999999999898</v>
      </c>
      <c r="AF3892">
        <v>2.7415723639551199</v>
      </c>
      <c r="AG3892">
        <v>-1.109977453895</v>
      </c>
      <c r="AH3892">
        <v>10.1669936878304</v>
      </c>
      <c r="AI3892">
        <v>96.017298752859901</v>
      </c>
      <c r="AJ3892">
        <v>74.908894118826197</v>
      </c>
      <c r="AK3892">
        <v>10.588485709644299</v>
      </c>
      <c r="AL3892">
        <v>80.962196244534695</v>
      </c>
      <c r="AM3892">
        <v>75.129340178903107</v>
      </c>
      <c r="AN3892">
        <v>0.99999995090749305</v>
      </c>
    </row>
    <row r="3893" spans="1:40" x14ac:dyDescent="0.25">
      <c r="A3893" t="str">
        <f>"20190312164105071"</f>
        <v>20190312164105071</v>
      </c>
      <c r="B3893" t="str">
        <f>"1552380065059836"</f>
        <v>1552380065059836</v>
      </c>
      <c r="C3893" t="s">
        <v>40</v>
      </c>
      <c r="D3893">
        <v>6.0140310000000001</v>
      </c>
      <c r="E3893">
        <v>0.51288420000000001</v>
      </c>
      <c r="F3893" t="s">
        <v>46</v>
      </c>
      <c r="G3893">
        <v>-204.1885</v>
      </c>
      <c r="H3893" s="1">
        <v>4.4318819999999998E-6</v>
      </c>
      <c r="I3893">
        <v>210.5275</v>
      </c>
      <c r="J3893">
        <v>-214.28960000000001</v>
      </c>
      <c r="K3893">
        <v>1.110006</v>
      </c>
      <c r="L3893">
        <v>213.92240000000001</v>
      </c>
      <c r="M3893">
        <v>0.99751650000000003</v>
      </c>
      <c r="N3893">
        <v>0</v>
      </c>
      <c r="O3893">
        <v>-6.0677460000000003E-2</v>
      </c>
      <c r="P3893">
        <v>0.94213690000000005</v>
      </c>
      <c r="Q3893">
        <v>0.1237578</v>
      </c>
      <c r="R3893">
        <v>-0.31154749999999998</v>
      </c>
      <c r="S3893">
        <v>2.9092709999999999</v>
      </c>
      <c r="T3893">
        <v>-0.31134830000000002</v>
      </c>
      <c r="U3893">
        <v>-0.95779420000000004</v>
      </c>
      <c r="V3893">
        <v>0.25488640000000001</v>
      </c>
      <c r="W3893">
        <v>0.156182399999999</v>
      </c>
      <c r="X3893">
        <v>0.95427459999999997</v>
      </c>
      <c r="Y3893">
        <v>0.25347360000000002</v>
      </c>
      <c r="Z3893">
        <v>-6.8837730000000001E-3</v>
      </c>
      <c r="AA3893">
        <v>0.96731780000000001</v>
      </c>
      <c r="AB3893">
        <v>29</v>
      </c>
      <c r="AC3893">
        <v>10.101100000000001</v>
      </c>
      <c r="AD3893">
        <v>-1.110001568118</v>
      </c>
      <c r="AE3893">
        <v>-3.3948999999999998</v>
      </c>
      <c r="AF3893">
        <v>2.7455459108997702</v>
      </c>
      <c r="AG3893">
        <v>-1.110001568118</v>
      </c>
      <c r="AH3893">
        <v>10.1781565414373</v>
      </c>
      <c r="AI3893">
        <v>96.010735272341293</v>
      </c>
      <c r="AJ3893">
        <v>74.903838402467699</v>
      </c>
      <c r="AK3893">
        <v>10.6002356771954</v>
      </c>
      <c r="AL3893">
        <v>81.014622133482007</v>
      </c>
      <c r="AM3893">
        <v>75.045424867581005</v>
      </c>
      <c r="AN3893">
        <v>1.00000001558993</v>
      </c>
    </row>
    <row r="3894" spans="1:40" x14ac:dyDescent="0.25">
      <c r="A3894" t="str">
        <f>"20190312164105093"</f>
        <v>20190312164105093</v>
      </c>
      <c r="B3894" t="str">
        <f>"1552380065090092"</f>
        <v>1552380065090092</v>
      </c>
      <c r="C3894" t="s">
        <v>40</v>
      </c>
      <c r="D3894">
        <v>5.8988019999999999</v>
      </c>
      <c r="E3894">
        <v>0.51236499999999996</v>
      </c>
      <c r="F3894" t="s">
        <v>46</v>
      </c>
      <c r="G3894">
        <v>-203.95089999999999</v>
      </c>
      <c r="H3894" s="1">
        <v>4.3314310000000004E-6</v>
      </c>
      <c r="I3894">
        <v>210.471</v>
      </c>
      <c r="J3894">
        <v>-214.01079999999999</v>
      </c>
      <c r="K3894">
        <v>1.1100399999999999</v>
      </c>
      <c r="L3894">
        <v>213.90100000000001</v>
      </c>
      <c r="M3894">
        <v>0.99727659999999996</v>
      </c>
      <c r="N3894">
        <v>0</v>
      </c>
      <c r="O3894">
        <v>-6.4386390000000002E-2</v>
      </c>
      <c r="P3894">
        <v>0.94059230000000005</v>
      </c>
      <c r="Q3894">
        <v>0.1221995</v>
      </c>
      <c r="R3894">
        <v>-0.31678620000000002</v>
      </c>
      <c r="S3894">
        <v>2.9045719999999999</v>
      </c>
      <c r="T3894">
        <v>-0.31184420000000002</v>
      </c>
      <c r="U3894">
        <v>-0.96961980000000003</v>
      </c>
      <c r="V3894">
        <v>0.25662439999999997</v>
      </c>
      <c r="W3894">
        <v>0.1548107</v>
      </c>
      <c r="X3894">
        <v>0.9540322</v>
      </c>
      <c r="Y3894">
        <v>0.25390200000000002</v>
      </c>
      <c r="Z3894">
        <v>-6.5390369999999897E-3</v>
      </c>
      <c r="AA3894">
        <v>0.96720779999999995</v>
      </c>
      <c r="AB3894">
        <v>28</v>
      </c>
      <c r="AC3894">
        <v>10.059900000000001</v>
      </c>
      <c r="AD3894">
        <v>-1.1100356685689901</v>
      </c>
      <c r="AE3894">
        <v>-3.43</v>
      </c>
      <c r="AF3894">
        <v>2.74479483384094</v>
      </c>
      <c r="AG3894">
        <v>-1.1100356685689901</v>
      </c>
      <c r="AH3894">
        <v>10.1492843274194</v>
      </c>
      <c r="AI3894">
        <v>96.026848153578996</v>
      </c>
      <c r="AJ3894">
        <v>74.866812550228701</v>
      </c>
      <c r="AK3894">
        <v>10.572324731305599</v>
      </c>
      <c r="AL3894">
        <v>81.094181792460006</v>
      </c>
      <c r="AM3894">
        <v>74.944415728528895</v>
      </c>
      <c r="AN3894">
        <v>0.999999937073343</v>
      </c>
    </row>
    <row r="3895" spans="1:40" x14ac:dyDescent="0.25">
      <c r="A3895" t="str">
        <f>"20190312164105117"</f>
        <v>20190312164105117</v>
      </c>
      <c r="B3895" t="str">
        <f>"1552380065110588"</f>
        <v>1552380065110588</v>
      </c>
      <c r="C3895" t="s">
        <v>40</v>
      </c>
      <c r="D3895">
        <v>6.1417489999999999</v>
      </c>
      <c r="E3895">
        <v>0.51211269999999998</v>
      </c>
      <c r="F3895" t="s">
        <v>46</v>
      </c>
      <c r="G3895">
        <v>-203.69319999999999</v>
      </c>
      <c r="H3895" s="1">
        <v>4.2226680000000002E-6</v>
      </c>
      <c r="I3895">
        <v>210.40790000000001</v>
      </c>
      <c r="J3895">
        <v>-213.72329999999999</v>
      </c>
      <c r="K3895">
        <v>1.1100939999999999</v>
      </c>
      <c r="L3895">
        <v>213.8777</v>
      </c>
      <c r="M3895">
        <v>0.99701229999999996</v>
      </c>
      <c r="N3895">
        <v>0</v>
      </c>
      <c r="O3895">
        <v>-6.825842E-2</v>
      </c>
      <c r="P3895">
        <v>0.93882089999999996</v>
      </c>
      <c r="Q3895">
        <v>0.121229</v>
      </c>
      <c r="R3895">
        <v>-0.32236479999999901</v>
      </c>
      <c r="S3895">
        <v>2.8994140000000002</v>
      </c>
      <c r="T3895">
        <v>-0.31193720000000003</v>
      </c>
      <c r="U3895">
        <v>-0.98159790000000002</v>
      </c>
      <c r="V3895">
        <v>0.25856269999999998</v>
      </c>
      <c r="W3895">
        <v>0.15401919999999999</v>
      </c>
      <c r="X3895">
        <v>0.95363690000000001</v>
      </c>
      <c r="Y3895">
        <v>0.25426870000000001</v>
      </c>
      <c r="Z3895">
        <v>-6.1655130000000001E-3</v>
      </c>
      <c r="AA3895">
        <v>0.96711400000000003</v>
      </c>
      <c r="AB3895">
        <v>28</v>
      </c>
      <c r="AC3895">
        <v>10.030099999999999</v>
      </c>
      <c r="AD3895">
        <v>-1.110089777332</v>
      </c>
      <c r="AE3895">
        <v>-3.46979999999999</v>
      </c>
      <c r="AF3895">
        <v>2.74656278782067</v>
      </c>
      <c r="AG3895">
        <v>-1.110089777332</v>
      </c>
      <c r="AH3895">
        <v>10.132821624738201</v>
      </c>
      <c r="AI3895">
        <v>96.035931913270204</v>
      </c>
      <c r="AJ3895">
        <v>74.834042972745806</v>
      </c>
      <c r="AK3895">
        <v>10.5569872852031</v>
      </c>
      <c r="AL3895">
        <v>81.140082137039002</v>
      </c>
      <c r="AM3895">
        <v>74.829921954510695</v>
      </c>
      <c r="AN3895">
        <v>0.999999960420769</v>
      </c>
    </row>
    <row r="3896" spans="1:40" x14ac:dyDescent="0.25">
      <c r="A3896" t="str">
        <f>"20190312164105138"</f>
        <v>20190312164105138</v>
      </c>
      <c r="B3896" t="str">
        <f>"1552380065131084"</f>
        <v>1552380065131084</v>
      </c>
      <c r="C3896" t="s">
        <v>40</v>
      </c>
      <c r="D3896">
        <v>6.0152349999999997</v>
      </c>
      <c r="E3896">
        <v>0.51191509999999996</v>
      </c>
      <c r="F3896" t="s">
        <v>46</v>
      </c>
      <c r="G3896">
        <v>-203.45840000000001</v>
      </c>
      <c r="H3896" s="1">
        <v>4.1238129999999999E-6</v>
      </c>
      <c r="I3896">
        <v>210.3477</v>
      </c>
      <c r="J3896">
        <v>-213.46950000000001</v>
      </c>
      <c r="K3896">
        <v>1.110155</v>
      </c>
      <c r="L3896">
        <v>213.8561</v>
      </c>
      <c r="M3896">
        <v>0.99676480000000001</v>
      </c>
      <c r="N3896">
        <v>0</v>
      </c>
      <c r="O3896">
        <v>-7.1709469999999997E-2</v>
      </c>
      <c r="P3896">
        <v>0.93680319999999995</v>
      </c>
      <c r="Q3896">
        <v>0.1212937</v>
      </c>
      <c r="R3896">
        <v>-0.3281577</v>
      </c>
      <c r="S3896">
        <v>2.89418</v>
      </c>
      <c r="T3896">
        <v>-0.3129885</v>
      </c>
      <c r="U3896">
        <v>-0.99528499999999998</v>
      </c>
      <c r="V3896">
        <v>0.26114769999999998</v>
      </c>
      <c r="W3896">
        <v>0.1542115</v>
      </c>
      <c r="X3896">
        <v>0.9529012</v>
      </c>
      <c r="Y3896">
        <v>0.2555518</v>
      </c>
      <c r="Z3896">
        <v>-5.9003819999999896E-3</v>
      </c>
      <c r="AA3896">
        <v>0.96677740000000001</v>
      </c>
      <c r="AB3896">
        <v>27</v>
      </c>
      <c r="AC3896">
        <v>10.011100000000001</v>
      </c>
      <c r="AD3896">
        <v>-1.110150876187</v>
      </c>
      <c r="AE3896">
        <v>-3.5083999999999902</v>
      </c>
      <c r="AF3896">
        <v>2.7508644314694299</v>
      </c>
      <c r="AG3896">
        <v>-1.110150876187</v>
      </c>
      <c r="AH3896">
        <v>10.1261433003964</v>
      </c>
      <c r="AI3896">
        <v>96.039298690808096</v>
      </c>
      <c r="AJ3896">
        <v>74.801832721005098</v>
      </c>
      <c r="AK3896">
        <v>10.551704517678001</v>
      </c>
      <c r="AL3896">
        <v>81.128931309099201</v>
      </c>
      <c r="AM3896">
        <v>74.674078399196802</v>
      </c>
      <c r="AN3896">
        <v>1.0000000024544899</v>
      </c>
    </row>
    <row r="3897" spans="1:40" x14ac:dyDescent="0.25">
      <c r="A3897" t="str">
        <f>"20190312164105161"</f>
        <v>20190312164105161</v>
      </c>
      <c r="B3897" t="str">
        <f>"1552380065149628"</f>
        <v>1552380065149628</v>
      </c>
      <c r="C3897" t="s">
        <v>40</v>
      </c>
      <c r="D3897">
        <v>6.0156549999999998</v>
      </c>
      <c r="E3897">
        <v>0.51175769999999998</v>
      </c>
      <c r="F3897" t="s">
        <v>46</v>
      </c>
      <c r="G3897">
        <v>-203.15369999999999</v>
      </c>
      <c r="H3897" s="1">
        <v>3.9971920000000002E-6</v>
      </c>
      <c r="I3897">
        <v>210.2508</v>
      </c>
      <c r="J3897">
        <v>-213.2072</v>
      </c>
      <c r="K3897">
        <v>1.110244</v>
      </c>
      <c r="L3897">
        <v>213.83279999999999</v>
      </c>
      <c r="M3897">
        <v>0.99649529999999997</v>
      </c>
      <c r="N3897">
        <v>0</v>
      </c>
      <c r="O3897">
        <v>-7.5297970000000006E-2</v>
      </c>
      <c r="P3897">
        <v>0.93454000000000004</v>
      </c>
      <c r="Q3897">
        <v>0.1219437</v>
      </c>
      <c r="R3897">
        <v>-0.33431290000000002</v>
      </c>
      <c r="S3897">
        <v>2.8889619999999998</v>
      </c>
      <c r="T3897">
        <v>-0.31090279999999998</v>
      </c>
      <c r="U3897">
        <v>-1.0096889999999901</v>
      </c>
      <c r="V3897">
        <v>0.2639859</v>
      </c>
      <c r="W3897">
        <v>0.15497610000000001</v>
      </c>
      <c r="X3897">
        <v>0.95199469999999997</v>
      </c>
      <c r="Y3897">
        <v>0.25693319999999997</v>
      </c>
      <c r="Z3897">
        <v>-5.5676619999999897E-3</v>
      </c>
      <c r="AA3897">
        <v>0.96641310000000002</v>
      </c>
      <c r="AB3897">
        <v>27</v>
      </c>
      <c r="AC3897">
        <v>10.0535</v>
      </c>
      <c r="AD3897">
        <v>-1.1102400028079999</v>
      </c>
      <c r="AE3897">
        <v>-3.5819999999999901</v>
      </c>
      <c r="AF3897">
        <v>2.7841768184504301</v>
      </c>
      <c r="AG3897">
        <v>-1.1102400028079999</v>
      </c>
      <c r="AH3897">
        <v>10.184602490603</v>
      </c>
      <c r="AI3897">
        <v>96.002778159202805</v>
      </c>
      <c r="AJ3897">
        <v>74.710547793334399</v>
      </c>
      <c r="AK3897">
        <v>10.616515497649299</v>
      </c>
      <c r="AL3897">
        <v>81.084590116276104</v>
      </c>
      <c r="AM3897">
        <v>74.5014304950585</v>
      </c>
      <c r="AN3897">
        <v>1.00000002789905</v>
      </c>
    </row>
    <row r="3898" spans="1:40" x14ac:dyDescent="0.25">
      <c r="A3898" t="str">
        <f>"20190312164105186"</f>
        <v>20190312164105186</v>
      </c>
      <c r="B3898" t="str">
        <f>"1552380065170124"</f>
        <v>1552380065170124</v>
      </c>
      <c r="C3898" t="s">
        <v>40</v>
      </c>
      <c r="D3898">
        <v>6.0751390000000001</v>
      </c>
      <c r="E3898">
        <v>0.51156369999999995</v>
      </c>
      <c r="F3898" t="s">
        <v>46</v>
      </c>
      <c r="G3898">
        <v>-202.7911</v>
      </c>
      <c r="H3898" s="1">
        <v>3.8471220000000002E-6</v>
      </c>
      <c r="I3898">
        <v>210.1276</v>
      </c>
      <c r="J3898">
        <v>-212.9196</v>
      </c>
      <c r="K3898">
        <v>1.1103499999999999</v>
      </c>
      <c r="L3898">
        <v>213.80600000000001</v>
      </c>
      <c r="M3898">
        <v>0.99618430000000002</v>
      </c>
      <c r="N3898">
        <v>0</v>
      </c>
      <c r="O3898">
        <v>-7.924958E-2</v>
      </c>
      <c r="P3898">
        <v>0.93224689999999999</v>
      </c>
      <c r="Q3898">
        <v>0.1226428</v>
      </c>
      <c r="R3898">
        <v>-0.34040359999999997</v>
      </c>
      <c r="S3898">
        <v>2.8833310000000001</v>
      </c>
      <c r="T3898">
        <v>-0.30733059999999901</v>
      </c>
      <c r="U3898">
        <v>-1.02565</v>
      </c>
      <c r="V3898">
        <v>0.26641599999999999</v>
      </c>
      <c r="W3898">
        <v>0.15580179999999999</v>
      </c>
      <c r="X3898">
        <v>0.95118259999999999</v>
      </c>
      <c r="Y3898">
        <v>0.25847740000000002</v>
      </c>
      <c r="Z3898">
        <v>-5.1849820000000003E-3</v>
      </c>
      <c r="AA3898">
        <v>0.96600339999999996</v>
      </c>
      <c r="AB3898">
        <v>26</v>
      </c>
      <c r="AC3898">
        <v>10.128500000000001</v>
      </c>
      <c r="AD3898">
        <v>-1.1103461528780001</v>
      </c>
      <c r="AE3898">
        <v>-3.6783999999999799</v>
      </c>
      <c r="AF3898">
        <v>2.8335142629175198</v>
      </c>
      <c r="AG3898">
        <v>-1.1103461528780001</v>
      </c>
      <c r="AH3898">
        <v>10.2791692132416</v>
      </c>
      <c r="AI3898">
        <v>95.945072275962602</v>
      </c>
      <c r="AJ3898">
        <v>74.588813282763297</v>
      </c>
      <c r="AK3898">
        <v>10.7202141476662</v>
      </c>
      <c r="AL3898">
        <v>81.036699137059898</v>
      </c>
      <c r="AM3898">
        <v>74.353012943687006</v>
      </c>
      <c r="AN3898">
        <v>1.000000012241</v>
      </c>
    </row>
    <row r="3899" spans="1:40" x14ac:dyDescent="0.25">
      <c r="A3899" t="str">
        <f>"20190312164105205"</f>
        <v>20190312164105205</v>
      </c>
      <c r="B3899" t="str">
        <f>"1552380065200381"</f>
        <v>1552380065200381</v>
      </c>
      <c r="C3899" t="s">
        <v>40</v>
      </c>
      <c r="D3899">
        <v>5.9588269999999897</v>
      </c>
      <c r="E3899">
        <v>0.51138930000000005</v>
      </c>
      <c r="F3899" t="s">
        <v>46</v>
      </c>
      <c r="G3899">
        <v>-202.41370000000001</v>
      </c>
      <c r="H3899" s="1">
        <v>3.690703E-6</v>
      </c>
      <c r="I3899">
        <v>210.00280000000001</v>
      </c>
      <c r="J3899">
        <v>-212.7055</v>
      </c>
      <c r="K3899">
        <v>1.110436</v>
      </c>
      <c r="L3899">
        <v>213.78540000000001</v>
      </c>
      <c r="M3899">
        <v>0.99594240000000001</v>
      </c>
      <c r="N3899">
        <v>0</v>
      </c>
      <c r="O3899">
        <v>-8.2202259999999999E-2</v>
      </c>
      <c r="P3899">
        <v>0.93025389999999997</v>
      </c>
      <c r="Q3899">
        <v>0.12366820000000001</v>
      </c>
      <c r="R3899">
        <v>-0.34544770000000002</v>
      </c>
      <c r="S3899">
        <v>2.8776549999999999</v>
      </c>
      <c r="T3899">
        <v>-0.30413479999999998</v>
      </c>
      <c r="U3899">
        <v>-1.0417479999999999</v>
      </c>
      <c r="V3899">
        <v>0.26875280000000001</v>
      </c>
      <c r="W3899">
        <v>0.15689020000000001</v>
      </c>
      <c r="X3899">
        <v>0.95034589999999997</v>
      </c>
      <c r="Y3899">
        <v>0.2610208</v>
      </c>
      <c r="Z3899">
        <v>-4.9674849999999998E-3</v>
      </c>
      <c r="AA3899">
        <v>0.96532039999999997</v>
      </c>
      <c r="AB3899">
        <v>26</v>
      </c>
      <c r="AC3899">
        <v>10.291799999999901</v>
      </c>
      <c r="AD3899">
        <v>-1.1104323092970001</v>
      </c>
      <c r="AE3899">
        <v>-3.7826</v>
      </c>
      <c r="AF3899">
        <v>2.8935281719604502</v>
      </c>
      <c r="AG3899">
        <v>-1.1104323092970001</v>
      </c>
      <c r="AH3899">
        <v>10.460784441091899</v>
      </c>
      <c r="AI3899">
        <v>95.841611214347907</v>
      </c>
      <c r="AJ3899">
        <v>74.538173186069002</v>
      </c>
      <c r="AK3899">
        <v>10.9102509741275</v>
      </c>
      <c r="AL3899">
        <v>80.973561548278894</v>
      </c>
      <c r="AM3899">
        <v>74.209377213964203</v>
      </c>
      <c r="AN3899">
        <v>0.99999996600534402</v>
      </c>
    </row>
    <row r="3900" spans="1:40" x14ac:dyDescent="0.25">
      <c r="A3900" t="str">
        <f>"20190312164105227"</f>
        <v>20190312164105227</v>
      </c>
      <c r="B3900" t="str">
        <f>"1552380065219901"</f>
        <v>1552380065219901</v>
      </c>
      <c r="C3900" t="s">
        <v>40</v>
      </c>
      <c r="D3900">
        <v>6.6760619999999999</v>
      </c>
      <c r="E3900">
        <v>0.51129480000000005</v>
      </c>
      <c r="F3900" t="s">
        <v>46</v>
      </c>
      <c r="G3900">
        <v>-202.1807</v>
      </c>
      <c r="H3900" s="1">
        <v>3.5942299999999998E-6</v>
      </c>
      <c r="I3900">
        <v>209.92420000000001</v>
      </c>
      <c r="J3900">
        <v>-212.45310000000001</v>
      </c>
      <c r="K3900">
        <v>1.110517</v>
      </c>
      <c r="L3900">
        <v>213.76009999999999</v>
      </c>
      <c r="M3900">
        <v>0.99564660000000005</v>
      </c>
      <c r="N3900">
        <v>0</v>
      </c>
      <c r="O3900">
        <v>-8.5704730000000007E-2</v>
      </c>
      <c r="P3900">
        <v>0.92773229999999995</v>
      </c>
      <c r="Q3900">
        <v>0.12461700000000001</v>
      </c>
      <c r="R3900">
        <v>-0.35182829999999998</v>
      </c>
      <c r="S3900">
        <v>2.873764</v>
      </c>
      <c r="T3900">
        <v>-0.30319879999999999</v>
      </c>
      <c r="U3900">
        <v>-1.05426</v>
      </c>
      <c r="V3900">
        <v>0.2719413</v>
      </c>
      <c r="W3900">
        <v>0.15784379999999901</v>
      </c>
      <c r="X3900">
        <v>0.94928040000000002</v>
      </c>
      <c r="Y3900">
        <v>0.26177250000000002</v>
      </c>
      <c r="Z3900">
        <v>-4.6400390000000003E-3</v>
      </c>
      <c r="AA3900">
        <v>0.96511849999999999</v>
      </c>
      <c r="AB3900">
        <v>25</v>
      </c>
      <c r="AC3900">
        <v>10.272399999999999</v>
      </c>
      <c r="AD3900">
        <v>-1.1105134057699999</v>
      </c>
      <c r="AE3900">
        <v>-3.8358999999999801</v>
      </c>
      <c r="AF3900">
        <v>2.9109254758204499</v>
      </c>
      <c r="AG3900">
        <v>-1.1105134057699999</v>
      </c>
      <c r="AH3900">
        <v>10.456280328145599</v>
      </c>
      <c r="AI3900">
        <v>95.8418682063364</v>
      </c>
      <c r="AJ3900">
        <v>74.443321017979997</v>
      </c>
      <c r="AK3900">
        <v>10.910569437519699</v>
      </c>
      <c r="AL3900">
        <v>80.918235303536505</v>
      </c>
      <c r="AM3900">
        <v>74.014528077809203</v>
      </c>
      <c r="AN3900">
        <v>1.0000000068341399</v>
      </c>
    </row>
    <row r="3901" spans="1:40" x14ac:dyDescent="0.25">
      <c r="A3901" t="str">
        <f>"20190312164105250"</f>
        <v>20190312164105250</v>
      </c>
      <c r="B3901" t="str">
        <f>"1552380065240397"</f>
        <v>1552380065240397</v>
      </c>
      <c r="C3901" t="s">
        <v>40</v>
      </c>
      <c r="D3901">
        <v>6.0129859999999997</v>
      </c>
      <c r="E3901">
        <v>0.51123699999999905</v>
      </c>
      <c r="F3901" t="s">
        <v>46</v>
      </c>
      <c r="G3901">
        <v>-201.83250000000001</v>
      </c>
      <c r="H3901" s="1">
        <v>3.4515919999999999E-6</v>
      </c>
      <c r="I3901">
        <v>209.78970000000001</v>
      </c>
      <c r="J3901">
        <v>-212.21029999999999</v>
      </c>
      <c r="K3901">
        <v>1.110573</v>
      </c>
      <c r="L3901">
        <v>213.73500000000001</v>
      </c>
      <c r="M3901">
        <v>0.99535229999999997</v>
      </c>
      <c r="N3901">
        <v>0</v>
      </c>
      <c r="O3901">
        <v>-8.9082079999999994E-2</v>
      </c>
      <c r="P3901">
        <v>0.92516739999999997</v>
      </c>
      <c r="Q3901">
        <v>0.12582850000000001</v>
      </c>
      <c r="R3901">
        <v>-0.35809570000000002</v>
      </c>
      <c r="S3901">
        <v>2.867432</v>
      </c>
      <c r="T3901">
        <v>-0.29982690000000001</v>
      </c>
      <c r="U3901">
        <v>-1.07196</v>
      </c>
      <c r="V3901">
        <v>0.27515289999999998</v>
      </c>
      <c r="W3901">
        <v>0.15898370000000001</v>
      </c>
      <c r="X3901">
        <v>0.94816400000000001</v>
      </c>
      <c r="Y3901">
        <v>0.26444590000000001</v>
      </c>
      <c r="Z3901">
        <v>-4.3915439999999998E-3</v>
      </c>
      <c r="AA3901">
        <v>0.96439050000000004</v>
      </c>
      <c r="AB3901">
        <v>25</v>
      </c>
      <c r="AC3901">
        <v>10.377799999999899</v>
      </c>
      <c r="AD3901">
        <v>-1.110569548408</v>
      </c>
      <c r="AE3901">
        <v>-3.9453</v>
      </c>
      <c r="AF3901">
        <v>2.9747335796683401</v>
      </c>
      <c r="AG3901">
        <v>-1.110569548408</v>
      </c>
      <c r="AH3901">
        <v>10.582291361234301</v>
      </c>
      <c r="AI3901">
        <v>95.769030136730194</v>
      </c>
      <c r="AJ3901">
        <v>74.299068548100195</v>
      </c>
      <c r="AK3901">
        <v>11.048406900811999</v>
      </c>
      <c r="AL3901">
        <v>80.852088098505703</v>
      </c>
      <c r="AM3901">
        <v>73.817510604827206</v>
      </c>
      <c r="AN3901">
        <v>0.99999995307004796</v>
      </c>
    </row>
    <row r="3902" spans="1:40" x14ac:dyDescent="0.25">
      <c r="A3902" t="str">
        <f>"20190312164105272"</f>
        <v>20190312164105272</v>
      </c>
      <c r="B3902" t="str">
        <f>"1552380065259917"</f>
        <v>1552380065259917</v>
      </c>
      <c r="C3902" t="s">
        <v>40</v>
      </c>
      <c r="D3902">
        <v>6.0049149999999996</v>
      </c>
      <c r="E3902">
        <v>0.51119359999999903</v>
      </c>
      <c r="F3902" t="s">
        <v>46</v>
      </c>
      <c r="G3902">
        <v>-201.45410000000001</v>
      </c>
      <c r="H3902" s="1">
        <v>3.2968400000000002E-6</v>
      </c>
      <c r="I3902">
        <v>209.6405</v>
      </c>
      <c r="J3902">
        <v>-211.97229999999999</v>
      </c>
      <c r="K3902">
        <v>1.110617</v>
      </c>
      <c r="L3902">
        <v>213.70939999999999</v>
      </c>
      <c r="M3902">
        <v>0.99505469999999896</v>
      </c>
      <c r="N3902">
        <v>0</v>
      </c>
      <c r="O3902">
        <v>-9.2390459999999994E-2</v>
      </c>
      <c r="P3902">
        <v>0.92251760000000005</v>
      </c>
      <c r="Q3902">
        <v>0.1264219</v>
      </c>
      <c r="R3902">
        <v>-0.36466300000000001</v>
      </c>
      <c r="S3902">
        <v>2.8612669999999998</v>
      </c>
      <c r="T3902">
        <v>-0.29542489999999999</v>
      </c>
      <c r="U3902">
        <v>-1.089172</v>
      </c>
      <c r="V3902">
        <v>0.27874139999999997</v>
      </c>
      <c r="W3902">
        <v>0.15945719999999999</v>
      </c>
      <c r="X3902">
        <v>0.94703570000000004</v>
      </c>
      <c r="Y3902">
        <v>0.26702540000000002</v>
      </c>
      <c r="Z3902">
        <v>-4.1349079999999996E-3</v>
      </c>
      <c r="AA3902">
        <v>0.9636806</v>
      </c>
      <c r="AB3902">
        <v>25</v>
      </c>
      <c r="AC3902">
        <v>10.518199999999901</v>
      </c>
      <c r="AD3902">
        <v>-1.1106137031600001</v>
      </c>
      <c r="AE3902">
        <v>-4.0688999999999798</v>
      </c>
      <c r="AF3902">
        <v>3.0494716939472601</v>
      </c>
      <c r="AG3902">
        <v>-1.1106137031600001</v>
      </c>
      <c r="AH3902">
        <v>10.745124607060299</v>
      </c>
      <c r="AI3902">
        <v>95.678427026197198</v>
      </c>
      <c r="AJ3902">
        <v>74.156031708780901</v>
      </c>
      <c r="AK3902">
        <v>11.224546459928099</v>
      </c>
      <c r="AL3902">
        <v>80.824608342244503</v>
      </c>
      <c r="AM3902">
        <v>73.599240795019398</v>
      </c>
      <c r="AN3902">
        <v>0.99999999189014499</v>
      </c>
    </row>
    <row r="3903" spans="1:40" x14ac:dyDescent="0.25">
      <c r="A3903" t="str">
        <f>"20190312164105295"</f>
        <v>20190312164105295</v>
      </c>
      <c r="B3903" t="str">
        <f>"1552380065290172"</f>
        <v>1552380065290172</v>
      </c>
      <c r="C3903" t="s">
        <v>40</v>
      </c>
      <c r="D3903">
        <v>5.8911470000000001</v>
      </c>
      <c r="E3903">
        <v>0.51099559999999999</v>
      </c>
      <c r="F3903" t="s">
        <v>46</v>
      </c>
      <c r="G3903">
        <v>-201.16489999999999</v>
      </c>
      <c r="H3903" s="1">
        <v>3.1888529999999998E-6</v>
      </c>
      <c r="I3903">
        <v>209.51310000000001</v>
      </c>
      <c r="J3903">
        <v>-211.73650000000001</v>
      </c>
      <c r="K3903">
        <v>1.1106590000000001</v>
      </c>
      <c r="L3903">
        <v>213.6833</v>
      </c>
      <c r="M3903">
        <v>0.99475069999999999</v>
      </c>
      <c r="N3903">
        <v>0</v>
      </c>
      <c r="O3903">
        <v>-9.5673540000000001E-2</v>
      </c>
      <c r="P3903">
        <v>0.92018900000000003</v>
      </c>
      <c r="Q3903">
        <v>0.12641330000000001</v>
      </c>
      <c r="R3903">
        <v>-0.37050230000000001</v>
      </c>
      <c r="S3903">
        <v>2.8540800000000002</v>
      </c>
      <c r="T3903">
        <v>-0.29329809999999901</v>
      </c>
      <c r="U3903">
        <v>-1.1081700000000001</v>
      </c>
      <c r="V3903">
        <v>0.2816032</v>
      </c>
      <c r="W3903">
        <v>0.15928870000000001</v>
      </c>
      <c r="X3903">
        <v>0.94621710000000003</v>
      </c>
      <c r="Y3903">
        <v>0.27024890000000001</v>
      </c>
      <c r="Z3903">
        <v>-3.949312E-3</v>
      </c>
      <c r="AA3903">
        <v>0.96278240000000004</v>
      </c>
      <c r="AB3903">
        <v>24</v>
      </c>
      <c r="AC3903">
        <v>10.5716</v>
      </c>
      <c r="AD3903">
        <v>-1.110655811147</v>
      </c>
      <c r="AE3903">
        <v>-4.1701999999999897</v>
      </c>
      <c r="AF3903">
        <v>3.1092578686847698</v>
      </c>
      <c r="AG3903">
        <v>-1.110655811147</v>
      </c>
      <c r="AH3903">
        <v>10.8189463061456</v>
      </c>
      <c r="AI3903">
        <v>95.634835010709097</v>
      </c>
      <c r="AJ3903">
        <v>73.965873875064005</v>
      </c>
      <c r="AK3903">
        <v>11.3115268642246</v>
      </c>
      <c r="AL3903">
        <v>80.834387994041506</v>
      </c>
      <c r="AM3903">
        <v>73.426494660383099</v>
      </c>
      <c r="AN3903">
        <v>1.00000002626516</v>
      </c>
    </row>
    <row r="3904" spans="1:40" x14ac:dyDescent="0.25">
      <c r="A3904" t="str">
        <f>"20190312164105317"</f>
        <v>20190312164105317</v>
      </c>
      <c r="B3904" t="str">
        <f>"1552380065309693"</f>
        <v>1552380065309693</v>
      </c>
      <c r="C3904" t="s">
        <v>40</v>
      </c>
      <c r="D3904">
        <v>6.0091429999999999</v>
      </c>
      <c r="E3904">
        <v>0.51087119999999997</v>
      </c>
      <c r="F3904" t="s">
        <v>46</v>
      </c>
      <c r="G3904">
        <v>-200.93459999999999</v>
      </c>
      <c r="H3904" s="1">
        <v>3.1025630000000002E-6</v>
      </c>
      <c r="I3904">
        <v>209.42320000000001</v>
      </c>
      <c r="J3904">
        <v>-211.50710000000001</v>
      </c>
      <c r="K3904">
        <v>1.110679</v>
      </c>
      <c r="L3904">
        <v>213.65710000000001</v>
      </c>
      <c r="M3904">
        <v>0.99444619999999995</v>
      </c>
      <c r="N3904">
        <v>0</v>
      </c>
      <c r="O3904">
        <v>-9.8890749999999999E-2</v>
      </c>
      <c r="P3904">
        <v>0.91802159999999999</v>
      </c>
      <c r="Q3904">
        <v>0.1252838</v>
      </c>
      <c r="R3904">
        <v>-0.37621850000000001</v>
      </c>
      <c r="S3904">
        <v>2.8481749999999999</v>
      </c>
      <c r="T3904">
        <v>-0.29284870000000002</v>
      </c>
      <c r="U3904">
        <v>-1.1232759999999999</v>
      </c>
      <c r="V3904">
        <v>0.28439239999999999</v>
      </c>
      <c r="W3904">
        <v>0.15790689999999999</v>
      </c>
      <c r="X3904">
        <v>0.94561430000000002</v>
      </c>
      <c r="Y3904">
        <v>0.27224320000000002</v>
      </c>
      <c r="Z3904">
        <v>-3.7322509999999998E-3</v>
      </c>
      <c r="AA3904">
        <v>0.96222129999999995</v>
      </c>
      <c r="AB3904">
        <v>24</v>
      </c>
      <c r="AC3904">
        <v>10.5725</v>
      </c>
      <c r="AD3904">
        <v>-1.1106758974369999</v>
      </c>
      <c r="AE3904">
        <v>-4.2339000000000002</v>
      </c>
      <c r="AF3904">
        <v>3.13708179045455</v>
      </c>
      <c r="AG3904">
        <v>-1.1106758974369999</v>
      </c>
      <c r="AH3904">
        <v>10.8365095084747</v>
      </c>
      <c r="AI3904">
        <v>95.622734448039296</v>
      </c>
      <c r="AJ3904">
        <v>73.854697920946805</v>
      </c>
      <c r="AK3904">
        <v>11.3359967112033</v>
      </c>
      <c r="AL3904">
        <v>80.914574101558998</v>
      </c>
      <c r="AM3904">
        <v>73.261401368952406</v>
      </c>
      <c r="AN3904">
        <v>1.00000001530493</v>
      </c>
    </row>
    <row r="3905" spans="1:40" x14ac:dyDescent="0.25">
      <c r="A3905" t="str">
        <f>"20190312164105339"</f>
        <v>20190312164105339</v>
      </c>
      <c r="B3905" t="str">
        <f>"1552380065330188"</f>
        <v>1552380065330188</v>
      </c>
      <c r="C3905" t="s">
        <v>40</v>
      </c>
      <c r="D3905">
        <v>6.0141900000000001</v>
      </c>
      <c r="E3905">
        <v>0.51087119999999997</v>
      </c>
      <c r="F3905" t="s">
        <v>46</v>
      </c>
      <c r="G3905">
        <v>-200.84780000000001</v>
      </c>
      <c r="H3905" s="1">
        <v>3.0709539999999999E-6</v>
      </c>
      <c r="I3905">
        <v>209.38419999999999</v>
      </c>
      <c r="J3905">
        <v>-211.28659999999999</v>
      </c>
      <c r="K3905">
        <v>1.1106579999999999</v>
      </c>
      <c r="L3905">
        <v>213.6311</v>
      </c>
      <c r="M3905">
        <v>0.99414740000000001</v>
      </c>
      <c r="N3905">
        <v>0</v>
      </c>
      <c r="O3905">
        <v>-0.1020022</v>
      </c>
      <c r="P3905">
        <v>0.91591069999999997</v>
      </c>
      <c r="Q3905">
        <v>0.12396740000000001</v>
      </c>
      <c r="R3905">
        <v>-0.38175969999999998</v>
      </c>
      <c r="S3905">
        <v>2.8414920000000001</v>
      </c>
      <c r="T3905">
        <v>-0.29607699999999998</v>
      </c>
      <c r="U3905">
        <v>-1.1390530000000001</v>
      </c>
      <c r="V3905">
        <v>0.28711219999999998</v>
      </c>
      <c r="W3905">
        <v>0.15618950000000001</v>
      </c>
      <c r="X3905">
        <v>0.94507750000000001</v>
      </c>
      <c r="Y3905">
        <v>0.27460250000000003</v>
      </c>
      <c r="Z3905">
        <v>-3.5891909999999998E-3</v>
      </c>
      <c r="AA3905">
        <v>0.96155109999999999</v>
      </c>
      <c r="AB3905">
        <v>23</v>
      </c>
      <c r="AC3905">
        <v>10.438799999999899</v>
      </c>
      <c r="AD3905">
        <v>-1.1106549290459999</v>
      </c>
      <c r="AE3905">
        <v>-4.2469000000000099</v>
      </c>
      <c r="AF3905">
        <v>3.1288755382377502</v>
      </c>
      <c r="AG3905">
        <v>-1.1106549290459999</v>
      </c>
      <c r="AH3905">
        <v>10.7136929950943</v>
      </c>
      <c r="AI3905">
        <v>95.6827990071492</v>
      </c>
      <c r="AJ3905">
        <v>73.719844195459302</v>
      </c>
      <c r="AK3905">
        <v>11.2163556513838</v>
      </c>
      <c r="AL3905">
        <v>81.014210392860903</v>
      </c>
      <c r="AM3905">
        <v>73.101348636199404</v>
      </c>
      <c r="AN3905">
        <v>1.00000002815266</v>
      </c>
    </row>
    <row r="3906" spans="1:40" x14ac:dyDescent="0.25">
      <c r="A3906" t="str">
        <f>"20190312164105361"</f>
        <v>20190312164105361</v>
      </c>
      <c r="B3906" t="str">
        <f>"1552380065349709"</f>
        <v>1552380065349709</v>
      </c>
      <c r="C3906" t="s">
        <v>40</v>
      </c>
      <c r="D3906">
        <v>5.9177410000000004</v>
      </c>
      <c r="E3906">
        <v>0.5107507</v>
      </c>
      <c r="F3906" t="s">
        <v>46</v>
      </c>
      <c r="G3906">
        <v>-200.7997</v>
      </c>
      <c r="H3906" s="1">
        <v>3.054611E-6</v>
      </c>
      <c r="I3906">
        <v>209.35589999999999</v>
      </c>
      <c r="J3906">
        <v>-211.06039999999999</v>
      </c>
      <c r="K3906">
        <v>1.1105929999999999</v>
      </c>
      <c r="L3906">
        <v>213.6037</v>
      </c>
      <c r="M3906">
        <v>0.993838</v>
      </c>
      <c r="N3906">
        <v>0</v>
      </c>
      <c r="O3906">
        <v>-0.1051995</v>
      </c>
      <c r="P3906">
        <v>0.91376599999999997</v>
      </c>
      <c r="Q3906">
        <v>0.12334489999999899</v>
      </c>
      <c r="R3906">
        <v>-0.38706309999999999</v>
      </c>
      <c r="S3906">
        <v>2.8344269999999998</v>
      </c>
      <c r="T3906">
        <v>-0.30019299999999999</v>
      </c>
      <c r="U3906">
        <v>-1.155518</v>
      </c>
      <c r="V3906">
        <v>0.28953179999999901</v>
      </c>
      <c r="W3906">
        <v>0.1549304</v>
      </c>
      <c r="X3906">
        <v>0.94454640000000001</v>
      </c>
      <c r="Y3906">
        <v>0.27711789999999997</v>
      </c>
      <c r="Z3906">
        <v>-3.4517770000000001E-3</v>
      </c>
      <c r="AA3906">
        <v>0.96082970000000001</v>
      </c>
      <c r="AB3906">
        <v>23</v>
      </c>
      <c r="AC3906">
        <v>10.2606999999999</v>
      </c>
      <c r="AD3906">
        <v>-1.110589945389</v>
      </c>
      <c r="AE3906">
        <v>-4.2478000000000096</v>
      </c>
      <c r="AF3906">
        <v>3.1129878984227899</v>
      </c>
      <c r="AG3906">
        <v>-1.110589945389</v>
      </c>
      <c r="AH3906">
        <v>10.5453674711835</v>
      </c>
      <c r="AI3906">
        <v>95.767676784297706</v>
      </c>
      <c r="AJ3906">
        <v>73.553422473360001</v>
      </c>
      <c r="AK3906">
        <v>11.0511935457136</v>
      </c>
      <c r="AL3906">
        <v>81.087240267232502</v>
      </c>
      <c r="AM3906">
        <v>72.958127062474802</v>
      </c>
      <c r="AN3906">
        <v>0.99999999690417996</v>
      </c>
    </row>
    <row r="3907" spans="1:40" x14ac:dyDescent="0.25">
      <c r="A3907" t="str">
        <f>"20190312164105384"</f>
        <v>20190312164105384</v>
      </c>
      <c r="B3907" t="str">
        <f>"1552380065379965"</f>
        <v>1552380065379965</v>
      </c>
      <c r="C3907" t="s">
        <v>40</v>
      </c>
      <c r="D3907">
        <v>5.8830809999999998</v>
      </c>
      <c r="E3907">
        <v>0.5105478</v>
      </c>
      <c r="F3907" t="s">
        <v>46</v>
      </c>
      <c r="G3907">
        <v>-200.6713</v>
      </c>
      <c r="H3907" s="1">
        <v>3.0059459999999999E-6</v>
      </c>
      <c r="I3907">
        <v>209.30889999999999</v>
      </c>
      <c r="J3907">
        <v>-210.83439999999999</v>
      </c>
      <c r="K3907">
        <v>1.110492</v>
      </c>
      <c r="L3907">
        <v>213.57550000000001</v>
      </c>
      <c r="M3907">
        <v>0.99352560000000001</v>
      </c>
      <c r="N3907">
        <v>0</v>
      </c>
      <c r="O3907">
        <v>-0.10838739999999999</v>
      </c>
      <c r="P3907">
        <v>0.91166639999999999</v>
      </c>
      <c r="Q3907">
        <v>0.1237992</v>
      </c>
      <c r="R3907">
        <v>-0.39183950000000001</v>
      </c>
      <c r="S3907">
        <v>2.8285979999999999</v>
      </c>
      <c r="T3907">
        <v>-0.30237720000000001</v>
      </c>
      <c r="U3907">
        <v>-1.1693420000000001</v>
      </c>
      <c r="V3907">
        <v>0.2914428</v>
      </c>
      <c r="W3907">
        <v>0.15455769999999999</v>
      </c>
      <c r="X3907">
        <v>0.94401959999999996</v>
      </c>
      <c r="Y3907">
        <v>0.27874300000000002</v>
      </c>
      <c r="Z3907">
        <v>-3.242637E-3</v>
      </c>
      <c r="AA3907">
        <v>0.96036029999999994</v>
      </c>
      <c r="AB3907">
        <v>23</v>
      </c>
      <c r="AC3907">
        <v>10.163099999999901</v>
      </c>
      <c r="AD3907">
        <v>-1.1104889940539999</v>
      </c>
      <c r="AE3907">
        <v>-4.2666000000000102</v>
      </c>
      <c r="AF3907">
        <v>3.1077000377223598</v>
      </c>
      <c r="AG3907">
        <v>-1.1104889940539999</v>
      </c>
      <c r="AH3907">
        <v>10.4597015172283</v>
      </c>
      <c r="AI3907">
        <v>95.811061821899401</v>
      </c>
      <c r="AJ3907">
        <v>73.452697796178697</v>
      </c>
      <c r="AK3907">
        <v>10.9679688712123</v>
      </c>
      <c r="AL3907">
        <v>81.108854758360295</v>
      </c>
      <c r="AM3907">
        <v>72.843215794177695</v>
      </c>
      <c r="AN3907">
        <v>0.99999999674264495</v>
      </c>
    </row>
    <row r="3908" spans="1:40" x14ac:dyDescent="0.25">
      <c r="A3908" t="str">
        <f>"20190312164105406"</f>
        <v>20190312164105406</v>
      </c>
      <c r="B3908" t="str">
        <f>"1552380065400461"</f>
        <v>1552380065400461</v>
      </c>
      <c r="C3908" t="s">
        <v>40</v>
      </c>
      <c r="D3908">
        <v>5.8053239999999997</v>
      </c>
      <c r="E3908">
        <v>0.51052010000000003</v>
      </c>
      <c r="F3908" t="s">
        <v>46</v>
      </c>
      <c r="G3908">
        <v>-200.4315</v>
      </c>
      <c r="H3908" s="1">
        <v>2.9152390000000001E-6</v>
      </c>
      <c r="I3908">
        <v>209.22020000000001</v>
      </c>
      <c r="J3908">
        <v>-210.6157</v>
      </c>
      <c r="K3908">
        <v>1.1104290000000001</v>
      </c>
      <c r="L3908">
        <v>213.54759999999999</v>
      </c>
      <c r="M3908">
        <v>0.9932145</v>
      </c>
      <c r="N3908">
        <v>0</v>
      </c>
      <c r="O3908">
        <v>-0.11148329999999999</v>
      </c>
      <c r="P3908">
        <v>0.90966950000000002</v>
      </c>
      <c r="Q3908">
        <v>0.124596</v>
      </c>
      <c r="R3908">
        <v>-0.39620359999999899</v>
      </c>
      <c r="S3908">
        <v>2.8235320000000002</v>
      </c>
      <c r="T3908">
        <v>-0.30140719999999999</v>
      </c>
      <c r="U3908">
        <v>-1.182129</v>
      </c>
      <c r="V3908">
        <v>0.29301919999999998</v>
      </c>
      <c r="W3908">
        <v>0.15450120000000001</v>
      </c>
      <c r="X3908">
        <v>0.94354079999999996</v>
      </c>
      <c r="Y3908">
        <v>0.28008139999999998</v>
      </c>
      <c r="Z3908">
        <v>-2.9927119999999998E-3</v>
      </c>
      <c r="AA3908">
        <v>0.95997160000000004</v>
      </c>
      <c r="AB3908">
        <v>22</v>
      </c>
      <c r="AC3908">
        <v>10.184200000000001</v>
      </c>
      <c r="AD3908">
        <v>-1.1104260847609999</v>
      </c>
      <c r="AE3908">
        <v>-4.3273999999999804</v>
      </c>
      <c r="AF3908">
        <v>3.1328547929674202</v>
      </c>
      <c r="AG3908">
        <v>-1.1104260847609999</v>
      </c>
      <c r="AH3908">
        <v>10.497628608250601</v>
      </c>
      <c r="AI3908">
        <v>95.787803803238603</v>
      </c>
      <c r="AJ3908">
        <v>73.383080344218797</v>
      </c>
      <c r="AK3908">
        <v>11.0112683938</v>
      </c>
      <c r="AL3908">
        <v>81.112131865724095</v>
      </c>
      <c r="AM3908">
        <v>72.747674213460996</v>
      </c>
      <c r="AN3908">
        <v>1.0000000568173499</v>
      </c>
    </row>
    <row r="3909" spans="1:40" x14ac:dyDescent="0.25">
      <c r="A3909" t="str">
        <f>"20190312164105429"</f>
        <v>20190312164105429</v>
      </c>
      <c r="B3909" t="str">
        <f>"1552380065419981"</f>
        <v>1552380065419981</v>
      </c>
      <c r="C3909" t="s">
        <v>40</v>
      </c>
      <c r="D3909">
        <v>5.8285749999999998</v>
      </c>
      <c r="E3909">
        <v>0.51054309999999903</v>
      </c>
      <c r="F3909" t="s">
        <v>46</v>
      </c>
      <c r="G3909">
        <v>-200.15729999999999</v>
      </c>
      <c r="H3909" s="1">
        <v>2.8394139999999998E-6</v>
      </c>
      <c r="I3909">
        <v>209.1131</v>
      </c>
      <c r="J3909">
        <v>-210.39580000000001</v>
      </c>
      <c r="K3909">
        <v>1.1103860000000001</v>
      </c>
      <c r="L3909">
        <v>213.5189</v>
      </c>
      <c r="M3909">
        <v>0.99288710000000002</v>
      </c>
      <c r="N3909">
        <v>0</v>
      </c>
      <c r="O3909">
        <v>-0.11465350000000001</v>
      </c>
      <c r="P3909">
        <v>0.90777110000000005</v>
      </c>
      <c r="Q3909">
        <v>0.1245223</v>
      </c>
      <c r="R3909">
        <v>-0.40055659999999998</v>
      </c>
      <c r="S3909">
        <v>2.81839</v>
      </c>
      <c r="T3909">
        <v>-0.29924489999999998</v>
      </c>
      <c r="U3909">
        <v>-1.1950379999999901</v>
      </c>
      <c r="V3909">
        <v>0.29449619999999999</v>
      </c>
      <c r="W3909">
        <v>0.1535019</v>
      </c>
      <c r="X3909">
        <v>0.94324399999999997</v>
      </c>
      <c r="Y3909">
        <v>0.28139710000000001</v>
      </c>
      <c r="Z3909">
        <v>-2.7248260000000001E-3</v>
      </c>
      <c r="AA3909">
        <v>0.95958750000000004</v>
      </c>
      <c r="AB3909">
        <v>22</v>
      </c>
      <c r="AC3909">
        <v>10.2385</v>
      </c>
      <c r="AD3909">
        <v>-1.110383160586</v>
      </c>
      <c r="AE3909">
        <v>-4.4057999999999904</v>
      </c>
      <c r="AF3909">
        <v>3.17076434505225</v>
      </c>
      <c r="AG3909">
        <v>-1.110383160586</v>
      </c>
      <c r="AH3909">
        <v>10.5714017929928</v>
      </c>
      <c r="AI3909">
        <v>95.745107494124497</v>
      </c>
      <c r="AJ3909">
        <v>73.304018656247607</v>
      </c>
      <c r="AK3909">
        <v>11.092395285242</v>
      </c>
      <c r="AL3909">
        <v>81.170078698224799</v>
      </c>
      <c r="AM3909">
        <v>72.660782539947107</v>
      </c>
      <c r="AN3909">
        <v>1.0000000443270201</v>
      </c>
    </row>
    <row r="3910" spans="1:40" x14ac:dyDescent="0.25">
      <c r="A3910" t="str">
        <f>"20190312164105450"</f>
        <v>20190312164105450</v>
      </c>
      <c r="B3910" t="str">
        <f>"1552380065440477"</f>
        <v>1552380065440477</v>
      </c>
      <c r="C3910" t="s">
        <v>40</v>
      </c>
      <c r="D3910">
        <v>5.8858430000000004</v>
      </c>
      <c r="E3910">
        <v>0.51041819999999904</v>
      </c>
      <c r="F3910" t="s">
        <v>46</v>
      </c>
      <c r="G3910">
        <v>-200.00069999999999</v>
      </c>
      <c r="H3910" s="1">
        <v>2.799827E-6</v>
      </c>
      <c r="I3910">
        <v>209.05279999999999</v>
      </c>
      <c r="J3910">
        <v>-210.1902</v>
      </c>
      <c r="K3910">
        <v>1.110317</v>
      </c>
      <c r="L3910">
        <v>213.4915</v>
      </c>
      <c r="M3910">
        <v>0.99257200000000001</v>
      </c>
      <c r="N3910">
        <v>0</v>
      </c>
      <c r="O3910">
        <v>-0.1176383</v>
      </c>
      <c r="P3910">
        <v>0.9059545</v>
      </c>
      <c r="Q3910">
        <v>0.1247979</v>
      </c>
      <c r="R3910">
        <v>-0.40456370000000003</v>
      </c>
      <c r="S3910">
        <v>2.8127900000000001</v>
      </c>
      <c r="T3910">
        <v>-0.30045640000000001</v>
      </c>
      <c r="U3910">
        <v>-1.208466</v>
      </c>
      <c r="V3910">
        <v>0.29581239999999998</v>
      </c>
      <c r="W3910">
        <v>0.15279889999999999</v>
      </c>
      <c r="X3910">
        <v>0.94294619999999996</v>
      </c>
      <c r="Y3910">
        <v>0.28307529999999997</v>
      </c>
      <c r="Z3910">
        <v>-2.5255870000000001E-3</v>
      </c>
      <c r="AA3910">
        <v>0.95909429999999996</v>
      </c>
      <c r="AB3910">
        <v>22</v>
      </c>
      <c r="AC3910">
        <v>10.189500000000001</v>
      </c>
      <c r="AD3910">
        <v>-1.110314200173</v>
      </c>
      <c r="AE3910">
        <v>-4.4387000000000096</v>
      </c>
      <c r="AF3910">
        <v>3.17689258167752</v>
      </c>
      <c r="AG3910">
        <v>-1.110314200173</v>
      </c>
      <c r="AH3910">
        <v>10.535945650480601</v>
      </c>
      <c r="AI3910">
        <v>95.761444099408195</v>
      </c>
      <c r="AJ3910">
        <v>73.220420703974</v>
      </c>
      <c r="AK3910">
        <v>11.060361424858799</v>
      </c>
      <c r="AL3910">
        <v>81.210838155717994</v>
      </c>
      <c r="AM3910">
        <v>72.582795852284704</v>
      </c>
      <c r="AN3910">
        <v>1.0000000079647</v>
      </c>
    </row>
    <row r="3911" spans="1:40" x14ac:dyDescent="0.25">
      <c r="A3911" t="str">
        <f>"20190312164105473"</f>
        <v>20190312164105473</v>
      </c>
      <c r="B3911" t="str">
        <f>"1552380065469757"</f>
        <v>1552380065469757</v>
      </c>
      <c r="C3911" t="s">
        <v>40</v>
      </c>
      <c r="D3911">
        <v>5.9287299999999998</v>
      </c>
      <c r="E3911">
        <v>0.51022209999999901</v>
      </c>
      <c r="F3911" t="s">
        <v>46</v>
      </c>
      <c r="G3911">
        <v>-199.80090000000001</v>
      </c>
      <c r="H3911" s="1">
        <v>2.831189E-6</v>
      </c>
      <c r="I3911">
        <v>208.9819</v>
      </c>
      <c r="J3911">
        <v>-209.97389999999999</v>
      </c>
      <c r="K3911">
        <v>1.110212</v>
      </c>
      <c r="L3911">
        <v>213.46199999999999</v>
      </c>
      <c r="M3911">
        <v>0.99223589999999995</v>
      </c>
      <c r="N3911">
        <v>0</v>
      </c>
      <c r="O3911">
        <v>-0.1207525</v>
      </c>
      <c r="P3911">
        <v>0.90421629999999997</v>
      </c>
      <c r="Q3911">
        <v>0.12526769999999901</v>
      </c>
      <c r="R3911">
        <v>-0.4082906</v>
      </c>
      <c r="S3911">
        <v>2.808411</v>
      </c>
      <c r="T3911">
        <v>-0.30013659999999998</v>
      </c>
      <c r="U3911">
        <v>-1.2189939999999999</v>
      </c>
      <c r="V3911">
        <v>0.29673179999999999</v>
      </c>
      <c r="W3911">
        <v>0.15212020000000001</v>
      </c>
      <c r="X3911">
        <v>0.94276700000000002</v>
      </c>
      <c r="Y3911">
        <v>0.28365570000000001</v>
      </c>
      <c r="Z3911">
        <v>-2.2432039999999999E-3</v>
      </c>
      <c r="AA3911">
        <v>0.95892359999999999</v>
      </c>
      <c r="AB3911">
        <v>22</v>
      </c>
      <c r="AC3911">
        <v>10.172999999999901</v>
      </c>
      <c r="AD3911">
        <v>-1.1102091688110001</v>
      </c>
      <c r="AE3911">
        <v>-4.4801000000000197</v>
      </c>
      <c r="AF3911">
        <v>3.1865413082854301</v>
      </c>
      <c r="AG3911">
        <v>-1.1102091688110001</v>
      </c>
      <c r="AH3911">
        <v>10.534631074411999</v>
      </c>
      <c r="AI3911">
        <v>95.760106721384602</v>
      </c>
      <c r="AJ3911">
        <v>73.170353812563306</v>
      </c>
      <c r="AK3911">
        <v>11.0618742436302</v>
      </c>
      <c r="AL3911">
        <v>81.2501844079938</v>
      </c>
      <c r="AM3911">
        <v>72.528832005780004</v>
      </c>
      <c r="AN3911">
        <v>0.99999996633413901</v>
      </c>
    </row>
    <row r="3912" spans="1:40" x14ac:dyDescent="0.25">
      <c r="A3912" t="str">
        <f>"20190312164105496"</f>
        <v>20190312164105496</v>
      </c>
      <c r="B3912" t="str">
        <f>"1552380065490252"</f>
        <v>1552380065490252</v>
      </c>
      <c r="C3912" t="s">
        <v>40</v>
      </c>
      <c r="D3912">
        <v>5.8326929999999999</v>
      </c>
      <c r="E3912">
        <v>0.5100846</v>
      </c>
      <c r="F3912" t="s">
        <v>46</v>
      </c>
      <c r="G3912">
        <v>-199.5984</v>
      </c>
      <c r="H3912" s="1">
        <v>2.8842759999999998E-6</v>
      </c>
      <c r="I3912">
        <v>208.9171</v>
      </c>
      <c r="J3912">
        <v>-209.75749999999999</v>
      </c>
      <c r="K3912">
        <v>1.110069</v>
      </c>
      <c r="L3912">
        <v>213.43190000000001</v>
      </c>
      <c r="M3912">
        <v>0.99189700000000003</v>
      </c>
      <c r="N3912">
        <v>0</v>
      </c>
      <c r="O3912">
        <v>-0.1238375</v>
      </c>
      <c r="P3912">
        <v>0.90197269999999896</v>
      </c>
      <c r="Q3912">
        <v>0.12716559999999999</v>
      </c>
      <c r="R3912">
        <v>-0.41264299999999998</v>
      </c>
      <c r="S3912">
        <v>2.8046259999999998</v>
      </c>
      <c r="T3912">
        <v>-0.30010330000000002</v>
      </c>
      <c r="U3912">
        <v>-1.2285459999999999</v>
      </c>
      <c r="V3912">
        <v>0.29838130000000002</v>
      </c>
      <c r="W3912">
        <v>0.15266740000000001</v>
      </c>
      <c r="X3912">
        <v>0.94215780000000005</v>
      </c>
      <c r="Y3912">
        <v>0.28390850000000001</v>
      </c>
      <c r="Z3912">
        <v>-1.9490690000000001E-3</v>
      </c>
      <c r="AA3912">
        <v>0.95884939999999996</v>
      </c>
      <c r="AB3912">
        <v>22</v>
      </c>
      <c r="AC3912">
        <v>10.159099999999899</v>
      </c>
      <c r="AD3912">
        <v>-1.1100661157239999</v>
      </c>
      <c r="AE3912">
        <v>-4.5148000000000001</v>
      </c>
      <c r="AF3912">
        <v>3.1896334346199402</v>
      </c>
      <c r="AG3912">
        <v>-1.1100661157239999</v>
      </c>
      <c r="AH3912">
        <v>10.535124622135299</v>
      </c>
      <c r="AI3912">
        <v>95.758658531082006</v>
      </c>
      <c r="AJ3912">
        <v>73.155691803071505</v>
      </c>
      <c r="AK3912">
        <v>11.063221006219001</v>
      </c>
      <c r="AL3912">
        <v>81.2184621719435</v>
      </c>
      <c r="AM3912">
        <v>72.427009600529402</v>
      </c>
      <c r="AN3912">
        <v>1.0000000276566401</v>
      </c>
    </row>
    <row r="3913" spans="1:40" x14ac:dyDescent="0.25">
      <c r="A3913" t="str">
        <f>"20190312164105518"</f>
        <v>20190312164105518</v>
      </c>
      <c r="B3913" t="str">
        <f>"1552380065509773"</f>
        <v>1552380065509773</v>
      </c>
      <c r="C3913" t="s">
        <v>40</v>
      </c>
      <c r="D3913">
        <v>5.8294699999999997</v>
      </c>
      <c r="E3913">
        <v>0.50998699999999997</v>
      </c>
      <c r="F3913" t="s">
        <v>46</v>
      </c>
      <c r="G3913">
        <v>-199.2148</v>
      </c>
      <c r="H3913" s="1">
        <v>2.993715E-6</v>
      </c>
      <c r="I3913">
        <v>208.76079999999999</v>
      </c>
      <c r="J3913">
        <v>-209.54239999999999</v>
      </c>
      <c r="K3913">
        <v>1.1098969999999999</v>
      </c>
      <c r="L3913">
        <v>213.40129999999999</v>
      </c>
      <c r="M3913">
        <v>0.99155740000000003</v>
      </c>
      <c r="N3913">
        <v>0</v>
      </c>
      <c r="O3913">
        <v>-0.12686810000000001</v>
      </c>
      <c r="P3913">
        <v>0.89925270000000002</v>
      </c>
      <c r="Q3913">
        <v>0.13016549999999999</v>
      </c>
      <c r="R3913">
        <v>-0.41761429999999999</v>
      </c>
      <c r="S3913">
        <v>2.800049</v>
      </c>
      <c r="T3913">
        <v>-0.29482419999999998</v>
      </c>
      <c r="U3913">
        <v>-1.2406159999999999</v>
      </c>
      <c r="V3913">
        <v>0.30076910000000001</v>
      </c>
      <c r="W3913">
        <v>0.1541729</v>
      </c>
      <c r="X3913">
        <v>0.94115289999999996</v>
      </c>
      <c r="Y3913">
        <v>0.2850549</v>
      </c>
      <c r="Z3913">
        <v>-1.676676E-3</v>
      </c>
      <c r="AA3913">
        <v>0.95850970000000002</v>
      </c>
      <c r="AB3913">
        <v>22</v>
      </c>
      <c r="AC3913">
        <v>10.327599999999901</v>
      </c>
      <c r="AD3913">
        <v>-1.109894006285</v>
      </c>
      <c r="AE3913">
        <v>-4.6405000000000003</v>
      </c>
      <c r="AF3913">
        <v>3.2609263472322598</v>
      </c>
      <c r="AG3913">
        <v>-1.109894006285</v>
      </c>
      <c r="AH3913">
        <v>10.7299233380419</v>
      </c>
      <c r="AI3913">
        <v>95.652133816578001</v>
      </c>
      <c r="AJ3913">
        <v>73.095471441425403</v>
      </c>
      <c r="AK3913">
        <v>11.269283925233101</v>
      </c>
      <c r="AL3913">
        <v>81.131170190976505</v>
      </c>
      <c r="AM3913">
        <v>72.2774109637366</v>
      </c>
      <c r="AN3913">
        <v>1.00000005789381</v>
      </c>
    </row>
    <row r="3914" spans="1:40" x14ac:dyDescent="0.25">
      <c r="A3914" t="str">
        <f>"20190312164105541"</f>
        <v>20190312164105541</v>
      </c>
      <c r="B3914" t="str">
        <f>"1552380065530269"</f>
        <v>1552380065530269</v>
      </c>
      <c r="C3914" t="s">
        <v>40</v>
      </c>
      <c r="D3914">
        <v>5.6833869999999997</v>
      </c>
      <c r="E3914">
        <v>0.50991399999999998</v>
      </c>
      <c r="F3914" t="s">
        <v>46</v>
      </c>
      <c r="G3914">
        <v>-198.70570000000001</v>
      </c>
      <c r="H3914" s="1">
        <v>3.1444509999999998E-6</v>
      </c>
      <c r="I3914">
        <v>208.5326</v>
      </c>
      <c r="J3914">
        <v>-209.3322</v>
      </c>
      <c r="K3914">
        <v>1.1097699999999999</v>
      </c>
      <c r="L3914">
        <v>213.37090000000001</v>
      </c>
      <c r="M3914">
        <v>0.99121890000000001</v>
      </c>
      <c r="N3914">
        <v>0</v>
      </c>
      <c r="O3914">
        <v>-0.1297818</v>
      </c>
      <c r="P3914">
        <v>0.89684030000000003</v>
      </c>
      <c r="Q3914">
        <v>0.1321927</v>
      </c>
      <c r="R3914">
        <v>-0.42214069999999998</v>
      </c>
      <c r="S3914">
        <v>2.7944640000000001</v>
      </c>
      <c r="T3914">
        <v>-0.28620820000000002</v>
      </c>
      <c r="U3914">
        <v>-1.2555080000000001</v>
      </c>
      <c r="V3914">
        <v>0.3027842</v>
      </c>
      <c r="W3914">
        <v>0.1548079</v>
      </c>
      <c r="X3914">
        <v>0.94040219999999997</v>
      </c>
      <c r="Y3914">
        <v>0.28725450000000002</v>
      </c>
      <c r="Z3914">
        <v>-1.45936E-3</v>
      </c>
      <c r="AA3914">
        <v>0.95785319999999996</v>
      </c>
      <c r="AB3914">
        <v>22</v>
      </c>
      <c r="AC3914">
        <v>10.626499999999901</v>
      </c>
      <c r="AD3914">
        <v>-1.1097668555489999</v>
      </c>
      <c r="AE3914">
        <v>-4.8383000000000003</v>
      </c>
      <c r="AF3914">
        <v>3.3871861055449699</v>
      </c>
      <c r="AG3914">
        <v>-1.1097668555489999</v>
      </c>
      <c r="AH3914">
        <v>11.0647383281014</v>
      </c>
      <c r="AI3914">
        <v>95.478169892277407</v>
      </c>
      <c r="AJ3914">
        <v>72.9793734894089</v>
      </c>
      <c r="AK3914">
        <v>11.624674036575399</v>
      </c>
      <c r="AL3914">
        <v>81.094344992135007</v>
      </c>
      <c r="AM3914">
        <v>72.152838565839801</v>
      </c>
      <c r="AN3914">
        <v>1.00000002771844</v>
      </c>
    </row>
    <row r="3915" spans="1:40" x14ac:dyDescent="0.25">
      <c r="A3915" t="str">
        <f>"20190312164105562"</f>
        <v>20190312164105562</v>
      </c>
      <c r="B3915" t="str">
        <f>"1552380065549789"</f>
        <v>1552380065549789</v>
      </c>
      <c r="C3915" t="s">
        <v>40</v>
      </c>
      <c r="D3915">
        <v>5.8946339999999999</v>
      </c>
      <c r="E3915">
        <v>0.50985740000000002</v>
      </c>
      <c r="F3915" t="s">
        <v>46</v>
      </c>
      <c r="G3915">
        <v>-198.29339999999999</v>
      </c>
      <c r="H3915" s="1">
        <v>3.2659750000000001E-6</v>
      </c>
      <c r="I3915">
        <v>208.34989999999999</v>
      </c>
      <c r="J3915">
        <v>-209.1223</v>
      </c>
      <c r="K3915">
        <v>1.1096950000000001</v>
      </c>
      <c r="L3915">
        <v>213.3399</v>
      </c>
      <c r="M3915">
        <v>0.99087219999999998</v>
      </c>
      <c r="N3915">
        <v>0</v>
      </c>
      <c r="O3915">
        <v>-0.13265739999999901</v>
      </c>
      <c r="P3915">
        <v>0.8948026</v>
      </c>
      <c r="Q3915">
        <v>0.13278679999999901</v>
      </c>
      <c r="R3915">
        <v>-0.42625879999999999</v>
      </c>
      <c r="S3915">
        <v>2.7892459999999999</v>
      </c>
      <c r="T3915">
        <v>-0.28041199999999999</v>
      </c>
      <c r="U3915">
        <v>-1.2686919999999999</v>
      </c>
      <c r="V3915">
        <v>0.3043767</v>
      </c>
      <c r="W3915">
        <v>0.1541361</v>
      </c>
      <c r="X3915">
        <v>0.93999829999999995</v>
      </c>
      <c r="Y3915">
        <v>0.2889389</v>
      </c>
      <c r="Z3915">
        <v>-1.2435530000000001E-3</v>
      </c>
      <c r="AA3915">
        <v>0.95734669999999999</v>
      </c>
      <c r="AB3915">
        <v>22</v>
      </c>
      <c r="AC3915">
        <v>10.828900000000001</v>
      </c>
      <c r="AD3915">
        <v>-1.1096917340250001</v>
      </c>
      <c r="AE3915">
        <v>-4.99</v>
      </c>
      <c r="AF3915">
        <v>3.4787934438258898</v>
      </c>
      <c r="AG3915">
        <v>-1.1096917340250001</v>
      </c>
      <c r="AH3915">
        <v>11.297432158225501</v>
      </c>
      <c r="AI3915">
        <v>95.362941608844295</v>
      </c>
      <c r="AJ3915">
        <v>72.8849460057247</v>
      </c>
      <c r="AK3915">
        <v>11.872884777469899</v>
      </c>
      <c r="AL3915">
        <v>81.1333032945128</v>
      </c>
      <c r="AM3915">
        <v>72.057757139630198</v>
      </c>
      <c r="AN3915">
        <v>0.99999995841449396</v>
      </c>
    </row>
    <row r="3916" spans="1:40" x14ac:dyDescent="0.25">
      <c r="A3916" t="str">
        <f>"20190312164105584"</f>
        <v>20190312164105584</v>
      </c>
      <c r="B3916" t="str">
        <f>"1552380065580045"</f>
        <v>1552380065580045</v>
      </c>
      <c r="C3916" t="s">
        <v>40</v>
      </c>
      <c r="D3916">
        <v>5.6034129999999998</v>
      </c>
      <c r="E3916">
        <v>0.50977029999999901</v>
      </c>
      <c r="F3916" t="s">
        <v>46</v>
      </c>
      <c r="G3916">
        <v>-198.07849999999999</v>
      </c>
      <c r="H3916" s="1">
        <v>3.3285439999999999E-6</v>
      </c>
      <c r="I3916">
        <v>208.25749999999999</v>
      </c>
      <c r="J3916">
        <v>-208.90479999999999</v>
      </c>
      <c r="K3916">
        <v>1.109621</v>
      </c>
      <c r="L3916">
        <v>213.30719999999999</v>
      </c>
      <c r="M3916">
        <v>0.99050369999999999</v>
      </c>
      <c r="N3916">
        <v>0</v>
      </c>
      <c r="O3916">
        <v>-0.1356195</v>
      </c>
      <c r="P3916">
        <v>0.89299059999999897</v>
      </c>
      <c r="Q3916">
        <v>0.13302059999999999</v>
      </c>
      <c r="R3916">
        <v>-0.4299693</v>
      </c>
      <c r="S3916">
        <v>2.7839200000000002</v>
      </c>
      <c r="T3916">
        <v>-0.27972960000000002</v>
      </c>
      <c r="U3916">
        <v>-1.281158</v>
      </c>
      <c r="V3916">
        <v>0.305457599999999</v>
      </c>
      <c r="W3916">
        <v>0.153091</v>
      </c>
      <c r="X3916">
        <v>0.9398185</v>
      </c>
      <c r="Y3916">
        <v>0.29032370000000002</v>
      </c>
      <c r="Z3916">
        <v>-1.032229E-3</v>
      </c>
      <c r="AA3916">
        <v>0.956928</v>
      </c>
      <c r="AB3916">
        <v>21</v>
      </c>
      <c r="AC3916">
        <v>10.8263</v>
      </c>
      <c r="AD3916">
        <v>-1.109617671456</v>
      </c>
      <c r="AE3916">
        <v>-5.0496999999999996</v>
      </c>
      <c r="AF3916">
        <v>3.50415712151898</v>
      </c>
      <c r="AG3916">
        <v>-1.109617671456</v>
      </c>
      <c r="AH3916">
        <v>11.313625766981501</v>
      </c>
      <c r="AI3916">
        <v>95.352251958521094</v>
      </c>
      <c r="AJ3916">
        <v>72.790734752463493</v>
      </c>
      <c r="AK3916">
        <v>11.8957343827276</v>
      </c>
      <c r="AL3916">
        <v>81.193902794650995</v>
      </c>
      <c r="AM3916">
        <v>71.994923755593206</v>
      </c>
      <c r="AN3916">
        <v>1.0000000063104999</v>
      </c>
    </row>
    <row r="3917" spans="1:40" x14ac:dyDescent="0.25">
      <c r="A3917" t="str">
        <f>"20190312164105607"</f>
        <v>20190312164105607</v>
      </c>
      <c r="B3917" t="str">
        <f>"1552380065600544"</f>
        <v>1552380065600544</v>
      </c>
      <c r="C3917" t="s">
        <v>40</v>
      </c>
      <c r="D3917">
        <v>6.144126</v>
      </c>
      <c r="E3917">
        <v>0.50976179999999904</v>
      </c>
      <c r="F3917" t="s">
        <v>46</v>
      </c>
      <c r="G3917">
        <v>-197.92660000000001</v>
      </c>
      <c r="H3917" s="1">
        <v>3.3709530000000002E-6</v>
      </c>
      <c r="I3917">
        <v>208.19909999999999</v>
      </c>
      <c r="J3917">
        <v>-208.69210000000001</v>
      </c>
      <c r="K3917">
        <v>1.109513</v>
      </c>
      <c r="L3917">
        <v>213.2748</v>
      </c>
      <c r="M3917">
        <v>0.99013859999999998</v>
      </c>
      <c r="N3917">
        <v>0</v>
      </c>
      <c r="O3917">
        <v>-0.13848170000000001</v>
      </c>
      <c r="P3917">
        <v>0.890760199999999</v>
      </c>
      <c r="Q3917">
        <v>0.13417309999999999</v>
      </c>
      <c r="R3917">
        <v>-0.43421660000000001</v>
      </c>
      <c r="S3917">
        <v>2.7787929999999998</v>
      </c>
      <c r="T3917">
        <v>-0.2808657</v>
      </c>
      <c r="U3917">
        <v>-1.292969</v>
      </c>
      <c r="V3917">
        <v>0.30723929999999999</v>
      </c>
      <c r="W3917">
        <v>0.15291950000000001</v>
      </c>
      <c r="X3917">
        <v>0.93926549999999998</v>
      </c>
      <c r="Y3917">
        <v>0.29158230000000002</v>
      </c>
      <c r="Z3917">
        <v>-8.3038399999999998E-4</v>
      </c>
      <c r="AA3917">
        <v>0.95654539999999999</v>
      </c>
      <c r="AB3917">
        <v>21</v>
      </c>
      <c r="AC3917">
        <v>10.765499999999999</v>
      </c>
      <c r="AD3917">
        <v>-1.1095096290469999</v>
      </c>
      <c r="AE3917">
        <v>-5.0757000000000101</v>
      </c>
      <c r="AF3917">
        <v>3.5051547452559899</v>
      </c>
      <c r="AG3917">
        <v>-1.1095096290469999</v>
      </c>
      <c r="AH3917">
        <v>11.266867899976599</v>
      </c>
      <c r="AI3917">
        <v>95.371736146429598</v>
      </c>
      <c r="AJ3917">
        <v>72.718933041864901</v>
      </c>
      <c r="AK3917">
        <v>11.851558280692901</v>
      </c>
      <c r="AL3917">
        <v>81.203846222762394</v>
      </c>
      <c r="AM3917">
        <v>71.886773204696794</v>
      </c>
      <c r="AN3917">
        <v>1.0000000202174899</v>
      </c>
    </row>
    <row r="3918" spans="1:40" x14ac:dyDescent="0.25">
      <c r="A3918" t="str">
        <f>"20190312164105628"</f>
        <v>20190312164105628</v>
      </c>
      <c r="B3918" t="str">
        <f>"1552380065620072"</f>
        <v>1552380065620072</v>
      </c>
      <c r="C3918" t="s">
        <v>40</v>
      </c>
      <c r="D3918">
        <v>5.6824629999999896</v>
      </c>
      <c r="E3918">
        <v>0.50976659999999996</v>
      </c>
      <c r="F3918" t="s">
        <v>46</v>
      </c>
      <c r="G3918">
        <v>-197.6052</v>
      </c>
      <c r="H3918" s="1">
        <v>3.4663179999999998E-6</v>
      </c>
      <c r="I3918">
        <v>208.05430000000001</v>
      </c>
      <c r="J3918">
        <v>-208.48570000000001</v>
      </c>
      <c r="K3918">
        <v>1.10944</v>
      </c>
      <c r="L3918">
        <v>213.24270000000001</v>
      </c>
      <c r="M3918">
        <v>0.98978089999999996</v>
      </c>
      <c r="N3918">
        <v>0</v>
      </c>
      <c r="O3918">
        <v>-0.1411927</v>
      </c>
      <c r="P3918">
        <v>0.88828469999999904</v>
      </c>
      <c r="Q3918">
        <v>0.13535639999999999</v>
      </c>
      <c r="R3918">
        <v>-0.43889539999999999</v>
      </c>
      <c r="S3918">
        <v>2.773193</v>
      </c>
      <c r="T3918">
        <v>-0.27752490000000002</v>
      </c>
      <c r="U3918">
        <v>-1.305817</v>
      </c>
      <c r="V3918">
        <v>0.30963810000000003</v>
      </c>
      <c r="W3918">
        <v>0.152944</v>
      </c>
      <c r="X3918">
        <v>0.93847349999999996</v>
      </c>
      <c r="Y3918">
        <v>0.29335670000000003</v>
      </c>
      <c r="Z3918">
        <v>-6.5544249999999996E-4</v>
      </c>
      <c r="AA3918">
        <v>0.95600280000000004</v>
      </c>
      <c r="AB3918">
        <v>22</v>
      </c>
      <c r="AC3918">
        <v>10.8805</v>
      </c>
      <c r="AD3918">
        <v>-1.109436533682</v>
      </c>
      <c r="AE3918">
        <v>-5.1883999999999997</v>
      </c>
      <c r="AF3918">
        <v>3.5696116859234501</v>
      </c>
      <c r="AG3918">
        <v>-1.109436533682</v>
      </c>
      <c r="AH3918">
        <v>11.407536004127801</v>
      </c>
      <c r="AI3918">
        <v>95.302808920522395</v>
      </c>
      <c r="AJ3918">
        <v>72.624212441288904</v>
      </c>
      <c r="AK3918">
        <v>12.004368150636701</v>
      </c>
      <c r="AL3918">
        <v>81.202426165498395</v>
      </c>
      <c r="AM3918">
        <v>71.740311924920505</v>
      </c>
      <c r="AN3918">
        <v>1.0000000651549199</v>
      </c>
    </row>
    <row r="3919" spans="1:40" x14ac:dyDescent="0.25">
      <c r="A3919" t="str">
        <f>"20190312164105651"</f>
        <v>20190312164105651</v>
      </c>
      <c r="B3919" t="str">
        <f>"1552380065640558"</f>
        <v>1552380065640558</v>
      </c>
      <c r="C3919" t="s">
        <v>40</v>
      </c>
      <c r="D3919">
        <v>5.57498</v>
      </c>
      <c r="E3919">
        <v>0.50976469999999996</v>
      </c>
      <c r="F3919" t="s">
        <v>46</v>
      </c>
      <c r="G3919">
        <v>-197.2747</v>
      </c>
      <c r="H3919" s="1">
        <v>3.567103E-6</v>
      </c>
      <c r="I3919">
        <v>207.89500000000001</v>
      </c>
      <c r="J3919">
        <v>-208.27340000000001</v>
      </c>
      <c r="K3919">
        <v>1.1094120000000001</v>
      </c>
      <c r="L3919">
        <v>213.20920000000001</v>
      </c>
      <c r="M3919">
        <v>0.9894058</v>
      </c>
      <c r="N3919">
        <v>0</v>
      </c>
      <c r="O3919">
        <v>-0.1439348</v>
      </c>
      <c r="P3919">
        <v>0.88637449999999995</v>
      </c>
      <c r="Q3919">
        <v>0.13522429999999999</v>
      </c>
      <c r="R3919">
        <v>-0.4427799</v>
      </c>
      <c r="S3919">
        <v>2.7669220000000001</v>
      </c>
      <c r="T3919">
        <v>-0.27381480000000002</v>
      </c>
      <c r="U3919">
        <v>-1.319839</v>
      </c>
      <c r="V3919">
        <v>0.31114350000000002</v>
      </c>
      <c r="W3919">
        <v>0.15184639999999999</v>
      </c>
      <c r="X3919">
        <v>0.93815369999999998</v>
      </c>
      <c r="Y3919">
        <v>0.29551759999999999</v>
      </c>
      <c r="Z3919">
        <v>-4.9911629999999996E-4</v>
      </c>
      <c r="AA3919">
        <v>0.9553372</v>
      </c>
      <c r="AB3919">
        <v>22</v>
      </c>
      <c r="AC3919">
        <v>10.998699999999999</v>
      </c>
      <c r="AD3919">
        <v>-1.109408432897</v>
      </c>
      <c r="AE3919">
        <v>-5.3141999999999996</v>
      </c>
      <c r="AF3919">
        <v>3.6453949992782699</v>
      </c>
      <c r="AG3919">
        <v>-1.109408432897</v>
      </c>
      <c r="AH3919">
        <v>11.553863840801499</v>
      </c>
      <c r="AI3919">
        <v>95.232029213959294</v>
      </c>
      <c r="AJ3919">
        <v>72.488833686438795</v>
      </c>
      <c r="AK3919">
        <v>12.165996113082</v>
      </c>
      <c r="AL3919">
        <v>81.266056548083199</v>
      </c>
      <c r="AM3919">
        <v>71.651632576340106</v>
      </c>
      <c r="AN3919">
        <v>0.99999998580444904</v>
      </c>
    </row>
    <row r="3920" spans="1:40" x14ac:dyDescent="0.25">
      <c r="A3920" t="str">
        <f>"20190312164105673"</f>
        <v>20190312164105673</v>
      </c>
      <c r="B3920" t="str">
        <f>"1552380065669837"</f>
        <v>1552380065669837</v>
      </c>
      <c r="C3920" t="s">
        <v>40</v>
      </c>
      <c r="D3920">
        <v>5.6572639999999996</v>
      </c>
      <c r="E3920">
        <v>0.50977879999999998</v>
      </c>
      <c r="F3920" t="s">
        <v>46</v>
      </c>
      <c r="G3920">
        <v>-197.1071</v>
      </c>
      <c r="H3920" s="1">
        <v>3.6169340000000001E-6</v>
      </c>
      <c r="I3920">
        <v>207.81909999999999</v>
      </c>
      <c r="J3920">
        <v>-208.05940000000001</v>
      </c>
      <c r="K3920">
        <v>1.1093949999999999</v>
      </c>
      <c r="L3920">
        <v>213.1748</v>
      </c>
      <c r="M3920">
        <v>0.98901729999999999</v>
      </c>
      <c r="N3920">
        <v>0</v>
      </c>
      <c r="O3920">
        <v>-0.14669099999999999</v>
      </c>
      <c r="P3920">
        <v>0.8843529</v>
      </c>
      <c r="Q3920">
        <v>0.1340056</v>
      </c>
      <c r="R3920">
        <v>-0.44717170000000001</v>
      </c>
      <c r="S3920">
        <v>2.7606959999999998</v>
      </c>
      <c r="T3920">
        <v>-0.2742848</v>
      </c>
      <c r="U3920">
        <v>-1.332611</v>
      </c>
      <c r="V3920">
        <v>0.31315569999999998</v>
      </c>
      <c r="W3920">
        <v>0.1497888</v>
      </c>
      <c r="X3920">
        <v>0.93781490000000001</v>
      </c>
      <c r="Y3920">
        <v>0.29728670000000001</v>
      </c>
      <c r="Z3920">
        <v>-3.3225769999999902E-4</v>
      </c>
      <c r="AA3920">
        <v>0.95478819999999998</v>
      </c>
      <c r="AB3920">
        <v>22</v>
      </c>
      <c r="AC3920">
        <v>10.952299999999999</v>
      </c>
      <c r="AD3920">
        <v>-1.109391383066</v>
      </c>
      <c r="AE3920">
        <v>-5.3557000000000103</v>
      </c>
      <c r="AF3920">
        <v>3.6605682692365802</v>
      </c>
      <c r="AG3920">
        <v>-1.109391383066</v>
      </c>
      <c r="AH3920">
        <v>11.524121570455801</v>
      </c>
      <c r="AI3920">
        <v>95.242179658055704</v>
      </c>
      <c r="AJ3920">
        <v>72.377861076253694</v>
      </c>
      <c r="AK3920">
        <v>12.1423180350873</v>
      </c>
      <c r="AL3920">
        <v>81.385312430203697</v>
      </c>
      <c r="AM3920">
        <v>71.534774177784996</v>
      </c>
      <c r="AN3920">
        <v>0.99999998185496897</v>
      </c>
    </row>
    <row r="3921" spans="1:40" x14ac:dyDescent="0.25">
      <c r="A3921" t="str">
        <f>"20190312164105697"</f>
        <v>20190312164105697</v>
      </c>
      <c r="B3921" t="str">
        <f>"1552380065690332"</f>
        <v>1552380065690332</v>
      </c>
      <c r="C3921" t="s">
        <v>40</v>
      </c>
      <c r="D3921">
        <v>5.9936730000000003</v>
      </c>
      <c r="E3921">
        <v>0.50976469999999996</v>
      </c>
      <c r="F3921" t="s">
        <v>46</v>
      </c>
      <c r="G3921">
        <v>-197.09190000000001</v>
      </c>
      <c r="H3921" s="1">
        <v>3.6219579999999999E-6</v>
      </c>
      <c r="I3921">
        <v>207.81039999999999</v>
      </c>
      <c r="J3921">
        <v>-207.83869999999999</v>
      </c>
      <c r="K3921">
        <v>1.109354</v>
      </c>
      <c r="L3921">
        <v>213.1387</v>
      </c>
      <c r="M3921">
        <v>0.98860570000000003</v>
      </c>
      <c r="N3921">
        <v>0</v>
      </c>
      <c r="O3921">
        <v>-0.1495369</v>
      </c>
      <c r="P3921">
        <v>0.88222929999999999</v>
      </c>
      <c r="Q3921">
        <v>0.13305220000000001</v>
      </c>
      <c r="R3921">
        <v>-0.45162839999999999</v>
      </c>
      <c r="S3921">
        <v>2.7535099999999999</v>
      </c>
      <c r="T3921">
        <v>-0.27852549999999998</v>
      </c>
      <c r="U3921">
        <v>-1.3468020000000001</v>
      </c>
      <c r="V3921">
        <v>0.31517079999999997</v>
      </c>
      <c r="W3921">
        <v>0.14803759999999999</v>
      </c>
      <c r="X3921">
        <v>0.93741790000000003</v>
      </c>
      <c r="Y3921">
        <v>0.29947780000000002</v>
      </c>
      <c r="Z3921">
        <v>-1.7891819999999901E-4</v>
      </c>
      <c r="AA3921">
        <v>0.95410329999999999</v>
      </c>
      <c r="AB3921">
        <v>22</v>
      </c>
      <c r="AC3921">
        <v>10.746799999999901</v>
      </c>
      <c r="AD3921">
        <v>-1.109350378042</v>
      </c>
      <c r="AE3921">
        <v>-5.3283000000000103</v>
      </c>
      <c r="AF3921">
        <v>3.6300410953522699</v>
      </c>
      <c r="AG3921">
        <v>-1.109350378042</v>
      </c>
      <c r="AH3921">
        <v>11.3259524002086</v>
      </c>
      <c r="AI3921">
        <v>95.328787568497702</v>
      </c>
      <c r="AJ3921">
        <v>72.229008807777404</v>
      </c>
      <c r="AK3921">
        <v>11.945084946830599</v>
      </c>
      <c r="AL3921">
        <v>81.486780666111599</v>
      </c>
      <c r="AM3921">
        <v>71.416756741302095</v>
      </c>
      <c r="AN3921">
        <v>1.0000000417134001</v>
      </c>
    </row>
    <row r="3922" spans="1:40" x14ac:dyDescent="0.25">
      <c r="A3922" t="str">
        <f>"20190312164105719"</f>
        <v>20190312164105719</v>
      </c>
      <c r="B3922" t="str">
        <f>"1552380065709852"</f>
        <v>1552380065709852</v>
      </c>
      <c r="C3922" t="s">
        <v>40</v>
      </c>
      <c r="D3922">
        <v>5.6601269999999904</v>
      </c>
      <c r="E3922">
        <v>0.50975079999999995</v>
      </c>
      <c r="F3922" t="s">
        <v>46</v>
      </c>
      <c r="G3922">
        <v>-197.02529999999999</v>
      </c>
      <c r="H3922" s="1">
        <v>3.6404950000000002E-6</v>
      </c>
      <c r="I3922">
        <v>207.785</v>
      </c>
      <c r="J3922">
        <v>-207.62729999999999</v>
      </c>
      <c r="K3922">
        <v>1.109305</v>
      </c>
      <c r="L3922">
        <v>213.1035</v>
      </c>
      <c r="M3922">
        <v>0.98820280000000005</v>
      </c>
      <c r="N3922">
        <v>0</v>
      </c>
      <c r="O3922">
        <v>-0.152256</v>
      </c>
      <c r="P3922">
        <v>0.88031199999999998</v>
      </c>
      <c r="Q3922">
        <v>0.13224320000000001</v>
      </c>
      <c r="R3922">
        <v>-0.4555902</v>
      </c>
      <c r="S3922">
        <v>2.7468110000000001</v>
      </c>
      <c r="T3922">
        <v>-0.28179480000000001</v>
      </c>
      <c r="U3922">
        <v>-1.359955</v>
      </c>
      <c r="V3922">
        <v>0.31679299999999999</v>
      </c>
      <c r="W3922">
        <v>0.14653869999999999</v>
      </c>
      <c r="X3922">
        <v>0.93710649999999995</v>
      </c>
      <c r="Y3922">
        <v>0.3014368</v>
      </c>
      <c r="Z3922" s="1">
        <v>-2.1163369999999999E-5</v>
      </c>
      <c r="AA3922">
        <v>0.95348619999999995</v>
      </c>
      <c r="AB3922">
        <v>21</v>
      </c>
      <c r="AC3922">
        <v>10.602</v>
      </c>
      <c r="AD3922">
        <v>-1.1093013595049901</v>
      </c>
      <c r="AE3922">
        <v>-5.3185000000000002</v>
      </c>
      <c r="AF3922">
        <v>3.6104570297663199</v>
      </c>
      <c r="AG3922">
        <v>-1.1093013595049901</v>
      </c>
      <c r="AH3922">
        <v>11.1903647916154</v>
      </c>
      <c r="AI3922">
        <v>95.389406278119694</v>
      </c>
      <c r="AJ3922">
        <v>72.1182337129666</v>
      </c>
      <c r="AK3922">
        <v>11.8105975140724</v>
      </c>
      <c r="AL3922">
        <v>81.573607883796399</v>
      </c>
      <c r="AM3922">
        <v>71.321948133255106</v>
      </c>
      <c r="AN3922">
        <v>0.99999999389446903</v>
      </c>
    </row>
    <row r="3923" spans="1:40" x14ac:dyDescent="0.25">
      <c r="A3923" t="str">
        <f>"20190312164105743"</f>
        <v>20190312164105743</v>
      </c>
      <c r="B3923" t="str">
        <f>"1552380065730349"</f>
        <v>1552380065730349</v>
      </c>
      <c r="C3923" t="s">
        <v>40</v>
      </c>
      <c r="D3923">
        <v>5.5882129999999997</v>
      </c>
      <c r="E3923">
        <v>0.50975420000000005</v>
      </c>
      <c r="F3923" t="s">
        <v>46</v>
      </c>
      <c r="G3923">
        <v>-196.9478</v>
      </c>
      <c r="H3923" s="1">
        <v>3.6620670000000002E-6</v>
      </c>
      <c r="I3923">
        <v>207.75540000000001</v>
      </c>
      <c r="J3923">
        <v>-207.40190000000001</v>
      </c>
      <c r="K3923">
        <v>1.1092580000000001</v>
      </c>
      <c r="L3923">
        <v>213.06530000000001</v>
      </c>
      <c r="M3923">
        <v>0.98776370000000002</v>
      </c>
      <c r="N3923">
        <v>0</v>
      </c>
      <c r="O3923">
        <v>-0.15514549999999999</v>
      </c>
      <c r="P3923">
        <v>0.87849339999999998</v>
      </c>
      <c r="Q3923">
        <v>0.1310963</v>
      </c>
      <c r="R3923">
        <v>-0.45941599999999999</v>
      </c>
      <c r="S3923">
        <v>2.740402</v>
      </c>
      <c r="T3923">
        <v>-0.28465249999999997</v>
      </c>
      <c r="U3923">
        <v>-1.37236</v>
      </c>
      <c r="V3923">
        <v>0.318106</v>
      </c>
      <c r="W3923">
        <v>0.1447725</v>
      </c>
      <c r="X3923">
        <v>0.93693630000000006</v>
      </c>
      <c r="Y3923">
        <v>0.30298540000000002</v>
      </c>
      <c r="Z3923">
        <v>1.765816E-4</v>
      </c>
      <c r="AA3923">
        <v>0.95299520000000004</v>
      </c>
      <c r="AB3923">
        <v>22</v>
      </c>
      <c r="AC3923">
        <v>10.4541</v>
      </c>
      <c r="AD3923">
        <v>-1.109254337933</v>
      </c>
      <c r="AE3923">
        <v>-5.3098999999999901</v>
      </c>
      <c r="AF3923">
        <v>3.5913361604513501</v>
      </c>
      <c r="AG3923">
        <v>-1.109254337933</v>
      </c>
      <c r="AH3923">
        <v>11.0524796230295</v>
      </c>
      <c r="AI3923">
        <v>95.452362249634007</v>
      </c>
      <c r="AJ3923">
        <v>71.9992130162384</v>
      </c>
      <c r="AK3923">
        <v>11.674135789045399</v>
      </c>
      <c r="AL3923">
        <v>81.675895169381803</v>
      </c>
      <c r="AM3923">
        <v>71.246765816726494</v>
      </c>
      <c r="AN3923">
        <v>1.00000006712496</v>
      </c>
    </row>
    <row r="3924" spans="1:40" x14ac:dyDescent="0.25">
      <c r="A3924" t="str">
        <f>"20190312164105763"</f>
        <v>20190312164105763</v>
      </c>
      <c r="B3924" t="str">
        <f>"1552380065760605"</f>
        <v>1552380065760605</v>
      </c>
      <c r="C3924" t="s">
        <v>40</v>
      </c>
      <c r="D3924">
        <v>5.4445300000000003</v>
      </c>
      <c r="E3924">
        <v>0.50972870000000003</v>
      </c>
      <c r="F3924" t="s">
        <v>46</v>
      </c>
      <c r="G3924">
        <v>-196.89230000000001</v>
      </c>
      <c r="H3924" s="1">
        <v>3.6754130000000001E-6</v>
      </c>
      <c r="I3924">
        <v>207.7422</v>
      </c>
      <c r="J3924">
        <v>-207.20590000000001</v>
      </c>
      <c r="K3924">
        <v>1.109246</v>
      </c>
      <c r="L3924">
        <v>213.03149999999999</v>
      </c>
      <c r="M3924">
        <v>0.98737189999999997</v>
      </c>
      <c r="N3924">
        <v>0</v>
      </c>
      <c r="O3924">
        <v>-0.1576679</v>
      </c>
      <c r="P3924">
        <v>0.87698609999999899</v>
      </c>
      <c r="Q3924">
        <v>0.1299776</v>
      </c>
      <c r="R3924">
        <v>-0.46260279999999998</v>
      </c>
      <c r="S3924">
        <v>2.7338559999999998</v>
      </c>
      <c r="T3924">
        <v>-0.28854790000000002</v>
      </c>
      <c r="U3924">
        <v>-1.3846889999999901</v>
      </c>
      <c r="V3924">
        <v>0.31908880000000001</v>
      </c>
      <c r="W3924">
        <v>0.14319509999999999</v>
      </c>
      <c r="X3924">
        <v>0.93684449999999997</v>
      </c>
      <c r="Y3924">
        <v>0.304876599999999</v>
      </c>
      <c r="Z3924">
        <v>3.2741299999999998E-4</v>
      </c>
      <c r="AA3924">
        <v>0.95239180000000001</v>
      </c>
      <c r="AB3924">
        <v>22</v>
      </c>
      <c r="AC3924">
        <v>10.313599999999999</v>
      </c>
      <c r="AD3924">
        <v>-1.109242324587</v>
      </c>
      <c r="AE3924">
        <v>-5.2892999999999901</v>
      </c>
      <c r="AF3924">
        <v>3.5641673418459399</v>
      </c>
      <c r="AG3924">
        <v>-1.109242324587</v>
      </c>
      <c r="AH3924">
        <v>10.918622247783</v>
      </c>
      <c r="AI3924">
        <v>95.516321893694297</v>
      </c>
      <c r="AJ3924">
        <v>71.921756982519796</v>
      </c>
      <c r="AK3924">
        <v>11.5390649172764</v>
      </c>
      <c r="AL3924">
        <v>81.767225115577006</v>
      </c>
      <c r="AM3924">
        <v>71.191181118541607</v>
      </c>
      <c r="AN3924">
        <v>1.00000005806484</v>
      </c>
    </row>
    <row r="3925" spans="1:40" x14ac:dyDescent="0.25">
      <c r="A3925" t="str">
        <f>"20190312164105785"</f>
        <v>20190312164105785</v>
      </c>
      <c r="B3925" t="str">
        <f>"1552380065780124"</f>
        <v>1552380065780124</v>
      </c>
      <c r="C3925" t="s">
        <v>40</v>
      </c>
      <c r="D3925">
        <v>5.6017859999999997</v>
      </c>
      <c r="E3925">
        <v>0.50969070000000005</v>
      </c>
      <c r="F3925" t="s">
        <v>46</v>
      </c>
      <c r="G3925">
        <v>-196.86080000000001</v>
      </c>
      <c r="H3925" s="1">
        <v>3.6802980000000001E-6</v>
      </c>
      <c r="I3925">
        <v>207.7448</v>
      </c>
      <c r="J3925">
        <v>-206.99090000000001</v>
      </c>
      <c r="K3925">
        <v>1.1092390000000001</v>
      </c>
      <c r="L3925">
        <v>212.99379999999999</v>
      </c>
      <c r="M3925">
        <v>0.98693039999999999</v>
      </c>
      <c r="N3925">
        <v>0</v>
      </c>
      <c r="O3925">
        <v>-0.1604507</v>
      </c>
      <c r="P3925">
        <v>0.87480650000000004</v>
      </c>
      <c r="Q3925">
        <v>0.1302712</v>
      </c>
      <c r="R3925">
        <v>-0.46662999999999999</v>
      </c>
      <c r="S3925">
        <v>2.728653</v>
      </c>
      <c r="T3925">
        <v>-0.29257729999999998</v>
      </c>
      <c r="U3925">
        <v>-1.3944240000000001</v>
      </c>
      <c r="V3925">
        <v>0.32076700000000002</v>
      </c>
      <c r="W3925">
        <v>0.143044</v>
      </c>
      <c r="X3925">
        <v>0.93629430000000002</v>
      </c>
      <c r="Y3925">
        <v>0.30561359999999999</v>
      </c>
      <c r="Z3925">
        <v>5.6641269999999999E-4</v>
      </c>
      <c r="AA3925">
        <v>0.95215550000000004</v>
      </c>
      <c r="AB3925">
        <v>21</v>
      </c>
      <c r="AC3925">
        <v>10.130100000000001</v>
      </c>
      <c r="AD3925">
        <v>-1.109235319702</v>
      </c>
      <c r="AE3925">
        <v>-5.2489999999999899</v>
      </c>
      <c r="AF3925">
        <v>3.52212234671026</v>
      </c>
      <c r="AG3925">
        <v>-1.109235319702</v>
      </c>
      <c r="AH3925">
        <v>10.739610360675499</v>
      </c>
      <c r="AI3925">
        <v>95.605140903222093</v>
      </c>
      <c r="AJ3925">
        <v>71.842772737527994</v>
      </c>
      <c r="AK3925">
        <v>11.3567151729186</v>
      </c>
      <c r="AL3925">
        <v>81.775972369528304</v>
      </c>
      <c r="AM3925">
        <v>71.088946852202596</v>
      </c>
      <c r="AN3925">
        <v>1.0000000352187399</v>
      </c>
    </row>
    <row r="3926" spans="1:40" x14ac:dyDescent="0.25">
      <c r="A3926" t="str">
        <f>"20190312164105808"</f>
        <v>20190312164105808</v>
      </c>
      <c r="B3926" t="str">
        <f>"1552380065800621"</f>
        <v>1552380065800621</v>
      </c>
      <c r="C3926" t="s">
        <v>40</v>
      </c>
      <c r="D3926">
        <v>5.6803169999999996</v>
      </c>
      <c r="E3926">
        <v>0.50965490000000002</v>
      </c>
      <c r="F3926" t="s">
        <v>46</v>
      </c>
      <c r="G3926">
        <v>-196.642</v>
      </c>
      <c r="H3926" s="1">
        <v>3.7455859999999998E-6</v>
      </c>
      <c r="I3926">
        <v>207.64490000000001</v>
      </c>
      <c r="J3926">
        <v>-206.7807</v>
      </c>
      <c r="K3926">
        <v>1.109224</v>
      </c>
      <c r="L3926">
        <v>212.9564</v>
      </c>
      <c r="M3926">
        <v>0.98648769999999997</v>
      </c>
      <c r="N3926">
        <v>0</v>
      </c>
      <c r="O3926">
        <v>-0.163186</v>
      </c>
      <c r="P3926">
        <v>0.87285079999999904</v>
      </c>
      <c r="Q3926">
        <v>0.12987460000000001</v>
      </c>
      <c r="R3926">
        <v>-0.47038740000000001</v>
      </c>
      <c r="S3926">
        <v>2.7222599999999999</v>
      </c>
      <c r="T3926">
        <v>-0.2917807</v>
      </c>
      <c r="U3926">
        <v>-1.4070129999999901</v>
      </c>
      <c r="V3926">
        <v>0.32218980000000003</v>
      </c>
      <c r="W3926">
        <v>0.1422696</v>
      </c>
      <c r="X3926">
        <v>0.93592370000000003</v>
      </c>
      <c r="Y3926">
        <v>0.30736910000000001</v>
      </c>
      <c r="Z3926">
        <v>7.427884E-4</v>
      </c>
      <c r="AA3926">
        <v>0.95159009999999999</v>
      </c>
      <c r="AB3926">
        <v>21</v>
      </c>
      <c r="AC3926">
        <v>10.1387</v>
      </c>
      <c r="AD3926">
        <v>-1.109220254414</v>
      </c>
      <c r="AE3926">
        <v>-5.3114999999999899</v>
      </c>
      <c r="AF3926">
        <v>3.5522543311724402</v>
      </c>
      <c r="AG3926">
        <v>-1.109220254414</v>
      </c>
      <c r="AH3926">
        <v>10.7684844288638</v>
      </c>
      <c r="AI3926">
        <v>95.586968859174107</v>
      </c>
      <c r="AJ3926">
        <v>71.7435663817229</v>
      </c>
      <c r="AK3926">
        <v>11.3933812935765</v>
      </c>
      <c r="AL3926">
        <v>81.820800748799797</v>
      </c>
      <c r="AM3926">
        <v>71.004081497075006</v>
      </c>
      <c r="AN3926">
        <v>1.00000003926494</v>
      </c>
    </row>
    <row r="3927" spans="1:40" x14ac:dyDescent="0.25">
      <c r="A3927" t="str">
        <f>"20190312164105829"</f>
        <v>20190312164105829</v>
      </c>
      <c r="B3927" t="str">
        <f>"1552380065820141"</f>
        <v>1552380065820141</v>
      </c>
      <c r="C3927" t="s">
        <v>40</v>
      </c>
      <c r="D3927">
        <v>5.716736</v>
      </c>
      <c r="E3927">
        <v>0.50963009999999997</v>
      </c>
      <c r="F3927" t="s">
        <v>46</v>
      </c>
      <c r="G3927">
        <v>-196.51599999999999</v>
      </c>
      <c r="H3927" s="1">
        <v>3.781512E-6</v>
      </c>
      <c r="I3927">
        <v>207.59360000000001</v>
      </c>
      <c r="J3927">
        <v>-206.5711</v>
      </c>
      <c r="K3927">
        <v>1.1092059999999999</v>
      </c>
      <c r="L3927">
        <v>212.91839999999999</v>
      </c>
      <c r="M3927">
        <v>0.98603640000000004</v>
      </c>
      <c r="N3927">
        <v>0</v>
      </c>
      <c r="O3927">
        <v>-0.1659207</v>
      </c>
      <c r="P3927">
        <v>0.87093659999999995</v>
      </c>
      <c r="Q3927">
        <v>0.12825919999999999</v>
      </c>
      <c r="R3927">
        <v>-0.47436220000000001</v>
      </c>
      <c r="S3927">
        <v>2.7159879999999998</v>
      </c>
      <c r="T3927">
        <v>-0.29349639999999999</v>
      </c>
      <c r="U3927">
        <v>-1.418976</v>
      </c>
      <c r="V3927">
        <v>0.32381949999999998</v>
      </c>
      <c r="W3927">
        <v>0.1403247</v>
      </c>
      <c r="X3927">
        <v>0.93565480000000001</v>
      </c>
      <c r="Y3927">
        <v>0.3089228</v>
      </c>
      <c r="Z3927">
        <v>9.3642720000000005E-4</v>
      </c>
      <c r="AA3927">
        <v>0.9510866</v>
      </c>
      <c r="AB3927">
        <v>21</v>
      </c>
      <c r="AC3927">
        <v>10.055099999999999</v>
      </c>
      <c r="AD3927">
        <v>-1.1092022184879999</v>
      </c>
      <c r="AE3927">
        <v>-5.3247999999999802</v>
      </c>
      <c r="AF3927">
        <v>3.5487342493438301</v>
      </c>
      <c r="AG3927">
        <v>-1.1092022184879999</v>
      </c>
      <c r="AH3927">
        <v>10.697616359601399</v>
      </c>
      <c r="AI3927">
        <v>95.620561461201106</v>
      </c>
      <c r="AJ3927">
        <v>71.647701290629698</v>
      </c>
      <c r="AK3927">
        <v>11.3253185434749</v>
      </c>
      <c r="AL3927">
        <v>81.933364312679501</v>
      </c>
      <c r="AM3927">
        <v>70.909844192381101</v>
      </c>
      <c r="AN3927">
        <v>0.99999999738668999</v>
      </c>
    </row>
    <row r="3928" spans="1:40" x14ac:dyDescent="0.25">
      <c r="A3928" t="str">
        <f>"20190312164105852"</f>
        <v>20190312164105852</v>
      </c>
      <c r="B3928" t="str">
        <f>"1552380065839661"</f>
        <v>1552380065839661</v>
      </c>
      <c r="C3928" t="s">
        <v>40</v>
      </c>
      <c r="D3928">
        <v>5.6527190000000003</v>
      </c>
      <c r="E3928">
        <v>0.50956670000000004</v>
      </c>
      <c r="F3928" t="s">
        <v>46</v>
      </c>
      <c r="G3928">
        <v>-196.51560000000001</v>
      </c>
      <c r="H3928" s="1">
        <v>3.778656E-6</v>
      </c>
      <c r="I3928">
        <v>207.60470000000001</v>
      </c>
      <c r="J3928">
        <v>-206.36150000000001</v>
      </c>
      <c r="K3928">
        <v>1.1091740000000001</v>
      </c>
      <c r="L3928">
        <v>212.87979999999999</v>
      </c>
      <c r="M3928">
        <v>0.98557410000000001</v>
      </c>
      <c r="N3928">
        <v>0</v>
      </c>
      <c r="O3928">
        <v>-0.1686686</v>
      </c>
      <c r="P3928">
        <v>0.86945930000000005</v>
      </c>
      <c r="Q3928">
        <v>0.12506120000000001</v>
      </c>
      <c r="R3928">
        <v>-0.47791280000000003</v>
      </c>
      <c r="S3928">
        <v>2.7089080000000001</v>
      </c>
      <c r="T3928">
        <v>-0.2988132</v>
      </c>
      <c r="U3928">
        <v>-1.4314880000000001</v>
      </c>
      <c r="V3928">
        <v>0.3249438</v>
      </c>
      <c r="W3928">
        <v>0.13684289999999999</v>
      </c>
      <c r="X3928">
        <v>0.93578070000000002</v>
      </c>
      <c r="Y3928">
        <v>0.3107124</v>
      </c>
      <c r="Z3928">
        <v>1.1354399999999999E-3</v>
      </c>
      <c r="AA3928">
        <v>0.95050330000000005</v>
      </c>
      <c r="AB3928">
        <v>21</v>
      </c>
      <c r="AC3928">
        <v>9.8459000000000003</v>
      </c>
      <c r="AD3928">
        <v>-1.10917022134399</v>
      </c>
      <c r="AE3928">
        <v>-5.2750999999999797</v>
      </c>
      <c r="AF3928">
        <v>3.50410048082253</v>
      </c>
      <c r="AG3928">
        <v>-1.10917022134399</v>
      </c>
      <c r="AH3928">
        <v>10.4911919791336</v>
      </c>
      <c r="AI3928">
        <v>95.726382908866796</v>
      </c>
      <c r="AJ3928">
        <v>71.530472464772501</v>
      </c>
      <c r="AK3928">
        <v>11.1163882580024</v>
      </c>
      <c r="AL3928">
        <v>82.134800489579206</v>
      </c>
      <c r="AM3928">
        <v>70.850772705225495</v>
      </c>
      <c r="AN3928">
        <v>0.99999998546566904</v>
      </c>
    </row>
    <row r="3929" spans="1:40" x14ac:dyDescent="0.25">
      <c r="A3929" t="str">
        <f>"20190312164105875"</f>
        <v>20190312164105875</v>
      </c>
      <c r="B3929" t="str">
        <f>"1552380065869917"</f>
        <v>1552380065869917</v>
      </c>
      <c r="C3929" t="s">
        <v>40</v>
      </c>
      <c r="D3929">
        <v>5.5785970000000002</v>
      </c>
      <c r="E3929">
        <v>0.50952509999999995</v>
      </c>
      <c r="F3929" t="s">
        <v>46</v>
      </c>
      <c r="G3929">
        <v>-196.6507</v>
      </c>
      <c r="H3929" s="1">
        <v>3.7296269999999999E-6</v>
      </c>
      <c r="I3929">
        <v>207.69929999999999</v>
      </c>
      <c r="J3929">
        <v>-206.13800000000001</v>
      </c>
      <c r="K3929">
        <v>1.1091279999999999</v>
      </c>
      <c r="L3929">
        <v>212.8381</v>
      </c>
      <c r="M3929">
        <v>0.98506780000000005</v>
      </c>
      <c r="N3929">
        <v>0</v>
      </c>
      <c r="O3929">
        <v>-0.17162230000000001</v>
      </c>
      <c r="P3929">
        <v>0.86823099999999998</v>
      </c>
      <c r="Q3929">
        <v>0.12135460000000001</v>
      </c>
      <c r="R3929">
        <v>-0.48109089999999999</v>
      </c>
      <c r="S3929">
        <v>2.7023929999999998</v>
      </c>
      <c r="T3929">
        <v>-0.30866929999999998</v>
      </c>
      <c r="U3929">
        <v>-1.441681</v>
      </c>
      <c r="V3929">
        <v>0.32546399999999998</v>
      </c>
      <c r="W3929">
        <v>0.13287449999999901</v>
      </c>
      <c r="X3929">
        <v>0.9361718</v>
      </c>
      <c r="Y3929">
        <v>0.31157020000000002</v>
      </c>
      <c r="Z3929">
        <v>1.4322979999999901E-3</v>
      </c>
      <c r="AA3929">
        <v>0.95022209999999996</v>
      </c>
      <c r="AB3929">
        <v>21</v>
      </c>
      <c r="AC3929">
        <v>9.4872999999999994</v>
      </c>
      <c r="AD3929">
        <v>-1.109124270373</v>
      </c>
      <c r="AE3929">
        <v>-5.1387999999999998</v>
      </c>
      <c r="AF3929">
        <v>3.3982467360493098</v>
      </c>
      <c r="AG3929">
        <v>-1.109124270373</v>
      </c>
      <c r="AH3929">
        <v>10.1215703864238</v>
      </c>
      <c r="AI3929">
        <v>95.930705758822697</v>
      </c>
      <c r="AJ3929">
        <v>71.440882097392503</v>
      </c>
      <c r="AK3929">
        <v>10.734264046199501</v>
      </c>
      <c r="AL3929">
        <v>82.3642699069445</v>
      </c>
      <c r="AM3929">
        <v>70.829781121141195</v>
      </c>
      <c r="AN3929">
        <v>1.0000000435807399</v>
      </c>
    </row>
    <row r="3930" spans="1:40" x14ac:dyDescent="0.25">
      <c r="A3930" t="str">
        <f>"20190312164105898"</f>
        <v>20190312164105898</v>
      </c>
      <c r="B3930" t="str">
        <f>"1552380065890413"</f>
        <v>1552380065890413</v>
      </c>
      <c r="C3930" t="s">
        <v>40</v>
      </c>
      <c r="D3930">
        <v>5.7165739999999996</v>
      </c>
      <c r="E3930">
        <v>0.50946670000000005</v>
      </c>
      <c r="F3930" t="s">
        <v>46</v>
      </c>
      <c r="G3930">
        <v>-196.8109</v>
      </c>
      <c r="H3930" s="1">
        <v>3.6693019999999998E-6</v>
      </c>
      <c r="I3930">
        <v>207.81979999999999</v>
      </c>
      <c r="J3930">
        <v>-205.93090000000001</v>
      </c>
      <c r="K3930">
        <v>1.10907</v>
      </c>
      <c r="L3930">
        <v>212.7987</v>
      </c>
      <c r="M3930">
        <v>0.98458389999999996</v>
      </c>
      <c r="N3930">
        <v>0</v>
      </c>
      <c r="O3930">
        <v>-0.17439370000000001</v>
      </c>
      <c r="P3930">
        <v>0.86673679999999997</v>
      </c>
      <c r="Q3930">
        <v>0.118862</v>
      </c>
      <c r="R3930">
        <v>-0.48439569999999998</v>
      </c>
      <c r="S3930">
        <v>2.6962890000000002</v>
      </c>
      <c r="T3930">
        <v>-0.32062889999999999</v>
      </c>
      <c r="U3930">
        <v>-1.450699</v>
      </c>
      <c r="V3930">
        <v>0.32633669999999998</v>
      </c>
      <c r="W3930">
        <v>0.13016459999999999</v>
      </c>
      <c r="X3930">
        <v>0.93624870000000004</v>
      </c>
      <c r="Y3930">
        <v>0.31221300000000002</v>
      </c>
      <c r="Z3930">
        <v>1.7499099999999999E-3</v>
      </c>
      <c r="AA3930">
        <v>0.95001049999999998</v>
      </c>
      <c r="AB3930">
        <v>21</v>
      </c>
      <c r="AC3930">
        <v>9.1199999999999992</v>
      </c>
      <c r="AD3930">
        <v>-1.109066330698</v>
      </c>
      <c r="AE3930">
        <v>-4.9789000000000003</v>
      </c>
      <c r="AF3930">
        <v>3.2746664596130199</v>
      </c>
      <c r="AG3930">
        <v>-1.109066330698</v>
      </c>
      <c r="AH3930">
        <v>9.7376465265392902</v>
      </c>
      <c r="AI3930">
        <v>96.161440708326296</v>
      </c>
      <c r="AJ3930">
        <v>71.412757950919996</v>
      </c>
      <c r="AK3930">
        <v>10.3332099767412</v>
      </c>
      <c r="AL3930">
        <v>82.520896329399704</v>
      </c>
      <c r="AM3930">
        <v>70.783605842496598</v>
      </c>
      <c r="AN3930">
        <v>1.0000000465558601</v>
      </c>
    </row>
    <row r="3931" spans="1:40" x14ac:dyDescent="0.25">
      <c r="A3931" t="str">
        <f>"20190312164105920"</f>
        <v>20190312164105920</v>
      </c>
      <c r="B3931" t="str">
        <f>"1552380065909933"</f>
        <v>1552380065909933</v>
      </c>
      <c r="C3931" t="s">
        <v>40</v>
      </c>
      <c r="D3931">
        <v>5.7552719999999997</v>
      </c>
      <c r="E3931">
        <v>0.50942029999999905</v>
      </c>
      <c r="F3931" t="s">
        <v>46</v>
      </c>
      <c r="G3931">
        <v>-196.85069999999999</v>
      </c>
      <c r="H3931" s="1">
        <v>3.6490589999999999E-6</v>
      </c>
      <c r="I3931">
        <v>207.86959999999999</v>
      </c>
      <c r="J3931">
        <v>-205.7227</v>
      </c>
      <c r="K3931">
        <v>1.1094580000000001</v>
      </c>
      <c r="L3931">
        <v>212.7585</v>
      </c>
      <c r="M3931">
        <v>0.98412809999999995</v>
      </c>
      <c r="N3931">
        <v>0</v>
      </c>
      <c r="O3931">
        <v>-0.1768757</v>
      </c>
      <c r="P3931">
        <v>0.86484459999999996</v>
      </c>
      <c r="Q3931">
        <v>0.11628049999999999</v>
      </c>
      <c r="R3931">
        <v>-0.48838819999999999</v>
      </c>
      <c r="S3931">
        <v>2.6901700000000002</v>
      </c>
      <c r="T3931">
        <v>-0.328580599999999</v>
      </c>
      <c r="U3931">
        <v>-1.460342</v>
      </c>
      <c r="V3931">
        <v>0.32818649999999999</v>
      </c>
      <c r="W3931">
        <v>0.12852759999999999</v>
      </c>
      <c r="X3931">
        <v>0.93582810000000005</v>
      </c>
      <c r="Y3931">
        <v>0.31332059999999901</v>
      </c>
      <c r="Z3931">
        <v>2.0040610000000001E-3</v>
      </c>
      <c r="AA3931">
        <v>0.94964530000000003</v>
      </c>
      <c r="AB3931">
        <v>21</v>
      </c>
      <c r="AC3931">
        <v>8.8720000000000105</v>
      </c>
      <c r="AD3931">
        <v>-1.109454350941</v>
      </c>
      <c r="AE3931">
        <v>-4.8888999999999996</v>
      </c>
      <c r="AF3931">
        <v>3.2039653230774299</v>
      </c>
      <c r="AG3931">
        <v>-1.109454350941</v>
      </c>
      <c r="AH3931">
        <v>9.4831509749513803</v>
      </c>
      <c r="AI3931">
        <v>96.3246841419476</v>
      </c>
      <c r="AJ3931">
        <v>71.332011444334299</v>
      </c>
      <c r="AK3931">
        <v>10.0710692164251</v>
      </c>
      <c r="AL3931">
        <v>82.615483600062603</v>
      </c>
      <c r="AM3931">
        <v>70.6746902382191</v>
      </c>
      <c r="AN3931">
        <v>0.99999997774680904</v>
      </c>
    </row>
    <row r="3932" spans="1:40" x14ac:dyDescent="0.25">
      <c r="A3932" t="str">
        <f>"20190312164105942"</f>
        <v>20190312164105942</v>
      </c>
      <c r="B3932" t="str">
        <f>"1552380065930429"</f>
        <v>1552380065930429</v>
      </c>
      <c r="C3932" t="s">
        <v>40</v>
      </c>
      <c r="D3932">
        <v>5.6611320000000003</v>
      </c>
      <c r="E3932">
        <v>0.50938899999999998</v>
      </c>
      <c r="F3932" t="s">
        <v>46</v>
      </c>
      <c r="G3932">
        <v>-196.87569999999999</v>
      </c>
      <c r="H3932" s="1">
        <v>3.6346330000000002E-6</v>
      </c>
      <c r="I3932">
        <v>207.90729999999999</v>
      </c>
      <c r="J3932">
        <v>-205.52520000000001</v>
      </c>
      <c r="K3932">
        <v>1.1100019999999999</v>
      </c>
      <c r="L3932">
        <v>212.7201</v>
      </c>
      <c r="M3932">
        <v>0.98371180000000003</v>
      </c>
      <c r="N3932">
        <v>0</v>
      </c>
      <c r="O3932">
        <v>-0.1790562</v>
      </c>
      <c r="P3932">
        <v>0.86286390000000002</v>
      </c>
      <c r="Q3932">
        <v>0.112831399999999</v>
      </c>
      <c r="R3932">
        <v>-0.4926816</v>
      </c>
      <c r="S3932">
        <v>2.6831969999999998</v>
      </c>
      <c r="T3932">
        <v>-0.33648230000000001</v>
      </c>
      <c r="U3932">
        <v>-1.471298</v>
      </c>
      <c r="V3932">
        <v>0.33061459999999998</v>
      </c>
      <c r="W3932">
        <v>0.12654879999999999</v>
      </c>
      <c r="X3932">
        <v>0.93524300000000005</v>
      </c>
      <c r="Y3932">
        <v>0.31519550000000002</v>
      </c>
      <c r="Z3932">
        <v>2.189739E-3</v>
      </c>
      <c r="AA3932">
        <v>0.94902430000000004</v>
      </c>
      <c r="AB3932">
        <v>21</v>
      </c>
      <c r="AC3932">
        <v>8.6495000000000104</v>
      </c>
      <c r="AD3932">
        <v>-1.109998365367</v>
      </c>
      <c r="AE3932">
        <v>-4.81280000000001</v>
      </c>
      <c r="AF3932">
        <v>3.14649147038332</v>
      </c>
      <c r="AG3932">
        <v>-1.109998365367</v>
      </c>
      <c r="AH3932">
        <v>9.2551611383539303</v>
      </c>
      <c r="AI3932">
        <v>96.478199238608099</v>
      </c>
      <c r="AJ3932">
        <v>71.223427986225502</v>
      </c>
      <c r="AK3932">
        <v>9.8382169442033192</v>
      </c>
      <c r="AL3932">
        <v>82.729794469369097</v>
      </c>
      <c r="AM3932">
        <v>70.531160961195397</v>
      </c>
      <c r="AN3932">
        <v>1.0000000407817899</v>
      </c>
    </row>
    <row r="3933" spans="1:40" x14ac:dyDescent="0.25">
      <c r="A3933" t="str">
        <f>"20190312164105964"</f>
        <v>20190312164105964</v>
      </c>
      <c r="B3933" t="str">
        <f>"1552380065959709"</f>
        <v>1552380065959709</v>
      </c>
      <c r="C3933" t="s">
        <v>40</v>
      </c>
      <c r="D3933">
        <v>5.578176</v>
      </c>
      <c r="E3933">
        <v>0.50933499999999998</v>
      </c>
      <c r="F3933" t="s">
        <v>46</v>
      </c>
      <c r="G3933">
        <v>-196.97479999999999</v>
      </c>
      <c r="H3933" s="1">
        <v>3.5967100000000001E-6</v>
      </c>
      <c r="I3933">
        <v>207.98410000000001</v>
      </c>
      <c r="J3933">
        <v>-205.3219</v>
      </c>
      <c r="K3933">
        <v>1.1105100000000001</v>
      </c>
      <c r="L3933">
        <v>212.68029999999999</v>
      </c>
      <c r="M3933">
        <v>0.98330090000000003</v>
      </c>
      <c r="N3933">
        <v>0</v>
      </c>
      <c r="O3933">
        <v>-0.1811431</v>
      </c>
      <c r="P3933">
        <v>0.86070740000000001</v>
      </c>
      <c r="Q3933">
        <v>0.10936989999999901</v>
      </c>
      <c r="R3933">
        <v>-0.49721349999999997</v>
      </c>
      <c r="S3933">
        <v>2.6759189999999999</v>
      </c>
      <c r="T3933">
        <v>-0.34738289999999999</v>
      </c>
      <c r="U3933">
        <v>-1.482162</v>
      </c>
      <c r="V3933">
        <v>0.33341079999999901</v>
      </c>
      <c r="W3933">
        <v>0.12479659999999999</v>
      </c>
      <c r="X3933">
        <v>0.93448540000000002</v>
      </c>
      <c r="Y3933">
        <v>0.31716369999999999</v>
      </c>
      <c r="Z3933">
        <v>2.3863970000000002E-3</v>
      </c>
      <c r="AA3933">
        <v>0.94836779999999998</v>
      </c>
      <c r="AB3933">
        <v>21</v>
      </c>
      <c r="AC3933">
        <v>8.34710000000001</v>
      </c>
      <c r="AD3933">
        <v>-1.1105064032900001</v>
      </c>
      <c r="AE3933">
        <v>-4.69619999999997</v>
      </c>
      <c r="AF3933">
        <v>3.0650270436818898</v>
      </c>
      <c r="AG3933">
        <v>-1.1105064032900001</v>
      </c>
      <c r="AH3933">
        <v>8.9395970716515905</v>
      </c>
      <c r="AI3933">
        <v>96.702003586742904</v>
      </c>
      <c r="AJ3933">
        <v>71.075227500838096</v>
      </c>
      <c r="AK3933">
        <v>9.5154616836878301</v>
      </c>
      <c r="AL3933">
        <v>82.830989852488798</v>
      </c>
      <c r="AM3933">
        <v>70.364339082869293</v>
      </c>
      <c r="AN3933">
        <v>0.99999995787067897</v>
      </c>
    </row>
    <row r="3934" spans="1:40" x14ac:dyDescent="0.25">
      <c r="A3934" t="str">
        <f>"20190312164105987"</f>
        <v>20190312164105987</v>
      </c>
      <c r="B3934" t="str">
        <f>"1552380065980209"</f>
        <v>1552380065980209</v>
      </c>
      <c r="C3934" t="s">
        <v>40</v>
      </c>
      <c r="D3934">
        <v>5.6834170000000004</v>
      </c>
      <c r="E3934">
        <v>0.50931499999999996</v>
      </c>
      <c r="F3934" t="s">
        <v>46</v>
      </c>
      <c r="G3934">
        <v>-197.04759999999999</v>
      </c>
      <c r="H3934" s="1">
        <v>3.5673480000000002E-6</v>
      </c>
      <c r="I3934">
        <v>208.0463</v>
      </c>
      <c r="J3934">
        <v>-205.12469999999999</v>
      </c>
      <c r="K3934">
        <v>1.110832</v>
      </c>
      <c r="L3934">
        <v>212.6412</v>
      </c>
      <c r="M3934">
        <v>0.98289409999999999</v>
      </c>
      <c r="N3934">
        <v>0</v>
      </c>
      <c r="O3934">
        <v>-0.1831701</v>
      </c>
      <c r="P3934">
        <v>0.8585081</v>
      </c>
      <c r="Q3934">
        <v>0.1066115</v>
      </c>
      <c r="R3934">
        <v>-0.50159540000000002</v>
      </c>
      <c r="S3934">
        <v>2.667862</v>
      </c>
      <c r="T3934">
        <v>-0.35805879999999901</v>
      </c>
      <c r="U3934">
        <v>-1.4941409999999999</v>
      </c>
      <c r="V3934">
        <v>0.33616629999999997</v>
      </c>
      <c r="W3934">
        <v>0.12361279999999999</v>
      </c>
      <c r="X3934">
        <v>0.93365529999999997</v>
      </c>
      <c r="Y3934">
        <v>0.31960470000000002</v>
      </c>
      <c r="Z3934">
        <v>2.5529709999999998E-3</v>
      </c>
      <c r="AA3934">
        <v>0.94754760000000005</v>
      </c>
      <c r="AB3934">
        <v>20</v>
      </c>
      <c r="AC3934">
        <v>8.0770999999999997</v>
      </c>
      <c r="AD3934">
        <v>-1.1108284326519999</v>
      </c>
      <c r="AE3934">
        <v>-4.5948999999999902</v>
      </c>
      <c r="AF3934">
        <v>2.99458442675156</v>
      </c>
      <c r="AG3934">
        <v>-1.1108284326519999</v>
      </c>
      <c r="AH3934">
        <v>8.6584722717953095</v>
      </c>
      <c r="AI3934">
        <v>96.913198115338403</v>
      </c>
      <c r="AJ3934">
        <v>70.921749658728103</v>
      </c>
      <c r="AK3934">
        <v>9.2287928667393597</v>
      </c>
      <c r="AL3934">
        <v>82.899346656620807</v>
      </c>
      <c r="AM3934">
        <v>70.198386073750001</v>
      </c>
      <c r="AN3934">
        <v>1.0000000623987999</v>
      </c>
    </row>
    <row r="3935" spans="1:40" x14ac:dyDescent="0.25">
      <c r="A3935" t="str">
        <f>"20190312164106008"</f>
        <v>20190312164106008</v>
      </c>
      <c r="B3935" t="str">
        <f>"1552380065999726"</f>
        <v>1552380065999726</v>
      </c>
      <c r="C3935" t="s">
        <v>40</v>
      </c>
      <c r="D3935">
        <v>5.7260489999999997</v>
      </c>
      <c r="E3935">
        <v>0.50929380000000002</v>
      </c>
      <c r="F3935" t="s">
        <v>46</v>
      </c>
      <c r="G3935">
        <v>-197.06280000000001</v>
      </c>
      <c r="H3935" s="1">
        <v>3.556287E-6</v>
      </c>
      <c r="I3935">
        <v>208.0778</v>
      </c>
      <c r="J3935">
        <v>-204.93719999999999</v>
      </c>
      <c r="K3935">
        <v>1.110706</v>
      </c>
      <c r="L3935">
        <v>212.6035</v>
      </c>
      <c r="M3935">
        <v>0.98242249999999998</v>
      </c>
      <c r="N3935">
        <v>0</v>
      </c>
      <c r="O3935">
        <v>-0.18559790000000001</v>
      </c>
      <c r="P3935">
        <v>0.85583619999999905</v>
      </c>
      <c r="Q3935">
        <v>0.1058115</v>
      </c>
      <c r="R3935">
        <v>-0.50630869999999994</v>
      </c>
      <c r="S3935">
        <v>2.660202</v>
      </c>
      <c r="T3935">
        <v>-0.36654110000000001</v>
      </c>
      <c r="U3935">
        <v>-1.5057830000000001</v>
      </c>
      <c r="V3935">
        <v>0.33901720000000002</v>
      </c>
      <c r="W3935">
        <v>0.1234335</v>
      </c>
      <c r="X3935">
        <v>0.93264760000000002</v>
      </c>
      <c r="Y3935">
        <v>0.32152760000000002</v>
      </c>
      <c r="Z3935">
        <v>2.7908830000000001E-3</v>
      </c>
      <c r="AA3935">
        <v>0.94689610000000002</v>
      </c>
      <c r="AB3935">
        <v>20</v>
      </c>
      <c r="AC3935">
        <v>7.8743999999999801</v>
      </c>
      <c r="AD3935">
        <v>-1.110702443713</v>
      </c>
      <c r="AE3935">
        <v>-4.5256999999999996</v>
      </c>
      <c r="AF3935">
        <v>2.9412850047025598</v>
      </c>
      <c r="AG3935">
        <v>-1.110702443713</v>
      </c>
      <c r="AH3935">
        <v>8.4512676836845504</v>
      </c>
      <c r="AI3935">
        <v>97.075483504421896</v>
      </c>
      <c r="AJ3935">
        <v>70.810628792306503</v>
      </c>
      <c r="AK3935">
        <v>9.0171360674356595</v>
      </c>
      <c r="AL3935">
        <v>82.909698756976695</v>
      </c>
      <c r="AM3935">
        <v>70.023805360667197</v>
      </c>
      <c r="AN3935">
        <v>1.00000001830192</v>
      </c>
    </row>
    <row r="3936" spans="1:40" x14ac:dyDescent="0.25">
      <c r="A3936" t="str">
        <f>"20190312164106031"</f>
        <v>20190312164106031</v>
      </c>
      <c r="B3936" t="str">
        <f>"1552380066020221"</f>
        <v>1552380066020221</v>
      </c>
      <c r="C3936" t="s">
        <v>40</v>
      </c>
      <c r="D3936">
        <v>5.6117809999999997</v>
      </c>
      <c r="E3936">
        <v>0.50927659999999997</v>
      </c>
      <c r="F3936" t="s">
        <v>46</v>
      </c>
      <c r="G3936">
        <v>-196.95849999999999</v>
      </c>
      <c r="H3936" s="1">
        <v>3.5869649999999998E-6</v>
      </c>
      <c r="I3936">
        <v>208.03190000000001</v>
      </c>
      <c r="J3936">
        <v>-204.73920000000001</v>
      </c>
      <c r="K3936">
        <v>1.109998</v>
      </c>
      <c r="L3936">
        <v>212.56280000000001</v>
      </c>
      <c r="M3936">
        <v>0.98186399999999996</v>
      </c>
      <c r="N3936">
        <v>0</v>
      </c>
      <c r="O3936">
        <v>-0.18859100000000001</v>
      </c>
      <c r="P3936">
        <v>0.85275759999999901</v>
      </c>
      <c r="Q3936">
        <v>0.1048999</v>
      </c>
      <c r="R3936">
        <v>-0.51166440000000002</v>
      </c>
      <c r="S3936">
        <v>2.6520229999999998</v>
      </c>
      <c r="T3936">
        <v>-0.36918459999999997</v>
      </c>
      <c r="U3936">
        <v>-1.519577</v>
      </c>
      <c r="V3936">
        <v>0.34210210000000002</v>
      </c>
      <c r="W3936">
        <v>0.1216749</v>
      </c>
      <c r="X3936">
        <v>0.93175180000000002</v>
      </c>
      <c r="Y3936">
        <v>0.323602</v>
      </c>
      <c r="Z3936">
        <v>3.049422E-3</v>
      </c>
      <c r="AA3936">
        <v>0.94618840000000004</v>
      </c>
      <c r="AB3936">
        <v>20</v>
      </c>
      <c r="AC3936">
        <v>7.7807000000000199</v>
      </c>
      <c r="AD3936">
        <v>-1.1099944130349999</v>
      </c>
      <c r="AE3936">
        <v>-4.5308999999999999</v>
      </c>
      <c r="AF3936">
        <v>2.9372778904933901</v>
      </c>
      <c r="AG3936">
        <v>-1.1099944130349999</v>
      </c>
      <c r="AH3936">
        <v>8.3684902980854492</v>
      </c>
      <c r="AI3936">
        <v>97.133723649138503</v>
      </c>
      <c r="AJ3936">
        <v>70.659305867831804</v>
      </c>
      <c r="AK3936">
        <v>8.9381943854506005</v>
      </c>
      <c r="AL3936">
        <v>83.011224474652593</v>
      </c>
      <c r="AM3936">
        <v>69.838778544819505</v>
      </c>
      <c r="AN3936">
        <v>1.0000000224588199</v>
      </c>
    </row>
    <row r="3937" spans="1:40" x14ac:dyDescent="0.25">
      <c r="A3937" t="str">
        <f>"20190312164106054"</f>
        <v>20190312164106054</v>
      </c>
      <c r="B3937" t="str">
        <f>"1552380066050478"</f>
        <v>1552380066050478</v>
      </c>
      <c r="C3937" t="s">
        <v>40</v>
      </c>
      <c r="D3937">
        <v>5.6558609999999998</v>
      </c>
      <c r="E3937">
        <v>0.53214110000000003</v>
      </c>
      <c r="F3937" t="s">
        <v>46</v>
      </c>
      <c r="G3937">
        <v>-196.8554</v>
      </c>
      <c r="H3937" s="1">
        <v>3.619706E-6</v>
      </c>
      <c r="I3937">
        <v>207.97730000000001</v>
      </c>
      <c r="J3937">
        <v>-204.53639999999999</v>
      </c>
      <c r="K3937">
        <v>1.1092569999999999</v>
      </c>
      <c r="L3937">
        <v>212.52</v>
      </c>
      <c r="M3937">
        <v>0.98130819999999996</v>
      </c>
      <c r="N3937">
        <v>0</v>
      </c>
      <c r="O3937">
        <v>-0.19156229999999999</v>
      </c>
      <c r="P3937">
        <v>0.84967039999999905</v>
      </c>
      <c r="Q3937">
        <v>0.1042059</v>
      </c>
      <c r="R3937">
        <v>-0.51691569999999998</v>
      </c>
      <c r="S3937">
        <v>2.6417999999999999</v>
      </c>
      <c r="T3937">
        <v>-0.3719481</v>
      </c>
      <c r="U3937">
        <v>-1.5365599999999999</v>
      </c>
      <c r="V3937">
        <v>0.345107</v>
      </c>
      <c r="W3937">
        <v>0.1197389</v>
      </c>
      <c r="X3937">
        <v>0.93089409999999895</v>
      </c>
      <c r="Y3937">
        <v>0.32685740000000002</v>
      </c>
      <c r="Z3937">
        <v>3.2333710000000001E-3</v>
      </c>
      <c r="AA3937">
        <v>0.94506809999999997</v>
      </c>
      <c r="AB3937">
        <v>20</v>
      </c>
      <c r="AC3937">
        <v>7.6809999999999796</v>
      </c>
      <c r="AD3937">
        <v>-1.1092533802939999</v>
      </c>
      <c r="AE3937">
        <v>-4.5426999999999902</v>
      </c>
      <c r="AF3937">
        <v>2.94145456522407</v>
      </c>
      <c r="AG3937">
        <v>-1.1092533802939999</v>
      </c>
      <c r="AH3937">
        <v>8.2811065751820294</v>
      </c>
      <c r="AI3937">
        <v>97.194039827859697</v>
      </c>
      <c r="AJ3937">
        <v>70.444927820639506</v>
      </c>
      <c r="AK3937">
        <v>8.8577268037851695</v>
      </c>
      <c r="AL3937">
        <v>83.122966243693796</v>
      </c>
      <c r="AM3937">
        <v>69.658927930197706</v>
      </c>
      <c r="AN3937">
        <v>1.0000000355184999</v>
      </c>
    </row>
    <row r="3938" spans="1:40" x14ac:dyDescent="0.25">
      <c r="A3938" t="str">
        <f>"20190312164106076"</f>
        <v>20190312164106076</v>
      </c>
      <c r="B3938" t="str">
        <f>"1552380066069997"</f>
        <v>1552380066069997</v>
      </c>
      <c r="C3938" t="s">
        <v>40</v>
      </c>
      <c r="D3938">
        <v>5.7691109999999997</v>
      </c>
      <c r="E3938">
        <v>0.53500459999999905</v>
      </c>
      <c r="F3938" t="s">
        <v>46</v>
      </c>
      <c r="G3938">
        <v>-195.47810000000001</v>
      </c>
      <c r="H3938" s="1">
        <v>4.3360009999999999E-6</v>
      </c>
      <c r="I3938">
        <v>206.36080000000001</v>
      </c>
      <c r="J3938">
        <v>-204.34180000000001</v>
      </c>
      <c r="K3938">
        <v>1.108962</v>
      </c>
      <c r="L3938">
        <v>212.47790000000001</v>
      </c>
      <c r="M3938">
        <v>0.98077780000000003</v>
      </c>
      <c r="N3938">
        <v>0</v>
      </c>
      <c r="O3938">
        <v>-0.19430210000000001</v>
      </c>
      <c r="P3938">
        <v>0.84595949999999998</v>
      </c>
      <c r="Q3938">
        <v>0.1019087</v>
      </c>
      <c r="R3938">
        <v>-0.52341859999999996</v>
      </c>
      <c r="S3938">
        <v>2.5244450000000001</v>
      </c>
      <c r="T3938">
        <v>-0.30913839999999998</v>
      </c>
      <c r="U3938">
        <v>-1.716507</v>
      </c>
      <c r="V3938">
        <v>0.34961769999999998</v>
      </c>
      <c r="W3938">
        <v>0.11689280000000001</v>
      </c>
      <c r="X3938">
        <v>0.9295717</v>
      </c>
      <c r="Y3938">
        <v>0.38988299999999998</v>
      </c>
      <c r="Z3938">
        <v>-4.8182900000000002E-4</v>
      </c>
      <c r="AA3938">
        <v>0.92086429999999997</v>
      </c>
      <c r="AB3938">
        <v>20</v>
      </c>
      <c r="AC3938">
        <v>8.8636999999999908</v>
      </c>
      <c r="AD3938">
        <v>-1.108957663999</v>
      </c>
      <c r="AE3938">
        <v>-6.11709999999999</v>
      </c>
      <c r="AF3938">
        <v>4.2330846305227396</v>
      </c>
      <c r="AG3938">
        <v>-1.108957663999</v>
      </c>
      <c r="AH3938">
        <v>9.7797793000566102</v>
      </c>
      <c r="AI3938">
        <v>95.940987451615001</v>
      </c>
      <c r="AJ3938">
        <v>66.595084320277195</v>
      </c>
      <c r="AK3938">
        <v>10.714143724419801</v>
      </c>
      <c r="AL3938">
        <v>83.287189103447801</v>
      </c>
      <c r="AM3938">
        <v>69.388407357858199</v>
      </c>
      <c r="AN3938">
        <v>1.0000000041430099</v>
      </c>
    </row>
    <row r="3939" spans="1:40" x14ac:dyDescent="0.25">
      <c r="A3939" t="str">
        <f>"20190312164106099"</f>
        <v>20190312164106099</v>
      </c>
      <c r="B3939" t="str">
        <f>"1552380066090493"</f>
        <v>1552380066090493</v>
      </c>
      <c r="C3939" t="s">
        <v>40</v>
      </c>
      <c r="D3939">
        <v>5.7667900000000003</v>
      </c>
      <c r="E3939">
        <v>0.53746640000000001</v>
      </c>
      <c r="F3939" t="s">
        <v>46</v>
      </c>
      <c r="G3939">
        <v>-195.25810000000001</v>
      </c>
      <c r="H3939" s="1">
        <v>4.4795330000000003E-6</v>
      </c>
      <c r="I3939">
        <v>206.09280000000001</v>
      </c>
      <c r="J3939">
        <v>-204.14429999999999</v>
      </c>
      <c r="K3939">
        <v>1.1089830000000001</v>
      </c>
      <c r="L3939">
        <v>212.43450000000001</v>
      </c>
      <c r="M3939">
        <v>0.98017880000000002</v>
      </c>
      <c r="N3939">
        <v>0</v>
      </c>
      <c r="O3939">
        <v>-0.19731370000000001</v>
      </c>
      <c r="P3939">
        <v>0.84259059999999897</v>
      </c>
      <c r="Q3939">
        <v>9.8139509999999999E-2</v>
      </c>
      <c r="R3939">
        <v>-0.52953790000000001</v>
      </c>
      <c r="S3939">
        <v>2.4970249999999998</v>
      </c>
      <c r="T3939">
        <v>-0.30484240000000001</v>
      </c>
      <c r="U3939">
        <v>-1.7552029999999901</v>
      </c>
      <c r="V3939">
        <v>0.35337299999999999</v>
      </c>
      <c r="W3939">
        <v>0.11305220000000001</v>
      </c>
      <c r="X3939">
        <v>0.92862619999999896</v>
      </c>
      <c r="Y3939">
        <v>0.40131280000000003</v>
      </c>
      <c r="Z3939">
        <v>-7.9669799999999998E-4</v>
      </c>
      <c r="AA3939">
        <v>0.91594070000000005</v>
      </c>
      <c r="AB3939">
        <v>20</v>
      </c>
      <c r="AC3939">
        <v>8.8861999999999703</v>
      </c>
      <c r="AD3939">
        <v>-1.108978520467</v>
      </c>
      <c r="AE3939">
        <v>-6.3417000000000003</v>
      </c>
      <c r="AF3939">
        <v>4.4177513211233803</v>
      </c>
      <c r="AG3939">
        <v>-1.108978520467</v>
      </c>
      <c r="AH3939">
        <v>9.8611901209552499</v>
      </c>
      <c r="AI3939">
        <v>95.859783549402195</v>
      </c>
      <c r="AJ3939">
        <v>65.867919714285094</v>
      </c>
      <c r="AK3939">
        <v>10.8622939886457</v>
      </c>
      <c r="AL3939">
        <v>83.508708017470994</v>
      </c>
      <c r="AM3939">
        <v>69.166523769543204</v>
      </c>
      <c r="AN3939">
        <v>0.99999994819013804</v>
      </c>
    </row>
    <row r="3940" spans="1:40" x14ac:dyDescent="0.25">
      <c r="A3940" t="str">
        <f>"20190312164106121"</f>
        <v>20190312164106121</v>
      </c>
      <c r="B3940" t="str">
        <f>"1552380066110013"</f>
        <v>1552380066110013</v>
      </c>
      <c r="C3940" t="s">
        <v>40</v>
      </c>
      <c r="D3940">
        <v>5.7154030000000002</v>
      </c>
      <c r="E3940">
        <v>0.53839530000000002</v>
      </c>
      <c r="F3940" t="s">
        <v>46</v>
      </c>
      <c r="G3940">
        <v>-195.48650000000001</v>
      </c>
      <c r="H3940" s="1">
        <v>4.3996640000000003E-6</v>
      </c>
      <c r="I3940">
        <v>206.1754</v>
      </c>
      <c r="J3940">
        <v>-203.95330000000001</v>
      </c>
      <c r="K3940">
        <v>1.109056</v>
      </c>
      <c r="L3940">
        <v>212.3921</v>
      </c>
      <c r="M3940">
        <v>0.97951010000000005</v>
      </c>
      <c r="N3940">
        <v>0</v>
      </c>
      <c r="O3940">
        <v>-0.2006347</v>
      </c>
      <c r="P3940">
        <v>0.83912679999999995</v>
      </c>
      <c r="Q3940">
        <v>9.5169450000000003E-2</v>
      </c>
      <c r="R3940">
        <v>-0.53554550000000001</v>
      </c>
      <c r="S3940">
        <v>2.4735260000000001</v>
      </c>
      <c r="T3940">
        <v>-0.316834</v>
      </c>
      <c r="U3940">
        <v>-1.788208</v>
      </c>
      <c r="V3940">
        <v>0.35673820000000001</v>
      </c>
      <c r="W3940">
        <v>0.1098987</v>
      </c>
      <c r="X3940">
        <v>0.92771769999999998</v>
      </c>
      <c r="Y3940">
        <v>0.4102363</v>
      </c>
      <c r="Z3940">
        <v>-9.8689270000000009E-4</v>
      </c>
      <c r="AA3940">
        <v>0.91197870000000003</v>
      </c>
      <c r="AB3940">
        <v>20</v>
      </c>
      <c r="AC3940">
        <v>8.4667999999999992</v>
      </c>
      <c r="AD3940">
        <v>-1.109051600336</v>
      </c>
      <c r="AE3940">
        <v>-6.2167000000000003</v>
      </c>
      <c r="AF3940">
        <v>4.3428440893866096</v>
      </c>
      <c r="AG3940">
        <v>-1.109051600336</v>
      </c>
      <c r="AH3940">
        <v>9.4368590161385999</v>
      </c>
      <c r="AI3940">
        <v>96.093858431012805</v>
      </c>
      <c r="AJ3940">
        <v>65.288104752834499</v>
      </c>
      <c r="AK3940">
        <v>10.447229217711399</v>
      </c>
      <c r="AL3940">
        <v>83.690523891905102</v>
      </c>
      <c r="AM3940">
        <v>68.966594117382499</v>
      </c>
      <c r="AN3940">
        <v>0.99999999924710903</v>
      </c>
    </row>
    <row r="3941" spans="1:40" x14ac:dyDescent="0.25">
      <c r="A3941" t="str">
        <f>"20190312164106148"</f>
        <v>20190312164106148</v>
      </c>
      <c r="B3941" t="str">
        <f>"1552380066140269"</f>
        <v>1552380066140269</v>
      </c>
      <c r="C3941" t="s">
        <v>40</v>
      </c>
      <c r="D3941">
        <v>5.7069279999999996</v>
      </c>
      <c r="E3941">
        <v>0.53858909999999904</v>
      </c>
      <c r="F3941" t="s">
        <v>46</v>
      </c>
      <c r="G3941">
        <v>-195.52619999999999</v>
      </c>
      <c r="H3941" s="1">
        <v>4.3906160000000004E-6</v>
      </c>
      <c r="I3941">
        <v>206.17609999999999</v>
      </c>
      <c r="J3941">
        <v>-203.72210000000001</v>
      </c>
      <c r="K3941">
        <v>1.1090199999999999</v>
      </c>
      <c r="L3941">
        <v>212.34020000000001</v>
      </c>
      <c r="M3941">
        <v>0.9786707</v>
      </c>
      <c r="N3941">
        <v>0</v>
      </c>
      <c r="O3941">
        <v>-0.20474210000000001</v>
      </c>
      <c r="P3941">
        <v>0.83531540000000004</v>
      </c>
      <c r="Q3941">
        <v>9.2703259999999996E-2</v>
      </c>
      <c r="R3941">
        <v>-0.54189900000000002</v>
      </c>
      <c r="S3941">
        <v>2.4557340000000001</v>
      </c>
      <c r="T3941">
        <v>-0.32318760000000002</v>
      </c>
      <c r="U3941">
        <v>-1.811401</v>
      </c>
      <c r="V3941">
        <v>0.35979339999999999</v>
      </c>
      <c r="W3941">
        <v>0.1069237</v>
      </c>
      <c r="X3941">
        <v>0.92688510000000002</v>
      </c>
      <c r="Y3941">
        <v>0.41508830000000002</v>
      </c>
      <c r="Z3941">
        <v>-8.4204970000000001E-4</v>
      </c>
      <c r="AA3941">
        <v>0.9097807</v>
      </c>
      <c r="AB3941">
        <v>20</v>
      </c>
      <c r="AC3941">
        <v>8.1959000000000195</v>
      </c>
      <c r="AD3941">
        <v>-1.109015609384</v>
      </c>
      <c r="AE3941">
        <v>-6.1641000000000101</v>
      </c>
      <c r="AF3941">
        <v>4.3048536507838504</v>
      </c>
      <c r="AG3941">
        <v>-1.109015609384</v>
      </c>
      <c r="AH3941">
        <v>9.1771344467246596</v>
      </c>
      <c r="AI3941">
        <v>96.243702366574098</v>
      </c>
      <c r="AJ3941">
        <v>64.869443349963007</v>
      </c>
      <c r="AK3941">
        <v>10.1971308332189</v>
      </c>
      <c r="AL3941">
        <v>83.861989368618097</v>
      </c>
      <c r="AM3941">
        <v>68.785044602973599</v>
      </c>
      <c r="AN3941">
        <v>0.99999997845362898</v>
      </c>
    </row>
    <row r="3942" spans="1:40" x14ac:dyDescent="0.25">
      <c r="A3942" t="str">
        <f>"20190312164106166"</f>
        <v>20190312164106166</v>
      </c>
      <c r="B3942" t="str">
        <f>"1552380066159790"</f>
        <v>1552380066159790</v>
      </c>
      <c r="C3942" t="s">
        <v>40</v>
      </c>
      <c r="D3942">
        <v>5.7693250000000003</v>
      </c>
      <c r="E3942">
        <v>0.538829</v>
      </c>
      <c r="F3942" t="s">
        <v>46</v>
      </c>
      <c r="G3942">
        <v>-195.3818</v>
      </c>
      <c r="H3942" s="1">
        <v>4.457121E-6</v>
      </c>
      <c r="I3942">
        <v>206.07859999999999</v>
      </c>
      <c r="J3942">
        <v>-203.5624</v>
      </c>
      <c r="K3942">
        <v>1.1089420000000001</v>
      </c>
      <c r="L3942">
        <v>212.3039</v>
      </c>
      <c r="M3942">
        <v>0.97811459999999995</v>
      </c>
      <c r="N3942">
        <v>0</v>
      </c>
      <c r="O3942">
        <v>-0.20741479999999901</v>
      </c>
      <c r="P3942">
        <v>0.8315188</v>
      </c>
      <c r="Q3942">
        <v>9.2210120000000007E-2</v>
      </c>
      <c r="R3942">
        <v>-0.54779019999999901</v>
      </c>
      <c r="S3942">
        <v>2.439346</v>
      </c>
      <c r="T3942">
        <v>-0.32436279999999901</v>
      </c>
      <c r="U3942">
        <v>-1.8313900000000001</v>
      </c>
      <c r="V3942">
        <v>0.36380200000000001</v>
      </c>
      <c r="W3942">
        <v>0.106031399999999</v>
      </c>
      <c r="X3942">
        <v>0.92542179999999996</v>
      </c>
      <c r="Y3942">
        <v>0.42027170000000003</v>
      </c>
      <c r="Z3942">
        <v>-8.5923629999999998E-4</v>
      </c>
      <c r="AA3942">
        <v>0.90739789999999998</v>
      </c>
      <c r="AB3942">
        <v>20</v>
      </c>
      <c r="AC3942">
        <v>8.1805999999999894</v>
      </c>
      <c r="AD3942">
        <v>-1.108937542879</v>
      </c>
      <c r="AE3942">
        <v>-6.2252999999999998</v>
      </c>
      <c r="AF3942">
        <v>4.3423432305215304</v>
      </c>
      <c r="AG3942">
        <v>-1.108937542879</v>
      </c>
      <c r="AH3942">
        <v>9.1871334595623502</v>
      </c>
      <c r="AI3942">
        <v>96.228016911945005</v>
      </c>
      <c r="AJ3942">
        <v>64.702012842506093</v>
      </c>
      <c r="AK3942">
        <v>10.221991411142501</v>
      </c>
      <c r="AL3942">
        <v>83.913407015289593</v>
      </c>
      <c r="AM3942">
        <v>68.539208104104603</v>
      </c>
      <c r="AN3942">
        <v>1.00000003045259</v>
      </c>
    </row>
    <row r="3943" spans="1:40" x14ac:dyDescent="0.25">
      <c r="A3943" t="str">
        <f>"20190312164106188"</f>
        <v>20190312164106188</v>
      </c>
      <c r="B3943" t="str">
        <f>"1552380066179816"</f>
        <v>1552380066179816</v>
      </c>
      <c r="C3943" t="s">
        <v>40</v>
      </c>
      <c r="D3943">
        <v>5.8284789999999997</v>
      </c>
      <c r="E3943">
        <v>0.53930739999999999</v>
      </c>
      <c r="F3943" t="s">
        <v>46</v>
      </c>
      <c r="G3943">
        <v>-195.29570000000001</v>
      </c>
      <c r="H3943" s="1">
        <v>4.5042370000000004E-6</v>
      </c>
      <c r="I3943">
        <v>205.99930000000001</v>
      </c>
      <c r="J3943">
        <v>-203.36510000000001</v>
      </c>
      <c r="K3943">
        <v>1.108843</v>
      </c>
      <c r="L3943">
        <v>212.25829999999999</v>
      </c>
      <c r="M3943">
        <v>0.97745899999999997</v>
      </c>
      <c r="N3943">
        <v>0</v>
      </c>
      <c r="O3943">
        <v>-0.210511</v>
      </c>
      <c r="P3943">
        <v>0.82774289999999995</v>
      </c>
      <c r="Q3943">
        <v>9.128493E-2</v>
      </c>
      <c r="R3943">
        <v>-0.55363249999999997</v>
      </c>
      <c r="S3943">
        <v>2.4253849999999999</v>
      </c>
      <c r="T3943">
        <v>-0.32535330000000001</v>
      </c>
      <c r="U3943">
        <v>-1.849701</v>
      </c>
      <c r="V3943">
        <v>0.36737880000000001</v>
      </c>
      <c r="W3943">
        <v>0.1046946</v>
      </c>
      <c r="X3943">
        <v>0.92416010000000004</v>
      </c>
      <c r="Y3943">
        <v>0.42423169999999999</v>
      </c>
      <c r="Z3943">
        <v>-7.5537529999999996E-4</v>
      </c>
      <c r="AA3943">
        <v>0.90555330000000001</v>
      </c>
      <c r="AB3943">
        <v>20</v>
      </c>
      <c r="AC3943">
        <v>8.0693999999999999</v>
      </c>
      <c r="AD3943">
        <v>-1.108838495763</v>
      </c>
      <c r="AE3943">
        <v>-6.2589999999999799</v>
      </c>
      <c r="AF3943">
        <v>4.3682912178024003</v>
      </c>
      <c r="AG3943">
        <v>-1.108838495763</v>
      </c>
      <c r="AH3943">
        <v>9.0990162132315806</v>
      </c>
      <c r="AI3943">
        <v>96.269328236583107</v>
      </c>
      <c r="AJ3943">
        <v>64.3550872065763</v>
      </c>
      <c r="AK3943">
        <v>10.153993648898201</v>
      </c>
      <c r="AL3943">
        <v>83.990428647080094</v>
      </c>
      <c r="AM3943">
        <v>68.320832123264196</v>
      </c>
      <c r="AN3943">
        <v>1.0000000161953</v>
      </c>
    </row>
    <row r="3944" spans="1:40" x14ac:dyDescent="0.25">
      <c r="A3944" t="str">
        <f>"20190312164106211"</f>
        <v>20190312164106211</v>
      </c>
      <c r="B3944" t="str">
        <f>"1552380066200313"</f>
        <v>1552380066200313</v>
      </c>
      <c r="C3944" t="s">
        <v>40</v>
      </c>
      <c r="D3944">
        <v>5.7580179999999999</v>
      </c>
      <c r="E3944">
        <v>0.53925469999999998</v>
      </c>
      <c r="F3944" t="s">
        <v>46</v>
      </c>
      <c r="G3944">
        <v>-195.21799999999999</v>
      </c>
      <c r="H3944" s="1">
        <v>4.5410869999999999E-6</v>
      </c>
      <c r="I3944">
        <v>205.94380000000001</v>
      </c>
      <c r="J3944">
        <v>-203.1721</v>
      </c>
      <c r="K3944">
        <v>1.108751</v>
      </c>
      <c r="L3944">
        <v>212.21299999999999</v>
      </c>
      <c r="M3944">
        <v>0.97682170000000001</v>
      </c>
      <c r="N3944">
        <v>0</v>
      </c>
      <c r="O3944">
        <v>-0.21346960000000001</v>
      </c>
      <c r="P3944">
        <v>0.82425919999999897</v>
      </c>
      <c r="Q3944">
        <v>9.0346300000000004E-2</v>
      </c>
      <c r="R3944">
        <v>-0.55895779999999995</v>
      </c>
      <c r="S3944">
        <v>2.4107509999999999</v>
      </c>
      <c r="T3944">
        <v>-0.32810699999999998</v>
      </c>
      <c r="U3944">
        <v>-1.8684689999999999</v>
      </c>
      <c r="V3944">
        <v>0.3705311</v>
      </c>
      <c r="W3944">
        <v>0.1034023</v>
      </c>
      <c r="X3944">
        <v>0.92304640000000004</v>
      </c>
      <c r="Y3944">
        <v>0.42852170000000001</v>
      </c>
      <c r="Z3944">
        <v>-6.9010259999999896E-4</v>
      </c>
      <c r="AA3944">
        <v>0.90353119999999998</v>
      </c>
      <c r="AB3944">
        <v>20</v>
      </c>
      <c r="AC3944">
        <v>7.9541000000000102</v>
      </c>
      <c r="AD3944">
        <v>-1.1087464589129901</v>
      </c>
      <c r="AE3944">
        <v>-6.2691999999999801</v>
      </c>
      <c r="AF3944">
        <v>4.3740620392162404</v>
      </c>
      <c r="AG3944">
        <v>-1.1087464589129901</v>
      </c>
      <c r="AH3944">
        <v>9.0012790166155501</v>
      </c>
      <c r="AI3944">
        <v>96.321936393135999</v>
      </c>
      <c r="AJ3944">
        <v>64.083129410114594</v>
      </c>
      <c r="AK3944">
        <v>10.0690000182753</v>
      </c>
      <c r="AL3944">
        <v>84.064875939213593</v>
      </c>
      <c r="AM3944">
        <v>68.128389958933695</v>
      </c>
      <c r="AN3944">
        <v>0.99999999413273</v>
      </c>
    </row>
    <row r="3945" spans="1:40" x14ac:dyDescent="0.25">
      <c r="A3945" t="str">
        <f>"20190312164106233"</f>
        <v>20190312164106233</v>
      </c>
      <c r="B3945" t="str">
        <f>"1552380066230569"</f>
        <v>1552380066230569</v>
      </c>
      <c r="C3945" t="s">
        <v>40</v>
      </c>
      <c r="D3945">
        <v>5.7474059999999998</v>
      </c>
      <c r="E3945">
        <v>0.53930459999999902</v>
      </c>
      <c r="F3945" t="s">
        <v>46</v>
      </c>
      <c r="G3945">
        <v>-195.09460000000001</v>
      </c>
      <c r="H3945" s="1">
        <v>4.5953489999999997E-6</v>
      </c>
      <c r="I3945">
        <v>205.86770000000001</v>
      </c>
      <c r="J3945">
        <v>-202.98320000000001</v>
      </c>
      <c r="K3945">
        <v>1.1086800000000001</v>
      </c>
      <c r="L3945">
        <v>212.1679</v>
      </c>
      <c r="M3945">
        <v>0.97617609999999999</v>
      </c>
      <c r="N3945">
        <v>0</v>
      </c>
      <c r="O3945">
        <v>-0.2164237</v>
      </c>
      <c r="P3945">
        <v>0.81977149999999999</v>
      </c>
      <c r="Q3945">
        <v>8.9498510000000003E-2</v>
      </c>
      <c r="R3945">
        <v>-0.5656544</v>
      </c>
      <c r="S3945">
        <v>2.398193</v>
      </c>
      <c r="T3945">
        <v>-0.32918540000000002</v>
      </c>
      <c r="U3945">
        <v>-1.8839109999999999</v>
      </c>
      <c r="V3945">
        <v>0.3752492</v>
      </c>
      <c r="W3945">
        <v>0.10220609999999999</v>
      </c>
      <c r="X3945">
        <v>0.92127190000000003</v>
      </c>
      <c r="Y3945">
        <v>0.43167119999999998</v>
      </c>
      <c r="Z3945">
        <v>-5.5144349999999896E-4</v>
      </c>
      <c r="AA3945">
        <v>0.90203089999999997</v>
      </c>
      <c r="AB3945">
        <v>20</v>
      </c>
      <c r="AC3945">
        <v>7.8885999999999896</v>
      </c>
      <c r="AD3945">
        <v>-1.1086754046509999</v>
      </c>
      <c r="AE3945">
        <v>-6.3001999999999896</v>
      </c>
      <c r="AF3945">
        <v>4.3904128105558398</v>
      </c>
      <c r="AG3945">
        <v>-1.1086754046509999</v>
      </c>
      <c r="AH3945">
        <v>8.9572456016786894</v>
      </c>
      <c r="AI3945">
        <v>96.341900341960397</v>
      </c>
      <c r="AJ3945">
        <v>63.888118651530299</v>
      </c>
      <c r="AK3945">
        <v>10.036789056703499</v>
      </c>
      <c r="AL3945">
        <v>84.133778151175605</v>
      </c>
      <c r="AM3945">
        <v>67.838123915595304</v>
      </c>
      <c r="AN3945">
        <v>0.99999998135372903</v>
      </c>
    </row>
    <row r="3946" spans="1:40" x14ac:dyDescent="0.25">
      <c r="A3946" t="str">
        <f>"20190312164106255"</f>
        <v>20190312164106255</v>
      </c>
      <c r="B3946" t="str">
        <f>"1552380066250088"</f>
        <v>1552380066250088</v>
      </c>
      <c r="C3946" t="s">
        <v>40</v>
      </c>
      <c r="D3946">
        <v>5.8054800000000002</v>
      </c>
      <c r="E3946">
        <v>0.53837969999999902</v>
      </c>
      <c r="F3946" t="s">
        <v>46</v>
      </c>
      <c r="G3946">
        <v>-194.9914</v>
      </c>
      <c r="H3946" s="1">
        <v>4.6489279999999996E-6</v>
      </c>
      <c r="I3946">
        <v>205.7809</v>
      </c>
      <c r="J3946">
        <v>-202.7902</v>
      </c>
      <c r="K3946">
        <v>1.10863</v>
      </c>
      <c r="L3946">
        <v>212.12119999999999</v>
      </c>
      <c r="M3946">
        <v>0.97548310000000005</v>
      </c>
      <c r="N3946">
        <v>0</v>
      </c>
      <c r="O3946">
        <v>-0.2195444</v>
      </c>
      <c r="P3946">
        <v>0.814886</v>
      </c>
      <c r="Q3946">
        <v>8.9915179999999997E-2</v>
      </c>
      <c r="R3946">
        <v>-0.57260440000000001</v>
      </c>
      <c r="S3946">
        <v>2.38205</v>
      </c>
      <c r="T3946">
        <v>-0.33045279999999999</v>
      </c>
      <c r="U3946">
        <v>-1.903732</v>
      </c>
      <c r="V3946">
        <v>0.3801583</v>
      </c>
      <c r="W3946">
        <v>0.10229480000000001</v>
      </c>
      <c r="X3946">
        <v>0.91924720000000004</v>
      </c>
      <c r="Y3946">
        <v>0.43632199999999999</v>
      </c>
      <c r="Z3946">
        <v>-4.8564929999999999E-4</v>
      </c>
      <c r="AA3946">
        <v>0.89979050000000005</v>
      </c>
      <c r="AB3946">
        <v>20</v>
      </c>
      <c r="AC3946">
        <v>7.7988</v>
      </c>
      <c r="AD3946">
        <v>-1.1086253510719899</v>
      </c>
      <c r="AE3946">
        <v>-6.3402999999999796</v>
      </c>
      <c r="AF3946">
        <v>4.41942558664842</v>
      </c>
      <c r="AG3946">
        <v>-1.1086253510719899</v>
      </c>
      <c r="AH3946">
        <v>8.8924352654364807</v>
      </c>
      <c r="AI3946">
        <v>96.370293829781104</v>
      </c>
      <c r="AJ3946">
        <v>63.573216496554501</v>
      </c>
      <c r="AK3946">
        <v>9.9917855078529705</v>
      </c>
      <c r="AL3946">
        <v>84.128669270918493</v>
      </c>
      <c r="AM3946">
        <v>67.532266432366001</v>
      </c>
      <c r="AN3946">
        <v>0.99999998693688397</v>
      </c>
    </row>
    <row r="3947" spans="1:40" x14ac:dyDescent="0.25">
      <c r="A3947" t="str">
        <f>"20190312164106286"</f>
        <v>20190312164106286</v>
      </c>
      <c r="B3947" t="str">
        <f>"1552380066279877"</f>
        <v>1552380066279877</v>
      </c>
      <c r="C3947" t="s">
        <v>40</v>
      </c>
      <c r="D3947">
        <v>5.7247260000000004</v>
      </c>
      <c r="E3947">
        <v>0.53665099999999999</v>
      </c>
      <c r="F3947" t="s">
        <v>46</v>
      </c>
      <c r="G3947">
        <v>-196.11369999999999</v>
      </c>
      <c r="H3947" s="1">
        <v>4.0726910000000004E-6</v>
      </c>
      <c r="I3947">
        <v>206.76349999999999</v>
      </c>
      <c r="J3947">
        <v>-202.52379999999999</v>
      </c>
      <c r="K3947">
        <v>1.1085989999999999</v>
      </c>
      <c r="L3947">
        <v>212.05539999999999</v>
      </c>
      <c r="M3947">
        <v>0.97447399999999995</v>
      </c>
      <c r="N3947">
        <v>0</v>
      </c>
      <c r="O3947">
        <v>-0.22400129999999999</v>
      </c>
      <c r="P3947">
        <v>0.80892149999999996</v>
      </c>
      <c r="Q3947">
        <v>9.0683529999999998E-2</v>
      </c>
      <c r="R3947">
        <v>-0.58088090000000003</v>
      </c>
      <c r="S3947">
        <v>2.3819889999999999</v>
      </c>
      <c r="T3947">
        <v>-0.39552779999999998</v>
      </c>
      <c r="U3947">
        <v>-1.911484</v>
      </c>
      <c r="V3947">
        <v>0.38535730000000001</v>
      </c>
      <c r="W3947">
        <v>0.10270369999999999</v>
      </c>
      <c r="X3947">
        <v>0.91703420000000002</v>
      </c>
      <c r="Y3947">
        <v>0.43353710000000001</v>
      </c>
      <c r="Z3947">
        <v>2.2979080000000001E-4</v>
      </c>
      <c r="AA3947">
        <v>0.90113569999999998</v>
      </c>
      <c r="AB3947">
        <v>20</v>
      </c>
      <c r="AC3947">
        <v>6.4100999999999999</v>
      </c>
      <c r="AD3947">
        <v>-1.1085949273089999</v>
      </c>
      <c r="AE3947">
        <v>-5.2918999999999903</v>
      </c>
      <c r="AF3947">
        <v>3.6563288292779199</v>
      </c>
      <c r="AG3947">
        <v>-1.1085949273089999</v>
      </c>
      <c r="AH3947">
        <v>7.3028036238033502</v>
      </c>
      <c r="AI3947">
        <v>97.730139281221994</v>
      </c>
      <c r="AJ3947">
        <v>63.4040323557237</v>
      </c>
      <c r="AK3947">
        <v>8.2418847352107196</v>
      </c>
      <c r="AL3947">
        <v>84.105117122398894</v>
      </c>
      <c r="AM3947">
        <v>67.206817046658898</v>
      </c>
      <c r="AN3947">
        <v>1.0000000113133101</v>
      </c>
    </row>
    <row r="3948" spans="1:40" x14ac:dyDescent="0.25">
      <c r="A3948" t="str">
        <f>"20190312164106303"</f>
        <v>20190312164106303</v>
      </c>
      <c r="B3948" t="str">
        <f>"1552380066289637"</f>
        <v>1552380066289637</v>
      </c>
      <c r="C3948" t="s">
        <v>40</v>
      </c>
      <c r="D3948">
        <v>5.7200850000000001</v>
      </c>
      <c r="E3948">
        <v>0.53651859999999996</v>
      </c>
      <c r="F3948" t="s">
        <v>46</v>
      </c>
      <c r="G3948">
        <v>-195.5018</v>
      </c>
      <c r="H3948" s="1">
        <v>4.3352240000000003E-6</v>
      </c>
      <c r="I3948">
        <v>206.34809999999999</v>
      </c>
      <c r="J3948">
        <v>-202.38419999999999</v>
      </c>
      <c r="K3948">
        <v>1.1085750000000001</v>
      </c>
      <c r="L3948">
        <v>212.0204</v>
      </c>
      <c r="M3948">
        <v>0.97392540000000005</v>
      </c>
      <c r="N3948">
        <v>0</v>
      </c>
      <c r="O3948">
        <v>-0.22638349999999999</v>
      </c>
      <c r="P3948">
        <v>0.80479840000000002</v>
      </c>
      <c r="Q3948">
        <v>9.0049950000000004E-2</v>
      </c>
      <c r="R3948">
        <v>-0.58667740000000002</v>
      </c>
      <c r="S3948">
        <v>2.3683169999999998</v>
      </c>
      <c r="T3948">
        <v>-0.37390089999999998</v>
      </c>
      <c r="U3948">
        <v>-1.924911</v>
      </c>
      <c r="V3948">
        <v>0.38969029999999999</v>
      </c>
      <c r="W3948">
        <v>0.1018868</v>
      </c>
      <c r="X3948">
        <v>0.91529260000000001</v>
      </c>
      <c r="Y3948">
        <v>0.43711670000000002</v>
      </c>
      <c r="Z3948">
        <v>2.7479050000000002E-4</v>
      </c>
      <c r="AA3948">
        <v>0.8994048</v>
      </c>
      <c r="AB3948">
        <v>20</v>
      </c>
      <c r="AC3948">
        <v>6.8823999999999899</v>
      </c>
      <c r="AD3948">
        <v>-1.1085706647759901</v>
      </c>
      <c r="AE3948">
        <v>-5.6722999999999999</v>
      </c>
      <c r="AF3948">
        <v>3.9064171943488</v>
      </c>
      <c r="AG3948">
        <v>-1.1085706647759901</v>
      </c>
      <c r="AH3948">
        <v>7.8664015637989104</v>
      </c>
      <c r="AI3948">
        <v>97.193738838043402</v>
      </c>
      <c r="AJ3948">
        <v>63.591226179778999</v>
      </c>
      <c r="AK3948">
        <v>8.8526435474407208</v>
      </c>
      <c r="AL3948">
        <v>84.152168789850705</v>
      </c>
      <c r="AM3948">
        <v>66.937883118741695</v>
      </c>
      <c r="AN3948">
        <v>0.99999999677154405</v>
      </c>
    </row>
    <row r="3949" spans="1:40" x14ac:dyDescent="0.25">
      <c r="A3949" t="str">
        <f>"20190312164106323"</f>
        <v>20190312164106323</v>
      </c>
      <c r="B3949" t="str">
        <f>"1552380066319892"</f>
        <v>1552380066319892</v>
      </c>
      <c r="C3949" t="s">
        <v>40</v>
      </c>
      <c r="D3949">
        <v>5.7073179999999999</v>
      </c>
      <c r="E3949">
        <v>0.53551979999999999</v>
      </c>
      <c r="F3949" t="s">
        <v>46</v>
      </c>
      <c r="G3949">
        <v>-195.48580000000001</v>
      </c>
      <c r="H3949" s="1">
        <v>4.3427949999999998E-6</v>
      </c>
      <c r="I3949">
        <v>206.33670000000001</v>
      </c>
      <c r="J3949">
        <v>-202.21100000000001</v>
      </c>
      <c r="K3949">
        <v>1.108555</v>
      </c>
      <c r="L3949">
        <v>211.97630000000001</v>
      </c>
      <c r="M3949">
        <v>0.97322430000000004</v>
      </c>
      <c r="N3949">
        <v>0</v>
      </c>
      <c r="O3949">
        <v>-0.22938890000000001</v>
      </c>
      <c r="P3949">
        <v>0.80097659999999904</v>
      </c>
      <c r="Q3949">
        <v>8.9640849999999994E-2</v>
      </c>
      <c r="R3949">
        <v>-0.5919468</v>
      </c>
      <c r="S3949">
        <v>2.3553470000000001</v>
      </c>
      <c r="T3949">
        <v>-0.37850339999999999</v>
      </c>
      <c r="U3949">
        <v>-1.940582</v>
      </c>
      <c r="V3949">
        <v>0.39286710000000002</v>
      </c>
      <c r="W3949">
        <v>0.1012863</v>
      </c>
      <c r="X3949">
        <v>0.91400029999999999</v>
      </c>
      <c r="Y3949">
        <v>0.44029170000000001</v>
      </c>
      <c r="Z3949">
        <v>4.4570679999999998E-4</v>
      </c>
      <c r="AA3949">
        <v>0.89785469999999901</v>
      </c>
      <c r="AB3949">
        <v>20</v>
      </c>
      <c r="AC3949">
        <v>6.7251999999999699</v>
      </c>
      <c r="AD3949">
        <v>-1.1085506572049999</v>
      </c>
      <c r="AE3949">
        <v>-5.6395999999999997</v>
      </c>
      <c r="AF3949">
        <v>3.8843683201619301</v>
      </c>
      <c r="AG3949">
        <v>-1.1085506572049999</v>
      </c>
      <c r="AH3949">
        <v>7.7165343358834297</v>
      </c>
      <c r="AI3949">
        <v>97.312153150989801</v>
      </c>
      <c r="AJ3949">
        <v>63.280116458467802</v>
      </c>
      <c r="AK3949">
        <v>8.7098854161886194</v>
      </c>
      <c r="AL3949">
        <v>84.186753905442401</v>
      </c>
      <c r="AM3949">
        <v>66.740391641474204</v>
      </c>
      <c r="AN3949">
        <v>1.0000000106150899</v>
      </c>
    </row>
    <row r="3950" spans="1:40" x14ac:dyDescent="0.25">
      <c r="A3950" t="str">
        <f>"20190312164106346"</f>
        <v>20190312164106346</v>
      </c>
      <c r="B3950" t="str">
        <f>"1552380066340388"</f>
        <v>1552380066340388</v>
      </c>
      <c r="C3950" t="s">
        <v>40</v>
      </c>
      <c r="D3950">
        <v>5.6962270000000004</v>
      </c>
      <c r="E3950">
        <v>0.5348096</v>
      </c>
      <c r="F3950" t="s">
        <v>46</v>
      </c>
      <c r="G3950">
        <v>-195.58680000000001</v>
      </c>
      <c r="H3950" s="1">
        <v>4.2700370000000002E-6</v>
      </c>
      <c r="I3950">
        <v>206.47919999999999</v>
      </c>
      <c r="J3950">
        <v>-202.01609999999999</v>
      </c>
      <c r="K3950">
        <v>1.1085259999999999</v>
      </c>
      <c r="L3950">
        <v>211.92599999999999</v>
      </c>
      <c r="M3950">
        <v>0.97240559999999998</v>
      </c>
      <c r="N3950">
        <v>0</v>
      </c>
      <c r="O3950">
        <v>-0.2328442</v>
      </c>
      <c r="P3950">
        <v>0.79596639999999996</v>
      </c>
      <c r="Q3950">
        <v>9.0197239999999998E-2</v>
      </c>
      <c r="R3950">
        <v>-0.59858319999999998</v>
      </c>
      <c r="S3950">
        <v>2.348862</v>
      </c>
      <c r="T3950">
        <v>-0.3930805</v>
      </c>
      <c r="U3950">
        <v>-1.949219</v>
      </c>
      <c r="V3950">
        <v>0.39724320000000002</v>
      </c>
      <c r="W3950">
        <v>0.10162599999999999</v>
      </c>
      <c r="X3950">
        <v>0.91206909999999997</v>
      </c>
      <c r="Y3950">
        <v>0.44018309999999999</v>
      </c>
      <c r="Z3950">
        <v>9.3825159999999996E-4</v>
      </c>
      <c r="AA3950">
        <v>0.89790759999999903</v>
      </c>
      <c r="AB3950">
        <v>20</v>
      </c>
      <c r="AC3950">
        <v>6.42929999999998</v>
      </c>
      <c r="AD3950">
        <v>-1.1085217299629999</v>
      </c>
      <c r="AE3950">
        <v>-5.4467999999999899</v>
      </c>
      <c r="AF3950">
        <v>3.7352307197200698</v>
      </c>
      <c r="AG3950">
        <v>-1.1085217299629999</v>
      </c>
      <c r="AH3950">
        <v>7.3929897865655398</v>
      </c>
      <c r="AI3950">
        <v>97.622646016891295</v>
      </c>
      <c r="AJ3950">
        <v>63.195289924602399</v>
      </c>
      <c r="AK3950">
        <v>8.3568574799145008</v>
      </c>
      <c r="AL3950">
        <v>84.167189652964794</v>
      </c>
      <c r="AM3950">
        <v>66.464915247412904</v>
      </c>
      <c r="AN3950">
        <v>1.00000002349852</v>
      </c>
    </row>
    <row r="3951" spans="1:40" x14ac:dyDescent="0.25">
      <c r="A3951" t="str">
        <f>"20190312164106368"</f>
        <v>20190312164106368</v>
      </c>
      <c r="B3951" t="str">
        <f>"1552380066359909"</f>
        <v>1552380066359909</v>
      </c>
      <c r="C3951" t="s">
        <v>40</v>
      </c>
      <c r="D3951">
        <v>5.7790559999999997</v>
      </c>
      <c r="E3951">
        <v>0.53401500000000002</v>
      </c>
      <c r="F3951" t="s">
        <v>46</v>
      </c>
      <c r="G3951">
        <v>-195.5155</v>
      </c>
      <c r="H3951" s="1">
        <v>4.2905870000000003E-6</v>
      </c>
      <c r="I3951">
        <v>206.4658</v>
      </c>
      <c r="J3951">
        <v>-201.82040000000001</v>
      </c>
      <c r="K3951">
        <v>1.1084940000000001</v>
      </c>
      <c r="L3951">
        <v>211.87479999999999</v>
      </c>
      <c r="M3951">
        <v>0.97155029999999998</v>
      </c>
      <c r="N3951">
        <v>0</v>
      </c>
      <c r="O3951">
        <v>-0.2363961</v>
      </c>
      <c r="P3951">
        <v>0.78951380000000004</v>
      </c>
      <c r="Q3951">
        <v>9.2276540000000004E-2</v>
      </c>
      <c r="R3951">
        <v>-0.60675639999999997</v>
      </c>
      <c r="S3951">
        <v>2.3375849999999998</v>
      </c>
      <c r="T3951">
        <v>-0.39862199999999998</v>
      </c>
      <c r="U3951">
        <v>-1.9634860000000001</v>
      </c>
      <c r="V3951">
        <v>0.40338750000000001</v>
      </c>
      <c r="W3951">
        <v>0.1034791</v>
      </c>
      <c r="X3951">
        <v>0.9091593</v>
      </c>
      <c r="Y3951">
        <v>0.44221290000000002</v>
      </c>
      <c r="Z3951">
        <v>1.2883580000000001E-3</v>
      </c>
      <c r="AA3951">
        <v>0.89690919999999896</v>
      </c>
      <c r="AB3951">
        <v>20</v>
      </c>
      <c r="AC3951">
        <v>6.3048999999999999</v>
      </c>
      <c r="AD3951">
        <v>-1.108489709413</v>
      </c>
      <c r="AE3951">
        <v>-5.40899999999999</v>
      </c>
      <c r="AF3951">
        <v>3.69918499887596</v>
      </c>
      <c r="AG3951">
        <v>-1.108489709413</v>
      </c>
      <c r="AH3951">
        <v>7.2754166997085896</v>
      </c>
      <c r="AI3951">
        <v>97.7342285965439</v>
      </c>
      <c r="AJ3951">
        <v>63.048943816272299</v>
      </c>
      <c r="AK3951">
        <v>8.2367716519387706</v>
      </c>
      <c r="AL3951">
        <v>84.060452021611695</v>
      </c>
      <c r="AM3951">
        <v>66.0734800326981</v>
      </c>
      <c r="AN3951">
        <v>1.00000001603477</v>
      </c>
    </row>
    <row r="3952" spans="1:40" x14ac:dyDescent="0.25">
      <c r="A3952" t="str">
        <f>"20190312164106389"</f>
        <v>20190312164106389</v>
      </c>
      <c r="B3952" t="str">
        <f>"1552380066379936"</f>
        <v>1552380066379936</v>
      </c>
      <c r="C3952" t="s">
        <v>40</v>
      </c>
      <c r="D3952">
        <v>5.7042809999999999</v>
      </c>
      <c r="E3952">
        <v>0.53316239999999904</v>
      </c>
      <c r="F3952" t="s">
        <v>46</v>
      </c>
      <c r="G3952">
        <v>-195.226</v>
      </c>
      <c r="H3952" s="1">
        <v>4.4331029999999998E-6</v>
      </c>
      <c r="I3952">
        <v>206.24420000000001</v>
      </c>
      <c r="J3952">
        <v>-201.64830000000001</v>
      </c>
      <c r="K3952">
        <v>1.1084579999999999</v>
      </c>
      <c r="L3952">
        <v>211.8289</v>
      </c>
      <c r="M3952">
        <v>0.9707692</v>
      </c>
      <c r="N3952">
        <v>0</v>
      </c>
      <c r="O3952">
        <v>-0.23959</v>
      </c>
      <c r="P3952">
        <v>0.78324320000000003</v>
      </c>
      <c r="Q3952">
        <v>9.4388769999999997E-2</v>
      </c>
      <c r="R3952">
        <v>-0.61450869999999902</v>
      </c>
      <c r="S3952">
        <v>2.3218380000000001</v>
      </c>
      <c r="T3952">
        <v>-0.39029199999999997</v>
      </c>
      <c r="U3952">
        <v>-1.9824679999999999</v>
      </c>
      <c r="V3952">
        <v>0.40943849999999998</v>
      </c>
      <c r="W3952">
        <v>0.105395</v>
      </c>
      <c r="X3952">
        <v>0.90622959999999997</v>
      </c>
      <c r="Y3952">
        <v>0.44656210000000002</v>
      </c>
      <c r="Z3952">
        <v>1.3749000000000001E-3</v>
      </c>
      <c r="AA3952">
        <v>0.89475159999999998</v>
      </c>
      <c r="AB3952">
        <v>20</v>
      </c>
      <c r="AC3952">
        <v>6.4222999999999999</v>
      </c>
      <c r="AD3952">
        <v>-1.1084535668969999</v>
      </c>
      <c r="AE3952">
        <v>-5.58469999999999</v>
      </c>
      <c r="AF3952">
        <v>3.8183629348183801</v>
      </c>
      <c r="AG3952">
        <v>-1.1084535668969999</v>
      </c>
      <c r="AH3952">
        <v>7.44706090810792</v>
      </c>
      <c r="AI3952">
        <v>97.544855067518199</v>
      </c>
      <c r="AJ3952">
        <v>62.854233335360597</v>
      </c>
      <c r="AK3952">
        <v>8.4419950829783499</v>
      </c>
      <c r="AL3952">
        <v>83.950075570546105</v>
      </c>
      <c r="AM3952">
        <v>65.686339207471605</v>
      </c>
      <c r="AN3952">
        <v>1.0000000396116999</v>
      </c>
    </row>
    <row r="3953" spans="1:40" x14ac:dyDescent="0.25">
      <c r="A3953" t="str">
        <f>"20190312164106411"</f>
        <v>20190312164106411</v>
      </c>
      <c r="B3953" t="str">
        <f>"1552380066400432"</f>
        <v>1552380066400432</v>
      </c>
      <c r="C3953" t="s">
        <v>40</v>
      </c>
      <c r="D3953">
        <v>5.804951</v>
      </c>
      <c r="E3953">
        <v>0.532084</v>
      </c>
      <c r="F3953" t="s">
        <v>46</v>
      </c>
      <c r="G3953">
        <v>-195.10730000000001</v>
      </c>
      <c r="H3953" s="1">
        <v>4.4888220000000003E-6</v>
      </c>
      <c r="I3953">
        <v>206.1611</v>
      </c>
      <c r="J3953">
        <v>-201.4632</v>
      </c>
      <c r="K3953">
        <v>1.1084130000000001</v>
      </c>
      <c r="L3953">
        <v>211.77889999999999</v>
      </c>
      <c r="M3953">
        <v>0.96989820000000004</v>
      </c>
      <c r="N3953">
        <v>0</v>
      </c>
      <c r="O3953">
        <v>-0.24309729999999999</v>
      </c>
      <c r="P3953">
        <v>0.777456699999999</v>
      </c>
      <c r="Q3953">
        <v>9.4823000000000005E-2</v>
      </c>
      <c r="R3953">
        <v>-0.62174770000000001</v>
      </c>
      <c r="S3953">
        <v>2.3081969999999998</v>
      </c>
      <c r="T3953">
        <v>-0.39115309999999998</v>
      </c>
      <c r="U3953">
        <v>-2.000076</v>
      </c>
      <c r="V3953">
        <v>0.41459659999999898</v>
      </c>
      <c r="W3953">
        <v>0.105643</v>
      </c>
      <c r="X3953">
        <v>0.9038524</v>
      </c>
      <c r="Y3953">
        <v>0.44983689999999998</v>
      </c>
      <c r="Z3953">
        <v>1.611711E-3</v>
      </c>
      <c r="AA3953">
        <v>0.89310929999999999</v>
      </c>
      <c r="AB3953">
        <v>20</v>
      </c>
      <c r="AC3953">
        <v>6.3558999999999903</v>
      </c>
      <c r="AD3953">
        <v>-1.10840851117799</v>
      </c>
      <c r="AE3953">
        <v>-5.6177999999999804</v>
      </c>
      <c r="AF3953">
        <v>3.8384484699002499</v>
      </c>
      <c r="AG3953">
        <v>-1.10840851117799</v>
      </c>
      <c r="AH3953">
        <v>7.4045824968843998</v>
      </c>
      <c r="AI3953">
        <v>97.570080589954401</v>
      </c>
      <c r="AJ3953">
        <v>62.598307750240998</v>
      </c>
      <c r="AK3953">
        <v>8.4136851638802206</v>
      </c>
      <c r="AL3953">
        <v>83.935786037674504</v>
      </c>
      <c r="AM3953">
        <v>65.359102234105094</v>
      </c>
      <c r="AN3953">
        <v>0.99999997258315898</v>
      </c>
    </row>
    <row r="3954" spans="1:40" x14ac:dyDescent="0.25">
      <c r="A3954" t="str">
        <f>"20190312164106434"</f>
        <v>20190312164106434</v>
      </c>
      <c r="B3954" t="str">
        <f>"1552380066429713"</f>
        <v>1552380066429713</v>
      </c>
      <c r="C3954" t="s">
        <v>40</v>
      </c>
      <c r="D3954">
        <v>5.7229080000000003</v>
      </c>
      <c r="E3954">
        <v>0.53035589999999999</v>
      </c>
      <c r="F3954" t="s">
        <v>46</v>
      </c>
      <c r="G3954">
        <v>-194.798</v>
      </c>
      <c r="H3954" s="1">
        <v>4.646219E-6</v>
      </c>
      <c r="I3954">
        <v>205.90979999999999</v>
      </c>
      <c r="J3954">
        <v>-201.2687</v>
      </c>
      <c r="K3954">
        <v>1.108365</v>
      </c>
      <c r="L3954">
        <v>211.72540000000001</v>
      </c>
      <c r="M3954">
        <v>0.96894740000000001</v>
      </c>
      <c r="N3954">
        <v>0</v>
      </c>
      <c r="O3954">
        <v>-0.24686430000000001</v>
      </c>
      <c r="P3954">
        <v>0.77050629999999998</v>
      </c>
      <c r="Q3954">
        <v>9.5003950000000004E-2</v>
      </c>
      <c r="R3954">
        <v>-0.63031289999999995</v>
      </c>
      <c r="S3954">
        <v>2.2915190000000001</v>
      </c>
      <c r="T3954">
        <v>-0.38107740000000001</v>
      </c>
      <c r="U3954">
        <v>-2.0178219999999998</v>
      </c>
      <c r="V3954">
        <v>0.42110540000000002</v>
      </c>
      <c r="W3954">
        <v>0.1056203</v>
      </c>
      <c r="X3954">
        <v>0.90084109999999995</v>
      </c>
      <c r="Y3954">
        <v>0.45356039999999997</v>
      </c>
      <c r="Z3954">
        <v>1.8017350000000001E-3</v>
      </c>
      <c r="AA3954">
        <v>0.89122369999999995</v>
      </c>
      <c r="AB3954">
        <v>19</v>
      </c>
      <c r="AC3954">
        <v>6.4706999999999901</v>
      </c>
      <c r="AD3954">
        <v>-1.1083603537809901</v>
      </c>
      <c r="AE3954">
        <v>-5.8156000000000097</v>
      </c>
      <c r="AF3954">
        <v>3.9735371317800499</v>
      </c>
      <c r="AG3954">
        <v>-1.1083603537809901</v>
      </c>
      <c r="AH3954">
        <v>7.5831249607598696</v>
      </c>
      <c r="AI3954">
        <v>97.376732745870498</v>
      </c>
      <c r="AJ3954">
        <v>62.3455821459413</v>
      </c>
      <c r="AK3954">
        <v>8.6325688055159908</v>
      </c>
      <c r="AL3954">
        <v>83.937094419583502</v>
      </c>
      <c r="AM3954">
        <v>64.945884912831801</v>
      </c>
      <c r="AN3954">
        <v>1.0000000465652199</v>
      </c>
    </row>
    <row r="3955" spans="1:40" x14ac:dyDescent="0.25">
      <c r="A3955" t="str">
        <f>"20190312164106457"</f>
        <v>20190312164106457</v>
      </c>
      <c r="B3955" t="str">
        <f>"1552380066450211"</f>
        <v>1552380066450211</v>
      </c>
      <c r="C3955" t="s">
        <v>40</v>
      </c>
      <c r="D3955">
        <v>5.8717540000000001</v>
      </c>
      <c r="E3955">
        <v>0.52990959999999998</v>
      </c>
      <c r="F3955" t="s">
        <v>46</v>
      </c>
      <c r="G3955">
        <v>-194.49189999999999</v>
      </c>
      <c r="H3955" s="1">
        <v>4.8004309999999996E-6</v>
      </c>
      <c r="I3955">
        <v>205.66560000000001</v>
      </c>
      <c r="J3955">
        <v>-201.08019999999999</v>
      </c>
      <c r="K3955">
        <v>1.108312</v>
      </c>
      <c r="L3955">
        <v>211.6728</v>
      </c>
      <c r="M3955">
        <v>0.96798799999999996</v>
      </c>
      <c r="N3955">
        <v>0</v>
      </c>
      <c r="O3955">
        <v>-0.25060379999999999</v>
      </c>
      <c r="P3955">
        <v>0.76287119999999997</v>
      </c>
      <c r="Q3955">
        <v>9.6635410000000005E-2</v>
      </c>
      <c r="R3955">
        <v>-0.63928819999999997</v>
      </c>
      <c r="S3955">
        <v>2.2751459999999999</v>
      </c>
      <c r="T3955">
        <v>-0.3721045</v>
      </c>
      <c r="U3955">
        <v>-2.0344389999999999</v>
      </c>
      <c r="V3955">
        <v>0.42824259999999997</v>
      </c>
      <c r="W3955">
        <v>0.1070455</v>
      </c>
      <c r="X3955">
        <v>0.89730129999999997</v>
      </c>
      <c r="Y3955">
        <v>0.45698820000000001</v>
      </c>
      <c r="Z3955">
        <v>2.0030680000000002E-3</v>
      </c>
      <c r="AA3955">
        <v>0.88947049999999905</v>
      </c>
      <c r="AB3955">
        <v>19</v>
      </c>
      <c r="AC3955">
        <v>6.5883000000000003</v>
      </c>
      <c r="AD3955">
        <v>-1.1083071995689999</v>
      </c>
      <c r="AE3955">
        <v>-6.0071999999999797</v>
      </c>
      <c r="AF3955">
        <v>4.10088607811399</v>
      </c>
      <c r="AG3955">
        <v>-1.1083071995689999</v>
      </c>
      <c r="AH3955">
        <v>7.7636321460516804</v>
      </c>
      <c r="AI3955">
        <v>97.194313880276297</v>
      </c>
      <c r="AJ3955">
        <v>62.156203514950697</v>
      </c>
      <c r="AK3955">
        <v>8.8498359065856498</v>
      </c>
      <c r="AL3955">
        <v>83.8549708584613</v>
      </c>
      <c r="AM3955">
        <v>64.486901288085505</v>
      </c>
      <c r="AN3955">
        <v>1.00000004325334</v>
      </c>
    </row>
    <row r="3956" spans="1:40" x14ac:dyDescent="0.25">
      <c r="A3956" t="str">
        <f>"20190312164106479"</f>
        <v>20190312164106479</v>
      </c>
      <c r="B3956" t="str">
        <f>"1552380066469728"</f>
        <v>1552380066469728</v>
      </c>
      <c r="C3956" t="s">
        <v>40</v>
      </c>
      <c r="D3956">
        <v>5.6906359999999996</v>
      </c>
      <c r="E3956">
        <v>0.55904160000000003</v>
      </c>
      <c r="F3956" t="s">
        <v>46</v>
      </c>
      <c r="G3956">
        <v>-194.1728</v>
      </c>
      <c r="H3956" s="1">
        <v>4.9824290000000001E-6</v>
      </c>
      <c r="I3956">
        <v>205.3509</v>
      </c>
      <c r="J3956">
        <v>-200.89250000000001</v>
      </c>
      <c r="K3956">
        <v>1.1082590000000001</v>
      </c>
      <c r="L3956">
        <v>211.61940000000001</v>
      </c>
      <c r="M3956">
        <v>0.96699069999999998</v>
      </c>
      <c r="N3956">
        <v>0</v>
      </c>
      <c r="O3956">
        <v>-0.25442779999999998</v>
      </c>
      <c r="P3956">
        <v>0.75465450000000001</v>
      </c>
      <c r="Q3956">
        <v>9.8353220000000005E-2</v>
      </c>
      <c r="R3956">
        <v>-0.64870879999999997</v>
      </c>
      <c r="S3956">
        <v>2.2514949999999998</v>
      </c>
      <c r="T3956">
        <v>-0.36125499999999999</v>
      </c>
      <c r="U3956">
        <v>-2.0606230000000001</v>
      </c>
      <c r="V3956">
        <v>0.43591200000000002</v>
      </c>
      <c r="W3956">
        <v>0.1085549</v>
      </c>
      <c r="X3956">
        <v>0.8934185</v>
      </c>
      <c r="Y3956">
        <v>0.46380280000000002</v>
      </c>
      <c r="Z3956">
        <v>1.9607259999999999E-3</v>
      </c>
      <c r="AA3956">
        <v>0.88593630000000001</v>
      </c>
      <c r="AB3956">
        <v>19</v>
      </c>
      <c r="AC3956">
        <v>6.7197000000000102</v>
      </c>
      <c r="AD3956">
        <v>-1.1082540175710001</v>
      </c>
      <c r="AE3956">
        <v>-6.2685000000000102</v>
      </c>
      <c r="AF3956">
        <v>4.2899348863140396</v>
      </c>
      <c r="AG3956">
        <v>-1.1082540175710001</v>
      </c>
      <c r="AH3956">
        <v>7.9775331266117</v>
      </c>
      <c r="AI3956">
        <v>96.975635445255904</v>
      </c>
      <c r="AJ3956">
        <v>61.730766657394199</v>
      </c>
      <c r="AK3956">
        <v>9.12539331111069</v>
      </c>
      <c r="AL3956">
        <v>83.767981580428994</v>
      </c>
      <c r="AM3956">
        <v>63.991572528965399</v>
      </c>
      <c r="AN3956">
        <v>1.0000000271001199</v>
      </c>
    </row>
    <row r="3957" spans="1:40" x14ac:dyDescent="0.25">
      <c r="A3957" t="str">
        <f>"20190312164106501"</f>
        <v>20190312164106501</v>
      </c>
      <c r="B3957" t="str">
        <f>"1552380066489755"</f>
        <v>1552380066489755</v>
      </c>
      <c r="C3957" t="s">
        <v>40</v>
      </c>
      <c r="D3957">
        <v>5.9027190000000003</v>
      </c>
      <c r="E3957">
        <v>0.59638959999999996</v>
      </c>
      <c r="F3957" t="s">
        <v>46</v>
      </c>
      <c r="G3957">
        <v>-194.2073</v>
      </c>
      <c r="H3957" s="1">
        <v>5.3211050000000001E-6</v>
      </c>
      <c r="I3957">
        <v>204.28909999999999</v>
      </c>
      <c r="J3957">
        <v>-200.7089</v>
      </c>
      <c r="K3957">
        <v>1.1082000000000001</v>
      </c>
      <c r="L3957">
        <v>211.56620000000001</v>
      </c>
      <c r="M3957">
        <v>0.96596850000000001</v>
      </c>
      <c r="N3957">
        <v>0</v>
      </c>
      <c r="O3957">
        <v>-0.25828420000000002</v>
      </c>
      <c r="P3957">
        <v>0.74583350000000004</v>
      </c>
      <c r="Q3957">
        <v>0.1010887</v>
      </c>
      <c r="R3957">
        <v>-0.65841759999999905</v>
      </c>
      <c r="S3957">
        <v>2.0694430000000001</v>
      </c>
      <c r="T3957">
        <v>-0.34306409999999998</v>
      </c>
      <c r="U3957">
        <v>-2.2691349999999999</v>
      </c>
      <c r="V3957">
        <v>0.44402560000000002</v>
      </c>
      <c r="W3957">
        <v>0.1110797</v>
      </c>
      <c r="X3957">
        <v>0.88910219999999995</v>
      </c>
      <c r="Y3957">
        <v>0.5380722</v>
      </c>
      <c r="Z3957">
        <v>-2.6460030000000001E-3</v>
      </c>
      <c r="AA3957">
        <v>0.84289459999999905</v>
      </c>
      <c r="AB3957">
        <v>19</v>
      </c>
      <c r="AC3957">
        <v>6.5015999999999901</v>
      </c>
      <c r="AD3957">
        <v>-1.1081946788949999</v>
      </c>
      <c r="AE3957">
        <v>-7.2771000000000097</v>
      </c>
      <c r="AF3957">
        <v>5.2825813614526496</v>
      </c>
      <c r="AG3957">
        <v>-1.1081946788949999</v>
      </c>
      <c r="AH3957">
        <v>8.0567884794589393</v>
      </c>
      <c r="AI3957">
        <v>96.561742943783898</v>
      </c>
      <c r="AJ3957">
        <v>56.748411611283998</v>
      </c>
      <c r="AK3957">
        <v>9.6977111675611596</v>
      </c>
      <c r="AL3957">
        <v>83.622441222917004</v>
      </c>
      <c r="AM3957">
        <v>63.462046764979497</v>
      </c>
      <c r="AN3957">
        <v>1.00000007762614</v>
      </c>
    </row>
    <row r="3958" spans="1:40" x14ac:dyDescent="0.25">
      <c r="A3958" t="str">
        <f>"20190312164106523"</f>
        <v>20190312164106523</v>
      </c>
      <c r="B3958" t="str">
        <f>"1552380066520011"</f>
        <v>1552380066520011</v>
      </c>
      <c r="C3958" t="s">
        <v>40</v>
      </c>
      <c r="D3958">
        <v>6.0120040000000001</v>
      </c>
      <c r="E3958">
        <v>0.59577979999999997</v>
      </c>
      <c r="F3958" t="s">
        <v>46</v>
      </c>
      <c r="G3958">
        <v>-195.8057</v>
      </c>
      <c r="H3958" s="1">
        <v>4.7771049999999999E-6</v>
      </c>
      <c r="I3958">
        <v>204.9075</v>
      </c>
      <c r="J3958">
        <v>-200.51859999999999</v>
      </c>
      <c r="K3958">
        <v>1.108144</v>
      </c>
      <c r="L3958">
        <v>211.5102</v>
      </c>
      <c r="M3958">
        <v>0.96486490000000003</v>
      </c>
      <c r="N3958">
        <v>0</v>
      </c>
      <c r="O3958">
        <v>-0.26237929999999998</v>
      </c>
      <c r="P3958">
        <v>0.73697179999999995</v>
      </c>
      <c r="Q3958">
        <v>0.1041619</v>
      </c>
      <c r="R3958">
        <v>-0.66784960000000004</v>
      </c>
      <c r="S3958">
        <v>1.8551029999999999</v>
      </c>
      <c r="T3958">
        <v>-0.41928320000000002</v>
      </c>
      <c r="U3958">
        <v>-2.5193180000000002</v>
      </c>
      <c r="V3958">
        <v>0.45170250000000001</v>
      </c>
      <c r="W3958">
        <v>0.11395329999999999</v>
      </c>
      <c r="X3958">
        <v>0.88486129999999996</v>
      </c>
      <c r="Y3958">
        <v>0.61844449999999995</v>
      </c>
      <c r="Z3958">
        <v>-9.5836740000000004E-3</v>
      </c>
      <c r="AA3958">
        <v>0.78577010000000003</v>
      </c>
      <c r="AB3958">
        <v>19</v>
      </c>
      <c r="AC3958">
        <v>4.7128999999999897</v>
      </c>
      <c r="AD3958">
        <v>-1.108139222895</v>
      </c>
      <c r="AE3958">
        <v>-6.6026999999999898</v>
      </c>
      <c r="AF3958">
        <v>5.0405829088393901</v>
      </c>
      <c r="AG3958">
        <v>-1.108139222895</v>
      </c>
      <c r="AH3958">
        <v>6.1652837611434599</v>
      </c>
      <c r="AI3958">
        <v>97.921914553708405</v>
      </c>
      <c r="AJ3958">
        <v>50.731420000038902</v>
      </c>
      <c r="AK3958">
        <v>8.0402843515401496</v>
      </c>
      <c r="AL3958">
        <v>83.456743388485506</v>
      </c>
      <c r="AM3958">
        <v>62.956674282579201</v>
      </c>
      <c r="AN3958">
        <v>1.0000000116624099</v>
      </c>
    </row>
    <row r="3959" spans="1:40" x14ac:dyDescent="0.25">
      <c r="A3959" t="str">
        <f>"20190312164106546"</f>
        <v>20190312164106546</v>
      </c>
      <c r="B3959" t="str">
        <f>"1552380066539530"</f>
        <v>1552380066539530</v>
      </c>
      <c r="C3959" t="s">
        <v>40</v>
      </c>
      <c r="D3959">
        <v>5.9142950000000001</v>
      </c>
      <c r="E3959">
        <v>0.59602749999999904</v>
      </c>
      <c r="F3959" t="s">
        <v>46</v>
      </c>
      <c r="G3959">
        <v>-195.56299999999999</v>
      </c>
      <c r="H3959" s="1">
        <v>4.9363280000000004E-6</v>
      </c>
      <c r="I3959">
        <v>204.607</v>
      </c>
      <c r="J3959">
        <v>-200.32980000000001</v>
      </c>
      <c r="K3959">
        <v>1.1080909999999999</v>
      </c>
      <c r="L3959">
        <v>211.45359999999999</v>
      </c>
      <c r="M3959">
        <v>0.96372150000000001</v>
      </c>
      <c r="N3959">
        <v>0</v>
      </c>
      <c r="O3959">
        <v>-0.26655079999999998</v>
      </c>
      <c r="P3959">
        <v>0.72857749999999999</v>
      </c>
      <c r="Q3959">
        <v>0.1062813</v>
      </c>
      <c r="R3959">
        <v>-0.67666769999999998</v>
      </c>
      <c r="S3959">
        <v>1.824829</v>
      </c>
      <c r="T3959">
        <v>-0.40805570000000002</v>
      </c>
      <c r="U3959">
        <v>-2.541992</v>
      </c>
      <c r="V3959">
        <v>0.45862760000000002</v>
      </c>
      <c r="W3959">
        <v>0.1158873</v>
      </c>
      <c r="X3959">
        <v>0.88103960000000003</v>
      </c>
      <c r="Y3959">
        <v>0.62465439999999905</v>
      </c>
      <c r="Z3959">
        <v>-9.2904900000000002E-3</v>
      </c>
      <c r="AA3959">
        <v>0.78084609999999999</v>
      </c>
      <c r="AB3959">
        <v>19</v>
      </c>
      <c r="AC3959">
        <v>4.7668000000000097</v>
      </c>
      <c r="AD3959">
        <v>-1.108086063672</v>
      </c>
      <c r="AE3959">
        <v>-6.8465999999999898</v>
      </c>
      <c r="AF3959">
        <v>5.2357621601858799</v>
      </c>
      <c r="AG3959">
        <v>-1.108086063672</v>
      </c>
      <c r="AH3959">
        <v>6.30816049545626</v>
      </c>
      <c r="AI3959">
        <v>97.697818245156398</v>
      </c>
      <c r="AJ3959">
        <v>50.307386281228801</v>
      </c>
      <c r="AK3959">
        <v>8.2724814269343305</v>
      </c>
      <c r="AL3959">
        <v>83.3451939392545</v>
      </c>
      <c r="AM3959">
        <v>62.500643983913797</v>
      </c>
      <c r="AN3959">
        <v>0.99999995927560403</v>
      </c>
    </row>
    <row r="3960" spans="1:40" x14ac:dyDescent="0.25">
      <c r="A3960" t="str">
        <f>"20190312164106567"</f>
        <v>20190312164106567</v>
      </c>
      <c r="B3960" t="str">
        <f>"1552380066560030"</f>
        <v>1552380066560030</v>
      </c>
      <c r="C3960" t="s">
        <v>40</v>
      </c>
      <c r="D3960">
        <v>5.8059830000000003</v>
      </c>
      <c r="E3960">
        <v>0.59555859999999905</v>
      </c>
      <c r="F3960" t="s">
        <v>46</v>
      </c>
      <c r="G3960">
        <v>-195.2131</v>
      </c>
      <c r="H3960" s="1">
        <v>5.1457459999999997E-6</v>
      </c>
      <c r="I3960">
        <v>204.10910000000001</v>
      </c>
      <c r="J3960">
        <v>-200.1515</v>
      </c>
      <c r="K3960">
        <v>1.1080490000000001</v>
      </c>
      <c r="L3960">
        <v>211.3991</v>
      </c>
      <c r="M3960">
        <v>0.96258960000000005</v>
      </c>
      <c r="N3960">
        <v>0</v>
      </c>
      <c r="O3960">
        <v>-0.2706114</v>
      </c>
      <c r="P3960">
        <v>0.7210259</v>
      </c>
      <c r="Q3960">
        <v>0.1064321</v>
      </c>
      <c r="R3960">
        <v>-0.68468560000000001</v>
      </c>
      <c r="S3960">
        <v>1.7891079999999999</v>
      </c>
      <c r="T3960">
        <v>-0.38744810000000002</v>
      </c>
      <c r="U3960">
        <v>-2.5680079999999998</v>
      </c>
      <c r="V3960">
        <v>0.46468159999999997</v>
      </c>
      <c r="W3960">
        <v>0.115868899999999</v>
      </c>
      <c r="X3960">
        <v>0.87786419999999998</v>
      </c>
      <c r="Y3960">
        <v>0.63259299999999996</v>
      </c>
      <c r="Z3960">
        <v>-8.9547410000000004E-3</v>
      </c>
      <c r="AA3960">
        <v>0.77443269999999997</v>
      </c>
      <c r="AB3960">
        <v>19</v>
      </c>
      <c r="AC3960">
        <v>4.9383999999999997</v>
      </c>
      <c r="AD3960">
        <v>-1.1080438542540001</v>
      </c>
      <c r="AE3960">
        <v>-7.2899999999999903</v>
      </c>
      <c r="AF3960">
        <v>5.5928664995321897</v>
      </c>
      <c r="AG3960">
        <v>-1.1080438542540001</v>
      </c>
      <c r="AH3960">
        <v>6.6221851215730503</v>
      </c>
      <c r="AI3960">
        <v>97.284735206813494</v>
      </c>
      <c r="AJ3960">
        <v>49.8167305764863</v>
      </c>
      <c r="AK3960">
        <v>8.7384925844749208</v>
      </c>
      <c r="AL3960">
        <v>83.346256088568893</v>
      </c>
      <c r="AM3960">
        <v>62.106299416920599</v>
      </c>
      <c r="AN3960">
        <v>1.0000000725036999</v>
      </c>
    </row>
    <row r="3961" spans="1:40" x14ac:dyDescent="0.25">
      <c r="A3961" t="str">
        <f>"20190312164106589"</f>
        <v>20190312164106589</v>
      </c>
      <c r="B3961" t="str">
        <f>"1552380066580053"</f>
        <v>1552380066580053</v>
      </c>
      <c r="C3961" t="s">
        <v>40</v>
      </c>
      <c r="D3961">
        <v>5.9537250000000004</v>
      </c>
      <c r="E3961">
        <v>0.5934353</v>
      </c>
      <c r="F3961" t="s">
        <v>46</v>
      </c>
      <c r="G3961">
        <v>-194.93729999999999</v>
      </c>
      <c r="H3961" s="1">
        <v>5.3052410000000001E-6</v>
      </c>
      <c r="I3961">
        <v>203.73769999999999</v>
      </c>
      <c r="J3961">
        <v>-199.96520000000001</v>
      </c>
      <c r="K3961">
        <v>1.107979</v>
      </c>
      <c r="L3961">
        <v>211.34119999999999</v>
      </c>
      <c r="M3961">
        <v>0.96134679999999995</v>
      </c>
      <c r="N3961">
        <v>0</v>
      </c>
      <c r="O3961">
        <v>-0.27499400000000002</v>
      </c>
      <c r="P3961">
        <v>0.71427839999999998</v>
      </c>
      <c r="Q3961">
        <v>0.105808399999999</v>
      </c>
      <c r="R3961">
        <v>-0.69181689999999996</v>
      </c>
      <c r="S3961">
        <v>1.7601009999999999</v>
      </c>
      <c r="T3961">
        <v>-0.37403170000000002</v>
      </c>
      <c r="U3961">
        <v>-2.586182</v>
      </c>
      <c r="V3961">
        <v>0.46939910000000001</v>
      </c>
      <c r="W3961">
        <v>0.1150798</v>
      </c>
      <c r="X3961">
        <v>0.87545479999999998</v>
      </c>
      <c r="Y3961">
        <v>0.6376754</v>
      </c>
      <c r="Z3961">
        <v>-8.5007180000000009E-3</v>
      </c>
      <c r="AA3961">
        <v>0.770258199999999</v>
      </c>
      <c r="AB3961">
        <v>19</v>
      </c>
      <c r="AC3961">
        <v>5.0279000000000096</v>
      </c>
      <c r="AD3961">
        <v>-1.107973694759</v>
      </c>
      <c r="AE3961">
        <v>-7.6034999999999897</v>
      </c>
      <c r="AF3961">
        <v>5.84122551699563</v>
      </c>
      <c r="AG3961">
        <v>-1.107973694759</v>
      </c>
      <c r="AH3961">
        <v>6.8243110169831098</v>
      </c>
      <c r="AI3961">
        <v>97.0315513393478</v>
      </c>
      <c r="AJ3961">
        <v>49.438338636240303</v>
      </c>
      <c r="AK3961">
        <v>9.0508973093940206</v>
      </c>
      <c r="AL3961">
        <v>83.391772130964796</v>
      </c>
      <c r="AM3961">
        <v>61.800795284883797</v>
      </c>
      <c r="AN3961">
        <v>0.99999999114594496</v>
      </c>
    </row>
    <row r="3962" spans="1:40" x14ac:dyDescent="0.25">
      <c r="A3962" t="str">
        <f>"20190312164106612"</f>
        <v>20190312164106612</v>
      </c>
      <c r="B3962" t="str">
        <f>"1552380066599574"</f>
        <v>1552380066599574</v>
      </c>
      <c r="C3962" t="s">
        <v>40</v>
      </c>
      <c r="D3962">
        <v>5.9115099999999998</v>
      </c>
      <c r="E3962">
        <v>0.59251549999999997</v>
      </c>
      <c r="F3962" t="s">
        <v>46</v>
      </c>
      <c r="G3962">
        <v>-194.7971</v>
      </c>
      <c r="H3962" s="1">
        <v>5.3549030000000001E-6</v>
      </c>
      <c r="I3962">
        <v>203.66749999999999</v>
      </c>
      <c r="J3962">
        <v>-199.78219999999999</v>
      </c>
      <c r="K3962">
        <v>1.1078969999999999</v>
      </c>
      <c r="L3962">
        <v>211.2833</v>
      </c>
      <c r="M3962">
        <v>0.96005929999999995</v>
      </c>
      <c r="N3962">
        <v>0</v>
      </c>
      <c r="O3962">
        <v>-0.27945720000000002</v>
      </c>
      <c r="P3962">
        <v>0.70755259999999998</v>
      </c>
      <c r="Q3962">
        <v>0.1063688</v>
      </c>
      <c r="R3962">
        <v>-0.69860940000000005</v>
      </c>
      <c r="S3962">
        <v>1.745377</v>
      </c>
      <c r="T3962">
        <v>-0.37419069999999999</v>
      </c>
      <c r="U3962">
        <v>-2.591599</v>
      </c>
      <c r="V3962">
        <v>0.47374949999999999</v>
      </c>
      <c r="W3962">
        <v>0.1154625</v>
      </c>
      <c r="X3962">
        <v>0.87305779999999999</v>
      </c>
      <c r="Y3962">
        <v>0.63787159999999998</v>
      </c>
      <c r="Z3962">
        <v>-7.9423970000000003E-3</v>
      </c>
      <c r="AA3962">
        <v>0.77010179999999995</v>
      </c>
      <c r="AB3962">
        <v>19</v>
      </c>
      <c r="AC3962">
        <v>4.9850999999999797</v>
      </c>
      <c r="AD3962">
        <v>-1.107891645097</v>
      </c>
      <c r="AE3962">
        <v>-7.6158000000000001</v>
      </c>
      <c r="AF3962">
        <v>5.83265022351656</v>
      </c>
      <c r="AG3962">
        <v>-1.107891645097</v>
      </c>
      <c r="AH3962">
        <v>6.8139906885022299</v>
      </c>
      <c r="AI3962">
        <v>97.041447518586097</v>
      </c>
      <c r="AJ3962">
        <v>49.437084996618601</v>
      </c>
      <c r="AK3962">
        <v>9.0375716666679207</v>
      </c>
      <c r="AL3962">
        <v>83.369698281620401</v>
      </c>
      <c r="AM3962">
        <v>61.514305590490402</v>
      </c>
      <c r="AN3962">
        <v>1.0000000498986601</v>
      </c>
    </row>
    <row r="3963" spans="1:40" x14ac:dyDescent="0.25">
      <c r="A3963" t="str">
        <f>"20190312164106635"</f>
        <v>20190312164106635</v>
      </c>
      <c r="B3963" t="str">
        <f>"1552380066629829"</f>
        <v>1552380066629829</v>
      </c>
      <c r="C3963" t="s">
        <v>40</v>
      </c>
      <c r="D3963">
        <v>5.9736390000000004</v>
      </c>
      <c r="E3963">
        <v>0.5891113</v>
      </c>
      <c r="F3963" t="s">
        <v>46</v>
      </c>
      <c r="G3963">
        <v>-194.59350000000001</v>
      </c>
      <c r="H3963" s="1">
        <v>5.4593109999999996E-6</v>
      </c>
      <c r="I3963">
        <v>203.44380000000001</v>
      </c>
      <c r="J3963">
        <v>-199.59559999999999</v>
      </c>
      <c r="K3963">
        <v>1.107793</v>
      </c>
      <c r="L3963">
        <v>211.22309999999999</v>
      </c>
      <c r="M3963">
        <v>0.95867069999999999</v>
      </c>
      <c r="N3963">
        <v>0</v>
      </c>
      <c r="O3963">
        <v>-0.28418459999999901</v>
      </c>
      <c r="P3963">
        <v>0.701036199999999</v>
      </c>
      <c r="Q3963">
        <v>0.1082819</v>
      </c>
      <c r="R3963">
        <v>-0.70485730000000002</v>
      </c>
      <c r="S3963">
        <v>1.72377</v>
      </c>
      <c r="T3963">
        <v>-0.36806109999999997</v>
      </c>
      <c r="U3963">
        <v>-2.6044309999999999</v>
      </c>
      <c r="V3963">
        <v>0.47731859999999998</v>
      </c>
      <c r="W3963">
        <v>0.11718779999999999</v>
      </c>
      <c r="X3963">
        <v>0.87088109999999996</v>
      </c>
      <c r="Y3963">
        <v>0.64034729999999995</v>
      </c>
      <c r="Z3963">
        <v>-7.406808E-3</v>
      </c>
      <c r="AA3963">
        <v>0.7680498</v>
      </c>
      <c r="AB3963">
        <v>19</v>
      </c>
      <c r="AC3963">
        <v>5.00209999999998</v>
      </c>
      <c r="AD3963">
        <v>-1.1077875406890001</v>
      </c>
      <c r="AE3963">
        <v>-7.7792999999999699</v>
      </c>
      <c r="AF3963">
        <v>5.9514559115610899</v>
      </c>
      <c r="AG3963">
        <v>-1.1077875406890001</v>
      </c>
      <c r="AH3963">
        <v>6.9076859253415002</v>
      </c>
      <c r="AI3963">
        <v>96.927257042047401</v>
      </c>
      <c r="AJ3963">
        <v>49.252794757711101</v>
      </c>
      <c r="AK3963">
        <v>9.1849412380113993</v>
      </c>
      <c r="AL3963">
        <v>83.270169568626798</v>
      </c>
      <c r="AM3963">
        <v>61.273425820543899</v>
      </c>
      <c r="AN3963">
        <v>0.99999995835600397</v>
      </c>
    </row>
    <row r="3964" spans="1:40" x14ac:dyDescent="0.25">
      <c r="A3964" t="str">
        <f>"20190312164106657"</f>
        <v>20190312164106657</v>
      </c>
      <c r="B3964" t="str">
        <f>"1552380066650329"</f>
        <v>1552380066650329</v>
      </c>
      <c r="C3964" t="s">
        <v>40</v>
      </c>
      <c r="D3964">
        <v>5.9146210000000004</v>
      </c>
      <c r="E3964">
        <v>0.58741119999999902</v>
      </c>
      <c r="F3964" t="s">
        <v>46</v>
      </c>
      <c r="G3964">
        <v>-193.89529999999999</v>
      </c>
      <c r="H3964" s="1">
        <v>5.8537299999999999E-6</v>
      </c>
      <c r="I3964">
        <v>202.56620000000001</v>
      </c>
      <c r="J3964">
        <v>-199.41030000000001</v>
      </c>
      <c r="K3964">
        <v>1.10768</v>
      </c>
      <c r="L3964">
        <v>211.16200000000001</v>
      </c>
      <c r="M3964">
        <v>0.95720570000000005</v>
      </c>
      <c r="N3964">
        <v>0</v>
      </c>
      <c r="O3964">
        <v>-0.28908129999999999</v>
      </c>
      <c r="P3964">
        <v>0.6942199</v>
      </c>
      <c r="Q3964">
        <v>0.1099436</v>
      </c>
      <c r="R3964">
        <v>-0.71131659999999997</v>
      </c>
      <c r="S3964">
        <v>1.71386699999999</v>
      </c>
      <c r="T3964">
        <v>-0.33306720000000001</v>
      </c>
      <c r="U3964">
        <v>-2.6027680000000002</v>
      </c>
      <c r="V3964">
        <v>0.48105209999999998</v>
      </c>
      <c r="W3964">
        <v>0.11864719999999999</v>
      </c>
      <c r="X3964">
        <v>0.86862640000000002</v>
      </c>
      <c r="Y3964">
        <v>0.6386752</v>
      </c>
      <c r="Z3964">
        <v>-6.0160630000000003E-3</v>
      </c>
      <c r="AA3964">
        <v>0.76945299999999905</v>
      </c>
      <c r="AB3964">
        <v>19</v>
      </c>
      <c r="AC3964">
        <v>5.5150000000000103</v>
      </c>
      <c r="AD3964">
        <v>-1.1076741462699999</v>
      </c>
      <c r="AE3964">
        <v>-8.5957999999999899</v>
      </c>
      <c r="AF3964">
        <v>6.5571596947683499</v>
      </c>
      <c r="AG3964">
        <v>-1.1076741462699999</v>
      </c>
      <c r="AH3964">
        <v>7.6743341440705004</v>
      </c>
      <c r="AI3964">
        <v>96.262258221509398</v>
      </c>
      <c r="AJ3964">
        <v>49.488522746516402</v>
      </c>
      <c r="AK3964">
        <v>10.1547373098399</v>
      </c>
      <c r="AL3964">
        <v>83.185965272351297</v>
      </c>
      <c r="AM3964">
        <v>61.021972767021303</v>
      </c>
      <c r="AN3964">
        <v>1.0000000518795999</v>
      </c>
    </row>
    <row r="3965" spans="1:40" x14ac:dyDescent="0.25">
      <c r="A3965" t="str">
        <f>"20190312164106679"</f>
        <v>20190312164106679</v>
      </c>
      <c r="B3965" t="str">
        <f>"1552380066669846"</f>
        <v>1552380066669846</v>
      </c>
      <c r="C3965" t="s">
        <v>40</v>
      </c>
      <c r="D3965">
        <v>6.1090900000000001</v>
      </c>
      <c r="E3965">
        <v>0.58565429999999996</v>
      </c>
      <c r="F3965" t="s">
        <v>46</v>
      </c>
      <c r="G3965">
        <v>-193.41399999999999</v>
      </c>
      <c r="H3965" s="1">
        <v>6.205379E-6</v>
      </c>
      <c r="I3965">
        <v>201.93369999999999</v>
      </c>
      <c r="J3965">
        <v>-199.23140000000001</v>
      </c>
      <c r="K3965">
        <v>1.1075680000000001</v>
      </c>
      <c r="L3965">
        <v>211.10169999999999</v>
      </c>
      <c r="M3965">
        <v>0.95569749999999998</v>
      </c>
      <c r="N3965">
        <v>0</v>
      </c>
      <c r="O3965">
        <v>-0.29402889999999998</v>
      </c>
      <c r="P3965">
        <v>0.68740469999999998</v>
      </c>
      <c r="Q3965">
        <v>0.111564</v>
      </c>
      <c r="R3965">
        <v>-0.71765449999999997</v>
      </c>
      <c r="S3965">
        <v>1.6962279999999901</v>
      </c>
      <c r="T3965">
        <v>-0.31334010000000001</v>
      </c>
      <c r="U3965">
        <v>-2.6105040000000002</v>
      </c>
      <c r="V3965">
        <v>0.48465320000000001</v>
      </c>
      <c r="W3965">
        <v>0.12006410000000001</v>
      </c>
      <c r="X3965">
        <v>0.86642710000000001</v>
      </c>
      <c r="Y3965">
        <v>0.63961569999999901</v>
      </c>
      <c r="Z3965">
        <v>-5.1815849999999998E-3</v>
      </c>
      <c r="AA3965">
        <v>0.76867739999999996</v>
      </c>
      <c r="AB3965">
        <v>19</v>
      </c>
      <c r="AC3965">
        <v>5.8173999999999904</v>
      </c>
      <c r="AD3965">
        <v>-1.1075617946209999</v>
      </c>
      <c r="AE3965">
        <v>-9.1679999999999993</v>
      </c>
      <c r="AF3965">
        <v>6.9793976771323996</v>
      </c>
      <c r="AG3965">
        <v>-1.1075617946209999</v>
      </c>
      <c r="AH3965">
        <v>8.1710926722101291</v>
      </c>
      <c r="AI3965">
        <v>95.884489738569897</v>
      </c>
      <c r="AJ3965">
        <v>49.497465055238699</v>
      </c>
      <c r="AK3965">
        <v>10.8030292289853</v>
      </c>
      <c r="AL3965">
        <v>83.104198125389402</v>
      </c>
      <c r="AM3965">
        <v>60.778666380823502</v>
      </c>
      <c r="AN3965">
        <v>1.0000000159967299</v>
      </c>
    </row>
    <row r="3966" spans="1:40" x14ac:dyDescent="0.25">
      <c r="A3966" t="str">
        <f>"20190312164106701"</f>
        <v>20190312164106701</v>
      </c>
      <c r="B3966" t="str">
        <f>"1552380066690342"</f>
        <v>1552380066690342</v>
      </c>
      <c r="C3966" t="s">
        <v>40</v>
      </c>
      <c r="D3966">
        <v>6.1699190000000002</v>
      </c>
      <c r="E3966">
        <v>0.58393839999999997</v>
      </c>
      <c r="F3966" t="s">
        <v>46</v>
      </c>
      <c r="G3966">
        <v>-192.94640000000001</v>
      </c>
      <c r="H3966" s="1">
        <v>6.5532420000000001E-6</v>
      </c>
      <c r="I3966">
        <v>201.30160000000001</v>
      </c>
      <c r="J3966">
        <v>-199.05090000000001</v>
      </c>
      <c r="K3966">
        <v>1.1074489999999999</v>
      </c>
      <c r="L3966">
        <v>211.0395</v>
      </c>
      <c r="M3966">
        <v>0.95407600000000004</v>
      </c>
      <c r="N3966">
        <v>0</v>
      </c>
      <c r="O3966">
        <v>-0.29924869999999998</v>
      </c>
      <c r="P3966">
        <v>0.68109709999999901</v>
      </c>
      <c r="Q3966">
        <v>0.1128255</v>
      </c>
      <c r="R3966">
        <v>-0.72344819999999999</v>
      </c>
      <c r="S3966">
        <v>1.6790160000000001</v>
      </c>
      <c r="T3966">
        <v>-0.29588160000000002</v>
      </c>
      <c r="U3966">
        <v>-2.6180569999999999</v>
      </c>
      <c r="V3966">
        <v>0.48736289999999999</v>
      </c>
      <c r="W3966">
        <v>0.1211349</v>
      </c>
      <c r="X3966">
        <v>0.86475650000000004</v>
      </c>
      <c r="Y3966">
        <v>0.640190699999999</v>
      </c>
      <c r="Z3966">
        <v>-4.3855070000000003E-3</v>
      </c>
      <c r="AA3966">
        <v>0.76820359999999999</v>
      </c>
      <c r="AB3966">
        <v>19</v>
      </c>
      <c r="AC3966">
        <v>6.1044999999999998</v>
      </c>
      <c r="AD3966">
        <v>-1.107442446758</v>
      </c>
      <c r="AE3966">
        <v>-9.7378999999999891</v>
      </c>
      <c r="AF3966">
        <v>7.3959699504955303</v>
      </c>
      <c r="AG3966">
        <v>-1.107442446758</v>
      </c>
      <c r="AH3966">
        <v>8.6586448459047105</v>
      </c>
      <c r="AI3966">
        <v>95.554644398418105</v>
      </c>
      <c r="AJ3966">
        <v>49.496982724825301</v>
      </c>
      <c r="AK3966">
        <v>11.441107063961301</v>
      </c>
      <c r="AL3966">
        <v>83.042394828530902</v>
      </c>
      <c r="AM3966">
        <v>60.595089244793002</v>
      </c>
      <c r="AN3966">
        <v>1.00000003229333</v>
      </c>
    </row>
    <row r="3967" spans="1:40" x14ac:dyDescent="0.25">
      <c r="A3967" t="str">
        <f>"20190312164106725"</f>
        <v>20190312164106725</v>
      </c>
      <c r="B3967" t="str">
        <f>"1552380066720598"</f>
        <v>1552380066720598</v>
      </c>
      <c r="C3967" t="s">
        <v>40</v>
      </c>
      <c r="D3967">
        <v>6.0775240000000004</v>
      </c>
      <c r="E3967">
        <v>0.58143369999999905</v>
      </c>
      <c r="F3967" t="s">
        <v>46</v>
      </c>
      <c r="G3967">
        <v>-192.5472</v>
      </c>
      <c r="H3967" s="1">
        <v>6.8438379999999901E-6</v>
      </c>
      <c r="I3967">
        <v>200.78</v>
      </c>
      <c r="J3967">
        <v>-198.85830000000001</v>
      </c>
      <c r="K3967">
        <v>1.107334</v>
      </c>
      <c r="L3967">
        <v>210.9716</v>
      </c>
      <c r="M3967">
        <v>0.95224209999999998</v>
      </c>
      <c r="N3967">
        <v>0</v>
      </c>
      <c r="O3967">
        <v>-0.30503380000000002</v>
      </c>
      <c r="P3967">
        <v>0.67481669999999905</v>
      </c>
      <c r="Q3967">
        <v>0.1140724</v>
      </c>
      <c r="R3967">
        <v>-0.72911599999999999</v>
      </c>
      <c r="S3967">
        <v>1.663788</v>
      </c>
      <c r="T3967">
        <v>-0.28330660000000002</v>
      </c>
      <c r="U3967">
        <v>-2.6245880000000001</v>
      </c>
      <c r="V3967">
        <v>0.48945270000000002</v>
      </c>
      <c r="W3967">
        <v>0.122213</v>
      </c>
      <c r="X3967">
        <v>0.86342350000000001</v>
      </c>
      <c r="Y3967">
        <v>0.63971089999999997</v>
      </c>
      <c r="Z3967">
        <v>-3.5856830000000001E-3</v>
      </c>
      <c r="AA3967">
        <v>0.76860729999999999</v>
      </c>
      <c r="AB3967">
        <v>19</v>
      </c>
      <c r="AC3967">
        <v>6.3110999999999997</v>
      </c>
      <c r="AD3967">
        <v>-1.1073271561619999</v>
      </c>
      <c r="AE3967">
        <v>-10.1915999999999</v>
      </c>
      <c r="AF3967">
        <v>7.7146795230815304</v>
      </c>
      <c r="AG3967">
        <v>-1.1073271561619999</v>
      </c>
      <c r="AH3967">
        <v>9.0421845833575105</v>
      </c>
      <c r="AI3967">
        <v>95.322436913287504</v>
      </c>
      <c r="AJ3967">
        <v>49.529601325749901</v>
      </c>
      <c r="AK3967">
        <v>11.937485313671999</v>
      </c>
      <c r="AL3967">
        <v>82.980162000663299</v>
      </c>
      <c r="AM3967">
        <v>60.452208196480697</v>
      </c>
      <c r="AN3967">
        <v>1.00000005162926</v>
      </c>
    </row>
    <row r="3968" spans="1:40" x14ac:dyDescent="0.25">
      <c r="A3968" t="str">
        <f>"20190312164106746"</f>
        <v>20190312164106746</v>
      </c>
      <c r="B3968" t="str">
        <f>"1552380066740118"</f>
        <v>1552380066740118</v>
      </c>
      <c r="C3968" t="s">
        <v>40</v>
      </c>
      <c r="D3968">
        <v>5.9032869999999997</v>
      </c>
      <c r="E3968">
        <v>0.57968799999999998</v>
      </c>
      <c r="F3968" t="s">
        <v>46</v>
      </c>
      <c r="G3968">
        <v>-192.12459999999999</v>
      </c>
      <c r="H3968" s="1">
        <v>7.13508E-6</v>
      </c>
      <c r="I3968">
        <v>200.27420000000001</v>
      </c>
      <c r="J3968">
        <v>-198.6782</v>
      </c>
      <c r="K3968">
        <v>1.107237</v>
      </c>
      <c r="L3968">
        <v>210.9067</v>
      </c>
      <c r="M3968">
        <v>0.95042939999999998</v>
      </c>
      <c r="N3968">
        <v>0</v>
      </c>
      <c r="O3968">
        <v>-0.31063540000000001</v>
      </c>
      <c r="P3968">
        <v>0.66863189999999995</v>
      </c>
      <c r="Q3968">
        <v>0.11553860000000001</v>
      </c>
      <c r="R3968">
        <v>-0.73456279999999996</v>
      </c>
      <c r="S3968">
        <v>1.6534580000000001</v>
      </c>
      <c r="T3968">
        <v>-0.27190579999999998</v>
      </c>
      <c r="U3968">
        <v>-2.62677</v>
      </c>
      <c r="V3968">
        <v>0.4914888</v>
      </c>
      <c r="W3968">
        <v>0.1235362</v>
      </c>
      <c r="X3968">
        <v>0.86207749999999905</v>
      </c>
      <c r="Y3968">
        <v>0.63776109999999997</v>
      </c>
      <c r="Z3968">
        <v>-2.7794389999999999E-3</v>
      </c>
      <c r="AA3968">
        <v>0.77022919999999995</v>
      </c>
      <c r="AB3968">
        <v>19</v>
      </c>
      <c r="AC3968">
        <v>6.5536000000000101</v>
      </c>
      <c r="AD3968">
        <v>-1.1072298649200001</v>
      </c>
      <c r="AE3968">
        <v>-10.632499999999901</v>
      </c>
      <c r="AF3968">
        <v>8.0074969014887092</v>
      </c>
      <c r="AG3968">
        <v>-1.1072298649200001</v>
      </c>
      <c r="AH3968">
        <v>9.4581398858654797</v>
      </c>
      <c r="AI3968">
        <v>95.105596852615804</v>
      </c>
      <c r="AJ3968">
        <v>49.747916452394101</v>
      </c>
      <c r="AK3968">
        <v>12.4419602435356</v>
      </c>
      <c r="AL3968">
        <v>82.903769142700597</v>
      </c>
      <c r="AM3968">
        <v>60.311611673569601</v>
      </c>
      <c r="AN3968">
        <v>1.0000000246210601</v>
      </c>
    </row>
    <row r="3969" spans="1:40" x14ac:dyDescent="0.25">
      <c r="A3969" t="str">
        <f>"20190312164106768"</f>
        <v>20190312164106768</v>
      </c>
      <c r="B3969" t="str">
        <f>"1552380066759638"</f>
        <v>1552380066759638</v>
      </c>
      <c r="C3969" t="s">
        <v>40</v>
      </c>
      <c r="D3969">
        <v>6.0585979999999999</v>
      </c>
      <c r="E3969">
        <v>0.57805220000000002</v>
      </c>
      <c r="F3969" t="s">
        <v>46</v>
      </c>
      <c r="G3969">
        <v>-191.83170000000001</v>
      </c>
      <c r="H3969" s="1">
        <v>7.3345970000000002E-6</v>
      </c>
      <c r="I3969">
        <v>199.93020000000001</v>
      </c>
      <c r="J3969">
        <v>-198.5033</v>
      </c>
      <c r="K3969">
        <v>1.1071549999999999</v>
      </c>
      <c r="L3969">
        <v>210.84229999999999</v>
      </c>
      <c r="M3969">
        <v>0.94857009999999997</v>
      </c>
      <c r="N3969">
        <v>0</v>
      </c>
      <c r="O3969">
        <v>-0.31626749999999998</v>
      </c>
      <c r="P3969">
        <v>0.66211489999999995</v>
      </c>
      <c r="Q3969">
        <v>0.1175385</v>
      </c>
      <c r="R3969">
        <v>-0.74012739999999999</v>
      </c>
      <c r="S3969">
        <v>1.6414789999999999</v>
      </c>
      <c r="T3969">
        <v>-0.26546609999999998</v>
      </c>
      <c r="U3969">
        <v>-2.6316830000000002</v>
      </c>
      <c r="V3969">
        <v>0.49374010000000002</v>
      </c>
      <c r="W3969">
        <v>0.12539410000000001</v>
      </c>
      <c r="X3969">
        <v>0.86052129999999905</v>
      </c>
      <c r="Y3969">
        <v>0.63643689999999997</v>
      </c>
      <c r="Z3969">
        <v>-2.0984300000000001E-3</v>
      </c>
      <c r="AA3969">
        <v>0.77132590000000001</v>
      </c>
      <c r="AB3969">
        <v>19</v>
      </c>
      <c r="AC3969">
        <v>6.6715999999999802</v>
      </c>
      <c r="AD3969">
        <v>-1.1071476654029999</v>
      </c>
      <c r="AE3969">
        <v>-10.912099999999899</v>
      </c>
      <c r="AF3969">
        <v>8.1803655546923206</v>
      </c>
      <c r="AG3969">
        <v>-1.1071476654029999</v>
      </c>
      <c r="AH3969">
        <v>9.7078073126472706</v>
      </c>
      <c r="AI3969">
        <v>94.9842775534852</v>
      </c>
      <c r="AJ3969">
        <v>49.8805540124442</v>
      </c>
      <c r="AK3969">
        <v>12.743063971466601</v>
      </c>
      <c r="AL3969">
        <v>82.796484424103994</v>
      </c>
      <c r="AM3969">
        <v>60.154149675364401</v>
      </c>
      <c r="AN3969">
        <v>0.99999993720825298</v>
      </c>
    </row>
    <row r="3970" spans="1:40" x14ac:dyDescent="0.25">
      <c r="A3970" t="str">
        <f>"20190312164106790"</f>
        <v>20190312164106790</v>
      </c>
      <c r="B3970" t="str">
        <f>"1552380066780134"</f>
        <v>1552380066780134</v>
      </c>
      <c r="C3970" t="s">
        <v>40</v>
      </c>
      <c r="D3970">
        <v>6.0029500000000002</v>
      </c>
      <c r="E3970">
        <v>0.57727030000000001</v>
      </c>
      <c r="F3970" t="s">
        <v>41</v>
      </c>
      <c r="G3970">
        <v>-191.51910000000001</v>
      </c>
      <c r="H3970" s="1">
        <v>-4.5395600000000003E-6</v>
      </c>
      <c r="I3970">
        <v>199.53460000000001</v>
      </c>
      <c r="J3970">
        <v>-198.32599999999999</v>
      </c>
      <c r="K3970">
        <v>1.107056</v>
      </c>
      <c r="L3970">
        <v>210.7756</v>
      </c>
      <c r="M3970">
        <v>0.94657519999999995</v>
      </c>
      <c r="N3970">
        <v>0</v>
      </c>
      <c r="O3970">
        <v>-0.32218859999999999</v>
      </c>
      <c r="P3970">
        <v>0.65580660000000002</v>
      </c>
      <c r="Q3970">
        <v>0.11864520000000001</v>
      </c>
      <c r="R3970">
        <v>-0.74554779999999998</v>
      </c>
      <c r="S3970">
        <v>1.62886</v>
      </c>
      <c r="T3970">
        <v>-0.25821319999999998</v>
      </c>
      <c r="U3970">
        <v>-2.6371920000000002</v>
      </c>
      <c r="V3970">
        <v>0.49554710000000002</v>
      </c>
      <c r="W3970">
        <v>0.12635539999999901</v>
      </c>
      <c r="X3970">
        <v>0.85934129999999997</v>
      </c>
      <c r="Y3970">
        <v>0.63508830000000005</v>
      </c>
      <c r="Z3970">
        <v>-1.412682E-3</v>
      </c>
      <c r="AA3970">
        <v>0.77243830000000002</v>
      </c>
      <c r="AB3970">
        <v>19</v>
      </c>
      <c r="AC3970">
        <v>6.8068999999999802</v>
      </c>
      <c r="AD3970">
        <v>-1.1070605395599999</v>
      </c>
      <c r="AE3970">
        <v>-11.2409999999999</v>
      </c>
      <c r="AF3970">
        <v>8.3886156782639194</v>
      </c>
      <c r="AG3970">
        <v>-1.1070605395599999</v>
      </c>
      <c r="AH3970">
        <v>9.9949876505247506</v>
      </c>
      <c r="AI3970">
        <v>94.849398605948494</v>
      </c>
      <c r="AJ3970">
        <v>49.993860596785197</v>
      </c>
      <c r="AK3970">
        <v>13.0955807114464</v>
      </c>
      <c r="AL3970">
        <v>82.740965156553699</v>
      </c>
      <c r="AM3970">
        <v>60.029703725434203</v>
      </c>
      <c r="AN3970">
        <v>1.00000004265662</v>
      </c>
    </row>
    <row r="3971" spans="1:40" x14ac:dyDescent="0.25">
      <c r="A3971" t="str">
        <f>"20190312164106813"</f>
        <v>20190312164106813</v>
      </c>
      <c r="B3971" t="str">
        <f>"1552380066810390"</f>
        <v>1552380066810390</v>
      </c>
      <c r="C3971" t="s">
        <v>40</v>
      </c>
      <c r="D3971">
        <v>5.9512559999999999</v>
      </c>
      <c r="E3971">
        <v>0.57760649999999902</v>
      </c>
      <c r="F3971" t="s">
        <v>41</v>
      </c>
      <c r="G3971">
        <v>-191.27629999999999</v>
      </c>
      <c r="H3971" s="1">
        <v>-4.3737049999999997E-6</v>
      </c>
      <c r="I3971">
        <v>199.1739</v>
      </c>
      <c r="J3971">
        <v>-198.1473</v>
      </c>
      <c r="K3971">
        <v>1.106951</v>
      </c>
      <c r="L3971">
        <v>210.70679999999999</v>
      </c>
      <c r="M3971">
        <v>0.94444879999999998</v>
      </c>
      <c r="N3971">
        <v>0</v>
      </c>
      <c r="O3971">
        <v>-0.32836939999999998</v>
      </c>
      <c r="P3971">
        <v>0.65011169999999996</v>
      </c>
      <c r="Q3971">
        <v>0.1180896</v>
      </c>
      <c r="R3971">
        <v>-0.7506062</v>
      </c>
      <c r="S3971">
        <v>1.609329</v>
      </c>
      <c r="T3971">
        <v>-0.2527238</v>
      </c>
      <c r="U3971">
        <v>-2.6484830000000001</v>
      </c>
      <c r="V3971">
        <v>0.49658780000000002</v>
      </c>
      <c r="W3971">
        <v>0.1256524</v>
      </c>
      <c r="X3971">
        <v>0.85884340000000003</v>
      </c>
      <c r="Y3971">
        <v>0.63571820000000001</v>
      </c>
      <c r="Z3971">
        <v>-8.5297409999999998E-4</v>
      </c>
      <c r="AA3971">
        <v>0.77192069999999902</v>
      </c>
      <c r="AB3971">
        <v>19</v>
      </c>
      <c r="AC3971">
        <v>6.8710000000000004</v>
      </c>
      <c r="AD3971">
        <v>-1.106955373705</v>
      </c>
      <c r="AE3971">
        <v>-11.5328999999999</v>
      </c>
      <c r="AF3971">
        <v>8.5785005873469</v>
      </c>
      <c r="AG3971">
        <v>-1.106955373705</v>
      </c>
      <c r="AH3971">
        <v>10.207929290129799</v>
      </c>
      <c r="AI3971">
        <v>94.745710922397905</v>
      </c>
      <c r="AJ3971">
        <v>49.957106267475297</v>
      </c>
      <c r="AK3971">
        <v>13.379754964825599</v>
      </c>
      <c r="AL3971">
        <v>82.781567226479694</v>
      </c>
      <c r="AM3971">
        <v>59.963271648310297</v>
      </c>
      <c r="AN3971">
        <v>0.99999997722907896</v>
      </c>
    </row>
    <row r="3972" spans="1:40" x14ac:dyDescent="0.25">
      <c r="A3972" t="str">
        <f>"20190312164106836"</f>
        <v>20190312164106836</v>
      </c>
      <c r="B3972" t="str">
        <f>"1552380066829913"</f>
        <v>1552380066829913</v>
      </c>
      <c r="C3972" t="s">
        <v>40</v>
      </c>
      <c r="D3972">
        <v>5.9699070000000001</v>
      </c>
      <c r="E3972">
        <v>0.57781490000000002</v>
      </c>
      <c r="F3972" t="s">
        <v>41</v>
      </c>
      <c r="G3972">
        <v>-191.46279999999999</v>
      </c>
      <c r="H3972" s="1">
        <v>-4.5098039999999997E-6</v>
      </c>
      <c r="I3972">
        <v>199.47649999999999</v>
      </c>
      <c r="J3972">
        <v>-197.9616</v>
      </c>
      <c r="K3972">
        <v>1.1068180000000001</v>
      </c>
      <c r="L3972">
        <v>210.6336</v>
      </c>
      <c r="M3972">
        <v>0.94210640000000001</v>
      </c>
      <c r="N3972">
        <v>0</v>
      </c>
      <c r="O3972">
        <v>-0.33502959999999998</v>
      </c>
      <c r="P3972">
        <v>0.64395590000000003</v>
      </c>
      <c r="Q3972">
        <v>0.11771189999999999</v>
      </c>
      <c r="R3972">
        <v>-0.75595299999999999</v>
      </c>
      <c r="S3972">
        <v>1.5859529999999999</v>
      </c>
      <c r="T3972">
        <v>-0.2626349</v>
      </c>
      <c r="U3972">
        <v>-2.6644739999999998</v>
      </c>
      <c r="V3972">
        <v>0.49763879999999999</v>
      </c>
      <c r="W3972">
        <v>0.1251051</v>
      </c>
      <c r="X3972">
        <v>0.85831480000000004</v>
      </c>
      <c r="Y3972">
        <v>0.63724879999999995</v>
      </c>
      <c r="Z3972">
        <v>-3.4072809999999997E-4</v>
      </c>
      <c r="AA3972">
        <v>0.77065810000000001</v>
      </c>
      <c r="AB3972">
        <v>19</v>
      </c>
      <c r="AC3972">
        <v>6.4988000000000099</v>
      </c>
      <c r="AD3972">
        <v>-1.1068225098039901</v>
      </c>
      <c r="AE3972">
        <v>-11.1571</v>
      </c>
      <c r="AF3972">
        <v>8.2738816140552203</v>
      </c>
      <c r="AG3972">
        <v>-1.1068225098039901</v>
      </c>
      <c r="AH3972">
        <v>9.7895248307749299</v>
      </c>
      <c r="AI3972">
        <v>94.935333930609403</v>
      </c>
      <c r="AJ3972">
        <v>49.796272598904999</v>
      </c>
      <c r="AK3972">
        <v>12.865339849532401</v>
      </c>
      <c r="AL3972">
        <v>82.813174633234397</v>
      </c>
      <c r="AM3972">
        <v>59.895447798985401</v>
      </c>
      <c r="AN3972">
        <v>0.99999997860524403</v>
      </c>
    </row>
    <row r="3973" spans="1:40" x14ac:dyDescent="0.25">
      <c r="A3973" t="str">
        <f>"20190312164106858"</f>
        <v>20190312164106858</v>
      </c>
      <c r="B3973" t="str">
        <f>"1552380066850409"</f>
        <v>1552380066850409</v>
      </c>
      <c r="C3973" t="s">
        <v>40</v>
      </c>
      <c r="D3973">
        <v>5.9976919999999998</v>
      </c>
      <c r="E3973">
        <v>0.57782500000000003</v>
      </c>
      <c r="F3973" t="s">
        <v>41</v>
      </c>
      <c r="G3973">
        <v>-191.5316</v>
      </c>
      <c r="H3973" s="1">
        <v>-4.5656650000000003E-6</v>
      </c>
      <c r="I3973">
        <v>199.60489999999999</v>
      </c>
      <c r="J3973">
        <v>-197.7895</v>
      </c>
      <c r="K3973">
        <v>1.1066819999999999</v>
      </c>
      <c r="L3973">
        <v>210.56399999999999</v>
      </c>
      <c r="M3973">
        <v>0.93980030000000003</v>
      </c>
      <c r="N3973">
        <v>0</v>
      </c>
      <c r="O3973">
        <v>-0.34144409999999997</v>
      </c>
      <c r="P3973">
        <v>0.63756119999999905</v>
      </c>
      <c r="Q3973">
        <v>0.11836430000000001</v>
      </c>
      <c r="R3973">
        <v>-0.76125259999999995</v>
      </c>
      <c r="S3973">
        <v>1.5622560000000001</v>
      </c>
      <c r="T3973">
        <v>-0.26891589999999999</v>
      </c>
      <c r="U3973">
        <v>-2.6795650000000002</v>
      </c>
      <c r="V3973">
        <v>0.49897780000000003</v>
      </c>
      <c r="W3973">
        <v>0.1255819</v>
      </c>
      <c r="X3973">
        <v>0.85746739999999999</v>
      </c>
      <c r="Y3973">
        <v>0.63893800000000001</v>
      </c>
      <c r="Z3973">
        <v>1.7753619999999999E-4</v>
      </c>
      <c r="AA3973">
        <v>0.769258199999999</v>
      </c>
      <c r="AB3973">
        <v>19</v>
      </c>
      <c r="AC3973">
        <v>6.2579000000000002</v>
      </c>
      <c r="AD3973">
        <v>-1.106686565665</v>
      </c>
      <c r="AE3973">
        <v>-10.959099999999999</v>
      </c>
      <c r="AF3973">
        <v>8.1011246656681095</v>
      </c>
      <c r="AG3973">
        <v>-1.106686565665</v>
      </c>
      <c r="AH3973">
        <v>9.5505718516970202</v>
      </c>
      <c r="AI3973">
        <v>95.049983233202795</v>
      </c>
      <c r="AJ3973">
        <v>49.694240268495903</v>
      </c>
      <c r="AK3973">
        <v>12.5724460109299</v>
      </c>
      <c r="AL3973">
        <v>82.785638998245901</v>
      </c>
      <c r="AM3973">
        <v>59.804000348472201</v>
      </c>
      <c r="AN3973">
        <v>1.0000000002816001</v>
      </c>
    </row>
    <row r="3974" spans="1:40" x14ac:dyDescent="0.25">
      <c r="A3974" t="str">
        <f>"20190312164106880"</f>
        <v>20190312164106880</v>
      </c>
      <c r="B3974" t="str">
        <f>"1552380066869926"</f>
        <v>1552380066869926</v>
      </c>
      <c r="C3974" t="s">
        <v>40</v>
      </c>
      <c r="D3974">
        <v>5.9803600000000001</v>
      </c>
      <c r="E3974">
        <v>0.57811800000000002</v>
      </c>
      <c r="F3974" t="s">
        <v>46</v>
      </c>
      <c r="G3974">
        <v>-191.5522</v>
      </c>
      <c r="H3974" s="1">
        <v>7.5030370000000004E-6</v>
      </c>
      <c r="I3974">
        <v>199.66419999999999</v>
      </c>
      <c r="J3974">
        <v>-197.61619999999999</v>
      </c>
      <c r="K3974">
        <v>1.1065510000000001</v>
      </c>
      <c r="L3974">
        <v>210.49209999999999</v>
      </c>
      <c r="M3974">
        <v>0.93732760000000004</v>
      </c>
      <c r="N3974">
        <v>0</v>
      </c>
      <c r="O3974">
        <v>-0.34817389999999998</v>
      </c>
      <c r="P3974">
        <v>0.63082749999999999</v>
      </c>
      <c r="Q3974">
        <v>0.1196889</v>
      </c>
      <c r="R3974">
        <v>-0.76663630000000005</v>
      </c>
      <c r="S3974">
        <v>1.5409389999999901</v>
      </c>
      <c r="T3974">
        <v>-0.27340360000000002</v>
      </c>
      <c r="U3974">
        <v>-2.6928100000000001</v>
      </c>
      <c r="V3974">
        <v>0.50025259999999905</v>
      </c>
      <c r="W3974">
        <v>0.1267257</v>
      </c>
      <c r="X3974">
        <v>0.85655590000000004</v>
      </c>
      <c r="Y3974">
        <v>0.63962849999999905</v>
      </c>
      <c r="Z3974">
        <v>8.0924109999999997E-4</v>
      </c>
      <c r="AA3974">
        <v>0.76868369999999997</v>
      </c>
      <c r="AB3974">
        <v>19</v>
      </c>
      <c r="AC3974">
        <v>6.0639999999999903</v>
      </c>
      <c r="AD3974">
        <v>-1.1065434969629999</v>
      </c>
      <c r="AE3974">
        <v>-10.8279</v>
      </c>
      <c r="AF3974">
        <v>7.9753297098757097</v>
      </c>
      <c r="AG3974">
        <v>-1.1065434969629999</v>
      </c>
      <c r="AH3974">
        <v>9.3802798528065097</v>
      </c>
      <c r="AI3974">
        <v>95.135499891730703</v>
      </c>
      <c r="AJ3974">
        <v>49.628046444685097</v>
      </c>
      <c r="AK3974">
        <v>12.3620375589489</v>
      </c>
      <c r="AL3974">
        <v>82.719576565244395</v>
      </c>
      <c r="AM3974">
        <v>59.713876837386103</v>
      </c>
      <c r="AN3974">
        <v>1.0000000383360199</v>
      </c>
    </row>
    <row r="3975" spans="1:40" x14ac:dyDescent="0.25">
      <c r="A3975" t="str">
        <f>"20190312164106903"</f>
        <v>20190312164106903</v>
      </c>
      <c r="B3975" t="str">
        <f>"1552380066900182"</f>
        <v>1552380066900182</v>
      </c>
      <c r="C3975" t="s">
        <v>40</v>
      </c>
      <c r="D3975">
        <v>5.9318910000000002</v>
      </c>
      <c r="E3975">
        <v>0.57843919999999904</v>
      </c>
      <c r="F3975" t="s">
        <v>41</v>
      </c>
      <c r="G3975">
        <v>-191.50909999999999</v>
      </c>
      <c r="H3975" s="1">
        <v>-4.5538140000000003E-6</v>
      </c>
      <c r="I3975">
        <v>199.58179999999999</v>
      </c>
      <c r="J3975">
        <v>-197.43879999999999</v>
      </c>
      <c r="K3975">
        <v>1.1064350000000001</v>
      </c>
      <c r="L3975">
        <v>210.41669999999999</v>
      </c>
      <c r="M3975">
        <v>0.93464860000000005</v>
      </c>
      <c r="N3975">
        <v>0</v>
      </c>
      <c r="O3975">
        <v>-0.3553019</v>
      </c>
      <c r="P3975">
        <v>0.62384759999999995</v>
      </c>
      <c r="Q3975">
        <v>0.1212308</v>
      </c>
      <c r="R3975">
        <v>-0.77208669999999902</v>
      </c>
      <c r="S3975">
        <v>1.5161129999999901</v>
      </c>
      <c r="T3975">
        <v>-0.27470620000000001</v>
      </c>
      <c r="U3975">
        <v>-2.708542</v>
      </c>
      <c r="V3975">
        <v>0.50133170000000005</v>
      </c>
      <c r="W3975">
        <v>0.1281101</v>
      </c>
      <c r="X3975">
        <v>0.8557186</v>
      </c>
      <c r="Y3975">
        <v>0.64105489999999998</v>
      </c>
      <c r="Z3975">
        <v>1.4413539999999999E-3</v>
      </c>
      <c r="AA3975">
        <v>0.76749369999999995</v>
      </c>
      <c r="AB3975">
        <v>19</v>
      </c>
      <c r="AC3975">
        <v>5.9296999999999898</v>
      </c>
      <c r="AD3975">
        <v>-1.1064395538139999</v>
      </c>
      <c r="AE3975">
        <v>-10.834899999999999</v>
      </c>
      <c r="AF3975">
        <v>7.9569114324899104</v>
      </c>
      <c r="AG3975">
        <v>-1.1064395538139999</v>
      </c>
      <c r="AH3975">
        <v>9.3179774008092906</v>
      </c>
      <c r="AI3975">
        <v>95.159765918846503</v>
      </c>
      <c r="AJ3975">
        <v>49.504953409411101</v>
      </c>
      <c r="AK3975">
        <v>12.302900100087101</v>
      </c>
      <c r="AL3975">
        <v>82.639604133648604</v>
      </c>
      <c r="AM3975">
        <v>59.635648690450502</v>
      </c>
      <c r="AN3975">
        <v>0.99999999676643003</v>
      </c>
    </row>
    <row r="3976" spans="1:40" x14ac:dyDescent="0.25">
      <c r="A3976" t="str">
        <f>"20190312164106926"</f>
        <v>20190312164106926</v>
      </c>
      <c r="B3976" t="str">
        <f>"1552380066919702"</f>
        <v>1552380066919702</v>
      </c>
      <c r="C3976" t="s">
        <v>40</v>
      </c>
      <c r="D3976">
        <v>6.0230519999999999</v>
      </c>
      <c r="E3976">
        <v>0.57869110000000001</v>
      </c>
      <c r="F3976" t="s">
        <v>41</v>
      </c>
      <c r="G3976">
        <v>-191.47890000000001</v>
      </c>
      <c r="H3976" s="1">
        <v>-4.52561699999999E-6</v>
      </c>
      <c r="I3976">
        <v>199.5147</v>
      </c>
      <c r="J3976">
        <v>-197.2578</v>
      </c>
      <c r="K3976">
        <v>1.1063270000000001</v>
      </c>
      <c r="L3976">
        <v>210.33770000000001</v>
      </c>
      <c r="M3976">
        <v>0.93175459999999999</v>
      </c>
      <c r="N3976">
        <v>0</v>
      </c>
      <c r="O3976">
        <v>-0.36282209999999998</v>
      </c>
      <c r="P3976">
        <v>0.61758009999999997</v>
      </c>
      <c r="Q3976">
        <v>0.1221348</v>
      </c>
      <c r="R3976">
        <v>-0.77696719999999997</v>
      </c>
      <c r="S3976">
        <v>1.489838</v>
      </c>
      <c r="T3976">
        <v>-0.2765821</v>
      </c>
      <c r="U3976">
        <v>-2.7252350000000001</v>
      </c>
      <c r="V3976">
        <v>0.50127290000000002</v>
      </c>
      <c r="W3976">
        <v>0.12889600000000001</v>
      </c>
      <c r="X3976">
        <v>0.85563509999999998</v>
      </c>
      <c r="Y3976">
        <v>0.64255669999999898</v>
      </c>
      <c r="Z3976">
        <v>2.1203160000000001E-3</v>
      </c>
      <c r="AA3976">
        <v>0.76623520000000001</v>
      </c>
      <c r="AB3976">
        <v>19</v>
      </c>
      <c r="AC3976">
        <v>5.7788999999999904</v>
      </c>
      <c r="AD3976">
        <v>-1.1063315256170001</v>
      </c>
      <c r="AE3976">
        <v>-10.823</v>
      </c>
      <c r="AF3976">
        <v>7.9240109079444103</v>
      </c>
      <c r="AG3976">
        <v>-1.1063315256170001</v>
      </c>
      <c r="AH3976">
        <v>9.2371349437129897</v>
      </c>
      <c r="AI3976">
        <v>95.194179380174205</v>
      </c>
      <c r="AJ3976">
        <v>49.3755904026997</v>
      </c>
      <c r="AK3976">
        <v>12.2204165347241</v>
      </c>
      <c r="AL3976">
        <v>82.5941994134986</v>
      </c>
      <c r="AM3976">
        <v>59.636141263440997</v>
      </c>
      <c r="AN3976">
        <v>1.0000000617211999</v>
      </c>
    </row>
    <row r="3977" spans="1:40" x14ac:dyDescent="0.25">
      <c r="A3977" t="str">
        <f>"20190312164106948"</f>
        <v>20190312164106948</v>
      </c>
      <c r="B3977" t="str">
        <f>"1552380066940199"</f>
        <v>1552380066940199</v>
      </c>
      <c r="C3977" t="s">
        <v>40</v>
      </c>
      <c r="D3977">
        <v>5.808586</v>
      </c>
      <c r="E3977">
        <v>0.57889029999999997</v>
      </c>
      <c r="F3977" t="s">
        <v>41</v>
      </c>
      <c r="G3977">
        <v>-191.4282</v>
      </c>
      <c r="H3977" s="1">
        <v>-4.4965400000000003E-6</v>
      </c>
      <c r="I3977">
        <v>199.4556</v>
      </c>
      <c r="J3977">
        <v>-197.08250000000001</v>
      </c>
      <c r="K3977">
        <v>1.106228</v>
      </c>
      <c r="L3977">
        <v>210.2593</v>
      </c>
      <c r="M3977">
        <v>0.92878419999999895</v>
      </c>
      <c r="N3977">
        <v>0</v>
      </c>
      <c r="O3977">
        <v>-0.3703593</v>
      </c>
      <c r="P3977">
        <v>0.61102270000000003</v>
      </c>
      <c r="Q3977">
        <v>0.12326579999999999</v>
      </c>
      <c r="R3977">
        <v>-0.78195740000000002</v>
      </c>
      <c r="S3977">
        <v>1.467163</v>
      </c>
      <c r="T3977">
        <v>-0.27843630000000003</v>
      </c>
      <c r="U3977">
        <v>-2.7387540000000001</v>
      </c>
      <c r="V3977">
        <v>0.50141979999999997</v>
      </c>
      <c r="W3977">
        <v>0.1299112</v>
      </c>
      <c r="X3977">
        <v>0.85539539999999903</v>
      </c>
      <c r="Y3977">
        <v>0.64286699999999997</v>
      </c>
      <c r="Z3977">
        <v>2.885608E-3</v>
      </c>
      <c r="AA3977">
        <v>0.7659724</v>
      </c>
      <c r="AB3977">
        <v>19</v>
      </c>
      <c r="AC3977">
        <v>5.6543000000000001</v>
      </c>
      <c r="AD3977">
        <v>-1.1062324965400001</v>
      </c>
      <c r="AE3977">
        <v>-10.8036999999999</v>
      </c>
      <c r="AF3977">
        <v>7.8761313964200301</v>
      </c>
      <c r="AG3977">
        <v>-1.1062324965400001</v>
      </c>
      <c r="AH3977">
        <v>9.1782341717355909</v>
      </c>
      <c r="AI3977">
        <v>95.226122238733794</v>
      </c>
      <c r="AJ3977">
        <v>49.366068745996202</v>
      </c>
      <c r="AK3977">
        <v>12.144841646612299</v>
      </c>
      <c r="AL3977">
        <v>82.535539161674393</v>
      </c>
      <c r="AM3977">
        <v>59.621815320796202</v>
      </c>
      <c r="AN3977">
        <v>1.0000000130293101</v>
      </c>
    </row>
    <row r="3978" spans="1:40" x14ac:dyDescent="0.25">
      <c r="A3978" t="str">
        <f>"20190312164106969"</f>
        <v>20190312164106969</v>
      </c>
      <c r="B3978" t="str">
        <f>"1552380066959718"</f>
        <v>1552380066959718</v>
      </c>
      <c r="C3978" t="s">
        <v>40</v>
      </c>
      <c r="D3978">
        <v>6.0023350000000004</v>
      </c>
      <c r="E3978">
        <v>0.57862819999999904</v>
      </c>
      <c r="F3978" t="s">
        <v>41</v>
      </c>
      <c r="G3978">
        <v>-191.39150000000001</v>
      </c>
      <c r="H3978" s="1">
        <v>-4.4716760000000001E-6</v>
      </c>
      <c r="I3978">
        <v>199.40170000000001</v>
      </c>
      <c r="J3978">
        <v>-196.92060000000001</v>
      </c>
      <c r="K3978">
        <v>1.106125</v>
      </c>
      <c r="L3978">
        <v>210.18510000000001</v>
      </c>
      <c r="M3978">
        <v>0.92587920000000001</v>
      </c>
      <c r="N3978">
        <v>0</v>
      </c>
      <c r="O3978">
        <v>-0.3775618</v>
      </c>
      <c r="P3978">
        <v>0.60467839999999995</v>
      </c>
      <c r="Q3978">
        <v>0.12449060000000001</v>
      </c>
      <c r="R3978">
        <v>-0.78668059999999995</v>
      </c>
      <c r="S3978">
        <v>1.4430540000000001</v>
      </c>
      <c r="T3978">
        <v>-0.28050589999999997</v>
      </c>
      <c r="U3978">
        <v>-2.7531430000000001</v>
      </c>
      <c r="V3978">
        <v>0.5015655</v>
      </c>
      <c r="W3978">
        <v>0.1310151</v>
      </c>
      <c r="X3978">
        <v>0.85514159999999995</v>
      </c>
      <c r="Y3978">
        <v>0.64383550000000001</v>
      </c>
      <c r="Z3978">
        <v>3.5898950000000001E-3</v>
      </c>
      <c r="AA3978">
        <v>0.76515549999999999</v>
      </c>
      <c r="AB3978">
        <v>19</v>
      </c>
      <c r="AC3978">
        <v>5.5290999999999997</v>
      </c>
      <c r="AD3978">
        <v>-1.106129471676</v>
      </c>
      <c r="AE3978">
        <v>-10.7834</v>
      </c>
      <c r="AF3978">
        <v>7.8320641503130597</v>
      </c>
      <c r="AG3978">
        <v>-1.106129471676</v>
      </c>
      <c r="AH3978">
        <v>9.1156258309921707</v>
      </c>
      <c r="AI3978">
        <v>95.258589196799704</v>
      </c>
      <c r="AJ3978">
        <v>49.331123264750602</v>
      </c>
      <c r="AK3978">
        <v>12.0689430172397</v>
      </c>
      <c r="AL3978">
        <v>82.471745251334596</v>
      </c>
      <c r="AM3978">
        <v>59.6071330986764</v>
      </c>
      <c r="AN3978">
        <v>1.0000000316344</v>
      </c>
    </row>
    <row r="3979" spans="1:40" x14ac:dyDescent="0.25">
      <c r="A3979" t="str">
        <f>"20190312164106993"</f>
        <v>20190312164106993</v>
      </c>
      <c r="B3979" t="str">
        <f>"1552380066989975"</f>
        <v>1552380066989975</v>
      </c>
      <c r="C3979" t="s">
        <v>40</v>
      </c>
      <c r="D3979">
        <v>6.1141930000000002</v>
      </c>
      <c r="E3979">
        <v>0.57835969999999903</v>
      </c>
      <c r="F3979" t="s">
        <v>41</v>
      </c>
      <c r="G3979">
        <v>-191.2114</v>
      </c>
      <c r="H3979" s="1">
        <v>-4.3324430000000004E-6</v>
      </c>
      <c r="I3979">
        <v>199.0864</v>
      </c>
      <c r="J3979">
        <v>-196.73869999999999</v>
      </c>
      <c r="K3979">
        <v>1.10598</v>
      </c>
      <c r="L3979">
        <v>210.09950000000001</v>
      </c>
      <c r="M3979">
        <v>0.92241569999999995</v>
      </c>
      <c r="N3979">
        <v>0</v>
      </c>
      <c r="O3979">
        <v>-0.38594499999999998</v>
      </c>
      <c r="P3979">
        <v>0.59652019999999994</v>
      </c>
      <c r="Q3979">
        <v>0.1262025</v>
      </c>
      <c r="R3979">
        <v>-0.79261409999999999</v>
      </c>
      <c r="S3979">
        <v>1.4218900000000001</v>
      </c>
      <c r="T3979">
        <v>-0.27548349999999999</v>
      </c>
      <c r="U3979">
        <v>-2.7641450000000001</v>
      </c>
      <c r="V3979">
        <v>0.50246139999999995</v>
      </c>
      <c r="W3979">
        <v>0.1325527</v>
      </c>
      <c r="X3979">
        <v>0.85437830000000003</v>
      </c>
      <c r="Y3979">
        <v>0.64283400000000002</v>
      </c>
      <c r="Z3979">
        <v>4.4396519999999997E-3</v>
      </c>
      <c r="AA3979">
        <v>0.76599269999999997</v>
      </c>
      <c r="AB3979">
        <v>19</v>
      </c>
      <c r="AC3979">
        <v>5.5272999999999897</v>
      </c>
      <c r="AD3979">
        <v>-1.1059843324430001</v>
      </c>
      <c r="AE3979">
        <v>-11.0131</v>
      </c>
      <c r="AF3979">
        <v>7.9620665670989101</v>
      </c>
      <c r="AG3979">
        <v>-1.1059843324430001</v>
      </c>
      <c r="AH3979">
        <v>9.2751149723310196</v>
      </c>
      <c r="AI3979">
        <v>95.1699109484275</v>
      </c>
      <c r="AJ3979">
        <v>49.356113566160701</v>
      </c>
      <c r="AK3979">
        <v>12.2737713483868</v>
      </c>
      <c r="AL3979">
        <v>82.382871734865503</v>
      </c>
      <c r="AM3979">
        <v>59.540138630539502</v>
      </c>
      <c r="AN3979">
        <v>0.99999997813906905</v>
      </c>
    </row>
    <row r="3980" spans="1:40" x14ac:dyDescent="0.25">
      <c r="A3980" t="str">
        <f>"20190312164107015"</f>
        <v>20190312164107015</v>
      </c>
      <c r="B3980" t="str">
        <f>"1552380067010471"</f>
        <v>1552380067010471</v>
      </c>
      <c r="C3980" t="s">
        <v>40</v>
      </c>
      <c r="D3980">
        <v>5.996092</v>
      </c>
      <c r="E3980">
        <v>0.57844709999999999</v>
      </c>
      <c r="F3980" t="s">
        <v>41</v>
      </c>
      <c r="G3980">
        <v>-191.0317</v>
      </c>
      <c r="H3980" s="1">
        <v>-4.1832419999999999E-6</v>
      </c>
      <c r="I3980">
        <v>198.74170000000001</v>
      </c>
      <c r="J3980">
        <v>-196.57339999999999</v>
      </c>
      <c r="K3980">
        <v>1.1058319999999999</v>
      </c>
      <c r="L3980">
        <v>210.0196</v>
      </c>
      <c r="M3980">
        <v>0.91907030000000001</v>
      </c>
      <c r="N3980">
        <v>0</v>
      </c>
      <c r="O3980">
        <v>-0.39384370000000002</v>
      </c>
      <c r="P3980">
        <v>0.58868830000000005</v>
      </c>
      <c r="Q3980">
        <v>0.12685779999999999</v>
      </c>
      <c r="R3980">
        <v>-0.7983441</v>
      </c>
      <c r="S3980">
        <v>1.3956759999999999</v>
      </c>
      <c r="T3980">
        <v>-0.27047320000000002</v>
      </c>
      <c r="U3980">
        <v>-2.7776179999999999</v>
      </c>
      <c r="V3980">
        <v>0.50350790000000001</v>
      </c>
      <c r="W3980">
        <v>0.133025799999999</v>
      </c>
      <c r="X3980">
        <v>0.85368849999999996</v>
      </c>
      <c r="Y3980">
        <v>0.64358169999999904</v>
      </c>
      <c r="Z3980">
        <v>5.1066499999999999E-3</v>
      </c>
      <c r="AA3980">
        <v>0.76536040000000005</v>
      </c>
      <c r="AB3980">
        <v>19</v>
      </c>
      <c r="AC3980">
        <v>5.5416999999999899</v>
      </c>
      <c r="AD3980">
        <v>-1.1058361832419901</v>
      </c>
      <c r="AE3980">
        <v>-11.277899999999899</v>
      </c>
      <c r="AF3980">
        <v>8.1205353171250199</v>
      </c>
      <c r="AG3980">
        <v>-1.1058361832419901</v>
      </c>
      <c r="AH3980">
        <v>9.4625972828045395</v>
      </c>
      <c r="AI3980">
        <v>95.067993983105595</v>
      </c>
      <c r="AJ3980">
        <v>49.364733239385203</v>
      </c>
      <c r="AK3980">
        <v>12.518255263309699</v>
      </c>
      <c r="AL3980">
        <v>82.355523551945595</v>
      </c>
      <c r="AM3980">
        <v>59.467775485463399</v>
      </c>
      <c r="AN3980">
        <v>1.0000000619301399</v>
      </c>
    </row>
    <row r="3981" spans="1:40" x14ac:dyDescent="0.25">
      <c r="A3981" t="str">
        <f>"20190312164107036"</f>
        <v>20190312164107036</v>
      </c>
      <c r="B3981" t="str">
        <f>"1552380067029993"</f>
        <v>1552380067029993</v>
      </c>
      <c r="C3981" t="s">
        <v>40</v>
      </c>
      <c r="D3981">
        <v>6.0604849999999999</v>
      </c>
      <c r="E3981">
        <v>0.57855719999999899</v>
      </c>
      <c r="F3981" t="s">
        <v>41</v>
      </c>
      <c r="G3981">
        <v>-191.01820000000001</v>
      </c>
      <c r="H3981" s="1">
        <v>-4.1612430000000002E-6</v>
      </c>
      <c r="I3981">
        <v>198.6841</v>
      </c>
      <c r="J3981">
        <v>-196.4033</v>
      </c>
      <c r="K3981">
        <v>1.1056619999999999</v>
      </c>
      <c r="L3981">
        <v>209.93520000000001</v>
      </c>
      <c r="M3981">
        <v>0.91541459999999997</v>
      </c>
      <c r="N3981">
        <v>0</v>
      </c>
      <c r="O3981">
        <v>-0.40226590000000001</v>
      </c>
      <c r="P3981">
        <v>0.58100739999999995</v>
      </c>
      <c r="Q3981">
        <v>0.12748860000000001</v>
      </c>
      <c r="R3981">
        <v>-0.80385150000000005</v>
      </c>
      <c r="S3981">
        <v>1.3683320000000001</v>
      </c>
      <c r="T3981">
        <v>-0.27238210000000002</v>
      </c>
      <c r="U3981">
        <v>-2.7920989999999999</v>
      </c>
      <c r="V3981">
        <v>0.50382749999999998</v>
      </c>
      <c r="W3981">
        <v>0.13347139999999999</v>
      </c>
      <c r="X3981">
        <v>0.85343029999999998</v>
      </c>
      <c r="Y3981">
        <v>0.64418109999999995</v>
      </c>
      <c r="Z3981">
        <v>5.9586279999999997E-3</v>
      </c>
      <c r="AA3981">
        <v>0.76484980000000002</v>
      </c>
      <c r="AB3981">
        <v>19</v>
      </c>
      <c r="AC3981">
        <v>5.3850999999999898</v>
      </c>
      <c r="AD3981">
        <v>-1.1056661612430001</v>
      </c>
      <c r="AE3981">
        <v>-11.251099999999999</v>
      </c>
      <c r="AF3981">
        <v>8.0705721605199994</v>
      </c>
      <c r="AG3981">
        <v>-1.1056661612430001</v>
      </c>
      <c r="AH3981">
        <v>9.3827469703219997</v>
      </c>
      <c r="AI3981">
        <v>95.105146989997294</v>
      </c>
      <c r="AJ3981">
        <v>49.2995206377906</v>
      </c>
      <c r="AK3981">
        <v>12.425480810309301</v>
      </c>
      <c r="AL3981">
        <v>82.329762518142303</v>
      </c>
      <c r="AM3981">
        <v>59.444276970479699</v>
      </c>
      <c r="AN3981">
        <v>1.0000000206661499</v>
      </c>
    </row>
    <row r="3982" spans="1:40" x14ac:dyDescent="0.25">
      <c r="A3982" t="str">
        <f>"20190312164107059"</f>
        <v>20190312164107059</v>
      </c>
      <c r="B3982" t="str">
        <f>"1552380067050490"</f>
        <v>1552380067050490</v>
      </c>
      <c r="C3982" t="s">
        <v>40</v>
      </c>
      <c r="D3982">
        <v>6.0201580000000003</v>
      </c>
      <c r="E3982">
        <v>0.57860059999999902</v>
      </c>
      <c r="F3982" t="s">
        <v>41</v>
      </c>
      <c r="G3982">
        <v>-190.9487</v>
      </c>
      <c r="H3982" s="1">
        <v>-4.0760740000000004E-6</v>
      </c>
      <c r="I3982">
        <v>198.50210000000001</v>
      </c>
      <c r="J3982">
        <v>-196.23689999999999</v>
      </c>
      <c r="K3982">
        <v>1.105494</v>
      </c>
      <c r="L3982">
        <v>209.8501</v>
      </c>
      <c r="M3982">
        <v>0.91160280000000005</v>
      </c>
      <c r="N3982">
        <v>0</v>
      </c>
      <c r="O3982">
        <v>-0.41083019999999998</v>
      </c>
      <c r="P3982">
        <v>0.57244050000000002</v>
      </c>
      <c r="Q3982">
        <v>0.12945899999999999</v>
      </c>
      <c r="R3982">
        <v>-0.80966199999999999</v>
      </c>
      <c r="S3982">
        <v>1.3392329999999999</v>
      </c>
      <c r="T3982">
        <v>-0.2714703</v>
      </c>
      <c r="U3982">
        <v>-2.8071139999999999</v>
      </c>
      <c r="V3982">
        <v>0.50468570000000001</v>
      </c>
      <c r="W3982">
        <v>0.1352438</v>
      </c>
      <c r="X3982">
        <v>0.85264379999999995</v>
      </c>
      <c r="Y3982">
        <v>0.64509030000000001</v>
      </c>
      <c r="Z3982">
        <v>6.7509019999999996E-3</v>
      </c>
      <c r="AA3982">
        <v>0.76407650000000005</v>
      </c>
      <c r="AB3982">
        <v>19</v>
      </c>
      <c r="AC3982">
        <v>5.2881999999999802</v>
      </c>
      <c r="AD3982">
        <v>-1.1054980760740001</v>
      </c>
      <c r="AE3982">
        <v>-11.3479999999999</v>
      </c>
      <c r="AF3982">
        <v>8.1098958562346795</v>
      </c>
      <c r="AG3982">
        <v>-1.1054980760740001</v>
      </c>
      <c r="AH3982">
        <v>9.4104087609387292</v>
      </c>
      <c r="AI3982">
        <v>95.085320079468502</v>
      </c>
      <c r="AJ3982">
        <v>49.245217049061601</v>
      </c>
      <c r="AK3982">
        <v>12.4719016129509</v>
      </c>
      <c r="AL3982">
        <v>82.227282071706</v>
      </c>
      <c r="AM3982">
        <v>59.3784197832559</v>
      </c>
      <c r="AN3982">
        <v>0.99999999545068496</v>
      </c>
    </row>
    <row r="3983" spans="1:40" x14ac:dyDescent="0.25">
      <c r="A3983" t="str">
        <f>"20190312164107081"</f>
        <v>20190312164107081</v>
      </c>
      <c r="B3983" t="str">
        <f>"1552380067070006"</f>
        <v>1552380067070006</v>
      </c>
      <c r="C3983" t="s">
        <v>40</v>
      </c>
      <c r="D3983">
        <v>6.0230959999999998</v>
      </c>
      <c r="E3983">
        <v>0.57865849999999996</v>
      </c>
      <c r="F3983" t="s">
        <v>41</v>
      </c>
      <c r="G3983">
        <v>-190.81880000000001</v>
      </c>
      <c r="H3983" s="1">
        <v>-3.8951290000000004E-6</v>
      </c>
      <c r="I3983">
        <v>198.1609</v>
      </c>
      <c r="J3983">
        <v>-196.07079999999999</v>
      </c>
      <c r="K3983">
        <v>1.105334</v>
      </c>
      <c r="L3983">
        <v>209.76259999999999</v>
      </c>
      <c r="M3983">
        <v>0.90754489999999999</v>
      </c>
      <c r="N3983">
        <v>0</v>
      </c>
      <c r="O3983">
        <v>-0.41971639999999999</v>
      </c>
      <c r="P3983">
        <v>0.5626331</v>
      </c>
      <c r="Q3983">
        <v>0.13127920000000001</v>
      </c>
      <c r="R3983">
        <v>-0.81621659999999996</v>
      </c>
      <c r="S3983">
        <v>1.3084260000000001</v>
      </c>
      <c r="T3983">
        <v>-0.26696880000000001</v>
      </c>
      <c r="U3983">
        <v>-2.822845</v>
      </c>
      <c r="V3983">
        <v>0.50645799999999996</v>
      </c>
      <c r="W3983">
        <v>0.13685559999999999</v>
      </c>
      <c r="X3983">
        <v>0.8513347</v>
      </c>
      <c r="Y3983">
        <v>0.64616759999999995</v>
      </c>
      <c r="Z3983">
        <v>7.4629219999999899E-3</v>
      </c>
      <c r="AA3983">
        <v>0.76315900000000003</v>
      </c>
      <c r="AB3983">
        <v>19</v>
      </c>
      <c r="AC3983">
        <v>5.2519999999999802</v>
      </c>
      <c r="AD3983">
        <v>-1.105337895129</v>
      </c>
      <c r="AE3983">
        <v>-11.6016999999999</v>
      </c>
      <c r="AF3983">
        <v>8.2632975352126703</v>
      </c>
      <c r="AG3983">
        <v>-1.105337895129</v>
      </c>
      <c r="AH3983">
        <v>9.5647610610028195</v>
      </c>
      <c r="AI3983">
        <v>94.997710636879106</v>
      </c>
      <c r="AJ3983">
        <v>49.1752346377178</v>
      </c>
      <c r="AK3983">
        <v>12.688124848532</v>
      </c>
      <c r="AL3983">
        <v>82.134065769929293</v>
      </c>
      <c r="AM3983">
        <v>59.251636507035002</v>
      </c>
      <c r="AN3983">
        <v>0.99999996621972398</v>
      </c>
    </row>
    <row r="3984" spans="1:40" x14ac:dyDescent="0.25">
      <c r="A3984" t="str">
        <f>"20190312164107104"</f>
        <v>20190312164107104</v>
      </c>
      <c r="B3984" t="str">
        <f>"1552380067100261"</f>
        <v>1552380067100261</v>
      </c>
      <c r="C3984" t="s">
        <v>40</v>
      </c>
      <c r="D3984">
        <v>6.0708960000000003</v>
      </c>
      <c r="E3984">
        <v>0.57836399999999999</v>
      </c>
      <c r="F3984" t="s">
        <v>41</v>
      </c>
      <c r="G3984">
        <v>-190.75020000000001</v>
      </c>
      <c r="H3984" s="1">
        <v>-3.77189E-6</v>
      </c>
      <c r="I3984">
        <v>197.9162</v>
      </c>
      <c r="J3984">
        <v>-195.90289999999999</v>
      </c>
      <c r="K3984">
        <v>1.1052</v>
      </c>
      <c r="L3984">
        <v>209.67179999999999</v>
      </c>
      <c r="M3984">
        <v>0.90320100000000003</v>
      </c>
      <c r="N3984">
        <v>0</v>
      </c>
      <c r="O3984">
        <v>-0.42898269999999999</v>
      </c>
      <c r="P3984">
        <v>0.55326379999999997</v>
      </c>
      <c r="Q3984">
        <v>0.1324215</v>
      </c>
      <c r="R3984">
        <v>-0.82241350000000002</v>
      </c>
      <c r="S3984">
        <v>1.2751159999999999</v>
      </c>
      <c r="T3984">
        <v>-0.26490340000000001</v>
      </c>
      <c r="U3984">
        <v>-2.8391109999999999</v>
      </c>
      <c r="V3984">
        <v>0.50737849999999995</v>
      </c>
      <c r="W3984">
        <v>0.1378414</v>
      </c>
      <c r="X3984">
        <v>0.85062729999999998</v>
      </c>
      <c r="Y3984">
        <v>0.64747849999999996</v>
      </c>
      <c r="Z3984">
        <v>8.2507039999999993E-3</v>
      </c>
      <c r="AA3984">
        <v>0.76203909999999997</v>
      </c>
      <c r="AB3984">
        <v>18</v>
      </c>
      <c r="AC3984">
        <v>5.1526999999999799</v>
      </c>
      <c r="AD3984">
        <v>-1.1052037718900001</v>
      </c>
      <c r="AE3984">
        <v>-11.7555999999999</v>
      </c>
      <c r="AF3984">
        <v>8.3462170288935695</v>
      </c>
      <c r="AG3984">
        <v>-1.1052037718900001</v>
      </c>
      <c r="AH3984">
        <v>9.6264771577234001</v>
      </c>
      <c r="AI3984">
        <v>94.9577195575947</v>
      </c>
      <c r="AJ3984">
        <v>49.074503624782103</v>
      </c>
      <c r="AK3984">
        <v>12.788662030836599</v>
      </c>
      <c r="AL3984">
        <v>82.077043429378094</v>
      </c>
      <c r="AM3984">
        <v>59.184951170176198</v>
      </c>
      <c r="AN3984">
        <v>0.99999999866074996</v>
      </c>
    </row>
    <row r="3985" spans="1:40" x14ac:dyDescent="0.25">
      <c r="A3985" t="str">
        <f>"20190312164107127"</f>
        <v>20190312164107127</v>
      </c>
      <c r="B3985" t="str">
        <f>"1552380067119782"</f>
        <v>1552380067119782</v>
      </c>
      <c r="C3985" t="s">
        <v>40</v>
      </c>
      <c r="D3985">
        <v>6.2242680000000004</v>
      </c>
      <c r="E3985">
        <v>0.57828939999999995</v>
      </c>
      <c r="F3985" t="s">
        <v>41</v>
      </c>
      <c r="G3985">
        <v>-190.6481</v>
      </c>
      <c r="H3985" s="1">
        <v>-3.6188829999999999E-6</v>
      </c>
      <c r="I3985">
        <v>197.62289999999999</v>
      </c>
      <c r="J3985">
        <v>-195.732</v>
      </c>
      <c r="K3985">
        <v>1.105089</v>
      </c>
      <c r="L3985">
        <v>209.57650000000001</v>
      </c>
      <c r="M3985">
        <v>0.8985187</v>
      </c>
      <c r="N3985">
        <v>0</v>
      </c>
      <c r="O3985">
        <v>-0.43870379999999998</v>
      </c>
      <c r="P3985">
        <v>0.54347489999999998</v>
      </c>
      <c r="Q3985">
        <v>0.13366</v>
      </c>
      <c r="R3985">
        <v>-0.82871600000000001</v>
      </c>
      <c r="S3985">
        <v>1.244202</v>
      </c>
      <c r="T3985">
        <v>-0.26168190000000002</v>
      </c>
      <c r="U3985">
        <v>-2.8528440000000002</v>
      </c>
      <c r="V3985">
        <v>0.50816600000000001</v>
      </c>
      <c r="W3985">
        <v>0.13894779999999901</v>
      </c>
      <c r="X3985">
        <v>0.84997699999999998</v>
      </c>
      <c r="Y3985">
        <v>0.6475824</v>
      </c>
      <c r="Z3985">
        <v>9.1049110000000003E-3</v>
      </c>
      <c r="AA3985">
        <v>0.76194110000000004</v>
      </c>
      <c r="AB3985">
        <v>18</v>
      </c>
      <c r="AC3985">
        <v>5.0838999999999999</v>
      </c>
      <c r="AD3985">
        <v>-1.1050926188829999</v>
      </c>
      <c r="AE3985">
        <v>-11.9536</v>
      </c>
      <c r="AF3985">
        <v>8.4499144078548305</v>
      </c>
      <c r="AG3985">
        <v>-1.1050926188829999</v>
      </c>
      <c r="AH3985">
        <v>9.7425531521184805</v>
      </c>
      <c r="AI3985">
        <v>94.897693086250101</v>
      </c>
      <c r="AJ3985">
        <v>49.064236072458499</v>
      </c>
      <c r="AK3985">
        <v>12.9437098668904</v>
      </c>
      <c r="AL3985">
        <v>82.013035750262802</v>
      </c>
      <c r="AM3985">
        <v>59.1265472211714</v>
      </c>
      <c r="AN3985">
        <v>1.0000000376049101</v>
      </c>
    </row>
    <row r="3986" spans="1:40" x14ac:dyDescent="0.25">
      <c r="A3986" t="str">
        <f>"20190312164107151"</f>
        <v>20190312164107151</v>
      </c>
      <c r="B3986" t="str">
        <f>"1552380067140278"</f>
        <v>1552380067140278</v>
      </c>
      <c r="C3986" t="s">
        <v>40</v>
      </c>
      <c r="D3986">
        <v>6.2318369999999996</v>
      </c>
      <c r="E3986">
        <v>0.57815079999999996</v>
      </c>
      <c r="F3986" t="s">
        <v>41</v>
      </c>
      <c r="G3986">
        <v>-190.5401</v>
      </c>
      <c r="H3986" s="1">
        <v>-3.4371870000000002E-6</v>
      </c>
      <c r="I3986">
        <v>197.2663</v>
      </c>
      <c r="J3986">
        <v>-195.56030000000001</v>
      </c>
      <c r="K3986">
        <v>1.104983</v>
      </c>
      <c r="L3986">
        <v>209.47810000000001</v>
      </c>
      <c r="M3986">
        <v>0.89353050000000001</v>
      </c>
      <c r="N3986">
        <v>0</v>
      </c>
      <c r="O3986">
        <v>-0.44877440000000002</v>
      </c>
      <c r="P3986">
        <v>0.53317609999999904</v>
      </c>
      <c r="Q3986">
        <v>0.13563310000000001</v>
      </c>
      <c r="R3986">
        <v>-0.83506100000000005</v>
      </c>
      <c r="S3986">
        <v>1.2097020000000001</v>
      </c>
      <c r="T3986">
        <v>-0.25748569999999998</v>
      </c>
      <c r="U3986">
        <v>-2.8682859999999999</v>
      </c>
      <c r="V3986">
        <v>0.50891920000000002</v>
      </c>
      <c r="W3986">
        <v>0.1407921</v>
      </c>
      <c r="X3986">
        <v>0.84922249999999999</v>
      </c>
      <c r="Y3986">
        <v>0.64831629999999996</v>
      </c>
      <c r="Z3986">
        <v>9.9001169999999999E-3</v>
      </c>
      <c r="AA3986">
        <v>0.76130679999999995</v>
      </c>
      <c r="AB3986">
        <v>18</v>
      </c>
      <c r="AC3986">
        <v>5.0202000000000098</v>
      </c>
      <c r="AD3986">
        <v>-1.104986437187</v>
      </c>
      <c r="AE3986">
        <v>-12.2118</v>
      </c>
      <c r="AF3986">
        <v>8.5993362471298909</v>
      </c>
      <c r="AG3986">
        <v>-1.104986437187</v>
      </c>
      <c r="AH3986">
        <v>9.8977427251881096</v>
      </c>
      <c r="AI3986">
        <v>94.817248698665495</v>
      </c>
      <c r="AJ3986">
        <v>49.015303377268602</v>
      </c>
      <c r="AK3986">
        <v>13.1580731861311</v>
      </c>
      <c r="AL3986">
        <v>81.906315848429301</v>
      </c>
      <c r="AM3986">
        <v>59.066728125838303</v>
      </c>
      <c r="AN3986">
        <v>1.00000001102864</v>
      </c>
    </row>
    <row r="3987" spans="1:40" x14ac:dyDescent="0.25">
      <c r="A3987" t="str">
        <f>"20190312164107171"</f>
        <v>20190312164107171</v>
      </c>
      <c r="B3987" t="str">
        <f>"1552380067159798"</f>
        <v>1552380067159798</v>
      </c>
      <c r="C3987" t="s">
        <v>40</v>
      </c>
      <c r="D3987">
        <v>6.0521510000000003</v>
      </c>
      <c r="E3987">
        <v>0.57784650000000004</v>
      </c>
      <c r="F3987" t="s">
        <v>41</v>
      </c>
      <c r="G3987">
        <v>-190.35169999999999</v>
      </c>
      <c r="H3987" s="1">
        <v>-3.1337120000000001E-6</v>
      </c>
      <c r="I3987">
        <v>196.67570000000001</v>
      </c>
      <c r="J3987">
        <v>-195.4111</v>
      </c>
      <c r="K3987">
        <v>1.1048819999999999</v>
      </c>
      <c r="L3987">
        <v>209.39</v>
      </c>
      <c r="M3987">
        <v>0.88893750000000005</v>
      </c>
      <c r="N3987">
        <v>0</v>
      </c>
      <c r="O3987">
        <v>-0.45780359999999998</v>
      </c>
      <c r="P3987">
        <v>0.52443280000000003</v>
      </c>
      <c r="Q3987">
        <v>0.1369754</v>
      </c>
      <c r="R3987">
        <v>-0.840362099999999</v>
      </c>
      <c r="S3987">
        <v>1.1732940000000001</v>
      </c>
      <c r="T3987">
        <v>-0.24890860000000001</v>
      </c>
      <c r="U3987">
        <v>-2.8838499999999998</v>
      </c>
      <c r="V3987">
        <v>0.50904450000000001</v>
      </c>
      <c r="W3987">
        <v>0.1420227</v>
      </c>
      <c r="X3987">
        <v>0.84894239999999999</v>
      </c>
      <c r="Y3987">
        <v>0.65034159999999996</v>
      </c>
      <c r="Z3987">
        <v>1.0318219999999999E-2</v>
      </c>
      <c r="AA3987">
        <v>0.75957180000000002</v>
      </c>
      <c r="AB3987">
        <v>18</v>
      </c>
      <c r="AC3987">
        <v>5.0594000000000099</v>
      </c>
      <c r="AD3987">
        <v>-1.10488513371199</v>
      </c>
      <c r="AE3987">
        <v>-12.7142999999999</v>
      </c>
      <c r="AF3987">
        <v>8.9287218988565602</v>
      </c>
      <c r="AG3987">
        <v>-1.10488513371199</v>
      </c>
      <c r="AH3987">
        <v>10.2523658804558</v>
      </c>
      <c r="AI3987">
        <v>94.646185073518794</v>
      </c>
      <c r="AJ3987">
        <v>48.947595333246703</v>
      </c>
      <c r="AK3987">
        <v>13.6401558661385</v>
      </c>
      <c r="AL3987">
        <v>81.835091662974094</v>
      </c>
      <c r="AM3987">
        <v>59.052172954433999</v>
      </c>
      <c r="AN3987">
        <v>0.99999997440664901</v>
      </c>
    </row>
    <row r="3988" spans="1:40" x14ac:dyDescent="0.25">
      <c r="A3988" t="str">
        <f>"20190312164107193"</f>
        <v>20190312164107193</v>
      </c>
      <c r="B3988" t="str">
        <f>"1552380067190055"</f>
        <v>1552380067190055</v>
      </c>
      <c r="C3988" t="s">
        <v>40</v>
      </c>
      <c r="D3988">
        <v>6.0833130000000004</v>
      </c>
      <c r="E3988">
        <v>0.5775325</v>
      </c>
      <c r="F3988" t="s">
        <v>41</v>
      </c>
      <c r="G3988">
        <v>-190.20050000000001</v>
      </c>
      <c r="H3988" s="1">
        <v>-2.88301E-6</v>
      </c>
      <c r="I3988">
        <v>196.18510000000001</v>
      </c>
      <c r="J3988">
        <v>-195.2475</v>
      </c>
      <c r="K3988">
        <v>1.104741</v>
      </c>
      <c r="L3988">
        <v>209.29069999999999</v>
      </c>
      <c r="M3988">
        <v>0.88360890000000003</v>
      </c>
      <c r="N3988">
        <v>0</v>
      </c>
      <c r="O3988">
        <v>-0.46800399999999998</v>
      </c>
      <c r="P3988">
        <v>0.51546190000000003</v>
      </c>
      <c r="Q3988">
        <v>0.1379891</v>
      </c>
      <c r="R3988">
        <v>-0.84572930000000002</v>
      </c>
      <c r="S3988">
        <v>1.142838</v>
      </c>
      <c r="T3988">
        <v>-0.2423314</v>
      </c>
      <c r="U3988">
        <v>-2.8961790000000001</v>
      </c>
      <c r="V3988">
        <v>0.50822789999999995</v>
      </c>
      <c r="W3988">
        <v>0.14290999999999901</v>
      </c>
      <c r="X3988">
        <v>0.84928269999999995</v>
      </c>
      <c r="Y3988">
        <v>0.649671</v>
      </c>
      <c r="Z3988">
        <v>1.1026009999999999E-2</v>
      </c>
      <c r="AA3988">
        <v>0.76013560000000002</v>
      </c>
      <c r="AB3988">
        <v>18</v>
      </c>
      <c r="AC3988">
        <v>5.0469999999999899</v>
      </c>
      <c r="AD3988">
        <v>-1.10474388301</v>
      </c>
      <c r="AE3988">
        <v>-13.1055999999999</v>
      </c>
      <c r="AF3988">
        <v>9.1624678217737703</v>
      </c>
      <c r="AG3988">
        <v>-1.10474388301</v>
      </c>
      <c r="AH3988">
        <v>10.528993156981301</v>
      </c>
      <c r="AI3988">
        <v>94.525572897735302</v>
      </c>
      <c r="AJ3988">
        <v>48.969781975903501</v>
      </c>
      <c r="AK3988">
        <v>14.001106118155301</v>
      </c>
      <c r="AL3988">
        <v>81.783729290963095</v>
      </c>
      <c r="AM3988">
        <v>59.102846798279003</v>
      </c>
      <c r="AN3988">
        <v>0.99999998547884905</v>
      </c>
    </row>
    <row r="3989" spans="1:40" x14ac:dyDescent="0.25">
      <c r="A3989" t="str">
        <f>"20190312164107217"</f>
        <v>20190312164107217</v>
      </c>
      <c r="B3989" t="str">
        <f>"1552380067210551"</f>
        <v>1552380067210551</v>
      </c>
      <c r="C3989" t="s">
        <v>40</v>
      </c>
      <c r="D3989">
        <v>6.035285</v>
      </c>
      <c r="E3989">
        <v>0.57747490000000001</v>
      </c>
      <c r="F3989" t="s">
        <v>41</v>
      </c>
      <c r="G3989">
        <v>-190.08090000000001</v>
      </c>
      <c r="H3989" s="1">
        <v>-2.6790110000000002E-6</v>
      </c>
      <c r="I3989">
        <v>195.78380000000001</v>
      </c>
      <c r="J3989">
        <v>-195.0866</v>
      </c>
      <c r="K3989">
        <v>1.1045750000000001</v>
      </c>
      <c r="L3989">
        <v>209.19</v>
      </c>
      <c r="M3989">
        <v>0.8780367</v>
      </c>
      <c r="N3989">
        <v>0</v>
      </c>
      <c r="O3989">
        <v>-0.47837459999999998</v>
      </c>
      <c r="P3989">
        <v>0.50558389999999997</v>
      </c>
      <c r="Q3989">
        <v>0.139707</v>
      </c>
      <c r="R3989">
        <v>-0.85139129999999996</v>
      </c>
      <c r="S3989">
        <v>1.1123959999999999</v>
      </c>
      <c r="T3989">
        <v>-0.23785290000000001</v>
      </c>
      <c r="U3989">
        <v>-2.9080509999999999</v>
      </c>
      <c r="V3989">
        <v>0.50795639999999997</v>
      </c>
      <c r="W3989">
        <v>0.1444616</v>
      </c>
      <c r="X3989">
        <v>0.84918269999999996</v>
      </c>
      <c r="Y3989">
        <v>0.64874149999999997</v>
      </c>
      <c r="Z3989">
        <v>1.18169E-2</v>
      </c>
      <c r="AA3989">
        <v>0.76091709999999901</v>
      </c>
      <c r="AB3989">
        <v>18</v>
      </c>
      <c r="AC3989">
        <v>5.0056999999999903</v>
      </c>
      <c r="AD3989">
        <v>-1.104577679011</v>
      </c>
      <c r="AE3989">
        <v>-13.406199999999901</v>
      </c>
      <c r="AF3989">
        <v>9.3219772218997203</v>
      </c>
      <c r="AG3989">
        <v>-1.104577679011</v>
      </c>
      <c r="AH3989">
        <v>10.7454838769711</v>
      </c>
      <c r="AI3989">
        <v>94.439979800743203</v>
      </c>
      <c r="AJ3989">
        <v>49.057540302760103</v>
      </c>
      <c r="AK3989">
        <v>14.2683136678738</v>
      </c>
      <c r="AL3989">
        <v>81.693897598131997</v>
      </c>
      <c r="AM3989">
        <v>59.113363267353598</v>
      </c>
      <c r="AN3989">
        <v>1.0000000580774</v>
      </c>
    </row>
    <row r="3990" spans="1:40" x14ac:dyDescent="0.25">
      <c r="A3990" t="str">
        <f>"20190312164107239"</f>
        <v>20190312164107239</v>
      </c>
      <c r="B3990" t="str">
        <f>"1552380067230070"</f>
        <v>1552380067230070</v>
      </c>
      <c r="C3990" t="s">
        <v>40</v>
      </c>
      <c r="D3990">
        <v>6.0796539999999997</v>
      </c>
      <c r="E3990">
        <v>0.57745360000000001</v>
      </c>
      <c r="F3990" t="s">
        <v>41</v>
      </c>
      <c r="G3990">
        <v>-189.982</v>
      </c>
      <c r="H3990" s="1">
        <v>-2.475085E-6</v>
      </c>
      <c r="I3990">
        <v>195.36969999999999</v>
      </c>
      <c r="J3990">
        <v>-194.92590000000001</v>
      </c>
      <c r="K3990">
        <v>1.1043909999999999</v>
      </c>
      <c r="L3990">
        <v>209.08600000000001</v>
      </c>
      <c r="M3990">
        <v>0.87209400000000004</v>
      </c>
      <c r="N3990">
        <v>0</v>
      </c>
      <c r="O3990">
        <v>-0.4891221</v>
      </c>
      <c r="P3990">
        <v>0.49581190000000003</v>
      </c>
      <c r="Q3990">
        <v>0.1420023</v>
      </c>
      <c r="R3990">
        <v>-0.85674119999999998</v>
      </c>
      <c r="S3990">
        <v>1.078964</v>
      </c>
      <c r="T3990">
        <v>-0.23347619999999999</v>
      </c>
      <c r="U3990">
        <v>-2.9212039999999999</v>
      </c>
      <c r="V3990">
        <v>0.50701790000000002</v>
      </c>
      <c r="W3990">
        <v>0.14658209999999999</v>
      </c>
      <c r="X3990">
        <v>0.84938009999999997</v>
      </c>
      <c r="Y3990">
        <v>0.64821419999999996</v>
      </c>
      <c r="Z3990">
        <v>1.2591969999999999E-2</v>
      </c>
      <c r="AA3990">
        <v>0.76135390000000003</v>
      </c>
      <c r="AB3990">
        <v>18</v>
      </c>
      <c r="AC3990">
        <v>4.94390000000001</v>
      </c>
      <c r="AD3990">
        <v>-1.104393475085</v>
      </c>
      <c r="AE3990">
        <v>-13.716299999999899</v>
      </c>
      <c r="AF3990">
        <v>9.4902910812988193</v>
      </c>
      <c r="AG3990">
        <v>-1.104393475085</v>
      </c>
      <c r="AH3990">
        <v>10.9587806247324</v>
      </c>
      <c r="AI3990">
        <v>94.356451370079498</v>
      </c>
      <c r="AJ3990">
        <v>49.107475752235302</v>
      </c>
      <c r="AK3990">
        <v>14.538919579411701</v>
      </c>
      <c r="AL3990">
        <v>81.571094227452804</v>
      </c>
      <c r="AM3990">
        <v>59.165882930600901</v>
      </c>
      <c r="AN3990">
        <v>1.00000000861841</v>
      </c>
    </row>
    <row r="3991" spans="1:40" x14ac:dyDescent="0.25">
      <c r="A3991" t="str">
        <f>"20190312164107261"</f>
        <v>20190312164107261</v>
      </c>
      <c r="B3991" t="str">
        <f>"1552380067250566"</f>
        <v>1552380067250566</v>
      </c>
      <c r="C3991" t="s">
        <v>40</v>
      </c>
      <c r="D3991">
        <v>6.1399229999999996</v>
      </c>
      <c r="E3991">
        <v>0.60344180000000003</v>
      </c>
      <c r="F3991" t="s">
        <v>41</v>
      </c>
      <c r="G3991">
        <v>-189.80179999999999</v>
      </c>
      <c r="H3991" s="1">
        <v>-2.203462E-6</v>
      </c>
      <c r="I3991">
        <v>194.68709999999999</v>
      </c>
      <c r="J3991">
        <v>-194.77869999999999</v>
      </c>
      <c r="K3991">
        <v>1.1042069999999999</v>
      </c>
      <c r="L3991">
        <v>208.98769999999999</v>
      </c>
      <c r="M3991">
        <v>0.86629210000000001</v>
      </c>
      <c r="N3991">
        <v>0</v>
      </c>
      <c r="O3991">
        <v>-0.49932389999999999</v>
      </c>
      <c r="P3991">
        <v>0.4862628</v>
      </c>
      <c r="Q3991">
        <v>0.1446693</v>
      </c>
      <c r="R3991">
        <v>-0.86175380000000001</v>
      </c>
      <c r="S3991">
        <v>1.0443119999999999</v>
      </c>
      <c r="T3991">
        <v>-0.2250808</v>
      </c>
      <c r="U3991">
        <v>-2.934555</v>
      </c>
      <c r="V3991">
        <v>0.50621450000000001</v>
      </c>
      <c r="W3991">
        <v>0.1490774</v>
      </c>
      <c r="X3991">
        <v>0.84942499999999999</v>
      </c>
      <c r="Y3991">
        <v>0.64840419999999999</v>
      </c>
      <c r="Z3991">
        <v>1.3018780000000001E-2</v>
      </c>
      <c r="AA3991">
        <v>0.761185</v>
      </c>
      <c r="AB3991">
        <v>18</v>
      </c>
      <c r="AC3991">
        <v>4.9768999999999997</v>
      </c>
      <c r="AD3991">
        <v>-1.1042092034619999</v>
      </c>
      <c r="AE3991">
        <v>-14.300599999999999</v>
      </c>
      <c r="AF3991">
        <v>9.8520770610856001</v>
      </c>
      <c r="AG3991">
        <v>-1.1042092034619999</v>
      </c>
      <c r="AH3991">
        <v>11.3927183200597</v>
      </c>
      <c r="AI3991">
        <v>94.192964793070999</v>
      </c>
      <c r="AJ3991">
        <v>49.147744770269497</v>
      </c>
      <c r="AK3991">
        <v>15.102209477517</v>
      </c>
      <c r="AL3991">
        <v>81.426535759833399</v>
      </c>
      <c r="AM3991">
        <v>59.207188194986102</v>
      </c>
      <c r="AN3991">
        <v>1.0000000109130001</v>
      </c>
    </row>
    <row r="3992" spans="1:40" x14ac:dyDescent="0.25">
      <c r="A3992" t="str">
        <f>"20190312164107283"</f>
        <v>20190312164107283</v>
      </c>
      <c r="B3992" t="str">
        <f>"1552380067279846"</f>
        <v>1552380067279846</v>
      </c>
      <c r="C3992" t="s">
        <v>40</v>
      </c>
      <c r="D3992">
        <v>6.2001099999999996</v>
      </c>
      <c r="E3992">
        <v>0.60677320000000001</v>
      </c>
      <c r="F3992" t="s">
        <v>41</v>
      </c>
      <c r="G3992">
        <v>-192.0119</v>
      </c>
      <c r="H3992" s="1">
        <v>-4.4366970000000004E-6</v>
      </c>
      <c r="I3992">
        <v>198.97550000000001</v>
      </c>
      <c r="J3992">
        <v>-194.62350000000001</v>
      </c>
      <c r="K3992">
        <v>1.104026</v>
      </c>
      <c r="L3992">
        <v>208.88059999999999</v>
      </c>
      <c r="M3992">
        <v>0.85978600000000005</v>
      </c>
      <c r="N3992">
        <v>0</v>
      </c>
      <c r="O3992">
        <v>-0.51044290000000003</v>
      </c>
      <c r="P3992">
        <v>0.47558820000000002</v>
      </c>
      <c r="Q3992">
        <v>0.14683080000000001</v>
      </c>
      <c r="R3992">
        <v>-0.86732690000000001</v>
      </c>
      <c r="S3992">
        <v>0.84579470000000001</v>
      </c>
      <c r="T3992">
        <v>-0.33755020000000002</v>
      </c>
      <c r="U3992">
        <v>-3.0606689999999999</v>
      </c>
      <c r="V3992">
        <v>0.50554849999999996</v>
      </c>
      <c r="W3992">
        <v>0.15108139999999901</v>
      </c>
      <c r="X3992">
        <v>0.84946749999999904</v>
      </c>
      <c r="Y3992">
        <v>0.69181329999999996</v>
      </c>
      <c r="Z3992">
        <v>1.7492009999999999E-2</v>
      </c>
      <c r="AA3992">
        <v>0.72186450000000002</v>
      </c>
      <c r="AB3992">
        <v>18</v>
      </c>
      <c r="AC3992">
        <v>2.6116000000000099</v>
      </c>
      <c r="AD3992">
        <v>-1.104030436697</v>
      </c>
      <c r="AE3992">
        <v>-9.9050999999999707</v>
      </c>
      <c r="AF3992">
        <v>7.1014790913932604</v>
      </c>
      <c r="AG3992">
        <v>-1.104030436697</v>
      </c>
      <c r="AH3992">
        <v>7.2183457975170198</v>
      </c>
      <c r="AI3992">
        <v>96.222349865890806</v>
      </c>
      <c r="AJ3992">
        <v>45.467590939338898</v>
      </c>
      <c r="AK3992">
        <v>10.185990601958199</v>
      </c>
      <c r="AL3992">
        <v>81.310399139328595</v>
      </c>
      <c r="AM3992">
        <v>59.241609399000801</v>
      </c>
      <c r="AN3992">
        <v>0.999999954417228</v>
      </c>
    </row>
    <row r="3993" spans="1:40" x14ac:dyDescent="0.25">
      <c r="A3993" t="str">
        <f>"20190312164107306"</f>
        <v>20190312164107306</v>
      </c>
      <c r="B3993" t="str">
        <f>"1552380067300342"</f>
        <v>1552380067300342</v>
      </c>
      <c r="C3993" t="s">
        <v>40</v>
      </c>
      <c r="D3993">
        <v>5.7351539999999996</v>
      </c>
      <c r="E3993">
        <v>0.60656299999999996</v>
      </c>
      <c r="F3993" t="s">
        <v>41</v>
      </c>
      <c r="G3993">
        <v>-191.42850000000001</v>
      </c>
      <c r="H3993" s="1">
        <v>-3.2077790000000001E-6</v>
      </c>
      <c r="I3993">
        <v>196.18049999999999</v>
      </c>
      <c r="J3993">
        <v>-194.46850000000001</v>
      </c>
      <c r="K3993">
        <v>1.103861</v>
      </c>
      <c r="L3993">
        <v>208.77019999999999</v>
      </c>
      <c r="M3993">
        <v>0.85287209999999902</v>
      </c>
      <c r="N3993">
        <v>0</v>
      </c>
      <c r="O3993">
        <v>-0.52191089999999996</v>
      </c>
      <c r="P3993">
        <v>0.46432810000000002</v>
      </c>
      <c r="Q3993">
        <v>0.14790300000000001</v>
      </c>
      <c r="R3993">
        <v>-0.87322639999999996</v>
      </c>
      <c r="S3993">
        <v>0.77468870000000001</v>
      </c>
      <c r="T3993">
        <v>-0.2676944</v>
      </c>
      <c r="U3993">
        <v>-3.0794069999999998</v>
      </c>
      <c r="V3993">
        <v>0.50508889999999995</v>
      </c>
      <c r="W3993">
        <v>0.1520203</v>
      </c>
      <c r="X3993">
        <v>0.84957340000000003</v>
      </c>
      <c r="Y3993">
        <v>0.69920890000000002</v>
      </c>
      <c r="Z3993">
        <v>1.4656499999999999E-2</v>
      </c>
      <c r="AA3993">
        <v>0.71476719999999905</v>
      </c>
      <c r="AB3993">
        <v>18</v>
      </c>
      <c r="AC3993">
        <v>3.0399999999999898</v>
      </c>
      <c r="AD3993">
        <v>-1.103864207779</v>
      </c>
      <c r="AE3993">
        <v>-12.589699999999899</v>
      </c>
      <c r="AF3993">
        <v>9.0857920164276695</v>
      </c>
      <c r="AG3993">
        <v>-1.103864207779</v>
      </c>
      <c r="AH3993">
        <v>9.0983403419664892</v>
      </c>
      <c r="AI3993">
        <v>94.906785231537498</v>
      </c>
      <c r="AJ3993">
        <v>45.039538096458898</v>
      </c>
      <c r="AK3993">
        <v>12.9054224934037</v>
      </c>
      <c r="AL3993">
        <v>81.255975600515697</v>
      </c>
      <c r="AM3993">
        <v>59.267643986081701</v>
      </c>
      <c r="AN3993">
        <v>0.99999996525142898</v>
      </c>
    </row>
    <row r="3994" spans="1:40" x14ac:dyDescent="0.25">
      <c r="A3994" t="str">
        <f>"20190312164107328"</f>
        <v>20190312164107328</v>
      </c>
      <c r="B3994" t="str">
        <f>"1552380067319862"</f>
        <v>1552380067319862</v>
      </c>
      <c r="C3994" t="s">
        <v>40</v>
      </c>
      <c r="D3994">
        <v>6.1152769999999999</v>
      </c>
      <c r="E3994">
        <v>0.60558449999999997</v>
      </c>
      <c r="F3994" t="s">
        <v>41</v>
      </c>
      <c r="G3994">
        <v>-191.11189999999999</v>
      </c>
      <c r="H3994" s="1">
        <v>-2.4569289999999999E-6</v>
      </c>
      <c r="I3994">
        <v>194.6266</v>
      </c>
      <c r="J3994">
        <v>-194.31729999999999</v>
      </c>
      <c r="K3994">
        <v>1.1036979999999901</v>
      </c>
      <c r="L3994">
        <v>208.65880000000001</v>
      </c>
      <c r="M3994">
        <v>0.84568509999999997</v>
      </c>
      <c r="N3994">
        <v>0</v>
      </c>
      <c r="O3994">
        <v>-0.5334757</v>
      </c>
      <c r="P3994">
        <v>0.45222370000000001</v>
      </c>
      <c r="Q3994">
        <v>0.1480437</v>
      </c>
      <c r="R3994">
        <v>-0.87953230000000004</v>
      </c>
      <c r="S3994">
        <v>0.73257450000000002</v>
      </c>
      <c r="T3994">
        <v>-0.24091609999999999</v>
      </c>
      <c r="U3994">
        <v>-3.0868069999999999</v>
      </c>
      <c r="V3994">
        <v>0.50529670000000004</v>
      </c>
      <c r="W3994">
        <v>0.15202689999999999</v>
      </c>
      <c r="X3994">
        <v>0.84944869999999995</v>
      </c>
      <c r="Y3994">
        <v>0.69922450000000003</v>
      </c>
      <c r="Z3994">
        <v>1.430474E-2</v>
      </c>
      <c r="AA3994">
        <v>0.71475909999999998</v>
      </c>
      <c r="AB3994">
        <v>18</v>
      </c>
      <c r="AC3994">
        <v>3.2053999999999898</v>
      </c>
      <c r="AD3994">
        <v>-1.1037004569290001</v>
      </c>
      <c r="AE3994">
        <v>-14.0322</v>
      </c>
      <c r="AF3994">
        <v>10.0985616304472</v>
      </c>
      <c r="AG3994">
        <v>-1.1037004569290001</v>
      </c>
      <c r="AH3994">
        <v>10.138110760216399</v>
      </c>
      <c r="AI3994">
        <v>94.410521173408597</v>
      </c>
      <c r="AJ3994">
        <v>45.111974700708203</v>
      </c>
      <c r="AK3994">
        <v>14.3520169833017</v>
      </c>
      <c r="AL3994">
        <v>81.255593427828103</v>
      </c>
      <c r="AM3994">
        <v>59.253595482880797</v>
      </c>
      <c r="AN3994">
        <v>1.00000001364309</v>
      </c>
    </row>
    <row r="3995" spans="1:40" x14ac:dyDescent="0.25">
      <c r="A3995" t="str">
        <f>"20190312164107351"</f>
        <v>20190312164107351</v>
      </c>
      <c r="B3995" t="str">
        <f>"1552380067340358"</f>
        <v>1552380067340358</v>
      </c>
      <c r="C3995" t="s">
        <v>40</v>
      </c>
      <c r="D3995">
        <v>5.9882929999999996</v>
      </c>
      <c r="E3995">
        <v>0.60451739999999998</v>
      </c>
      <c r="F3995" t="s">
        <v>41</v>
      </c>
      <c r="G3995">
        <v>-190.94159999999999</v>
      </c>
      <c r="H3995" s="1">
        <v>-1.9861380000000001E-6</v>
      </c>
      <c r="I3995">
        <v>193.63480000000001</v>
      </c>
      <c r="J3995">
        <v>-194.17089999999999</v>
      </c>
      <c r="K3995">
        <v>1.1035469999999901</v>
      </c>
      <c r="L3995">
        <v>208.54750000000001</v>
      </c>
      <c r="M3995">
        <v>0.83827529999999995</v>
      </c>
      <c r="N3995">
        <v>0</v>
      </c>
      <c r="O3995">
        <v>-0.54504259999999904</v>
      </c>
      <c r="P3995">
        <v>0.43982690000000002</v>
      </c>
      <c r="Q3995">
        <v>0.14859120000000001</v>
      </c>
      <c r="R3995">
        <v>-0.88570469999999901</v>
      </c>
      <c r="S3995">
        <v>0.69471740000000004</v>
      </c>
      <c r="T3995">
        <v>-0.22714110000000001</v>
      </c>
      <c r="U3995">
        <v>-3.0919340000000002</v>
      </c>
      <c r="V3995">
        <v>0.50555119999999998</v>
      </c>
      <c r="W3995">
        <v>0.152439299999999</v>
      </c>
      <c r="X3995">
        <v>0.84922339999999996</v>
      </c>
      <c r="Y3995">
        <v>0.69805289999999998</v>
      </c>
      <c r="Z3995">
        <v>1.460526E-2</v>
      </c>
      <c r="AA3995">
        <v>0.71589729999999996</v>
      </c>
      <c r="AB3995">
        <v>18</v>
      </c>
      <c r="AC3995">
        <v>3.2292999999999901</v>
      </c>
      <c r="AD3995">
        <v>-1.1035489861379999</v>
      </c>
      <c r="AE3995">
        <v>-14.912699999999999</v>
      </c>
      <c r="AF3995">
        <v>10.6861431295158</v>
      </c>
      <c r="AG3995">
        <v>-1.1035489861379999</v>
      </c>
      <c r="AH3995">
        <v>10.779920323935199</v>
      </c>
      <c r="AI3995">
        <v>94.1582372165621</v>
      </c>
      <c r="AJ3995">
        <v>45.250302217058703</v>
      </c>
      <c r="AK3995">
        <v>15.2190064570489</v>
      </c>
      <c r="AL3995">
        <v>81.231686492403099</v>
      </c>
      <c r="AM3995">
        <v>59.234237653330801</v>
      </c>
      <c r="AN3995">
        <v>1.0000000695567399</v>
      </c>
    </row>
    <row r="3996" spans="1:40" x14ac:dyDescent="0.25">
      <c r="A3996" t="str">
        <f>"20190312164107372"</f>
        <v>20190312164107372</v>
      </c>
      <c r="B3996" t="str">
        <f>"1552380067359879"</f>
        <v>1552380067359879</v>
      </c>
      <c r="C3996" t="s">
        <v>40</v>
      </c>
      <c r="D3996">
        <v>6.5099650000000002</v>
      </c>
      <c r="E3996">
        <v>0.60411079999999995</v>
      </c>
      <c r="F3996" t="s">
        <v>41</v>
      </c>
      <c r="G3996">
        <v>-191.02979999999999</v>
      </c>
      <c r="H3996" s="1">
        <v>-2.0680200000000001E-6</v>
      </c>
      <c r="I3996">
        <v>193.77099999999999</v>
      </c>
      <c r="J3996">
        <v>-194.0301</v>
      </c>
      <c r="K3996">
        <v>1.103383</v>
      </c>
      <c r="L3996">
        <v>208.4367</v>
      </c>
      <c r="M3996">
        <v>0.83068819999999999</v>
      </c>
      <c r="N3996">
        <v>0</v>
      </c>
      <c r="O3996">
        <v>-0.55653549999999996</v>
      </c>
      <c r="P3996">
        <v>0.42760150000000002</v>
      </c>
      <c r="Q3996">
        <v>0.1487039</v>
      </c>
      <c r="R3996">
        <v>-0.89165289999999997</v>
      </c>
      <c r="S3996">
        <v>0.65872189999999997</v>
      </c>
      <c r="T3996">
        <v>-0.2314302</v>
      </c>
      <c r="U3996">
        <v>-3.098846</v>
      </c>
      <c r="V3996">
        <v>0.50558840000000005</v>
      </c>
      <c r="W3996">
        <v>0.15241759999999999</v>
      </c>
      <c r="X3996">
        <v>0.84920509999999905</v>
      </c>
      <c r="Y3996">
        <v>0.69647369999999897</v>
      </c>
      <c r="Z3996">
        <v>1.6025299999999999E-2</v>
      </c>
      <c r="AA3996">
        <v>0.71740340000000002</v>
      </c>
      <c r="AB3996">
        <v>18</v>
      </c>
      <c r="AC3996">
        <v>3.0003000000000002</v>
      </c>
      <c r="AD3996">
        <v>-1.1033850680199999</v>
      </c>
      <c r="AE3996">
        <v>-14.665699999999999</v>
      </c>
      <c r="AF3996">
        <v>10.4572208010865</v>
      </c>
      <c r="AG3996">
        <v>-1.1033850680199999</v>
      </c>
      <c r="AH3996">
        <v>10.5979183417779</v>
      </c>
      <c r="AI3996">
        <v>94.238417412008602</v>
      </c>
      <c r="AJ3996">
        <v>45.382864023272901</v>
      </c>
      <c r="AK3996">
        <v>14.929393781061499</v>
      </c>
      <c r="AL3996">
        <v>81.232944147943797</v>
      </c>
      <c r="AM3996">
        <v>59.231841874823701</v>
      </c>
      <c r="AN3996">
        <v>1.00000002843516</v>
      </c>
    </row>
    <row r="3997" spans="1:40" x14ac:dyDescent="0.25">
      <c r="A3997" t="str">
        <f>"20190312164107395"</f>
        <v>20190312164107395</v>
      </c>
      <c r="B3997" t="str">
        <f>"1552380067390571"</f>
        <v>1552380067390571</v>
      </c>
      <c r="C3997" t="s">
        <v>40</v>
      </c>
      <c r="D3997">
        <v>6.0214319999999999</v>
      </c>
      <c r="E3997">
        <v>0.60322069999999905</v>
      </c>
      <c r="F3997" t="s">
        <v>41</v>
      </c>
      <c r="G3997">
        <v>-191.1053</v>
      </c>
      <c r="H3997" s="1">
        <v>-2.0672509999999998E-6</v>
      </c>
      <c r="I3997">
        <v>193.72239999999999</v>
      </c>
      <c r="J3997">
        <v>-193.88480000000001</v>
      </c>
      <c r="K3997">
        <v>1.1031949999999999</v>
      </c>
      <c r="L3997">
        <v>208.3186</v>
      </c>
      <c r="M3997">
        <v>0.82235769999999997</v>
      </c>
      <c r="N3997">
        <v>0</v>
      </c>
      <c r="O3997">
        <v>-0.56876990000000005</v>
      </c>
      <c r="P3997">
        <v>0.41473599999999999</v>
      </c>
      <c r="Q3997">
        <v>0.1482009</v>
      </c>
      <c r="R3997">
        <v>-0.89779209999999998</v>
      </c>
      <c r="S3997">
        <v>0.61763000000000001</v>
      </c>
      <c r="T3997">
        <v>-0.23300280000000001</v>
      </c>
      <c r="U3997">
        <v>-3.1072389999999999</v>
      </c>
      <c r="V3997">
        <v>0.50536059999999905</v>
      </c>
      <c r="W3997">
        <v>0.1517696</v>
      </c>
      <c r="X3997">
        <v>0.84945669999999995</v>
      </c>
      <c r="Y3997">
        <v>0.69536409999999904</v>
      </c>
      <c r="Z3997">
        <v>1.7334410000000001E-2</v>
      </c>
      <c r="AA3997">
        <v>0.71844849999999905</v>
      </c>
      <c r="AB3997">
        <v>18</v>
      </c>
      <c r="AC3997">
        <v>2.7795000000000099</v>
      </c>
      <c r="AD3997">
        <v>-1.1031970672509901</v>
      </c>
      <c r="AE3997">
        <v>-14.5962</v>
      </c>
      <c r="AF3997">
        <v>10.3664469456394</v>
      </c>
      <c r="AG3997">
        <v>-1.1031970672509901</v>
      </c>
      <c r="AH3997">
        <v>10.5307808446171</v>
      </c>
      <c r="AI3997">
        <v>94.269565807950798</v>
      </c>
      <c r="AJ3997">
        <v>45.450559512151699</v>
      </c>
      <c r="AK3997">
        <v>14.8181514111344</v>
      </c>
      <c r="AL3997">
        <v>81.270508730378694</v>
      </c>
      <c r="AM3997">
        <v>59.250649110129501</v>
      </c>
      <c r="AN3997">
        <v>1.0000000163456999</v>
      </c>
    </row>
    <row r="3998" spans="1:40" x14ac:dyDescent="0.25">
      <c r="A3998" t="str">
        <f>"20190312164107417"</f>
        <v>20190312164107417</v>
      </c>
      <c r="B3998" t="str">
        <f>"1552380067410093"</f>
        <v>1552380067410093</v>
      </c>
      <c r="C3998" t="s">
        <v>40</v>
      </c>
      <c r="D3998">
        <v>6.0168599999999897</v>
      </c>
      <c r="E3998">
        <v>0.60252169999999905</v>
      </c>
      <c r="F3998" t="s">
        <v>41</v>
      </c>
      <c r="G3998">
        <v>-191.0925</v>
      </c>
      <c r="H3998" s="1">
        <v>-1.8713129999999999E-6</v>
      </c>
      <c r="I3998">
        <v>193.27359999999999</v>
      </c>
      <c r="J3998">
        <v>-193.7396</v>
      </c>
      <c r="K3998">
        <v>1.1029949999999999</v>
      </c>
      <c r="L3998">
        <v>208.1962</v>
      </c>
      <c r="M3998">
        <v>0.81347599999999998</v>
      </c>
      <c r="N3998">
        <v>0</v>
      </c>
      <c r="O3998">
        <v>-0.58139919999999901</v>
      </c>
      <c r="P3998">
        <v>0.40130579999999999</v>
      </c>
      <c r="Q3998">
        <v>0.1472494</v>
      </c>
      <c r="R3998">
        <v>-0.90403040000000001</v>
      </c>
      <c r="S3998">
        <v>0.57765200000000005</v>
      </c>
      <c r="T3998">
        <v>-0.2282208</v>
      </c>
      <c r="U3998">
        <v>-3.1123959999999999</v>
      </c>
      <c r="V3998">
        <v>0.5050926</v>
      </c>
      <c r="W3998">
        <v>0.15066760000000001</v>
      </c>
      <c r="X3998">
        <v>0.84981219999999902</v>
      </c>
      <c r="Y3998">
        <v>0.69343089999999996</v>
      </c>
      <c r="Z3998">
        <v>1.825177E-2</v>
      </c>
      <c r="AA3998">
        <v>0.72029189999999998</v>
      </c>
      <c r="AB3998">
        <v>18</v>
      </c>
      <c r="AC3998">
        <v>2.6470999999999898</v>
      </c>
      <c r="AD3998">
        <v>-1.1029968713130001</v>
      </c>
      <c r="AE3998">
        <v>-14.922599999999999</v>
      </c>
      <c r="AF3998">
        <v>10.545527374006101</v>
      </c>
      <c r="AG3998">
        <v>-1.1029968713130001</v>
      </c>
      <c r="AH3998">
        <v>10.7735311589232</v>
      </c>
      <c r="AI3998">
        <v>94.184522683374894</v>
      </c>
      <c r="AJ3998">
        <v>45.612745470512898</v>
      </c>
      <c r="AK3998">
        <v>15.116008842493001</v>
      </c>
      <c r="AL3998">
        <v>81.334383228709598</v>
      </c>
      <c r="AM3998">
        <v>59.274532407541997</v>
      </c>
      <c r="AN3998">
        <v>1.0000000177666699</v>
      </c>
    </row>
    <row r="3999" spans="1:40" x14ac:dyDescent="0.25">
      <c r="A3999" t="str">
        <f>"20190312164107439"</f>
        <v>20190312164107439</v>
      </c>
      <c r="B3999" t="str">
        <f>"1552380067430586"</f>
        <v>1552380067430586</v>
      </c>
      <c r="C3999" t="s">
        <v>40</v>
      </c>
      <c r="D3999">
        <v>5.9774479999999999</v>
      </c>
      <c r="E3999">
        <v>0.6020645</v>
      </c>
      <c r="F3999" t="s">
        <v>41</v>
      </c>
      <c r="G3999">
        <v>-191.14449999999999</v>
      </c>
      <c r="H3999" s="1">
        <v>-1.801322E-6</v>
      </c>
      <c r="I3999">
        <v>193.07820000000001</v>
      </c>
      <c r="J3999">
        <v>-193.60470000000001</v>
      </c>
      <c r="K3999">
        <v>1.102808</v>
      </c>
      <c r="L3999">
        <v>208.0779</v>
      </c>
      <c r="M3999">
        <v>0.80464859999999905</v>
      </c>
      <c r="N3999">
        <v>0</v>
      </c>
      <c r="O3999">
        <v>-0.593553199999999</v>
      </c>
      <c r="P3999">
        <v>0.38901059999999998</v>
      </c>
      <c r="Q3999">
        <v>0.14611099999999999</v>
      </c>
      <c r="R3999">
        <v>-0.90957270000000001</v>
      </c>
      <c r="S3999">
        <v>0.53521730000000001</v>
      </c>
      <c r="T3999">
        <v>-0.22748160000000001</v>
      </c>
      <c r="U3999">
        <v>-3.1179350000000001</v>
      </c>
      <c r="V3999">
        <v>0.50404369999999998</v>
      </c>
      <c r="W3999">
        <v>0.14941499999999999</v>
      </c>
      <c r="X3999">
        <v>0.85065569999999902</v>
      </c>
      <c r="Y3999">
        <v>0.69235690000000005</v>
      </c>
      <c r="Z3999">
        <v>1.9381849999999999E-2</v>
      </c>
      <c r="AA3999">
        <v>0.72129489999999996</v>
      </c>
      <c r="AB3999">
        <v>18</v>
      </c>
      <c r="AC3999">
        <v>2.4602000000000102</v>
      </c>
      <c r="AD3999">
        <v>-1.102809801322</v>
      </c>
      <c r="AE3999">
        <v>-14.999699999999899</v>
      </c>
      <c r="AF3999">
        <v>10.5549160603868</v>
      </c>
      <c r="AG3999">
        <v>-1.102809801322</v>
      </c>
      <c r="AH3999">
        <v>10.827004384571699</v>
      </c>
      <c r="AI3999">
        <v>94.171459939047494</v>
      </c>
      <c r="AJ3999">
        <v>45.729058518589</v>
      </c>
      <c r="AK3999">
        <v>15.1606881916105</v>
      </c>
      <c r="AL3999">
        <v>81.406973574734494</v>
      </c>
      <c r="AM3999">
        <v>59.351753123757</v>
      </c>
      <c r="AN3999">
        <v>1.0000000068385899</v>
      </c>
    </row>
    <row r="4000" spans="1:40" x14ac:dyDescent="0.25">
      <c r="A4000" t="str">
        <f>"20190312164107473"</f>
        <v>20190312164107473</v>
      </c>
      <c r="B4000" t="str">
        <f>"1552380067470602"</f>
        <v>1552380067470602</v>
      </c>
      <c r="C4000" t="s">
        <v>40</v>
      </c>
      <c r="D4000">
        <v>6.1284809999999998</v>
      </c>
      <c r="E4000">
        <v>0.60046169999999899</v>
      </c>
      <c r="F4000" t="s">
        <v>41</v>
      </c>
      <c r="G4000">
        <v>-191.18879999999999</v>
      </c>
      <c r="H4000" s="1">
        <v>-1.6900009999999999E-6</v>
      </c>
      <c r="I4000">
        <v>192.7912</v>
      </c>
      <c r="J4000">
        <v>-193.40010000000001</v>
      </c>
      <c r="K4000">
        <v>1.1025370000000001</v>
      </c>
      <c r="L4000">
        <v>207.89019999999999</v>
      </c>
      <c r="M4000">
        <v>0.79016750000000002</v>
      </c>
      <c r="N4000">
        <v>0</v>
      </c>
      <c r="O4000">
        <v>-0.61269499999999999</v>
      </c>
      <c r="P4000">
        <v>0.36906709999999998</v>
      </c>
      <c r="Q4000">
        <v>0.14388119999999999</v>
      </c>
      <c r="R4000">
        <v>-0.91819799999999996</v>
      </c>
      <c r="S4000">
        <v>0.49360660000000001</v>
      </c>
      <c r="T4000">
        <v>-0.22532179999999999</v>
      </c>
      <c r="U4000">
        <v>-3.1233219999999999</v>
      </c>
      <c r="V4000">
        <v>0.50251709999999905</v>
      </c>
      <c r="W4000">
        <v>0.1470505</v>
      </c>
      <c r="X4000">
        <v>0.85196989999999995</v>
      </c>
      <c r="Y4000">
        <v>0.68460509999999997</v>
      </c>
      <c r="Z4000">
        <v>2.1330669999999999E-2</v>
      </c>
      <c r="AA4000">
        <v>0.72860209999999903</v>
      </c>
      <c r="AB4000">
        <v>18</v>
      </c>
      <c r="AC4000">
        <v>2.21130000000002</v>
      </c>
      <c r="AD4000">
        <v>-1.1025386900009999</v>
      </c>
      <c r="AE4000">
        <v>-15.098999999999901</v>
      </c>
      <c r="AF4000">
        <v>10.5222302207086</v>
      </c>
      <c r="AG4000">
        <v>-1.1025386900009999</v>
      </c>
      <c r="AH4000">
        <v>10.9425792874938</v>
      </c>
      <c r="AI4000">
        <v>94.153931398042005</v>
      </c>
      <c r="AJ4000">
        <v>46.121889731927901</v>
      </c>
      <c r="AK4000">
        <v>15.2208068722927</v>
      </c>
      <c r="AL4000">
        <v>81.543962791856302</v>
      </c>
      <c r="AM4000">
        <v>59.466636153901298</v>
      </c>
      <c r="AN4000">
        <v>0.99999999792433503</v>
      </c>
    </row>
    <row r="4001" spans="1:40" x14ac:dyDescent="0.25">
      <c r="A4001" t="str">
        <f>"20190312164107495"</f>
        <v>20190312164107495</v>
      </c>
      <c r="B4001" t="str">
        <f>"1552380067490122"</f>
        <v>1552380067490122</v>
      </c>
      <c r="C4001" t="s">
        <v>40</v>
      </c>
      <c r="D4001">
        <v>5.9845980000000001</v>
      </c>
      <c r="E4001">
        <v>0.59945009999999999</v>
      </c>
      <c r="F4001" t="s">
        <v>41</v>
      </c>
      <c r="G4001">
        <v>-191.33840000000001</v>
      </c>
      <c r="H4001" s="1">
        <v>-1.8499310000000001E-6</v>
      </c>
      <c r="I4001">
        <v>193.07130000000001</v>
      </c>
      <c r="J4001">
        <v>-193.2655</v>
      </c>
      <c r="K4001">
        <v>1.1023959999999999</v>
      </c>
      <c r="L4001">
        <v>207.7611</v>
      </c>
      <c r="M4001">
        <v>0.77991929999999998</v>
      </c>
      <c r="N4001">
        <v>0</v>
      </c>
      <c r="O4001">
        <v>-0.62568570000000001</v>
      </c>
      <c r="P4001">
        <v>0.35636449999999997</v>
      </c>
      <c r="Q4001">
        <v>0.1413412</v>
      </c>
      <c r="R4001">
        <v>-0.92359469999999999</v>
      </c>
      <c r="S4001">
        <v>0.43530269999999999</v>
      </c>
      <c r="T4001">
        <v>-0.23278209999999999</v>
      </c>
      <c r="U4001">
        <v>-3.1287690000000001</v>
      </c>
      <c r="V4001">
        <v>0.50046930000000001</v>
      </c>
      <c r="W4001">
        <v>0.1445031</v>
      </c>
      <c r="X4001">
        <v>0.85360959999999997</v>
      </c>
      <c r="Y4001">
        <v>0.6860136</v>
      </c>
      <c r="Z4001">
        <v>2.3245780000000001E-2</v>
      </c>
      <c r="AA4001">
        <v>0.72721729999999996</v>
      </c>
      <c r="AB4001">
        <v>18</v>
      </c>
      <c r="AC4001">
        <v>1.92709999999999</v>
      </c>
      <c r="AD4001">
        <v>-1.1023978499310001</v>
      </c>
      <c r="AE4001">
        <v>-14.6897999999999</v>
      </c>
      <c r="AF4001">
        <v>10.1958973767751</v>
      </c>
      <c r="AG4001">
        <v>-1.1023978499310001</v>
      </c>
      <c r="AH4001">
        <v>10.636592042519601</v>
      </c>
      <c r="AI4001">
        <v>94.278871428804706</v>
      </c>
      <c r="AJ4001">
        <v>46.211865680192403</v>
      </c>
      <c r="AK4001">
        <v>14.775273080936699</v>
      </c>
      <c r="AL4001">
        <v>81.691494188104599</v>
      </c>
      <c r="AM4001">
        <v>59.617004334730701</v>
      </c>
      <c r="AN4001">
        <v>1.00000000768213</v>
      </c>
    </row>
    <row r="4002" spans="1:40" x14ac:dyDescent="0.25">
      <c r="A4002" t="str">
        <f>"20190312164107518"</f>
        <v>20190312164107518</v>
      </c>
      <c r="B4002" t="str">
        <f>"1552380067510622"</f>
        <v>1552380067510622</v>
      </c>
      <c r="C4002" t="s">
        <v>40</v>
      </c>
      <c r="D4002">
        <v>6.2290970000000003</v>
      </c>
      <c r="E4002">
        <v>0.59868880000000002</v>
      </c>
      <c r="F4002" t="s">
        <v>41</v>
      </c>
      <c r="G4002">
        <v>-191.4667</v>
      </c>
      <c r="H4002" s="1">
        <v>-2.1259700000000001E-6</v>
      </c>
      <c r="I4002">
        <v>193.63509999999999</v>
      </c>
      <c r="J4002">
        <v>-193.13380000000001</v>
      </c>
      <c r="K4002">
        <v>1.102285</v>
      </c>
      <c r="L4002">
        <v>207.62989999999999</v>
      </c>
      <c r="M4002">
        <v>0.76927080000000003</v>
      </c>
      <c r="N4002">
        <v>0</v>
      </c>
      <c r="O4002">
        <v>-0.63872989999999996</v>
      </c>
      <c r="P4002">
        <v>0.34348420000000002</v>
      </c>
      <c r="Q4002">
        <v>0.13863059999999999</v>
      </c>
      <c r="R4002">
        <v>-0.92887030000000004</v>
      </c>
      <c r="S4002">
        <v>0.39878849999999999</v>
      </c>
      <c r="T4002">
        <v>-0.2443968</v>
      </c>
      <c r="U4002">
        <v>-3.1316679999999999</v>
      </c>
      <c r="V4002">
        <v>0.49825750000000002</v>
      </c>
      <c r="W4002">
        <v>0.1418169</v>
      </c>
      <c r="X4002">
        <v>0.85535219999999901</v>
      </c>
      <c r="Y4002">
        <v>0.68216560000000004</v>
      </c>
      <c r="Z4002">
        <v>2.593094E-2</v>
      </c>
      <c r="AA4002">
        <v>0.73073769999999905</v>
      </c>
      <c r="AB4002">
        <v>18</v>
      </c>
      <c r="AC4002">
        <v>1.6671</v>
      </c>
      <c r="AD4002">
        <v>-1.10228712597</v>
      </c>
      <c r="AE4002">
        <v>-13.9947999999999</v>
      </c>
      <c r="AF4002">
        <v>9.6431734453855693</v>
      </c>
      <c r="AG4002">
        <v>-1.10228712597</v>
      </c>
      <c r="AH4002">
        <v>10.1604575738839</v>
      </c>
      <c r="AI4002">
        <v>94.499305054678203</v>
      </c>
      <c r="AJ4002">
        <v>46.496263967528499</v>
      </c>
      <c r="AK4002">
        <v>14.0513604009207</v>
      </c>
      <c r="AL4002">
        <v>81.847003733883298</v>
      </c>
      <c r="AM4002">
        <v>59.778457688415202</v>
      </c>
      <c r="AN4002">
        <v>0.99999997773834903</v>
      </c>
    </row>
    <row r="4003" spans="1:40" x14ac:dyDescent="0.25">
      <c r="A4003" t="str">
        <f>"20190312164107540"</f>
        <v>20190312164107540</v>
      </c>
      <c r="B4003" t="str">
        <f>"1552380067530138"</f>
        <v>1552380067530138</v>
      </c>
      <c r="C4003" t="s">
        <v>40</v>
      </c>
      <c r="D4003">
        <v>6.3428800000000001</v>
      </c>
      <c r="E4003">
        <v>0.59816599999999998</v>
      </c>
      <c r="F4003" t="s">
        <v>41</v>
      </c>
      <c r="G4003">
        <v>-191.5915</v>
      </c>
      <c r="H4003" s="1">
        <v>-2.3779780000000002E-6</v>
      </c>
      <c r="I4003">
        <v>194.14510000000001</v>
      </c>
      <c r="J4003">
        <v>-193.00630000000001</v>
      </c>
      <c r="K4003">
        <v>1.102179</v>
      </c>
      <c r="L4003">
        <v>207.49770000000001</v>
      </c>
      <c r="M4003">
        <v>0.75829539999999995</v>
      </c>
      <c r="N4003">
        <v>0</v>
      </c>
      <c r="O4003">
        <v>-0.65171959999999995</v>
      </c>
      <c r="P4003">
        <v>0.32957180000000003</v>
      </c>
      <c r="Q4003">
        <v>0.13756589999999999</v>
      </c>
      <c r="R4003">
        <v>-0.93405490000000002</v>
      </c>
      <c r="S4003">
        <v>0.35859679999999999</v>
      </c>
      <c r="T4003">
        <v>-0.2562952</v>
      </c>
      <c r="U4003">
        <v>-3.1353759999999999</v>
      </c>
      <c r="V4003">
        <v>0.49661309999999897</v>
      </c>
      <c r="W4003">
        <v>0.140771799999999</v>
      </c>
      <c r="X4003">
        <v>0.85648049999999998</v>
      </c>
      <c r="Y4003">
        <v>0.67905479999999996</v>
      </c>
      <c r="Z4003">
        <v>2.8750049999999999E-2</v>
      </c>
      <c r="AA4003">
        <v>0.73352439999999997</v>
      </c>
      <c r="AB4003">
        <v>18</v>
      </c>
      <c r="AC4003">
        <v>1.41480000000001</v>
      </c>
      <c r="AD4003">
        <v>-1.1021813779780001</v>
      </c>
      <c r="AE4003">
        <v>-13.352599999999899</v>
      </c>
      <c r="AF4003">
        <v>9.1427084250847894</v>
      </c>
      <c r="AG4003">
        <v>-1.1021813779780001</v>
      </c>
      <c r="AH4003">
        <v>9.7107774077943407</v>
      </c>
      <c r="AI4003">
        <v>94.724069749422796</v>
      </c>
      <c r="AJ4003">
        <v>46.725840577737301</v>
      </c>
      <c r="AK4003">
        <v>13.3829413433597</v>
      </c>
      <c r="AL4003">
        <v>81.907491042431502</v>
      </c>
      <c r="AM4003">
        <v>59.893555250210703</v>
      </c>
      <c r="AN4003">
        <v>1.00000005882354</v>
      </c>
    </row>
    <row r="4004" spans="1:40" x14ac:dyDescent="0.25">
      <c r="A4004" t="str">
        <f>"20190312164107562"</f>
        <v>20190312164107562</v>
      </c>
      <c r="B4004" t="str">
        <f>"1552380067550634"</f>
        <v>1552380067550634</v>
      </c>
      <c r="C4004" t="s">
        <v>40</v>
      </c>
      <c r="D4004">
        <v>6.1911899999999997</v>
      </c>
      <c r="E4004">
        <v>0.59871830000000004</v>
      </c>
      <c r="F4004" t="s">
        <v>41</v>
      </c>
      <c r="G4004">
        <v>-191.6626</v>
      </c>
      <c r="H4004" s="1">
        <v>-2.3673530000000002E-6</v>
      </c>
      <c r="I4004">
        <v>194.0763</v>
      </c>
      <c r="J4004">
        <v>-192.88509999999999</v>
      </c>
      <c r="K4004">
        <v>1.102112</v>
      </c>
      <c r="L4004">
        <v>207.3672</v>
      </c>
      <c r="M4004">
        <v>0.7472799</v>
      </c>
      <c r="N4004">
        <v>0</v>
      </c>
      <c r="O4004">
        <v>-0.66431969999999996</v>
      </c>
      <c r="P4004">
        <v>0.31593850000000001</v>
      </c>
      <c r="Q4004">
        <v>0.1365362</v>
      </c>
      <c r="R4004">
        <v>-0.93890399999999996</v>
      </c>
      <c r="S4004">
        <v>0.3142548</v>
      </c>
      <c r="T4004">
        <v>-0.25776919999999998</v>
      </c>
      <c r="U4004">
        <v>-3.1388850000000001</v>
      </c>
      <c r="V4004">
        <v>0.4948574</v>
      </c>
      <c r="W4004">
        <v>0.13978979999999999</v>
      </c>
      <c r="X4004">
        <v>0.85765669999999905</v>
      </c>
      <c r="Y4004">
        <v>0.67711960000000004</v>
      </c>
      <c r="Z4004">
        <v>3.0396050000000001E-2</v>
      </c>
      <c r="AA4004">
        <v>0.73524499999999904</v>
      </c>
      <c r="AB4004">
        <v>18</v>
      </c>
      <c r="AC4004">
        <v>1.2224999999999899</v>
      </c>
      <c r="AD4004">
        <v>-1.1021143673530001</v>
      </c>
      <c r="AE4004">
        <v>-13.290899999999899</v>
      </c>
      <c r="AF4004">
        <v>9.0592711163775093</v>
      </c>
      <c r="AG4004">
        <v>-1.1021143673530001</v>
      </c>
      <c r="AH4004">
        <v>9.6781943557051004</v>
      </c>
      <c r="AI4004">
        <v>94.752466466762797</v>
      </c>
      <c r="AJ4004">
        <v>46.891867440926198</v>
      </c>
      <c r="AK4004">
        <v>13.302349237091899</v>
      </c>
      <c r="AL4004">
        <v>81.964317134428796</v>
      </c>
      <c r="AM4004">
        <v>60.015581041468501</v>
      </c>
      <c r="AN4004">
        <v>1.0000000247868399</v>
      </c>
    </row>
    <row r="4005" spans="1:40" x14ac:dyDescent="0.25">
      <c r="A4005" t="str">
        <f>"20190312164107584"</f>
        <v>20190312164107584</v>
      </c>
      <c r="B4005" t="str">
        <f>"1552380067579915"</f>
        <v>1552380067579915</v>
      </c>
      <c r="C4005" t="s">
        <v>40</v>
      </c>
      <c r="D4005">
        <v>6.2273500000000004</v>
      </c>
      <c r="E4005">
        <v>0.59899829999999998</v>
      </c>
      <c r="F4005" t="s">
        <v>41</v>
      </c>
      <c r="G4005">
        <v>-191.75280000000001</v>
      </c>
      <c r="H4005" s="1">
        <v>-2.2940770000000002E-6</v>
      </c>
      <c r="I4005">
        <v>193.84950000000001</v>
      </c>
      <c r="J4005">
        <v>-192.7619</v>
      </c>
      <c r="K4005">
        <v>1.102066</v>
      </c>
      <c r="L4005">
        <v>207.2295</v>
      </c>
      <c r="M4005">
        <v>0.73547700000000005</v>
      </c>
      <c r="N4005">
        <v>0</v>
      </c>
      <c r="O4005">
        <v>-0.67736130000000006</v>
      </c>
      <c r="P4005">
        <v>0.3012843</v>
      </c>
      <c r="Q4005">
        <v>0.13534109999999999</v>
      </c>
      <c r="R4005">
        <v>-0.94388059999999996</v>
      </c>
      <c r="S4005">
        <v>0.26333620000000002</v>
      </c>
      <c r="T4005">
        <v>-0.25632500000000003</v>
      </c>
      <c r="U4005">
        <v>-3.1438899999999999</v>
      </c>
      <c r="V4005">
        <v>0.49323689999999998</v>
      </c>
      <c r="W4005">
        <v>0.13865930000000001</v>
      </c>
      <c r="X4005">
        <v>0.85877289999999995</v>
      </c>
      <c r="Y4005">
        <v>0.67612099999999997</v>
      </c>
      <c r="Z4005">
        <v>3.1699049999999999E-2</v>
      </c>
      <c r="AA4005">
        <v>0.7361084</v>
      </c>
      <c r="AB4005">
        <v>18</v>
      </c>
      <c r="AC4005">
        <v>1.0090999999999799</v>
      </c>
      <c r="AD4005">
        <v>-1.1020682940769999</v>
      </c>
      <c r="AE4005">
        <v>-13.3799999999999</v>
      </c>
      <c r="AF4005">
        <v>9.0969584818621296</v>
      </c>
      <c r="AG4005">
        <v>-1.1020682940769999</v>
      </c>
      <c r="AH4005">
        <v>9.7408049352488195</v>
      </c>
      <c r="AI4005">
        <v>94.726899956515595</v>
      </c>
      <c r="AJ4005">
        <v>46.957521665716101</v>
      </c>
      <c r="AK4005">
        <v>13.373574276613599</v>
      </c>
      <c r="AL4005">
        <v>82.029726592665298</v>
      </c>
      <c r="AM4005">
        <v>60.129060207363899</v>
      </c>
      <c r="AN4005">
        <v>0.99999996738625396</v>
      </c>
    </row>
    <row r="4006" spans="1:40" x14ac:dyDescent="0.25">
      <c r="A4006" t="str">
        <f>"20190312164107608"</f>
        <v>20190312164107608</v>
      </c>
      <c r="B4006" t="str">
        <f>"1552380067600414"</f>
        <v>1552380067600414</v>
      </c>
      <c r="C4006" t="s">
        <v>40</v>
      </c>
      <c r="D4006">
        <v>6.2870239999999997</v>
      </c>
      <c r="E4006">
        <v>0.59910559999999902</v>
      </c>
      <c r="F4006" t="s">
        <v>41</v>
      </c>
      <c r="G4006">
        <v>-191.84450000000001</v>
      </c>
      <c r="H4006" s="1">
        <v>-2.178546E-6</v>
      </c>
      <c r="I4006">
        <v>193.52330000000001</v>
      </c>
      <c r="J4006">
        <v>-192.63980000000001</v>
      </c>
      <c r="K4006">
        <v>1.102047</v>
      </c>
      <c r="L4006">
        <v>207.08770000000001</v>
      </c>
      <c r="M4006">
        <v>0.72316179999999997</v>
      </c>
      <c r="N4006">
        <v>0</v>
      </c>
      <c r="O4006">
        <v>-0.6904922</v>
      </c>
      <c r="P4006">
        <v>0.28634120000000002</v>
      </c>
      <c r="Q4006">
        <v>0.136091299999999</v>
      </c>
      <c r="R4006">
        <v>-0.94841359999999997</v>
      </c>
      <c r="S4006">
        <v>0.21064759999999999</v>
      </c>
      <c r="T4006">
        <v>-0.25307479999999999</v>
      </c>
      <c r="U4006">
        <v>-3.1474299999999999</v>
      </c>
      <c r="V4006">
        <v>0.4912822</v>
      </c>
      <c r="W4006">
        <v>0.13949510000000001</v>
      </c>
      <c r="X4006">
        <v>0.8597574</v>
      </c>
      <c r="Y4006">
        <v>0.67520290000000005</v>
      </c>
      <c r="Z4006">
        <v>3.2778120000000001E-2</v>
      </c>
      <c r="AA4006">
        <v>0.73690339999999999</v>
      </c>
      <c r="AB4006">
        <v>18</v>
      </c>
      <c r="AC4006">
        <v>0.79529999999999701</v>
      </c>
      <c r="AD4006">
        <v>-1.102049178546</v>
      </c>
      <c r="AE4006">
        <v>-13.564399999999999</v>
      </c>
      <c r="AF4006">
        <v>9.2007750939252393</v>
      </c>
      <c r="AG4006">
        <v>-1.102049178546</v>
      </c>
      <c r="AH4006">
        <v>9.8775463515505102</v>
      </c>
      <c r="AI4006">
        <v>94.667273734395806</v>
      </c>
      <c r="AJ4006">
        <v>47.031619207735403</v>
      </c>
      <c r="AK4006">
        <v>13.5438065789481</v>
      </c>
      <c r="AL4006">
        <v>81.981368551863198</v>
      </c>
      <c r="AM4006">
        <v>60.255507687619001</v>
      </c>
      <c r="AN4006">
        <v>0.99999993490780203</v>
      </c>
    </row>
    <row r="4007" spans="1:40" x14ac:dyDescent="0.25">
      <c r="A4007" t="str">
        <f>"20190312164107629"</f>
        <v>20190312164107629</v>
      </c>
      <c r="B4007" t="str">
        <f>"1552380067619930"</f>
        <v>1552380067619930</v>
      </c>
      <c r="C4007" t="s">
        <v>40</v>
      </c>
      <c r="D4007">
        <v>6.0083520000000004</v>
      </c>
      <c r="E4007">
        <v>0.59897639999999996</v>
      </c>
      <c r="F4007" t="s">
        <v>41</v>
      </c>
      <c r="G4007">
        <v>-191.94569999999999</v>
      </c>
      <c r="H4007" s="1">
        <v>-2.1349289999999998E-6</v>
      </c>
      <c r="I4007">
        <v>193.35890000000001</v>
      </c>
      <c r="J4007">
        <v>-192.52670000000001</v>
      </c>
      <c r="K4007">
        <v>1.1020449999999999</v>
      </c>
      <c r="L4007">
        <v>206.9512</v>
      </c>
      <c r="M4007">
        <v>0.71115989999999996</v>
      </c>
      <c r="N4007">
        <v>0</v>
      </c>
      <c r="O4007">
        <v>-0.70284569999999902</v>
      </c>
      <c r="P4007">
        <v>0.27133099999999999</v>
      </c>
      <c r="Q4007">
        <v>0.13831070000000001</v>
      </c>
      <c r="R4007">
        <v>-0.95249669999999997</v>
      </c>
      <c r="S4007">
        <v>0.15933229999999901</v>
      </c>
      <c r="T4007">
        <v>-0.25296839999999998</v>
      </c>
      <c r="U4007">
        <v>-3.151367</v>
      </c>
      <c r="V4007">
        <v>0.4898691</v>
      </c>
      <c r="W4007">
        <v>0.14179240000000001</v>
      </c>
      <c r="X4007">
        <v>0.86018790000000001</v>
      </c>
      <c r="Y4007">
        <v>0.67453129999999994</v>
      </c>
      <c r="Z4007">
        <v>3.4144420000000002E-2</v>
      </c>
      <c r="AA4007">
        <v>0.73745629999999995</v>
      </c>
      <c r="AB4007">
        <v>17</v>
      </c>
      <c r="AC4007">
        <v>0.58100000000001695</v>
      </c>
      <c r="AD4007">
        <v>-1.102047134929</v>
      </c>
      <c r="AE4007">
        <v>-13.5922999999999</v>
      </c>
      <c r="AF4007">
        <v>9.1987864839774396</v>
      </c>
      <c r="AG4007">
        <v>-1.102047134929</v>
      </c>
      <c r="AH4007">
        <v>9.9027870959280104</v>
      </c>
      <c r="AI4007">
        <v>94.661377059272994</v>
      </c>
      <c r="AJ4007">
        <v>47.110716958332297</v>
      </c>
      <c r="AK4007">
        <v>13.5608765547323</v>
      </c>
      <c r="AL4007">
        <v>81.848422170382193</v>
      </c>
      <c r="AM4007">
        <v>60.338884947636402</v>
      </c>
      <c r="AN4007">
        <v>1.00000002156948</v>
      </c>
    </row>
    <row r="4008" spans="1:40" x14ac:dyDescent="0.25">
      <c r="A4008" t="str">
        <f>"20190312164107651"</f>
        <v>20190312164107651</v>
      </c>
      <c r="B4008" t="str">
        <f>"1552380067640427"</f>
        <v>1552380067640427</v>
      </c>
      <c r="C4008" t="s">
        <v>40</v>
      </c>
      <c r="D4008">
        <v>6.0270089999999996</v>
      </c>
      <c r="E4008">
        <v>0.59882309999999905</v>
      </c>
      <c r="F4008" t="s">
        <v>41</v>
      </c>
      <c r="G4008">
        <v>-192.0411</v>
      </c>
      <c r="H4008" s="1">
        <v>-2.0978430000000002E-6</v>
      </c>
      <c r="I4008">
        <v>193.2133</v>
      </c>
      <c r="J4008">
        <v>-192.4152</v>
      </c>
      <c r="K4008">
        <v>1.102052</v>
      </c>
      <c r="L4008">
        <v>206.81180000000001</v>
      </c>
      <c r="M4008">
        <v>0.69877619999999996</v>
      </c>
      <c r="N4008">
        <v>0</v>
      </c>
      <c r="O4008">
        <v>-0.71515759999999995</v>
      </c>
      <c r="P4008">
        <v>0.25611410000000001</v>
      </c>
      <c r="Q4008">
        <v>0.1387167</v>
      </c>
      <c r="R4008">
        <v>-0.95664170000000004</v>
      </c>
      <c r="S4008">
        <v>0.111496</v>
      </c>
      <c r="T4008">
        <v>-0.25305929999999999</v>
      </c>
      <c r="U4008">
        <v>-3.1546020000000001</v>
      </c>
      <c r="V4008">
        <v>0.48851889999999998</v>
      </c>
      <c r="W4008">
        <v>0.14229739999999999</v>
      </c>
      <c r="X4008">
        <v>0.86087209999999903</v>
      </c>
      <c r="Y4008">
        <v>0.67285229999999996</v>
      </c>
      <c r="Z4008">
        <v>3.5584560000000001E-2</v>
      </c>
      <c r="AA4008">
        <v>0.73892060000000004</v>
      </c>
      <c r="AB4008">
        <v>17</v>
      </c>
      <c r="AC4008">
        <v>0.37409999999999799</v>
      </c>
      <c r="AD4008">
        <v>-1.102054097843</v>
      </c>
      <c r="AE4008">
        <v>-13.5985</v>
      </c>
      <c r="AF4008">
        <v>9.1757555617713695</v>
      </c>
      <c r="AG4008">
        <v>-1.102054097843</v>
      </c>
      <c r="AH4008">
        <v>9.9226670443726892</v>
      </c>
      <c r="AI4008">
        <v>94.661775463151898</v>
      </c>
      <c r="AJ4008">
        <v>47.239613111666102</v>
      </c>
      <c r="AK4008">
        <v>13.5598058480728</v>
      </c>
      <c r="AL4008">
        <v>81.819191388323006</v>
      </c>
      <c r="AM4008">
        <v>60.426399265976499</v>
      </c>
      <c r="AN4008">
        <v>1.00000001913118</v>
      </c>
    </row>
    <row r="4009" spans="1:40" x14ac:dyDescent="0.25">
      <c r="A4009" t="str">
        <f>"20190312164107674"</f>
        <v>20190312164107674</v>
      </c>
      <c r="B4009" t="str">
        <f>"1552380067670683"</f>
        <v>1552380067670683</v>
      </c>
      <c r="C4009" t="s">
        <v>40</v>
      </c>
      <c r="D4009">
        <v>6.1180479999999999</v>
      </c>
      <c r="E4009">
        <v>0.5983811</v>
      </c>
      <c r="F4009" t="s">
        <v>41</v>
      </c>
      <c r="G4009">
        <v>-192.1413</v>
      </c>
      <c r="H4009" s="1">
        <v>-1.9495740000000001E-6</v>
      </c>
      <c r="I4009">
        <v>192.80549999999999</v>
      </c>
      <c r="J4009">
        <v>-192.3014</v>
      </c>
      <c r="K4009">
        <v>1.102079</v>
      </c>
      <c r="L4009">
        <v>206.66370000000001</v>
      </c>
      <c r="M4009">
        <v>0.68553039999999998</v>
      </c>
      <c r="N4009">
        <v>0</v>
      </c>
      <c r="O4009">
        <v>-0.72786359999999894</v>
      </c>
      <c r="P4009">
        <v>0.2405216</v>
      </c>
      <c r="Q4009">
        <v>0.13732449999999999</v>
      </c>
      <c r="R4009">
        <v>-0.96088059999999997</v>
      </c>
      <c r="S4009">
        <v>6.17218E-2</v>
      </c>
      <c r="T4009">
        <v>-0.2482827</v>
      </c>
      <c r="U4009">
        <v>-3.1554720000000001</v>
      </c>
      <c r="V4009">
        <v>0.48680770000000001</v>
      </c>
      <c r="W4009">
        <v>0.14104420000000001</v>
      </c>
      <c r="X4009">
        <v>0.8620468</v>
      </c>
      <c r="Y4009">
        <v>0.67095079999999996</v>
      </c>
      <c r="Z4009">
        <v>3.6398779999999999E-2</v>
      </c>
      <c r="AA4009">
        <v>0.74060789999999999</v>
      </c>
      <c r="AB4009">
        <v>17</v>
      </c>
      <c r="AC4009">
        <v>0.16009999999999899</v>
      </c>
      <c r="AD4009">
        <v>-1.102080949574</v>
      </c>
      <c r="AE4009">
        <v>-13.8582</v>
      </c>
      <c r="AF4009">
        <v>9.3259466516568299</v>
      </c>
      <c r="AG4009">
        <v>-1.102080949574</v>
      </c>
      <c r="AH4009">
        <v>10.133890755349899</v>
      </c>
      <c r="AI4009">
        <v>94.575235539860302</v>
      </c>
      <c r="AJ4009">
        <v>47.377471848057901</v>
      </c>
      <c r="AK4009">
        <v>13.8160633036451</v>
      </c>
      <c r="AL4009">
        <v>81.891725449013293</v>
      </c>
      <c r="AM4009">
        <v>60.546085321229498</v>
      </c>
      <c r="AN4009">
        <v>0.99999994426158301</v>
      </c>
    </row>
    <row r="4010" spans="1:40" x14ac:dyDescent="0.25">
      <c r="A4010" t="str">
        <f>"20190312164107697"</f>
        <v>20190312164107697</v>
      </c>
      <c r="B4010" t="str">
        <f>"1552380067690202"</f>
        <v>1552380067690202</v>
      </c>
      <c r="C4010" t="s">
        <v>40</v>
      </c>
      <c r="D4010">
        <v>6.040057</v>
      </c>
      <c r="E4010">
        <v>0.59807129999999997</v>
      </c>
      <c r="F4010" t="s">
        <v>41</v>
      </c>
      <c r="G4010">
        <v>-192.24690000000001</v>
      </c>
      <c r="H4010" s="1">
        <v>-1.8587469999999999E-6</v>
      </c>
      <c r="I4010">
        <v>192.5283</v>
      </c>
      <c r="J4010">
        <v>-192.1919</v>
      </c>
      <c r="K4010">
        <v>1.102125</v>
      </c>
      <c r="L4010">
        <v>206.51589999999999</v>
      </c>
      <c r="M4010">
        <v>0.67223080000000002</v>
      </c>
      <c r="N4010">
        <v>0</v>
      </c>
      <c r="O4010">
        <v>-0.74016329999999997</v>
      </c>
      <c r="P4010">
        <v>0.22451019999999999</v>
      </c>
      <c r="Q4010">
        <v>0.1358211</v>
      </c>
      <c r="R4010">
        <v>-0.96496009999999999</v>
      </c>
      <c r="S4010">
        <v>1.216125E-2</v>
      </c>
      <c r="T4010">
        <v>-0.2459249</v>
      </c>
      <c r="U4010">
        <v>-3.1542509999999999</v>
      </c>
      <c r="V4010">
        <v>0.48561199999999999</v>
      </c>
      <c r="W4010">
        <v>0.13968069999999999</v>
      </c>
      <c r="X4010">
        <v>0.86294289999999996</v>
      </c>
      <c r="Y4010">
        <v>0.6691627</v>
      </c>
      <c r="Z4010">
        <v>3.7501430000000002E-2</v>
      </c>
      <c r="AA4010">
        <v>0.74216910000000003</v>
      </c>
      <c r="AB4010">
        <v>17</v>
      </c>
      <c r="AC4010">
        <v>-5.50000000000068E-2</v>
      </c>
      <c r="AD4010">
        <v>-1.1021268587469999</v>
      </c>
      <c r="AE4010">
        <v>-13.987599999999899</v>
      </c>
      <c r="AF4010">
        <v>9.3865771831752003</v>
      </c>
      <c r="AG4010">
        <v>-1.1021268587469999</v>
      </c>
      <c r="AH4010">
        <v>10.2538391696178</v>
      </c>
      <c r="AI4010">
        <v>94.533024570820103</v>
      </c>
      <c r="AJ4010">
        <v>47.5283676390072</v>
      </c>
      <c r="AK4010">
        <v>13.945025369100801</v>
      </c>
      <c r="AL4010">
        <v>81.970630491290507</v>
      </c>
      <c r="AM4010">
        <v>60.631826260166299</v>
      </c>
      <c r="AN4010">
        <v>1.0000000805784399</v>
      </c>
    </row>
    <row r="4011" spans="1:40" x14ac:dyDescent="0.25">
      <c r="A4011" t="str">
        <f>"20190312164107719"</f>
        <v>20190312164107719</v>
      </c>
      <c r="B4011" t="str">
        <f>"1552380067710698"</f>
        <v>1552380067710698</v>
      </c>
      <c r="C4011" t="s">
        <v>40</v>
      </c>
      <c r="D4011">
        <v>5.9993100000000004</v>
      </c>
      <c r="E4011">
        <v>0.5974353</v>
      </c>
      <c r="F4011" t="s">
        <v>41</v>
      </c>
      <c r="G4011">
        <v>-192.36259999999999</v>
      </c>
      <c r="H4011" s="1">
        <v>-1.8954140000000001E-6</v>
      </c>
      <c r="I4011">
        <v>192.542</v>
      </c>
      <c r="J4011">
        <v>-192.08760000000001</v>
      </c>
      <c r="K4011">
        <v>1.1021890000000001</v>
      </c>
      <c r="L4011">
        <v>206.3691</v>
      </c>
      <c r="M4011">
        <v>0.65897720000000004</v>
      </c>
      <c r="N4011">
        <v>0</v>
      </c>
      <c r="O4011">
        <v>-0.75198690000000001</v>
      </c>
      <c r="P4011">
        <v>0.20878740000000001</v>
      </c>
      <c r="Q4011">
        <v>0.13461679999999901</v>
      </c>
      <c r="R4011">
        <v>-0.9686517</v>
      </c>
      <c r="S4011">
        <v>-3.8513180000000001E-2</v>
      </c>
      <c r="T4011">
        <v>-0.248669</v>
      </c>
      <c r="U4011">
        <v>-3.1528779999999998</v>
      </c>
      <c r="V4011">
        <v>0.48437380000000002</v>
      </c>
      <c r="W4011">
        <v>0.1386164</v>
      </c>
      <c r="X4011">
        <v>0.86380990000000002</v>
      </c>
      <c r="Y4011">
        <v>0.66789240000000005</v>
      </c>
      <c r="Z4011">
        <v>3.9311539999999999E-2</v>
      </c>
      <c r="AA4011">
        <v>0.74321890000000002</v>
      </c>
      <c r="AB4011">
        <v>17</v>
      </c>
      <c r="AC4011">
        <v>-0.27499999999997699</v>
      </c>
      <c r="AD4011">
        <v>-1.1021908954139901</v>
      </c>
      <c r="AE4011">
        <v>-13.8271</v>
      </c>
      <c r="AF4011">
        <v>9.2609524394227503</v>
      </c>
      <c r="AG4011">
        <v>-1.1021908954139901</v>
      </c>
      <c r="AH4011">
        <v>10.1534419461259</v>
      </c>
      <c r="AI4011">
        <v>94.5854670668148</v>
      </c>
      <c r="AJ4011">
        <v>47.632062838600298</v>
      </c>
      <c r="AK4011">
        <v>13.786676474355</v>
      </c>
      <c r="AL4011">
        <v>82.032208922657603</v>
      </c>
      <c r="AM4011">
        <v>60.718854677965403</v>
      </c>
      <c r="AN4011">
        <v>1.0000000139067</v>
      </c>
    </row>
    <row r="4012" spans="1:40" x14ac:dyDescent="0.25">
      <c r="A4012" t="str">
        <f>"20190312164107741"</f>
        <v>20190312164107741</v>
      </c>
      <c r="B4012" t="str">
        <f>"1552380067730218"</f>
        <v>1552380067730218</v>
      </c>
      <c r="C4012" t="s">
        <v>40</v>
      </c>
      <c r="D4012">
        <v>6.1653599999999997</v>
      </c>
      <c r="E4012">
        <v>0.59661419999999998</v>
      </c>
      <c r="F4012" t="s">
        <v>41</v>
      </c>
      <c r="G4012">
        <v>-192.46289999999999</v>
      </c>
      <c r="H4012" s="1">
        <v>-1.8864099999999999E-6</v>
      </c>
      <c r="I4012">
        <v>192.4588</v>
      </c>
      <c r="J4012">
        <v>-191.98599999999999</v>
      </c>
      <c r="K4012">
        <v>1.1022459999999901</v>
      </c>
      <c r="L4012">
        <v>206.22049999999999</v>
      </c>
      <c r="M4012">
        <v>0.64552500000000002</v>
      </c>
      <c r="N4012">
        <v>0</v>
      </c>
      <c r="O4012">
        <v>-0.76356650000000004</v>
      </c>
      <c r="P4012">
        <v>0.19376270000000001</v>
      </c>
      <c r="Q4012">
        <v>0.133658</v>
      </c>
      <c r="R4012">
        <v>-0.97190089999999996</v>
      </c>
      <c r="S4012">
        <v>-8.4991460000000005E-2</v>
      </c>
      <c r="T4012">
        <v>-0.24959870000000001</v>
      </c>
      <c r="U4012">
        <v>-3.1500699999999999</v>
      </c>
      <c r="V4012">
        <v>0.48245009999999999</v>
      </c>
      <c r="W4012">
        <v>0.13777899999999901</v>
      </c>
      <c r="X4012">
        <v>0.8650196</v>
      </c>
      <c r="Y4012">
        <v>0.66565580000000002</v>
      </c>
      <c r="Z4012">
        <v>4.0889450000000001E-2</v>
      </c>
      <c r="AA4012">
        <v>0.74513790000000002</v>
      </c>
      <c r="AB4012">
        <v>17</v>
      </c>
      <c r="AC4012">
        <v>-0.47689999999999999</v>
      </c>
      <c r="AD4012">
        <v>-1.1022478864099901</v>
      </c>
      <c r="AE4012">
        <v>-13.7616999999999</v>
      </c>
      <c r="AF4012">
        <v>9.1900001444931601</v>
      </c>
      <c r="AG4012">
        <v>-1.1022478864099901</v>
      </c>
      <c r="AH4012">
        <v>10.136516843720999</v>
      </c>
      <c r="AI4012">
        <v>94.605812061013594</v>
      </c>
      <c r="AJ4012">
        <v>47.803822098538198</v>
      </c>
      <c r="AK4012">
        <v>13.7266174559474</v>
      </c>
      <c r="AL4012">
        <v>82.080653378033105</v>
      </c>
      <c r="AM4012">
        <v>60.850143565683702</v>
      </c>
      <c r="AN4012">
        <v>1.00000003010758</v>
      </c>
    </row>
    <row r="4013" spans="1:40" x14ac:dyDescent="0.25">
      <c r="A4013" t="str">
        <f>"20190312164107764"</f>
        <v>20190312164107764</v>
      </c>
      <c r="B4013" t="str">
        <f>"1552380067760475"</f>
        <v>1552380067760475</v>
      </c>
      <c r="C4013" t="s">
        <v>40</v>
      </c>
      <c r="D4013">
        <v>5.99681</v>
      </c>
      <c r="E4013">
        <v>0.57532130000000004</v>
      </c>
      <c r="F4013" t="s">
        <v>41</v>
      </c>
      <c r="G4013">
        <v>-192.55070000000001</v>
      </c>
      <c r="H4013" s="1">
        <v>-1.865885E-6</v>
      </c>
      <c r="I4013">
        <v>192.35650000000001</v>
      </c>
      <c r="J4013">
        <v>-191.88669999999999</v>
      </c>
      <c r="K4013">
        <v>1.1022909999999999</v>
      </c>
      <c r="L4013">
        <v>206.06989999999999</v>
      </c>
      <c r="M4013">
        <v>0.63184739999999995</v>
      </c>
      <c r="N4013">
        <v>0</v>
      </c>
      <c r="O4013">
        <v>-0.77492399999999995</v>
      </c>
      <c r="P4013">
        <v>0.17806169999999999</v>
      </c>
      <c r="Q4013">
        <v>0.1337325</v>
      </c>
      <c r="R4013">
        <v>-0.97488960000000002</v>
      </c>
      <c r="S4013">
        <v>-0.1281738</v>
      </c>
      <c r="T4013">
        <v>-0.2501758</v>
      </c>
      <c r="U4013">
        <v>-3.1466980000000002</v>
      </c>
      <c r="V4013">
        <v>0.48098859999999899</v>
      </c>
      <c r="W4013">
        <v>0.1379174</v>
      </c>
      <c r="X4013">
        <v>0.865811</v>
      </c>
      <c r="Y4013">
        <v>0.66262600000000005</v>
      </c>
      <c r="Z4013">
        <v>4.2435779999999999E-2</v>
      </c>
      <c r="AA4013">
        <v>0.74774719999999995</v>
      </c>
      <c r="AB4013">
        <v>17</v>
      </c>
      <c r="AC4013">
        <v>-0.66400000000001502</v>
      </c>
      <c r="AD4013">
        <v>-1.102292865885</v>
      </c>
      <c r="AE4013">
        <v>-13.713399999999901</v>
      </c>
      <c r="AF4013">
        <v>9.1217286499863892</v>
      </c>
      <c r="AG4013">
        <v>-1.102292865885</v>
      </c>
      <c r="AH4013">
        <v>10.143248936005101</v>
      </c>
      <c r="AI4013">
        <v>94.619701216419102</v>
      </c>
      <c r="AJ4013">
        <v>48.035250860746402</v>
      </c>
      <c r="AK4013">
        <v>13.6859958389564</v>
      </c>
      <c r="AL4013">
        <v>82.072646692089904</v>
      </c>
      <c r="AM4013">
        <v>60.946281416325</v>
      </c>
      <c r="AN4013">
        <v>0.99999996513685896</v>
      </c>
    </row>
    <row r="4014" spans="1:40" x14ac:dyDescent="0.25">
      <c r="A4014" t="str">
        <f>"20190312164107786"</f>
        <v>20190312164107786</v>
      </c>
      <c r="B4014" t="str">
        <f>"1552380067779998"</f>
        <v>1552380067779998</v>
      </c>
      <c r="C4014" t="s">
        <v>40</v>
      </c>
      <c r="D4014">
        <v>6.0358809999999998</v>
      </c>
      <c r="E4014">
        <v>0.57447930000000003</v>
      </c>
      <c r="F4014" t="s">
        <v>41</v>
      </c>
      <c r="G4014">
        <v>-191.9665</v>
      </c>
      <c r="H4014" s="1">
        <v>-4.551477E-6</v>
      </c>
      <c r="I4014">
        <v>189.3365</v>
      </c>
      <c r="J4014">
        <v>-191.78790000000001</v>
      </c>
      <c r="K4014">
        <v>1.102322</v>
      </c>
      <c r="L4014">
        <v>205.91390000000001</v>
      </c>
      <c r="M4014">
        <v>0.61765249999999905</v>
      </c>
      <c r="N4014">
        <v>0</v>
      </c>
      <c r="O4014">
        <v>-0.78628759999999998</v>
      </c>
      <c r="P4014">
        <v>0.16251660000000001</v>
      </c>
      <c r="Q4014">
        <v>0.13371949999999999</v>
      </c>
      <c r="R4014">
        <v>-0.97760309999999995</v>
      </c>
      <c r="S4014">
        <v>-1.4816279999999999E-2</v>
      </c>
      <c r="T4014">
        <v>-0.20474000000000001</v>
      </c>
      <c r="U4014">
        <v>-3.108063</v>
      </c>
      <c r="V4014">
        <v>0.47900389999999998</v>
      </c>
      <c r="W4014">
        <v>0.13792639999999901</v>
      </c>
      <c r="X4014">
        <v>0.86690919999999905</v>
      </c>
      <c r="Y4014">
        <v>0.62130759999999996</v>
      </c>
      <c r="Z4014">
        <v>3.7557760000000003E-2</v>
      </c>
      <c r="AA4014">
        <v>0.78266610000000003</v>
      </c>
      <c r="AB4014">
        <v>17</v>
      </c>
      <c r="AC4014">
        <v>-0.17859999999998799</v>
      </c>
      <c r="AD4014">
        <v>-1.102326551477</v>
      </c>
      <c r="AE4014">
        <v>-16.577400000000001</v>
      </c>
      <c r="AF4014">
        <v>10.3351451348568</v>
      </c>
      <c r="AG4014">
        <v>-1.102326551477</v>
      </c>
      <c r="AH4014">
        <v>12.8690574027277</v>
      </c>
      <c r="AI4014">
        <v>93.820873691667103</v>
      </c>
      <c r="AJ4014">
        <v>51.232038506981397</v>
      </c>
      <c r="AK4014">
        <v>16.5421578767507</v>
      </c>
      <c r="AL4014">
        <v>82.072126288968093</v>
      </c>
      <c r="AM4014">
        <v>61.077498110525099</v>
      </c>
      <c r="AN4014">
        <v>0.99999999453840405</v>
      </c>
    </row>
    <row r="4015" spans="1:40" x14ac:dyDescent="0.25">
      <c r="A4015" t="str">
        <f>"20190312164107809"</f>
        <v>20190312164107809</v>
      </c>
      <c r="B4015" t="str">
        <f>"1552380067800494"</f>
        <v>1552380067800494</v>
      </c>
      <c r="C4015" t="s">
        <v>40</v>
      </c>
      <c r="D4015">
        <v>6.144145</v>
      </c>
      <c r="E4015">
        <v>0.57304060000000001</v>
      </c>
      <c r="F4015" t="s">
        <v>41</v>
      </c>
      <c r="G4015">
        <v>-192.10210000000001</v>
      </c>
      <c r="H4015" s="1">
        <v>-4.4464170000000002E-6</v>
      </c>
      <c r="I4015">
        <v>188.9571</v>
      </c>
      <c r="J4015">
        <v>-191.6942</v>
      </c>
      <c r="K4015">
        <v>1.1023289999999999</v>
      </c>
      <c r="L4015">
        <v>205.76009999999999</v>
      </c>
      <c r="M4015">
        <v>0.60361799999999999</v>
      </c>
      <c r="N4015">
        <v>0</v>
      </c>
      <c r="O4015">
        <v>-0.79711560000000004</v>
      </c>
      <c r="P4015">
        <v>0.14902379999999901</v>
      </c>
      <c r="Q4015">
        <v>0.13281870000000001</v>
      </c>
      <c r="R4015">
        <v>-0.9798732</v>
      </c>
      <c r="S4015">
        <v>-5.7540889999999997E-2</v>
      </c>
      <c r="T4015">
        <v>-0.20190749999999999</v>
      </c>
      <c r="U4015">
        <v>-3.105896</v>
      </c>
      <c r="V4015">
        <v>0.47561510000000001</v>
      </c>
      <c r="W4015">
        <v>0.13702239999999999</v>
      </c>
      <c r="X4015">
        <v>0.86891600000000002</v>
      </c>
      <c r="Y4015">
        <v>0.61819019999999902</v>
      </c>
      <c r="Z4015">
        <v>3.8165900000000003E-2</v>
      </c>
      <c r="AA4015">
        <v>0.78510150000000001</v>
      </c>
      <c r="AB4015">
        <v>17</v>
      </c>
      <c r="AC4015">
        <v>-0.40790000000001198</v>
      </c>
      <c r="AD4015">
        <v>-1.102333446417</v>
      </c>
      <c r="AE4015">
        <v>-16.802999999999901</v>
      </c>
      <c r="AF4015">
        <v>10.4242186960529</v>
      </c>
      <c r="AG4015">
        <v>-1.102333446417</v>
      </c>
      <c r="AH4015">
        <v>13.093058023371</v>
      </c>
      <c r="AI4015">
        <v>93.768408818641205</v>
      </c>
      <c r="AJ4015">
        <v>51.4744663406887</v>
      </c>
      <c r="AK4015">
        <v>16.772228321054701</v>
      </c>
      <c r="AL4015">
        <v>82.124417724414897</v>
      </c>
      <c r="AM4015">
        <v>61.305201101840197</v>
      </c>
      <c r="AN4015">
        <v>0.99999993825288302</v>
      </c>
    </row>
    <row r="4016" spans="1:40" x14ac:dyDescent="0.25">
      <c r="A4016" t="str">
        <f>"20190312164107830"</f>
        <v>20190312164107830</v>
      </c>
      <c r="B4016" t="str">
        <f>"1552380067820011"</f>
        <v>1552380067820011</v>
      </c>
      <c r="C4016" t="s">
        <v>40</v>
      </c>
      <c r="D4016">
        <v>6.0815299999999999</v>
      </c>
      <c r="E4016">
        <v>0.57300059999999997</v>
      </c>
      <c r="F4016" t="s">
        <v>41</v>
      </c>
      <c r="G4016">
        <v>-192.179</v>
      </c>
      <c r="H4016" s="1">
        <v>-4.5511600000000003E-6</v>
      </c>
      <c r="I4016">
        <v>189.22479999999999</v>
      </c>
      <c r="J4016">
        <v>-191.60720000000001</v>
      </c>
      <c r="K4016">
        <v>1.1023240000000001</v>
      </c>
      <c r="L4016">
        <v>205.61179999999999</v>
      </c>
      <c r="M4016">
        <v>0.59004969999999901</v>
      </c>
      <c r="N4016">
        <v>0</v>
      </c>
      <c r="O4016">
        <v>-0.80721489999999996</v>
      </c>
      <c r="P4016">
        <v>0.13679059999999901</v>
      </c>
      <c r="Q4016">
        <v>0.13219890000000001</v>
      </c>
      <c r="R4016">
        <v>-0.98173949999999999</v>
      </c>
      <c r="S4016">
        <v>-9.0988159999999998E-2</v>
      </c>
      <c r="T4016">
        <v>-0.2068924</v>
      </c>
      <c r="U4016">
        <v>-3.1034549999999999</v>
      </c>
      <c r="V4016">
        <v>0.47176509999999999</v>
      </c>
      <c r="W4016">
        <v>0.13636819999999999</v>
      </c>
      <c r="X4016">
        <v>0.87111510000000003</v>
      </c>
      <c r="Y4016">
        <v>0.61334809999999995</v>
      </c>
      <c r="Z4016">
        <v>4.0243279999999999E-2</v>
      </c>
      <c r="AA4016">
        <v>0.78878680000000001</v>
      </c>
      <c r="AB4016">
        <v>17</v>
      </c>
      <c r="AC4016">
        <v>-0.57179999999999598</v>
      </c>
      <c r="AD4016">
        <v>-1.1023285511600001</v>
      </c>
      <c r="AE4016">
        <v>-16.387</v>
      </c>
      <c r="AF4016">
        <v>10.0863676721474</v>
      </c>
      <c r="AG4016">
        <v>-1.1023285511600001</v>
      </c>
      <c r="AH4016">
        <v>12.834018533177201</v>
      </c>
      <c r="AI4016">
        <v>93.863398441934294</v>
      </c>
      <c r="AJ4016">
        <v>51.835884436581402</v>
      </c>
      <c r="AK4016">
        <v>16.360378136289501</v>
      </c>
      <c r="AL4016">
        <v>82.162256739806296</v>
      </c>
      <c r="AM4016">
        <v>61.561593002145401</v>
      </c>
      <c r="AN4016">
        <v>1.00000005649862</v>
      </c>
    </row>
    <row r="4017" spans="1:40" x14ac:dyDescent="0.25">
      <c r="A4017" t="str">
        <f>"20190312164107853"</f>
        <v>20190312164107853</v>
      </c>
      <c r="B4017" t="str">
        <f>"1552380067850266"</f>
        <v>1552380067850266</v>
      </c>
      <c r="C4017" t="s">
        <v>40</v>
      </c>
      <c r="D4017">
        <v>6.2139899999999999</v>
      </c>
      <c r="E4017">
        <v>0.57280969999999998</v>
      </c>
      <c r="F4017" t="s">
        <v>41</v>
      </c>
      <c r="G4017">
        <v>-192.2629</v>
      </c>
      <c r="H4017" s="1">
        <v>-7.8896799999999995E-7</v>
      </c>
      <c r="I4017">
        <v>190.0247</v>
      </c>
      <c r="J4017">
        <v>-191.5171</v>
      </c>
      <c r="K4017">
        <v>1.1023210000000001</v>
      </c>
      <c r="L4017">
        <v>205.452</v>
      </c>
      <c r="M4017">
        <v>0.57542179999999998</v>
      </c>
      <c r="N4017">
        <v>0</v>
      </c>
      <c r="O4017">
        <v>-0.81771139999999998</v>
      </c>
      <c r="P4017">
        <v>0.1228014</v>
      </c>
      <c r="Q4017">
        <v>0.13302849999999999</v>
      </c>
      <c r="R4017">
        <v>-0.98347499999999999</v>
      </c>
      <c r="S4017">
        <v>-0.13055419999999901</v>
      </c>
      <c r="T4017">
        <v>-0.2194835</v>
      </c>
      <c r="U4017">
        <v>-3.1035460000000001</v>
      </c>
      <c r="V4017">
        <v>0.46840700000000002</v>
      </c>
      <c r="W4017">
        <v>0.13711679999999901</v>
      </c>
      <c r="X4017">
        <v>0.87280800000000003</v>
      </c>
      <c r="Y4017">
        <v>0.6091434</v>
      </c>
      <c r="Z4017">
        <v>4.3874219999999998E-2</v>
      </c>
      <c r="AA4017">
        <v>0.79184560000000004</v>
      </c>
      <c r="AB4017">
        <v>17</v>
      </c>
      <c r="AC4017">
        <v>-0.74580000000000202</v>
      </c>
      <c r="AD4017">
        <v>-1.1023217889679999</v>
      </c>
      <c r="AE4017">
        <v>-15.427300000000001</v>
      </c>
      <c r="AF4017">
        <v>9.4400982977167303</v>
      </c>
      <c r="AG4017">
        <v>-1.1023217889679999</v>
      </c>
      <c r="AH4017">
        <v>12.125615981639299</v>
      </c>
      <c r="AI4017">
        <v>94.102961708584999</v>
      </c>
      <c r="AJ4017">
        <v>52.0983412480469</v>
      </c>
      <c r="AK4017">
        <v>15.4065288800292</v>
      </c>
      <c r="AL4017">
        <v>82.118957714622596</v>
      </c>
      <c r="AM4017">
        <v>61.779025405474499</v>
      </c>
      <c r="AN4017">
        <v>0.99999996967761895</v>
      </c>
    </row>
    <row r="4018" spans="1:40" x14ac:dyDescent="0.25">
      <c r="A4018" t="str">
        <f>"20190312164107876"</f>
        <v>20190312164107876</v>
      </c>
      <c r="B4018" t="str">
        <f>"1552380067869786"</f>
        <v>1552380067869786</v>
      </c>
      <c r="C4018" t="s">
        <v>40</v>
      </c>
      <c r="D4018">
        <v>6.2884200000000003</v>
      </c>
      <c r="E4018">
        <v>0.57159259999999901</v>
      </c>
      <c r="F4018" t="s">
        <v>41</v>
      </c>
      <c r="G4018">
        <v>-192.2921</v>
      </c>
      <c r="H4018" s="1">
        <v>-1.376237E-6</v>
      </c>
      <c r="I4018">
        <v>191.37549999999999</v>
      </c>
      <c r="J4018">
        <v>-191.42850000000001</v>
      </c>
      <c r="K4018">
        <v>1.102333</v>
      </c>
      <c r="L4018">
        <v>205.2884</v>
      </c>
      <c r="M4018">
        <v>0.56043880000000001</v>
      </c>
      <c r="N4018">
        <v>0</v>
      </c>
      <c r="O4018">
        <v>-0.82805680000000004</v>
      </c>
      <c r="P4018">
        <v>0.1097429</v>
      </c>
      <c r="Q4018">
        <v>0.13390729999999901</v>
      </c>
      <c r="R4018">
        <v>-0.98489870000000002</v>
      </c>
      <c r="S4018">
        <v>-0.1709137</v>
      </c>
      <c r="T4018">
        <v>-0.2431217</v>
      </c>
      <c r="U4018">
        <v>-3.1046299999999998</v>
      </c>
      <c r="V4018">
        <v>0.464009</v>
      </c>
      <c r="W4018">
        <v>0.13794619999999999</v>
      </c>
      <c r="X4018">
        <v>0.87502369999999996</v>
      </c>
      <c r="Y4018">
        <v>0.60490880000000002</v>
      </c>
      <c r="Z4018">
        <v>4.9860019999999998E-2</v>
      </c>
      <c r="AA4018">
        <v>0.794732199999999</v>
      </c>
      <c r="AB4018">
        <v>17</v>
      </c>
      <c r="AC4018">
        <v>-0.86359999999999004</v>
      </c>
      <c r="AD4018">
        <v>-1.1023343762369999</v>
      </c>
      <c r="AE4018">
        <v>-13.9129</v>
      </c>
      <c r="AF4018">
        <v>8.4605115742987795</v>
      </c>
      <c r="AG4018">
        <v>-1.1023343762369999</v>
      </c>
      <c r="AH4018">
        <v>10.9693509867811</v>
      </c>
      <c r="AI4018">
        <v>94.549634764173405</v>
      </c>
      <c r="AJ4018">
        <v>52.357485365288802</v>
      </c>
      <c r="AK4018">
        <v>13.896836267549199</v>
      </c>
      <c r="AL4018">
        <v>82.070980854430402</v>
      </c>
      <c r="AM4018">
        <v>62.0638138856891</v>
      </c>
      <c r="AN4018">
        <v>0.99999999086856495</v>
      </c>
    </row>
    <row r="4019" spans="1:40" x14ac:dyDescent="0.25">
      <c r="A4019" t="str">
        <f>"20190312164107899"</f>
        <v>20190312164107899</v>
      </c>
      <c r="B4019" t="str">
        <f>"1552380067890282"</f>
        <v>1552380067890282</v>
      </c>
      <c r="C4019" t="s">
        <v>40</v>
      </c>
      <c r="D4019">
        <v>6.1434119999999997</v>
      </c>
      <c r="E4019">
        <v>0.57084000000000001</v>
      </c>
      <c r="F4019" t="s">
        <v>41</v>
      </c>
      <c r="G4019">
        <v>-192.32329999999999</v>
      </c>
      <c r="H4019" s="1">
        <v>-1.4368369999999999E-6</v>
      </c>
      <c r="I4019">
        <v>191.4975</v>
      </c>
      <c r="J4019">
        <v>-191.34469999999999</v>
      </c>
      <c r="K4019">
        <v>1.1023689999999999</v>
      </c>
      <c r="L4019">
        <v>205.12690000000001</v>
      </c>
      <c r="M4019">
        <v>0.54568209999999995</v>
      </c>
      <c r="N4019">
        <v>0</v>
      </c>
      <c r="O4019">
        <v>-0.83785949999999998</v>
      </c>
      <c r="P4019">
        <v>9.8909869999999997E-2</v>
      </c>
      <c r="Q4019">
        <v>0.13369300000000001</v>
      </c>
      <c r="R4019">
        <v>-0.98607460000000002</v>
      </c>
      <c r="S4019">
        <v>-0.20126340000000001</v>
      </c>
      <c r="T4019">
        <v>-0.2479606</v>
      </c>
      <c r="U4019">
        <v>-3.1021580000000002</v>
      </c>
      <c r="V4019">
        <v>0.45808769999999999</v>
      </c>
      <c r="W4019">
        <v>0.13774979999999901</v>
      </c>
      <c r="X4019">
        <v>0.87816890000000003</v>
      </c>
      <c r="Y4019">
        <v>0.59856069999999995</v>
      </c>
      <c r="Z4019">
        <v>5.2222610000000003E-2</v>
      </c>
      <c r="AA4019">
        <v>0.79937340000000001</v>
      </c>
      <c r="AB4019">
        <v>17</v>
      </c>
      <c r="AC4019">
        <v>-0.97860000000000003</v>
      </c>
      <c r="AD4019">
        <v>-1.102370436837</v>
      </c>
      <c r="AE4019">
        <v>-13.6294</v>
      </c>
      <c r="AF4019">
        <v>8.2047685043415797</v>
      </c>
      <c r="AG4019">
        <v>-1.102370436837</v>
      </c>
      <c r="AH4019">
        <v>10.816332919407399</v>
      </c>
      <c r="AI4019">
        <v>94.642185228390304</v>
      </c>
      <c r="AJ4019">
        <v>52.817732676757998</v>
      </c>
      <c r="AK4019">
        <v>13.620811452087001</v>
      </c>
      <c r="AL4019">
        <v>82.082342142184999</v>
      </c>
      <c r="AM4019">
        <v>62.451669746875403</v>
      </c>
      <c r="AN4019">
        <v>0.99999998260926903</v>
      </c>
    </row>
    <row r="4020" spans="1:40" x14ac:dyDescent="0.25">
      <c r="A4020" t="str">
        <f>"20190312164107919"</f>
        <v>20190312164107919</v>
      </c>
      <c r="B4020" t="str">
        <f>"1552380067909802"</f>
        <v>1552380067909802</v>
      </c>
      <c r="C4020" t="s">
        <v>40</v>
      </c>
      <c r="D4020">
        <v>6.2064510000000004</v>
      </c>
      <c r="E4020">
        <v>0.56935279999999999</v>
      </c>
      <c r="F4020" t="s">
        <v>41</v>
      </c>
      <c r="G4020">
        <v>-192.38640000000001</v>
      </c>
      <c r="H4020" s="1">
        <v>-1.3096889999999901E-6</v>
      </c>
      <c r="I4020">
        <v>191.1619</v>
      </c>
      <c r="J4020">
        <v>-191.2696</v>
      </c>
      <c r="K4020">
        <v>1.1024130000000001</v>
      </c>
      <c r="L4020">
        <v>204.97620000000001</v>
      </c>
      <c r="M4020">
        <v>0.531977699999999</v>
      </c>
      <c r="N4020">
        <v>0</v>
      </c>
      <c r="O4020">
        <v>-0.84663089999999996</v>
      </c>
      <c r="P4020">
        <v>8.9058449999999997E-2</v>
      </c>
      <c r="Q4020">
        <v>0.1322777</v>
      </c>
      <c r="R4020">
        <v>-0.98720379999999996</v>
      </c>
      <c r="S4020">
        <v>-0.23114009999999999</v>
      </c>
      <c r="T4020">
        <v>-0.24460779999999999</v>
      </c>
      <c r="U4020">
        <v>-3.0987239999999998</v>
      </c>
      <c r="V4020">
        <v>0.45259129999999997</v>
      </c>
      <c r="W4020">
        <v>0.13636860000000001</v>
      </c>
      <c r="X4020">
        <v>0.88122909999999899</v>
      </c>
      <c r="Y4020">
        <v>0.593253699999999</v>
      </c>
      <c r="Z4020">
        <v>5.2740410000000001E-2</v>
      </c>
      <c r="AA4020">
        <v>0.8032861</v>
      </c>
      <c r="AB4020">
        <v>17</v>
      </c>
      <c r="AC4020">
        <v>-1.11680000000001</v>
      </c>
      <c r="AD4020">
        <v>-1.10241430968899</v>
      </c>
      <c r="AE4020">
        <v>-13.814299999999999</v>
      </c>
      <c r="AF4020">
        <v>8.2431571897479206</v>
      </c>
      <c r="AG4020">
        <v>-1.10241430968899</v>
      </c>
      <c r="AH4020">
        <v>11.0328929467519</v>
      </c>
      <c r="AI4020">
        <v>94.576549385989097</v>
      </c>
      <c r="AJ4020">
        <v>53.234982112655899</v>
      </c>
      <c r="AK4020">
        <v>13.816283311353599</v>
      </c>
      <c r="AL4020">
        <v>82.162233185754204</v>
      </c>
      <c r="AM4020">
        <v>62.815377585421501</v>
      </c>
      <c r="AN4020">
        <v>1.00000000329422</v>
      </c>
    </row>
    <row r="4021" spans="1:40" x14ac:dyDescent="0.25">
      <c r="A4021" t="str">
        <f>"20190312164107944"</f>
        <v>20190312164107944</v>
      </c>
      <c r="B4021" t="str">
        <f>"1552380067940059"</f>
        <v>1552380067940059</v>
      </c>
      <c r="C4021" t="s">
        <v>40</v>
      </c>
      <c r="D4021">
        <v>5.9541680000000001</v>
      </c>
      <c r="E4021">
        <v>0.56733840000000002</v>
      </c>
      <c r="F4021" t="s">
        <v>41</v>
      </c>
      <c r="G4021">
        <v>-192.44659999999999</v>
      </c>
      <c r="H4021" s="1">
        <v>-1.0791819999999999E-6</v>
      </c>
      <c r="I4021">
        <v>190.5872</v>
      </c>
      <c r="J4021">
        <v>-191.1865</v>
      </c>
      <c r="K4021">
        <v>1.1024560000000001</v>
      </c>
      <c r="L4021">
        <v>204.8021</v>
      </c>
      <c r="M4021">
        <v>0.51622069999999998</v>
      </c>
      <c r="N4021">
        <v>0</v>
      </c>
      <c r="O4021">
        <v>-0.85633359999999903</v>
      </c>
      <c r="P4021">
        <v>7.7611199999999894E-2</v>
      </c>
      <c r="Q4021">
        <v>0.13116240000000001</v>
      </c>
      <c r="R4021">
        <v>-0.98831840000000004</v>
      </c>
      <c r="S4021">
        <v>-0.2530365</v>
      </c>
      <c r="T4021">
        <v>-0.2370081</v>
      </c>
      <c r="U4021">
        <v>-3.0934910000000002</v>
      </c>
      <c r="V4021">
        <v>0.44649660000000002</v>
      </c>
      <c r="W4021">
        <v>0.135287299999999</v>
      </c>
      <c r="X4021">
        <v>0.88449880000000003</v>
      </c>
      <c r="Y4021">
        <v>0.5840959</v>
      </c>
      <c r="Z4021">
        <v>5.2546379999999997E-2</v>
      </c>
      <c r="AA4021">
        <v>0.80998199999999998</v>
      </c>
      <c r="AB4021">
        <v>17</v>
      </c>
      <c r="AC4021">
        <v>-1.26009999999999</v>
      </c>
      <c r="AD4021">
        <v>-1.1024570791820001</v>
      </c>
      <c r="AE4021">
        <v>-14.2149</v>
      </c>
      <c r="AF4021">
        <v>8.3680298627675995</v>
      </c>
      <c r="AG4021">
        <v>-1.1024570791820001</v>
      </c>
      <c r="AH4021">
        <v>11.455045885483401</v>
      </c>
      <c r="AI4021">
        <v>94.443784353820405</v>
      </c>
      <c r="AJ4021">
        <v>53.851484023418699</v>
      </c>
      <c r="AK4021">
        <v>14.228752989427401</v>
      </c>
      <c r="AL4021">
        <v>82.224766600709501</v>
      </c>
      <c r="AM4021">
        <v>63.215272831586802</v>
      </c>
      <c r="AN4021">
        <v>0.99999999727714495</v>
      </c>
    </row>
    <row r="4022" spans="1:40" x14ac:dyDescent="0.25">
      <c r="A4022" t="str">
        <f>"20190312164107966"</f>
        <v>20190312164107966</v>
      </c>
      <c r="B4022" t="str">
        <f>"1552380067960555"</f>
        <v>1552380067960555</v>
      </c>
      <c r="C4022" t="s">
        <v>40</v>
      </c>
      <c r="D4022">
        <v>5.9411809999999896</v>
      </c>
      <c r="E4022">
        <v>0.54855480000000001</v>
      </c>
      <c r="F4022" t="s">
        <v>41</v>
      </c>
      <c r="G4022">
        <v>-192.48689999999999</v>
      </c>
      <c r="H4022" s="1">
        <v>-8.9389080000000001E-7</v>
      </c>
      <c r="I4022">
        <v>190.13040000000001</v>
      </c>
      <c r="J4022">
        <v>-191.10839999999999</v>
      </c>
      <c r="K4022">
        <v>1.1025210000000001</v>
      </c>
      <c r="L4022">
        <v>204.6311</v>
      </c>
      <c r="M4022">
        <v>0.50086149999999996</v>
      </c>
      <c r="N4022">
        <v>0</v>
      </c>
      <c r="O4022">
        <v>-0.86541069999999998</v>
      </c>
      <c r="P4022">
        <v>6.2777360000000004E-2</v>
      </c>
      <c r="Q4022">
        <v>0.13007099999999999</v>
      </c>
      <c r="R4022">
        <v>-0.98951540000000004</v>
      </c>
      <c r="S4022">
        <v>-0.27366639999999998</v>
      </c>
      <c r="T4022">
        <v>-0.232018</v>
      </c>
      <c r="U4022">
        <v>-3.0877379999999999</v>
      </c>
      <c r="V4022">
        <v>0.44399680000000002</v>
      </c>
      <c r="W4022">
        <v>0.13414760000000001</v>
      </c>
      <c r="X4022">
        <v>0.88592959999999998</v>
      </c>
      <c r="Y4022">
        <v>0.57509119999999903</v>
      </c>
      <c r="Z4022">
        <v>5.2785289999999999E-2</v>
      </c>
      <c r="AA4022">
        <v>0.81638459999999902</v>
      </c>
      <c r="AB4022">
        <v>17</v>
      </c>
      <c r="AC4022">
        <v>-1.3785000000000001</v>
      </c>
      <c r="AD4022">
        <v>-1.1025218938907999</v>
      </c>
      <c r="AE4022">
        <v>-14.500699999999901</v>
      </c>
      <c r="AF4022">
        <v>8.4084920845906197</v>
      </c>
      <c r="AG4022">
        <v>-1.1025218938907999</v>
      </c>
      <c r="AH4022">
        <v>11.792262222882901</v>
      </c>
      <c r="AI4022">
        <v>94.353229009343593</v>
      </c>
      <c r="AJ4022">
        <v>54.509168667026401</v>
      </c>
      <c r="AK4022">
        <v>14.525004027413001</v>
      </c>
      <c r="AL4022">
        <v>82.290667346849403</v>
      </c>
      <c r="AM4022">
        <v>63.381579626226298</v>
      </c>
      <c r="AN4022">
        <v>0.99999999657607996</v>
      </c>
    </row>
    <row r="4023" spans="1:40" x14ac:dyDescent="0.25">
      <c r="A4023" t="str">
        <f>"20190312164107989"</f>
        <v>20190312164107989</v>
      </c>
      <c r="B4023" t="str">
        <f>"1552380067980074"</f>
        <v>1552380067980074</v>
      </c>
      <c r="C4023" t="s">
        <v>40</v>
      </c>
      <c r="D4023">
        <v>5.945773</v>
      </c>
      <c r="E4023">
        <v>0.54645089999999996</v>
      </c>
      <c r="F4023" t="s">
        <v>41</v>
      </c>
      <c r="G4023">
        <v>-192.2963</v>
      </c>
      <c r="H4023" s="1">
        <v>-2.2788499999999998E-6</v>
      </c>
      <c r="I4023">
        <v>183.4769</v>
      </c>
      <c r="J4023">
        <v>-191.03059999999999</v>
      </c>
      <c r="K4023">
        <v>1.102595</v>
      </c>
      <c r="L4023">
        <v>204.45330000000001</v>
      </c>
      <c r="M4023">
        <v>0.48504180000000002</v>
      </c>
      <c r="N4023">
        <v>0</v>
      </c>
      <c r="O4023">
        <v>-0.87437889999999996</v>
      </c>
      <c r="P4023">
        <v>5.1672099999999999E-2</v>
      </c>
      <c r="Q4023">
        <v>0.12917500000000001</v>
      </c>
      <c r="R4023">
        <v>-0.9902746</v>
      </c>
      <c r="S4023">
        <v>-0.1720428</v>
      </c>
      <c r="T4023">
        <v>-0.1596745</v>
      </c>
      <c r="U4023">
        <v>-3.0636899999999998</v>
      </c>
      <c r="V4023">
        <v>0.4378071</v>
      </c>
      <c r="W4023">
        <v>0.13331589999999999</v>
      </c>
      <c r="X4023">
        <v>0.88912979999999997</v>
      </c>
      <c r="Y4023">
        <v>0.53325529999999999</v>
      </c>
      <c r="Z4023">
        <v>3.8164139999999999E-2</v>
      </c>
      <c r="AA4023">
        <v>0.84509310000000004</v>
      </c>
      <c r="AB4023">
        <v>17</v>
      </c>
      <c r="AC4023">
        <v>-1.2657</v>
      </c>
      <c r="AD4023">
        <v>-1.10259727885</v>
      </c>
      <c r="AE4023">
        <v>-20.976400000000002</v>
      </c>
      <c r="AF4023">
        <v>11.251264022145801</v>
      </c>
      <c r="AG4023">
        <v>-1.10259727885</v>
      </c>
      <c r="AH4023">
        <v>17.680468700073</v>
      </c>
      <c r="AI4023">
        <v>93.011709824037297</v>
      </c>
      <c r="AJ4023">
        <v>57.528677002062203</v>
      </c>
      <c r="AK4023">
        <v>20.9858437121223</v>
      </c>
      <c r="AL4023">
        <v>82.338752144223804</v>
      </c>
      <c r="AM4023">
        <v>63.784386516400801</v>
      </c>
      <c r="AN4023">
        <v>0.99999999362562997</v>
      </c>
    </row>
    <row r="4024" spans="1:40" x14ac:dyDescent="0.25">
      <c r="A4024" t="str">
        <f>"20190312164108010"</f>
        <v>20190312164108010</v>
      </c>
      <c r="B4024" t="str">
        <f>"1552380068000571"</f>
        <v>1552380068000571</v>
      </c>
      <c r="C4024" t="s">
        <v>40</v>
      </c>
      <c r="D4024">
        <v>6.4021739999999996</v>
      </c>
      <c r="E4024">
        <v>0.54431960000000001</v>
      </c>
      <c r="F4024" t="s">
        <v>41</v>
      </c>
      <c r="G4024">
        <v>-192.32660000000001</v>
      </c>
      <c r="H4024" s="1">
        <v>-2.3039090000000001E-6</v>
      </c>
      <c r="I4024">
        <v>183.51660000000001</v>
      </c>
      <c r="J4024">
        <v>-190.96789999999999</v>
      </c>
      <c r="K4024">
        <v>1.1026800000000001</v>
      </c>
      <c r="L4024">
        <v>204.3038</v>
      </c>
      <c r="M4024">
        <v>0.47190690000000002</v>
      </c>
      <c r="N4024">
        <v>0</v>
      </c>
      <c r="O4024">
        <v>-0.88154030000000005</v>
      </c>
      <c r="P4024">
        <v>4.3854369999999997E-2</v>
      </c>
      <c r="Q4024">
        <v>0.1287701</v>
      </c>
      <c r="R4024">
        <v>-0.99070449999999999</v>
      </c>
      <c r="S4024">
        <v>-0.18943789999999999</v>
      </c>
      <c r="T4024">
        <v>-0.1611686</v>
      </c>
      <c r="U4024">
        <v>-3.0603639999999999</v>
      </c>
      <c r="V4024">
        <v>0.4314829</v>
      </c>
      <c r="W4024">
        <v>0.133016299999999</v>
      </c>
      <c r="X4024">
        <v>0.89226070000000002</v>
      </c>
      <c r="Y4024">
        <v>0.5254143</v>
      </c>
      <c r="Z4024">
        <v>3.9247730000000002E-2</v>
      </c>
      <c r="AA4024">
        <v>0.84994080000000005</v>
      </c>
      <c r="AB4024">
        <v>17</v>
      </c>
      <c r="AC4024">
        <v>-1.35870000000002</v>
      </c>
      <c r="AD4024">
        <v>-1.1026823039089999</v>
      </c>
      <c r="AE4024">
        <v>-20.787199999999899</v>
      </c>
      <c r="AF4024">
        <v>10.9776622971003</v>
      </c>
      <c r="AG4024">
        <v>-1.1026823039089999</v>
      </c>
      <c r="AH4024">
        <v>17.6358454890998</v>
      </c>
      <c r="AI4024">
        <v>93.038498848602103</v>
      </c>
      <c r="AJ4024">
        <v>58.099261743101202</v>
      </c>
      <c r="AK4024">
        <v>20.802596566004301</v>
      </c>
      <c r="AL4024">
        <v>82.356072211627506</v>
      </c>
      <c r="AM4024">
        <v>64.192337409494002</v>
      </c>
      <c r="AN4024">
        <v>0.99999999291129504</v>
      </c>
    </row>
    <row r="4025" spans="1:40" x14ac:dyDescent="0.25">
      <c r="A4025" t="str">
        <f>"20190312164108031"</f>
        <v>20190312164108031</v>
      </c>
      <c r="B4025" t="str">
        <f>"1552380068020091"</f>
        <v>1552380068020091</v>
      </c>
      <c r="C4025" t="s">
        <v>40</v>
      </c>
      <c r="D4025">
        <v>5.9600039999999996</v>
      </c>
      <c r="E4025">
        <v>0.54303140000000005</v>
      </c>
      <c r="F4025" t="s">
        <v>41</v>
      </c>
      <c r="G4025">
        <v>-192.3064</v>
      </c>
      <c r="H4025" s="1">
        <v>-2.2851689999999999E-6</v>
      </c>
      <c r="I4025">
        <v>183.4854</v>
      </c>
      <c r="J4025">
        <v>-190.90199999999999</v>
      </c>
      <c r="K4025">
        <v>1.102789</v>
      </c>
      <c r="L4025">
        <v>204.14019999999999</v>
      </c>
      <c r="M4025">
        <v>0.45772289999999999</v>
      </c>
      <c r="N4025">
        <v>0</v>
      </c>
      <c r="O4025">
        <v>-0.88899050000000002</v>
      </c>
      <c r="P4025">
        <v>3.4122850000000003E-2</v>
      </c>
      <c r="Q4025">
        <v>0.12850210000000001</v>
      </c>
      <c r="R4025">
        <v>-0.99112239999999996</v>
      </c>
      <c r="S4025">
        <v>-0.1965942</v>
      </c>
      <c r="T4025">
        <v>-0.16196720000000001</v>
      </c>
      <c r="U4025">
        <v>-3.0579070000000002</v>
      </c>
      <c r="V4025">
        <v>0.42589690000000002</v>
      </c>
      <c r="W4025">
        <v>0.13285089999999999</v>
      </c>
      <c r="X4025">
        <v>0.89496509999999996</v>
      </c>
      <c r="Y4025">
        <v>0.51375779999999904</v>
      </c>
      <c r="Z4025">
        <v>4.0250660000000001E-2</v>
      </c>
      <c r="AA4025">
        <v>0.85699049999999999</v>
      </c>
      <c r="AB4025">
        <v>17</v>
      </c>
      <c r="AC4025">
        <v>-1.4043999999999801</v>
      </c>
      <c r="AD4025">
        <v>-1.102791285169</v>
      </c>
      <c r="AE4025">
        <v>-20.654799999999899</v>
      </c>
      <c r="AF4025">
        <v>10.673380653057</v>
      </c>
      <c r="AG4025">
        <v>-1.102791285169</v>
      </c>
      <c r="AH4025">
        <v>17.670598862714201</v>
      </c>
      <c r="AI4025">
        <v>93.057816012225004</v>
      </c>
      <c r="AJ4025">
        <v>58.867218588415803</v>
      </c>
      <c r="AK4025">
        <v>20.673346786397602</v>
      </c>
      <c r="AL4025">
        <v>82.365634082940105</v>
      </c>
      <c r="AM4025">
        <v>64.551110087709503</v>
      </c>
      <c r="AN4025">
        <v>1.0000000306392101</v>
      </c>
    </row>
    <row r="4026" spans="1:40" x14ac:dyDescent="0.25">
      <c r="A4026" t="str">
        <f>"20190312164108054"</f>
        <v>20190312164108054</v>
      </c>
      <c r="B4026" t="str">
        <f>"1552380068050347"</f>
        <v>1552380068050347</v>
      </c>
      <c r="C4026" t="s">
        <v>40</v>
      </c>
      <c r="D4026">
        <v>6.0477829999999999</v>
      </c>
      <c r="E4026">
        <v>0.54186840000000003</v>
      </c>
      <c r="F4026" t="s">
        <v>41</v>
      </c>
      <c r="G4026">
        <v>-192.39019999999999</v>
      </c>
      <c r="H4026" s="1">
        <v>-2.1467510000000001E-6</v>
      </c>
      <c r="I4026">
        <v>183.11080000000001</v>
      </c>
      <c r="J4026">
        <v>-190.8347</v>
      </c>
      <c r="K4026">
        <v>1.1029329999999999</v>
      </c>
      <c r="L4026">
        <v>203.96639999999999</v>
      </c>
      <c r="M4026">
        <v>0.44288699999999998</v>
      </c>
      <c r="N4026">
        <v>0</v>
      </c>
      <c r="O4026">
        <v>-0.89647699999999997</v>
      </c>
      <c r="P4026">
        <v>2.4903450000000001E-2</v>
      </c>
      <c r="Q4026">
        <v>0.12701869999999901</v>
      </c>
      <c r="R4026">
        <v>-0.99158789999999997</v>
      </c>
      <c r="S4026">
        <v>-0.2162018</v>
      </c>
      <c r="T4026">
        <v>-0.16020980000000001</v>
      </c>
      <c r="U4026">
        <v>-3.0550839999999999</v>
      </c>
      <c r="V4026">
        <v>0.4193268</v>
      </c>
      <c r="W4026">
        <v>0.1315114</v>
      </c>
      <c r="X4026">
        <v>0.89825929999999998</v>
      </c>
      <c r="Y4026">
        <v>0.50500349999999905</v>
      </c>
      <c r="Z4026">
        <v>4.0566020000000001E-2</v>
      </c>
      <c r="AA4026">
        <v>0.86216349999999997</v>
      </c>
      <c r="AB4026">
        <v>17</v>
      </c>
      <c r="AC4026">
        <v>-1.5554999999999899</v>
      </c>
      <c r="AD4026">
        <v>-1.102935146751</v>
      </c>
      <c r="AE4026">
        <v>-20.8555999999999</v>
      </c>
      <c r="AF4026">
        <v>10.602612641946701</v>
      </c>
      <c r="AG4026">
        <v>-1.102935146751</v>
      </c>
      <c r="AH4026">
        <v>17.959326752464801</v>
      </c>
      <c r="AI4026">
        <v>93.0272420836408</v>
      </c>
      <c r="AJ4026">
        <v>59.443755298247297</v>
      </c>
      <c r="AK4026">
        <v>20.884666101590099</v>
      </c>
      <c r="AL4026">
        <v>82.443060865975298</v>
      </c>
      <c r="AM4026">
        <v>64.975819711544204</v>
      </c>
      <c r="AN4026">
        <v>0.999999991782345</v>
      </c>
    </row>
    <row r="4027" spans="1:40" x14ac:dyDescent="0.25">
      <c r="A4027" t="str">
        <f>"20190312164108077"</f>
        <v>20190312164108077</v>
      </c>
      <c r="B4027" t="str">
        <f>"1552380068069867"</f>
        <v>1552380068069867</v>
      </c>
      <c r="C4027" t="s">
        <v>40</v>
      </c>
      <c r="D4027">
        <v>5.9593990000000003</v>
      </c>
      <c r="E4027">
        <v>0.54112890000000002</v>
      </c>
      <c r="F4027" t="s">
        <v>41</v>
      </c>
      <c r="G4027">
        <v>-192.40559999999999</v>
      </c>
      <c r="H4027" s="1">
        <v>-2.3578399999999999E-6</v>
      </c>
      <c r="I4027">
        <v>183.5933</v>
      </c>
      <c r="J4027">
        <v>-190.7671</v>
      </c>
      <c r="K4027">
        <v>1.103094</v>
      </c>
      <c r="L4027">
        <v>203.78380000000001</v>
      </c>
      <c r="M4027">
        <v>0.42758269999999998</v>
      </c>
      <c r="N4027">
        <v>0</v>
      </c>
      <c r="O4027">
        <v>-0.90387980000000001</v>
      </c>
      <c r="P4027">
        <v>1.569742E-2</v>
      </c>
      <c r="Q4027">
        <v>0.1261187</v>
      </c>
      <c r="R4027">
        <v>-0.99189119999999997</v>
      </c>
      <c r="S4027">
        <v>-0.23536679999999999</v>
      </c>
      <c r="T4027">
        <v>-0.1652555</v>
      </c>
      <c r="U4027">
        <v>-3.0525509999999998</v>
      </c>
      <c r="V4027">
        <v>0.41233999999999998</v>
      </c>
      <c r="W4027">
        <v>0.13076969999999999</v>
      </c>
      <c r="X4027">
        <v>0.90159579999999995</v>
      </c>
      <c r="Y4027">
        <v>0.49572850000000002</v>
      </c>
      <c r="Z4027">
        <v>4.2609920000000003E-2</v>
      </c>
      <c r="AA4027">
        <v>0.86743159999999897</v>
      </c>
      <c r="AB4027">
        <v>18</v>
      </c>
      <c r="AC4027">
        <v>-1.6384999999999901</v>
      </c>
      <c r="AD4027">
        <v>-1.1030963578399999</v>
      </c>
      <c r="AE4027">
        <v>-20.1905</v>
      </c>
      <c r="AF4027">
        <v>10.0850910865915</v>
      </c>
      <c r="AG4027">
        <v>-1.1030963578399999</v>
      </c>
      <c r="AH4027">
        <v>17.4988299477345</v>
      </c>
      <c r="AI4027">
        <v>93.126211179385393</v>
      </c>
      <c r="AJ4027">
        <v>60.043885747658202</v>
      </c>
      <c r="AK4027">
        <v>20.227084153165901</v>
      </c>
      <c r="AL4027">
        <v>82.485927324921093</v>
      </c>
      <c r="AM4027">
        <v>65.423266891798093</v>
      </c>
      <c r="AN4027">
        <v>0.99999998830786396</v>
      </c>
    </row>
    <row r="4028" spans="1:40" x14ac:dyDescent="0.25">
      <c r="A4028" t="str">
        <f>"20190312164108100"</f>
        <v>20190312164108100</v>
      </c>
      <c r="B4028" t="str">
        <f>"1552380068089892"</f>
        <v>1552380068089892</v>
      </c>
      <c r="C4028" t="s">
        <v>40</v>
      </c>
      <c r="D4028">
        <v>6.0298109999999996</v>
      </c>
      <c r="E4028">
        <v>0.54000280000000001</v>
      </c>
      <c r="F4028" t="s">
        <v>41</v>
      </c>
      <c r="G4028">
        <v>-192.4537</v>
      </c>
      <c r="H4028" s="1">
        <v>-2.491924E-6</v>
      </c>
      <c r="I4028">
        <v>183.876</v>
      </c>
      <c r="J4028">
        <v>-190.70760000000001</v>
      </c>
      <c r="K4028">
        <v>1.103243</v>
      </c>
      <c r="L4028">
        <v>203.6155</v>
      </c>
      <c r="M4028">
        <v>0.41377570000000002</v>
      </c>
      <c r="N4028">
        <v>0</v>
      </c>
      <c r="O4028">
        <v>-0.91028589999999998</v>
      </c>
      <c r="P4028">
        <v>7.4985159999999898E-3</v>
      </c>
      <c r="Q4028">
        <v>0.12508830000000001</v>
      </c>
      <c r="R4028">
        <v>-0.99211709999999997</v>
      </c>
      <c r="S4028">
        <v>-0.25840760000000002</v>
      </c>
      <c r="T4028">
        <v>-0.16900889999999999</v>
      </c>
      <c r="U4028">
        <v>-3.0501399999999999</v>
      </c>
      <c r="V4028">
        <v>0.40602640000000001</v>
      </c>
      <c r="W4028">
        <v>0.12987660000000001</v>
      </c>
      <c r="X4028">
        <v>0.90458539999999998</v>
      </c>
      <c r="Y4028">
        <v>0.4890523</v>
      </c>
      <c r="Z4028">
        <v>4.4230970000000001E-2</v>
      </c>
      <c r="AA4028">
        <v>0.87113229999999997</v>
      </c>
      <c r="AB4028">
        <v>18</v>
      </c>
      <c r="AC4028">
        <v>-1.74609999999998</v>
      </c>
      <c r="AD4028">
        <v>-1.103245491924</v>
      </c>
      <c r="AE4028">
        <v>-19.7395</v>
      </c>
      <c r="AF4028">
        <v>9.7278502948670802</v>
      </c>
      <c r="AG4028">
        <v>-1.103245491924</v>
      </c>
      <c r="AH4028">
        <v>17.194261363439999</v>
      </c>
      <c r="AI4028">
        <v>93.196386466004498</v>
      </c>
      <c r="AJ4028">
        <v>60.5004915388486</v>
      </c>
      <c r="AK4028">
        <v>19.786127610249601</v>
      </c>
      <c r="AL4028">
        <v>82.537538866823098</v>
      </c>
      <c r="AM4028">
        <v>65.826901580648894</v>
      </c>
      <c r="AN4028">
        <v>1.0000000573088299</v>
      </c>
    </row>
    <row r="4029" spans="1:40" x14ac:dyDescent="0.25">
      <c r="A4029" t="str">
        <f>"20190312164108121"</f>
        <v>20190312164108121</v>
      </c>
      <c r="B4029" t="str">
        <f>"1552380068110392"</f>
        <v>1552380068110392</v>
      </c>
      <c r="C4029" t="s">
        <v>40</v>
      </c>
      <c r="D4029">
        <v>5.9238410000000004</v>
      </c>
      <c r="E4029">
        <v>0.53916940000000002</v>
      </c>
      <c r="F4029" t="s">
        <v>41</v>
      </c>
      <c r="G4029">
        <v>-192.50110000000001</v>
      </c>
      <c r="H4029" s="1">
        <v>-2.4354699999999998E-6</v>
      </c>
      <c r="I4029">
        <v>183.715</v>
      </c>
      <c r="J4029">
        <v>-190.65260000000001</v>
      </c>
      <c r="K4029">
        <v>1.103372</v>
      </c>
      <c r="L4029">
        <v>203.45330000000001</v>
      </c>
      <c r="M4029">
        <v>0.40070630000000002</v>
      </c>
      <c r="N4029">
        <v>0</v>
      </c>
      <c r="O4029">
        <v>-0.91611690000000001</v>
      </c>
      <c r="P4029">
        <v>7.869706E-4</v>
      </c>
      <c r="Q4029">
        <v>0.12426520000000001</v>
      </c>
      <c r="R4029">
        <v>-0.99224880000000004</v>
      </c>
      <c r="S4029">
        <v>-0.27461239999999998</v>
      </c>
      <c r="T4029">
        <v>-0.16893089999999999</v>
      </c>
      <c r="U4029">
        <v>-3.0471949999999999</v>
      </c>
      <c r="V4029">
        <v>0.39915260000000002</v>
      </c>
      <c r="W4029">
        <v>0.1291844</v>
      </c>
      <c r="X4029">
        <v>0.90773809999999999</v>
      </c>
      <c r="Y4029">
        <v>0.48121849999999999</v>
      </c>
      <c r="Z4029">
        <v>4.484751E-2</v>
      </c>
      <c r="AA4029">
        <v>0.87545269999999997</v>
      </c>
      <c r="AB4029">
        <v>18</v>
      </c>
      <c r="AC4029">
        <v>-1.8485</v>
      </c>
      <c r="AD4029">
        <v>-1.1033744354699999</v>
      </c>
      <c r="AE4029">
        <v>-19.738299999999999</v>
      </c>
      <c r="AF4029">
        <v>9.5738356403963003</v>
      </c>
      <c r="AG4029">
        <v>-1.1033744354699999</v>
      </c>
      <c r="AH4029">
        <v>17.289751503158499</v>
      </c>
      <c r="AI4029">
        <v>93.195451648457095</v>
      </c>
      <c r="AJ4029">
        <v>61.025432270418797</v>
      </c>
      <c r="AK4029">
        <v>19.794223173823799</v>
      </c>
      <c r="AL4029">
        <v>82.577535032129404</v>
      </c>
      <c r="AM4029">
        <v>66.263841667550196</v>
      </c>
      <c r="AN4029">
        <v>0.99999993274086196</v>
      </c>
    </row>
    <row r="4030" spans="1:40" x14ac:dyDescent="0.25">
      <c r="A4030" t="str">
        <f>"20190312164108144"</f>
        <v>20190312164108144</v>
      </c>
      <c r="B4030" t="str">
        <f>"1552380068140645"</f>
        <v>1552380068140645</v>
      </c>
      <c r="C4030" t="s">
        <v>40</v>
      </c>
      <c r="D4030">
        <v>6.0348499999999996</v>
      </c>
      <c r="E4030">
        <v>0.53835200000000005</v>
      </c>
      <c r="F4030" t="s">
        <v>41</v>
      </c>
      <c r="G4030">
        <v>-192.57820000000001</v>
      </c>
      <c r="H4030" s="1">
        <v>-2.1924800000000001E-6</v>
      </c>
      <c r="I4030">
        <v>183.10069999999999</v>
      </c>
      <c r="J4030">
        <v>-190.59270000000001</v>
      </c>
      <c r="K4030">
        <v>1.103483</v>
      </c>
      <c r="L4030">
        <v>203.2688</v>
      </c>
      <c r="M4030">
        <v>0.38609759999999999</v>
      </c>
      <c r="N4030">
        <v>0</v>
      </c>
      <c r="O4030">
        <v>-0.92237190000000002</v>
      </c>
      <c r="P4030">
        <v>-6.9695019999999998E-3</v>
      </c>
      <c r="Q4030">
        <v>0.1239056</v>
      </c>
      <c r="R4030">
        <v>-0.99226959999999997</v>
      </c>
      <c r="S4030">
        <v>-0.28804020000000002</v>
      </c>
      <c r="T4030">
        <v>-0.16504379999999999</v>
      </c>
      <c r="U4030">
        <v>-3.0443570000000002</v>
      </c>
      <c r="V4030">
        <v>0.39176490000000003</v>
      </c>
      <c r="W4030">
        <v>0.1289206</v>
      </c>
      <c r="X4030">
        <v>0.91098829999999997</v>
      </c>
      <c r="Y4030">
        <v>0.47116520000000001</v>
      </c>
      <c r="Z4030">
        <v>4.4506499999999997E-2</v>
      </c>
      <c r="AA4030">
        <v>0.88092139999999997</v>
      </c>
      <c r="AB4030">
        <v>18</v>
      </c>
      <c r="AC4030">
        <v>-1.9855</v>
      </c>
      <c r="AD4030">
        <v>-1.10348519248</v>
      </c>
      <c r="AE4030">
        <v>-20.168099999999999</v>
      </c>
      <c r="AF4030">
        <v>9.5905525150519804</v>
      </c>
      <c r="AG4030">
        <v>-1.10348519248</v>
      </c>
      <c r="AH4030">
        <v>17.7845775747906</v>
      </c>
      <c r="AI4030">
        <v>93.125966023400295</v>
      </c>
      <c r="AJ4030">
        <v>61.663687634152602</v>
      </c>
      <c r="AK4030">
        <v>20.235799381979799</v>
      </c>
      <c r="AL4030">
        <v>82.592777397975198</v>
      </c>
      <c r="AM4030">
        <v>66.7301756997485</v>
      </c>
      <c r="AN4030">
        <v>0.99999997035662902</v>
      </c>
    </row>
    <row r="4031" spans="1:40" x14ac:dyDescent="0.25">
      <c r="A4031" t="str">
        <f>"20190312164108167"</f>
        <v>20190312164108167</v>
      </c>
      <c r="B4031" t="str">
        <f>"1552380068160165"</f>
        <v>1552380068160165</v>
      </c>
      <c r="C4031" t="s">
        <v>40</v>
      </c>
      <c r="D4031">
        <v>5.9317299999999999</v>
      </c>
      <c r="E4031">
        <v>0.52645830000000005</v>
      </c>
      <c r="F4031" t="s">
        <v>41</v>
      </c>
      <c r="G4031">
        <v>-192.71209999999999</v>
      </c>
      <c r="H4031" s="1">
        <v>-1.824008E-6</v>
      </c>
      <c r="I4031">
        <v>182.15880000000001</v>
      </c>
      <c r="J4031">
        <v>-190.535</v>
      </c>
      <c r="K4031">
        <v>1.103545</v>
      </c>
      <c r="L4031">
        <v>203.0822</v>
      </c>
      <c r="M4031">
        <v>0.37154110000000001</v>
      </c>
      <c r="N4031">
        <v>0</v>
      </c>
      <c r="O4031">
        <v>-0.92833379999999999</v>
      </c>
      <c r="P4031">
        <v>-1.4308639999999999E-2</v>
      </c>
      <c r="Q4031">
        <v>0.1233605</v>
      </c>
      <c r="R4031">
        <v>-0.99225859999999999</v>
      </c>
      <c r="S4031">
        <v>-0.3053131</v>
      </c>
      <c r="T4031">
        <v>-0.1589671</v>
      </c>
      <c r="U4031">
        <v>-3.0410919999999999</v>
      </c>
      <c r="V4031">
        <v>0.38413330000000001</v>
      </c>
      <c r="W4031">
        <v>0.12843299999999999</v>
      </c>
      <c r="X4031">
        <v>0.91430109999999998</v>
      </c>
      <c r="Y4031">
        <v>0.46232240000000002</v>
      </c>
      <c r="Z4031">
        <v>4.3495260000000001E-2</v>
      </c>
      <c r="AA4031">
        <v>0.88564449999999995</v>
      </c>
      <c r="AB4031">
        <v>18</v>
      </c>
      <c r="AC4031">
        <v>-2.17709999999999</v>
      </c>
      <c r="AD4031">
        <v>-1.103546824008</v>
      </c>
      <c r="AE4031">
        <v>-20.923399999999901</v>
      </c>
      <c r="AF4031">
        <v>9.7688473781136604</v>
      </c>
      <c r="AG4031">
        <v>-1.103546824008</v>
      </c>
      <c r="AH4031">
        <v>18.565355881895101</v>
      </c>
      <c r="AI4031">
        <v>93.011176561612402</v>
      </c>
      <c r="AJ4031">
        <v>62.247241843593301</v>
      </c>
      <c r="AK4031">
        <v>21.007632748862399</v>
      </c>
      <c r="AL4031">
        <v>82.620948980628398</v>
      </c>
      <c r="AM4031">
        <v>67.210838011164199</v>
      </c>
      <c r="AN4031">
        <v>0.99999996455954898</v>
      </c>
    </row>
    <row r="4032" spans="1:40" x14ac:dyDescent="0.25">
      <c r="A4032" t="str">
        <f>"20190312164108189"</f>
        <v>20190312164108189</v>
      </c>
      <c r="B4032" t="str">
        <f>"1552380068180661"</f>
        <v>1552380068180661</v>
      </c>
      <c r="C4032" t="s">
        <v>40</v>
      </c>
      <c r="D4032">
        <v>6.0144279999999997</v>
      </c>
      <c r="E4032">
        <v>0.52565010000000001</v>
      </c>
      <c r="F4032" t="s">
        <v>41</v>
      </c>
      <c r="G4032">
        <v>-192.86779999999999</v>
      </c>
      <c r="H4032" s="1">
        <v>-2.2174309999999999E-6</v>
      </c>
      <c r="I4032">
        <v>172.97929999999999</v>
      </c>
      <c r="J4032">
        <v>-190.48349999999999</v>
      </c>
      <c r="K4032">
        <v>1.103567</v>
      </c>
      <c r="L4032">
        <v>202.9076</v>
      </c>
      <c r="M4032">
        <v>0.3580912</v>
      </c>
      <c r="N4032">
        <v>0</v>
      </c>
      <c r="O4032">
        <v>-0.93360679999999996</v>
      </c>
      <c r="P4032">
        <v>-2.096373E-2</v>
      </c>
      <c r="Q4032">
        <v>0.1222124</v>
      </c>
      <c r="R4032">
        <v>-0.99228280000000002</v>
      </c>
      <c r="S4032">
        <v>-0.23510739999999999</v>
      </c>
      <c r="T4032">
        <v>-0.1112186</v>
      </c>
      <c r="U4032">
        <v>-3.0338590000000001</v>
      </c>
      <c r="V4032">
        <v>0.37704959999999998</v>
      </c>
      <c r="W4032">
        <v>0.12730659999999999</v>
      </c>
      <c r="X4032">
        <v>0.9174021</v>
      </c>
      <c r="Y4032">
        <v>0.42913400000000002</v>
      </c>
      <c r="Z4032">
        <v>3.1154009999999999E-2</v>
      </c>
      <c r="AA4032">
        <v>0.90270349999999999</v>
      </c>
      <c r="AB4032">
        <v>18</v>
      </c>
      <c r="AC4032">
        <v>-2.3842999999999899</v>
      </c>
      <c r="AD4032">
        <v>-1.1035692174309999</v>
      </c>
      <c r="AE4032">
        <v>-29.9283</v>
      </c>
      <c r="AF4032">
        <v>12.9265590805334</v>
      </c>
      <c r="AG4032">
        <v>-1.1035692174309999</v>
      </c>
      <c r="AH4032">
        <v>27.052935056575901</v>
      </c>
      <c r="AI4032">
        <v>92.107932458137199</v>
      </c>
      <c r="AJ4032">
        <v>64.460379426903003</v>
      </c>
      <c r="AK4032">
        <v>30.002918022344101</v>
      </c>
      <c r="AL4032">
        <v>82.686021335417394</v>
      </c>
      <c r="AM4032">
        <v>67.657479943714407</v>
      </c>
      <c r="AN4032">
        <v>0.99999999217406399</v>
      </c>
    </row>
    <row r="4033" spans="1:40" x14ac:dyDescent="0.25">
      <c r="A4033" t="str">
        <f>"20190312164108212"</f>
        <v>20190312164108212</v>
      </c>
      <c r="B4033" t="str">
        <f>"1552380068200688"</f>
        <v>1552380068200688</v>
      </c>
      <c r="C4033" t="s">
        <v>40</v>
      </c>
      <c r="D4033">
        <v>6.0157959999999999</v>
      </c>
      <c r="E4033">
        <v>0.52573970000000003</v>
      </c>
      <c r="F4033" t="s">
        <v>41</v>
      </c>
      <c r="G4033">
        <v>-191.828</v>
      </c>
      <c r="H4033" s="1">
        <v>-3.356277E-6</v>
      </c>
      <c r="I4033">
        <v>186.27889999999999</v>
      </c>
      <c r="J4033">
        <v>-190.4349</v>
      </c>
      <c r="K4033">
        <v>1.103575</v>
      </c>
      <c r="L4033">
        <v>202.7346</v>
      </c>
      <c r="M4033">
        <v>0.34492050000000002</v>
      </c>
      <c r="N4033">
        <v>0</v>
      </c>
      <c r="O4033">
        <v>-0.93855480000000002</v>
      </c>
      <c r="P4033">
        <v>-2.7097389999999999E-2</v>
      </c>
      <c r="Q4033">
        <v>0.12109060000000001</v>
      </c>
      <c r="R4033">
        <v>-0.99227149999999997</v>
      </c>
      <c r="S4033">
        <v>-0.24604799999999999</v>
      </c>
      <c r="T4033">
        <v>-0.20195109999999999</v>
      </c>
      <c r="U4033">
        <v>-3.043015</v>
      </c>
      <c r="V4033">
        <v>0.3698092</v>
      </c>
      <c r="W4033">
        <v>0.12618940000000001</v>
      </c>
      <c r="X4033">
        <v>0.9204985</v>
      </c>
      <c r="Y4033">
        <v>0.4192958</v>
      </c>
      <c r="Z4033">
        <v>5.6953690000000001E-2</v>
      </c>
      <c r="AA4033">
        <v>0.90606140000000002</v>
      </c>
      <c r="AB4033">
        <v>18</v>
      </c>
      <c r="AC4033">
        <v>-1.3931</v>
      </c>
      <c r="AD4033">
        <v>-1.1035783562770001</v>
      </c>
      <c r="AE4033">
        <v>-16.4557</v>
      </c>
      <c r="AF4033">
        <v>6.9528662210777004</v>
      </c>
      <c r="AG4033">
        <v>-1.1035783562770001</v>
      </c>
      <c r="AH4033">
        <v>14.898620402865401</v>
      </c>
      <c r="AI4033">
        <v>93.840102251657399</v>
      </c>
      <c r="AJ4033">
        <v>64.982548511272199</v>
      </c>
      <c r="AK4033">
        <v>16.4781407866701</v>
      </c>
      <c r="AL4033">
        <v>82.750553045138304</v>
      </c>
      <c r="AM4033">
        <v>68.112262582807105</v>
      </c>
      <c r="AN4033">
        <v>1.0000000487896199</v>
      </c>
    </row>
    <row r="4034" spans="1:40" x14ac:dyDescent="0.25">
      <c r="A4034" t="str">
        <f>"20190312164108233"</f>
        <v>20190312164108233</v>
      </c>
      <c r="B4034" t="str">
        <f>"1552380068229968"</f>
        <v>1552380068229968</v>
      </c>
      <c r="C4034" t="s">
        <v>40</v>
      </c>
      <c r="D4034">
        <v>6.0328889999999999</v>
      </c>
      <c r="E4034">
        <v>0.52370329999999998</v>
      </c>
      <c r="F4034" t="s">
        <v>41</v>
      </c>
      <c r="G4034">
        <v>-191.96969999999999</v>
      </c>
      <c r="H4034" s="1">
        <v>-2.9284639999999999E-6</v>
      </c>
      <c r="I4034">
        <v>185.19380000000001</v>
      </c>
      <c r="J4034">
        <v>-190.3869</v>
      </c>
      <c r="K4034">
        <v>1.103567</v>
      </c>
      <c r="L4034">
        <v>202.5548</v>
      </c>
      <c r="M4034">
        <v>0.33136840000000001</v>
      </c>
      <c r="N4034">
        <v>0</v>
      </c>
      <c r="O4034">
        <v>-0.94342729999999997</v>
      </c>
      <c r="P4034">
        <v>-3.264363E-2</v>
      </c>
      <c r="Q4034">
        <v>0.12002500000000001</v>
      </c>
      <c r="R4034">
        <v>-0.99223430000000001</v>
      </c>
      <c r="S4034">
        <v>-0.2659454</v>
      </c>
      <c r="T4034">
        <v>-0.19122729999999999</v>
      </c>
      <c r="U4034">
        <v>-3.0394589999999999</v>
      </c>
      <c r="V4034">
        <v>0.36168929999999999</v>
      </c>
      <c r="W4034">
        <v>0.12513389999999999</v>
      </c>
      <c r="X4034">
        <v>0.92386279999999998</v>
      </c>
      <c r="Y4034">
        <v>0.41220269999999998</v>
      </c>
      <c r="Z4034">
        <v>5.4549540000000001E-2</v>
      </c>
      <c r="AA4034">
        <v>0.90945770000000004</v>
      </c>
      <c r="AB4034">
        <v>18</v>
      </c>
      <c r="AC4034">
        <v>-1.58279999999999</v>
      </c>
      <c r="AD4034">
        <v>-1.1035699284639999</v>
      </c>
      <c r="AE4034">
        <v>-17.360999999999901</v>
      </c>
      <c r="AF4034">
        <v>7.2177266638521296</v>
      </c>
      <c r="AG4034">
        <v>-1.1035699284639999</v>
      </c>
      <c r="AH4034">
        <v>15.7921761901212</v>
      </c>
      <c r="AI4034">
        <v>93.636666058046998</v>
      </c>
      <c r="AJ4034">
        <v>65.437492001064399</v>
      </c>
      <c r="AK4034">
        <v>17.398456069459801</v>
      </c>
      <c r="AL4034">
        <v>82.811512018215595</v>
      </c>
      <c r="AM4034">
        <v>68.619817463285202</v>
      </c>
      <c r="AN4034">
        <v>1.00000005794376</v>
      </c>
    </row>
    <row r="4035" spans="1:40" x14ac:dyDescent="0.25">
      <c r="A4035" t="str">
        <f>"20190312164108257"</f>
        <v>20190312164108257</v>
      </c>
      <c r="B4035" t="str">
        <f>"1552380068250465"</f>
        <v>1552380068250465</v>
      </c>
      <c r="C4035" t="s">
        <v>40</v>
      </c>
      <c r="D4035">
        <v>6.0427479999999996</v>
      </c>
      <c r="E4035">
        <v>0.52325429999999995</v>
      </c>
      <c r="F4035" t="s">
        <v>41</v>
      </c>
      <c r="G4035">
        <v>-191.94749999999999</v>
      </c>
      <c r="H4035" s="1">
        <v>-2.740384E-6</v>
      </c>
      <c r="I4035">
        <v>184.76910000000001</v>
      </c>
      <c r="J4035">
        <v>-190.34049999999999</v>
      </c>
      <c r="K4035">
        <v>1.103564</v>
      </c>
      <c r="L4035">
        <v>202.37100000000001</v>
      </c>
      <c r="M4035">
        <v>0.31763209999999997</v>
      </c>
      <c r="N4035">
        <v>0</v>
      </c>
      <c r="O4035">
        <v>-0.94814259999999995</v>
      </c>
      <c r="P4035">
        <v>-3.8067179999999999E-2</v>
      </c>
      <c r="Q4035">
        <v>0.1198077</v>
      </c>
      <c r="R4035">
        <v>-0.99206729999999999</v>
      </c>
      <c r="S4035">
        <v>-0.26651000000000002</v>
      </c>
      <c r="T4035">
        <v>-0.18847220000000001</v>
      </c>
      <c r="U4035">
        <v>-3.037506</v>
      </c>
      <c r="V4035">
        <v>0.3532923</v>
      </c>
      <c r="W4035">
        <v>0.1249305</v>
      </c>
      <c r="X4035">
        <v>0.92713369999999995</v>
      </c>
      <c r="Y4035">
        <v>0.39915309999999998</v>
      </c>
      <c r="Z4035">
        <v>5.4419399999999903E-2</v>
      </c>
      <c r="AA4035">
        <v>0.91526790000000002</v>
      </c>
      <c r="AB4035">
        <v>18</v>
      </c>
      <c r="AC4035">
        <v>-1.60699999999999</v>
      </c>
      <c r="AD4035">
        <v>-1.1035667403839999</v>
      </c>
      <c r="AE4035">
        <v>-17.601899999999901</v>
      </c>
      <c r="AF4035">
        <v>7.0874466735259496</v>
      </c>
      <c r="AG4035">
        <v>-1.1035667403839999</v>
      </c>
      <c r="AH4035">
        <v>16.116943946267298</v>
      </c>
      <c r="AI4035">
        <v>93.586585350300595</v>
      </c>
      <c r="AJ4035">
        <v>66.262445950994405</v>
      </c>
      <c r="AK4035">
        <v>17.641021570976999</v>
      </c>
      <c r="AL4035">
        <v>82.8232576528236</v>
      </c>
      <c r="AM4035">
        <v>69.140225894667196</v>
      </c>
      <c r="AN4035">
        <v>0.99999998837261495</v>
      </c>
    </row>
    <row r="4036" spans="1:40" x14ac:dyDescent="0.25">
      <c r="A4036" t="str">
        <f>"20190312164108279"</f>
        <v>20190312164108279</v>
      </c>
      <c r="B4036" t="str">
        <f>"1552380068269987"</f>
        <v>1552380068269987</v>
      </c>
      <c r="C4036" t="s">
        <v>40</v>
      </c>
      <c r="D4036">
        <v>6.0444589999999998</v>
      </c>
      <c r="E4036">
        <v>0.52328180000000002</v>
      </c>
      <c r="F4036" t="s">
        <v>41</v>
      </c>
      <c r="G4036">
        <v>-191.9872</v>
      </c>
      <c r="H4036" s="1">
        <v>-2.6257230000000001E-6</v>
      </c>
      <c r="I4036">
        <v>184.47720000000001</v>
      </c>
      <c r="J4036">
        <v>-190.29740000000001</v>
      </c>
      <c r="K4036">
        <v>1.103572</v>
      </c>
      <c r="L4036">
        <v>202.18979999999999</v>
      </c>
      <c r="M4036">
        <v>0.30420039999999998</v>
      </c>
      <c r="N4036">
        <v>0</v>
      </c>
      <c r="O4036">
        <v>-0.95253909999999997</v>
      </c>
      <c r="P4036">
        <v>-4.3987100000000001E-2</v>
      </c>
      <c r="Q4036">
        <v>0.1201957</v>
      </c>
      <c r="R4036">
        <v>-0.99177539999999997</v>
      </c>
      <c r="S4036">
        <v>-0.27938839999999998</v>
      </c>
      <c r="T4036">
        <v>-0.18723390000000001</v>
      </c>
      <c r="U4036">
        <v>-3.0359039999999999</v>
      </c>
      <c r="V4036">
        <v>0.34568409999999999</v>
      </c>
      <c r="W4036">
        <v>0.12532180000000001</v>
      </c>
      <c r="X4036">
        <v>0.92994460000000001</v>
      </c>
      <c r="Y4036">
        <v>0.3900711</v>
      </c>
      <c r="Z4036">
        <v>5.460769E-2</v>
      </c>
      <c r="AA4036">
        <v>0.91916399999999998</v>
      </c>
      <c r="AB4036">
        <v>18</v>
      </c>
      <c r="AC4036">
        <v>-1.68979999999999</v>
      </c>
      <c r="AD4036">
        <v>-1.1035746257229999</v>
      </c>
      <c r="AE4036">
        <v>-17.712599999999899</v>
      </c>
      <c r="AF4036">
        <v>6.9714223659595103</v>
      </c>
      <c r="AG4036">
        <v>-1.1035746257229999</v>
      </c>
      <c r="AH4036">
        <v>16.2962916723753</v>
      </c>
      <c r="AI4036">
        <v>93.562721262203695</v>
      </c>
      <c r="AJ4036">
        <v>66.839150913917194</v>
      </c>
      <c r="AK4036">
        <v>17.759159018102999</v>
      </c>
      <c r="AL4036">
        <v>82.800660335976602</v>
      </c>
      <c r="AM4036">
        <v>69.608617161979495</v>
      </c>
      <c r="AN4036">
        <v>1.0000000048086</v>
      </c>
    </row>
    <row r="4037" spans="1:40" x14ac:dyDescent="0.25">
      <c r="A4037" t="str">
        <f>"20190312164108300"</f>
        <v>20190312164108300</v>
      </c>
      <c r="B4037" t="str">
        <f>"1552380068290009"</f>
        <v>1552380068290009</v>
      </c>
      <c r="C4037" t="s">
        <v>40</v>
      </c>
      <c r="D4037">
        <v>6.0091419999999998</v>
      </c>
      <c r="E4037">
        <v>0.52215649999999902</v>
      </c>
      <c r="F4037" t="s">
        <v>41</v>
      </c>
      <c r="G4037">
        <v>-192.27680000000001</v>
      </c>
      <c r="H4037" s="1">
        <v>-1.671376E-6</v>
      </c>
      <c r="I4037">
        <v>182.07300000000001</v>
      </c>
      <c r="J4037">
        <v>-190.25810000000001</v>
      </c>
      <c r="K4037">
        <v>1.1035680000000001</v>
      </c>
      <c r="L4037">
        <v>202.01480000000001</v>
      </c>
      <c r="M4037">
        <v>0.29132229999999998</v>
      </c>
      <c r="N4037">
        <v>0</v>
      </c>
      <c r="O4037">
        <v>-0.95655820000000003</v>
      </c>
      <c r="P4037">
        <v>-4.8550139999999999E-2</v>
      </c>
      <c r="Q4037">
        <v>0.120577</v>
      </c>
      <c r="R4037">
        <v>-0.99151610000000001</v>
      </c>
      <c r="S4037">
        <v>-0.298324599999999</v>
      </c>
      <c r="T4037">
        <v>-0.16632</v>
      </c>
      <c r="U4037">
        <v>-3.0318149999999999</v>
      </c>
      <c r="V4037">
        <v>0.33737869999999998</v>
      </c>
      <c r="W4037">
        <v>0.12572809999999901</v>
      </c>
      <c r="X4037">
        <v>0.93293519999999996</v>
      </c>
      <c r="Y4037">
        <v>0.38347819999999999</v>
      </c>
      <c r="Z4037">
        <v>4.8983539999999999E-2</v>
      </c>
      <c r="AA4037">
        <v>0.92225000000000001</v>
      </c>
      <c r="AB4037">
        <v>18</v>
      </c>
      <c r="AC4037">
        <v>-2.0186999999999902</v>
      </c>
      <c r="AD4037">
        <v>-1.1035696713759999</v>
      </c>
      <c r="AE4037">
        <v>-19.941800000000001</v>
      </c>
      <c r="AF4037">
        <v>7.71759436019732</v>
      </c>
      <c r="AG4037">
        <v>-1.1035696713759999</v>
      </c>
      <c r="AH4037">
        <v>18.432703900883901</v>
      </c>
      <c r="AI4037">
        <v>93.160950989609304</v>
      </c>
      <c r="AJ4037">
        <v>67.281412060899399</v>
      </c>
      <c r="AK4037">
        <v>20.0135879298488</v>
      </c>
      <c r="AL4037">
        <v>82.777195537503303</v>
      </c>
      <c r="AM4037">
        <v>70.118416494020295</v>
      </c>
      <c r="AN4037">
        <v>1.0000000148711601</v>
      </c>
    </row>
    <row r="4038" spans="1:40" x14ac:dyDescent="0.25">
      <c r="A4038" t="str">
        <f>"20190312164108322"</f>
        <v>20190312164108322</v>
      </c>
      <c r="B4038" t="str">
        <f>"1552380068310506"</f>
        <v>1552380068310506</v>
      </c>
      <c r="C4038" t="s">
        <v>40</v>
      </c>
      <c r="D4038">
        <v>6.0997209999999997</v>
      </c>
      <c r="E4038">
        <v>0.5212869</v>
      </c>
      <c r="F4038" t="s">
        <v>41</v>
      </c>
      <c r="G4038">
        <v>-192.1575</v>
      </c>
      <c r="H4038" s="1">
        <v>-2.044949E-6</v>
      </c>
      <c r="I4038">
        <v>183.01779999999999</v>
      </c>
      <c r="J4038">
        <v>-190.22020000000001</v>
      </c>
      <c r="K4038">
        <v>1.1035489999999999</v>
      </c>
      <c r="L4038">
        <v>201.8347</v>
      </c>
      <c r="M4038">
        <v>0.27814670000000002</v>
      </c>
      <c r="N4038">
        <v>0</v>
      </c>
      <c r="O4038">
        <v>-0.96047380000000004</v>
      </c>
      <c r="P4038">
        <v>-5.3456469999999999E-2</v>
      </c>
      <c r="Q4038">
        <v>0.1203065</v>
      </c>
      <c r="R4038">
        <v>-0.99129659999999997</v>
      </c>
      <c r="S4038">
        <v>-0.30317690000000003</v>
      </c>
      <c r="T4038">
        <v>-0.17614920000000001</v>
      </c>
      <c r="U4038">
        <v>-3.032257</v>
      </c>
      <c r="V4038">
        <v>0.32915090000000002</v>
      </c>
      <c r="W4038">
        <v>0.12547549999999999</v>
      </c>
      <c r="X4038">
        <v>0.93590370000000001</v>
      </c>
      <c r="Y4038">
        <v>0.37218679999999998</v>
      </c>
      <c r="Z4038">
        <v>5.2332530000000002E-2</v>
      </c>
      <c r="AA4038">
        <v>0.92668130000000004</v>
      </c>
      <c r="AB4038">
        <v>18</v>
      </c>
      <c r="AC4038">
        <v>-1.93729999999999</v>
      </c>
      <c r="AD4038">
        <v>-1.10355104494899</v>
      </c>
      <c r="AE4038">
        <v>-18.8169</v>
      </c>
      <c r="AF4038">
        <v>7.0709610707249899</v>
      </c>
      <c r="AG4038">
        <v>-1.10355104494899</v>
      </c>
      <c r="AH4038">
        <v>17.475900393665999</v>
      </c>
      <c r="AI4038">
        <v>93.350098849199398</v>
      </c>
      <c r="AJ4038">
        <v>67.971147491751495</v>
      </c>
      <c r="AK4038">
        <v>18.884475368456801</v>
      </c>
      <c r="AL4038">
        <v>82.791784423001999</v>
      </c>
      <c r="AM4038">
        <v>70.623577082904404</v>
      </c>
      <c r="AN4038">
        <v>1.0000000758723699</v>
      </c>
    </row>
    <row r="4039" spans="1:40" x14ac:dyDescent="0.25">
      <c r="A4039" t="str">
        <f>"20190312164108346"</f>
        <v>20190312164108346</v>
      </c>
      <c r="B4039" t="str">
        <f>"1552380068339785"</f>
        <v>1552380068339785</v>
      </c>
      <c r="C4039" t="s">
        <v>40</v>
      </c>
      <c r="D4039">
        <v>2.7066520000000001</v>
      </c>
      <c r="E4039">
        <v>0.51977839999999997</v>
      </c>
      <c r="F4039" t="s">
        <v>41</v>
      </c>
      <c r="G4039">
        <v>-192.09950000000001</v>
      </c>
      <c r="H4039" s="1">
        <v>-2.254924E-6</v>
      </c>
      <c r="I4039">
        <v>183.54320000000001</v>
      </c>
      <c r="J4039">
        <v>-190.1814</v>
      </c>
      <c r="K4039">
        <v>1.1035060000000001</v>
      </c>
      <c r="L4039">
        <v>201.637</v>
      </c>
      <c r="M4039">
        <v>0.2637756</v>
      </c>
      <c r="N4039">
        <v>0</v>
      </c>
      <c r="O4039">
        <v>-0.96452130000000003</v>
      </c>
      <c r="P4039">
        <v>-5.9124790000000003E-2</v>
      </c>
      <c r="Q4039">
        <v>0.11897149999999999</v>
      </c>
      <c r="R4039">
        <v>-0.99113580000000001</v>
      </c>
      <c r="S4039">
        <v>-0.31149290000000002</v>
      </c>
      <c r="T4039">
        <v>-0.1829084</v>
      </c>
      <c r="U4039">
        <v>-3.0317229999999999</v>
      </c>
      <c r="V4039">
        <v>0.32052770000000003</v>
      </c>
      <c r="W4039">
        <v>0.12415180000000001</v>
      </c>
      <c r="X4039">
        <v>0.93906780000000001</v>
      </c>
      <c r="Y4039">
        <v>0.360821</v>
      </c>
      <c r="Z4039">
        <v>5.4836589999999998E-2</v>
      </c>
      <c r="AA4039">
        <v>0.9310216</v>
      </c>
      <c r="AB4039">
        <v>18</v>
      </c>
      <c r="AC4039">
        <v>-1.9180999999999999</v>
      </c>
      <c r="AD4039">
        <v>-1.1035082549239901</v>
      </c>
      <c r="AE4039">
        <v>-18.093799999999899</v>
      </c>
      <c r="AF4039">
        <v>6.5988801176135796</v>
      </c>
      <c r="AG4039">
        <v>-1.1035082549239901</v>
      </c>
      <c r="AH4039">
        <v>16.884827448545501</v>
      </c>
      <c r="AI4039">
        <v>93.483379054501796</v>
      </c>
      <c r="AJ4039">
        <v>68.653589518689103</v>
      </c>
      <c r="AK4039">
        <v>18.1620579021893</v>
      </c>
      <c r="AL4039">
        <v>82.868224081108096</v>
      </c>
      <c r="AM4039">
        <v>71.153923045717903</v>
      </c>
      <c r="AN4039">
        <v>1.0000000044536801</v>
      </c>
    </row>
    <row r="4040" spans="1:40" x14ac:dyDescent="0.25">
      <c r="A4040" t="str">
        <f>"20190312164108369"</f>
        <v>20190312164108369</v>
      </c>
      <c r="B4040" t="str">
        <f>"1552380068360282"</f>
        <v>1552380068360282</v>
      </c>
      <c r="C4040" t="s">
        <v>40</v>
      </c>
      <c r="D4040">
        <v>5.9845800000000002</v>
      </c>
      <c r="E4040">
        <v>0.51913710000000002</v>
      </c>
      <c r="F4040" t="s">
        <v>41</v>
      </c>
      <c r="G4040">
        <v>-192.03219999999999</v>
      </c>
      <c r="H4040" s="1">
        <v>-2.3948209999999999E-6</v>
      </c>
      <c r="I4040">
        <v>183.9111</v>
      </c>
      <c r="J4040">
        <v>-190.14689999999999</v>
      </c>
      <c r="K4040">
        <v>1.1034630000000001</v>
      </c>
      <c r="L4040">
        <v>201.44839999999999</v>
      </c>
      <c r="M4040">
        <v>0.25014019999999998</v>
      </c>
      <c r="N4040">
        <v>0</v>
      </c>
      <c r="O4040">
        <v>-0.96814889999999998</v>
      </c>
      <c r="P4040">
        <v>-6.429762E-2</v>
      </c>
      <c r="Q4040">
        <v>0.1185214</v>
      </c>
      <c r="R4040">
        <v>-0.99086759999999996</v>
      </c>
      <c r="S4040">
        <v>-0.31643680000000002</v>
      </c>
      <c r="T4040">
        <v>-0.1886659</v>
      </c>
      <c r="U4040">
        <v>-3.0305939999999998</v>
      </c>
      <c r="V4040">
        <v>0.31216650000000001</v>
      </c>
      <c r="W4040">
        <v>0.12371269999999999</v>
      </c>
      <c r="X4040">
        <v>0.94193800000000005</v>
      </c>
      <c r="Y4040">
        <v>0.34916029999999998</v>
      </c>
      <c r="Z4040">
        <v>5.7048540000000002E-2</v>
      </c>
      <c r="AA4040">
        <v>0.93532479999999996</v>
      </c>
      <c r="AB4040">
        <v>18</v>
      </c>
      <c r="AC4040">
        <v>-1.8853</v>
      </c>
      <c r="AD4040">
        <v>-1.10346539482099</v>
      </c>
      <c r="AE4040">
        <v>-17.537299999999899</v>
      </c>
      <c r="AF4040">
        <v>6.1881806385292899</v>
      </c>
      <c r="AG4040">
        <v>-1.10346539482099</v>
      </c>
      <c r="AH4040">
        <v>16.443741016497601</v>
      </c>
      <c r="AI4040">
        <v>93.593766665408694</v>
      </c>
      <c r="AJ4040">
        <v>69.377457632081203</v>
      </c>
      <c r="AK4040">
        <v>17.604199331701601</v>
      </c>
      <c r="AL4040">
        <v>82.893577916054895</v>
      </c>
      <c r="AM4040">
        <v>71.664351598127197</v>
      </c>
      <c r="AN4040">
        <v>0.99999997585376899</v>
      </c>
    </row>
    <row r="4041" spans="1:40" x14ac:dyDescent="0.25">
      <c r="A4041" t="str">
        <f>"20190312164108389"</f>
        <v>20190312164108389</v>
      </c>
      <c r="B4041" t="str">
        <f>"1552380068379801"</f>
        <v>1552380068379801</v>
      </c>
      <c r="C4041" t="s">
        <v>40</v>
      </c>
      <c r="D4041">
        <v>5.9908229999999998</v>
      </c>
      <c r="E4041">
        <v>0.51849529999999999</v>
      </c>
      <c r="F4041" t="s">
        <v>41</v>
      </c>
      <c r="G4041">
        <v>-192.0487</v>
      </c>
      <c r="H4041" s="1">
        <v>-2.3578670000000001E-6</v>
      </c>
      <c r="I4041">
        <v>183.81469999999999</v>
      </c>
      <c r="J4041">
        <v>-190.11670000000001</v>
      </c>
      <c r="K4041">
        <v>1.1034330000000001</v>
      </c>
      <c r="L4041">
        <v>201.26990000000001</v>
      </c>
      <c r="M4041">
        <v>0.23733199999999999</v>
      </c>
      <c r="N4041">
        <v>0</v>
      </c>
      <c r="O4041">
        <v>-0.9713697</v>
      </c>
      <c r="P4041">
        <v>-6.9575369999999997E-2</v>
      </c>
      <c r="Q4041">
        <v>0.1191446</v>
      </c>
      <c r="R4041">
        <v>-0.99043630000000005</v>
      </c>
      <c r="S4041">
        <v>-0.3266907</v>
      </c>
      <c r="T4041">
        <v>-0.18955430000000001</v>
      </c>
      <c r="U4041">
        <v>-3.0291290000000002</v>
      </c>
      <c r="V4041">
        <v>0.30472070000000001</v>
      </c>
      <c r="W4041">
        <v>0.1243377</v>
      </c>
      <c r="X4041">
        <v>0.94429090000000004</v>
      </c>
      <c r="Y4041">
        <v>0.3399432</v>
      </c>
      <c r="Z4041">
        <v>5.7740930000000003E-2</v>
      </c>
      <c r="AA4041">
        <v>0.9386717</v>
      </c>
      <c r="AB4041">
        <v>18</v>
      </c>
      <c r="AC4041">
        <v>-1.93199999999998</v>
      </c>
      <c r="AD4041">
        <v>-1.103435357867</v>
      </c>
      <c r="AE4041">
        <v>-17.455200000000001</v>
      </c>
      <c r="AF4041">
        <v>5.9960370055273602</v>
      </c>
      <c r="AG4041">
        <v>-1.103435357867</v>
      </c>
      <c r="AH4041">
        <v>16.432996584653001</v>
      </c>
      <c r="AI4041">
        <v>93.609414308634598</v>
      </c>
      <c r="AJ4041">
        <v>69.954092322865804</v>
      </c>
      <c r="AK4041">
        <v>17.527504275049001</v>
      </c>
      <c r="AL4041">
        <v>82.857489131077202</v>
      </c>
      <c r="AM4041">
        <v>72.115218074548295</v>
      </c>
      <c r="AN4041">
        <v>0.99999993623629302</v>
      </c>
    </row>
    <row r="4042" spans="1:40" x14ac:dyDescent="0.25">
      <c r="A4042" t="str">
        <f>"20190312164108412"</f>
        <v>20190312164108412</v>
      </c>
      <c r="B4042" t="str">
        <f>"1552380068400298"</f>
        <v>1552380068400298</v>
      </c>
      <c r="C4042" t="s">
        <v>40</v>
      </c>
      <c r="D4042">
        <v>5.9837769999999999</v>
      </c>
      <c r="E4042">
        <v>0.51771299999999998</v>
      </c>
      <c r="F4042" t="s">
        <v>41</v>
      </c>
      <c r="G4042">
        <v>-192.09639999999999</v>
      </c>
      <c r="H4042" s="1">
        <v>-2.2389229999999999E-6</v>
      </c>
      <c r="I4042">
        <v>183.5078</v>
      </c>
      <c r="J4042">
        <v>-190.0874</v>
      </c>
      <c r="K4042">
        <v>1.103416</v>
      </c>
      <c r="L4042">
        <v>201.08240000000001</v>
      </c>
      <c r="M4042">
        <v>0.2239699</v>
      </c>
      <c r="N4042">
        <v>0</v>
      </c>
      <c r="O4042">
        <v>-0.97453900000000004</v>
      </c>
      <c r="P4042">
        <v>-7.5466850000000002E-2</v>
      </c>
      <c r="Q4042">
        <v>0.1199052</v>
      </c>
      <c r="R4042">
        <v>-0.98991309999999999</v>
      </c>
      <c r="S4042">
        <v>-0.33747860000000002</v>
      </c>
      <c r="T4042">
        <v>-0.18810270000000001</v>
      </c>
      <c r="U4042">
        <v>-3.027908</v>
      </c>
      <c r="V4042">
        <v>0.29734379999999999</v>
      </c>
      <c r="W4042">
        <v>0.1251032</v>
      </c>
      <c r="X4042">
        <v>0.94653889999999996</v>
      </c>
      <c r="Y4042">
        <v>0.3303584</v>
      </c>
      <c r="Z4042">
        <v>5.7712729999999997E-2</v>
      </c>
      <c r="AA4042">
        <v>0.94208950000000002</v>
      </c>
      <c r="AB4042">
        <v>18</v>
      </c>
      <c r="AC4042">
        <v>-2.0089999999999799</v>
      </c>
      <c r="AD4042">
        <v>-1.1034182389229901</v>
      </c>
      <c r="AE4042">
        <v>-17.5746</v>
      </c>
      <c r="AF4042">
        <v>5.8715114846028698</v>
      </c>
      <c r="AG4042">
        <v>-1.1034182389229901</v>
      </c>
      <c r="AH4042">
        <v>16.613460645447901</v>
      </c>
      <c r="AI4042">
        <v>93.583257752687402</v>
      </c>
      <c r="AJ4042">
        <v>70.535627677593197</v>
      </c>
      <c r="AK4042">
        <v>17.6550064724332</v>
      </c>
      <c r="AL4042">
        <v>82.813284639198798</v>
      </c>
      <c r="AM4042">
        <v>72.560516517866105</v>
      </c>
      <c r="AN4042">
        <v>1.00000001763094</v>
      </c>
    </row>
    <row r="4043" spans="1:40" x14ac:dyDescent="0.25">
      <c r="A4043" t="str">
        <f>"20190312164108426"</f>
        <v>20190312164108426</v>
      </c>
      <c r="B4043" t="str">
        <f>"1552380068419818"</f>
        <v>1552380068419818</v>
      </c>
      <c r="C4043" t="s">
        <v>40</v>
      </c>
      <c r="D4043">
        <v>5.9266059999999996</v>
      </c>
      <c r="E4043">
        <v>0.51699790000000001</v>
      </c>
      <c r="F4043" t="s">
        <v>41</v>
      </c>
      <c r="G4043">
        <v>-192.18600000000001</v>
      </c>
      <c r="H4043" s="1">
        <v>-2.0136449999999998E-6</v>
      </c>
      <c r="I4043">
        <v>182.9272</v>
      </c>
      <c r="J4043">
        <v>-190.0701</v>
      </c>
      <c r="K4043">
        <v>1.1034139999999999</v>
      </c>
      <c r="L4043">
        <v>200.96260000000001</v>
      </c>
      <c r="M4043">
        <v>0.21551000000000001</v>
      </c>
      <c r="N4043">
        <v>0</v>
      </c>
      <c r="O4043">
        <v>-0.97644560000000002</v>
      </c>
      <c r="P4043">
        <v>-7.9772659999999995E-2</v>
      </c>
      <c r="Q4043">
        <v>0.120058</v>
      </c>
      <c r="R4043">
        <v>-0.98955669999999996</v>
      </c>
      <c r="S4043">
        <v>-0.34979250000000001</v>
      </c>
      <c r="T4043">
        <v>-0.18392249999999999</v>
      </c>
      <c r="U4043">
        <v>-3.0261840000000002</v>
      </c>
      <c r="V4043">
        <v>0.29324</v>
      </c>
      <c r="W4043">
        <v>0.12525839999999999</v>
      </c>
      <c r="X4043">
        <v>0.94779780000000002</v>
      </c>
      <c r="Y4043">
        <v>0.32602239999999999</v>
      </c>
      <c r="Z4043">
        <v>5.6672920000000002E-2</v>
      </c>
      <c r="AA4043">
        <v>0.9436618</v>
      </c>
      <c r="AB4043">
        <v>18</v>
      </c>
      <c r="AC4043">
        <v>-2.1158999999999799</v>
      </c>
      <c r="AD4043">
        <v>-1.103416013645</v>
      </c>
      <c r="AE4043">
        <v>-18.035399999999999</v>
      </c>
      <c r="AF4043">
        <v>5.9312962530702604</v>
      </c>
      <c r="AG4043">
        <v>-1.103416013645</v>
      </c>
      <c r="AH4043">
        <v>17.092418701179501</v>
      </c>
      <c r="AI4043">
        <v>93.490042505474804</v>
      </c>
      <c r="AJ4043">
        <v>70.862546777188896</v>
      </c>
      <c r="AK4043">
        <v>18.125909058507499</v>
      </c>
      <c r="AL4043">
        <v>82.804321828084795</v>
      </c>
      <c r="AM4043">
        <v>72.808409203468401</v>
      </c>
      <c r="AN4043">
        <v>1.0000000170276999</v>
      </c>
    </row>
    <row r="4044" spans="1:40" x14ac:dyDescent="0.25">
      <c r="A4044" t="str">
        <f>"20190312164108446"</f>
        <v>20190312164108446</v>
      </c>
      <c r="B4044" t="str">
        <f>"1552380068440315"</f>
        <v>1552380068440315</v>
      </c>
      <c r="C4044" t="s">
        <v>40</v>
      </c>
      <c r="D4044">
        <v>6.0432949999999996</v>
      </c>
      <c r="E4044">
        <v>0.51617060000000003</v>
      </c>
      <c r="F4044" t="s">
        <v>41</v>
      </c>
      <c r="G4044">
        <v>-192.23150000000001</v>
      </c>
      <c r="H4044" s="1">
        <v>-1.9132889999999999E-6</v>
      </c>
      <c r="I4044">
        <v>182.66499999999999</v>
      </c>
      <c r="J4044">
        <v>-190.0471</v>
      </c>
      <c r="K4044">
        <v>1.1034280000000001</v>
      </c>
      <c r="L4044">
        <v>200.79320000000001</v>
      </c>
      <c r="M4044">
        <v>0.20362669999999999</v>
      </c>
      <c r="N4044">
        <v>0</v>
      </c>
      <c r="O4044">
        <v>-0.97899389999999997</v>
      </c>
      <c r="P4044">
        <v>-8.4110950000000004E-2</v>
      </c>
      <c r="Q4044">
        <v>0.1207636</v>
      </c>
      <c r="R4044">
        <v>-0.98911150000000003</v>
      </c>
      <c r="S4044">
        <v>-0.35733029999999999</v>
      </c>
      <c r="T4044">
        <v>-0.1824191</v>
      </c>
      <c r="U4044">
        <v>-3.0250089999999998</v>
      </c>
      <c r="V4044">
        <v>0.28584300000000001</v>
      </c>
      <c r="W4044">
        <v>0.1260134</v>
      </c>
      <c r="X4044">
        <v>0.94995490000000005</v>
      </c>
      <c r="Y4044">
        <v>0.3168822</v>
      </c>
      <c r="Z4044">
        <v>5.6548250000000001E-2</v>
      </c>
      <c r="AA4044">
        <v>0.94677770000000006</v>
      </c>
      <c r="AB4044">
        <v>18</v>
      </c>
      <c r="AC4044">
        <v>-2.1844000000000099</v>
      </c>
      <c r="AD4044">
        <v>-1.103429913289</v>
      </c>
      <c r="AE4044">
        <v>-18.1282</v>
      </c>
      <c r="AF4044">
        <v>5.8089981456630699</v>
      </c>
      <c r="AG4044">
        <v>-1.103429913289</v>
      </c>
      <c r="AH4044">
        <v>17.240560854012401</v>
      </c>
      <c r="AI4044">
        <v>93.470834483508298</v>
      </c>
      <c r="AJ4044">
        <v>71.379379463459401</v>
      </c>
      <c r="AK4044">
        <v>18.226325893903098</v>
      </c>
      <c r="AL4044">
        <v>82.760717563188706</v>
      </c>
      <c r="AM4044">
        <v>73.253372186546699</v>
      </c>
      <c r="AN4044">
        <v>0.99999995483128401</v>
      </c>
    </row>
    <row r="4045" spans="1:40" x14ac:dyDescent="0.25">
      <c r="A4045" t="str">
        <f>"20190312164108468"</f>
        <v>20190312164108468</v>
      </c>
      <c r="B4045" t="str">
        <f>"1552380068459834"</f>
        <v>1552380068459834</v>
      </c>
      <c r="C4045" t="s">
        <v>40</v>
      </c>
      <c r="D4045">
        <v>5.9926740000000001</v>
      </c>
      <c r="E4045">
        <v>0.51549129999999999</v>
      </c>
      <c r="F4045" t="s">
        <v>41</v>
      </c>
      <c r="G4045">
        <v>-192.28190000000001</v>
      </c>
      <c r="H4045" s="1">
        <v>-1.74153E-6</v>
      </c>
      <c r="I4045">
        <v>182.23330000000001</v>
      </c>
      <c r="J4045">
        <v>-190.0231</v>
      </c>
      <c r="K4045">
        <v>1.1034740000000001</v>
      </c>
      <c r="L4045">
        <v>200.59809999999999</v>
      </c>
      <c r="M4045">
        <v>0.19009290000000001</v>
      </c>
      <c r="N4045">
        <v>0</v>
      </c>
      <c r="O4045">
        <v>-0.98171280000000005</v>
      </c>
      <c r="P4045">
        <v>-8.7789610000000004E-2</v>
      </c>
      <c r="Q4045">
        <v>0.12242409999999999</v>
      </c>
      <c r="R4045">
        <v>-0.98858769999999996</v>
      </c>
      <c r="S4045">
        <v>-0.36412050000000001</v>
      </c>
      <c r="T4045">
        <v>-0.17978659999999999</v>
      </c>
      <c r="U4045">
        <v>-3.0240330000000002</v>
      </c>
      <c r="V4045">
        <v>0.27620800000000001</v>
      </c>
      <c r="W4045">
        <v>0.12777140000000001</v>
      </c>
      <c r="X4045">
        <v>0.95256689999999999</v>
      </c>
      <c r="Y4045">
        <v>0.30590529999999999</v>
      </c>
      <c r="Z4045">
        <v>5.6094140000000001E-2</v>
      </c>
      <c r="AA4045">
        <v>0.95040800000000003</v>
      </c>
      <c r="AB4045">
        <v>19</v>
      </c>
      <c r="AC4045">
        <v>-2.2587999999999999</v>
      </c>
      <c r="AD4045">
        <v>-1.1034757415300001</v>
      </c>
      <c r="AE4045">
        <v>-18.364799999999899</v>
      </c>
      <c r="AF4045">
        <v>5.6885778632081898</v>
      </c>
      <c r="AG4045">
        <v>-1.1034757415300001</v>
      </c>
      <c r="AH4045">
        <v>17.538122810252901</v>
      </c>
      <c r="AI4045">
        <v>93.425018587009902</v>
      </c>
      <c r="AJ4045">
        <v>72.0292698504458</v>
      </c>
      <c r="AK4045">
        <v>18.4706071509693</v>
      </c>
      <c r="AL4045">
        <v>82.6591713706094</v>
      </c>
      <c r="AM4045">
        <v>73.829860631620505</v>
      </c>
      <c r="AN4045">
        <v>1.00000004444878</v>
      </c>
    </row>
    <row r="4046" spans="1:40" x14ac:dyDescent="0.25">
      <c r="A4046" t="str">
        <f>"20190312164108501"</f>
        <v>20190312164108501</v>
      </c>
      <c r="B4046" t="str">
        <f>"1552380068490093"</f>
        <v>1552380068490093</v>
      </c>
      <c r="C4046" t="s">
        <v>40</v>
      </c>
      <c r="D4046">
        <v>5.9573210000000003</v>
      </c>
      <c r="E4046">
        <v>0.53921649999999999</v>
      </c>
      <c r="F4046" t="s">
        <v>41</v>
      </c>
      <c r="G4046">
        <v>-192.31710000000001</v>
      </c>
      <c r="H4046" s="1">
        <v>-1.5000809999999999E-6</v>
      </c>
      <c r="I4046">
        <v>181.64869999999999</v>
      </c>
      <c r="J4046">
        <v>-189.99350000000001</v>
      </c>
      <c r="K4046">
        <v>1.103542</v>
      </c>
      <c r="L4046">
        <v>200.32419999999999</v>
      </c>
      <c r="M4046">
        <v>0.17138110000000001</v>
      </c>
      <c r="N4046">
        <v>0</v>
      </c>
      <c r="O4046">
        <v>-0.98515330000000001</v>
      </c>
      <c r="P4046">
        <v>-9.7595329999999994E-2</v>
      </c>
      <c r="Q4046">
        <v>0.1233781</v>
      </c>
      <c r="R4046">
        <v>-0.98754909999999996</v>
      </c>
      <c r="S4046">
        <v>-0.3660736</v>
      </c>
      <c r="T4046">
        <v>-0.17609140000000001</v>
      </c>
      <c r="U4046">
        <v>-3.0239259999999999</v>
      </c>
      <c r="V4046">
        <v>0.26748090000000002</v>
      </c>
      <c r="W4046">
        <v>0.12879289999999999</v>
      </c>
      <c r="X4046">
        <v>0.95491700000000002</v>
      </c>
      <c r="Y4046">
        <v>0.28835749999999999</v>
      </c>
      <c r="Z4046">
        <v>5.5403420000000002E-2</v>
      </c>
      <c r="AA4046">
        <v>0.95591859999999995</v>
      </c>
      <c r="AB4046">
        <v>19</v>
      </c>
      <c r="AC4046">
        <v>-2.3235999999999901</v>
      </c>
      <c r="AD4046">
        <v>-1.1035435000810001</v>
      </c>
      <c r="AE4046">
        <v>-18.6755</v>
      </c>
      <c r="AF4046">
        <v>5.4711961050333198</v>
      </c>
      <c r="AG4046">
        <v>-1.1035435000810001</v>
      </c>
      <c r="AH4046">
        <v>17.939239634293401</v>
      </c>
      <c r="AI4046">
        <v>93.367397633296804</v>
      </c>
      <c r="AJ4046">
        <v>73.039088867578698</v>
      </c>
      <c r="AK4046">
        <v>18.787445641515699</v>
      </c>
      <c r="AL4046">
        <v>82.600156246016297</v>
      </c>
      <c r="AM4046">
        <v>74.351959490600606</v>
      </c>
      <c r="AN4046">
        <v>1.0000000599220999</v>
      </c>
    </row>
    <row r="4047" spans="1:40" x14ac:dyDescent="0.25">
      <c r="A4047" t="str">
        <f>"20190312164108523"</f>
        <v>20190312164108523</v>
      </c>
      <c r="B4047" t="str">
        <f>"1552380068510586"</f>
        <v>1552380068510586</v>
      </c>
      <c r="C4047" t="s">
        <v>40</v>
      </c>
      <c r="D4047">
        <v>5.9447539999999996</v>
      </c>
      <c r="E4047">
        <v>0.53767549999999997</v>
      </c>
      <c r="F4047" t="s">
        <v>41</v>
      </c>
      <c r="G4047">
        <v>-192.60570000000001</v>
      </c>
      <c r="H4047" s="1">
        <v>-3.7849060000000001E-6</v>
      </c>
      <c r="I4047">
        <v>186.79570000000001</v>
      </c>
      <c r="J4047">
        <v>-189.97540000000001</v>
      </c>
      <c r="K4047">
        <v>1.103599</v>
      </c>
      <c r="L4047">
        <v>200.12979999999999</v>
      </c>
      <c r="M4047">
        <v>0.1583504</v>
      </c>
      <c r="N4047">
        <v>0</v>
      </c>
      <c r="O4047">
        <v>-0.9873326</v>
      </c>
      <c r="P4047">
        <v>-0.103703</v>
      </c>
      <c r="Q4047">
        <v>0.1214483</v>
      </c>
      <c r="R4047">
        <v>-0.98716570000000003</v>
      </c>
      <c r="S4047">
        <v>-0.58140559999999997</v>
      </c>
      <c r="T4047">
        <v>-0.24561659999999999</v>
      </c>
      <c r="U4047">
        <v>-3.011047</v>
      </c>
      <c r="V4047">
        <v>0.26074170000000002</v>
      </c>
      <c r="W4047">
        <v>0.12693099999999999</v>
      </c>
      <c r="X4047">
        <v>0.95702790000000004</v>
      </c>
      <c r="Y4047">
        <v>0.34210359999999901</v>
      </c>
      <c r="Z4047">
        <v>7.6599159999999999E-2</v>
      </c>
      <c r="AA4047">
        <v>0.93653489999999995</v>
      </c>
      <c r="AB4047">
        <v>19</v>
      </c>
      <c r="AC4047">
        <v>-2.6303000000000001</v>
      </c>
      <c r="AD4047">
        <v>-1.1036027849059999</v>
      </c>
      <c r="AE4047">
        <v>-13.3340999999999</v>
      </c>
      <c r="AF4047">
        <v>4.6778317151148796</v>
      </c>
      <c r="AG4047">
        <v>-1.1036027849059999</v>
      </c>
      <c r="AH4047">
        <v>12.6658041472799</v>
      </c>
      <c r="AI4047">
        <v>94.672745498051796</v>
      </c>
      <c r="AJ4047">
        <v>69.7294176525007</v>
      </c>
      <c r="AK4047">
        <v>13.5470529399954</v>
      </c>
      <c r="AL4047">
        <v>82.707718118060896</v>
      </c>
      <c r="AM4047">
        <v>74.759699783802603</v>
      </c>
      <c r="AN4047">
        <v>1.0000000571291401</v>
      </c>
    </row>
    <row r="4048" spans="1:40" x14ac:dyDescent="0.25">
      <c r="A4048" t="str">
        <f>"20190312164108547"</f>
        <v>20190312164108547</v>
      </c>
      <c r="B4048" t="str">
        <f>"1552380068539865"</f>
        <v>1552380068539865</v>
      </c>
      <c r="C4048" t="s">
        <v>40</v>
      </c>
      <c r="D4048">
        <v>6.0238259999999997</v>
      </c>
      <c r="E4048">
        <v>0.53595130000000002</v>
      </c>
      <c r="F4048" t="s">
        <v>41</v>
      </c>
      <c r="G4048">
        <v>-193.11689999999999</v>
      </c>
      <c r="H4048" s="1">
        <v>-2.8111320000000001E-6</v>
      </c>
      <c r="I4048">
        <v>184.2088</v>
      </c>
      <c r="J4048">
        <v>-189.95869999999999</v>
      </c>
      <c r="K4048">
        <v>1.1036440000000001</v>
      </c>
      <c r="L4048">
        <v>199.9212</v>
      </c>
      <c r="M4048">
        <v>0.14458119999999999</v>
      </c>
      <c r="N4048">
        <v>0</v>
      </c>
      <c r="O4048">
        <v>-0.98944390000000004</v>
      </c>
      <c r="P4048">
        <v>-0.11145380000000001</v>
      </c>
      <c r="Q4048">
        <v>0.1209742</v>
      </c>
      <c r="R4048">
        <v>-0.98637889999999995</v>
      </c>
      <c r="S4048">
        <v>-0.59240719999999902</v>
      </c>
      <c r="T4048">
        <v>-0.20811560000000001</v>
      </c>
      <c r="U4048">
        <v>-3.0023650000000002</v>
      </c>
      <c r="V4048">
        <v>0.25489420000000002</v>
      </c>
      <c r="W4048">
        <v>0.12649679999999999</v>
      </c>
      <c r="X4048">
        <v>0.95865919999999905</v>
      </c>
      <c r="Y4048">
        <v>0.33297139999999997</v>
      </c>
      <c r="Z4048">
        <v>6.5454830000000006E-2</v>
      </c>
      <c r="AA4048">
        <v>0.94066240000000001</v>
      </c>
      <c r="AB4048">
        <v>19</v>
      </c>
      <c r="AC4048">
        <v>-3.1581999999999901</v>
      </c>
      <c r="AD4048">
        <v>-1.1036468111319999</v>
      </c>
      <c r="AE4048">
        <v>-15.712400000000001</v>
      </c>
      <c r="AF4048">
        <v>5.3713694638413898</v>
      </c>
      <c r="AG4048">
        <v>-1.1036468111319999</v>
      </c>
      <c r="AH4048">
        <v>15.019430012191</v>
      </c>
      <c r="AI4048">
        <v>93.957972995488007</v>
      </c>
      <c r="AJ4048">
        <v>70.321524980983199</v>
      </c>
      <c r="AK4048">
        <v>15.9891501991792</v>
      </c>
      <c r="AL4048">
        <v>82.732797525859993</v>
      </c>
      <c r="AM4048">
        <v>75.110342471602195</v>
      </c>
      <c r="AN4048">
        <v>0.99999997767425897</v>
      </c>
    </row>
    <row r="4049" spans="1:40" x14ac:dyDescent="0.25">
      <c r="A4049" t="str">
        <f>"20190312164108570"</f>
        <v>20190312164108570</v>
      </c>
      <c r="B4049" t="str">
        <f>"1552380068560362"</f>
        <v>1552380068560362</v>
      </c>
      <c r="C4049" t="s">
        <v>40</v>
      </c>
      <c r="D4049">
        <v>5.9190849999999999</v>
      </c>
      <c r="E4049">
        <v>0.53523609999999999</v>
      </c>
      <c r="F4049" t="s">
        <v>41</v>
      </c>
      <c r="G4049">
        <v>-193.9282</v>
      </c>
      <c r="H4049" s="1">
        <v>-1.3317479999999999E-6</v>
      </c>
      <c r="I4049">
        <v>180.25700000000001</v>
      </c>
      <c r="J4049">
        <v>-189.9452</v>
      </c>
      <c r="K4049">
        <v>1.103694</v>
      </c>
      <c r="L4049">
        <v>199.72389999999999</v>
      </c>
      <c r="M4049">
        <v>0.13178429999999999</v>
      </c>
      <c r="N4049">
        <v>0</v>
      </c>
      <c r="O4049">
        <v>-0.99123059999999996</v>
      </c>
      <c r="P4049">
        <v>-0.120103</v>
      </c>
      <c r="Q4049">
        <v>0.1218263</v>
      </c>
      <c r="R4049">
        <v>-0.98525830000000003</v>
      </c>
      <c r="S4049">
        <v>-0.60433959999999998</v>
      </c>
      <c r="T4049">
        <v>-0.16802249999999999</v>
      </c>
      <c r="U4049">
        <v>-2.9937290000000001</v>
      </c>
      <c r="V4049">
        <v>0.25088719999999998</v>
      </c>
      <c r="W4049">
        <v>0.1273581</v>
      </c>
      <c r="X4049">
        <v>0.95960179999999995</v>
      </c>
      <c r="Y4049">
        <v>0.32504719999999998</v>
      </c>
      <c r="Z4049">
        <v>5.3243230000000002E-2</v>
      </c>
      <c r="AA4049">
        <v>0.94419779999999998</v>
      </c>
      <c r="AB4049">
        <v>19</v>
      </c>
      <c r="AC4049">
        <v>-3.9830000000000001</v>
      </c>
      <c r="AD4049">
        <v>-1.1036953317479901</v>
      </c>
      <c r="AE4049">
        <v>-19.4668999999999</v>
      </c>
      <c r="AF4049">
        <v>6.4937769096127802</v>
      </c>
      <c r="AG4049">
        <v>-1.1036953317479901</v>
      </c>
      <c r="AH4049">
        <v>18.714440627969399</v>
      </c>
      <c r="AI4049">
        <v>93.189031869508796</v>
      </c>
      <c r="AJ4049">
        <v>70.863591951581498</v>
      </c>
      <c r="AK4049">
        <v>19.8397976288806</v>
      </c>
      <c r="AL4049">
        <v>82.683046765779295</v>
      </c>
      <c r="AM4049">
        <v>75.348031557279597</v>
      </c>
      <c r="AN4049">
        <v>1.0000000436613401</v>
      </c>
    </row>
    <row r="4050" spans="1:40" x14ac:dyDescent="0.25">
      <c r="A4050" t="str">
        <f>"20190312164108590"</f>
        <v>20190312164108590</v>
      </c>
      <c r="B4050" t="str">
        <f>"1552380068579882"</f>
        <v>1552380068579882</v>
      </c>
      <c r="C4050" t="s">
        <v>40</v>
      </c>
      <c r="D4050">
        <v>5.8651619999999998</v>
      </c>
      <c r="E4050">
        <v>0.53412280000000001</v>
      </c>
      <c r="F4050" t="s">
        <v>41</v>
      </c>
      <c r="G4050">
        <v>-194.35810000000001</v>
      </c>
      <c r="H4050" s="1">
        <v>-4.6890600000000003E-6</v>
      </c>
      <c r="I4050">
        <v>178.49420000000001</v>
      </c>
      <c r="J4050">
        <v>-189.9348</v>
      </c>
      <c r="K4050">
        <v>1.1037570000000001</v>
      </c>
      <c r="L4050">
        <v>199.54329999999999</v>
      </c>
      <c r="M4050">
        <v>0.1202785</v>
      </c>
      <c r="N4050">
        <v>0</v>
      </c>
      <c r="O4050">
        <v>-0.9926933</v>
      </c>
      <c r="P4050">
        <v>-0.127414</v>
      </c>
      <c r="Q4050">
        <v>0.12323539999999999</v>
      </c>
      <c r="R4050">
        <v>-0.98416389999999998</v>
      </c>
      <c r="S4050">
        <v>-0.62118530000000005</v>
      </c>
      <c r="T4050">
        <v>-0.1553619</v>
      </c>
      <c r="U4050">
        <v>-2.9884029999999999</v>
      </c>
      <c r="V4050">
        <v>0.24685029999999999</v>
      </c>
      <c r="W4050">
        <v>0.1287806</v>
      </c>
      <c r="X4050">
        <v>0.96045849999999999</v>
      </c>
      <c r="Y4050">
        <v>0.31954929999999998</v>
      </c>
      <c r="Z4050">
        <v>4.9461919999999999E-2</v>
      </c>
      <c r="AA4050">
        <v>0.94627790000000001</v>
      </c>
      <c r="AB4050">
        <v>19</v>
      </c>
      <c r="AC4050">
        <v>-4.42330000000001</v>
      </c>
      <c r="AD4050">
        <v>-1.1037616890599999</v>
      </c>
      <c r="AE4050">
        <v>-21.0490999999999</v>
      </c>
      <c r="AF4050">
        <v>6.9048734188340299</v>
      </c>
      <c r="AG4050">
        <v>-1.1037616890599999</v>
      </c>
      <c r="AH4050">
        <v>20.310734306856599</v>
      </c>
      <c r="AI4050">
        <v>92.945373219529898</v>
      </c>
      <c r="AJ4050">
        <v>71.223929652601896</v>
      </c>
      <c r="AK4050">
        <v>21.480723797863</v>
      </c>
      <c r="AL4050">
        <v>82.600866619163199</v>
      </c>
      <c r="AM4050">
        <v>75.586207046180903</v>
      </c>
      <c r="AN4050">
        <v>1.0000000218843399</v>
      </c>
    </row>
    <row r="4051" spans="1:40" x14ac:dyDescent="0.25">
      <c r="A4051" t="str">
        <f>"20190312164108613"</f>
        <v>20190312164108613</v>
      </c>
      <c r="B4051" t="str">
        <f>"1552380068600379"</f>
        <v>1552380068600379</v>
      </c>
      <c r="C4051" t="s">
        <v>40</v>
      </c>
      <c r="D4051">
        <v>6.0603339999999903</v>
      </c>
      <c r="E4051">
        <v>0.5338058</v>
      </c>
      <c r="F4051" t="s">
        <v>41</v>
      </c>
      <c r="G4051">
        <v>-194.51349999999999</v>
      </c>
      <c r="H4051" s="1">
        <v>-4.5314119999999998E-6</v>
      </c>
      <c r="I4051">
        <v>177.94990000000001</v>
      </c>
      <c r="J4051">
        <v>-189.9256</v>
      </c>
      <c r="K4051">
        <v>1.1038330000000001</v>
      </c>
      <c r="L4051">
        <v>199.34870000000001</v>
      </c>
      <c r="M4051">
        <v>0.10811800000000001</v>
      </c>
      <c r="N4051">
        <v>0</v>
      </c>
      <c r="O4051">
        <v>-0.99409250000000005</v>
      </c>
      <c r="P4051">
        <v>-0.13410710000000001</v>
      </c>
      <c r="Q4051">
        <v>0.1216464</v>
      </c>
      <c r="R4051">
        <v>-0.98347240000000002</v>
      </c>
      <c r="S4051">
        <v>-0.63304139999999998</v>
      </c>
      <c r="T4051">
        <v>-0.1526015</v>
      </c>
      <c r="U4051">
        <v>-2.9854129999999999</v>
      </c>
      <c r="V4051">
        <v>0.2415852</v>
      </c>
      <c r="W4051">
        <v>0.1272257</v>
      </c>
      <c r="X4051">
        <v>0.96200319999999995</v>
      </c>
      <c r="Y4051">
        <v>0.31173610000000002</v>
      </c>
      <c r="Z4051">
        <v>4.8785389999999998E-2</v>
      </c>
      <c r="AA4051">
        <v>0.94891550000000002</v>
      </c>
      <c r="AB4051">
        <v>19</v>
      </c>
      <c r="AC4051">
        <v>-4.5878999999999897</v>
      </c>
      <c r="AD4051">
        <v>-1.1038375314119999</v>
      </c>
      <c r="AE4051">
        <v>-21.398799999999898</v>
      </c>
      <c r="AF4051">
        <v>6.8572591517206902</v>
      </c>
      <c r="AG4051">
        <v>-1.1038375314119999</v>
      </c>
      <c r="AH4051">
        <v>20.7245703918801</v>
      </c>
      <c r="AI4051">
        <v>92.8947629246872</v>
      </c>
      <c r="AJ4051">
        <v>71.691869271559199</v>
      </c>
      <c r="AK4051">
        <v>21.857453609640899</v>
      </c>
      <c r="AL4051">
        <v>82.690694417132903</v>
      </c>
      <c r="AM4051">
        <v>75.902986236307996</v>
      </c>
      <c r="AN4051">
        <v>0.99999997220488401</v>
      </c>
    </row>
    <row r="4052" spans="1:40" x14ac:dyDescent="0.25">
      <c r="A4052" t="str">
        <f>"20190312164108635"</f>
        <v>20190312164108635</v>
      </c>
      <c r="B4052" t="str">
        <f>"1552380068630637"</f>
        <v>1552380068630637</v>
      </c>
      <c r="C4052" t="s">
        <v>40</v>
      </c>
      <c r="D4052">
        <v>5.9804029999999999</v>
      </c>
      <c r="E4052">
        <v>0.53286049999999996</v>
      </c>
      <c r="F4052" t="s">
        <v>41</v>
      </c>
      <c r="G4052">
        <v>-194.56909999999999</v>
      </c>
      <c r="H4052" s="1">
        <v>-4.6003270000000003E-6</v>
      </c>
      <c r="I4052">
        <v>178.1234</v>
      </c>
      <c r="J4052">
        <v>-189.91820000000001</v>
      </c>
      <c r="K4052">
        <v>1.1039159999999999</v>
      </c>
      <c r="L4052">
        <v>199.14510000000001</v>
      </c>
      <c r="M4052">
        <v>9.5655229999999994E-2</v>
      </c>
      <c r="N4052">
        <v>0</v>
      </c>
      <c r="O4052">
        <v>-0.99537019999999998</v>
      </c>
      <c r="P4052">
        <v>-0.14030580000000001</v>
      </c>
      <c r="Q4052">
        <v>0.1195297</v>
      </c>
      <c r="R4052">
        <v>-0.98286649999999998</v>
      </c>
      <c r="S4052">
        <v>-0.65208440000000001</v>
      </c>
      <c r="T4052">
        <v>-0.15501119999999999</v>
      </c>
      <c r="U4052">
        <v>-2.9806520000000001</v>
      </c>
      <c r="V4052">
        <v>0.23554610000000001</v>
      </c>
      <c r="W4052">
        <v>0.1251505</v>
      </c>
      <c r="X4052">
        <v>0.9637715</v>
      </c>
      <c r="Y4052">
        <v>0.30591819999999997</v>
      </c>
      <c r="Z4052">
        <v>4.9745270000000001E-2</v>
      </c>
      <c r="AA4052">
        <v>0.95075730000000003</v>
      </c>
      <c r="AB4052">
        <v>19</v>
      </c>
      <c r="AC4052">
        <v>-4.6508999999999698</v>
      </c>
      <c r="AD4052">
        <v>-1.1039206003269999</v>
      </c>
      <c r="AE4052">
        <v>-21.021699999999999</v>
      </c>
      <c r="AF4052">
        <v>6.6230839038794196</v>
      </c>
      <c r="AG4052">
        <v>-1.1039206003269999</v>
      </c>
      <c r="AH4052">
        <v>20.4266932628265</v>
      </c>
      <c r="AI4052">
        <v>92.942887622716796</v>
      </c>
      <c r="AJ4052">
        <v>72.035402321337003</v>
      </c>
      <c r="AK4052">
        <v>21.501945929223599</v>
      </c>
      <c r="AL4052">
        <v>82.810553376576095</v>
      </c>
      <c r="AM4052">
        <v>76.266115241010297</v>
      </c>
      <c r="AN4052">
        <v>1.00000005854385</v>
      </c>
    </row>
    <row r="4053" spans="1:40" x14ac:dyDescent="0.25">
      <c r="A4053" t="str">
        <f>"20190312164108658"</f>
        <v>20190312164108658</v>
      </c>
      <c r="B4053" t="str">
        <f>"1552380068650154"</f>
        <v>1552380068650154</v>
      </c>
      <c r="C4053" t="s">
        <v>40</v>
      </c>
      <c r="D4053">
        <v>5.8369099999999996</v>
      </c>
      <c r="E4053">
        <v>0.53214069999999902</v>
      </c>
      <c r="F4053" t="s">
        <v>41</v>
      </c>
      <c r="G4053">
        <v>-194.65199999999999</v>
      </c>
      <c r="H4053" s="1">
        <v>-4.58005999999999E-6</v>
      </c>
      <c r="I4053">
        <v>178.0206</v>
      </c>
      <c r="J4053">
        <v>-189.91300000000001</v>
      </c>
      <c r="K4053">
        <v>1.1040019999999999</v>
      </c>
      <c r="L4053">
        <v>198.9419</v>
      </c>
      <c r="M4053">
        <v>8.3477099999999999E-2</v>
      </c>
      <c r="N4053">
        <v>0</v>
      </c>
      <c r="O4053">
        <v>-0.99646659999999998</v>
      </c>
      <c r="P4053">
        <v>-0.14724899999999999</v>
      </c>
      <c r="Q4053">
        <v>0.11942410000000001</v>
      </c>
      <c r="R4053">
        <v>-0.98186340000000005</v>
      </c>
      <c r="S4053">
        <v>-0.66690059999999995</v>
      </c>
      <c r="T4053">
        <v>-0.15552079999999999</v>
      </c>
      <c r="U4053">
        <v>-2.9760279999999999</v>
      </c>
      <c r="V4053">
        <v>0.23052890000000001</v>
      </c>
      <c r="W4053">
        <v>0.12506199999999901</v>
      </c>
      <c r="X4053">
        <v>0.9649953</v>
      </c>
      <c r="Y4053">
        <v>0.29908679999999999</v>
      </c>
      <c r="Z4053">
        <v>5.0098360000000002E-2</v>
      </c>
      <c r="AA4053">
        <v>0.95290989999999998</v>
      </c>
      <c r="AB4053">
        <v>19</v>
      </c>
      <c r="AC4053">
        <v>-4.7390000000000301</v>
      </c>
      <c r="AD4053">
        <v>-1.1040065800600001</v>
      </c>
      <c r="AE4053">
        <v>-20.921299999999999</v>
      </c>
      <c r="AF4053">
        <v>6.4518932459996199</v>
      </c>
      <c r="AG4053">
        <v>-1.1040065800600001</v>
      </c>
      <c r="AH4053">
        <v>20.3986268678416</v>
      </c>
      <c r="AI4053">
        <v>92.953956840071001</v>
      </c>
      <c r="AJ4053">
        <v>72.448328356689302</v>
      </c>
      <c r="AK4053">
        <v>21.423112170738001</v>
      </c>
      <c r="AL4053">
        <v>82.815663807790202</v>
      </c>
      <c r="AM4053">
        <v>76.564350538964305</v>
      </c>
      <c r="AN4053">
        <v>1.00000000330065</v>
      </c>
    </row>
    <row r="4054" spans="1:40" x14ac:dyDescent="0.25">
      <c r="A4054" t="str">
        <f>"20190312164108680"</f>
        <v>20190312164108680</v>
      </c>
      <c r="B4054" t="str">
        <f>"1552380068670650"</f>
        <v>1552380068670650</v>
      </c>
      <c r="C4054" t="s">
        <v>40</v>
      </c>
      <c r="D4054">
        <v>5.930034</v>
      </c>
      <c r="E4054">
        <v>0.53198639999999997</v>
      </c>
      <c r="F4054" t="s">
        <v>41</v>
      </c>
      <c r="G4054">
        <v>-194.822</v>
      </c>
      <c r="H4054" s="1">
        <v>-4.4616389999999998E-6</v>
      </c>
      <c r="I4054">
        <v>177.584</v>
      </c>
      <c r="J4054">
        <v>-189.9101</v>
      </c>
      <c r="K4054">
        <v>1.1040730000000001</v>
      </c>
      <c r="L4054">
        <v>198.7508</v>
      </c>
      <c r="M4054">
        <v>7.2283040000000007E-2</v>
      </c>
      <c r="N4054">
        <v>0</v>
      </c>
      <c r="O4054">
        <v>-0.99734219999999896</v>
      </c>
      <c r="P4054">
        <v>-0.15456510000000001</v>
      </c>
      <c r="Q4054">
        <v>0.1209673</v>
      </c>
      <c r="R4054">
        <v>-0.98054929999999996</v>
      </c>
      <c r="S4054">
        <v>-0.683029199999999</v>
      </c>
      <c r="T4054">
        <v>-0.15360799999999999</v>
      </c>
      <c r="U4054">
        <v>-2.9716640000000001</v>
      </c>
      <c r="V4054">
        <v>0.2268599</v>
      </c>
      <c r="W4054">
        <v>0.1265985</v>
      </c>
      <c r="X4054">
        <v>0.96566430000000003</v>
      </c>
      <c r="Y4054">
        <v>0.29359069999999998</v>
      </c>
      <c r="Z4054">
        <v>4.9635770000000003E-2</v>
      </c>
      <c r="AA4054">
        <v>0.95464170000000004</v>
      </c>
      <c r="AB4054">
        <v>19</v>
      </c>
      <c r="AC4054">
        <v>-4.9119000000000002</v>
      </c>
      <c r="AD4054">
        <v>-1.1040774616389999</v>
      </c>
      <c r="AE4054">
        <v>-21.166799999999899</v>
      </c>
      <c r="AF4054">
        <v>6.4125594063418401</v>
      </c>
      <c r="AG4054">
        <v>-1.1040774616389999</v>
      </c>
      <c r="AH4054">
        <v>20.702915265607398</v>
      </c>
      <c r="AI4054">
        <v>92.9162316986382</v>
      </c>
      <c r="AJ4054">
        <v>72.790058582129902</v>
      </c>
      <c r="AK4054">
        <v>21.701396399219998</v>
      </c>
      <c r="AL4054">
        <v>82.7269239752749</v>
      </c>
      <c r="AM4054">
        <v>76.779452885991205</v>
      </c>
      <c r="AN4054">
        <v>1.0000000673623699</v>
      </c>
    </row>
    <row r="4055" spans="1:40" x14ac:dyDescent="0.25">
      <c r="A4055" t="str">
        <f>"20190312164108701"</f>
        <v>20190312164108701</v>
      </c>
      <c r="B4055" t="str">
        <f>"1552380068690170"</f>
        <v>1552380068690170</v>
      </c>
      <c r="C4055" t="s">
        <v>40</v>
      </c>
      <c r="D4055">
        <v>6.0262520000000004</v>
      </c>
      <c r="E4055">
        <v>0.53138759999999996</v>
      </c>
      <c r="F4055" t="s">
        <v>41</v>
      </c>
      <c r="G4055">
        <v>-194.71809999999999</v>
      </c>
      <c r="H4055" s="1">
        <v>-4.7094110000000003E-6</v>
      </c>
      <c r="I4055">
        <v>178.3663</v>
      </c>
      <c r="J4055">
        <v>-189.9091</v>
      </c>
      <c r="K4055">
        <v>1.104128</v>
      </c>
      <c r="L4055">
        <v>198.55500000000001</v>
      </c>
      <c r="M4055">
        <v>6.1005730000000001E-2</v>
      </c>
      <c r="N4055">
        <v>0</v>
      </c>
      <c r="O4055">
        <v>-0.99809650000000005</v>
      </c>
      <c r="P4055">
        <v>-0.1609575</v>
      </c>
      <c r="Q4055">
        <v>0.1230817</v>
      </c>
      <c r="R4055">
        <v>-0.97925689999999999</v>
      </c>
      <c r="S4055">
        <v>-0.70027159999999999</v>
      </c>
      <c r="T4055">
        <v>-0.1608067</v>
      </c>
      <c r="U4055">
        <v>-2.9689640000000002</v>
      </c>
      <c r="V4055">
        <v>0.2222269</v>
      </c>
      <c r="W4055">
        <v>0.12871160000000001</v>
      </c>
      <c r="X4055">
        <v>0.96646189999999998</v>
      </c>
      <c r="Y4055">
        <v>0.28820240000000003</v>
      </c>
      <c r="Z4055">
        <v>5.2071859999999998E-2</v>
      </c>
      <c r="AA4055">
        <v>0.95615269999999997</v>
      </c>
      <c r="AB4055">
        <v>19</v>
      </c>
      <c r="AC4055">
        <v>-4.8089999999999904</v>
      </c>
      <c r="AD4055">
        <v>-1.1041327094110001</v>
      </c>
      <c r="AE4055">
        <v>-20.188700000000001</v>
      </c>
      <c r="AF4055">
        <v>6.0146944119527399</v>
      </c>
      <c r="AG4055">
        <v>-1.1041327094110001</v>
      </c>
      <c r="AH4055">
        <v>19.801657373578902</v>
      </c>
      <c r="AI4055">
        <v>93.053988076606004</v>
      </c>
      <c r="AJ4055">
        <v>73.103997607761599</v>
      </c>
      <c r="AK4055">
        <v>20.724412962730199</v>
      </c>
      <c r="AL4055">
        <v>82.604853322778695</v>
      </c>
      <c r="AM4055">
        <v>77.050576530493899</v>
      </c>
      <c r="AN4055">
        <v>1.0000000376048801</v>
      </c>
    </row>
    <row r="4056" spans="1:40" x14ac:dyDescent="0.25">
      <c r="A4056" t="str">
        <f>"20190312164108725"</f>
        <v>20190312164108725</v>
      </c>
      <c r="B4056" t="str">
        <f>"1552380068720427"</f>
        <v>1552380068720427</v>
      </c>
      <c r="C4056" t="s">
        <v>40</v>
      </c>
      <c r="D4056">
        <v>6.1583220000000001</v>
      </c>
      <c r="E4056">
        <v>0.5300878</v>
      </c>
      <c r="F4056" t="s">
        <v>41</v>
      </c>
      <c r="G4056">
        <v>-194.9554</v>
      </c>
      <c r="H4056" s="1">
        <v>-4.4956559999999996E-6</v>
      </c>
      <c r="I4056">
        <v>177.61449999999999</v>
      </c>
      <c r="J4056">
        <v>-189.91030000000001</v>
      </c>
      <c r="K4056">
        <v>1.1041669999999999</v>
      </c>
      <c r="L4056">
        <v>198.34719999999999</v>
      </c>
      <c r="M4056">
        <v>4.9249349999999997E-2</v>
      </c>
      <c r="N4056">
        <v>0</v>
      </c>
      <c r="O4056">
        <v>-0.99874689999999999</v>
      </c>
      <c r="P4056">
        <v>-0.1655181</v>
      </c>
      <c r="Q4056">
        <v>0.1218776</v>
      </c>
      <c r="R4056">
        <v>-0.97864689999999999</v>
      </c>
      <c r="S4056">
        <v>-0.71467590000000003</v>
      </c>
      <c r="T4056">
        <v>-0.1563745</v>
      </c>
      <c r="U4056">
        <v>-2.9657290000000001</v>
      </c>
      <c r="V4056">
        <v>0.21531049999999999</v>
      </c>
      <c r="W4056">
        <v>0.12753219999999901</v>
      </c>
      <c r="X4056">
        <v>0.96818230000000005</v>
      </c>
      <c r="Y4056">
        <v>0.2815647</v>
      </c>
      <c r="Z4056">
        <v>5.0768029999999999E-2</v>
      </c>
      <c r="AA4056">
        <v>0.95819829999999995</v>
      </c>
      <c r="AB4056">
        <v>20</v>
      </c>
      <c r="AC4056">
        <v>-5.0450999999999899</v>
      </c>
      <c r="AD4056">
        <v>-1.10417149565599</v>
      </c>
      <c r="AE4056">
        <v>-20.732699999999902</v>
      </c>
      <c r="AF4056">
        <v>6.0439054163237804</v>
      </c>
      <c r="AG4056">
        <v>-1.10417149565599</v>
      </c>
      <c r="AH4056">
        <v>20.404422575630999</v>
      </c>
      <c r="AI4056">
        <v>92.970184793796506</v>
      </c>
      <c r="AJ4056">
        <v>73.500412802175106</v>
      </c>
      <c r="AK4056">
        <v>21.309351187171501</v>
      </c>
      <c r="AL4056">
        <v>82.672989384490506</v>
      </c>
      <c r="AM4056">
        <v>77.462232875955706</v>
      </c>
      <c r="AN4056">
        <v>1.0000000197401899</v>
      </c>
    </row>
    <row r="4057" spans="1:40" x14ac:dyDescent="0.25">
      <c r="A4057" t="str">
        <f>"20190312164108748"</f>
        <v>20190312164108748</v>
      </c>
      <c r="B4057" t="str">
        <f>"1552380068739946"</f>
        <v>1552380068739946</v>
      </c>
      <c r="C4057" t="s">
        <v>40</v>
      </c>
      <c r="D4057">
        <v>5.8857939999999997</v>
      </c>
      <c r="E4057">
        <v>0.52921260000000003</v>
      </c>
      <c r="F4057" t="s">
        <v>41</v>
      </c>
      <c r="G4057">
        <v>-194.8494</v>
      </c>
      <c r="H4057" s="1">
        <v>-4.617998E-6</v>
      </c>
      <c r="I4057">
        <v>178.0292</v>
      </c>
      <c r="J4057">
        <v>-189.9136</v>
      </c>
      <c r="K4057">
        <v>1.104182</v>
      </c>
      <c r="L4057">
        <v>198.137</v>
      </c>
      <c r="M4057">
        <v>3.757783E-2</v>
      </c>
      <c r="N4057">
        <v>0</v>
      </c>
      <c r="O4057">
        <v>-0.99925509999999995</v>
      </c>
      <c r="P4057">
        <v>-0.16940820000000001</v>
      </c>
      <c r="Q4057">
        <v>0.11971999999999999</v>
      </c>
      <c r="R4057">
        <v>-0.97824739999999999</v>
      </c>
      <c r="S4057">
        <v>-0.72044370000000002</v>
      </c>
      <c r="T4057">
        <v>-0.1610597</v>
      </c>
      <c r="U4057">
        <v>-2.9636689999999999</v>
      </c>
      <c r="V4057">
        <v>0.20780100000000001</v>
      </c>
      <c r="W4057">
        <v>0.12540080000000001</v>
      </c>
      <c r="X4057">
        <v>0.97009970000000001</v>
      </c>
      <c r="Y4057">
        <v>0.27223570000000002</v>
      </c>
      <c r="Z4057">
        <v>5.242103E-2</v>
      </c>
      <c r="AA4057">
        <v>0.96080160000000003</v>
      </c>
      <c r="AB4057">
        <v>20</v>
      </c>
      <c r="AC4057">
        <v>-4.9358000000000004</v>
      </c>
      <c r="AD4057">
        <v>-1.104186617998</v>
      </c>
      <c r="AE4057">
        <v>-20.107800000000001</v>
      </c>
      <c r="AF4057">
        <v>5.6718189751275601</v>
      </c>
      <c r="AG4057">
        <v>-1.104186617998</v>
      </c>
      <c r="AH4057">
        <v>19.851652811654599</v>
      </c>
      <c r="AI4057">
        <v>93.061367442439604</v>
      </c>
      <c r="AJ4057">
        <v>74.054822447296601</v>
      </c>
      <c r="AK4057">
        <v>20.675513970115901</v>
      </c>
      <c r="AL4057">
        <v>82.796098102839807</v>
      </c>
      <c r="AM4057">
        <v>77.909619729101394</v>
      </c>
      <c r="AN4057">
        <v>1.00000002209086</v>
      </c>
    </row>
    <row r="4058" spans="1:40" x14ac:dyDescent="0.25">
      <c r="A4058" t="str">
        <f>"20190312164108771"</f>
        <v>20190312164108771</v>
      </c>
      <c r="B4058" t="str">
        <f>"1552380068760442"</f>
        <v>1552380068760442</v>
      </c>
      <c r="C4058" t="s">
        <v>40</v>
      </c>
      <c r="D4058">
        <v>5.858155</v>
      </c>
      <c r="E4058">
        <v>0.52876780000000001</v>
      </c>
      <c r="F4058" t="s">
        <v>41</v>
      </c>
      <c r="G4058">
        <v>-194.71469999999999</v>
      </c>
      <c r="H4058" s="1">
        <v>-4.7975810000000001E-6</v>
      </c>
      <c r="I4058">
        <v>178.62719999999999</v>
      </c>
      <c r="J4058">
        <v>-189.9188</v>
      </c>
      <c r="K4058">
        <v>1.1041989999999999</v>
      </c>
      <c r="L4058">
        <v>197.93430000000001</v>
      </c>
      <c r="M4058">
        <v>2.6541720000000001E-2</v>
      </c>
      <c r="N4058">
        <v>0</v>
      </c>
      <c r="O4058">
        <v>-0.99961</v>
      </c>
      <c r="P4058">
        <v>-0.173262</v>
      </c>
      <c r="Q4058">
        <v>0.1186444</v>
      </c>
      <c r="R4058">
        <v>-0.97770330000000005</v>
      </c>
      <c r="S4058">
        <v>-0.72866819999999999</v>
      </c>
      <c r="T4058">
        <v>-0.1675837</v>
      </c>
      <c r="U4058">
        <v>-2.9610289999999999</v>
      </c>
      <c r="V4058">
        <v>0.2008722</v>
      </c>
      <c r="W4058">
        <v>0.1243481</v>
      </c>
      <c r="X4058">
        <v>0.97169329999999998</v>
      </c>
      <c r="Y4058">
        <v>0.26428869999999999</v>
      </c>
      <c r="Z4058">
        <v>5.4658640000000001E-2</v>
      </c>
      <c r="AA4058">
        <v>0.96289349999999996</v>
      </c>
      <c r="AB4058">
        <v>20</v>
      </c>
      <c r="AC4058">
        <v>-4.7958999999999801</v>
      </c>
      <c r="AD4058">
        <v>-1.104203797581</v>
      </c>
      <c r="AE4058">
        <v>-19.307099999999998</v>
      </c>
      <c r="AF4058">
        <v>5.2903747613150403</v>
      </c>
      <c r="AG4058">
        <v>-1.104203797581</v>
      </c>
      <c r="AH4058">
        <v>19.114115015562199</v>
      </c>
      <c r="AI4058">
        <v>93.186699231521899</v>
      </c>
      <c r="AJ4058">
        <v>74.529059449415797</v>
      </c>
      <c r="AK4058">
        <v>19.863451965101401</v>
      </c>
      <c r="AL4058">
        <v>82.856888908486695</v>
      </c>
      <c r="AM4058">
        <v>78.320118914849601</v>
      </c>
      <c r="AN4058">
        <v>0.99999997998566903</v>
      </c>
    </row>
    <row r="4059" spans="1:40" x14ac:dyDescent="0.25">
      <c r="A4059" t="str">
        <f>"20190312164108791"</f>
        <v>20190312164108791</v>
      </c>
      <c r="B4059" t="str">
        <f>"1552380068779962"</f>
        <v>1552380068779962</v>
      </c>
      <c r="C4059" t="s">
        <v>40</v>
      </c>
      <c r="D4059">
        <v>5.9285959999999998</v>
      </c>
      <c r="E4059">
        <v>0.52782309999999999</v>
      </c>
      <c r="F4059" t="s">
        <v>41</v>
      </c>
      <c r="G4059">
        <v>-194.66579999999999</v>
      </c>
      <c r="H4059" s="1">
        <v>-4.8737849999999996E-6</v>
      </c>
      <c r="I4059">
        <v>178.8766</v>
      </c>
      <c r="J4059">
        <v>-189.9256</v>
      </c>
      <c r="K4059">
        <v>1.104258</v>
      </c>
      <c r="L4059">
        <v>197.74080000000001</v>
      </c>
      <c r="M4059">
        <v>1.6227519999999999E-2</v>
      </c>
      <c r="N4059">
        <v>0</v>
      </c>
      <c r="O4059">
        <v>-0.99983169999999999</v>
      </c>
      <c r="P4059">
        <v>-0.1756161</v>
      </c>
      <c r="Q4059">
        <v>0.1189653</v>
      </c>
      <c r="R4059">
        <v>-0.97724460000000002</v>
      </c>
      <c r="S4059">
        <v>-0.73693850000000005</v>
      </c>
      <c r="T4059">
        <v>-0.17142109999999999</v>
      </c>
      <c r="U4059">
        <v>-2.9585880000000002</v>
      </c>
      <c r="V4059">
        <v>0.19315560000000001</v>
      </c>
      <c r="W4059">
        <v>0.1247162</v>
      </c>
      <c r="X4059">
        <v>0.97320960000000001</v>
      </c>
      <c r="Y4059">
        <v>0.25703480000000001</v>
      </c>
      <c r="Z4059">
        <v>5.6007109999999999E-2</v>
      </c>
      <c r="AA4059">
        <v>0.96477789999999997</v>
      </c>
      <c r="AB4059">
        <v>20</v>
      </c>
      <c r="AC4059">
        <v>-4.7401999999999802</v>
      </c>
      <c r="AD4059">
        <v>-1.104262873785</v>
      </c>
      <c r="AE4059">
        <v>-18.8642</v>
      </c>
      <c r="AF4059">
        <v>5.02949549574413</v>
      </c>
      <c r="AG4059">
        <v>-1.104262873785</v>
      </c>
      <c r="AH4059">
        <v>18.7244401806702</v>
      </c>
      <c r="AI4059">
        <v>93.259790664500997</v>
      </c>
      <c r="AJ4059">
        <v>74.964898587107299</v>
      </c>
      <c r="AK4059">
        <v>19.419574699658799</v>
      </c>
      <c r="AL4059">
        <v>82.835633520449093</v>
      </c>
      <c r="AM4059">
        <v>78.7742307742772</v>
      </c>
      <c r="AN4059">
        <v>1.0000000709429699</v>
      </c>
    </row>
    <row r="4060" spans="1:40" x14ac:dyDescent="0.25">
      <c r="A4060" t="str">
        <f>"20190312164108815"</f>
        <v>20190312164108815</v>
      </c>
      <c r="B4060" t="str">
        <f>"1552380068810218"</f>
        <v>1552380068810218</v>
      </c>
      <c r="C4060" t="s">
        <v>40</v>
      </c>
      <c r="D4060">
        <v>6.2470019999999904</v>
      </c>
      <c r="E4060">
        <v>0.52676869999999998</v>
      </c>
      <c r="F4060" t="s">
        <v>41</v>
      </c>
      <c r="G4060">
        <v>-194.64930000000001</v>
      </c>
      <c r="H4060" s="1">
        <v>-4.8222229999999998E-6</v>
      </c>
      <c r="I4060">
        <v>178.7337</v>
      </c>
      <c r="J4060">
        <v>-189.9348</v>
      </c>
      <c r="K4060">
        <v>1.104357</v>
      </c>
      <c r="L4060">
        <v>197.53399999999999</v>
      </c>
      <c r="M4060">
        <v>5.4560919999999897E-3</v>
      </c>
      <c r="N4060">
        <v>0</v>
      </c>
      <c r="O4060">
        <v>-0.99994939999999999</v>
      </c>
      <c r="P4060">
        <v>-0.1771192</v>
      </c>
      <c r="Q4060">
        <v>0.1197913</v>
      </c>
      <c r="R4060">
        <v>-0.97687219999999997</v>
      </c>
      <c r="S4060">
        <v>-0.73529049999999996</v>
      </c>
      <c r="T4060">
        <v>-0.1718895</v>
      </c>
      <c r="U4060">
        <v>-2.9586489999999999</v>
      </c>
      <c r="V4060">
        <v>0.18412999999999999</v>
      </c>
      <c r="W4060">
        <v>0.12561459999999999</v>
      </c>
      <c r="X4060">
        <v>0.97484210000000004</v>
      </c>
      <c r="Y4060">
        <v>0.24609539999999999</v>
      </c>
      <c r="Z4060">
        <v>5.6253560000000001E-2</v>
      </c>
      <c r="AA4060">
        <v>0.96761180000000002</v>
      </c>
      <c r="AB4060">
        <v>20</v>
      </c>
      <c r="AC4060">
        <v>-4.7145000000000099</v>
      </c>
      <c r="AD4060">
        <v>-1.1043618222229901</v>
      </c>
      <c r="AE4060">
        <v>-18.8003</v>
      </c>
      <c r="AF4060">
        <v>4.8014221275795403</v>
      </c>
      <c r="AG4060">
        <v>-1.1043618222229901</v>
      </c>
      <c r="AH4060">
        <v>18.713544101357801</v>
      </c>
      <c r="AI4060">
        <v>93.271609988174305</v>
      </c>
      <c r="AJ4060">
        <v>75.609764605870396</v>
      </c>
      <c r="AK4060">
        <v>19.351227411072799</v>
      </c>
      <c r="AL4060">
        <v>82.783750485881001</v>
      </c>
      <c r="AM4060">
        <v>79.303877495373598</v>
      </c>
      <c r="AN4060">
        <v>1.00000000228278</v>
      </c>
    </row>
    <row r="4061" spans="1:40" x14ac:dyDescent="0.25">
      <c r="A4061" t="str">
        <f>"20190312164108837"</f>
        <v>20190312164108837</v>
      </c>
      <c r="B4061" t="str">
        <f>"1552380068829738"</f>
        <v>1552380068829738</v>
      </c>
      <c r="C4061" t="s">
        <v>40</v>
      </c>
      <c r="D4061">
        <v>5.9858169999999999</v>
      </c>
      <c r="E4061">
        <v>0.52607079999999995</v>
      </c>
      <c r="F4061" t="s">
        <v>41</v>
      </c>
      <c r="G4061">
        <v>-194.72909999999999</v>
      </c>
      <c r="H4061" s="1">
        <v>-4.645462E-6</v>
      </c>
      <c r="I4061">
        <v>178.17269999999999</v>
      </c>
      <c r="J4061">
        <v>-189.94589999999999</v>
      </c>
      <c r="K4061">
        <v>1.104487</v>
      </c>
      <c r="L4061">
        <v>197.32499999999999</v>
      </c>
      <c r="M4061">
        <v>-5.1407390000000001E-3</v>
      </c>
      <c r="N4061">
        <v>0</v>
      </c>
      <c r="O4061">
        <v>-0.99995199999999995</v>
      </c>
      <c r="P4061">
        <v>-0.17876839999999999</v>
      </c>
      <c r="Q4061">
        <v>0.1208014</v>
      </c>
      <c r="R4061">
        <v>-0.97644690000000001</v>
      </c>
      <c r="S4061">
        <v>-0.73268129999999998</v>
      </c>
      <c r="T4061">
        <v>-0.16877200000000001</v>
      </c>
      <c r="U4061">
        <v>-2.9588619999999999</v>
      </c>
      <c r="V4061">
        <v>0.17540169999999999</v>
      </c>
      <c r="W4061">
        <v>0.12669729999999901</v>
      </c>
      <c r="X4061">
        <v>0.97631040000000002</v>
      </c>
      <c r="Y4061">
        <v>0.23500180000000001</v>
      </c>
      <c r="Z4061">
        <v>5.5315759999999999E-2</v>
      </c>
      <c r="AA4061">
        <v>0.97041960000000005</v>
      </c>
      <c r="AB4061">
        <v>20</v>
      </c>
      <c r="AC4061">
        <v>-4.7831999999999901</v>
      </c>
      <c r="AD4061">
        <v>-1.104491645462</v>
      </c>
      <c r="AE4061">
        <v>-19.1523</v>
      </c>
      <c r="AF4061">
        <v>4.6700570353107702</v>
      </c>
      <c r="AG4061">
        <v>-1.104491645462</v>
      </c>
      <c r="AH4061">
        <v>19.116792882197601</v>
      </c>
      <c r="AI4061">
        <v>93.212385624678902</v>
      </c>
      <c r="AJ4061">
        <v>76.272037652892905</v>
      </c>
      <c r="AK4061">
        <v>19.709924013267798</v>
      </c>
      <c r="AL4061">
        <v>82.721216558424103</v>
      </c>
      <c r="AM4061">
        <v>79.815023175839698</v>
      </c>
      <c r="AN4061">
        <v>0.99999997966916898</v>
      </c>
    </row>
    <row r="4062" spans="1:40" x14ac:dyDescent="0.25">
      <c r="A4062" t="str">
        <f>"20190312164108859"</f>
        <v>20190312164108859</v>
      </c>
      <c r="B4062" t="str">
        <f>"1552380068850237"</f>
        <v>1552380068850237</v>
      </c>
      <c r="C4062" t="s">
        <v>40</v>
      </c>
      <c r="D4062">
        <v>5.9180320000000002</v>
      </c>
      <c r="E4062">
        <v>0.52543969999999995</v>
      </c>
      <c r="F4062" t="s">
        <v>41</v>
      </c>
      <c r="G4062">
        <v>-194.85570000000001</v>
      </c>
      <c r="H4062" s="1">
        <v>-4.4480770000000002E-6</v>
      </c>
      <c r="I4062">
        <v>177.5266</v>
      </c>
      <c r="J4062">
        <v>-189.95859999999999</v>
      </c>
      <c r="K4062">
        <v>1.104636</v>
      </c>
      <c r="L4062">
        <v>197.11959999999999</v>
      </c>
      <c r="M4062">
        <v>-1.518774E-2</v>
      </c>
      <c r="N4062">
        <v>0</v>
      </c>
      <c r="O4062">
        <v>-0.99985089999999999</v>
      </c>
      <c r="P4062">
        <v>-0.18092349999999999</v>
      </c>
      <c r="Q4062">
        <v>0.12218809999999999</v>
      </c>
      <c r="R4062">
        <v>-0.97587760000000001</v>
      </c>
      <c r="S4062">
        <v>-0.73367309999999997</v>
      </c>
      <c r="T4062">
        <v>-0.16504369999999999</v>
      </c>
      <c r="U4062">
        <v>-2.958466</v>
      </c>
      <c r="V4062">
        <v>0.16770350000000001</v>
      </c>
      <c r="W4062">
        <v>0.12814690000000001</v>
      </c>
      <c r="X4062">
        <v>0.97747320000000004</v>
      </c>
      <c r="Y4062">
        <v>0.22557759999999999</v>
      </c>
      <c r="Z4062">
        <v>5.415524E-2</v>
      </c>
      <c r="AA4062">
        <v>0.97271879999999999</v>
      </c>
      <c r="AB4062">
        <v>20</v>
      </c>
      <c r="AC4062">
        <v>-4.8971000000000204</v>
      </c>
      <c r="AD4062">
        <v>-1.104640448077</v>
      </c>
      <c r="AE4062">
        <v>-19.5929999999999</v>
      </c>
      <c r="AF4062">
        <v>4.5852338907438703</v>
      </c>
      <c r="AG4062">
        <v>-1.104640448077</v>
      </c>
      <c r="AH4062">
        <v>19.606461048130601</v>
      </c>
      <c r="AI4062">
        <v>93.1401210580363</v>
      </c>
      <c r="AJ4062">
        <v>76.8371779372346</v>
      </c>
      <c r="AK4062">
        <v>20.165760962190799</v>
      </c>
      <c r="AL4062">
        <v>82.637477959203906</v>
      </c>
      <c r="AM4062">
        <v>80.264639502174902</v>
      </c>
      <c r="AN4062">
        <v>0.99999997430504906</v>
      </c>
    </row>
    <row r="4063" spans="1:40" x14ac:dyDescent="0.25">
      <c r="A4063" t="str">
        <f>"20190312164108881"</f>
        <v>20190312164108881</v>
      </c>
      <c r="B4063" t="str">
        <f>"1552380068869754"</f>
        <v>1552380068869754</v>
      </c>
      <c r="C4063" t="s">
        <v>40</v>
      </c>
      <c r="D4063">
        <v>5.9102399999999999</v>
      </c>
      <c r="E4063">
        <v>0.52489019999999897</v>
      </c>
      <c r="F4063" t="s">
        <v>41</v>
      </c>
      <c r="G4063">
        <v>-194.97739999999999</v>
      </c>
      <c r="H4063" s="1">
        <v>-4.2539339999999997E-6</v>
      </c>
      <c r="I4063">
        <v>176.89269999999999</v>
      </c>
      <c r="J4063">
        <v>-189.9726</v>
      </c>
      <c r="K4063">
        <v>1.1048070000000001</v>
      </c>
      <c r="L4063">
        <v>196.9194</v>
      </c>
      <c r="M4063">
        <v>-2.4608189999999999E-2</v>
      </c>
      <c r="N4063">
        <v>0</v>
      </c>
      <c r="O4063">
        <v>-0.99966440000000001</v>
      </c>
      <c r="P4063">
        <v>-0.1822076</v>
      </c>
      <c r="Q4063">
        <v>0.123770699999999</v>
      </c>
      <c r="R4063">
        <v>-0.97543919999999995</v>
      </c>
      <c r="S4063">
        <v>-0.73402400000000001</v>
      </c>
      <c r="T4063">
        <v>-0.1615615</v>
      </c>
      <c r="U4063">
        <v>-2.9583279999999998</v>
      </c>
      <c r="V4063">
        <v>0.159733399999999</v>
      </c>
      <c r="W4063">
        <v>0.12979769999999999</v>
      </c>
      <c r="X4063">
        <v>0.97858970000000001</v>
      </c>
      <c r="Y4063">
        <v>0.2165224</v>
      </c>
      <c r="Z4063">
        <v>5.3057689999999998E-2</v>
      </c>
      <c r="AA4063">
        <v>0.9748348</v>
      </c>
      <c r="AB4063">
        <v>20</v>
      </c>
      <c r="AC4063">
        <v>-5.0047999999999799</v>
      </c>
      <c r="AD4063">
        <v>-1.10481125393399</v>
      </c>
      <c r="AE4063">
        <v>-20.026700000000002</v>
      </c>
      <c r="AF4063">
        <v>4.49756408938027</v>
      </c>
      <c r="AG4063">
        <v>-1.10481125393399</v>
      </c>
      <c r="AH4063">
        <v>20.0862611434648</v>
      </c>
      <c r="AI4063">
        <v>93.072360292754496</v>
      </c>
      <c r="AJ4063">
        <v>77.378939391330405</v>
      </c>
      <c r="AK4063">
        <v>20.613262171921399</v>
      </c>
      <c r="AL4063">
        <v>82.542097677142905</v>
      </c>
      <c r="AM4063">
        <v>80.729471071640205</v>
      </c>
      <c r="AN4063">
        <v>1.00000000147347</v>
      </c>
    </row>
    <row r="4064" spans="1:40" x14ac:dyDescent="0.25">
      <c r="A4064" t="str">
        <f>"20190312164108903"</f>
        <v>20190312164108903</v>
      </c>
      <c r="B4064" t="str">
        <f>"1552380068890251"</f>
        <v>1552380068890251</v>
      </c>
      <c r="C4064" t="s">
        <v>40</v>
      </c>
      <c r="D4064">
        <v>5.9917410000000002</v>
      </c>
      <c r="E4064">
        <v>0.52433439999999998</v>
      </c>
      <c r="F4064" t="s">
        <v>41</v>
      </c>
      <c r="G4064">
        <v>-195.1354</v>
      </c>
      <c r="H4064" s="1">
        <v>-3.9909640000000003E-6</v>
      </c>
      <c r="I4064">
        <v>176.0376</v>
      </c>
      <c r="J4064">
        <v>-189.98820000000001</v>
      </c>
      <c r="K4064">
        <v>1.104959</v>
      </c>
      <c r="L4064">
        <v>196.71780000000001</v>
      </c>
      <c r="M4064">
        <v>-3.3754659999999999E-2</v>
      </c>
      <c r="N4064">
        <v>0</v>
      </c>
      <c r="O4064">
        <v>-0.99939809999999996</v>
      </c>
      <c r="P4064">
        <v>-0.18235119999999999</v>
      </c>
      <c r="Q4064">
        <v>0.12388639999999999</v>
      </c>
      <c r="R4064">
        <v>-0.97539759999999998</v>
      </c>
      <c r="S4064">
        <v>-0.73152159999999999</v>
      </c>
      <c r="T4064">
        <v>-0.15654299999999999</v>
      </c>
      <c r="U4064">
        <v>-2.9587859999999999</v>
      </c>
      <c r="V4064">
        <v>0.1508555</v>
      </c>
      <c r="W4064">
        <v>0.12998489999999999</v>
      </c>
      <c r="X4064">
        <v>0.97997270000000003</v>
      </c>
      <c r="Y4064">
        <v>0.206787</v>
      </c>
      <c r="Z4064">
        <v>5.1445669999999999E-2</v>
      </c>
      <c r="AA4064">
        <v>0.97703249999999997</v>
      </c>
      <c r="AB4064">
        <v>20</v>
      </c>
      <c r="AC4064">
        <v>-5.14719999999999</v>
      </c>
      <c r="AD4064">
        <v>-1.104962990964</v>
      </c>
      <c r="AE4064">
        <v>-20.680199999999999</v>
      </c>
      <c r="AF4064">
        <v>4.43427041760199</v>
      </c>
      <c r="AG4064">
        <v>-1.104962990964</v>
      </c>
      <c r="AH4064">
        <v>20.786281799179999</v>
      </c>
      <c r="AI4064">
        <v>92.976041586938805</v>
      </c>
      <c r="AJ4064">
        <v>77.957784378362902</v>
      </c>
      <c r="AK4064">
        <v>21.282697394426801</v>
      </c>
      <c r="AL4064">
        <v>82.531280061536194</v>
      </c>
      <c r="AM4064">
        <v>81.248670670033505</v>
      </c>
      <c r="AN4064">
        <v>0.99999997442677402</v>
      </c>
    </row>
    <row r="4065" spans="1:40" x14ac:dyDescent="0.25">
      <c r="A4065" t="str">
        <f>"20190312164108927"</f>
        <v>20190312164108927</v>
      </c>
      <c r="B4065" t="str">
        <f>"1552380068920507"</f>
        <v>1552380068920507</v>
      </c>
      <c r="C4065" t="s">
        <v>40</v>
      </c>
      <c r="D4065">
        <v>5.9645039999999998</v>
      </c>
      <c r="E4065">
        <v>0.52357159999999903</v>
      </c>
      <c r="F4065" t="s">
        <v>41</v>
      </c>
      <c r="G4065">
        <v>-195.18190000000001</v>
      </c>
      <c r="H4065" s="1">
        <v>-3.8562499999999997E-6</v>
      </c>
      <c r="I4065">
        <v>175.61750000000001</v>
      </c>
      <c r="J4065">
        <v>-190.00720000000001</v>
      </c>
      <c r="K4065">
        <v>1.1051139999999999</v>
      </c>
      <c r="L4065">
        <v>196.49340000000001</v>
      </c>
      <c r="M4065">
        <v>-4.351174E-2</v>
      </c>
      <c r="N4065">
        <v>0</v>
      </c>
      <c r="O4065">
        <v>-0.99902170000000001</v>
      </c>
      <c r="P4065">
        <v>-0.1835833</v>
      </c>
      <c r="Q4065">
        <v>0.1225063</v>
      </c>
      <c r="R4065">
        <v>-0.9753406</v>
      </c>
      <c r="S4065">
        <v>-0.72837830000000003</v>
      </c>
      <c r="T4065">
        <v>-0.15496190000000001</v>
      </c>
      <c r="U4065">
        <v>-2.959152</v>
      </c>
      <c r="V4065">
        <v>0.142429</v>
      </c>
      <c r="W4065">
        <v>0.12866330000000001</v>
      </c>
      <c r="X4065">
        <v>0.98140700000000003</v>
      </c>
      <c r="Y4065">
        <v>0.1962217</v>
      </c>
      <c r="Z4065">
        <v>5.0954680000000002E-2</v>
      </c>
      <c r="AA4065">
        <v>0.97923479999999996</v>
      </c>
      <c r="AB4065">
        <v>20</v>
      </c>
      <c r="AC4065">
        <v>-5.1746999999999996</v>
      </c>
      <c r="AD4065">
        <v>-1.1051178562499999</v>
      </c>
      <c r="AE4065">
        <v>-20.875900000000001</v>
      </c>
      <c r="AF4065">
        <v>4.2502025557907697</v>
      </c>
      <c r="AG4065">
        <v>-1.1051178562499999</v>
      </c>
      <c r="AH4065">
        <v>21.0257833955609</v>
      </c>
      <c r="AI4065">
        <v>92.949163004639601</v>
      </c>
      <c r="AJ4065">
        <v>78.5720863710158</v>
      </c>
      <c r="AK4065">
        <v>21.479503593856499</v>
      </c>
      <c r="AL4065">
        <v>82.607643500359799</v>
      </c>
      <c r="AM4065">
        <v>81.742466374025696</v>
      </c>
      <c r="AN4065">
        <v>0.999999982228444</v>
      </c>
    </row>
    <row r="4066" spans="1:40" x14ac:dyDescent="0.25">
      <c r="A4066" t="str">
        <f>"20190312164108948"</f>
        <v>20190312164108948</v>
      </c>
      <c r="B4066" t="str">
        <f>"1552380068940026"</f>
        <v>1552380068940026</v>
      </c>
      <c r="C4066" t="s">
        <v>40</v>
      </c>
      <c r="D4066">
        <v>5.8979339999999896</v>
      </c>
      <c r="E4066">
        <v>0.52303049999999995</v>
      </c>
      <c r="F4066" t="s">
        <v>41</v>
      </c>
      <c r="G4066">
        <v>-194.96270000000001</v>
      </c>
      <c r="H4066" s="1">
        <v>-4.0458840000000001E-6</v>
      </c>
      <c r="I4066">
        <v>176.28899999999999</v>
      </c>
      <c r="J4066">
        <v>-190.02590000000001</v>
      </c>
      <c r="K4066">
        <v>1.1052770000000001</v>
      </c>
      <c r="L4066">
        <v>196.28880000000001</v>
      </c>
      <c r="M4066">
        <v>-5.1952020000000002E-2</v>
      </c>
      <c r="N4066">
        <v>0</v>
      </c>
      <c r="O4066">
        <v>-0.99861940000000005</v>
      </c>
      <c r="P4066">
        <v>-0.1856071</v>
      </c>
      <c r="Q4066">
        <v>0.1220778</v>
      </c>
      <c r="R4066">
        <v>-0.97501130000000003</v>
      </c>
      <c r="S4066">
        <v>-0.72587590000000002</v>
      </c>
      <c r="T4066">
        <v>-0.16187860000000001</v>
      </c>
      <c r="U4066">
        <v>-2.959549</v>
      </c>
      <c r="V4066">
        <v>0.13609669999999999</v>
      </c>
      <c r="W4066">
        <v>0.12826989999999999</v>
      </c>
      <c r="X4066">
        <v>0.98235660000000002</v>
      </c>
      <c r="Y4066">
        <v>0.18708830000000001</v>
      </c>
      <c r="Z4066">
        <v>5.3236529999999997E-2</v>
      </c>
      <c r="AA4066">
        <v>0.98089950000000004</v>
      </c>
      <c r="AB4066">
        <v>20</v>
      </c>
      <c r="AC4066">
        <v>-4.9367999999999999</v>
      </c>
      <c r="AD4066">
        <v>-1.1052810458839999</v>
      </c>
      <c r="AE4066">
        <v>-19.9998</v>
      </c>
      <c r="AF4066">
        <v>3.8799021813523402</v>
      </c>
      <c r="AG4066">
        <v>-1.1052810458839999</v>
      </c>
      <c r="AH4066">
        <v>20.171206486595398</v>
      </c>
      <c r="AI4066">
        <v>93.080036802571797</v>
      </c>
      <c r="AJ4066">
        <v>79.1122158543008</v>
      </c>
      <c r="AK4066">
        <v>20.570679576818101</v>
      </c>
      <c r="AL4066">
        <v>82.630372007799807</v>
      </c>
      <c r="AM4066">
        <v>82.112391601776196</v>
      </c>
      <c r="AN4066">
        <v>0.99999998428022896</v>
      </c>
    </row>
    <row r="4067" spans="1:40" x14ac:dyDescent="0.25">
      <c r="A4067" t="str">
        <f>"20190312164108972"</f>
        <v>20190312164108972</v>
      </c>
      <c r="B4067" t="str">
        <f>"1552380068960522"</f>
        <v>1552380068960522</v>
      </c>
      <c r="C4067" t="s">
        <v>40</v>
      </c>
      <c r="D4067">
        <v>5.9592499999999999</v>
      </c>
      <c r="E4067">
        <v>0.51093420000000001</v>
      </c>
      <c r="F4067" t="s">
        <v>41</v>
      </c>
      <c r="G4067">
        <v>-194.89500000000001</v>
      </c>
      <c r="H4067" s="1">
        <v>-4.0767670000000002E-6</v>
      </c>
      <c r="I4067">
        <v>176.41499999999999</v>
      </c>
      <c r="J4067">
        <v>-190.04660000000001</v>
      </c>
      <c r="K4067">
        <v>1.1055029999999999</v>
      </c>
      <c r="L4067">
        <v>196.07759999999999</v>
      </c>
      <c r="M4067">
        <v>-6.0146280000000003E-2</v>
      </c>
      <c r="N4067">
        <v>0</v>
      </c>
      <c r="O4067">
        <v>-0.99816020000000005</v>
      </c>
      <c r="P4067">
        <v>-0.1866999</v>
      </c>
      <c r="Q4067">
        <v>0.1213356</v>
      </c>
      <c r="R4067">
        <v>-0.97489539999999997</v>
      </c>
      <c r="S4067">
        <v>-0.72506709999999996</v>
      </c>
      <c r="T4067">
        <v>-0.16458989999999901</v>
      </c>
      <c r="U4067">
        <v>-2.959457</v>
      </c>
      <c r="V4067">
        <v>0.1290357</v>
      </c>
      <c r="W4067">
        <v>0.1275771</v>
      </c>
      <c r="X4067">
        <v>0.98339920000000003</v>
      </c>
      <c r="Y4067">
        <v>0.17876230000000001</v>
      </c>
      <c r="Z4067">
        <v>5.4133710000000002E-2</v>
      </c>
      <c r="AA4067">
        <v>0.982402</v>
      </c>
      <c r="AB4067">
        <v>21</v>
      </c>
      <c r="AC4067">
        <v>-4.8483999999999901</v>
      </c>
      <c r="AD4067">
        <v>-1.1055070767669899</v>
      </c>
      <c r="AE4067">
        <v>-19.662600000000001</v>
      </c>
      <c r="AF4067">
        <v>3.6460897765339202</v>
      </c>
      <c r="AG4067">
        <v>-1.1055070767669899</v>
      </c>
      <c r="AH4067">
        <v>19.859442121306898</v>
      </c>
      <c r="AI4067">
        <v>93.133898854620995</v>
      </c>
      <c r="AJ4067">
        <v>79.596650545886902</v>
      </c>
      <c r="AK4067">
        <v>20.221611160460601</v>
      </c>
      <c r="AL4067">
        <v>82.670395894805594</v>
      </c>
      <c r="AM4067">
        <v>82.524699861861393</v>
      </c>
      <c r="AN4067">
        <v>1.0000000574397601</v>
      </c>
    </row>
    <row r="4068" spans="1:40" x14ac:dyDescent="0.25">
      <c r="A4068" t="str">
        <f>"20190312164108995"</f>
        <v>20190312164108995</v>
      </c>
      <c r="B4068" t="str">
        <f>"1552380068990778"</f>
        <v>1552380068990778</v>
      </c>
      <c r="C4068" t="s">
        <v>40</v>
      </c>
      <c r="D4068">
        <v>5.8969680000000002</v>
      </c>
      <c r="E4068">
        <v>0.51069799999999999</v>
      </c>
      <c r="F4068" t="s">
        <v>42</v>
      </c>
      <c r="G4068">
        <v>-190.2099</v>
      </c>
      <c r="H4068">
        <v>1.0339579999999999</v>
      </c>
      <c r="I4068">
        <v>195.30080000000001</v>
      </c>
      <c r="J4068">
        <v>-190.06899999999999</v>
      </c>
      <c r="K4068">
        <v>1.105801</v>
      </c>
      <c r="L4068">
        <v>195.8595</v>
      </c>
      <c r="M4068">
        <v>-6.7986179999999993E-2</v>
      </c>
      <c r="N4068">
        <v>0</v>
      </c>
      <c r="O4068">
        <v>-0.99765780000000004</v>
      </c>
      <c r="P4068">
        <v>-0.18983649999999999</v>
      </c>
      <c r="Q4068">
        <v>0.1195831</v>
      </c>
      <c r="R4068">
        <v>-0.97450610000000004</v>
      </c>
      <c r="S4068">
        <v>-0.62846369999999996</v>
      </c>
      <c r="T4068">
        <v>-0.27528069999999999</v>
      </c>
      <c r="U4068">
        <v>-2.9911799999999999</v>
      </c>
      <c r="V4068">
        <v>0.1243379</v>
      </c>
      <c r="W4068">
        <v>0.125861</v>
      </c>
      <c r="X4068">
        <v>0.98422509999999996</v>
      </c>
      <c r="Y4068">
        <v>0.13777149999999999</v>
      </c>
      <c r="Z4068">
        <v>8.9917559999999994E-2</v>
      </c>
      <c r="AA4068">
        <v>0.98637410000000003</v>
      </c>
      <c r="AB4068">
        <v>21</v>
      </c>
      <c r="AC4068">
        <v>-0.14089999999998701</v>
      </c>
      <c r="AD4068">
        <v>-7.1843000000000101E-2</v>
      </c>
      <c r="AE4068">
        <v>-0.55869999999998698</v>
      </c>
      <c r="AF4068">
        <v>0.10101853326001201</v>
      </c>
      <c r="AG4068">
        <v>-7.1843000000000101E-2</v>
      </c>
      <c r="AH4068">
        <v>0.55830704266218201</v>
      </c>
      <c r="AI4068">
        <v>97.216617855345206</v>
      </c>
      <c r="AJ4068">
        <v>79.744020378044596</v>
      </c>
      <c r="AK4068">
        <v>0.57190288913170895</v>
      </c>
      <c r="AL4068">
        <v>82.769519674160406</v>
      </c>
      <c r="AM4068">
        <v>82.799922366669506</v>
      </c>
      <c r="AN4068">
        <v>0.99999997608370905</v>
      </c>
    </row>
    <row r="4069" spans="1:40" x14ac:dyDescent="0.25">
      <c r="A4069" t="str">
        <f>"20190312164109016"</f>
        <v>20190312164109016</v>
      </c>
      <c r="B4069" t="str">
        <f>"1552380069010299"</f>
        <v>1552380069010299</v>
      </c>
      <c r="C4069" t="s">
        <v>40</v>
      </c>
      <c r="D4069">
        <v>5.995762</v>
      </c>
      <c r="E4069">
        <v>0.50953779999999904</v>
      </c>
      <c r="F4069" t="s">
        <v>42</v>
      </c>
      <c r="G4069">
        <v>-190.23089999999999</v>
      </c>
      <c r="H4069">
        <v>1.04705</v>
      </c>
      <c r="I4069">
        <v>195.1054</v>
      </c>
      <c r="J4069">
        <v>-190.09</v>
      </c>
      <c r="K4069">
        <v>1.1061350000000001</v>
      </c>
      <c r="L4069">
        <v>195.6636</v>
      </c>
      <c r="M4069">
        <v>-7.4416620000000003E-2</v>
      </c>
      <c r="N4069">
        <v>0</v>
      </c>
      <c r="O4069">
        <v>-0.99719939999999996</v>
      </c>
      <c r="P4069">
        <v>-0.18839249999999999</v>
      </c>
      <c r="Q4069">
        <v>0.1178613</v>
      </c>
      <c r="R4069">
        <v>-0.97499579999999997</v>
      </c>
      <c r="S4069">
        <v>-0.63987729999999998</v>
      </c>
      <c r="T4069">
        <v>-0.2322584</v>
      </c>
      <c r="U4069">
        <v>-2.9823</v>
      </c>
      <c r="V4069">
        <v>0.1163855</v>
      </c>
      <c r="W4069">
        <v>0.12422270000000001</v>
      </c>
      <c r="X4069">
        <v>0.98540499999999998</v>
      </c>
      <c r="Y4069">
        <v>0.13583049999999999</v>
      </c>
      <c r="Z4069">
        <v>7.6102379999999997E-2</v>
      </c>
      <c r="AA4069">
        <v>0.98780489999999999</v>
      </c>
      <c r="AB4069">
        <v>21</v>
      </c>
      <c r="AC4069">
        <v>-0.14089999999998701</v>
      </c>
      <c r="AD4069">
        <v>-5.9084999999999999E-2</v>
      </c>
      <c r="AE4069">
        <v>-0.55819999999999903</v>
      </c>
      <c r="AF4069">
        <v>9.7937219174311196E-2</v>
      </c>
      <c r="AG4069">
        <v>-5.9084999999999999E-2</v>
      </c>
      <c r="AH4069">
        <v>0.561226389435729</v>
      </c>
      <c r="AI4069">
        <v>95.921039707843605</v>
      </c>
      <c r="AJ4069">
        <v>80.101235026112704</v>
      </c>
      <c r="AK4069">
        <v>0.57276329868774001</v>
      </c>
      <c r="AL4069">
        <v>82.864129648066907</v>
      </c>
      <c r="AM4069">
        <v>83.264041389251005</v>
      </c>
      <c r="AN4069">
        <v>0.99999993891526795</v>
      </c>
    </row>
    <row r="4070" spans="1:40" x14ac:dyDescent="0.25">
      <c r="A4070" t="str">
        <f>"20190312164109028"</f>
        <v>20190312164109028</v>
      </c>
      <c r="B4070" t="str">
        <f>"1552380069020058"</f>
        <v>1552380069020058</v>
      </c>
      <c r="C4070" t="s">
        <v>40</v>
      </c>
      <c r="D4070">
        <v>5.9649769999999904</v>
      </c>
      <c r="E4070">
        <v>0.50885689999999995</v>
      </c>
      <c r="F4070" t="s">
        <v>42</v>
      </c>
      <c r="G4070">
        <v>-190.24700000000001</v>
      </c>
      <c r="H4070">
        <v>1.0465949999999999</v>
      </c>
      <c r="I4070">
        <v>194.91839999999999</v>
      </c>
      <c r="J4070">
        <v>-190.1036</v>
      </c>
      <c r="K4070">
        <v>1.106379</v>
      </c>
      <c r="L4070">
        <v>195.53960000000001</v>
      </c>
      <c r="M4070">
        <v>-7.8119930000000004E-2</v>
      </c>
      <c r="N4070">
        <v>0</v>
      </c>
      <c r="O4070">
        <v>-0.99691669999999999</v>
      </c>
      <c r="P4070">
        <v>-0.18932170000000001</v>
      </c>
      <c r="Q4070">
        <v>0.1179433</v>
      </c>
      <c r="R4070">
        <v>-0.97480610000000001</v>
      </c>
      <c r="S4070">
        <v>-0.62840269999999898</v>
      </c>
      <c r="T4070">
        <v>-0.23834900000000001</v>
      </c>
      <c r="U4070">
        <v>-2.984299</v>
      </c>
      <c r="V4070">
        <v>0.1135878</v>
      </c>
      <c r="W4070">
        <v>0.1243382</v>
      </c>
      <c r="X4070">
        <v>0.98571690000000001</v>
      </c>
      <c r="Y4070">
        <v>0.12834580000000001</v>
      </c>
      <c r="Z4070">
        <v>7.8071650000000006E-2</v>
      </c>
      <c r="AA4070">
        <v>0.98865170000000002</v>
      </c>
      <c r="AB4070">
        <v>21</v>
      </c>
      <c r="AC4070">
        <v>-0.14340000000001299</v>
      </c>
      <c r="AD4070">
        <v>-5.9783999999999803E-2</v>
      </c>
      <c r="AE4070">
        <v>-0.62120000000001596</v>
      </c>
      <c r="AF4070">
        <v>9.3609173266264598E-2</v>
      </c>
      <c r="AG4070">
        <v>-5.9783999999999803E-2</v>
      </c>
      <c r="AH4070">
        <v>0.62500821010275098</v>
      </c>
      <c r="AI4070">
        <v>95.403986035992602</v>
      </c>
      <c r="AJ4070">
        <v>81.481971019828705</v>
      </c>
      <c r="AK4070">
        <v>0.63480080865688804</v>
      </c>
      <c r="AL4070">
        <v>82.857460656756899</v>
      </c>
      <c r="AM4070">
        <v>83.426589015990501</v>
      </c>
      <c r="AN4070">
        <v>0.99999999161684505</v>
      </c>
    </row>
    <row r="4071" spans="1:40" x14ac:dyDescent="0.25">
      <c r="A4071" t="str">
        <f>"20190312164109050"</f>
        <v>20190312164109050</v>
      </c>
      <c r="B4071" t="str">
        <f>"1552380069040555"</f>
        <v>1552380069040555</v>
      </c>
      <c r="C4071" t="s">
        <v>40</v>
      </c>
      <c r="D4071">
        <v>5.9459720000000003</v>
      </c>
      <c r="E4071">
        <v>0.50710010000000005</v>
      </c>
      <c r="F4071" t="s">
        <v>42</v>
      </c>
      <c r="G4071">
        <v>-190.27279999999999</v>
      </c>
      <c r="H4071">
        <v>1.042295</v>
      </c>
      <c r="I4071">
        <v>194.73339999999999</v>
      </c>
      <c r="J4071">
        <v>-190.1259</v>
      </c>
      <c r="K4071">
        <v>1.1067929999999999</v>
      </c>
      <c r="L4071">
        <v>195.3399</v>
      </c>
      <c r="M4071">
        <v>-8.3607490000000007E-2</v>
      </c>
      <c r="N4071">
        <v>0</v>
      </c>
      <c r="O4071">
        <v>-0.99647209999999997</v>
      </c>
      <c r="P4071">
        <v>-0.1899884</v>
      </c>
      <c r="Q4071">
        <v>0.1190037</v>
      </c>
      <c r="R4071">
        <v>-0.97454750000000001</v>
      </c>
      <c r="S4071">
        <v>-0.62585449999999998</v>
      </c>
      <c r="T4071">
        <v>-0.23717859999999999</v>
      </c>
      <c r="U4071">
        <v>-2.9846949999999999</v>
      </c>
      <c r="V4071">
        <v>0.10872030000000001</v>
      </c>
      <c r="W4071">
        <v>0.1254547</v>
      </c>
      <c r="X4071">
        <v>0.98612420000000001</v>
      </c>
      <c r="Y4071">
        <v>0.12205489999999999</v>
      </c>
      <c r="Z4071">
        <v>7.766642E-2</v>
      </c>
      <c r="AA4071">
        <v>0.98947989999999997</v>
      </c>
      <c r="AB4071">
        <v>21</v>
      </c>
      <c r="AC4071">
        <v>-0.14689999999998801</v>
      </c>
      <c r="AD4071">
        <v>-6.4498000000000097E-2</v>
      </c>
      <c r="AE4071">
        <v>-0.60650000000001103</v>
      </c>
      <c r="AF4071">
        <v>9.4665092883625707E-2</v>
      </c>
      <c r="AG4071">
        <v>-6.4498000000000097E-2</v>
      </c>
      <c r="AH4071">
        <v>0.61014083575693201</v>
      </c>
      <c r="AI4071">
        <v>95.963499828438302</v>
      </c>
      <c r="AJ4071">
        <v>81.180714714546298</v>
      </c>
      <c r="AK4071">
        <v>0.62080054065120804</v>
      </c>
      <c r="AL4071">
        <v>82.792984839417699</v>
      </c>
      <c r="AM4071">
        <v>83.708543058600995</v>
      </c>
      <c r="AN4071">
        <v>0.999999961604909</v>
      </c>
    </row>
    <row r="4072" spans="1:40" x14ac:dyDescent="0.25">
      <c r="A4072" t="str">
        <f>"20190312164109070"</f>
        <v>20190312164109070</v>
      </c>
      <c r="B4072" t="str">
        <f>"1552380069060078"</f>
        <v>1552380069060078</v>
      </c>
      <c r="C4072" t="s">
        <v>40</v>
      </c>
      <c r="D4072">
        <v>5.8872879999999999</v>
      </c>
      <c r="E4072">
        <v>0.50581069999999995</v>
      </c>
      <c r="F4072" t="s">
        <v>42</v>
      </c>
      <c r="G4072">
        <v>-190.28989999999999</v>
      </c>
      <c r="H4072">
        <v>1.047841</v>
      </c>
      <c r="I4072">
        <v>194.54040000000001</v>
      </c>
      <c r="J4072">
        <v>-190.14840000000001</v>
      </c>
      <c r="K4072">
        <v>1.107208</v>
      </c>
      <c r="L4072">
        <v>195.14019999999999</v>
      </c>
      <c r="M4072">
        <v>-8.8431190000000007E-2</v>
      </c>
      <c r="N4072">
        <v>0</v>
      </c>
      <c r="O4072">
        <v>-0.99605630000000001</v>
      </c>
      <c r="P4072">
        <v>-0.1902875</v>
      </c>
      <c r="Q4072">
        <v>0.1209128</v>
      </c>
      <c r="R4072">
        <v>-0.97425419999999996</v>
      </c>
      <c r="S4072">
        <v>-0.61239619999999995</v>
      </c>
      <c r="T4072">
        <v>-0.22013379999999999</v>
      </c>
      <c r="U4072">
        <v>-2.9858549999999999</v>
      </c>
      <c r="V4072">
        <v>0.1041479</v>
      </c>
      <c r="W4072">
        <v>0.1274101</v>
      </c>
      <c r="X4072">
        <v>0.98636699999999999</v>
      </c>
      <c r="Y4072">
        <v>0.11297500000000001</v>
      </c>
      <c r="Z4072">
        <v>7.2114510000000007E-2</v>
      </c>
      <c r="AA4072">
        <v>0.99097729999999995</v>
      </c>
      <c r="AB4072">
        <v>21</v>
      </c>
      <c r="AC4072">
        <v>-0.141499999999979</v>
      </c>
      <c r="AD4072">
        <v>-5.9366999999999899E-2</v>
      </c>
      <c r="AE4072">
        <v>-0.59979999999998701</v>
      </c>
      <c r="AF4072">
        <v>8.7094958957283003E-2</v>
      </c>
      <c r="AG4072">
        <v>-5.9366999999999899E-2</v>
      </c>
      <c r="AH4072">
        <v>0.60435486155432405</v>
      </c>
      <c r="AI4072">
        <v>95.553275250739006</v>
      </c>
      <c r="AJ4072">
        <v>81.799434104150194</v>
      </c>
      <c r="AK4072">
        <v>0.61347760452123901</v>
      </c>
      <c r="AL4072">
        <v>82.680042509669704</v>
      </c>
      <c r="AM4072">
        <v>83.972622100155505</v>
      </c>
      <c r="AN4072">
        <v>0.99999998867270901</v>
      </c>
    </row>
    <row r="4073" spans="1:40" x14ac:dyDescent="0.25">
      <c r="A4073" t="str">
        <f>"20190312164109082"</f>
        <v>20190312164109082</v>
      </c>
      <c r="B4073" t="str">
        <f>"1552380069069834"</f>
        <v>1552380069069834</v>
      </c>
      <c r="C4073" t="s">
        <v>40</v>
      </c>
      <c r="D4073">
        <v>5.8095150000000002</v>
      </c>
      <c r="E4073">
        <v>0.50488840000000001</v>
      </c>
      <c r="F4073" t="s">
        <v>42</v>
      </c>
      <c r="G4073">
        <v>-190.30840000000001</v>
      </c>
      <c r="H4073">
        <v>1.0524450000000001</v>
      </c>
      <c r="I4073">
        <v>194.3468</v>
      </c>
      <c r="J4073">
        <v>-190.1611</v>
      </c>
      <c r="K4073">
        <v>1.1074310000000001</v>
      </c>
      <c r="L4073">
        <v>195.02850000000001</v>
      </c>
      <c r="M4073">
        <v>-9.0859899999999993E-2</v>
      </c>
      <c r="N4073">
        <v>0</v>
      </c>
      <c r="O4073">
        <v>-0.995838</v>
      </c>
      <c r="P4073">
        <v>-0.19064490000000001</v>
      </c>
      <c r="Q4073">
        <v>0.1215165</v>
      </c>
      <c r="R4073">
        <v>-0.97410920000000001</v>
      </c>
      <c r="S4073">
        <v>-0.60217290000000001</v>
      </c>
      <c r="T4073">
        <v>-0.20618249999999999</v>
      </c>
      <c r="U4073">
        <v>-2.987244</v>
      </c>
      <c r="V4073">
        <v>0.1020432</v>
      </c>
      <c r="W4073">
        <v>0.12803339999999999</v>
      </c>
      <c r="X4073">
        <v>0.98650629999999995</v>
      </c>
      <c r="Y4073">
        <v>0.10726579999999999</v>
      </c>
      <c r="Z4073">
        <v>6.7557339999999994E-2</v>
      </c>
      <c r="AA4073">
        <v>0.99193249999999999</v>
      </c>
      <c r="AB4073">
        <v>21</v>
      </c>
      <c r="AC4073">
        <v>-0.14730000000000101</v>
      </c>
      <c r="AD4073">
        <v>-5.4985999999999903E-2</v>
      </c>
      <c r="AE4073">
        <v>-0.68170000000000597</v>
      </c>
      <c r="AF4073">
        <v>8.42263736975708E-2</v>
      </c>
      <c r="AG4073">
        <v>-5.4985999999999903E-2</v>
      </c>
      <c r="AH4073">
        <v>0.68798771351862498</v>
      </c>
      <c r="AI4073">
        <v>94.5358126509295</v>
      </c>
      <c r="AJ4073">
        <v>83.020339071462303</v>
      </c>
      <c r="AK4073">
        <v>0.69530183098768605</v>
      </c>
      <c r="AL4073">
        <v>82.644035404779601</v>
      </c>
      <c r="AM4073">
        <v>84.094386173308806</v>
      </c>
      <c r="AN4073">
        <v>1.00000002306074</v>
      </c>
    </row>
    <row r="4074" spans="1:40" x14ac:dyDescent="0.25">
      <c r="A4074" t="str">
        <f>"20190312164109104"</f>
        <v>20190312164109104</v>
      </c>
      <c r="B4074" t="str">
        <f>"1552380069100091"</f>
        <v>1552380069100091</v>
      </c>
      <c r="C4074" t="s">
        <v>40</v>
      </c>
      <c r="D4074">
        <v>6.0157049999999996</v>
      </c>
      <c r="E4074">
        <v>0.50425200000000003</v>
      </c>
      <c r="F4074" t="s">
        <v>42</v>
      </c>
      <c r="G4074">
        <v>-190.33449999999999</v>
      </c>
      <c r="H4074">
        <v>1.0483359999999999</v>
      </c>
      <c r="I4074">
        <v>194.16040000000001</v>
      </c>
      <c r="J4074">
        <v>-190.1849</v>
      </c>
      <c r="K4074">
        <v>1.1078190000000001</v>
      </c>
      <c r="L4074">
        <v>194.82079999999999</v>
      </c>
      <c r="M4074">
        <v>-9.4793600000000006E-2</v>
      </c>
      <c r="N4074">
        <v>0</v>
      </c>
      <c r="O4074">
        <v>-0.99547200000000002</v>
      </c>
      <c r="P4074">
        <v>-0.18978</v>
      </c>
      <c r="Q4074">
        <v>0.122034</v>
      </c>
      <c r="R4074">
        <v>-0.9742132</v>
      </c>
      <c r="S4074">
        <v>-0.59632869999999905</v>
      </c>
      <c r="T4074">
        <v>-0.20340810000000001</v>
      </c>
      <c r="U4074">
        <v>-2.9884029999999999</v>
      </c>
      <c r="V4074">
        <v>9.7151039999999994E-2</v>
      </c>
      <c r="W4074">
        <v>0.12858810000000001</v>
      </c>
      <c r="X4074">
        <v>0.98692789999999997</v>
      </c>
      <c r="Y4074">
        <v>0.1014089</v>
      </c>
      <c r="Z4074">
        <v>6.6623680000000005E-2</v>
      </c>
      <c r="AA4074">
        <v>0.99261149999999998</v>
      </c>
      <c r="AB4074">
        <v>21</v>
      </c>
      <c r="AC4074">
        <v>-0.14959999999999199</v>
      </c>
      <c r="AD4074">
        <v>-5.9482999999999897E-2</v>
      </c>
      <c r="AE4074">
        <v>-0.660399999999981</v>
      </c>
      <c r="AF4074">
        <v>8.5662023025550899E-2</v>
      </c>
      <c r="AG4074">
        <v>-5.9482999999999897E-2</v>
      </c>
      <c r="AH4074">
        <v>0.66646452276681001</v>
      </c>
      <c r="AI4074">
        <v>95.058826630112407</v>
      </c>
      <c r="AJ4074">
        <v>82.675815283158698</v>
      </c>
      <c r="AK4074">
        <v>0.67457480651490498</v>
      </c>
      <c r="AL4074">
        <v>82.611988008638207</v>
      </c>
      <c r="AM4074">
        <v>84.378040101530104</v>
      </c>
      <c r="AN4074">
        <v>0.999999951916549</v>
      </c>
    </row>
    <row r="4075" spans="1:40" x14ac:dyDescent="0.25">
      <c r="A4075" t="str">
        <f>"20190312164109117"</f>
        <v>20190312164109117</v>
      </c>
      <c r="B4075" t="str">
        <f>"1552380069109850"</f>
        <v>1552380069109850</v>
      </c>
      <c r="C4075" t="s">
        <v>40</v>
      </c>
      <c r="D4075">
        <v>5.8753690000000001</v>
      </c>
      <c r="E4075">
        <v>0.50392840000000005</v>
      </c>
      <c r="F4075" t="s">
        <v>42</v>
      </c>
      <c r="G4075">
        <v>-190.35319999999999</v>
      </c>
      <c r="H4075">
        <v>1.051185</v>
      </c>
      <c r="I4075">
        <v>193.96690000000001</v>
      </c>
      <c r="J4075">
        <v>-190.1996</v>
      </c>
      <c r="K4075">
        <v>1.10805</v>
      </c>
      <c r="L4075">
        <v>194.69300000000001</v>
      </c>
      <c r="M4075">
        <v>-9.6927669999999994E-2</v>
      </c>
      <c r="N4075">
        <v>0</v>
      </c>
      <c r="O4075">
        <v>-0.9952666</v>
      </c>
      <c r="P4075">
        <v>-0.18920690000000001</v>
      </c>
      <c r="Q4075">
        <v>0.1225596</v>
      </c>
      <c r="R4075">
        <v>-0.97425870000000003</v>
      </c>
      <c r="S4075">
        <v>-0.58918760000000003</v>
      </c>
      <c r="T4075">
        <v>-0.1982979</v>
      </c>
      <c r="U4075">
        <v>-2.989487</v>
      </c>
      <c r="V4075">
        <v>9.4387700000000005E-2</v>
      </c>
      <c r="W4075">
        <v>0.12913189999999999</v>
      </c>
      <c r="X4075">
        <v>0.98712509999999998</v>
      </c>
      <c r="Y4075">
        <v>9.6946000000000004E-2</v>
      </c>
      <c r="Z4075">
        <v>6.4943459999999995E-2</v>
      </c>
      <c r="AA4075">
        <v>0.99316859999999996</v>
      </c>
      <c r="AB4075">
        <v>21</v>
      </c>
      <c r="AC4075">
        <v>-0.153599999999983</v>
      </c>
      <c r="AD4075">
        <v>-5.6864999999999902E-2</v>
      </c>
      <c r="AE4075">
        <v>-0.72609999999997399</v>
      </c>
      <c r="AF4075">
        <v>8.2014331045073094E-2</v>
      </c>
      <c r="AG4075">
        <v>-5.6864999999999902E-2</v>
      </c>
      <c r="AH4075">
        <v>0.73326466631260301</v>
      </c>
      <c r="AI4075">
        <v>94.407066350968194</v>
      </c>
      <c r="AJ4075">
        <v>83.618094733810096</v>
      </c>
      <c r="AK4075">
        <v>0.74002503307949197</v>
      </c>
      <c r="AL4075">
        <v>82.580569151788794</v>
      </c>
      <c r="AM4075">
        <v>84.538053047750907</v>
      </c>
      <c r="AN4075">
        <v>1.00000002427945</v>
      </c>
    </row>
    <row r="4076" spans="1:40" x14ac:dyDescent="0.25">
      <c r="A4076" t="str">
        <f>"20190312164109129"</f>
        <v>20190312164109129</v>
      </c>
      <c r="B4076" t="str">
        <f>"1552380069120587"</f>
        <v>1552380069120587</v>
      </c>
      <c r="C4076" t="s">
        <v>40</v>
      </c>
      <c r="D4076">
        <v>5.2958879999999997</v>
      </c>
      <c r="E4076">
        <v>0.50355240000000001</v>
      </c>
      <c r="F4076" t="s">
        <v>41</v>
      </c>
      <c r="G4076">
        <v>-193.51900000000001</v>
      </c>
      <c r="H4076" s="1">
        <v>-4.287199E-6</v>
      </c>
      <c r="I4076">
        <v>177.75069999999999</v>
      </c>
      <c r="J4076">
        <v>-190.21250000000001</v>
      </c>
      <c r="K4076">
        <v>1.1082369999999999</v>
      </c>
      <c r="L4076">
        <v>194.58109999999999</v>
      </c>
      <c r="M4076">
        <v>-9.8484340000000004E-2</v>
      </c>
      <c r="N4076">
        <v>0</v>
      </c>
      <c r="O4076">
        <v>-0.99511400000000005</v>
      </c>
      <c r="P4076">
        <v>-0.1881863</v>
      </c>
      <c r="Q4076">
        <v>0.1231279</v>
      </c>
      <c r="R4076">
        <v>-0.97438469999999999</v>
      </c>
      <c r="S4076">
        <v>-0.58583069999999904</v>
      </c>
      <c r="T4076">
        <v>-0.1955578</v>
      </c>
      <c r="U4076">
        <v>-2.9901119999999999</v>
      </c>
      <c r="V4076">
        <v>9.1757080000000005E-2</v>
      </c>
      <c r="W4076">
        <v>0.12971450000000001</v>
      </c>
      <c r="X4076">
        <v>0.98729670000000003</v>
      </c>
      <c r="Y4076">
        <v>9.428715E-2</v>
      </c>
      <c r="Z4076">
        <v>6.4037109999999994E-2</v>
      </c>
      <c r="AA4076">
        <v>0.99348340000000002</v>
      </c>
      <c r="AB4076">
        <v>21</v>
      </c>
      <c r="AC4076">
        <v>-3.3065000000000002</v>
      </c>
      <c r="AD4076">
        <v>-1.1082412871989999</v>
      </c>
      <c r="AE4076">
        <v>-16.830399999999901</v>
      </c>
      <c r="AF4076">
        <v>1.6260651257663801</v>
      </c>
      <c r="AG4076">
        <v>-1.1082412871989999</v>
      </c>
      <c r="AH4076">
        <v>17.0032384647991</v>
      </c>
      <c r="AI4076">
        <v>93.712274541168995</v>
      </c>
      <c r="AJ4076">
        <v>84.537264439803906</v>
      </c>
      <c r="AK4076">
        <v>17.1167288006415</v>
      </c>
      <c r="AL4076">
        <v>82.546905270674301</v>
      </c>
      <c r="AM4076">
        <v>84.690314560671496</v>
      </c>
      <c r="AN4076">
        <v>0.99999999353563296</v>
      </c>
    </row>
    <row r="4077" spans="1:40" x14ac:dyDescent="0.25">
      <c r="A4077" t="str">
        <f>"20190312164109142"</f>
        <v>20190312164109142</v>
      </c>
      <c r="B4077" t="str">
        <f>"1552380069130347"</f>
        <v>1552380069130347</v>
      </c>
      <c r="C4077" t="s">
        <v>40</v>
      </c>
      <c r="D4077">
        <v>6.012886</v>
      </c>
      <c r="E4077">
        <v>0.50355240000000001</v>
      </c>
      <c r="F4077" t="s">
        <v>42</v>
      </c>
      <c r="G4077">
        <v>-190.37020000000001</v>
      </c>
      <c r="H4077">
        <v>1.0564070000000001</v>
      </c>
      <c r="I4077">
        <v>193.77010000000001</v>
      </c>
      <c r="J4077">
        <v>-190.22649999999999</v>
      </c>
      <c r="K4077">
        <v>1.1084430000000001</v>
      </c>
      <c r="L4077">
        <v>194.45920000000001</v>
      </c>
      <c r="M4077">
        <v>-0.1000487</v>
      </c>
      <c r="N4077">
        <v>0</v>
      </c>
      <c r="O4077">
        <v>-0.99495829999999996</v>
      </c>
      <c r="P4077">
        <v>-0.18725</v>
      </c>
      <c r="Q4077">
        <v>0.123408</v>
      </c>
      <c r="R4077">
        <v>-0.9745296</v>
      </c>
      <c r="S4077">
        <v>-0.58090209999999998</v>
      </c>
      <c r="T4077">
        <v>-0.19123860000000001</v>
      </c>
      <c r="U4077">
        <v>-2.9908450000000002</v>
      </c>
      <c r="V4077">
        <v>8.9192640000000004E-2</v>
      </c>
      <c r="W4077">
        <v>0.13000900000000001</v>
      </c>
      <c r="X4077">
        <v>0.98749290000000001</v>
      </c>
      <c r="Y4077">
        <v>9.1115680000000004E-2</v>
      </c>
      <c r="Z4077">
        <v>6.2617779999999998E-2</v>
      </c>
      <c r="AA4077">
        <v>0.99386969999999997</v>
      </c>
      <c r="AB4077">
        <v>21</v>
      </c>
      <c r="AC4077">
        <v>-0.143700000000023</v>
      </c>
      <c r="AD4077">
        <v>-5.2036000000000103E-2</v>
      </c>
      <c r="AE4077">
        <v>-0.68909999999999605</v>
      </c>
      <c r="AF4077">
        <v>7.3631369784101397E-2</v>
      </c>
      <c r="AG4077">
        <v>-5.2036000000000103E-2</v>
      </c>
      <c r="AH4077">
        <v>0.69621512452645296</v>
      </c>
      <c r="AI4077">
        <v>94.2507926253856</v>
      </c>
      <c r="AJ4077">
        <v>83.962868328467394</v>
      </c>
      <c r="AK4077">
        <v>0.70202907598735997</v>
      </c>
      <c r="AL4077">
        <v>82.529887212205495</v>
      </c>
      <c r="AM4077">
        <v>84.8389173385779</v>
      </c>
      <c r="AN4077">
        <v>0.99999994733078801</v>
      </c>
    </row>
    <row r="4078" spans="1:40" x14ac:dyDescent="0.25">
      <c r="A4078" t="str">
        <f>"20190312164109162"</f>
        <v>20190312164109162</v>
      </c>
      <c r="B4078" t="str">
        <f>"1552380069149866"</f>
        <v>1552380069149866</v>
      </c>
      <c r="C4078" t="s">
        <v>40</v>
      </c>
      <c r="D4078">
        <v>5.8705619999999996</v>
      </c>
      <c r="E4078">
        <v>0.50308129999999995</v>
      </c>
      <c r="F4078" t="s">
        <v>42</v>
      </c>
      <c r="G4078">
        <v>-190.3964</v>
      </c>
      <c r="H4078">
        <v>1.0526249999999999</v>
      </c>
      <c r="I4078">
        <v>193.58179999999999</v>
      </c>
      <c r="J4078">
        <v>-190.24799999999999</v>
      </c>
      <c r="K4078">
        <v>1.108773</v>
      </c>
      <c r="L4078">
        <v>194.27119999999999</v>
      </c>
      <c r="M4078">
        <v>-0.10196520000000001</v>
      </c>
      <c r="N4078">
        <v>0</v>
      </c>
      <c r="O4078">
        <v>-0.99476410000000004</v>
      </c>
      <c r="P4078">
        <v>-0.18438589999999999</v>
      </c>
      <c r="Q4078">
        <v>0.123660199999999</v>
      </c>
      <c r="R4078">
        <v>-0.97504380000000002</v>
      </c>
      <c r="S4078">
        <v>-0.57905580000000001</v>
      </c>
      <c r="T4078">
        <v>-0.19033849999999999</v>
      </c>
      <c r="U4078">
        <v>-2.9912570000000001</v>
      </c>
      <c r="V4078">
        <v>8.4282129999999997E-2</v>
      </c>
      <c r="W4078">
        <v>0.1302903</v>
      </c>
      <c r="X4078">
        <v>0.98788710000000002</v>
      </c>
      <c r="Y4078">
        <v>8.858386E-2</v>
      </c>
      <c r="Z4078">
        <v>6.230836E-2</v>
      </c>
      <c r="AA4078">
        <v>0.99411799999999995</v>
      </c>
      <c r="AB4078">
        <v>21</v>
      </c>
      <c r="AC4078">
        <v>-0.148400000000009</v>
      </c>
      <c r="AD4078">
        <v>-5.6148000000000003E-2</v>
      </c>
      <c r="AE4078">
        <v>-0.68940000000000601</v>
      </c>
      <c r="AF4078">
        <v>7.6842874622800095E-2</v>
      </c>
      <c r="AG4078">
        <v>-5.6148000000000003E-2</v>
      </c>
      <c r="AH4078">
        <v>0.69652304457052305</v>
      </c>
      <c r="AI4078">
        <v>94.581077046966499</v>
      </c>
      <c r="AJ4078">
        <v>83.704387385018705</v>
      </c>
      <c r="AK4078">
        <v>0.70299486264274103</v>
      </c>
      <c r="AL4078">
        <v>82.513631898245706</v>
      </c>
      <c r="AM4078">
        <v>85.123587638401105</v>
      </c>
      <c r="AN4078">
        <v>0.99999998102891796</v>
      </c>
    </row>
    <row r="4079" spans="1:40" x14ac:dyDescent="0.25">
      <c r="A4079" t="str">
        <f>"20190312164109185"</f>
        <v>20190312164109185</v>
      </c>
      <c r="B4079" t="str">
        <f>"1552380069180122"</f>
        <v>1552380069180122</v>
      </c>
      <c r="C4079" t="s">
        <v>40</v>
      </c>
      <c r="D4079">
        <v>5.786505</v>
      </c>
      <c r="E4079">
        <v>0.50271909999999997</v>
      </c>
      <c r="F4079" t="s">
        <v>42</v>
      </c>
      <c r="G4079">
        <v>-190.41560000000001</v>
      </c>
      <c r="H4079">
        <v>1.05307</v>
      </c>
      <c r="I4079">
        <v>193.38839999999999</v>
      </c>
      <c r="J4079">
        <v>-190.273</v>
      </c>
      <c r="K4079">
        <v>1.109156</v>
      </c>
      <c r="L4079">
        <v>194.05019999999999</v>
      </c>
      <c r="M4079">
        <v>-0.10354770000000001</v>
      </c>
      <c r="N4079">
        <v>0</v>
      </c>
      <c r="O4079">
        <v>-0.99460119999999996</v>
      </c>
      <c r="P4079">
        <v>-0.1808777</v>
      </c>
      <c r="Q4079">
        <v>0.12381</v>
      </c>
      <c r="R4079">
        <v>-0.97568160000000004</v>
      </c>
      <c r="S4079">
        <v>-0.56782529999999998</v>
      </c>
      <c r="T4079">
        <v>-0.189001</v>
      </c>
      <c r="U4079">
        <v>-2.9933779999999999</v>
      </c>
      <c r="V4079">
        <v>7.9030089999999997E-2</v>
      </c>
      <c r="W4079">
        <v>0.1304719</v>
      </c>
      <c r="X4079">
        <v>0.98829719999999999</v>
      </c>
      <c r="Y4079">
        <v>8.3274199999999896E-2</v>
      </c>
      <c r="Z4079">
        <v>6.1849920000000003E-2</v>
      </c>
      <c r="AA4079">
        <v>0.99460539999999997</v>
      </c>
      <c r="AB4079">
        <v>22</v>
      </c>
      <c r="AC4079">
        <v>-0.14260000000001499</v>
      </c>
      <c r="AD4079">
        <v>-5.6085999999999803E-2</v>
      </c>
      <c r="AE4079">
        <v>-0.66179999999999894</v>
      </c>
      <c r="AF4079">
        <v>7.2804268948439305E-2</v>
      </c>
      <c r="AG4079">
        <v>-5.6085999999999803E-2</v>
      </c>
      <c r="AH4079">
        <v>0.66842085713532995</v>
      </c>
      <c r="AI4079">
        <v>94.768281443990205</v>
      </c>
      <c r="AJ4079">
        <v>83.783859398055199</v>
      </c>
      <c r="AK4079">
        <v>0.67470922865086602</v>
      </c>
      <c r="AL4079">
        <v>82.5031376490805</v>
      </c>
      <c r="AM4079">
        <v>85.4280192464132</v>
      </c>
      <c r="AN4079">
        <v>1.00000001367142</v>
      </c>
    </row>
    <row r="4080" spans="1:40" x14ac:dyDescent="0.25">
      <c r="A4080" t="str">
        <f>"20190312164109207"</f>
        <v>20190312164109207</v>
      </c>
      <c r="B4080" t="str">
        <f>"1552380069200619"</f>
        <v>1552380069200619</v>
      </c>
      <c r="C4080" t="s">
        <v>40</v>
      </c>
      <c r="D4080">
        <v>5.8181159999999998</v>
      </c>
      <c r="E4080">
        <v>0.46946329999999997</v>
      </c>
      <c r="F4080" t="s">
        <v>42</v>
      </c>
      <c r="G4080">
        <v>-190.43170000000001</v>
      </c>
      <c r="H4080">
        <v>1.0552220000000001</v>
      </c>
      <c r="I4080">
        <v>193.1925</v>
      </c>
      <c r="J4080">
        <v>-190.29740000000001</v>
      </c>
      <c r="K4080">
        <v>1.109513</v>
      </c>
      <c r="L4080">
        <v>193.8306</v>
      </c>
      <c r="M4080">
        <v>-0.1045296</v>
      </c>
      <c r="N4080">
        <v>0</v>
      </c>
      <c r="O4080">
        <v>-0.99449869999999996</v>
      </c>
      <c r="P4080">
        <v>-0.17667279999999999</v>
      </c>
      <c r="Q4080">
        <v>0.12446889999999899</v>
      </c>
      <c r="R4080">
        <v>-0.97636809999999996</v>
      </c>
      <c r="S4080">
        <v>-0.55447389999999996</v>
      </c>
      <c r="T4080">
        <v>-0.18835089999999999</v>
      </c>
      <c r="U4080">
        <v>-2.9958800000000001</v>
      </c>
      <c r="V4080">
        <v>7.3685150000000005E-2</v>
      </c>
      <c r="W4080">
        <v>0.13115539999999901</v>
      </c>
      <c r="X4080">
        <v>0.98861960000000004</v>
      </c>
      <c r="Y4080">
        <v>7.7857319999999994E-2</v>
      </c>
      <c r="Z4080">
        <v>6.1616619999999997E-2</v>
      </c>
      <c r="AA4080">
        <v>0.99505860000000002</v>
      </c>
      <c r="AB4080">
        <v>22</v>
      </c>
      <c r="AC4080">
        <v>-0.13429999999999601</v>
      </c>
      <c r="AD4080">
        <v>-5.4290999999999999E-2</v>
      </c>
      <c r="AE4080">
        <v>-0.63810000000000799</v>
      </c>
      <c r="AF4080">
        <v>6.6402077568914503E-2</v>
      </c>
      <c r="AG4080">
        <v>-5.4290999999999999E-2</v>
      </c>
      <c r="AH4080">
        <v>0.644177439004323</v>
      </c>
      <c r="AI4080">
        <v>94.792205649986599</v>
      </c>
      <c r="AJ4080">
        <v>84.114713394051805</v>
      </c>
      <c r="AK4080">
        <v>0.64986254047193404</v>
      </c>
      <c r="AL4080">
        <v>82.463636270760702</v>
      </c>
      <c r="AM4080">
        <v>85.737434000882402</v>
      </c>
      <c r="AN4080">
        <v>0.99999997689192099</v>
      </c>
    </row>
    <row r="4081" spans="1:40" x14ac:dyDescent="0.25">
      <c r="A4081" t="str">
        <f>"20190312164109228"</f>
        <v>20190312164109228</v>
      </c>
      <c r="B4081" t="str">
        <f>"1552380069220139"</f>
        <v>1552380069220139</v>
      </c>
      <c r="C4081" t="s">
        <v>40</v>
      </c>
      <c r="D4081">
        <v>5.7697440000000002</v>
      </c>
      <c r="E4081">
        <v>0.4643642</v>
      </c>
      <c r="F4081" t="s">
        <v>41</v>
      </c>
      <c r="G4081">
        <v>-192.1583</v>
      </c>
      <c r="H4081" s="1">
        <v>-2.3099710000000002E-6</v>
      </c>
      <c r="I4081">
        <v>173.63509999999999</v>
      </c>
      <c r="J4081">
        <v>-190.32079999999999</v>
      </c>
      <c r="K4081">
        <v>1.109834</v>
      </c>
      <c r="L4081">
        <v>193.61590000000001</v>
      </c>
      <c r="M4081">
        <v>-0.1049559</v>
      </c>
      <c r="N4081">
        <v>0</v>
      </c>
      <c r="O4081">
        <v>-0.99445399999999995</v>
      </c>
      <c r="P4081">
        <v>-0.17078859999999901</v>
      </c>
      <c r="Q4081">
        <v>0.1240853</v>
      </c>
      <c r="R4081">
        <v>-0.97746310000000003</v>
      </c>
      <c r="S4081">
        <v>-0.28041080000000002</v>
      </c>
      <c r="T4081">
        <v>-0.16718729999999901</v>
      </c>
      <c r="U4081">
        <v>-3.043167</v>
      </c>
      <c r="V4081">
        <v>6.7191669999999995E-2</v>
      </c>
      <c r="W4081">
        <v>0.1307905</v>
      </c>
      <c r="X4081">
        <v>0.98913050000000002</v>
      </c>
      <c r="Y4081">
        <v>-1.340271E-2</v>
      </c>
      <c r="Z4081">
        <v>5.4285439999999997E-2</v>
      </c>
      <c r="AA4081">
        <v>0.99843550000000003</v>
      </c>
      <c r="AB4081">
        <v>22</v>
      </c>
      <c r="AC4081">
        <v>-1.8374999999999999</v>
      </c>
      <c r="AD4081">
        <v>-1.109836309971</v>
      </c>
      <c r="AE4081">
        <v>-19.980799999999999</v>
      </c>
      <c r="AF4081">
        <v>-0.26897685517756398</v>
      </c>
      <c r="AG4081">
        <v>-1.109836309971</v>
      </c>
      <c r="AH4081">
        <v>20.002105194559</v>
      </c>
      <c r="AI4081">
        <v>93.175569178832603</v>
      </c>
      <c r="AJ4081">
        <v>90.770434390990999</v>
      </c>
      <c r="AK4081">
        <v>20.034677371940798</v>
      </c>
      <c r="AL4081">
        <v>82.484725417938705</v>
      </c>
      <c r="AM4081">
        <v>86.113865833414494</v>
      </c>
      <c r="AN4081">
        <v>1.00000001071894</v>
      </c>
    </row>
    <row r="4082" spans="1:40" x14ac:dyDescent="0.25">
      <c r="A4082" t="str">
        <f>"20190312164109249"</f>
        <v>20190312164109249</v>
      </c>
      <c r="B4082" t="str">
        <f>"1552380069239659"</f>
        <v>1552380069239659</v>
      </c>
      <c r="C4082" t="s">
        <v>40</v>
      </c>
      <c r="D4082">
        <v>5.8266140000000002</v>
      </c>
      <c r="E4082">
        <v>0.45986909999999998</v>
      </c>
      <c r="F4082" t="s">
        <v>41</v>
      </c>
      <c r="G4082">
        <v>-191.82980000000001</v>
      </c>
      <c r="H4082" s="1">
        <v>-1.9144299999999998E-6</v>
      </c>
      <c r="I4082">
        <v>172.91679999999999</v>
      </c>
      <c r="J4082">
        <v>-190.3425</v>
      </c>
      <c r="K4082">
        <v>1.110109</v>
      </c>
      <c r="L4082">
        <v>193.41300000000001</v>
      </c>
      <c r="M4082">
        <v>-0.10489370000000001</v>
      </c>
      <c r="N4082">
        <v>0</v>
      </c>
      <c r="O4082">
        <v>-0.99446089999999998</v>
      </c>
      <c r="P4082">
        <v>-0.1650925</v>
      </c>
      <c r="Q4082">
        <v>0.1227641</v>
      </c>
      <c r="R4082">
        <v>-0.97860820000000004</v>
      </c>
      <c r="S4082">
        <v>-0.2224274</v>
      </c>
      <c r="T4082">
        <v>-0.16359070000000001</v>
      </c>
      <c r="U4082">
        <v>-3.0510709999999999</v>
      </c>
      <c r="V4082">
        <v>6.1383229999999997E-2</v>
      </c>
      <c r="W4082">
        <v>0.1294785</v>
      </c>
      <c r="X4082">
        <v>0.98968049999999996</v>
      </c>
      <c r="Y4082">
        <v>-3.2413900000000002E-2</v>
      </c>
      <c r="Z4082">
        <v>5.3014190000000003E-2</v>
      </c>
      <c r="AA4082">
        <v>0.99806760000000005</v>
      </c>
      <c r="AB4082">
        <v>22</v>
      </c>
      <c r="AC4082">
        <v>-1.4873000000000001</v>
      </c>
      <c r="AD4082">
        <v>-1.1101109144299901</v>
      </c>
      <c r="AE4082">
        <v>-20.496199999999899</v>
      </c>
      <c r="AF4082">
        <v>-0.66892358667122198</v>
      </c>
      <c r="AG4082">
        <v>-1.1101109144299901</v>
      </c>
      <c r="AH4082">
        <v>20.479376726619101</v>
      </c>
      <c r="AI4082">
        <v>93.101104123515398</v>
      </c>
      <c r="AJ4082">
        <v>91.870802882004398</v>
      </c>
      <c r="AK4082">
        <v>20.520347855675499</v>
      </c>
      <c r="AL4082">
        <v>82.560542405278596</v>
      </c>
      <c r="AM4082">
        <v>86.450874238112803</v>
      </c>
      <c r="AN4082">
        <v>1.00000003748386</v>
      </c>
    </row>
    <row r="4083" spans="1:40" x14ac:dyDescent="0.25">
      <c r="A4083" t="str">
        <f>"20190312164109262"</f>
        <v>20190312164109262</v>
      </c>
      <c r="B4083" t="str">
        <f>"1552380069250395"</f>
        <v>1552380069250395</v>
      </c>
      <c r="C4083" t="s">
        <v>40</v>
      </c>
      <c r="D4083">
        <v>5.8230360000000001</v>
      </c>
      <c r="E4083">
        <v>0.45777000000000001</v>
      </c>
      <c r="F4083" t="s">
        <v>41</v>
      </c>
      <c r="G4083">
        <v>-191.3801</v>
      </c>
      <c r="H4083" s="1">
        <v>-2.5073239999999999E-6</v>
      </c>
      <c r="I4083">
        <v>174.57769999999999</v>
      </c>
      <c r="J4083">
        <v>-190.3546</v>
      </c>
      <c r="K4083">
        <v>1.1102540000000001</v>
      </c>
      <c r="L4083">
        <v>193.29759999999999</v>
      </c>
      <c r="M4083">
        <v>-0.104688</v>
      </c>
      <c r="N4083">
        <v>0</v>
      </c>
      <c r="O4083">
        <v>-0.9944828</v>
      </c>
      <c r="P4083">
        <v>-0.16208020000000001</v>
      </c>
      <c r="Q4083">
        <v>0.1226937</v>
      </c>
      <c r="R4083">
        <v>-0.97912069999999995</v>
      </c>
      <c r="S4083">
        <v>-0.16856380000000001</v>
      </c>
      <c r="T4083">
        <v>-0.18033740000000001</v>
      </c>
      <c r="U4083">
        <v>-3.0597840000000001</v>
      </c>
      <c r="V4083">
        <v>5.849356E-2</v>
      </c>
      <c r="W4083">
        <v>0.1294109</v>
      </c>
      <c r="X4083">
        <v>0.98986430000000003</v>
      </c>
      <c r="Y4083">
        <v>-4.9921229999999997E-2</v>
      </c>
      <c r="Z4083">
        <v>5.8271080000000003E-2</v>
      </c>
      <c r="AA4083">
        <v>0.99705180000000004</v>
      </c>
      <c r="AB4083">
        <v>22</v>
      </c>
      <c r="AC4083">
        <v>-1.0254999999999901</v>
      </c>
      <c r="AD4083">
        <v>-1.1102565073240001</v>
      </c>
      <c r="AE4083">
        <v>-18.719899999999999</v>
      </c>
      <c r="AF4083">
        <v>-0.93664281341468802</v>
      </c>
      <c r="AG4083">
        <v>-1.1102565073240001</v>
      </c>
      <c r="AH4083">
        <v>18.658954313876201</v>
      </c>
      <c r="AI4083">
        <v>93.400961300399402</v>
      </c>
      <c r="AJ4083">
        <v>92.873723301513394</v>
      </c>
      <c r="AK4083">
        <v>18.715409302478399</v>
      </c>
      <c r="AL4083">
        <v>82.564448220040404</v>
      </c>
      <c r="AM4083">
        <v>86.618181618326304</v>
      </c>
      <c r="AN4083">
        <v>1.0000000050073801</v>
      </c>
    </row>
    <row r="4084" spans="1:40" x14ac:dyDescent="0.25">
      <c r="A4084" t="str">
        <f>"20190312164109283"</f>
        <v>20190312164109283</v>
      </c>
      <c r="B4084" t="str">
        <f>"1552380069279674"</f>
        <v>1552380069279674</v>
      </c>
      <c r="C4084" t="s">
        <v>40</v>
      </c>
      <c r="D4084">
        <v>5.772081</v>
      </c>
      <c r="E4084">
        <v>0.45528269999999998</v>
      </c>
      <c r="F4084" t="s">
        <v>41</v>
      </c>
      <c r="G4084">
        <v>-191.113</v>
      </c>
      <c r="H4084" s="1">
        <v>-3.4256669999999998E-6</v>
      </c>
      <c r="I4084">
        <v>176.88409999999999</v>
      </c>
      <c r="J4084">
        <v>-190.37629999999999</v>
      </c>
      <c r="K4084">
        <v>1.110493</v>
      </c>
      <c r="L4084">
        <v>193.08609999999999</v>
      </c>
      <c r="M4084">
        <v>-0.1039556</v>
      </c>
      <c r="N4084">
        <v>0</v>
      </c>
      <c r="O4084">
        <v>-0.99455990000000005</v>
      </c>
      <c r="P4084">
        <v>-0.15506239999999999</v>
      </c>
      <c r="Q4084">
        <v>0.1242402</v>
      </c>
      <c r="R4084">
        <v>-0.98006179999999998</v>
      </c>
      <c r="S4084">
        <v>-0.1416779</v>
      </c>
      <c r="T4084">
        <v>-0.2074288</v>
      </c>
      <c r="U4084">
        <v>-3.066513</v>
      </c>
      <c r="V4084">
        <v>5.2068919999999998E-2</v>
      </c>
      <c r="W4084">
        <v>0.13095409999999999</v>
      </c>
      <c r="X4084">
        <v>0.99002020000000002</v>
      </c>
      <c r="Y4084">
        <v>-5.80484E-2</v>
      </c>
      <c r="Z4084">
        <v>6.6849130000000007E-2</v>
      </c>
      <c r="AA4084">
        <v>0.99607310000000004</v>
      </c>
      <c r="AB4084">
        <v>22</v>
      </c>
      <c r="AC4084">
        <v>-0.73670000000001301</v>
      </c>
      <c r="AD4084">
        <v>-1.110496425667</v>
      </c>
      <c r="AE4084">
        <v>-16.201999999999899</v>
      </c>
      <c r="AF4084">
        <v>-0.94717671961243299</v>
      </c>
      <c r="AG4084">
        <v>-1.110496425667</v>
      </c>
      <c r="AH4084">
        <v>16.115248027904698</v>
      </c>
      <c r="AI4084">
        <v>93.935231639591606</v>
      </c>
      <c r="AJ4084">
        <v>93.363700401946602</v>
      </c>
      <c r="AK4084">
        <v>16.1812102467795</v>
      </c>
      <c r="AL4084">
        <v>82.475270977167099</v>
      </c>
      <c r="AM4084">
        <v>86.989371348485506</v>
      </c>
      <c r="AN4084">
        <v>1.0000000725724001</v>
      </c>
    </row>
    <row r="4085" spans="1:40" x14ac:dyDescent="0.25">
      <c r="A4085" t="str">
        <f>"20190312164109295"</f>
        <v>20190312164109295</v>
      </c>
      <c r="B4085" t="str">
        <f>"1552380069290411"</f>
        <v>1552380069290411</v>
      </c>
      <c r="C4085" t="s">
        <v>40</v>
      </c>
      <c r="D4085">
        <v>5.7779619999999996</v>
      </c>
      <c r="E4085">
        <v>0.45453850000000001</v>
      </c>
      <c r="F4085" t="s">
        <v>41</v>
      </c>
      <c r="G4085">
        <v>-190.93360000000001</v>
      </c>
      <c r="H4085" s="1">
        <v>-2.9801469999999999E-6</v>
      </c>
      <c r="I4085">
        <v>175.95689999999999</v>
      </c>
      <c r="J4085">
        <v>-190.3888</v>
      </c>
      <c r="K4085">
        <v>1.110611</v>
      </c>
      <c r="L4085">
        <v>192.96279999999999</v>
      </c>
      <c r="M4085">
        <v>-0.10338029999999999</v>
      </c>
      <c r="N4085">
        <v>0</v>
      </c>
      <c r="O4085">
        <v>-0.99461980000000005</v>
      </c>
      <c r="P4085">
        <v>-0.15073139999999999</v>
      </c>
      <c r="Q4085">
        <v>0.12535109999999999</v>
      </c>
      <c r="R4085">
        <v>-0.98059580000000002</v>
      </c>
      <c r="S4085">
        <v>-9.9884029999999999E-2</v>
      </c>
      <c r="T4085">
        <v>-0.19905870000000001</v>
      </c>
      <c r="U4085">
        <v>-3.0704500000000001</v>
      </c>
      <c r="V4085">
        <v>4.8238389999999999E-2</v>
      </c>
      <c r="W4085">
        <v>0.13205919999999999</v>
      </c>
      <c r="X4085">
        <v>0.99006740000000004</v>
      </c>
      <c r="Y4085">
        <v>-7.1055430000000003E-2</v>
      </c>
      <c r="Z4085">
        <v>6.407678E-2</v>
      </c>
      <c r="AA4085">
        <v>0.99541210000000002</v>
      </c>
      <c r="AB4085">
        <v>22</v>
      </c>
      <c r="AC4085">
        <v>-0.54480000000000905</v>
      </c>
      <c r="AD4085">
        <v>-1.1106139801469901</v>
      </c>
      <c r="AE4085">
        <v>-17.005899999999901</v>
      </c>
      <c r="AF4085">
        <v>-1.2110728888801201</v>
      </c>
      <c r="AG4085">
        <v>-1.1106139801469901</v>
      </c>
      <c r="AH4085">
        <v>16.899097451144701</v>
      </c>
      <c r="AI4085">
        <v>93.750498197413407</v>
      </c>
      <c r="AJ4085">
        <v>94.099091012460903</v>
      </c>
      <c r="AK4085">
        <v>16.978800181943502</v>
      </c>
      <c r="AL4085">
        <v>82.411398264943102</v>
      </c>
      <c r="AM4085">
        <v>87.210621963973907</v>
      </c>
      <c r="AN4085">
        <v>1.00000001555859</v>
      </c>
    </row>
    <row r="4086" spans="1:40" x14ac:dyDescent="0.25">
      <c r="A4086" t="str">
        <f>"20190312164109317"</f>
        <v>20190312164109317</v>
      </c>
      <c r="B4086" t="str">
        <f>"1552380069309930"</f>
        <v>1552380069309930</v>
      </c>
      <c r="C4086" t="s">
        <v>40</v>
      </c>
      <c r="D4086">
        <v>5.7123989999999996</v>
      </c>
      <c r="E4086">
        <v>0.45424369999999997</v>
      </c>
      <c r="F4086" t="s">
        <v>41</v>
      </c>
      <c r="G4086">
        <v>-190.83449999999999</v>
      </c>
      <c r="H4086" s="1">
        <v>-2.9779680000000001E-6</v>
      </c>
      <c r="I4086">
        <v>176.01320000000001</v>
      </c>
      <c r="J4086">
        <v>-190.41059999999999</v>
      </c>
      <c r="K4086">
        <v>1.1107910000000001</v>
      </c>
      <c r="L4086">
        <v>192.74119999999999</v>
      </c>
      <c r="M4086">
        <v>-0.10210130000000001</v>
      </c>
      <c r="N4086">
        <v>0</v>
      </c>
      <c r="O4086">
        <v>-0.99475190000000002</v>
      </c>
      <c r="P4086">
        <v>-0.14179259999999999</v>
      </c>
      <c r="Q4086">
        <v>0.12653599999999901</v>
      </c>
      <c r="R4086">
        <v>-0.98177579999999998</v>
      </c>
      <c r="S4086">
        <v>-8.0810549999999995E-2</v>
      </c>
      <c r="T4086">
        <v>-0.2013344</v>
      </c>
      <c r="U4086">
        <v>-3.0726619999999998</v>
      </c>
      <c r="V4086">
        <v>4.0440120000000003E-2</v>
      </c>
      <c r="W4086">
        <v>0.13322519999999999</v>
      </c>
      <c r="X4086">
        <v>0.99026040000000004</v>
      </c>
      <c r="Y4086">
        <v>-7.5970099999999999E-2</v>
      </c>
      <c r="Z4086">
        <v>6.4766679999999993E-2</v>
      </c>
      <c r="AA4086">
        <v>0.99500440000000001</v>
      </c>
      <c r="AB4086">
        <v>22</v>
      </c>
      <c r="AC4086">
        <v>-0.423900000000003</v>
      </c>
      <c r="AD4086">
        <v>-1.1107939779680001</v>
      </c>
      <c r="AE4086">
        <v>-16.727999999999899</v>
      </c>
      <c r="AF4086">
        <v>-1.2806601907741599</v>
      </c>
      <c r="AG4086">
        <v>-1.1107939779680001</v>
      </c>
      <c r="AH4086">
        <v>16.610661460305</v>
      </c>
      <c r="AI4086">
        <v>93.814520569812899</v>
      </c>
      <c r="AJ4086">
        <v>94.408707757053193</v>
      </c>
      <c r="AK4086">
        <v>16.696946665021802</v>
      </c>
      <c r="AL4086">
        <v>82.343995759763601</v>
      </c>
      <c r="AM4086">
        <v>87.661462161677804</v>
      </c>
      <c r="AN4086">
        <v>1.0000000085144001</v>
      </c>
    </row>
    <row r="4087" spans="1:40" x14ac:dyDescent="0.25">
      <c r="A4087" t="str">
        <f>"20190312164109330"</f>
        <v>20190312164109330</v>
      </c>
      <c r="B4087" t="str">
        <f>"1552380069320667"</f>
        <v>1552380069320667</v>
      </c>
      <c r="C4087" t="s">
        <v>40</v>
      </c>
      <c r="D4087">
        <v>5.7929579999999996</v>
      </c>
      <c r="E4087">
        <v>0.45368380000000003</v>
      </c>
      <c r="F4087" t="s">
        <v>41</v>
      </c>
      <c r="G4087">
        <v>-190.70500000000001</v>
      </c>
      <c r="H4087" s="1">
        <v>-2.7714159999999999E-6</v>
      </c>
      <c r="I4087">
        <v>175.6121</v>
      </c>
      <c r="J4087">
        <v>-190.4221</v>
      </c>
      <c r="K4087">
        <v>1.110876</v>
      </c>
      <c r="L4087">
        <v>192.6206</v>
      </c>
      <c r="M4087">
        <v>-0.1012445</v>
      </c>
      <c r="N4087">
        <v>0</v>
      </c>
      <c r="O4087">
        <v>-0.99483960000000005</v>
      </c>
      <c r="P4087">
        <v>-0.13707069999999999</v>
      </c>
      <c r="Q4087">
        <v>0.1270734</v>
      </c>
      <c r="R4087">
        <v>-0.98237719999999995</v>
      </c>
      <c r="S4087">
        <v>-5.282593E-2</v>
      </c>
      <c r="T4087">
        <v>-0.1993268</v>
      </c>
      <c r="U4087">
        <v>-3.0737299999999999</v>
      </c>
      <c r="V4087">
        <v>3.650751E-2</v>
      </c>
      <c r="W4087">
        <v>0.1337516</v>
      </c>
      <c r="X4087">
        <v>0.99034219999999895</v>
      </c>
      <c r="Y4087">
        <v>-8.417144E-2</v>
      </c>
      <c r="Z4087">
        <v>6.4094769999999995E-2</v>
      </c>
      <c r="AA4087">
        <v>0.99438769999999999</v>
      </c>
      <c r="AB4087">
        <v>22</v>
      </c>
      <c r="AC4087">
        <v>-0.28290000000001198</v>
      </c>
      <c r="AD4087">
        <v>-1.110878771416</v>
      </c>
      <c r="AE4087">
        <v>-17.008499999999898</v>
      </c>
      <c r="AF4087">
        <v>-1.4344908782730099</v>
      </c>
      <c r="AG4087">
        <v>-1.110878771416</v>
      </c>
      <c r="AH4087">
        <v>16.877764552985401</v>
      </c>
      <c r="AI4087">
        <v>93.752233862816695</v>
      </c>
      <c r="AJ4087">
        <v>94.858061474945899</v>
      </c>
      <c r="AK4087">
        <v>16.9750037416974</v>
      </c>
      <c r="AL4087">
        <v>82.313562685448701</v>
      </c>
      <c r="AM4087">
        <v>87.888831235108398</v>
      </c>
      <c r="AN4087">
        <v>0.99999998094489895</v>
      </c>
    </row>
    <row r="4088" spans="1:40" x14ac:dyDescent="0.25">
      <c r="A4088" t="str">
        <f>"20190312164109342"</f>
        <v>20190312164109342</v>
      </c>
      <c r="B4088" t="str">
        <f>"1552380069330427"</f>
        <v>1552380069330427</v>
      </c>
      <c r="C4088" t="s">
        <v>40</v>
      </c>
      <c r="D4088">
        <v>5.7944239999999896</v>
      </c>
      <c r="E4088">
        <v>0.45335449999999999</v>
      </c>
      <c r="F4088" t="s">
        <v>41</v>
      </c>
      <c r="G4088">
        <v>-190.60720000000001</v>
      </c>
      <c r="H4088" s="1">
        <v>-3.0438340000000001E-6</v>
      </c>
      <c r="I4088">
        <v>176.30779999999999</v>
      </c>
      <c r="J4088">
        <v>-190.43299999999999</v>
      </c>
      <c r="K4088">
        <v>1.110949</v>
      </c>
      <c r="L4088">
        <v>192.50559999999999</v>
      </c>
      <c r="M4088">
        <v>-0.1003854</v>
      </c>
      <c r="N4088">
        <v>0</v>
      </c>
      <c r="O4088">
        <v>-0.99492659999999999</v>
      </c>
      <c r="P4088">
        <v>-0.13255610000000001</v>
      </c>
      <c r="Q4088">
        <v>0.12742229999999999</v>
      </c>
      <c r="R4088">
        <v>-0.98295100000000002</v>
      </c>
      <c r="S4088">
        <v>-3.489685E-2</v>
      </c>
      <c r="T4088">
        <v>-0.2094733</v>
      </c>
      <c r="U4088">
        <v>-3.0760350000000001</v>
      </c>
      <c r="V4088">
        <v>3.2788310000000001E-2</v>
      </c>
      <c r="W4088">
        <v>0.13408900000000001</v>
      </c>
      <c r="X4088">
        <v>0.99042669999999999</v>
      </c>
      <c r="Y4088">
        <v>-8.911985E-2</v>
      </c>
      <c r="Z4088">
        <v>6.728953E-2</v>
      </c>
      <c r="AA4088">
        <v>0.99374530000000005</v>
      </c>
      <c r="AB4088">
        <v>22</v>
      </c>
      <c r="AC4088">
        <v>-0.17420000000001301</v>
      </c>
      <c r="AD4088">
        <v>-1.1109520438339999</v>
      </c>
      <c r="AE4088">
        <v>-16.197800000000001</v>
      </c>
      <c r="AF4088">
        <v>-1.4459371789969999</v>
      </c>
      <c r="AG4088">
        <v>-1.1109520438339999</v>
      </c>
      <c r="AH4088">
        <v>16.057933066097199</v>
      </c>
      <c r="AI4088">
        <v>93.941747712448205</v>
      </c>
      <c r="AJ4088">
        <v>95.145324250855197</v>
      </c>
      <c r="AK4088">
        <v>16.161131245199499</v>
      </c>
      <c r="AL4088">
        <v>82.2940554442322</v>
      </c>
      <c r="AM4088">
        <v>88.103902154872202</v>
      </c>
      <c r="AN4088">
        <v>0.99999999063327305</v>
      </c>
    </row>
    <row r="4089" spans="1:40" x14ac:dyDescent="0.25">
      <c r="A4089" t="str">
        <f>"20190312164109353"</f>
        <v>20190312164109353</v>
      </c>
      <c r="B4089" t="str">
        <f>"1552380069349947"</f>
        <v>1552380069349947</v>
      </c>
      <c r="C4089" t="s">
        <v>40</v>
      </c>
      <c r="D4089">
        <v>6.2726569999999997</v>
      </c>
      <c r="E4089">
        <v>0.45358939999999998</v>
      </c>
      <c r="F4089" t="s">
        <v>41</v>
      </c>
      <c r="G4089">
        <v>-190.52979999999999</v>
      </c>
      <c r="H4089" s="1">
        <v>-3.1753849999999999E-6</v>
      </c>
      <c r="I4089">
        <v>176.66239999999999</v>
      </c>
      <c r="J4089">
        <v>-190.44489999999999</v>
      </c>
      <c r="K4089">
        <v>1.111027</v>
      </c>
      <c r="L4089">
        <v>192.3775</v>
      </c>
      <c r="M4089">
        <v>-9.9330160000000001E-2</v>
      </c>
      <c r="N4089">
        <v>0</v>
      </c>
      <c r="O4089">
        <v>-0.99503280000000005</v>
      </c>
      <c r="P4089">
        <v>-0.12783900000000001</v>
      </c>
      <c r="Q4089">
        <v>0.12806049999999999</v>
      </c>
      <c r="R4089">
        <v>-0.98349299999999995</v>
      </c>
      <c r="S4089">
        <v>-1.8814089999999999E-2</v>
      </c>
      <c r="T4089">
        <v>-0.21579609999999999</v>
      </c>
      <c r="U4089">
        <v>-3.0774539999999999</v>
      </c>
      <c r="V4089">
        <v>2.9064220000000002E-2</v>
      </c>
      <c r="W4089">
        <v>0.13471459999999999</v>
      </c>
      <c r="X4089">
        <v>0.99045810000000001</v>
      </c>
      <c r="Y4089">
        <v>-9.3261510000000006E-2</v>
      </c>
      <c r="Z4089">
        <v>6.9278380000000001E-2</v>
      </c>
      <c r="AA4089">
        <v>0.99322849999999996</v>
      </c>
      <c r="AB4089">
        <v>22</v>
      </c>
      <c r="AC4089">
        <v>-8.4900000000004597E-2</v>
      </c>
      <c r="AD4089">
        <v>-1.111030175385</v>
      </c>
      <c r="AE4089">
        <v>-15.7151</v>
      </c>
      <c r="AF4089">
        <v>-1.4691938659871999</v>
      </c>
      <c r="AG4089">
        <v>-1.111030175385</v>
      </c>
      <c r="AH4089">
        <v>15.568001011691701</v>
      </c>
      <c r="AI4089">
        <v>94.064068638248102</v>
      </c>
      <c r="AJ4089">
        <v>95.391188685471903</v>
      </c>
      <c r="AK4089">
        <v>15.6765931938832</v>
      </c>
      <c r="AL4089">
        <v>82.2578830818222</v>
      </c>
      <c r="AM4089">
        <v>88.319182393846305</v>
      </c>
      <c r="AN4089">
        <v>1.0000000000964799</v>
      </c>
    </row>
    <row r="4090" spans="1:40" x14ac:dyDescent="0.25">
      <c r="A4090" t="str">
        <f>"20190312164109368"</f>
        <v>20190312164109368</v>
      </c>
      <c r="B4090" t="str">
        <f>"1552380069360684"</f>
        <v>1552380069360684</v>
      </c>
      <c r="C4090" t="s">
        <v>40</v>
      </c>
      <c r="D4090">
        <v>5.7634100000000004</v>
      </c>
      <c r="E4090">
        <v>0.4536326</v>
      </c>
      <c r="F4090" t="s">
        <v>41</v>
      </c>
      <c r="G4090">
        <v>-190.4768</v>
      </c>
      <c r="H4090" s="1">
        <v>-3.150034E-6</v>
      </c>
      <c r="I4090">
        <v>176.6362</v>
      </c>
      <c r="J4090">
        <v>-190.45689999999999</v>
      </c>
      <c r="K4090">
        <v>1.1111009999999999</v>
      </c>
      <c r="L4090">
        <v>192.24459999999999</v>
      </c>
      <c r="M4090">
        <v>-9.8146040000000004E-2</v>
      </c>
      <c r="N4090">
        <v>0</v>
      </c>
      <c r="O4090">
        <v>-0.99515019999999998</v>
      </c>
      <c r="P4090">
        <v>-0.123071</v>
      </c>
      <c r="Q4090">
        <v>0.12830639999999999</v>
      </c>
      <c r="R4090">
        <v>-0.98406859999999996</v>
      </c>
      <c r="S4090">
        <v>-6.2408450000000001E-3</v>
      </c>
      <c r="T4090">
        <v>-0.21723390000000001</v>
      </c>
      <c r="U4090">
        <v>-3.07782</v>
      </c>
      <c r="V4090">
        <v>2.5417200000000001E-2</v>
      </c>
      <c r="W4090">
        <v>0.13494619999999999</v>
      </c>
      <c r="X4090">
        <v>0.99052689999999999</v>
      </c>
      <c r="Y4090">
        <v>-9.6134479999999994E-2</v>
      </c>
      <c r="Z4090">
        <v>6.9732730000000007E-2</v>
      </c>
      <c r="AA4090">
        <v>0.99292270000000005</v>
      </c>
      <c r="AB4090">
        <v>22</v>
      </c>
      <c r="AC4090">
        <v>-1.9900000000006898E-2</v>
      </c>
      <c r="AD4090">
        <v>-1.111104150034</v>
      </c>
      <c r="AE4090">
        <v>-15.6083999999999</v>
      </c>
      <c r="AF4090">
        <v>-1.5045079370996699</v>
      </c>
      <c r="AG4090">
        <v>-1.111104150034</v>
      </c>
      <c r="AH4090">
        <v>15.456666515492699</v>
      </c>
      <c r="AI4090">
        <v>94.092366078025606</v>
      </c>
      <c r="AJ4090">
        <v>95.559494435891494</v>
      </c>
      <c r="AK4090">
        <v>15.569413487224599</v>
      </c>
      <c r="AL4090">
        <v>82.244491289436795</v>
      </c>
      <c r="AM4090">
        <v>88.530096678838206</v>
      </c>
      <c r="AN4090">
        <v>1.0000000252869401</v>
      </c>
    </row>
    <row r="4091" spans="1:40" x14ac:dyDescent="0.25">
      <c r="A4091" t="str">
        <f>"20190312164109386"</f>
        <v>20190312164109386</v>
      </c>
      <c r="B4091" t="str">
        <f>"1552380069380203"</f>
        <v>1552380069380203</v>
      </c>
      <c r="C4091" t="s">
        <v>40</v>
      </c>
      <c r="D4091">
        <v>5.8933359999999997</v>
      </c>
      <c r="E4091">
        <v>0.45359260000000001</v>
      </c>
      <c r="F4091" t="s">
        <v>41</v>
      </c>
      <c r="G4091">
        <v>-190.41229999999999</v>
      </c>
      <c r="H4091" s="1">
        <v>-3.0166559999999999E-6</v>
      </c>
      <c r="I4091">
        <v>176.36529999999999</v>
      </c>
      <c r="J4091">
        <v>-190.47229999999999</v>
      </c>
      <c r="K4091">
        <v>1.111186</v>
      </c>
      <c r="L4091">
        <v>192.07079999999999</v>
      </c>
      <c r="M4091">
        <v>-9.6501229999999993E-2</v>
      </c>
      <c r="N4091">
        <v>0</v>
      </c>
      <c r="O4091">
        <v>-0.99531099999999995</v>
      </c>
      <c r="P4091">
        <v>-0.1137581</v>
      </c>
      <c r="Q4091">
        <v>0.128944</v>
      </c>
      <c r="R4091">
        <v>-0.98510560000000003</v>
      </c>
      <c r="S4091">
        <v>8.651733E-3</v>
      </c>
      <c r="T4091">
        <v>-0.2153533</v>
      </c>
      <c r="U4091">
        <v>-3.0777130000000001</v>
      </c>
      <c r="V4091">
        <v>1.765458E-2</v>
      </c>
      <c r="W4091">
        <v>0.13555039999999999</v>
      </c>
      <c r="X4091">
        <v>0.99061319999999997</v>
      </c>
      <c r="Y4091">
        <v>-9.9293569999999998E-2</v>
      </c>
      <c r="Z4091">
        <v>6.9140259999999995E-2</v>
      </c>
      <c r="AA4091">
        <v>0.99265320000000001</v>
      </c>
      <c r="AB4091">
        <v>22</v>
      </c>
      <c r="AC4091">
        <v>6.0000000000002197E-2</v>
      </c>
      <c r="AD4091">
        <v>-1.1111890166559999</v>
      </c>
      <c r="AE4091">
        <v>-15.705500000000001</v>
      </c>
      <c r="AF4091">
        <v>-1.56750652356402</v>
      </c>
      <c r="AG4091">
        <v>-1.1111890166559999</v>
      </c>
      <c r="AH4091">
        <v>15.548575200985301</v>
      </c>
      <c r="AI4091">
        <v>94.067184196166494</v>
      </c>
      <c r="AJ4091">
        <v>95.756738907646906</v>
      </c>
      <c r="AK4091">
        <v>15.6668442423115</v>
      </c>
      <c r="AL4091">
        <v>82.209552371503705</v>
      </c>
      <c r="AM4091">
        <v>88.978990135166299</v>
      </c>
      <c r="AN4091">
        <v>1.00000005357468</v>
      </c>
    </row>
    <row r="4092" spans="1:40" x14ac:dyDescent="0.25">
      <c r="A4092" t="str">
        <f>"20190312164109409"</f>
        <v>20190312164109409</v>
      </c>
      <c r="B4092" t="str">
        <f>"1552380069400699"</f>
        <v>1552380069400699</v>
      </c>
      <c r="C4092" t="s">
        <v>40</v>
      </c>
      <c r="D4092">
        <v>5.9603000000000002</v>
      </c>
      <c r="E4092">
        <v>0.45418009999999898</v>
      </c>
      <c r="F4092" t="s">
        <v>41</v>
      </c>
      <c r="G4092">
        <v>-190.2901</v>
      </c>
      <c r="H4092" s="1">
        <v>-3.238652E-6</v>
      </c>
      <c r="I4092">
        <v>176.95859999999999</v>
      </c>
      <c r="J4092">
        <v>-190.49260000000001</v>
      </c>
      <c r="K4092">
        <v>1.1112879999999901</v>
      </c>
      <c r="L4092">
        <v>191.83439999999999</v>
      </c>
      <c r="M4092">
        <v>-9.4090259999999995E-2</v>
      </c>
      <c r="N4092">
        <v>0</v>
      </c>
      <c r="O4092">
        <v>-0.99554209999999999</v>
      </c>
      <c r="P4092">
        <v>-0.1028005</v>
      </c>
      <c r="Q4092">
        <v>0.12974440000000001</v>
      </c>
      <c r="R4092">
        <v>-0.98620430000000003</v>
      </c>
      <c r="S4092">
        <v>3.7124629999999999E-2</v>
      </c>
      <c r="T4092">
        <v>-0.2264168</v>
      </c>
      <c r="U4092">
        <v>-3.079285</v>
      </c>
      <c r="V4092">
        <v>9.0066929999999996E-3</v>
      </c>
      <c r="W4092">
        <v>0.13630349999999999</v>
      </c>
      <c r="X4092">
        <v>0.99062620000000001</v>
      </c>
      <c r="Y4092">
        <v>-0.1060546</v>
      </c>
      <c r="Z4092">
        <v>7.2633939999999994E-2</v>
      </c>
      <c r="AA4092">
        <v>0.99170389999999997</v>
      </c>
      <c r="AB4092">
        <v>23</v>
      </c>
      <c r="AC4092">
        <v>0.202500000000014</v>
      </c>
      <c r="AD4092">
        <v>-1.11129123865199</v>
      </c>
      <c r="AE4092">
        <v>-14.8757999999999</v>
      </c>
      <c r="AF4092">
        <v>-1.5924142816003599</v>
      </c>
      <c r="AG4092">
        <v>-1.11129123865199</v>
      </c>
      <c r="AH4092">
        <v>14.7086787958147</v>
      </c>
      <c r="AI4092">
        <v>94.295677560662995</v>
      </c>
      <c r="AJ4092">
        <v>96.178980148645607</v>
      </c>
      <c r="AK4092">
        <v>14.836306257953799</v>
      </c>
      <c r="AL4092">
        <v>82.165998400308098</v>
      </c>
      <c r="AM4092">
        <v>89.479085776564602</v>
      </c>
      <c r="AN4092">
        <v>1.0000000163787399</v>
      </c>
    </row>
    <row r="4093" spans="1:40" x14ac:dyDescent="0.25">
      <c r="A4093" t="str">
        <f>"20190312164109429"</f>
        <v>20190312164109429</v>
      </c>
      <c r="B4093" t="str">
        <f>"1552380069420222"</f>
        <v>1552380069420222</v>
      </c>
      <c r="C4093" t="s">
        <v>40</v>
      </c>
      <c r="D4093">
        <v>5.7535379999999998</v>
      </c>
      <c r="E4093">
        <v>0.45495200000000002</v>
      </c>
      <c r="F4093" t="s">
        <v>41</v>
      </c>
      <c r="G4093">
        <v>-190.17949999999999</v>
      </c>
      <c r="H4093" s="1">
        <v>-3.1622450000000002E-6</v>
      </c>
      <c r="I4093">
        <v>176.84909999999999</v>
      </c>
      <c r="J4093">
        <v>-190.50960000000001</v>
      </c>
      <c r="K4093">
        <v>1.111364</v>
      </c>
      <c r="L4093">
        <v>191.62889999999999</v>
      </c>
      <c r="M4093">
        <v>-9.1868450000000004E-2</v>
      </c>
      <c r="N4093">
        <v>0</v>
      </c>
      <c r="O4093">
        <v>-0.99574949999999995</v>
      </c>
      <c r="P4093">
        <v>-9.2475740000000001E-2</v>
      </c>
      <c r="Q4093">
        <v>0.13208210000000001</v>
      </c>
      <c r="R4093">
        <v>-0.98691580000000001</v>
      </c>
      <c r="S4093">
        <v>6.4331050000000001E-2</v>
      </c>
      <c r="T4093">
        <v>-0.2283134</v>
      </c>
      <c r="U4093">
        <v>-3.0787200000000001</v>
      </c>
      <c r="V4093">
        <v>8.4016029999999995E-4</v>
      </c>
      <c r="W4093">
        <v>0.13858609999999999</v>
      </c>
      <c r="X4093">
        <v>0.99034999999999995</v>
      </c>
      <c r="Y4093">
        <v>-0.11259570000000001</v>
      </c>
      <c r="Z4093">
        <v>7.3243420000000004E-2</v>
      </c>
      <c r="AA4093">
        <v>0.99093779999999998</v>
      </c>
      <c r="AB4093">
        <v>23</v>
      </c>
      <c r="AC4093">
        <v>0.33010000000001499</v>
      </c>
      <c r="AD4093">
        <v>-1.1113671622450001</v>
      </c>
      <c r="AE4093">
        <v>-14.7797999999999</v>
      </c>
      <c r="AF4093">
        <v>-1.6770527768877099</v>
      </c>
      <c r="AG4093">
        <v>-1.1113671622450001</v>
      </c>
      <c r="AH4093">
        <v>14.6044328347151</v>
      </c>
      <c r="AI4093">
        <v>94.323400516240795</v>
      </c>
      <c r="AJ4093">
        <v>96.550682790949395</v>
      </c>
      <c r="AK4093">
        <v>14.742357389830399</v>
      </c>
      <c r="AL4093">
        <v>82.033961533913796</v>
      </c>
      <c r="AM4093">
        <v>89.951393317759994</v>
      </c>
      <c r="AN4093">
        <v>0.99999996774126898</v>
      </c>
    </row>
    <row r="4094" spans="1:40" x14ac:dyDescent="0.25">
      <c r="A4094" t="str">
        <f>"20190312164109441"</f>
        <v>20190312164109441</v>
      </c>
      <c r="B4094" t="str">
        <f>"1552380069429978"</f>
        <v>1552380069429978</v>
      </c>
      <c r="C4094" t="s">
        <v>40</v>
      </c>
      <c r="D4094">
        <v>5.7142660000000003</v>
      </c>
      <c r="E4094">
        <v>0.45515840000000002</v>
      </c>
      <c r="F4094" t="s">
        <v>41</v>
      </c>
      <c r="G4094">
        <v>-190.0625</v>
      </c>
      <c r="H4094" s="1">
        <v>-2.880232E-6</v>
      </c>
      <c r="I4094">
        <v>176.26419999999999</v>
      </c>
      <c r="J4094">
        <v>-190.51990000000001</v>
      </c>
      <c r="K4094">
        <v>1.1113999999999999</v>
      </c>
      <c r="L4094">
        <v>191.5009</v>
      </c>
      <c r="M4094">
        <v>-9.0440590000000001E-2</v>
      </c>
      <c r="N4094">
        <v>0</v>
      </c>
      <c r="O4094">
        <v>-0.9958806</v>
      </c>
      <c r="P4094">
        <v>-8.7282189999999996E-2</v>
      </c>
      <c r="Q4094">
        <v>0.13329820000000001</v>
      </c>
      <c r="R4094">
        <v>-0.98722549999999998</v>
      </c>
      <c r="S4094">
        <v>8.9569090000000004E-2</v>
      </c>
      <c r="T4094">
        <v>-0.22263749999999999</v>
      </c>
      <c r="U4094">
        <v>-3.0779570000000001</v>
      </c>
      <c r="V4094">
        <v>-2.9555219999999999E-3</v>
      </c>
      <c r="W4094">
        <v>0.139769</v>
      </c>
      <c r="X4094">
        <v>0.9901797</v>
      </c>
      <c r="Y4094">
        <v>-0.1192974</v>
      </c>
      <c r="Z4094">
        <v>7.1428320000000003E-2</v>
      </c>
      <c r="AA4094">
        <v>0.99028590000000005</v>
      </c>
      <c r="AB4094">
        <v>23</v>
      </c>
      <c r="AC4094">
        <v>0.45740000000000602</v>
      </c>
      <c r="AD4094">
        <v>-1.111402880232</v>
      </c>
      <c r="AE4094">
        <v>-15.236700000000001</v>
      </c>
      <c r="AF4094">
        <v>-1.82387534510316</v>
      </c>
      <c r="AG4094">
        <v>-1.111402880232</v>
      </c>
      <c r="AH4094">
        <v>15.052868414558301</v>
      </c>
      <c r="AI4094">
        <v>94.192124838081597</v>
      </c>
      <c r="AJ4094">
        <v>96.908545882249896</v>
      </c>
      <c r="AK4094">
        <v>15.2036372339868</v>
      </c>
      <c r="AL4094">
        <v>81.965520286694996</v>
      </c>
      <c r="AM4094">
        <v>90.171017880862706</v>
      </c>
      <c r="AN4094">
        <v>0.99999997338169</v>
      </c>
    </row>
    <row r="4095" spans="1:40" x14ac:dyDescent="0.25">
      <c r="A4095" t="str">
        <f>"20190312164109453"</f>
        <v>20190312164109453</v>
      </c>
      <c r="B4095" t="str">
        <f>"1552380069450474"</f>
        <v>1552380069450474</v>
      </c>
      <c r="C4095" t="s">
        <v>40</v>
      </c>
      <c r="D4095">
        <v>6.3291219999999999</v>
      </c>
      <c r="E4095">
        <v>0.45579360000000002</v>
      </c>
      <c r="F4095" t="s">
        <v>41</v>
      </c>
      <c r="G4095">
        <v>-189.99680000000001</v>
      </c>
      <c r="H4095" s="1">
        <v>-2.7520160000000001E-6</v>
      </c>
      <c r="I4095">
        <v>176.0061</v>
      </c>
      <c r="J4095">
        <v>-190.52959999999999</v>
      </c>
      <c r="K4095">
        <v>1.111429</v>
      </c>
      <c r="L4095">
        <v>191.37780000000001</v>
      </c>
      <c r="M4095">
        <v>-8.9028430000000006E-2</v>
      </c>
      <c r="N4095">
        <v>0</v>
      </c>
      <c r="O4095">
        <v>-0.99600759999999999</v>
      </c>
      <c r="P4095">
        <v>-8.2226510000000003E-2</v>
      </c>
      <c r="Q4095">
        <v>0.13472970000000001</v>
      </c>
      <c r="R4095">
        <v>-0.98746460000000003</v>
      </c>
      <c r="S4095">
        <v>0.1039124</v>
      </c>
      <c r="T4095">
        <v>-0.22076419999999999</v>
      </c>
      <c r="U4095">
        <v>-3.07782</v>
      </c>
      <c r="V4095">
        <v>-6.6223389999999997E-3</v>
      </c>
      <c r="W4095">
        <v>0.1411645</v>
      </c>
      <c r="X4095">
        <v>0.98996399999999996</v>
      </c>
      <c r="Y4095">
        <v>-0.1225021</v>
      </c>
      <c r="Z4095">
        <v>7.0828000000000002E-2</v>
      </c>
      <c r="AA4095">
        <v>0.98993770000000003</v>
      </c>
      <c r="AB4095">
        <v>23</v>
      </c>
      <c r="AC4095">
        <v>0.53279999999997996</v>
      </c>
      <c r="AD4095">
        <v>-1.111431752016</v>
      </c>
      <c r="AE4095">
        <v>-15.371700000000001</v>
      </c>
      <c r="AF4095">
        <v>-1.88936636840988</v>
      </c>
      <c r="AG4095">
        <v>-1.111431752016</v>
      </c>
      <c r="AH4095">
        <v>15.1839384485968</v>
      </c>
      <c r="AI4095">
        <v>94.154536060294504</v>
      </c>
      <c r="AJ4095">
        <v>97.092965358656599</v>
      </c>
      <c r="AK4095">
        <v>15.3413484617306</v>
      </c>
      <c r="AL4095">
        <v>81.884763531893498</v>
      </c>
      <c r="AM4095">
        <v>90.383272942867293</v>
      </c>
      <c r="AN4095">
        <v>0.99999999636504</v>
      </c>
    </row>
    <row r="4096" spans="1:40" x14ac:dyDescent="0.25">
      <c r="A4096" t="str">
        <f>"20190312164109474"</f>
        <v>20190312164109474</v>
      </c>
      <c r="B4096" t="str">
        <f>"1552380069469995"</f>
        <v>1552380069469995</v>
      </c>
      <c r="C4096" t="s">
        <v>40</v>
      </c>
      <c r="D4096">
        <v>5.7943189999999998</v>
      </c>
      <c r="E4096">
        <v>0.45671640000000002</v>
      </c>
      <c r="F4096" t="s">
        <v>41</v>
      </c>
      <c r="G4096">
        <v>-189.9477</v>
      </c>
      <c r="H4096" s="1">
        <v>-2.6176670000000001E-6</v>
      </c>
      <c r="I4096">
        <v>175.71299999999999</v>
      </c>
      <c r="J4096">
        <v>-190.54509999999999</v>
      </c>
      <c r="K4096">
        <v>1.111462</v>
      </c>
      <c r="L4096">
        <v>191.17449999999999</v>
      </c>
      <c r="M4096">
        <v>-8.6649190000000001E-2</v>
      </c>
      <c r="N4096">
        <v>0</v>
      </c>
      <c r="O4096">
        <v>-0.99621769999999998</v>
      </c>
      <c r="P4096">
        <v>-7.2665850000000004E-2</v>
      </c>
      <c r="Q4096">
        <v>0.13750079999999901</v>
      </c>
      <c r="R4096">
        <v>-0.98783279999999996</v>
      </c>
      <c r="S4096">
        <v>0.1143188</v>
      </c>
      <c r="T4096">
        <v>-0.2183435</v>
      </c>
      <c r="U4096">
        <v>-3.0773929999999998</v>
      </c>
      <c r="V4096">
        <v>-1.383528E-2</v>
      </c>
      <c r="W4096">
        <v>0.14386470000000001</v>
      </c>
      <c r="X4096">
        <v>0.98950059999999995</v>
      </c>
      <c r="Y4096">
        <v>-0.1234816</v>
      </c>
      <c r="Z4096">
        <v>7.0078719999999997E-2</v>
      </c>
      <c r="AA4096">
        <v>0.98986929999999995</v>
      </c>
      <c r="AB4096">
        <v>23</v>
      </c>
      <c r="AC4096">
        <v>0.59739999999999305</v>
      </c>
      <c r="AD4096">
        <v>-1.111464617667</v>
      </c>
      <c r="AE4096">
        <v>-15.461499999999999</v>
      </c>
      <c r="AF4096">
        <v>-1.9249750904846401</v>
      </c>
      <c r="AG4096">
        <v>-1.111464617667</v>
      </c>
      <c r="AH4096">
        <v>15.2727739737447</v>
      </c>
      <c r="AI4096">
        <v>94.129760485030403</v>
      </c>
      <c r="AJ4096">
        <v>97.183659973676001</v>
      </c>
      <c r="AK4096">
        <v>15.433680946177599</v>
      </c>
      <c r="AL4096">
        <v>81.728457590251594</v>
      </c>
      <c r="AM4096">
        <v>90.801062173153397</v>
      </c>
      <c r="AN4096">
        <v>0.99999995213956305</v>
      </c>
    </row>
    <row r="4097" spans="1:40" x14ac:dyDescent="0.25">
      <c r="A4097" t="str">
        <f>"20190312164109487"</f>
        <v>20190312164109487</v>
      </c>
      <c r="B4097" t="str">
        <f>"1552380069479755"</f>
        <v>1552380069479755</v>
      </c>
      <c r="C4097" t="s">
        <v>40</v>
      </c>
      <c r="D4097">
        <v>5.6876769999999999</v>
      </c>
      <c r="E4097">
        <v>0.45713199999999998</v>
      </c>
      <c r="F4097" t="s">
        <v>41</v>
      </c>
      <c r="G4097">
        <v>-189.82689999999999</v>
      </c>
      <c r="H4097" s="1">
        <v>-2.2783599999999998E-6</v>
      </c>
      <c r="I4097">
        <v>174.87209999999999</v>
      </c>
      <c r="J4097">
        <v>-190.55609999999999</v>
      </c>
      <c r="K4097">
        <v>1.11147</v>
      </c>
      <c r="L4097">
        <v>191.0265</v>
      </c>
      <c r="M4097">
        <v>-8.4887760000000007E-2</v>
      </c>
      <c r="N4097">
        <v>0</v>
      </c>
      <c r="O4097">
        <v>-0.99636979999999997</v>
      </c>
      <c r="P4097">
        <v>-6.6875989999999996E-2</v>
      </c>
      <c r="Q4097">
        <v>0.13882030000000001</v>
      </c>
      <c r="R4097">
        <v>-0.98805730000000003</v>
      </c>
      <c r="S4097">
        <v>0.1355286</v>
      </c>
      <c r="T4097">
        <v>-0.20972440000000001</v>
      </c>
      <c r="U4097">
        <v>-3.0761409999999998</v>
      </c>
      <c r="V4097">
        <v>-1.7881999999999999E-2</v>
      </c>
      <c r="W4097">
        <v>0.14513199999999901</v>
      </c>
      <c r="X4097">
        <v>0.98925070000000004</v>
      </c>
      <c r="Y4097">
        <v>-0.1285626</v>
      </c>
      <c r="Z4097">
        <v>6.7336740000000006E-2</v>
      </c>
      <c r="AA4097">
        <v>0.98941270000000003</v>
      </c>
      <c r="AB4097">
        <v>23</v>
      </c>
      <c r="AC4097">
        <v>0.72919999999999097</v>
      </c>
      <c r="AD4097">
        <v>-1.11147227836</v>
      </c>
      <c r="AE4097">
        <v>-16.154399999999999</v>
      </c>
      <c r="AF4097">
        <v>-2.0880425934862501</v>
      </c>
      <c r="AG4097">
        <v>-1.11147227836</v>
      </c>
      <c r="AH4097">
        <v>15.9587940580143</v>
      </c>
      <c r="AI4097">
        <v>93.950448045361398</v>
      </c>
      <c r="AJ4097">
        <v>97.454214384129799</v>
      </c>
      <c r="AK4097">
        <v>16.133146013220301</v>
      </c>
      <c r="AL4097">
        <v>81.655076956245097</v>
      </c>
      <c r="AM4097">
        <v>91.035583354285293</v>
      </c>
      <c r="AN4097">
        <v>1.0000000053992399</v>
      </c>
    </row>
    <row r="4098" spans="1:40" x14ac:dyDescent="0.25">
      <c r="A4098" t="str">
        <f>"20190312164109500"</f>
        <v>20190312164109500</v>
      </c>
      <c r="B4098" t="str">
        <f>"1552380069490492"</f>
        <v>1552380069490492</v>
      </c>
      <c r="C4098" t="s">
        <v>40</v>
      </c>
      <c r="D4098">
        <v>5.801183</v>
      </c>
      <c r="E4098">
        <v>0.45748420000000001</v>
      </c>
      <c r="F4098" t="s">
        <v>41</v>
      </c>
      <c r="G4098">
        <v>-189.74600000000001</v>
      </c>
      <c r="H4098" s="1">
        <v>-2.0790290000000001E-6</v>
      </c>
      <c r="I4098">
        <v>174.374</v>
      </c>
      <c r="J4098">
        <v>-190.5651</v>
      </c>
      <c r="K4098">
        <v>1.1114649999999999</v>
      </c>
      <c r="L4098">
        <v>190.9034</v>
      </c>
      <c r="M4098">
        <v>-8.3415719999999999E-2</v>
      </c>
      <c r="N4098">
        <v>0</v>
      </c>
      <c r="O4098">
        <v>-0.9964942</v>
      </c>
      <c r="P4098">
        <v>-6.220084E-2</v>
      </c>
      <c r="Q4098">
        <v>0.139956</v>
      </c>
      <c r="R4098">
        <v>-0.98820240000000004</v>
      </c>
      <c r="S4098">
        <v>0.14959720000000001</v>
      </c>
      <c r="T4098">
        <v>-0.20525669999999999</v>
      </c>
      <c r="U4098">
        <v>-3.0752259999999998</v>
      </c>
      <c r="V4098">
        <v>-2.109743E-2</v>
      </c>
      <c r="W4098">
        <v>0.14622180000000001</v>
      </c>
      <c r="X4098">
        <v>0.98902679999999998</v>
      </c>
      <c r="Y4098">
        <v>-0.1316312</v>
      </c>
      <c r="Z4098">
        <v>6.5920240000000005E-2</v>
      </c>
      <c r="AA4098">
        <v>0.98910450000000005</v>
      </c>
      <c r="AB4098">
        <v>23</v>
      </c>
      <c r="AC4098">
        <v>0.81910000000002003</v>
      </c>
      <c r="AD4098">
        <v>-1.111467079029</v>
      </c>
      <c r="AE4098">
        <v>-16.5293999999999</v>
      </c>
      <c r="AF4098">
        <v>-2.1852291099465599</v>
      </c>
      <c r="AG4098">
        <v>-1.111467079029</v>
      </c>
      <c r="AH4098">
        <v>16.3298089595006</v>
      </c>
      <c r="AI4098">
        <v>93.859459163842899</v>
      </c>
      <c r="AJ4098">
        <v>97.621949148262502</v>
      </c>
      <c r="AK4098">
        <v>16.512820655009499</v>
      </c>
      <c r="AL4098">
        <v>81.591962371078097</v>
      </c>
      <c r="AM4098">
        <v>91.222019868992405</v>
      </c>
      <c r="AN4098">
        <v>0.99999996373304101</v>
      </c>
    </row>
    <row r="4099" spans="1:40" x14ac:dyDescent="0.25">
      <c r="A4099" t="str">
        <f>"20190312164109510"</f>
        <v>20190312164109510</v>
      </c>
      <c r="B4099" t="str">
        <f>"1552380069500251"</f>
        <v>1552380069500251</v>
      </c>
      <c r="C4099" t="s">
        <v>40</v>
      </c>
      <c r="D4099">
        <v>5.7223819999999996</v>
      </c>
      <c r="E4099">
        <v>0.4578179</v>
      </c>
      <c r="F4099" t="s">
        <v>41</v>
      </c>
      <c r="G4099">
        <v>-189.68539999999999</v>
      </c>
      <c r="H4099" s="1">
        <v>-1.9613319999999998E-6</v>
      </c>
      <c r="I4099">
        <v>174.0746</v>
      </c>
      <c r="J4099">
        <v>-190.5736</v>
      </c>
      <c r="K4099">
        <v>1.1114569999999999</v>
      </c>
      <c r="L4099">
        <v>190.7835</v>
      </c>
      <c r="M4099">
        <v>-8.1974190000000002E-2</v>
      </c>
      <c r="N4099">
        <v>0</v>
      </c>
      <c r="O4099">
        <v>-0.996614</v>
      </c>
      <c r="P4099">
        <v>-5.7718899999999997E-2</v>
      </c>
      <c r="Q4099">
        <v>0.14122379999999901</v>
      </c>
      <c r="R4099">
        <v>-0.9882938</v>
      </c>
      <c r="S4099">
        <v>0.1607208</v>
      </c>
      <c r="T4099">
        <v>-0.20307049999999999</v>
      </c>
      <c r="U4099">
        <v>-3.0747070000000001</v>
      </c>
      <c r="V4099">
        <v>-2.4145610000000001E-2</v>
      </c>
      <c r="W4099">
        <v>0.1474396</v>
      </c>
      <c r="X4099">
        <v>0.98877630000000005</v>
      </c>
      <c r="Y4099">
        <v>-0.1337767</v>
      </c>
      <c r="Z4099">
        <v>6.5228560000000005E-2</v>
      </c>
      <c r="AA4099">
        <v>0.98886249999999998</v>
      </c>
      <c r="AB4099">
        <v>23</v>
      </c>
      <c r="AC4099">
        <v>0.88820000000001098</v>
      </c>
      <c r="AD4099">
        <v>-1.1114589613319901</v>
      </c>
      <c r="AE4099">
        <v>-16.7089</v>
      </c>
      <c r="AF4099">
        <v>-2.2450312957221801</v>
      </c>
      <c r="AG4099">
        <v>-1.1114589613319901</v>
      </c>
      <c r="AH4099">
        <v>16.507018123305802</v>
      </c>
      <c r="AI4099">
        <v>93.8170192128065</v>
      </c>
      <c r="AJ4099">
        <v>97.744972383186607</v>
      </c>
      <c r="AK4099">
        <v>16.6960220970339</v>
      </c>
      <c r="AL4099">
        <v>81.521423417395795</v>
      </c>
      <c r="AM4099">
        <v>91.398867118138796</v>
      </c>
      <c r="AN4099">
        <v>1.0000000087860601</v>
      </c>
    </row>
    <row r="4100" spans="1:40" x14ac:dyDescent="0.25">
      <c r="A4100" t="str">
        <f>"20190312164109529"</f>
        <v>20190312164109529</v>
      </c>
      <c r="B4100" t="str">
        <f>"1552380069519770"</f>
        <v>1552380069519770</v>
      </c>
      <c r="C4100" t="s">
        <v>40</v>
      </c>
      <c r="D4100">
        <v>5.7601930000000001</v>
      </c>
      <c r="E4100">
        <v>0.4584433</v>
      </c>
      <c r="F4100" t="s">
        <v>41</v>
      </c>
      <c r="G4100">
        <v>-189.6292</v>
      </c>
      <c r="H4100" s="1">
        <v>-1.859887E-6</v>
      </c>
      <c r="I4100">
        <v>173.81489999999999</v>
      </c>
      <c r="J4100">
        <v>-190.58670000000001</v>
      </c>
      <c r="K4100">
        <v>1.111456</v>
      </c>
      <c r="L4100">
        <v>190.5924</v>
      </c>
      <c r="M4100">
        <v>-7.9678159999999998E-2</v>
      </c>
      <c r="N4100">
        <v>0</v>
      </c>
      <c r="O4100">
        <v>-0.99680069999999998</v>
      </c>
      <c r="P4100">
        <v>-5.0050310000000001E-2</v>
      </c>
      <c r="Q4100">
        <v>0.1434676</v>
      </c>
      <c r="R4100">
        <v>-0.98838870000000001</v>
      </c>
      <c r="S4100">
        <v>0.17109679999999999</v>
      </c>
      <c r="T4100">
        <v>-0.20137060000000001</v>
      </c>
      <c r="U4100">
        <v>-3.0743100000000001</v>
      </c>
      <c r="V4100">
        <v>-2.952511E-2</v>
      </c>
      <c r="W4100">
        <v>0.14959600000000001</v>
      </c>
      <c r="X4100">
        <v>0.98830629999999997</v>
      </c>
      <c r="Y4100">
        <v>-0.13483010000000001</v>
      </c>
      <c r="Z4100">
        <v>6.4700869999999994E-2</v>
      </c>
      <c r="AA4100">
        <v>0.98875409999999997</v>
      </c>
      <c r="AB4100">
        <v>23</v>
      </c>
      <c r="AC4100">
        <v>0.95750000000001001</v>
      </c>
      <c r="AD4100">
        <v>-1.111457859887</v>
      </c>
      <c r="AE4100">
        <v>-16.7775</v>
      </c>
      <c r="AF4100">
        <v>-2.2813031943590301</v>
      </c>
      <c r="AG4100">
        <v>-1.111457859887</v>
      </c>
      <c r="AH4100">
        <v>16.575355461380401</v>
      </c>
      <c r="AI4100">
        <v>93.800496369055395</v>
      </c>
      <c r="AJ4100">
        <v>97.836512218895095</v>
      </c>
      <c r="AK4100">
        <v>16.768485069021899</v>
      </c>
      <c r="AL4100">
        <v>81.396485263509703</v>
      </c>
      <c r="AM4100">
        <v>91.711171123267903</v>
      </c>
      <c r="AN4100">
        <v>1.0000000189781</v>
      </c>
    </row>
    <row r="4101" spans="1:40" x14ac:dyDescent="0.25">
      <c r="A4101" t="str">
        <f>"20190312164109543"</f>
        <v>20190312164109543</v>
      </c>
      <c r="B4101" t="str">
        <f>"1552380069540267"</f>
        <v>1552380069540267</v>
      </c>
      <c r="C4101" t="s">
        <v>40</v>
      </c>
      <c r="D4101">
        <v>5.7615790000000002</v>
      </c>
      <c r="E4101">
        <v>0.45905190000000001</v>
      </c>
      <c r="F4101" t="s">
        <v>41</v>
      </c>
      <c r="G4101">
        <v>-189.5119</v>
      </c>
      <c r="H4101" s="1">
        <v>-1.629983E-6</v>
      </c>
      <c r="I4101">
        <v>173.23050000000001</v>
      </c>
      <c r="J4101">
        <v>-190.59569999999999</v>
      </c>
      <c r="K4101">
        <v>1.111445</v>
      </c>
      <c r="L4101">
        <v>190.45930000000001</v>
      </c>
      <c r="M4101">
        <v>-7.8082029999999997E-2</v>
      </c>
      <c r="N4101">
        <v>0</v>
      </c>
      <c r="O4101">
        <v>-0.99692729999999996</v>
      </c>
      <c r="P4101">
        <v>-4.5964770000000002E-2</v>
      </c>
      <c r="Q4101">
        <v>0.14463119999999999</v>
      </c>
      <c r="R4101">
        <v>-0.98841749999999995</v>
      </c>
      <c r="S4101">
        <v>0.1902771</v>
      </c>
      <c r="T4101">
        <v>-0.1967515</v>
      </c>
      <c r="U4101">
        <v>-3.0734249999999999</v>
      </c>
      <c r="V4101">
        <v>-3.2019619999999999E-2</v>
      </c>
      <c r="W4101">
        <v>0.15070059999999999</v>
      </c>
      <c r="X4101">
        <v>0.98806079999999996</v>
      </c>
      <c r="Y4101">
        <v>-0.13941300000000001</v>
      </c>
      <c r="Z4101">
        <v>6.3221230000000003E-2</v>
      </c>
      <c r="AA4101">
        <v>0.98821409999999998</v>
      </c>
      <c r="AB4101">
        <v>23</v>
      </c>
      <c r="AC4101">
        <v>1.0837999999999901</v>
      </c>
      <c r="AD4101">
        <v>-1.1114466299829999</v>
      </c>
      <c r="AE4101">
        <v>-17.2288</v>
      </c>
      <c r="AF4101">
        <v>-2.4157630072462801</v>
      </c>
      <c r="AG4101">
        <v>-1.1114466299829999</v>
      </c>
      <c r="AH4101">
        <v>17.0210138175302</v>
      </c>
      <c r="AI4101">
        <v>93.699058327547604</v>
      </c>
      <c r="AJ4101">
        <v>98.0779393768521</v>
      </c>
      <c r="AK4101">
        <v>17.227481995202702</v>
      </c>
      <c r="AL4101">
        <v>81.332470786542999</v>
      </c>
      <c r="AM4101">
        <v>91.856107715082999</v>
      </c>
      <c r="AN4101">
        <v>1.00000003570097</v>
      </c>
    </row>
    <row r="4102" spans="1:40" x14ac:dyDescent="0.25">
      <c r="A4102" t="str">
        <f>"20190312164109554"</f>
        <v>20190312164109554</v>
      </c>
      <c r="B4102" t="str">
        <f>"1552380069550026"</f>
        <v>1552380069550026</v>
      </c>
      <c r="C4102" t="s">
        <v>40</v>
      </c>
      <c r="D4102">
        <v>5.7882220000000002</v>
      </c>
      <c r="E4102">
        <v>0.45933269999999998</v>
      </c>
      <c r="F4102" t="s">
        <v>41</v>
      </c>
      <c r="G4102">
        <v>-189.46539999999999</v>
      </c>
      <c r="H4102" s="1">
        <v>-1.5271200000000001E-6</v>
      </c>
      <c r="I4102">
        <v>172.97149999999999</v>
      </c>
      <c r="J4102">
        <v>-190.60409999999999</v>
      </c>
      <c r="K4102">
        <v>1.111432</v>
      </c>
      <c r="L4102">
        <v>190.3312</v>
      </c>
      <c r="M4102">
        <v>-7.6548099999999994E-2</v>
      </c>
      <c r="N4102">
        <v>0</v>
      </c>
      <c r="O4102">
        <v>-0.99704660000000001</v>
      </c>
      <c r="P4102">
        <v>-4.1667210000000003E-2</v>
      </c>
      <c r="Q4102">
        <v>0.1463718</v>
      </c>
      <c r="R4102">
        <v>-0.98835189999999995</v>
      </c>
      <c r="S4102">
        <v>0.19860839999999999</v>
      </c>
      <c r="T4102">
        <v>-0.1953037</v>
      </c>
      <c r="U4102">
        <v>-3.0729679999999999</v>
      </c>
      <c r="V4102">
        <v>-3.4782180000000003E-2</v>
      </c>
      <c r="W4102">
        <v>0.1523766</v>
      </c>
      <c r="X4102">
        <v>0.98771019999999998</v>
      </c>
      <c r="Y4102">
        <v>-0.1405689</v>
      </c>
      <c r="Z4102">
        <v>6.2767950000000003E-2</v>
      </c>
      <c r="AA4102">
        <v>0.98807920000000005</v>
      </c>
      <c r="AB4102">
        <v>23</v>
      </c>
      <c r="AC4102">
        <v>1.1387</v>
      </c>
      <c r="AD4102">
        <v>-1.11143352712</v>
      </c>
      <c r="AE4102">
        <v>-17.3597</v>
      </c>
      <c r="AF4102">
        <v>-2.4542195553445798</v>
      </c>
      <c r="AG4102">
        <v>-1.11143352712</v>
      </c>
      <c r="AH4102">
        <v>17.151591840592399</v>
      </c>
      <c r="AI4102">
        <v>93.670336976196793</v>
      </c>
      <c r="AJ4102">
        <v>98.143171190434202</v>
      </c>
      <c r="AK4102">
        <v>17.3619002640067</v>
      </c>
      <c r="AL4102">
        <v>81.235320201869698</v>
      </c>
      <c r="AM4102">
        <v>92.016835450225997</v>
      </c>
      <c r="AN4102">
        <v>0.99999993372857399</v>
      </c>
    </row>
    <row r="4103" spans="1:40" x14ac:dyDescent="0.25">
      <c r="A4103" t="str">
        <f>"20190312164109575"</f>
        <v>20190312164109575</v>
      </c>
      <c r="B4103" t="str">
        <f>"1552380069570523"</f>
        <v>1552380069570523</v>
      </c>
      <c r="C4103" t="s">
        <v>40</v>
      </c>
      <c r="D4103">
        <v>5.7853409999999998</v>
      </c>
      <c r="E4103">
        <v>0.46012769999999997</v>
      </c>
      <c r="F4103" t="s">
        <v>41</v>
      </c>
      <c r="G4103">
        <v>-189.39080000000001</v>
      </c>
      <c r="H4103" s="1">
        <v>-1.362674E-6</v>
      </c>
      <c r="I4103">
        <v>172.5573</v>
      </c>
      <c r="J4103">
        <v>-190.61680000000001</v>
      </c>
      <c r="K4103">
        <v>1.1114139999999999</v>
      </c>
      <c r="L4103">
        <v>190.13249999999999</v>
      </c>
      <c r="M4103">
        <v>-7.4182230000000002E-2</v>
      </c>
      <c r="N4103">
        <v>0</v>
      </c>
      <c r="O4103">
        <v>-0.9972261</v>
      </c>
      <c r="P4103">
        <v>-3.3279139999999999E-2</v>
      </c>
      <c r="Q4103">
        <v>0.14944209999999999</v>
      </c>
      <c r="R4103">
        <v>-0.9882109</v>
      </c>
      <c r="S4103">
        <v>0.20976259999999999</v>
      </c>
      <c r="T4103">
        <v>-0.1921399</v>
      </c>
      <c r="U4103">
        <v>-3.0726779999999998</v>
      </c>
      <c r="V4103">
        <v>-4.0799469999999997E-2</v>
      </c>
      <c r="W4103">
        <v>0.15533269999999999</v>
      </c>
      <c r="X4103">
        <v>0.98701939999999999</v>
      </c>
      <c r="Y4103">
        <v>-0.14180110000000001</v>
      </c>
      <c r="Z4103">
        <v>6.1764769999999997E-2</v>
      </c>
      <c r="AA4103">
        <v>0.98796640000000002</v>
      </c>
      <c r="AB4103">
        <v>23</v>
      </c>
      <c r="AC4103">
        <v>1.22599999999999</v>
      </c>
      <c r="AD4103">
        <v>-1.111415362674</v>
      </c>
      <c r="AE4103">
        <v>-17.575199999999899</v>
      </c>
      <c r="AF4103">
        <v>-2.51639922650801</v>
      </c>
      <c r="AG4103">
        <v>-1.111415362674</v>
      </c>
      <c r="AH4103">
        <v>17.3667108969982</v>
      </c>
      <c r="AI4103">
        <v>93.624013968643595</v>
      </c>
      <c r="AJ4103">
        <v>98.244655406271306</v>
      </c>
      <c r="AK4103">
        <v>17.5832350992494</v>
      </c>
      <c r="AL4103">
        <v>81.063908367165695</v>
      </c>
      <c r="AM4103">
        <v>92.367032892474498</v>
      </c>
      <c r="AN4103">
        <v>1.00000007020896</v>
      </c>
    </row>
    <row r="4104" spans="1:40" x14ac:dyDescent="0.25">
      <c r="A4104" t="str">
        <f>"20190312164109597"</f>
        <v>20190312164109597</v>
      </c>
      <c r="B4104" t="str">
        <f>"1552380069590042"</f>
        <v>1552380069590042</v>
      </c>
      <c r="C4104" t="s">
        <v>40</v>
      </c>
      <c r="D4104">
        <v>5.8135620000000001</v>
      </c>
      <c r="E4104">
        <v>0.46110250000000003</v>
      </c>
      <c r="F4104" t="s">
        <v>41</v>
      </c>
      <c r="G4104">
        <v>-189.23060000000001</v>
      </c>
      <c r="H4104" s="1">
        <v>-9.3159449999999996E-7</v>
      </c>
      <c r="I4104">
        <v>171.4862</v>
      </c>
      <c r="J4104">
        <v>-190.6317</v>
      </c>
      <c r="K4104">
        <v>1.1113900000000001</v>
      </c>
      <c r="L4104">
        <v>189.88910000000001</v>
      </c>
      <c r="M4104">
        <v>-7.130272E-2</v>
      </c>
      <c r="N4104">
        <v>0</v>
      </c>
      <c r="O4104">
        <v>-0.99743649999999995</v>
      </c>
      <c r="P4104">
        <v>-2.4841909999999998E-2</v>
      </c>
      <c r="Q4104">
        <v>0.15283540000000001</v>
      </c>
      <c r="R4104">
        <v>-0.98793969999999998</v>
      </c>
      <c r="S4104">
        <v>0.2283173</v>
      </c>
      <c r="T4104">
        <v>-0.183059</v>
      </c>
      <c r="U4104">
        <v>-3.0711979999999999</v>
      </c>
      <c r="V4104">
        <v>-4.6353539999999999E-2</v>
      </c>
      <c r="W4104">
        <v>0.1585896</v>
      </c>
      <c r="X4104">
        <v>0.98625589999999996</v>
      </c>
      <c r="Y4104">
        <v>-0.14492639999999901</v>
      </c>
      <c r="Z4104">
        <v>5.8877079999999998E-2</v>
      </c>
      <c r="AA4104">
        <v>0.98768909999999999</v>
      </c>
      <c r="AB4104">
        <v>23</v>
      </c>
      <c r="AC4104">
        <v>1.40109999999998</v>
      </c>
      <c r="AD4104">
        <v>-1.1113909315945001</v>
      </c>
      <c r="AE4104">
        <v>-18.402899999999999</v>
      </c>
      <c r="AF4104">
        <v>-2.6999438363195898</v>
      </c>
      <c r="AG4104">
        <v>-1.1113909315945001</v>
      </c>
      <c r="AH4104">
        <v>18.190192570028302</v>
      </c>
      <c r="AI4104">
        <v>93.458535347117603</v>
      </c>
      <c r="AJ4104">
        <v>98.4426889674927</v>
      </c>
      <c r="AK4104">
        <v>18.4230288567549</v>
      </c>
      <c r="AL4104">
        <v>80.874959013379893</v>
      </c>
      <c r="AM4104">
        <v>92.6908931409139</v>
      </c>
      <c r="AN4104">
        <v>1.00000000609175</v>
      </c>
    </row>
    <row r="4105" spans="1:40" x14ac:dyDescent="0.25">
      <c r="A4105" t="str">
        <f>"20190312164109620"</f>
        <v>20190312164109620</v>
      </c>
      <c r="B4105" t="str">
        <f>"1552380069610539"</f>
        <v>1552380069610539</v>
      </c>
      <c r="C4105" t="s">
        <v>40</v>
      </c>
      <c r="D4105">
        <v>5.7939990000000003</v>
      </c>
      <c r="E4105">
        <v>0.46206439999999999</v>
      </c>
      <c r="F4105" t="s">
        <v>41</v>
      </c>
      <c r="G4105">
        <v>-189.03110000000001</v>
      </c>
      <c r="H4105" s="1">
        <v>-3.6036710000000001E-7</v>
      </c>
      <c r="I4105">
        <v>169.9494</v>
      </c>
      <c r="J4105">
        <v>-190.6454</v>
      </c>
      <c r="K4105">
        <v>1.1113759999999999</v>
      </c>
      <c r="L4105">
        <v>189.65530000000001</v>
      </c>
      <c r="M4105">
        <v>-6.8563159999999998E-2</v>
      </c>
      <c r="N4105">
        <v>0</v>
      </c>
      <c r="O4105">
        <v>-0.99762930000000005</v>
      </c>
      <c r="P4105">
        <v>-1.792844E-2</v>
      </c>
      <c r="Q4105">
        <v>0.15561410000000001</v>
      </c>
      <c r="R4105">
        <v>-0.98765559999999997</v>
      </c>
      <c r="S4105">
        <v>0.24638370000000001</v>
      </c>
      <c r="T4105">
        <v>-0.1710757</v>
      </c>
      <c r="U4105">
        <v>-3.0693049999999999</v>
      </c>
      <c r="V4105">
        <v>-5.0528400000000001E-2</v>
      </c>
      <c r="W4105">
        <v>0.16124059999999901</v>
      </c>
      <c r="X4105">
        <v>0.98562079999999996</v>
      </c>
      <c r="Y4105">
        <v>-0.14804999999999999</v>
      </c>
      <c r="Z4105">
        <v>5.5059650000000002E-2</v>
      </c>
      <c r="AA4105">
        <v>0.98744600000000005</v>
      </c>
      <c r="AB4105">
        <v>24</v>
      </c>
      <c r="AC4105">
        <v>1.6142999999999801</v>
      </c>
      <c r="AD4105">
        <v>-1.1113763603671001</v>
      </c>
      <c r="AE4105">
        <v>-19.7059</v>
      </c>
      <c r="AF4105">
        <v>-2.9522954736029798</v>
      </c>
      <c r="AG4105">
        <v>-1.1113763603671001</v>
      </c>
      <c r="AH4105">
        <v>19.487271599685901</v>
      </c>
      <c r="AI4105">
        <v>93.227345800041604</v>
      </c>
      <c r="AJ4105">
        <v>98.614724317912007</v>
      </c>
      <c r="AK4105">
        <v>19.740946288812101</v>
      </c>
      <c r="AL4105">
        <v>80.721087645576901</v>
      </c>
      <c r="AM4105">
        <v>92.934730912129297</v>
      </c>
      <c r="AN4105">
        <v>1.0000000058437799</v>
      </c>
    </row>
    <row r="4106" spans="1:40" x14ac:dyDescent="0.25">
      <c r="A4106" t="str">
        <f>"20190312164109632"</f>
        <v>20190312164109632</v>
      </c>
      <c r="B4106" t="str">
        <f>"1552380069620299"</f>
        <v>1552380069620299</v>
      </c>
      <c r="C4106" t="s">
        <v>40</v>
      </c>
      <c r="D4106">
        <v>5.7674200000000004</v>
      </c>
      <c r="E4106">
        <v>0.46248050000000002</v>
      </c>
      <c r="F4106" t="s">
        <v>41</v>
      </c>
      <c r="G4106">
        <v>-188.83019999999999</v>
      </c>
      <c r="H4106" s="1">
        <v>-4.3262779999999901E-6</v>
      </c>
      <c r="I4106">
        <v>168.34440000000001</v>
      </c>
      <c r="J4106">
        <v>-190.65299999999999</v>
      </c>
      <c r="K4106">
        <v>1.1113630000000001</v>
      </c>
      <c r="L4106">
        <v>189.5197</v>
      </c>
      <c r="M4106">
        <v>-6.6992560000000007E-2</v>
      </c>
      <c r="N4106">
        <v>0</v>
      </c>
      <c r="O4106">
        <v>-0.99773619999999996</v>
      </c>
      <c r="P4106">
        <v>-1.407044E-2</v>
      </c>
      <c r="Q4106">
        <v>0.15664220000000001</v>
      </c>
      <c r="R4106">
        <v>-0.98755530000000002</v>
      </c>
      <c r="S4106">
        <v>0.26127620000000001</v>
      </c>
      <c r="T4106">
        <v>-0.159969</v>
      </c>
      <c r="U4106">
        <v>-3.0674290000000002</v>
      </c>
      <c r="V4106">
        <v>-5.281951E-2</v>
      </c>
      <c r="W4106">
        <v>0.16219439999999999</v>
      </c>
      <c r="X4106">
        <v>0.98534409999999895</v>
      </c>
      <c r="Y4106">
        <v>-0.15131820000000001</v>
      </c>
      <c r="Z4106">
        <v>5.1511510000000003E-2</v>
      </c>
      <c r="AA4106">
        <v>0.98714199999999996</v>
      </c>
      <c r="AB4106">
        <v>24</v>
      </c>
      <c r="AC4106">
        <v>1.8228</v>
      </c>
      <c r="AD4106">
        <v>-1.1113673262779999</v>
      </c>
      <c r="AE4106">
        <v>-21.1753</v>
      </c>
      <c r="AF4106">
        <v>-3.2284891674499399</v>
      </c>
      <c r="AG4106">
        <v>-1.1113673262779999</v>
      </c>
      <c r="AH4106">
        <v>20.948331865316199</v>
      </c>
      <c r="AI4106">
        <v>93.0014831291723</v>
      </c>
      <c r="AJ4106">
        <v>98.761308104360793</v>
      </c>
      <c r="AK4106">
        <v>21.224770613075702</v>
      </c>
      <c r="AL4106">
        <v>80.665709563928104</v>
      </c>
      <c r="AM4106">
        <v>93.068411583933397</v>
      </c>
      <c r="AN4106">
        <v>0.99999995971640399</v>
      </c>
    </row>
    <row r="4107" spans="1:40" x14ac:dyDescent="0.25">
      <c r="A4107" t="str">
        <f>"20190312164109644"</f>
        <v>20190312164109644</v>
      </c>
      <c r="B4107" t="str">
        <f>"1552380069640795"</f>
        <v>1552380069640795</v>
      </c>
      <c r="C4107" t="s">
        <v>40</v>
      </c>
      <c r="D4107">
        <v>5.8206769999999999</v>
      </c>
      <c r="E4107">
        <v>0.4631844</v>
      </c>
      <c r="F4107" t="s">
        <v>41</v>
      </c>
      <c r="G4107">
        <v>-188.72710000000001</v>
      </c>
      <c r="H4107" s="1">
        <v>-4.0210250000000002E-6</v>
      </c>
      <c r="I4107">
        <v>167.66</v>
      </c>
      <c r="J4107">
        <v>-190.66</v>
      </c>
      <c r="K4107">
        <v>1.1113500000000001</v>
      </c>
      <c r="L4107">
        <v>189.39269999999999</v>
      </c>
      <c r="M4107">
        <v>-6.5531569999999997E-2</v>
      </c>
      <c r="N4107">
        <v>0</v>
      </c>
      <c r="O4107">
        <v>-0.99783359999999999</v>
      </c>
      <c r="P4107">
        <v>-1.057427E-2</v>
      </c>
      <c r="Q4107">
        <v>0.1570386</v>
      </c>
      <c r="R4107">
        <v>-0.98753599999999997</v>
      </c>
      <c r="S4107">
        <v>0.27015689999999998</v>
      </c>
      <c r="T4107">
        <v>-0.15589749999999999</v>
      </c>
      <c r="U4107">
        <v>-3.066376</v>
      </c>
      <c r="V4107">
        <v>-5.4861640000000003E-2</v>
      </c>
      <c r="W4107">
        <v>0.1625238</v>
      </c>
      <c r="X4107">
        <v>0.98517829999999995</v>
      </c>
      <c r="Y4107">
        <v>-0.15274270000000001</v>
      </c>
      <c r="Z4107">
        <v>5.0216579999999997E-2</v>
      </c>
      <c r="AA4107">
        <v>0.98698929999999996</v>
      </c>
      <c r="AB4107">
        <v>24</v>
      </c>
      <c r="AC4107">
        <v>1.9328999999999801</v>
      </c>
      <c r="AD4107">
        <v>-1.1113540210249999</v>
      </c>
      <c r="AE4107">
        <v>-21.732699999999902</v>
      </c>
      <c r="AF4107">
        <v>-3.3442703000816398</v>
      </c>
      <c r="AG4107">
        <v>-1.1113540210249999</v>
      </c>
      <c r="AH4107">
        <v>21.503524657483801</v>
      </c>
      <c r="AI4107">
        <v>92.923469991684499</v>
      </c>
      <c r="AJ4107">
        <v>98.839935140001998</v>
      </c>
      <c r="AK4107">
        <v>21.790383757407099</v>
      </c>
      <c r="AL4107">
        <v>80.646583251637793</v>
      </c>
      <c r="AM4107">
        <v>93.1873390322163</v>
      </c>
      <c r="AN4107">
        <v>1.0000000339504</v>
      </c>
    </row>
    <row r="4108" spans="1:40" x14ac:dyDescent="0.25">
      <c r="A4108" t="str">
        <f>"20190312164109655"</f>
        <v>20190312164109655</v>
      </c>
      <c r="B4108" t="str">
        <f>"1552380069650555"</f>
        <v>1552380069650555</v>
      </c>
      <c r="C4108" t="s">
        <v>40</v>
      </c>
      <c r="D4108">
        <v>5.7374910000000003</v>
      </c>
      <c r="E4108">
        <v>0.46307789999999999</v>
      </c>
      <c r="F4108" t="s">
        <v>41</v>
      </c>
      <c r="G4108">
        <v>-188.67869999999999</v>
      </c>
      <c r="H4108" s="1">
        <v>-3.8837200000000003E-6</v>
      </c>
      <c r="I4108">
        <v>167.35140000000001</v>
      </c>
      <c r="J4108">
        <v>-190.667</v>
      </c>
      <c r="K4108">
        <v>1.1113360000000001</v>
      </c>
      <c r="L4108">
        <v>189.2627</v>
      </c>
      <c r="M4108">
        <v>-6.4042959999999996E-2</v>
      </c>
      <c r="N4108">
        <v>0</v>
      </c>
      <c r="O4108">
        <v>-0.99793080000000001</v>
      </c>
      <c r="P4108">
        <v>-6.3588560000000004E-3</v>
      </c>
      <c r="Q4108">
        <v>0.1570655</v>
      </c>
      <c r="R4108">
        <v>-0.98756770000000005</v>
      </c>
      <c r="S4108">
        <v>0.27554319999999999</v>
      </c>
      <c r="T4108">
        <v>-0.15456120000000001</v>
      </c>
      <c r="U4108">
        <v>-3.0653990000000002</v>
      </c>
      <c r="V4108">
        <v>-5.7596840000000003E-2</v>
      </c>
      <c r="W4108">
        <v>0.1624805</v>
      </c>
      <c r="X4108">
        <v>0.9850293</v>
      </c>
      <c r="Y4108">
        <v>-0.1530185</v>
      </c>
      <c r="Z4108">
        <v>4.9805339999999997E-2</v>
      </c>
      <c r="AA4108">
        <v>0.98696740000000005</v>
      </c>
      <c r="AB4108">
        <v>24</v>
      </c>
      <c r="AC4108">
        <v>1.9883</v>
      </c>
      <c r="AD4108">
        <v>-1.1113398837199999</v>
      </c>
      <c r="AE4108">
        <v>-21.911299999999901</v>
      </c>
      <c r="AF4108">
        <v>-3.3788843332592</v>
      </c>
      <c r="AG4108">
        <v>-1.1113398837199999</v>
      </c>
      <c r="AH4108">
        <v>21.6836531610825</v>
      </c>
      <c r="AI4108">
        <v>92.899055298943196</v>
      </c>
      <c r="AJ4108">
        <v>98.856962252515899</v>
      </c>
      <c r="AK4108">
        <v>21.9734555790576</v>
      </c>
      <c r="AL4108">
        <v>80.649097403351504</v>
      </c>
      <c r="AM4108">
        <v>93.346400537350505</v>
      </c>
      <c r="AN4108">
        <v>1.0000000153583599</v>
      </c>
    </row>
    <row r="4109" spans="1:40" x14ac:dyDescent="0.25">
      <c r="A4109" t="str">
        <f>"20190312164109674"</f>
        <v>20190312164109674</v>
      </c>
      <c r="B4109" t="str">
        <f>"1552380069670076"</f>
        <v>1552380069670076</v>
      </c>
      <c r="C4109" t="s">
        <v>40</v>
      </c>
      <c r="D4109">
        <v>5.840185</v>
      </c>
      <c r="E4109">
        <v>0.42533779999999999</v>
      </c>
      <c r="F4109" t="s">
        <v>41</v>
      </c>
      <c r="G4109">
        <v>-188.57679999999999</v>
      </c>
      <c r="H4109" s="1">
        <v>-3.810952E-6</v>
      </c>
      <c r="I4109">
        <v>167.1591</v>
      </c>
      <c r="J4109">
        <v>-190.6771</v>
      </c>
      <c r="K4109">
        <v>1.111299</v>
      </c>
      <c r="L4109">
        <v>189.06899999999999</v>
      </c>
      <c r="M4109">
        <v>-6.1863479999999998E-2</v>
      </c>
      <c r="N4109">
        <v>0</v>
      </c>
      <c r="O4109">
        <v>-0.99806870000000003</v>
      </c>
      <c r="P4109">
        <v>6.126002E-4</v>
      </c>
      <c r="Q4109">
        <v>0.15776399999999999</v>
      </c>
      <c r="R4109">
        <v>-0.98747689999999999</v>
      </c>
      <c r="S4109">
        <v>0.28976439999999998</v>
      </c>
      <c r="T4109">
        <v>-0.15406010000000001</v>
      </c>
      <c r="U4109">
        <v>-3.064117</v>
      </c>
      <c r="V4109">
        <v>-6.2392179999999998E-2</v>
      </c>
      <c r="W4109">
        <v>0.16306999999999999</v>
      </c>
      <c r="X4109">
        <v>0.98463970000000001</v>
      </c>
      <c r="Y4109">
        <v>-0.15543950000000001</v>
      </c>
      <c r="Z4109">
        <v>4.9655249999999998E-2</v>
      </c>
      <c r="AA4109">
        <v>0.98659660000000005</v>
      </c>
      <c r="AB4109">
        <v>24</v>
      </c>
      <c r="AC4109">
        <v>2.1002999999999998</v>
      </c>
      <c r="AD4109">
        <v>-1.111302810952</v>
      </c>
      <c r="AE4109">
        <v>-21.9099</v>
      </c>
      <c r="AF4109">
        <v>-3.4429442941905899</v>
      </c>
      <c r="AG4109">
        <v>-1.111302810952</v>
      </c>
      <c r="AH4109">
        <v>21.682724407077401</v>
      </c>
      <c r="AI4109">
        <v>92.897767478266601</v>
      </c>
      <c r="AJ4109">
        <v>99.022523702868597</v>
      </c>
      <c r="AK4109">
        <v>21.982479320217699</v>
      </c>
      <c r="AL4109">
        <v>80.614864597140595</v>
      </c>
      <c r="AM4109">
        <v>93.625727842681499</v>
      </c>
      <c r="AN4109">
        <v>0.99999997392062001</v>
      </c>
    </row>
    <row r="4110" spans="1:40" x14ac:dyDescent="0.25">
      <c r="A4110" t="str">
        <f>"20190312164109686"</f>
        <v>20190312164109686</v>
      </c>
      <c r="B4110" t="str">
        <f>"1552380069680811"</f>
        <v>1552380069680811</v>
      </c>
      <c r="C4110" t="s">
        <v>40</v>
      </c>
      <c r="D4110">
        <v>5.8382019999999999</v>
      </c>
      <c r="E4110">
        <v>0.421462</v>
      </c>
      <c r="F4110" t="s">
        <v>41</v>
      </c>
      <c r="G4110">
        <v>-185.5874</v>
      </c>
      <c r="H4110" s="1">
        <v>-2.7247660000000001E-6</v>
      </c>
      <c r="I4110">
        <v>163.6825</v>
      </c>
      <c r="J4110">
        <v>-190.68369999999999</v>
      </c>
      <c r="K4110">
        <v>1.111275</v>
      </c>
      <c r="L4110">
        <v>188.9375</v>
      </c>
      <c r="M4110">
        <v>-6.0413349999999998E-2</v>
      </c>
      <c r="N4110">
        <v>0</v>
      </c>
      <c r="O4110">
        <v>-0.99815790000000004</v>
      </c>
      <c r="P4110">
        <v>4.5079899999999999E-3</v>
      </c>
      <c r="Q4110">
        <v>0.15769820000000001</v>
      </c>
      <c r="R4110">
        <v>-0.98747720000000005</v>
      </c>
      <c r="S4110">
        <v>0.61331179999999996</v>
      </c>
      <c r="T4110">
        <v>-0.13391220000000001</v>
      </c>
      <c r="U4110">
        <v>-3.0590820000000001</v>
      </c>
      <c r="V4110">
        <v>-6.4840560000000005E-2</v>
      </c>
      <c r="W4110">
        <v>0.16293450000000001</v>
      </c>
      <c r="X4110">
        <v>0.98450400000000005</v>
      </c>
      <c r="Y4110">
        <v>-0.25527490000000003</v>
      </c>
      <c r="Z4110">
        <v>4.2467030000000003E-2</v>
      </c>
      <c r="AA4110">
        <v>0.96593549999999995</v>
      </c>
      <c r="AB4110">
        <v>24</v>
      </c>
      <c r="AC4110">
        <v>5.0962999999999798</v>
      </c>
      <c r="AD4110">
        <v>-1.111277724766</v>
      </c>
      <c r="AE4110">
        <v>-25.2549999999999</v>
      </c>
      <c r="AF4110">
        <v>-6.6004740670164903</v>
      </c>
      <c r="AG4110">
        <v>-1.111277724766</v>
      </c>
      <c r="AH4110">
        <v>24.8547387826621</v>
      </c>
      <c r="AI4110">
        <v>92.474388511379203</v>
      </c>
      <c r="AJ4110">
        <v>104.87231005472</v>
      </c>
      <c r="AK4110">
        <v>25.7402260294133</v>
      </c>
      <c r="AL4110">
        <v>80.622734019513899</v>
      </c>
      <c r="AM4110">
        <v>93.768123571992007</v>
      </c>
      <c r="AN4110">
        <v>1.00000003776368</v>
      </c>
    </row>
    <row r="4111" spans="1:40" x14ac:dyDescent="0.25">
      <c r="A4111" t="str">
        <f>"20190312164109699"</f>
        <v>20190312164109699</v>
      </c>
      <c r="B4111" t="str">
        <f>"1552380069690571"</f>
        <v>1552380069690571</v>
      </c>
      <c r="C4111" t="s">
        <v>40</v>
      </c>
      <c r="D4111">
        <v>5.9583779999999997</v>
      </c>
      <c r="E4111">
        <v>0.4200641</v>
      </c>
      <c r="F4111" t="s">
        <v>41</v>
      </c>
      <c r="G4111">
        <v>-185.02199999999999</v>
      </c>
      <c r="H4111" s="1">
        <v>-2.4592149999999999E-6</v>
      </c>
      <c r="I4111">
        <v>162.5992</v>
      </c>
      <c r="J4111">
        <v>-190.69049999999999</v>
      </c>
      <c r="K4111">
        <v>1.1112420000000001</v>
      </c>
      <c r="L4111">
        <v>188.7978</v>
      </c>
      <c r="M4111">
        <v>-5.8892279999999998E-2</v>
      </c>
      <c r="N4111">
        <v>0</v>
      </c>
      <c r="O4111">
        <v>-0.99824939999999995</v>
      </c>
      <c r="P4111">
        <v>7.9314899999999994E-3</v>
      </c>
      <c r="Q4111">
        <v>0.1579672</v>
      </c>
      <c r="R4111">
        <v>-0.98741299999999999</v>
      </c>
      <c r="S4111">
        <v>0.65684509999999996</v>
      </c>
      <c r="T4111">
        <v>-0.12892509999999999</v>
      </c>
      <c r="U4111">
        <v>-3.055634</v>
      </c>
      <c r="V4111">
        <v>-6.6745120000000005E-2</v>
      </c>
      <c r="W4111">
        <v>0.16313259999999999</v>
      </c>
      <c r="X4111">
        <v>0.98434390000000005</v>
      </c>
      <c r="Y4111">
        <v>-0.26719799999999999</v>
      </c>
      <c r="Z4111">
        <v>4.0813330000000002E-2</v>
      </c>
      <c r="AA4111">
        <v>0.96277699999999999</v>
      </c>
      <c r="AB4111">
        <v>24</v>
      </c>
      <c r="AC4111">
        <v>5.6684999999999599</v>
      </c>
      <c r="AD4111">
        <v>-1.1112444592149999</v>
      </c>
      <c r="AE4111">
        <v>-26.198599999999999</v>
      </c>
      <c r="AF4111">
        <v>-7.1892235136784102</v>
      </c>
      <c r="AG4111">
        <v>-1.1112444592149999</v>
      </c>
      <c r="AH4111">
        <v>25.7749922096917</v>
      </c>
      <c r="AI4111">
        <v>92.378020500841203</v>
      </c>
      <c r="AJ4111">
        <v>105.58497888231901</v>
      </c>
      <c r="AK4111">
        <v>26.7818972887925</v>
      </c>
      <c r="AL4111">
        <v>80.611229778045001</v>
      </c>
      <c r="AM4111">
        <v>93.879100453226101</v>
      </c>
      <c r="AN4111">
        <v>1.00000003484689</v>
      </c>
    </row>
    <row r="4112" spans="1:40" x14ac:dyDescent="0.25">
      <c r="A4112" t="str">
        <f>"20190312164109711"</f>
        <v>20190312164109711</v>
      </c>
      <c r="B4112" t="str">
        <f>"1552380069700331"</f>
        <v>1552380069700331</v>
      </c>
      <c r="C4112" t="s">
        <v>40</v>
      </c>
      <c r="D4112">
        <v>5.7943259999999999</v>
      </c>
      <c r="E4112">
        <v>0.42022039999999999</v>
      </c>
      <c r="F4112" t="s">
        <v>41</v>
      </c>
      <c r="G4112">
        <v>-184.9614</v>
      </c>
      <c r="H4112" s="1">
        <v>-2.6445709999999999E-6</v>
      </c>
      <c r="I4112">
        <v>163.04</v>
      </c>
      <c r="J4112">
        <v>-190.6969</v>
      </c>
      <c r="K4112">
        <v>1.1112010000000001</v>
      </c>
      <c r="L4112">
        <v>188.66390000000001</v>
      </c>
      <c r="M4112">
        <v>-5.7477500000000001E-2</v>
      </c>
      <c r="N4112">
        <v>0</v>
      </c>
      <c r="O4112">
        <v>-0.998332</v>
      </c>
      <c r="P4112">
        <v>1.142254E-2</v>
      </c>
      <c r="Q4112">
        <v>0.158214299999999</v>
      </c>
      <c r="R4112">
        <v>-0.98733879999999996</v>
      </c>
      <c r="S4112">
        <v>0.67924499999999999</v>
      </c>
      <c r="T4112">
        <v>-0.13174920000000001</v>
      </c>
      <c r="U4112">
        <v>-3.0538479999999999</v>
      </c>
      <c r="V4112">
        <v>-6.8818480000000001E-2</v>
      </c>
      <c r="W4112">
        <v>0.16331089999999901</v>
      </c>
      <c r="X4112">
        <v>0.98417149999999998</v>
      </c>
      <c r="Y4112">
        <v>-0.27267540000000001</v>
      </c>
      <c r="Z4112">
        <v>4.1669850000000001E-2</v>
      </c>
      <c r="AA4112">
        <v>0.96120329999999998</v>
      </c>
      <c r="AB4112">
        <v>24</v>
      </c>
      <c r="AC4112">
        <v>5.7355</v>
      </c>
      <c r="AD4112">
        <v>-1.1112036445710001</v>
      </c>
      <c r="AE4112">
        <v>-25.623899999999999</v>
      </c>
      <c r="AF4112">
        <v>-7.18596810146009</v>
      </c>
      <c r="AG4112">
        <v>-1.1112036445710001</v>
      </c>
      <c r="AH4112">
        <v>25.2067281692545</v>
      </c>
      <c r="AI4112">
        <v>92.427573989591096</v>
      </c>
      <c r="AJ4112">
        <v>105.91186271236</v>
      </c>
      <c r="AK4112">
        <v>26.2345584314583</v>
      </c>
      <c r="AL4112">
        <v>80.600874627591807</v>
      </c>
      <c r="AM4112">
        <v>93.999913365466199</v>
      </c>
      <c r="AN4112">
        <v>0.99999998733028495</v>
      </c>
    </row>
    <row r="4113" spans="1:40" x14ac:dyDescent="0.25">
      <c r="A4113" t="str">
        <f>"20190312164109722"</f>
        <v>20190312164109722</v>
      </c>
      <c r="B4113" t="str">
        <f>"1552380069720828"</f>
        <v>1552380069720828</v>
      </c>
      <c r="C4113" t="s">
        <v>40</v>
      </c>
      <c r="D4113">
        <v>5.8212440000000001</v>
      </c>
      <c r="E4113">
        <v>0.4213462</v>
      </c>
      <c r="F4113" t="s">
        <v>41</v>
      </c>
      <c r="G4113">
        <v>-184.92439999999999</v>
      </c>
      <c r="H4113" s="1">
        <v>-2.678175E-6</v>
      </c>
      <c r="I4113">
        <v>163.1018</v>
      </c>
      <c r="J4113">
        <v>-190.70259999999999</v>
      </c>
      <c r="K4113">
        <v>1.111165</v>
      </c>
      <c r="L4113">
        <v>188.54310000000001</v>
      </c>
      <c r="M4113">
        <v>-5.622021E-2</v>
      </c>
      <c r="N4113">
        <v>0</v>
      </c>
      <c r="O4113">
        <v>-0.99840390000000001</v>
      </c>
      <c r="P4113">
        <v>1.488285E-2</v>
      </c>
      <c r="Q4113">
        <v>0.15851219999999999</v>
      </c>
      <c r="R4113">
        <v>-0.98724500000000004</v>
      </c>
      <c r="S4113">
        <v>0.68916319999999998</v>
      </c>
      <c r="T4113">
        <v>-0.13266220000000001</v>
      </c>
      <c r="U4113">
        <v>-3.051758</v>
      </c>
      <c r="V4113">
        <v>-7.1016919999999997E-2</v>
      </c>
      <c r="W4113">
        <v>0.16354649999999901</v>
      </c>
      <c r="X4113">
        <v>0.98397619999999997</v>
      </c>
      <c r="Y4113">
        <v>-0.2745745</v>
      </c>
      <c r="Z4113">
        <v>4.1964420000000002E-2</v>
      </c>
      <c r="AA4113">
        <v>0.96064970000000005</v>
      </c>
      <c r="AB4113">
        <v>24</v>
      </c>
      <c r="AC4113">
        <v>5.7781999999999902</v>
      </c>
      <c r="AD4113">
        <v>-1.111167678175</v>
      </c>
      <c r="AE4113">
        <v>-25.441299999999998</v>
      </c>
      <c r="AF4113">
        <v>-7.1863607699171901</v>
      </c>
      <c r="AG4113">
        <v>-1.111167678175</v>
      </c>
      <c r="AH4113">
        <v>25.0307985406142</v>
      </c>
      <c r="AI4113">
        <v>92.443233099522104</v>
      </c>
      <c r="AJ4113">
        <v>106.018811603974</v>
      </c>
      <c r="AK4113">
        <v>26.065673793424999</v>
      </c>
      <c r="AL4113">
        <v>80.587192006248301</v>
      </c>
      <c r="AM4113">
        <v>94.128074133895495</v>
      </c>
      <c r="AN4113">
        <v>1.0000000113774801</v>
      </c>
    </row>
    <row r="4114" spans="1:40" x14ac:dyDescent="0.25">
      <c r="A4114" t="str">
        <f>"20190312164109740"</f>
        <v>20190312164109740</v>
      </c>
      <c r="B4114" t="str">
        <f>"1552380069730590"</f>
        <v>1552380069730590</v>
      </c>
      <c r="C4114" t="s">
        <v>40</v>
      </c>
      <c r="D4114">
        <v>5.9774989999999999</v>
      </c>
      <c r="E4114">
        <v>0.42163450000000002</v>
      </c>
      <c r="F4114" t="s">
        <v>41</v>
      </c>
      <c r="G4114">
        <v>-185.14599999999999</v>
      </c>
      <c r="H4114" s="1">
        <v>-2.9740459999999998E-6</v>
      </c>
      <c r="I4114">
        <v>164.0258</v>
      </c>
      <c r="J4114">
        <v>-190.7114</v>
      </c>
      <c r="K4114">
        <v>1.1110990000000001</v>
      </c>
      <c r="L4114">
        <v>188.34909999999999</v>
      </c>
      <c r="M4114">
        <v>-5.4256550000000001E-2</v>
      </c>
      <c r="N4114">
        <v>0</v>
      </c>
      <c r="O4114">
        <v>-0.99851290000000004</v>
      </c>
      <c r="P4114">
        <v>2.0734550000000001E-2</v>
      </c>
      <c r="Q4114">
        <v>0.15937009999999999</v>
      </c>
      <c r="R4114">
        <v>-0.98700149999999998</v>
      </c>
      <c r="S4114">
        <v>0.69137569999999904</v>
      </c>
      <c r="T4114">
        <v>-0.13825609999999999</v>
      </c>
      <c r="U4114">
        <v>-3.0505369999999998</v>
      </c>
      <c r="V4114">
        <v>-7.4893130000000002E-2</v>
      </c>
      <c r="W4114">
        <v>0.1643067</v>
      </c>
      <c r="X4114">
        <v>0.98356209999999999</v>
      </c>
      <c r="Y4114">
        <v>-0.27341169999999998</v>
      </c>
      <c r="Z4114">
        <v>4.3758739999999997E-2</v>
      </c>
      <c r="AA4114">
        <v>0.96090129999999996</v>
      </c>
      <c r="AB4114">
        <v>24</v>
      </c>
      <c r="AC4114">
        <v>5.5654000000000101</v>
      </c>
      <c r="AD4114">
        <v>-1.111101974046</v>
      </c>
      <c r="AE4114">
        <v>-24.3232999999999</v>
      </c>
      <c r="AF4114">
        <v>-6.8633097883986798</v>
      </c>
      <c r="AG4114">
        <v>-1.111101974046</v>
      </c>
      <c r="AH4114">
        <v>23.938041026671399</v>
      </c>
      <c r="AI4114">
        <v>92.554733153974496</v>
      </c>
      <c r="AJ4114">
        <v>105.99820186418</v>
      </c>
      <c r="AK4114">
        <v>24.9272817820728</v>
      </c>
      <c r="AL4114">
        <v>80.543038728270702</v>
      </c>
      <c r="AM4114">
        <v>94.354372504223093</v>
      </c>
      <c r="AN4114">
        <v>1.00000003857124</v>
      </c>
    </row>
    <row r="4115" spans="1:40" x14ac:dyDescent="0.25">
      <c r="A4115" t="str">
        <f>"20190312164109762"</f>
        <v>20190312164109762</v>
      </c>
      <c r="B4115" t="str">
        <f>"1552380069759867"</f>
        <v>1552380069759867</v>
      </c>
      <c r="C4115" t="s">
        <v>40</v>
      </c>
      <c r="D4115">
        <v>5.7644399999999996</v>
      </c>
      <c r="E4115">
        <v>0.42206529999999998</v>
      </c>
      <c r="F4115" t="s">
        <v>41</v>
      </c>
      <c r="G4115">
        <v>-185.08850000000001</v>
      </c>
      <c r="H4115" s="1">
        <v>-3.0271740000000001E-6</v>
      </c>
      <c r="I4115">
        <v>164.12430000000001</v>
      </c>
      <c r="J4115">
        <v>-190.72210000000001</v>
      </c>
      <c r="K4115">
        <v>1.111016</v>
      </c>
      <c r="L4115">
        <v>188.10329999999999</v>
      </c>
      <c r="M4115">
        <v>-5.1891470000000002E-2</v>
      </c>
      <c r="N4115">
        <v>0</v>
      </c>
      <c r="O4115">
        <v>-0.99863930000000001</v>
      </c>
      <c r="P4115">
        <v>2.6491049999999999E-2</v>
      </c>
      <c r="Q4115">
        <v>0.1608753</v>
      </c>
      <c r="R4115">
        <v>-0.98661920000000003</v>
      </c>
      <c r="S4115">
        <v>0.70730590000000004</v>
      </c>
      <c r="T4115">
        <v>-0.13976569999999999</v>
      </c>
      <c r="U4115">
        <v>-3.0472410000000001</v>
      </c>
      <c r="V4115">
        <v>-7.8266420000000003E-2</v>
      </c>
      <c r="W4115">
        <v>0.1657016</v>
      </c>
      <c r="X4115">
        <v>0.98306530000000003</v>
      </c>
      <c r="Y4115">
        <v>-0.27612360000000002</v>
      </c>
      <c r="Z4115">
        <v>4.4247660000000001E-2</v>
      </c>
      <c r="AA4115">
        <v>0.96010309999999999</v>
      </c>
      <c r="AB4115">
        <v>25</v>
      </c>
      <c r="AC4115">
        <v>5.6336000000000004</v>
      </c>
      <c r="AD4115">
        <v>-1.1110190271739999</v>
      </c>
      <c r="AE4115">
        <v>-23.9789999999999</v>
      </c>
      <c r="AF4115">
        <v>-6.85638307731673</v>
      </c>
      <c r="AG4115">
        <v>-1.1110190271739999</v>
      </c>
      <c r="AH4115">
        <v>23.606327284788399</v>
      </c>
      <c r="AI4115">
        <v>92.587817422911201</v>
      </c>
      <c r="AJ4115">
        <v>106.19577194333699</v>
      </c>
      <c r="AK4115">
        <v>24.606971371101402</v>
      </c>
      <c r="AL4115">
        <v>80.462005922888594</v>
      </c>
      <c r="AM4115">
        <v>94.551983237508907</v>
      </c>
      <c r="AN4115">
        <v>1.0000000184031299</v>
      </c>
    </row>
    <row r="4116" spans="1:40" x14ac:dyDescent="0.25">
      <c r="A4116" t="str">
        <f>"20190312164109776"</f>
        <v>20190312164109776</v>
      </c>
      <c r="B4116" t="str">
        <f>"1552380069770604"</f>
        <v>1552380069770604</v>
      </c>
      <c r="C4116" t="s">
        <v>40</v>
      </c>
      <c r="D4116">
        <v>5.7963430000000002</v>
      </c>
      <c r="E4116">
        <v>0.42251739999999999</v>
      </c>
      <c r="F4116" t="s">
        <v>41</v>
      </c>
      <c r="G4116">
        <v>-185.76419999999999</v>
      </c>
      <c r="H4116" s="1">
        <v>-4.3335220000000003E-6</v>
      </c>
      <c r="I4116">
        <v>167.20920000000001</v>
      </c>
      <c r="J4116">
        <v>-190.72839999999999</v>
      </c>
      <c r="K4116">
        <v>1.1109659999999999</v>
      </c>
      <c r="L4116">
        <v>187.95519999999999</v>
      </c>
      <c r="M4116">
        <v>-5.052276E-2</v>
      </c>
      <c r="N4116">
        <v>0</v>
      </c>
      <c r="O4116">
        <v>-0.99870970000000003</v>
      </c>
      <c r="P4116">
        <v>2.9073999999999999E-2</v>
      </c>
      <c r="Q4116">
        <v>0.16158739999999999</v>
      </c>
      <c r="R4116">
        <v>-0.98643000000000003</v>
      </c>
      <c r="S4116">
        <v>0.72319029999999995</v>
      </c>
      <c r="T4116">
        <v>-0.16205919999999999</v>
      </c>
      <c r="U4116">
        <v>-3.047714</v>
      </c>
      <c r="V4116">
        <v>-7.9472089999999995E-2</v>
      </c>
      <c r="W4116">
        <v>0.1663529</v>
      </c>
      <c r="X4116">
        <v>0.98285849999999997</v>
      </c>
      <c r="Y4116">
        <v>-0.27943709999999899</v>
      </c>
      <c r="Z4116">
        <v>5.1229980000000001E-2</v>
      </c>
      <c r="AA4116">
        <v>0.95879630000000005</v>
      </c>
      <c r="AB4116">
        <v>25</v>
      </c>
      <c r="AC4116">
        <v>4.9641999999999999</v>
      </c>
      <c r="AD4116">
        <v>-1.11097033352199</v>
      </c>
      <c r="AE4116">
        <v>-20.745999999999899</v>
      </c>
      <c r="AF4116">
        <v>-5.9897723829735003</v>
      </c>
      <c r="AG4116">
        <v>-1.11097033352199</v>
      </c>
      <c r="AH4116">
        <v>20.413327056085201</v>
      </c>
      <c r="AI4116">
        <v>92.989389227810506</v>
      </c>
      <c r="AJ4116">
        <v>106.352986475088</v>
      </c>
      <c r="AK4116">
        <v>21.3029469740808</v>
      </c>
      <c r="AL4116">
        <v>80.424163470389701</v>
      </c>
      <c r="AM4116">
        <v>94.622771873555294</v>
      </c>
      <c r="AN4116">
        <v>0.99999996572481298</v>
      </c>
    </row>
    <row r="4117" spans="1:40" x14ac:dyDescent="0.25">
      <c r="A4117" t="str">
        <f>"20190312164109789"</f>
        <v>20190312164109789</v>
      </c>
      <c r="B4117" t="str">
        <f>"1552380069780363"</f>
        <v>1552380069780363</v>
      </c>
      <c r="C4117" t="s">
        <v>40</v>
      </c>
      <c r="D4117">
        <v>5.8120310000000002</v>
      </c>
      <c r="E4117">
        <v>0.42285790000000001</v>
      </c>
      <c r="F4117" t="s">
        <v>41</v>
      </c>
      <c r="G4117">
        <v>-185.7696</v>
      </c>
      <c r="H4117" s="1">
        <v>-4.3363950000000002E-6</v>
      </c>
      <c r="I4117">
        <v>167.21729999999999</v>
      </c>
      <c r="J4117">
        <v>-190.73419999999999</v>
      </c>
      <c r="K4117">
        <v>1.110919</v>
      </c>
      <c r="L4117">
        <v>187.8134</v>
      </c>
      <c r="M4117">
        <v>-4.9275600000000003E-2</v>
      </c>
      <c r="N4117">
        <v>0</v>
      </c>
      <c r="O4117">
        <v>-0.9987724</v>
      </c>
      <c r="P4117">
        <v>3.1236710000000001E-2</v>
      </c>
      <c r="Q4117">
        <v>0.16226270000000001</v>
      </c>
      <c r="R4117">
        <v>-0.98625300000000005</v>
      </c>
      <c r="S4117">
        <v>0.7284851</v>
      </c>
      <c r="T4117">
        <v>-0.16320879999999999</v>
      </c>
      <c r="U4117">
        <v>-3.0465239999999998</v>
      </c>
      <c r="V4117">
        <v>-8.0379279999999997E-2</v>
      </c>
      <c r="W4117">
        <v>0.16697300000000001</v>
      </c>
      <c r="X4117">
        <v>0.98267959999999999</v>
      </c>
      <c r="Y4117">
        <v>-0.2798948</v>
      </c>
      <c r="Z4117">
        <v>5.1603160000000002E-2</v>
      </c>
      <c r="AA4117">
        <v>0.95864280000000002</v>
      </c>
      <c r="AB4117">
        <v>25</v>
      </c>
      <c r="AC4117">
        <v>4.9645999999999901</v>
      </c>
      <c r="AD4117">
        <v>-1.110923336395</v>
      </c>
      <c r="AE4117">
        <v>-20.5961</v>
      </c>
      <c r="AF4117">
        <v>-5.9570874923140398</v>
      </c>
      <c r="AG4117">
        <v>-1.110923336395</v>
      </c>
      <c r="AH4117">
        <v>20.270706419482998</v>
      </c>
      <c r="AI4117">
        <v>93.009889126702006</v>
      </c>
      <c r="AJ4117">
        <v>106.37683127449</v>
      </c>
      <c r="AK4117">
        <v>21.157092919285901</v>
      </c>
      <c r="AL4117">
        <v>80.388130763968604</v>
      </c>
      <c r="AM4117">
        <v>94.676156509145898</v>
      </c>
      <c r="AN4117">
        <v>1.00000000381923</v>
      </c>
    </row>
    <row r="4118" spans="1:40" x14ac:dyDescent="0.25">
      <c r="A4118" t="str">
        <f>"20190312164109809"</f>
        <v>20190312164109809</v>
      </c>
      <c r="B4118" t="str">
        <f>"1552380069799883"</f>
        <v>1552380069799883</v>
      </c>
      <c r="C4118" t="s">
        <v>40</v>
      </c>
      <c r="D4118">
        <v>5.8536070000000002</v>
      </c>
      <c r="E4118">
        <v>0.42400919999999998</v>
      </c>
      <c r="F4118" t="s">
        <v>41</v>
      </c>
      <c r="G4118">
        <v>-185.8202</v>
      </c>
      <c r="H4118" s="1">
        <v>-4.4131680000000003E-6</v>
      </c>
      <c r="I4118">
        <v>167.39869999999999</v>
      </c>
      <c r="J4118">
        <v>-190.7432</v>
      </c>
      <c r="K4118">
        <v>1.110843</v>
      </c>
      <c r="L4118">
        <v>187.58969999999999</v>
      </c>
      <c r="M4118">
        <v>-4.740188E-2</v>
      </c>
      <c r="N4118">
        <v>0</v>
      </c>
      <c r="O4118">
        <v>-0.99886339999999996</v>
      </c>
      <c r="P4118">
        <v>3.4406829999999999E-2</v>
      </c>
      <c r="Q4118">
        <v>0.16350889999999901</v>
      </c>
      <c r="R4118">
        <v>-0.98594179999999998</v>
      </c>
      <c r="S4118">
        <v>0.73316959999999998</v>
      </c>
      <c r="T4118">
        <v>-0.16574929999999999</v>
      </c>
      <c r="U4118">
        <v>-3.045868</v>
      </c>
      <c r="V4118">
        <v>-8.1657960000000002E-2</v>
      </c>
      <c r="W4118">
        <v>0.16813789999999901</v>
      </c>
      <c r="X4118">
        <v>0.98237549999999996</v>
      </c>
      <c r="Y4118">
        <v>-0.27952490000000002</v>
      </c>
      <c r="Z4118">
        <v>5.2416009999999999E-2</v>
      </c>
      <c r="AA4118">
        <v>0.95870659999999996</v>
      </c>
      <c r="AB4118">
        <v>25</v>
      </c>
      <c r="AC4118">
        <v>4.923</v>
      </c>
      <c r="AD4118">
        <v>-1.110847413168</v>
      </c>
      <c r="AE4118">
        <v>-20.190999999999999</v>
      </c>
      <c r="AF4118">
        <v>-5.8578332803131303</v>
      </c>
      <c r="AG4118">
        <v>-1.110847413168</v>
      </c>
      <c r="AH4118">
        <v>19.878148095155499</v>
      </c>
      <c r="AI4118">
        <v>93.068334986132399</v>
      </c>
      <c r="AJ4118">
        <v>106.41956382264399</v>
      </c>
      <c r="AK4118">
        <v>20.7530471114056</v>
      </c>
      <c r="AL4118">
        <v>80.320429751424498</v>
      </c>
      <c r="AM4118">
        <v>94.751671141230105</v>
      </c>
      <c r="AN4118">
        <v>0.99999999942400997</v>
      </c>
    </row>
    <row r="4119" spans="1:40" x14ac:dyDescent="0.25">
      <c r="A4119" t="str">
        <f>"20190312164109831"</f>
        <v>20190312164109831</v>
      </c>
      <c r="B4119" t="str">
        <f>"1552380069820379"</f>
        <v>1552380069820379</v>
      </c>
      <c r="C4119" t="s">
        <v>40</v>
      </c>
      <c r="D4119">
        <v>6.0324419999999996</v>
      </c>
      <c r="E4119">
        <v>0.42502020000000001</v>
      </c>
      <c r="F4119" t="s">
        <v>41</v>
      </c>
      <c r="G4119">
        <v>-185.5925</v>
      </c>
      <c r="H4119" s="1">
        <v>-3.908709E-6</v>
      </c>
      <c r="I4119">
        <v>166.24610000000001</v>
      </c>
      <c r="J4119">
        <v>-190.7526</v>
      </c>
      <c r="K4119">
        <v>1.1107320000000001</v>
      </c>
      <c r="L4119">
        <v>187.3484</v>
      </c>
      <c r="M4119">
        <v>-4.5542739999999998E-2</v>
      </c>
      <c r="N4119">
        <v>0</v>
      </c>
      <c r="O4119">
        <v>-0.99895060000000002</v>
      </c>
      <c r="P4119">
        <v>3.6975040000000001E-2</v>
      </c>
      <c r="Q4119">
        <v>0.16524539999999999</v>
      </c>
      <c r="R4119">
        <v>-0.98555950000000003</v>
      </c>
      <c r="S4119">
        <v>0.73445130000000003</v>
      </c>
      <c r="T4119">
        <v>-0.15839700000000001</v>
      </c>
      <c r="U4119">
        <v>-3.0434109999999999</v>
      </c>
      <c r="V4119">
        <v>-8.2342940000000003E-2</v>
      </c>
      <c r="W4119">
        <v>0.16979549999999999</v>
      </c>
      <c r="X4119">
        <v>0.98203309999999999</v>
      </c>
      <c r="Y4119">
        <v>-0.27832299999999999</v>
      </c>
      <c r="Z4119">
        <v>5.0149569999999997E-2</v>
      </c>
      <c r="AA4119">
        <v>0.95917739999999996</v>
      </c>
      <c r="AB4119">
        <v>25</v>
      </c>
      <c r="AC4119">
        <v>5.1600999999999999</v>
      </c>
      <c r="AD4119">
        <v>-1.1107359087090001</v>
      </c>
      <c r="AE4119">
        <v>-21.1022999999999</v>
      </c>
      <c r="AF4119">
        <v>-6.0998672506943103</v>
      </c>
      <c r="AG4119">
        <v>-1.1107359087090001</v>
      </c>
      <c r="AH4119">
        <v>20.791043514338298</v>
      </c>
      <c r="AI4119">
        <v>92.934585802079496</v>
      </c>
      <c r="AJ4119">
        <v>106.351117879481</v>
      </c>
      <c r="AK4119">
        <v>21.6958430384739</v>
      </c>
      <c r="AL4119">
        <v>80.224070201434799</v>
      </c>
      <c r="AM4119">
        <v>94.793008071856306</v>
      </c>
      <c r="AN4119">
        <v>0.99999994054185004</v>
      </c>
    </row>
    <row r="4120" spans="1:40" x14ac:dyDescent="0.25">
      <c r="A4120" t="str">
        <f>"20190312164109842"</f>
        <v>20190312164109842</v>
      </c>
      <c r="B4120" t="str">
        <f>"1552380069830139"</f>
        <v>1552380069830139</v>
      </c>
      <c r="C4120" t="s">
        <v>40</v>
      </c>
      <c r="D4120">
        <v>5.8099339999999904</v>
      </c>
      <c r="E4120">
        <v>0.42558489999999999</v>
      </c>
      <c r="F4120" t="s">
        <v>41</v>
      </c>
      <c r="G4120">
        <v>-185.28569999999999</v>
      </c>
      <c r="H4120" s="1">
        <v>-3.2398010000000001E-6</v>
      </c>
      <c r="I4120">
        <v>164.7159</v>
      </c>
      <c r="J4120">
        <v>-190.75749999999999</v>
      </c>
      <c r="K4120">
        <v>1.1106739999999999</v>
      </c>
      <c r="L4120">
        <v>187.21879999999999</v>
      </c>
      <c r="M4120">
        <v>-4.4609030000000001E-2</v>
      </c>
      <c r="N4120">
        <v>0</v>
      </c>
      <c r="O4120">
        <v>-0.99899309999999997</v>
      </c>
      <c r="P4120">
        <v>3.7970869999999997E-2</v>
      </c>
      <c r="Q4120">
        <v>0.16631489999999999</v>
      </c>
      <c r="R4120">
        <v>-0.98534180000000005</v>
      </c>
      <c r="S4120">
        <v>0.73466489999999995</v>
      </c>
      <c r="T4120">
        <v>-0.1492656</v>
      </c>
      <c r="U4120">
        <v>-3.041458</v>
      </c>
      <c r="V4120">
        <v>-8.2389850000000001E-2</v>
      </c>
      <c r="W4120">
        <v>0.17082639999999999</v>
      </c>
      <c r="X4120">
        <v>0.98185040000000001</v>
      </c>
      <c r="Y4120">
        <v>-0.27766220000000003</v>
      </c>
      <c r="Z4120">
        <v>4.7302249999999997E-2</v>
      </c>
      <c r="AA4120">
        <v>0.95951350000000002</v>
      </c>
      <c r="AB4120">
        <v>25</v>
      </c>
      <c r="AC4120">
        <v>5.4718</v>
      </c>
      <c r="AD4120">
        <v>-1.1106772398010001</v>
      </c>
      <c r="AE4120">
        <v>-22.502899999999901</v>
      </c>
      <c r="AF4120">
        <v>-6.4553487239047902</v>
      </c>
      <c r="AG4120">
        <v>-1.1106772398010001</v>
      </c>
      <c r="AH4120">
        <v>22.1853747980091</v>
      </c>
      <c r="AI4120">
        <v>92.752083895452202</v>
      </c>
      <c r="AJ4120">
        <v>106.223578374295</v>
      </c>
      <c r="AK4120">
        <v>23.132141837849101</v>
      </c>
      <c r="AL4120">
        <v>80.164128609615204</v>
      </c>
      <c r="AM4120">
        <v>94.796614083944306</v>
      </c>
      <c r="AN4120">
        <v>0.99999997715007105</v>
      </c>
    </row>
    <row r="4121" spans="1:40" x14ac:dyDescent="0.25">
      <c r="A4121" t="str">
        <f>"20190312164109854"</f>
        <v>20190312164109854</v>
      </c>
      <c r="B4121" t="str">
        <f>"1552380069850636"</f>
        <v>1552380069850636</v>
      </c>
      <c r="C4121" t="s">
        <v>40</v>
      </c>
      <c r="D4121">
        <v>5.8471609999999998</v>
      </c>
      <c r="E4121">
        <v>0.42634100000000003</v>
      </c>
      <c r="F4121" t="s">
        <v>41</v>
      </c>
      <c r="G4121">
        <v>-185.16130000000001</v>
      </c>
      <c r="H4121" s="1">
        <v>-2.9670979999999999E-6</v>
      </c>
      <c r="I4121">
        <v>164.01830000000001</v>
      </c>
      <c r="J4121">
        <v>-190.7627</v>
      </c>
      <c r="K4121">
        <v>1.110608</v>
      </c>
      <c r="L4121">
        <v>187.08019999999999</v>
      </c>
      <c r="M4121">
        <v>-4.3666980000000001E-2</v>
      </c>
      <c r="N4121">
        <v>0</v>
      </c>
      <c r="O4121">
        <v>-0.99903489999999995</v>
      </c>
      <c r="P4121">
        <v>3.8697259999999997E-2</v>
      </c>
      <c r="Q4121">
        <v>0.16789279999999901</v>
      </c>
      <c r="R4121">
        <v>-0.98504590000000003</v>
      </c>
      <c r="S4121">
        <v>0.73352050000000002</v>
      </c>
      <c r="T4121">
        <v>-0.14558019999999999</v>
      </c>
      <c r="U4121">
        <v>-3.0409700000000002</v>
      </c>
      <c r="V4121">
        <v>-8.2155409999999998E-2</v>
      </c>
      <c r="W4121">
        <v>0.1723654</v>
      </c>
      <c r="X4121">
        <v>0.9816011</v>
      </c>
      <c r="Y4121">
        <v>-0.27646270000000001</v>
      </c>
      <c r="Z4121">
        <v>4.6157249999999997E-2</v>
      </c>
      <c r="AA4121">
        <v>0.95991559999999998</v>
      </c>
      <c r="AB4121">
        <v>25</v>
      </c>
      <c r="AC4121">
        <v>5.6013999999999804</v>
      </c>
      <c r="AD4121">
        <v>-1.110610967098</v>
      </c>
      <c r="AE4121">
        <v>-23.061899999999898</v>
      </c>
      <c r="AF4121">
        <v>-6.5886826841219603</v>
      </c>
      <c r="AG4121">
        <v>-1.110610967098</v>
      </c>
      <c r="AH4121">
        <v>22.745490558852499</v>
      </c>
      <c r="AI4121">
        <v>92.685188807629203</v>
      </c>
      <c r="AJ4121">
        <v>106.154708355911</v>
      </c>
      <c r="AK4121">
        <v>23.7065715993505</v>
      </c>
      <c r="AL4121">
        <v>80.074623330992296</v>
      </c>
      <c r="AM4121">
        <v>94.784237870485299</v>
      </c>
      <c r="AN4121">
        <v>1.0000000310153101</v>
      </c>
    </row>
    <row r="4122" spans="1:40" x14ac:dyDescent="0.25">
      <c r="A4122" t="str">
        <f>"20190312164109866"</f>
        <v>20190312164109866</v>
      </c>
      <c r="B4122" t="str">
        <f>"1552380069860396"</f>
        <v>1552380069860396</v>
      </c>
      <c r="C4122" t="s">
        <v>40</v>
      </c>
      <c r="D4122">
        <v>5.8078969999999996</v>
      </c>
      <c r="E4122">
        <v>0.42666700000000002</v>
      </c>
      <c r="F4122" t="s">
        <v>41</v>
      </c>
      <c r="G4122">
        <v>-185.25059999999999</v>
      </c>
      <c r="H4122" s="1">
        <v>-2.9838690000000001E-6</v>
      </c>
      <c r="I4122">
        <v>164.12389999999999</v>
      </c>
      <c r="J4122">
        <v>-190.76750000000001</v>
      </c>
      <c r="K4122">
        <v>1.110555</v>
      </c>
      <c r="L4122">
        <v>186.9522</v>
      </c>
      <c r="M4122">
        <v>-4.285278E-2</v>
      </c>
      <c r="N4122">
        <v>0</v>
      </c>
      <c r="O4122">
        <v>-0.99907020000000002</v>
      </c>
      <c r="P4122">
        <v>3.8932729999999999E-2</v>
      </c>
      <c r="Q4122">
        <v>0.16939270000000001</v>
      </c>
      <c r="R4122">
        <v>-0.98477979999999998</v>
      </c>
      <c r="S4122">
        <v>0.73040769999999899</v>
      </c>
      <c r="T4122">
        <v>-0.14716660000000001</v>
      </c>
      <c r="U4122">
        <v>-3.0419309999999999</v>
      </c>
      <c r="V4122">
        <v>-8.1559240000000005E-2</v>
      </c>
      <c r="W4122">
        <v>0.17383299999999999</v>
      </c>
      <c r="X4122">
        <v>0.98139200000000004</v>
      </c>
      <c r="Y4122">
        <v>-0.27467589999999997</v>
      </c>
      <c r="Z4122">
        <v>4.6665020000000001E-2</v>
      </c>
      <c r="AA4122">
        <v>0.96040389999999998</v>
      </c>
      <c r="AB4122">
        <v>25</v>
      </c>
      <c r="AC4122">
        <v>5.5169000000000201</v>
      </c>
      <c r="AD4122">
        <v>-1.1105579838689901</v>
      </c>
      <c r="AE4122">
        <v>-22.828299999999999</v>
      </c>
      <c r="AF4122">
        <v>-6.47561922564923</v>
      </c>
      <c r="AG4122">
        <v>-1.1105579838689901</v>
      </c>
      <c r="AH4122">
        <v>22.520554898647202</v>
      </c>
      <c r="AI4122">
        <v>92.713374498393506</v>
      </c>
      <c r="AJ4122">
        <v>106.04219848000901</v>
      </c>
      <c r="AK4122">
        <v>23.459377151453001</v>
      </c>
      <c r="AL4122">
        <v>79.989247322071705</v>
      </c>
      <c r="AM4122">
        <v>94.750687276184905</v>
      </c>
      <c r="AN4122">
        <v>1.0000000395911799</v>
      </c>
    </row>
    <row r="4123" spans="1:40" x14ac:dyDescent="0.25">
      <c r="A4123" t="str">
        <f>"20190312164109877"</f>
        <v>20190312164109877</v>
      </c>
      <c r="B4123" t="str">
        <f>"1552380069870156"</f>
        <v>1552380069870156</v>
      </c>
      <c r="C4123" t="s">
        <v>40</v>
      </c>
      <c r="D4123">
        <v>5.8096719999999999</v>
      </c>
      <c r="E4123">
        <v>0.42692770000000002</v>
      </c>
      <c r="F4123" t="s">
        <v>41</v>
      </c>
      <c r="G4123">
        <v>-185.13659999999999</v>
      </c>
      <c r="H4123" s="1">
        <v>-2.7629989999999998E-6</v>
      </c>
      <c r="I4123">
        <v>163.46979999999999</v>
      </c>
      <c r="J4123">
        <v>-190.77250000000001</v>
      </c>
      <c r="K4123">
        <v>1.11049</v>
      </c>
      <c r="L4123">
        <v>186.81399999999999</v>
      </c>
      <c r="M4123">
        <v>-4.2001999999999998E-2</v>
      </c>
      <c r="N4123">
        <v>0</v>
      </c>
      <c r="O4123">
        <v>-0.99910659999999896</v>
      </c>
      <c r="P4123">
        <v>3.9579009999999998E-2</v>
      </c>
      <c r="Q4123">
        <v>0.17057510000000001</v>
      </c>
      <c r="R4123">
        <v>-0.98454940000000002</v>
      </c>
      <c r="S4123">
        <v>0.72950740000000003</v>
      </c>
      <c r="T4123">
        <v>-0.14387910000000001</v>
      </c>
      <c r="U4123">
        <v>-3.0422820000000002</v>
      </c>
      <c r="V4123">
        <v>-8.1335599999999994E-2</v>
      </c>
      <c r="W4123">
        <v>0.17498050000000001</v>
      </c>
      <c r="X4123">
        <v>0.98120660000000004</v>
      </c>
      <c r="Y4123">
        <v>-0.2735744</v>
      </c>
      <c r="Z4123">
        <v>4.5631159999999997E-2</v>
      </c>
      <c r="AA4123">
        <v>0.96076790000000001</v>
      </c>
      <c r="AB4123">
        <v>25</v>
      </c>
      <c r="AC4123">
        <v>5.6359000000000199</v>
      </c>
      <c r="AD4123">
        <v>-1.110492762999</v>
      </c>
      <c r="AE4123">
        <v>-23.344200000000001</v>
      </c>
      <c r="AF4123">
        <v>-6.5973330247156303</v>
      </c>
      <c r="AG4123">
        <v>-1.110492762999</v>
      </c>
      <c r="AH4123">
        <v>23.0376157492244</v>
      </c>
      <c r="AI4123">
        <v>92.653229400495405</v>
      </c>
      <c r="AJ4123">
        <v>105.980241328685</v>
      </c>
      <c r="AK4123">
        <v>23.989367157651099</v>
      </c>
      <c r="AL4123">
        <v>79.922476909093803</v>
      </c>
      <c r="AM4123">
        <v>94.738611125848294</v>
      </c>
      <c r="AN4123">
        <v>1.0000000235455799</v>
      </c>
    </row>
    <row r="4124" spans="1:40" x14ac:dyDescent="0.25">
      <c r="A4124" t="str">
        <f>"20190312164109897"</f>
        <v>20190312164109897</v>
      </c>
      <c r="B4124" t="str">
        <f>"1552380069890654"</f>
        <v>1552380069890654</v>
      </c>
      <c r="C4124" t="s">
        <v>40</v>
      </c>
      <c r="D4124">
        <v>5.7931379999999999</v>
      </c>
      <c r="E4124">
        <v>0.42754029999999998</v>
      </c>
      <c r="F4124" t="s">
        <v>41</v>
      </c>
      <c r="G4124">
        <v>-185.0624</v>
      </c>
      <c r="H4124" s="1">
        <v>-2.6028529999999999E-6</v>
      </c>
      <c r="I4124">
        <v>163.00129999999999</v>
      </c>
      <c r="J4124">
        <v>-190.7807</v>
      </c>
      <c r="K4124">
        <v>1.1103829999999999</v>
      </c>
      <c r="L4124">
        <v>186.5857</v>
      </c>
      <c r="M4124">
        <v>-4.0738209999999997E-2</v>
      </c>
      <c r="N4124">
        <v>0</v>
      </c>
      <c r="O4124">
        <v>-0.99915909999999997</v>
      </c>
      <c r="P4124">
        <v>3.9478609999999997E-2</v>
      </c>
      <c r="Q4124">
        <v>0.17310710000000001</v>
      </c>
      <c r="R4124">
        <v>-0.98411150000000003</v>
      </c>
      <c r="S4124">
        <v>0.72952269999999997</v>
      </c>
      <c r="T4124">
        <v>-0.14187649999999999</v>
      </c>
      <c r="U4124">
        <v>-3.042313</v>
      </c>
      <c r="V4124">
        <v>-7.9938839999999997E-2</v>
      </c>
      <c r="W4124">
        <v>0.1774626</v>
      </c>
      <c r="X4124">
        <v>0.98087559999999996</v>
      </c>
      <c r="Y4124">
        <v>-0.27236660000000001</v>
      </c>
      <c r="Z4124">
        <v>4.5008409999999999E-2</v>
      </c>
      <c r="AA4124">
        <v>0.96114029999999995</v>
      </c>
      <c r="AB4124">
        <v>25</v>
      </c>
      <c r="AC4124">
        <v>5.7182999999999904</v>
      </c>
      <c r="AD4124">
        <v>-1.1103856028529999</v>
      </c>
      <c r="AE4124">
        <v>-23.584399999999999</v>
      </c>
      <c r="AF4124">
        <v>-6.6604053610475296</v>
      </c>
      <c r="AG4124">
        <v>-1.1103856028529999</v>
      </c>
      <c r="AH4124">
        <v>23.283120250806402</v>
      </c>
      <c r="AI4124">
        <v>92.625254736353497</v>
      </c>
      <c r="AJ4124">
        <v>105.963789104597</v>
      </c>
      <c r="AK4124">
        <v>24.242476036370601</v>
      </c>
      <c r="AL4124">
        <v>79.778002517332894</v>
      </c>
      <c r="AM4124">
        <v>94.659161832603601</v>
      </c>
      <c r="AN4124">
        <v>1.00000006760733</v>
      </c>
    </row>
    <row r="4125" spans="1:40" x14ac:dyDescent="0.25">
      <c r="A4125" t="str">
        <f>"20190312164109909"</f>
        <v>20190312164109909</v>
      </c>
      <c r="B4125" t="str">
        <f>"1552380069899943"</f>
        <v>1552380069899943</v>
      </c>
      <c r="C4125" t="s">
        <v>40</v>
      </c>
      <c r="D4125">
        <v>5.8458589999999999</v>
      </c>
      <c r="E4125">
        <v>0.42774689999999999</v>
      </c>
      <c r="F4125" t="s">
        <v>41</v>
      </c>
      <c r="G4125">
        <v>-185.0583</v>
      </c>
      <c r="H4125" s="1">
        <v>-2.4221690000000001E-6</v>
      </c>
      <c r="I4125">
        <v>162.52789999999999</v>
      </c>
      <c r="J4125">
        <v>-190.78559999999999</v>
      </c>
      <c r="K4125">
        <v>1.110322</v>
      </c>
      <c r="L4125">
        <v>186.44579999999999</v>
      </c>
      <c r="M4125">
        <v>-4.0048109999999998E-2</v>
      </c>
      <c r="N4125">
        <v>0</v>
      </c>
      <c r="O4125">
        <v>-0.99918739999999995</v>
      </c>
      <c r="P4125">
        <v>3.9521149999999998E-2</v>
      </c>
      <c r="Q4125">
        <v>0.17294209999999999</v>
      </c>
      <c r="R4125">
        <v>-0.98413910000000004</v>
      </c>
      <c r="S4125">
        <v>0.72407529999999998</v>
      </c>
      <c r="T4125">
        <v>-0.14049970000000001</v>
      </c>
      <c r="U4125">
        <v>-3.0440830000000001</v>
      </c>
      <c r="V4125">
        <v>-7.9278390000000004E-2</v>
      </c>
      <c r="W4125">
        <v>0.1772716</v>
      </c>
      <c r="X4125">
        <v>0.98096360000000005</v>
      </c>
      <c r="Y4125">
        <v>-0.26995180000000002</v>
      </c>
      <c r="Z4125">
        <v>4.45739E-2</v>
      </c>
      <c r="AA4125">
        <v>0.96184150000000002</v>
      </c>
      <c r="AB4125">
        <v>25</v>
      </c>
      <c r="AC4125">
        <v>5.7272999999999801</v>
      </c>
      <c r="AD4125">
        <v>-1.1103244221690001</v>
      </c>
      <c r="AE4125">
        <v>-23.917899999999999</v>
      </c>
      <c r="AF4125">
        <v>-6.6669933628540798</v>
      </c>
      <c r="AG4125">
        <v>-1.1103244221690001</v>
      </c>
      <c r="AH4125">
        <v>23.621197729872101</v>
      </c>
      <c r="AI4125">
        <v>92.590183430306993</v>
      </c>
      <c r="AJ4125">
        <v>105.76151828139901</v>
      </c>
      <c r="AK4125">
        <v>24.5691392404479</v>
      </c>
      <c r="AL4125">
        <v>79.789120937713705</v>
      </c>
      <c r="AM4125">
        <v>94.6204227686774</v>
      </c>
      <c r="AN4125">
        <v>0.99999993390625297</v>
      </c>
    </row>
    <row r="4126" spans="1:40" x14ac:dyDescent="0.25">
      <c r="A4126" t="str">
        <f>"20190312164109921"</f>
        <v>20190312164109921</v>
      </c>
      <c r="B4126" t="str">
        <f>"1552380069910678"</f>
        <v>1552380069910678</v>
      </c>
      <c r="C4126" t="s">
        <v>40</v>
      </c>
      <c r="D4126">
        <v>5.8025330000000004</v>
      </c>
      <c r="E4126">
        <v>0.42795650000000002</v>
      </c>
      <c r="F4126" t="s">
        <v>41</v>
      </c>
      <c r="G4126">
        <v>-185.2079</v>
      </c>
      <c r="H4126" s="1">
        <v>-2.5388959999999998E-6</v>
      </c>
      <c r="I4126">
        <v>162.93559999999999</v>
      </c>
      <c r="J4126">
        <v>-190.7902</v>
      </c>
      <c r="K4126">
        <v>1.110263</v>
      </c>
      <c r="L4126">
        <v>186.31549999999999</v>
      </c>
      <c r="M4126">
        <v>-3.9426919999999997E-2</v>
      </c>
      <c r="N4126">
        <v>0</v>
      </c>
      <c r="O4126">
        <v>-0.9992124</v>
      </c>
      <c r="P4126">
        <v>3.9649030000000002E-2</v>
      </c>
      <c r="Q4126">
        <v>0.1725032</v>
      </c>
      <c r="R4126">
        <v>-0.9842109</v>
      </c>
      <c r="S4126">
        <v>0.72232059999999998</v>
      </c>
      <c r="T4126">
        <v>-0.1437881</v>
      </c>
      <c r="U4126">
        <v>-3.0446010000000001</v>
      </c>
      <c r="V4126">
        <v>-7.8775150000000002E-2</v>
      </c>
      <c r="W4126">
        <v>0.17680979999999999</v>
      </c>
      <c r="X4126">
        <v>0.98108759999999995</v>
      </c>
      <c r="Y4126">
        <v>-0.26878059999999998</v>
      </c>
      <c r="Z4126">
        <v>4.5619720000000002E-2</v>
      </c>
      <c r="AA4126">
        <v>0.96212050000000005</v>
      </c>
      <c r="AB4126">
        <v>26</v>
      </c>
      <c r="AC4126">
        <v>5.5823</v>
      </c>
      <c r="AD4126">
        <v>-1.1102655388959899</v>
      </c>
      <c r="AE4126">
        <v>-23.3798999999999</v>
      </c>
      <c r="AF4126">
        <v>-6.4859285030139802</v>
      </c>
      <c r="AG4126">
        <v>-1.1102655388959899</v>
      </c>
      <c r="AH4126">
        <v>23.0923584117159</v>
      </c>
      <c r="AI4126">
        <v>92.650228095345994</v>
      </c>
      <c r="AJ4126">
        <v>105.688408357208</v>
      </c>
      <c r="AK4126">
        <v>24.0116008447628</v>
      </c>
      <c r="AL4126">
        <v>79.816006039563504</v>
      </c>
      <c r="AM4126">
        <v>94.5906414277365</v>
      </c>
      <c r="AN4126">
        <v>1.00000005425365</v>
      </c>
    </row>
    <row r="4127" spans="1:40" x14ac:dyDescent="0.25">
      <c r="A4127" t="str">
        <f>"20190312164109941"</f>
        <v>20190312164109941</v>
      </c>
      <c r="B4127" t="str">
        <f>"1552380069930198"</f>
        <v>1552380069930198</v>
      </c>
      <c r="C4127" t="s">
        <v>40</v>
      </c>
      <c r="D4127">
        <v>5.7850349999999997</v>
      </c>
      <c r="E4127">
        <v>0.4283381</v>
      </c>
      <c r="F4127" t="s">
        <v>41</v>
      </c>
      <c r="G4127">
        <v>-185.36670000000001</v>
      </c>
      <c r="H4127" s="1">
        <v>-2.6785810000000002E-6</v>
      </c>
      <c r="I4127">
        <v>163.4093</v>
      </c>
      <c r="J4127">
        <v>-190.79839999999999</v>
      </c>
      <c r="K4127">
        <v>1.110163</v>
      </c>
      <c r="L4127">
        <v>186.07939999999999</v>
      </c>
      <c r="M4127">
        <v>-3.841311E-2</v>
      </c>
      <c r="N4127">
        <v>0</v>
      </c>
      <c r="O4127">
        <v>-0.99925200000000003</v>
      </c>
      <c r="P4127">
        <v>3.9054480000000003E-2</v>
      </c>
      <c r="Q4127">
        <v>0.17089279999999901</v>
      </c>
      <c r="R4127">
        <v>-0.98451540000000004</v>
      </c>
      <c r="S4127">
        <v>0.72096249999999995</v>
      </c>
      <c r="T4127">
        <v>-0.14758869999999999</v>
      </c>
      <c r="U4127">
        <v>-3.044937</v>
      </c>
      <c r="V4127">
        <v>-7.7156059999999999E-2</v>
      </c>
      <c r="W4127">
        <v>0.1751646</v>
      </c>
      <c r="X4127">
        <v>0.98151120000000003</v>
      </c>
      <c r="Y4127">
        <v>-0.26735999999999999</v>
      </c>
      <c r="Z4127">
        <v>4.6832459999999999E-2</v>
      </c>
      <c r="AA4127">
        <v>0.96245800000000004</v>
      </c>
      <c r="AB4127">
        <v>26</v>
      </c>
      <c r="AC4127">
        <v>5.43169999999997</v>
      </c>
      <c r="AD4127">
        <v>-1.1101656785809999</v>
      </c>
      <c r="AE4127">
        <v>-22.670099999999898</v>
      </c>
      <c r="AF4127">
        <v>-6.2842765228917399</v>
      </c>
      <c r="AG4127">
        <v>-1.1101656785809999</v>
      </c>
      <c r="AH4127">
        <v>22.393929800814401</v>
      </c>
      <c r="AI4127">
        <v>92.732689290827693</v>
      </c>
      <c r="AJ4127">
        <v>105.675400039881</v>
      </c>
      <c r="AK4127">
        <v>23.2854609396909</v>
      </c>
      <c r="AL4127">
        <v>79.911762695521901</v>
      </c>
      <c r="AM4127">
        <v>94.494746829912202</v>
      </c>
      <c r="AN4127">
        <v>0.99999996520666101</v>
      </c>
    </row>
    <row r="4128" spans="1:40" x14ac:dyDescent="0.25">
      <c r="A4128" t="str">
        <f>"20190312164109953"</f>
        <v>20190312164109953</v>
      </c>
      <c r="B4128" t="str">
        <f>"1552380069950694"</f>
        <v>1552380069950694</v>
      </c>
      <c r="C4128" t="s">
        <v>40</v>
      </c>
      <c r="D4128">
        <v>5.8194990000000004</v>
      </c>
      <c r="E4128">
        <v>0.42878729999999998</v>
      </c>
      <c r="F4128" t="s">
        <v>41</v>
      </c>
      <c r="G4128">
        <v>-185.7457</v>
      </c>
      <c r="H4128" s="1">
        <v>-3.1121790000000001E-6</v>
      </c>
      <c r="I4128">
        <v>164.61859999999999</v>
      </c>
      <c r="J4128">
        <v>-190.803</v>
      </c>
      <c r="K4128">
        <v>1.1101099999999999</v>
      </c>
      <c r="L4128">
        <v>185.94579999999999</v>
      </c>
      <c r="M4128">
        <v>-3.788909E-2</v>
      </c>
      <c r="N4128">
        <v>0</v>
      </c>
      <c r="O4128">
        <v>-0.9992721</v>
      </c>
      <c r="P4128">
        <v>3.8106349999999997E-2</v>
      </c>
      <c r="Q4128">
        <v>0.16958480000000001</v>
      </c>
      <c r="R4128">
        <v>-0.98477890000000001</v>
      </c>
      <c r="S4128">
        <v>0.71716309999999905</v>
      </c>
      <c r="T4128">
        <v>-0.15757349999999901</v>
      </c>
      <c r="U4128">
        <v>-3.0460820000000002</v>
      </c>
      <c r="V4128">
        <v>-7.5683379999999995E-2</v>
      </c>
      <c r="W4128">
        <v>0.1738401</v>
      </c>
      <c r="X4128">
        <v>0.9818614</v>
      </c>
      <c r="Y4128">
        <v>-0.26560080000000003</v>
      </c>
      <c r="Z4128">
        <v>4.9995530000000003E-2</v>
      </c>
      <c r="AA4128">
        <v>0.96278589999999997</v>
      </c>
      <c r="AB4128">
        <v>26</v>
      </c>
      <c r="AC4128">
        <v>5.0572999999999899</v>
      </c>
      <c r="AD4128">
        <v>-1.110113112179</v>
      </c>
      <c r="AE4128">
        <v>-21.327200000000001</v>
      </c>
      <c r="AF4128">
        <v>-5.8467470666505204</v>
      </c>
      <c r="AG4128">
        <v>-1.110113112179</v>
      </c>
      <c r="AH4128">
        <v>21.066229864179899</v>
      </c>
      <c r="AI4128">
        <v>92.906808966462407</v>
      </c>
      <c r="AJ4128">
        <v>105.511527188489</v>
      </c>
      <c r="AK4128">
        <v>21.890702206043599</v>
      </c>
      <c r="AL4128">
        <v>79.9888346573875</v>
      </c>
      <c r="AM4128">
        <v>94.407730594380794</v>
      </c>
      <c r="AN4128">
        <v>1.0000000815930901</v>
      </c>
    </row>
    <row r="4129" spans="1:40" x14ac:dyDescent="0.25">
      <c r="A4129" t="str">
        <f>"20190312164109965"</f>
        <v>20190312164109965</v>
      </c>
      <c r="B4129" t="str">
        <f>"1552380069960454"</f>
        <v>1552380069960454</v>
      </c>
      <c r="C4129" t="s">
        <v>40</v>
      </c>
      <c r="D4129">
        <v>5.8013579999999996</v>
      </c>
      <c r="E4129">
        <v>0.42889139999999998</v>
      </c>
      <c r="F4129" t="s">
        <v>41</v>
      </c>
      <c r="G4129">
        <v>-186.00839999999999</v>
      </c>
      <c r="H4129" s="1">
        <v>-3.4470760000000002E-6</v>
      </c>
      <c r="I4129">
        <v>165.4256</v>
      </c>
      <c r="J4129">
        <v>-190.8075</v>
      </c>
      <c r="K4129">
        <v>1.1100650000000001</v>
      </c>
      <c r="L4129">
        <v>185.81299999999999</v>
      </c>
      <c r="M4129">
        <v>-3.7397670000000001E-2</v>
      </c>
      <c r="N4129">
        <v>0</v>
      </c>
      <c r="O4129">
        <v>-0.99929080000000003</v>
      </c>
      <c r="P4129">
        <v>3.7403749999999999E-2</v>
      </c>
      <c r="Q4129">
        <v>0.16879620000000001</v>
      </c>
      <c r="R4129">
        <v>-0.98494110000000001</v>
      </c>
      <c r="S4129">
        <v>0.71199040000000002</v>
      </c>
      <c r="T4129">
        <v>-0.16484979999999999</v>
      </c>
      <c r="U4129">
        <v>-3.0472109999999999</v>
      </c>
      <c r="V4129">
        <v>-7.4486090000000005E-2</v>
      </c>
      <c r="W4129">
        <v>0.17303560000000001</v>
      </c>
      <c r="X4129">
        <v>0.98209489999999999</v>
      </c>
      <c r="Y4129">
        <v>-0.26347039999999999</v>
      </c>
      <c r="Z4129">
        <v>5.230597E-2</v>
      </c>
      <c r="AA4129">
        <v>0.9632484</v>
      </c>
      <c r="AB4129">
        <v>26</v>
      </c>
      <c r="AC4129">
        <v>4.7991000000000099</v>
      </c>
      <c r="AD4129">
        <v>-1.1100684470759901</v>
      </c>
      <c r="AE4129">
        <v>-20.3873999999999</v>
      </c>
      <c r="AF4129">
        <v>-5.5426220896209903</v>
      </c>
      <c r="AG4129">
        <v>-1.1100684470759901</v>
      </c>
      <c r="AH4129">
        <v>20.137095657446601</v>
      </c>
      <c r="AI4129">
        <v>93.0423525284249</v>
      </c>
      <c r="AJ4129">
        <v>105.389267084548</v>
      </c>
      <c r="AK4129">
        <v>20.915437674184599</v>
      </c>
      <c r="AL4129">
        <v>80.035637049691104</v>
      </c>
      <c r="AM4129">
        <v>94.337242334554404</v>
      </c>
      <c r="AN4129">
        <v>0.999999944538427</v>
      </c>
    </row>
    <row r="4130" spans="1:40" x14ac:dyDescent="0.25">
      <c r="A4130" t="str">
        <f>"20190312164109978"</f>
        <v>20190312164109978</v>
      </c>
      <c r="B4130" t="str">
        <f>"1552380069970214"</f>
        <v>1552380069970214</v>
      </c>
      <c r="C4130" t="s">
        <v>40</v>
      </c>
      <c r="D4130">
        <v>5.7147800000000002</v>
      </c>
      <c r="E4130">
        <v>0.42907459999999997</v>
      </c>
      <c r="F4130" t="s">
        <v>41</v>
      </c>
      <c r="G4130">
        <v>-186.13380000000001</v>
      </c>
      <c r="H4130" s="1">
        <v>-3.578834E-6</v>
      </c>
      <c r="I4130">
        <v>165.75139999999999</v>
      </c>
      <c r="J4130">
        <v>-190.81290000000001</v>
      </c>
      <c r="K4130">
        <v>1.1100159999999999</v>
      </c>
      <c r="L4130">
        <v>185.65389999999999</v>
      </c>
      <c r="M4130">
        <v>-3.6834680000000002E-2</v>
      </c>
      <c r="N4130">
        <v>0</v>
      </c>
      <c r="O4130">
        <v>-0.99931199999999998</v>
      </c>
      <c r="P4130">
        <v>3.6650559999999999E-2</v>
      </c>
      <c r="Q4130">
        <v>0.16746610000000001</v>
      </c>
      <c r="R4130">
        <v>-0.98519659999999998</v>
      </c>
      <c r="S4130">
        <v>0.71005249999999998</v>
      </c>
      <c r="T4130">
        <v>-0.16864479999999901</v>
      </c>
      <c r="U4130">
        <v>-3.0478209999999999</v>
      </c>
      <c r="V4130">
        <v>-7.3170299999999994E-2</v>
      </c>
      <c r="W4130">
        <v>0.17168659999999999</v>
      </c>
      <c r="X4130">
        <v>0.98243060000000004</v>
      </c>
      <c r="Y4130">
        <v>-0.26228869999999999</v>
      </c>
      <c r="Z4130">
        <v>5.3510460000000003E-2</v>
      </c>
      <c r="AA4130">
        <v>0.96350469999999999</v>
      </c>
      <c r="AB4130">
        <v>26</v>
      </c>
      <c r="AC4130">
        <v>4.6791</v>
      </c>
      <c r="AD4130">
        <v>-1.1100195788339999</v>
      </c>
      <c r="AE4130">
        <v>-19.9025</v>
      </c>
      <c r="AF4130">
        <v>-5.3931363834403596</v>
      </c>
      <c r="AG4130">
        <v>-1.1100195788339999</v>
      </c>
      <c r="AH4130">
        <v>19.658690936389402</v>
      </c>
      <c r="AI4130">
        <v>93.116828540864702</v>
      </c>
      <c r="AJ4130">
        <v>105.341010514255</v>
      </c>
      <c r="AK4130">
        <v>20.415244129039099</v>
      </c>
      <c r="AL4130">
        <v>80.114104287426699</v>
      </c>
      <c r="AM4130">
        <v>94.259459428166807</v>
      </c>
      <c r="AN4130">
        <v>1.0000000326189999</v>
      </c>
    </row>
    <row r="4131" spans="1:40" x14ac:dyDescent="0.25">
      <c r="A4131" t="str">
        <f>"20190312164109994"</f>
        <v>20190312164109994</v>
      </c>
      <c r="B4131" t="str">
        <f>"1552380069990709"</f>
        <v>1552380069990709</v>
      </c>
      <c r="C4131" t="s">
        <v>40</v>
      </c>
      <c r="D4131">
        <v>6.0225530000000003</v>
      </c>
      <c r="E4131">
        <v>0.46335419999999999</v>
      </c>
      <c r="F4131" t="s">
        <v>41</v>
      </c>
      <c r="G4131">
        <v>-186.2698</v>
      </c>
      <c r="H4131" s="1">
        <v>-3.7124880000000001E-6</v>
      </c>
      <c r="I4131">
        <v>166.08519999999999</v>
      </c>
      <c r="J4131">
        <v>-190.8192</v>
      </c>
      <c r="K4131">
        <v>1.1099669999999999</v>
      </c>
      <c r="L4131">
        <v>185.4666</v>
      </c>
      <c r="M4131">
        <v>-3.6234339999999997E-2</v>
      </c>
      <c r="N4131">
        <v>0</v>
      </c>
      <c r="O4131">
        <v>-0.99933369999999999</v>
      </c>
      <c r="P4131">
        <v>3.607921E-2</v>
      </c>
      <c r="Q4131">
        <v>0.16681560000000001</v>
      </c>
      <c r="R4131">
        <v>-0.98532799999999998</v>
      </c>
      <c r="S4131">
        <v>0.70765690000000003</v>
      </c>
      <c r="T4131">
        <v>-0.1729031</v>
      </c>
      <c r="U4131">
        <v>-3.0481410000000002</v>
      </c>
      <c r="V4131">
        <v>-7.1994509999999998E-2</v>
      </c>
      <c r="W4131">
        <v>0.17101669999999999</v>
      </c>
      <c r="X4131">
        <v>0.98263420000000001</v>
      </c>
      <c r="Y4131">
        <v>-0.2609513</v>
      </c>
      <c r="Z4131">
        <v>5.4868599999999997E-2</v>
      </c>
      <c r="AA4131">
        <v>0.96379139999999996</v>
      </c>
      <c r="AB4131">
        <v>26</v>
      </c>
      <c r="AC4131">
        <v>4.5493999999999897</v>
      </c>
      <c r="AD4131">
        <v>-1.1099707124879901</v>
      </c>
      <c r="AE4131">
        <v>-19.381399999999999</v>
      </c>
      <c r="AF4131">
        <v>-5.23242610252949</v>
      </c>
      <c r="AG4131">
        <v>-1.1099707124879901</v>
      </c>
      <c r="AH4131">
        <v>19.144314967602501</v>
      </c>
      <c r="AI4131">
        <v>93.201092987620498</v>
      </c>
      <c r="AJ4131">
        <v>105.286450495214</v>
      </c>
      <c r="AK4131">
        <v>19.877502697265101</v>
      </c>
      <c r="AL4131">
        <v>80.153062069941498</v>
      </c>
      <c r="AM4131">
        <v>94.190393784052205</v>
      </c>
      <c r="AN4131">
        <v>0.99999994607933296</v>
      </c>
    </row>
    <row r="4132" spans="1:40" x14ac:dyDescent="0.25">
      <c r="A4132" t="str">
        <f>"20190312164110010"</f>
        <v>20190312164110010</v>
      </c>
      <c r="B4132" t="str">
        <f>"1552380070000001"</f>
        <v>1552380070000001</v>
      </c>
      <c r="C4132" t="s">
        <v>40</v>
      </c>
      <c r="D4132">
        <v>5.8683160000000001</v>
      </c>
      <c r="E4132">
        <v>0.46842070000000002</v>
      </c>
      <c r="F4132" t="s">
        <v>41</v>
      </c>
      <c r="G4132">
        <v>-188.221</v>
      </c>
      <c r="H4132" s="1">
        <v>-3.8534070000000002E-6</v>
      </c>
      <c r="I4132">
        <v>167.1155</v>
      </c>
      <c r="J4132">
        <v>-190.8254</v>
      </c>
      <c r="K4132">
        <v>1.10992</v>
      </c>
      <c r="L4132">
        <v>185.2774</v>
      </c>
      <c r="M4132">
        <v>-3.5670350000000003E-2</v>
      </c>
      <c r="N4132">
        <v>0</v>
      </c>
      <c r="O4132">
        <v>-0.99935439999999998</v>
      </c>
      <c r="P4132">
        <v>3.3342160000000003E-2</v>
      </c>
      <c r="Q4132">
        <v>0.16548270000000001</v>
      </c>
      <c r="R4132">
        <v>-0.98564929999999995</v>
      </c>
      <c r="S4132">
        <v>0.43325809999999998</v>
      </c>
      <c r="T4132">
        <v>-0.18509500000000001</v>
      </c>
      <c r="U4132">
        <v>-3.060165</v>
      </c>
      <c r="V4132">
        <v>-6.8699049999999998E-2</v>
      </c>
      <c r="W4132">
        <v>0.1696696</v>
      </c>
      <c r="X4132">
        <v>0.98310359999999997</v>
      </c>
      <c r="Y4132">
        <v>-0.17516180000000001</v>
      </c>
      <c r="Z4132">
        <v>5.9554570000000001E-2</v>
      </c>
      <c r="AA4132">
        <v>0.98273679999999997</v>
      </c>
      <c r="AB4132">
        <v>26</v>
      </c>
      <c r="AC4132">
        <v>2.60440000000002</v>
      </c>
      <c r="AD4132">
        <v>-1.1099238534069999</v>
      </c>
      <c r="AE4132">
        <v>-18.161899999999999</v>
      </c>
      <c r="AF4132">
        <v>-3.23873763177341</v>
      </c>
      <c r="AG4132">
        <v>-1.1099238534069999</v>
      </c>
      <c r="AH4132">
        <v>17.991600449369098</v>
      </c>
      <c r="AI4132">
        <v>93.474466813106901</v>
      </c>
      <c r="AJ4132">
        <v>100.20474349514301</v>
      </c>
      <c r="AK4132">
        <v>18.314448917113701</v>
      </c>
      <c r="AL4132">
        <v>80.231390638799994</v>
      </c>
      <c r="AM4132">
        <v>93.9973176013265</v>
      </c>
      <c r="AN4132">
        <v>1.0000000104840101</v>
      </c>
    </row>
    <row r="4133" spans="1:40" x14ac:dyDescent="0.25">
      <c r="A4133" t="str">
        <f>"20190312164110032"</f>
        <v>20190312164110032</v>
      </c>
      <c r="B4133" t="str">
        <f>"1552380070020497"</f>
        <v>1552380070020497</v>
      </c>
      <c r="C4133" t="s">
        <v>40</v>
      </c>
      <c r="D4133">
        <v>5.7521269999999998</v>
      </c>
      <c r="E4133">
        <v>0.47954580000000002</v>
      </c>
      <c r="F4133" t="s">
        <v>41</v>
      </c>
      <c r="G4133">
        <v>-188.7045</v>
      </c>
      <c r="H4133" s="1">
        <v>-4.4132130000000001E-6</v>
      </c>
      <c r="I4133">
        <v>168.4811</v>
      </c>
      <c r="J4133">
        <v>-190.83359999999999</v>
      </c>
      <c r="K4133">
        <v>1.1098680000000001</v>
      </c>
      <c r="L4133">
        <v>185.02539999999999</v>
      </c>
      <c r="M4133">
        <v>-3.4974089999999999E-2</v>
      </c>
      <c r="N4133">
        <v>0</v>
      </c>
      <c r="O4133">
        <v>-0.99937900000000002</v>
      </c>
      <c r="P4133">
        <v>3.0978450000000001E-2</v>
      </c>
      <c r="Q4133">
        <v>0.1652981</v>
      </c>
      <c r="R4133">
        <v>-0.98575740000000001</v>
      </c>
      <c r="S4133">
        <v>0.38697809999999999</v>
      </c>
      <c r="T4133">
        <v>-0.20251230000000001</v>
      </c>
      <c r="U4133">
        <v>-3.064575</v>
      </c>
      <c r="V4133">
        <v>-6.5636639999999996E-2</v>
      </c>
      <c r="W4133">
        <v>0.16946610000000001</v>
      </c>
      <c r="X4133">
        <v>0.98334790000000005</v>
      </c>
      <c r="Y4133">
        <v>-0.15963479999999999</v>
      </c>
      <c r="Z4133">
        <v>6.5196660000000003E-2</v>
      </c>
      <c r="AA4133">
        <v>0.98502089999999998</v>
      </c>
      <c r="AB4133">
        <v>26</v>
      </c>
      <c r="AC4133">
        <v>2.12909999999999</v>
      </c>
      <c r="AD4133">
        <v>-1.109872413213</v>
      </c>
      <c r="AE4133">
        <v>-16.5442999999999</v>
      </c>
      <c r="AF4133">
        <v>-2.69449589842139</v>
      </c>
      <c r="AG4133">
        <v>-1.109872413213</v>
      </c>
      <c r="AH4133">
        <v>16.387167283009202</v>
      </c>
      <c r="AI4133">
        <v>93.823433868043196</v>
      </c>
      <c r="AJ4133">
        <v>99.337432498897499</v>
      </c>
      <c r="AK4133">
        <v>16.644259565434201</v>
      </c>
      <c r="AL4133">
        <v>80.243221655789498</v>
      </c>
      <c r="AM4133">
        <v>93.818722040775498</v>
      </c>
      <c r="AN4133">
        <v>1.0000000099970501</v>
      </c>
    </row>
    <row r="4134" spans="1:40" x14ac:dyDescent="0.25">
      <c r="A4134" t="str">
        <f>"20190312164110053"</f>
        <v>20190312164110053</v>
      </c>
      <c r="B4134" t="str">
        <f>"1552380070050753"</f>
        <v>1552380070050753</v>
      </c>
      <c r="C4134" t="s">
        <v>40</v>
      </c>
      <c r="D4134">
        <v>5.6911649999999998</v>
      </c>
      <c r="E4134">
        <v>0.4856877</v>
      </c>
      <c r="F4134" t="s">
        <v>41</v>
      </c>
      <c r="G4134">
        <v>-189.01429999999999</v>
      </c>
      <c r="H4134" s="1">
        <v>-3.1347950000000001E-6</v>
      </c>
      <c r="I4134">
        <v>165.8929</v>
      </c>
      <c r="J4134">
        <v>-190.84190000000001</v>
      </c>
      <c r="K4134">
        <v>1.1098250000000001</v>
      </c>
      <c r="L4134">
        <v>184.7696</v>
      </c>
      <c r="M4134">
        <v>-3.4322400000000003E-2</v>
      </c>
      <c r="N4134">
        <v>0</v>
      </c>
      <c r="O4134">
        <v>-0.9994016</v>
      </c>
      <c r="P4134">
        <v>2.8392560000000001E-2</v>
      </c>
      <c r="Q4134">
        <v>0.16547429999999999</v>
      </c>
      <c r="R4134">
        <v>-0.9858053</v>
      </c>
      <c r="S4134">
        <v>0.29136659999999998</v>
      </c>
      <c r="T4134">
        <v>-0.1777415</v>
      </c>
      <c r="U4134">
        <v>-3.0639949999999998</v>
      </c>
      <c r="V4134">
        <v>-6.239774E-2</v>
      </c>
      <c r="W4134">
        <v>0.169626799999999</v>
      </c>
      <c r="X4134">
        <v>0.98353100000000004</v>
      </c>
      <c r="Y4134">
        <v>-0.1286225</v>
      </c>
      <c r="Z4134">
        <v>5.7491340000000002E-2</v>
      </c>
      <c r="AA4134">
        <v>0.99002579999999996</v>
      </c>
      <c r="AB4134">
        <v>26</v>
      </c>
      <c r="AC4134">
        <v>1.8276000000000101</v>
      </c>
      <c r="AD4134">
        <v>-1.1098281347949901</v>
      </c>
      <c r="AE4134">
        <v>-18.8767</v>
      </c>
      <c r="AF4134">
        <v>-2.4659778564683501</v>
      </c>
      <c r="AG4134">
        <v>-1.1098281347949901</v>
      </c>
      <c r="AH4134">
        <v>18.738677586882599</v>
      </c>
      <c r="AI4134">
        <v>93.360567478613603</v>
      </c>
      <c r="AJ4134">
        <v>97.496946814644602</v>
      </c>
      <c r="AK4134">
        <v>18.932797019524401</v>
      </c>
      <c r="AL4134">
        <v>80.233878652784099</v>
      </c>
      <c r="AM4134">
        <v>93.630126678083698</v>
      </c>
      <c r="AN4134">
        <v>0.99999997859817302</v>
      </c>
    </row>
    <row r="4135" spans="1:40" x14ac:dyDescent="0.25">
      <c r="A4135" t="str">
        <f>"20190312164110067"</f>
        <v>20190312164110067</v>
      </c>
      <c r="B4135" t="str">
        <f>"1552380070060513"</f>
        <v>1552380070060513</v>
      </c>
      <c r="C4135" t="s">
        <v>40</v>
      </c>
      <c r="D4135">
        <v>5.6874140000000004</v>
      </c>
      <c r="E4135">
        <v>0.48679810000000001</v>
      </c>
      <c r="F4135" t="s">
        <v>41</v>
      </c>
      <c r="G4135">
        <v>-189.25460000000001</v>
      </c>
      <c r="H4135" s="1">
        <v>-2.2379900000000001E-6</v>
      </c>
      <c r="I4135">
        <v>164.08599999999899</v>
      </c>
      <c r="J4135">
        <v>-190.84710000000001</v>
      </c>
      <c r="K4135">
        <v>1.1097969999999999</v>
      </c>
      <c r="L4135">
        <v>184.60650000000001</v>
      </c>
      <c r="M4135">
        <v>-3.393028E-2</v>
      </c>
      <c r="N4135">
        <v>0</v>
      </c>
      <c r="O4135">
        <v>-0.9994151</v>
      </c>
      <c r="P4135">
        <v>2.7356370000000001E-2</v>
      </c>
      <c r="Q4135">
        <v>0.1656724</v>
      </c>
      <c r="R4135">
        <v>-0.98580140000000005</v>
      </c>
      <c r="S4135">
        <v>0.23513790000000001</v>
      </c>
      <c r="T4135">
        <v>-0.16440879999999999</v>
      </c>
      <c r="U4135">
        <v>-3.0640559999999999</v>
      </c>
      <c r="V4135">
        <v>-6.0968069999999999E-2</v>
      </c>
      <c r="W4135">
        <v>0.1698162</v>
      </c>
      <c r="X4135">
        <v>0.98358800000000002</v>
      </c>
      <c r="Y4135">
        <v>-0.110193899999999</v>
      </c>
      <c r="Z4135">
        <v>5.3292569999999997E-2</v>
      </c>
      <c r="AA4135">
        <v>0.99248029999999998</v>
      </c>
      <c r="AB4135">
        <v>27</v>
      </c>
      <c r="AC4135">
        <v>1.5925</v>
      </c>
      <c r="AD4135">
        <v>-1.1097992379899999</v>
      </c>
      <c r="AE4135">
        <v>-20.520499999999998</v>
      </c>
      <c r="AF4135">
        <v>-2.2812232348868999</v>
      </c>
      <c r="AG4135">
        <v>-1.1097992379899999</v>
      </c>
      <c r="AH4135">
        <v>20.395352157003501</v>
      </c>
      <c r="AI4135">
        <v>93.095375084944195</v>
      </c>
      <c r="AJ4135">
        <v>96.382015869445596</v>
      </c>
      <c r="AK4135">
        <v>20.552518663273801</v>
      </c>
      <c r="AL4135">
        <v>80.222867293333493</v>
      </c>
      <c r="AM4135">
        <v>93.546962267378305</v>
      </c>
      <c r="AN4135">
        <v>1.0000000005429801</v>
      </c>
    </row>
    <row r="4136" spans="1:40" x14ac:dyDescent="0.25">
      <c r="A4136" t="str">
        <f>"20190312164110080"</f>
        <v>20190312164110080</v>
      </c>
      <c r="B4136" t="str">
        <f>"1552380070070273"</f>
        <v>1552380070070273</v>
      </c>
      <c r="C4136" t="s">
        <v>40</v>
      </c>
      <c r="D4136">
        <v>5.6895319999999998</v>
      </c>
      <c r="E4136">
        <v>0.4876374</v>
      </c>
      <c r="F4136" t="s">
        <v>41</v>
      </c>
      <c r="G4136">
        <v>-189.3126</v>
      </c>
      <c r="H4136" s="1">
        <v>-1.9691260000000002E-6</v>
      </c>
      <c r="I4136">
        <v>163.53899999999999</v>
      </c>
      <c r="J4136">
        <v>-190.852</v>
      </c>
      <c r="K4136">
        <v>1.1097779999999999</v>
      </c>
      <c r="L4136">
        <v>184.45189999999999</v>
      </c>
      <c r="M4136">
        <v>-3.3567989999999999E-2</v>
      </c>
      <c r="N4136">
        <v>0</v>
      </c>
      <c r="O4136">
        <v>-0.99942739999999997</v>
      </c>
      <c r="P4136">
        <v>2.6183620000000001E-2</v>
      </c>
      <c r="Q4136">
        <v>0.16591339999999999</v>
      </c>
      <c r="R4136">
        <v>-0.98579300000000003</v>
      </c>
      <c r="S4136">
        <v>0.22317500000000001</v>
      </c>
      <c r="T4136">
        <v>-0.1614138</v>
      </c>
      <c r="U4136">
        <v>-3.0641479999999999</v>
      </c>
      <c r="V4136">
        <v>-5.9433300000000001E-2</v>
      </c>
      <c r="W4136">
        <v>0.1700497</v>
      </c>
      <c r="X4136">
        <v>0.9836416</v>
      </c>
      <c r="Y4136">
        <v>-0.1059808</v>
      </c>
      <c r="Z4136">
        <v>5.2343479999999998E-2</v>
      </c>
      <c r="AA4136">
        <v>0.99298949999999997</v>
      </c>
      <c r="AB4136">
        <v>27</v>
      </c>
      <c r="AC4136">
        <v>1.5394000000000001</v>
      </c>
      <c r="AD4136">
        <v>-1.109779969126</v>
      </c>
      <c r="AE4136">
        <v>-20.9129</v>
      </c>
      <c r="AF4136">
        <v>-2.2342847726398798</v>
      </c>
      <c r="AG4136">
        <v>-1.109779969126</v>
      </c>
      <c r="AH4136">
        <v>20.791204811963802</v>
      </c>
      <c r="AI4136">
        <v>93.037940731910496</v>
      </c>
      <c r="AJ4136">
        <v>96.133636326217598</v>
      </c>
      <c r="AK4136">
        <v>20.940339958036699</v>
      </c>
      <c r="AL4136">
        <v>80.209291342241102</v>
      </c>
      <c r="AM4136">
        <v>93.457704850100896</v>
      </c>
      <c r="AN4136">
        <v>1.0000000074347699</v>
      </c>
    </row>
    <row r="4137" spans="1:40" x14ac:dyDescent="0.25">
      <c r="A4137" t="str">
        <f>"20190312164110090"</f>
        <v>20190312164110090</v>
      </c>
      <c r="B4137" t="str">
        <f>"1552380070080033"</f>
        <v>1552380070080033</v>
      </c>
      <c r="C4137" t="s">
        <v>40</v>
      </c>
      <c r="D4137">
        <v>5.6883559999999997</v>
      </c>
      <c r="E4137">
        <v>0.48831910000000001</v>
      </c>
      <c r="F4137" t="s">
        <v>41</v>
      </c>
      <c r="G4137">
        <v>-189.3683</v>
      </c>
      <c r="H4137" s="1">
        <v>-1.760426E-6</v>
      </c>
      <c r="I4137">
        <v>163.1183</v>
      </c>
      <c r="J4137">
        <v>-190.8563</v>
      </c>
      <c r="K4137">
        <v>1.1097669999999999</v>
      </c>
      <c r="L4137">
        <v>184.3125</v>
      </c>
      <c r="M4137">
        <v>-3.3252570000000002E-2</v>
      </c>
      <c r="N4137">
        <v>0</v>
      </c>
      <c r="O4137">
        <v>-0.9994381</v>
      </c>
      <c r="P4137">
        <v>2.482181E-2</v>
      </c>
      <c r="Q4137">
        <v>0.16625090000000001</v>
      </c>
      <c r="R4137">
        <v>-0.98577119999999996</v>
      </c>
      <c r="S4137">
        <v>0.21311949999999999</v>
      </c>
      <c r="T4137">
        <v>-0.15941240000000001</v>
      </c>
      <c r="U4137">
        <v>-3.0644230000000001</v>
      </c>
      <c r="V4137">
        <v>-5.7756790000000002E-2</v>
      </c>
      <c r="W4137">
        <v>0.17038429999999999</v>
      </c>
      <c r="X4137">
        <v>0.98368359999999999</v>
      </c>
      <c r="Y4137">
        <v>-0.1024202</v>
      </c>
      <c r="Z4137">
        <v>5.1708120000000003E-2</v>
      </c>
      <c r="AA4137">
        <v>0.99339639999999996</v>
      </c>
      <c r="AB4137">
        <v>27</v>
      </c>
      <c r="AC4137">
        <v>1.48799999999999</v>
      </c>
      <c r="AD4137">
        <v>-1.109768760426</v>
      </c>
      <c r="AE4137">
        <v>-21.194199999999899</v>
      </c>
      <c r="AF4137">
        <v>-2.1859809084605901</v>
      </c>
      <c r="AG4137">
        <v>-1.109768760426</v>
      </c>
      <c r="AH4137">
        <v>21.075497992954102</v>
      </c>
      <c r="AI4137">
        <v>92.998175201643406</v>
      </c>
      <c r="AJ4137">
        <v>95.921625866902005</v>
      </c>
      <c r="AK4137">
        <v>21.2176038912217</v>
      </c>
      <c r="AL4137">
        <v>80.189836588199</v>
      </c>
      <c r="AM4137">
        <v>93.360252610959705</v>
      </c>
      <c r="AN4137">
        <v>1.0000000406932701</v>
      </c>
    </row>
    <row r="4138" spans="1:40" x14ac:dyDescent="0.25">
      <c r="A4138" t="str">
        <f>"20190312164110110"</f>
        <v>20190312164110110</v>
      </c>
      <c r="B4138" t="str">
        <f>"1552380070099966"</f>
        <v>1552380070099966</v>
      </c>
      <c r="C4138" t="s">
        <v>40</v>
      </c>
      <c r="D4138">
        <v>5.684266</v>
      </c>
      <c r="E4138">
        <v>0.48921419999999999</v>
      </c>
      <c r="F4138" t="s">
        <v>41</v>
      </c>
      <c r="G4138">
        <v>-189.4315</v>
      </c>
      <c r="H4138" s="1">
        <v>-1.6480139999999999E-6</v>
      </c>
      <c r="I4138">
        <v>162.9042</v>
      </c>
      <c r="J4138">
        <v>-190.86349999999999</v>
      </c>
      <c r="K4138">
        <v>1.1097600000000001</v>
      </c>
      <c r="L4138">
        <v>184.08250000000001</v>
      </c>
      <c r="M4138">
        <v>-3.2741480000000003E-2</v>
      </c>
      <c r="N4138">
        <v>0</v>
      </c>
      <c r="O4138">
        <v>-0.99945499999999998</v>
      </c>
      <c r="P4138">
        <v>2.2165649999999999E-2</v>
      </c>
      <c r="Q4138">
        <v>0.16636799999999999</v>
      </c>
      <c r="R4138">
        <v>-0.98581479999999999</v>
      </c>
      <c r="S4138">
        <v>0.2039948</v>
      </c>
      <c r="T4138">
        <v>-0.15888139999999901</v>
      </c>
      <c r="U4138">
        <v>-3.0649410000000001</v>
      </c>
      <c r="V4138">
        <v>-5.4595779999999997E-2</v>
      </c>
      <c r="W4138">
        <v>0.17050270000000001</v>
      </c>
      <c r="X4138">
        <v>0.98384360000000004</v>
      </c>
      <c r="Y4138">
        <v>-9.8955989999999994E-2</v>
      </c>
      <c r="Z4138">
        <v>5.1543239999999997E-2</v>
      </c>
      <c r="AA4138">
        <v>0.99375599999999997</v>
      </c>
      <c r="AB4138">
        <v>27</v>
      </c>
      <c r="AC4138">
        <v>1.43199999999998</v>
      </c>
      <c r="AD4138">
        <v>-1.109761648014</v>
      </c>
      <c r="AE4138">
        <v>-21.1783</v>
      </c>
      <c r="AF4138">
        <v>-2.11885566096444</v>
      </c>
      <c r="AG4138">
        <v>-1.109761648014</v>
      </c>
      <c r="AH4138">
        <v>21.062487650602499</v>
      </c>
      <c r="AI4138">
        <v>93.000950241204905</v>
      </c>
      <c r="AJ4138">
        <v>95.7445458108011</v>
      </c>
      <c r="AK4138">
        <v>21.1978656062158</v>
      </c>
      <c r="AL4138">
        <v>80.182952117657507</v>
      </c>
      <c r="AM4138">
        <v>93.1762190606903</v>
      </c>
      <c r="AN4138">
        <v>1.00000004958102</v>
      </c>
    </row>
    <row r="4139" spans="1:40" x14ac:dyDescent="0.25">
      <c r="A4139" t="str">
        <f>"20190312164110132"</f>
        <v>20190312164110132</v>
      </c>
      <c r="B4139" t="str">
        <f>"1552380070120462"</f>
        <v>1552380070120462</v>
      </c>
      <c r="C4139" t="s">
        <v>40</v>
      </c>
      <c r="D4139">
        <v>5.6856350000000004</v>
      </c>
      <c r="E4139">
        <v>0.48982500000000001</v>
      </c>
      <c r="F4139" t="s">
        <v>41</v>
      </c>
      <c r="G4139">
        <v>-189.53319999999999</v>
      </c>
      <c r="H4139" s="1">
        <v>-1.470028E-6</v>
      </c>
      <c r="I4139">
        <v>162.5659</v>
      </c>
      <c r="J4139">
        <v>-190.87129999999999</v>
      </c>
      <c r="K4139">
        <v>1.1097520000000001</v>
      </c>
      <c r="L4139">
        <v>183.8278</v>
      </c>
      <c r="M4139">
        <v>-3.218646E-2</v>
      </c>
      <c r="N4139">
        <v>0</v>
      </c>
      <c r="O4139">
        <v>-0.9994729</v>
      </c>
      <c r="P4139">
        <v>1.9124909999999998E-2</v>
      </c>
      <c r="Q4139">
        <v>0.1665394</v>
      </c>
      <c r="R4139">
        <v>-0.98584959999999999</v>
      </c>
      <c r="S4139">
        <v>0.18952939999999999</v>
      </c>
      <c r="T4139">
        <v>-0.1581157</v>
      </c>
      <c r="U4139">
        <v>-3.0656279999999998</v>
      </c>
      <c r="V4139">
        <v>-5.1009140000000001E-2</v>
      </c>
      <c r="W4139">
        <v>0.17068549999999999</v>
      </c>
      <c r="X4139">
        <v>0.98400430000000005</v>
      </c>
      <c r="Y4139">
        <v>-9.3718239999999994E-2</v>
      </c>
      <c r="Z4139">
        <v>5.1306230000000001E-2</v>
      </c>
      <c r="AA4139">
        <v>0.99427589999999999</v>
      </c>
      <c r="AB4139">
        <v>27</v>
      </c>
      <c r="AC4139">
        <v>1.3380999999999901</v>
      </c>
      <c r="AD4139">
        <v>-1.1097534700280001</v>
      </c>
      <c r="AE4139">
        <v>-21.261900000000001</v>
      </c>
      <c r="AF4139">
        <v>-2.01628690674892</v>
      </c>
      <c r="AG4139">
        <v>-1.1097534700280001</v>
      </c>
      <c r="AH4139">
        <v>21.150422552766901</v>
      </c>
      <c r="AI4139">
        <v>92.989999342250002</v>
      </c>
      <c r="AJ4139">
        <v>95.445596380763703</v>
      </c>
      <c r="AK4139">
        <v>21.275275317023699</v>
      </c>
      <c r="AL4139">
        <v>80.172321820050598</v>
      </c>
      <c r="AM4139">
        <v>92.967461383481705</v>
      </c>
      <c r="AN4139">
        <v>0.99999996734613905</v>
      </c>
    </row>
    <row r="4140" spans="1:40" x14ac:dyDescent="0.25">
      <c r="A4140" t="str">
        <f>"20190312164110143"</f>
        <v>20190312164110143</v>
      </c>
      <c r="B4140" t="str">
        <f>"1552380070139983"</f>
        <v>1552380070139983</v>
      </c>
      <c r="C4140" t="s">
        <v>40</v>
      </c>
      <c r="D4140">
        <v>5.5220640000000003</v>
      </c>
      <c r="E4140">
        <v>0.49025370000000001</v>
      </c>
      <c r="F4140" t="s">
        <v>41</v>
      </c>
      <c r="G4140">
        <v>-189.63050000000001</v>
      </c>
      <c r="H4140" s="1">
        <v>-1.3215040000000001E-6</v>
      </c>
      <c r="I4140">
        <v>162.28819999999999</v>
      </c>
      <c r="J4140">
        <v>-190.87549999999999</v>
      </c>
      <c r="K4140">
        <v>1.1097509999999999</v>
      </c>
      <c r="L4140">
        <v>183.68639999999999</v>
      </c>
      <c r="M4140">
        <v>-3.1880949999999998E-2</v>
      </c>
      <c r="N4140">
        <v>0</v>
      </c>
      <c r="O4140">
        <v>-0.99948269999999995</v>
      </c>
      <c r="P4140">
        <v>1.7369539999999999E-2</v>
      </c>
      <c r="Q4140">
        <v>0.16670739999999901</v>
      </c>
      <c r="R4140">
        <v>-0.9858536</v>
      </c>
      <c r="S4140">
        <v>0.17663570000000001</v>
      </c>
      <c r="T4140">
        <v>-0.15798229999999999</v>
      </c>
      <c r="U4140">
        <v>-3.0663299999999998</v>
      </c>
      <c r="V4140">
        <v>-4.895422E-2</v>
      </c>
      <c r="W4140">
        <v>0.1708654</v>
      </c>
      <c r="X4140">
        <v>0.98407750000000005</v>
      </c>
      <c r="Y4140">
        <v>-8.9233090000000001E-2</v>
      </c>
      <c r="Z4140">
        <v>5.1269130000000003E-2</v>
      </c>
      <c r="AA4140">
        <v>0.99469039999999997</v>
      </c>
      <c r="AB4140">
        <v>27</v>
      </c>
      <c r="AC4140">
        <v>1.2449999999999699</v>
      </c>
      <c r="AD4140">
        <v>-1.1097523215039999</v>
      </c>
      <c r="AE4140">
        <v>-21.398199999999999</v>
      </c>
      <c r="AF4140">
        <v>-1.9214176570138599</v>
      </c>
      <c r="AG4140">
        <v>-1.1097523215039999</v>
      </c>
      <c r="AH4140">
        <v>21.290559188320302</v>
      </c>
      <c r="AI4140">
        <v>92.971738088459006</v>
      </c>
      <c r="AJ4140">
        <v>95.156825450184698</v>
      </c>
      <c r="AK4140">
        <v>21.405870843746101</v>
      </c>
      <c r="AL4140">
        <v>80.161861090354606</v>
      </c>
      <c r="AM4140">
        <v>92.847905670125201</v>
      </c>
      <c r="AN4140">
        <v>1.0000000132896001</v>
      </c>
    </row>
    <row r="4141" spans="1:40" x14ac:dyDescent="0.25">
      <c r="A4141" t="str">
        <f>"20190312164110154"</f>
        <v>20190312164110154</v>
      </c>
      <c r="B4141" t="str">
        <f>"1552380070150721"</f>
        <v>1552380070150721</v>
      </c>
      <c r="C4141" t="s">
        <v>40</v>
      </c>
      <c r="D4141">
        <v>5.5188509999999997</v>
      </c>
      <c r="E4141">
        <v>0.49036390000000002</v>
      </c>
      <c r="F4141" t="s">
        <v>41</v>
      </c>
      <c r="G4141">
        <v>-189.6891</v>
      </c>
      <c r="H4141" s="1">
        <v>-1.194419E-6</v>
      </c>
      <c r="I4141">
        <v>162.04140000000001</v>
      </c>
      <c r="J4141">
        <v>-190.87950000000001</v>
      </c>
      <c r="K4141">
        <v>1.1097539999999999</v>
      </c>
      <c r="L4141">
        <v>183.5538</v>
      </c>
      <c r="M4141">
        <v>-3.1595430000000001E-2</v>
      </c>
      <c r="N4141">
        <v>0</v>
      </c>
      <c r="O4141">
        <v>-0.99949180000000004</v>
      </c>
      <c r="P4141">
        <v>1.5856439999999999E-2</v>
      </c>
      <c r="Q4141">
        <v>0.16693620000000001</v>
      </c>
      <c r="R4141">
        <v>-0.98584059999999996</v>
      </c>
      <c r="S4141">
        <v>0.16809079999999901</v>
      </c>
      <c r="T4141">
        <v>-0.157229799999999</v>
      </c>
      <c r="U4141">
        <v>-3.0666660000000001</v>
      </c>
      <c r="V4141">
        <v>-4.7161010000000003E-2</v>
      </c>
      <c r="W4141">
        <v>0.17110919999999999</v>
      </c>
      <c r="X4141">
        <v>0.98412270000000002</v>
      </c>
      <c r="Y4141">
        <v>-8.6179710000000007E-2</v>
      </c>
      <c r="Z4141">
        <v>5.1031529999999999E-2</v>
      </c>
      <c r="AA4141">
        <v>0.99497179999999996</v>
      </c>
      <c r="AB4141">
        <v>27</v>
      </c>
      <c r="AC4141">
        <v>1.1904000000000099</v>
      </c>
      <c r="AD4141">
        <v>-1.1097551944190001</v>
      </c>
      <c r="AE4141">
        <v>-21.5123999999999</v>
      </c>
      <c r="AF4141">
        <v>-1.86455846583874</v>
      </c>
      <c r="AG4141">
        <v>-1.1097551944190001</v>
      </c>
      <c r="AH4141">
        <v>21.407253026141699</v>
      </c>
      <c r="AI4141">
        <v>92.956392438358094</v>
      </c>
      <c r="AJ4141">
        <v>94.977864375465202</v>
      </c>
      <c r="AK4141">
        <v>21.5169379092222</v>
      </c>
      <c r="AL4141">
        <v>80.147683497512404</v>
      </c>
      <c r="AM4141">
        <v>92.743622509729605</v>
      </c>
      <c r="AN4141">
        <v>1.00000000392207</v>
      </c>
    </row>
    <row r="4142" spans="1:40" x14ac:dyDescent="0.25">
      <c r="A4142" t="str">
        <f>"20190312164110178"</f>
        <v>20190312164110178</v>
      </c>
      <c r="B4142" t="str">
        <f>"1552380070170238"</f>
        <v>1552380070170238</v>
      </c>
      <c r="C4142" t="s">
        <v>40</v>
      </c>
      <c r="D4142">
        <v>5.5109079999999997</v>
      </c>
      <c r="E4142">
        <v>0.49048219999999998</v>
      </c>
      <c r="F4142" t="s">
        <v>41</v>
      </c>
      <c r="G4142">
        <v>-189.7302</v>
      </c>
      <c r="H4142" s="1">
        <v>-1.0991669999999999E-6</v>
      </c>
      <c r="I4142">
        <v>161.8553</v>
      </c>
      <c r="J4142">
        <v>-190.88800000000001</v>
      </c>
      <c r="K4142">
        <v>1.109764</v>
      </c>
      <c r="L4142">
        <v>183.26400000000001</v>
      </c>
      <c r="M4142">
        <v>-3.0971459999999999E-2</v>
      </c>
      <c r="N4142">
        <v>0</v>
      </c>
      <c r="O4142">
        <v>-0.99951109999999999</v>
      </c>
      <c r="P4142">
        <v>1.248398E-2</v>
      </c>
      <c r="Q4142">
        <v>0.16712939999999901</v>
      </c>
      <c r="R4142">
        <v>-0.98585619999999996</v>
      </c>
      <c r="S4142">
        <v>0.16244510000000001</v>
      </c>
      <c r="T4142">
        <v>-0.15686040000000001</v>
      </c>
      <c r="U4142">
        <v>-3.0670169999999999</v>
      </c>
      <c r="V4142">
        <v>-4.3178929999999997E-2</v>
      </c>
      <c r="W4142">
        <v>0.17135310000000001</v>
      </c>
      <c r="X4142">
        <v>0.984263</v>
      </c>
      <c r="Y4142">
        <v>-8.3725359999999999E-2</v>
      </c>
      <c r="Z4142">
        <v>5.0915479999999999E-2</v>
      </c>
      <c r="AA4142">
        <v>0.9951873</v>
      </c>
      <c r="AB4142">
        <v>27</v>
      </c>
      <c r="AC4142">
        <v>1.1577999999999999</v>
      </c>
      <c r="AD4142">
        <v>-1.1097650991670001</v>
      </c>
      <c r="AE4142">
        <v>-21.4087</v>
      </c>
      <c r="AF4142">
        <v>-1.81544529890318</v>
      </c>
      <c r="AG4142">
        <v>-1.1097650991670001</v>
      </c>
      <c r="AH4142">
        <v>21.3054875940614</v>
      </c>
      <c r="AI4142">
        <v>92.970993946809799</v>
      </c>
      <c r="AJ4142">
        <v>94.870421063485395</v>
      </c>
      <c r="AK4142">
        <v>21.411474069511002</v>
      </c>
      <c r="AL4142">
        <v>80.133499324735993</v>
      </c>
      <c r="AM4142">
        <v>92.511915228017799</v>
      </c>
      <c r="AN4142">
        <v>0.999999979022277</v>
      </c>
    </row>
    <row r="4143" spans="1:40" x14ac:dyDescent="0.25">
      <c r="A4143" t="str">
        <f>"20190312164110201"</f>
        <v>20190312164110201</v>
      </c>
      <c r="B4143" t="str">
        <f>"1552380070190734"</f>
        <v>1552380070190734</v>
      </c>
      <c r="C4143" t="s">
        <v>40</v>
      </c>
      <c r="D4143">
        <v>5.6373860000000002</v>
      </c>
      <c r="E4143">
        <v>0.49049219999999999</v>
      </c>
      <c r="F4143" t="s">
        <v>41</v>
      </c>
      <c r="G4143">
        <v>-189.80889999999999</v>
      </c>
      <c r="H4143" s="1">
        <v>-8.7845409999999998E-7</v>
      </c>
      <c r="I4143">
        <v>161.4179</v>
      </c>
      <c r="J4143">
        <v>-190.89599999999999</v>
      </c>
      <c r="K4143">
        <v>1.1097840000000001</v>
      </c>
      <c r="L4143">
        <v>182.98650000000001</v>
      </c>
      <c r="M4143">
        <v>-3.037407E-2</v>
      </c>
      <c r="N4143">
        <v>0</v>
      </c>
      <c r="O4143">
        <v>-0.99952890000000005</v>
      </c>
      <c r="P4143">
        <v>8.2160849999999997E-3</v>
      </c>
      <c r="Q4143">
        <v>0.16740849999999999</v>
      </c>
      <c r="R4143">
        <v>-0.9858538</v>
      </c>
      <c r="S4143">
        <v>0.15151979999999901</v>
      </c>
      <c r="T4143">
        <v>-0.15582779999999999</v>
      </c>
      <c r="U4143">
        <v>-3.06752</v>
      </c>
      <c r="V4143">
        <v>-3.8326859999999997E-2</v>
      </c>
      <c r="W4143">
        <v>0.17171059999999999</v>
      </c>
      <c r="X4143">
        <v>0.98440159999999999</v>
      </c>
      <c r="Y4143">
        <v>-7.9586080000000003E-2</v>
      </c>
      <c r="Z4143">
        <v>5.0587489999999999E-2</v>
      </c>
      <c r="AA4143">
        <v>0.99554350000000003</v>
      </c>
      <c r="AB4143">
        <v>27</v>
      </c>
      <c r="AC4143">
        <v>1.08709999999999</v>
      </c>
      <c r="AD4143">
        <v>-1.1097848784541</v>
      </c>
      <c r="AE4143">
        <v>-21.5686</v>
      </c>
      <c r="AF4143">
        <v>-1.7371435132956601</v>
      </c>
      <c r="AG4143">
        <v>-1.1097848784541</v>
      </c>
      <c r="AH4143">
        <v>21.468933436750898</v>
      </c>
      <c r="AI4143">
        <v>92.949511121145903</v>
      </c>
      <c r="AJ4143">
        <v>94.625969308494206</v>
      </c>
      <c r="AK4143">
        <v>21.567670086819099</v>
      </c>
      <c r="AL4143">
        <v>80.112708076553901</v>
      </c>
      <c r="AM4143">
        <v>92.229637505698093</v>
      </c>
      <c r="AN4143">
        <v>0.99999999421618901</v>
      </c>
    </row>
    <row r="4144" spans="1:40" x14ac:dyDescent="0.25">
      <c r="A4144" t="str">
        <f>"20190312164110223"</f>
        <v>20190312164110223</v>
      </c>
      <c r="B4144" t="str">
        <f>"1552380070210760"</f>
        <v>1552380070210760</v>
      </c>
      <c r="C4144" t="s">
        <v>40</v>
      </c>
      <c r="D4144">
        <v>5.6256950000000003</v>
      </c>
      <c r="E4144">
        <v>0.49060569999999998</v>
      </c>
      <c r="F4144" t="s">
        <v>41</v>
      </c>
      <c r="G4144">
        <v>-189.9058</v>
      </c>
      <c r="H4144" s="1">
        <v>-7.3659400000000001E-7</v>
      </c>
      <c r="I4144">
        <v>161.1542</v>
      </c>
      <c r="J4144">
        <v>-190.90369999999999</v>
      </c>
      <c r="K4144">
        <v>1.109801</v>
      </c>
      <c r="L4144">
        <v>182.7139</v>
      </c>
      <c r="M4144">
        <v>-2.979012E-2</v>
      </c>
      <c r="N4144">
        <v>0</v>
      </c>
      <c r="O4144">
        <v>-0.99954620000000005</v>
      </c>
      <c r="P4144">
        <v>2.8364060000000001E-3</v>
      </c>
      <c r="Q4144">
        <v>0.16741889999999901</v>
      </c>
      <c r="R4144">
        <v>-0.98588189999999998</v>
      </c>
      <c r="S4144">
        <v>0.13916020000000001</v>
      </c>
      <c r="T4144">
        <v>-0.15597249999999999</v>
      </c>
      <c r="U4144">
        <v>-3.06839</v>
      </c>
      <c r="V4144">
        <v>-3.2377320000000001E-2</v>
      </c>
      <c r="W4144">
        <v>0.171822799999999</v>
      </c>
      <c r="X4144">
        <v>0.98459569999999996</v>
      </c>
      <c r="Y4144">
        <v>-7.4987780000000004E-2</v>
      </c>
      <c r="Z4144">
        <v>5.063525E-2</v>
      </c>
      <c r="AA4144">
        <v>0.99589810000000001</v>
      </c>
      <c r="AB4144">
        <v>28</v>
      </c>
      <c r="AC4144">
        <v>0.99789999999998702</v>
      </c>
      <c r="AD4144">
        <v>-1.1098017365940001</v>
      </c>
      <c r="AE4144">
        <v>-21.5596999999999</v>
      </c>
      <c r="AF4144">
        <v>-1.63540539729006</v>
      </c>
      <c r="AG4144">
        <v>-1.1098017365940001</v>
      </c>
      <c r="AH4144">
        <v>21.4636514465845</v>
      </c>
      <c r="AI4144">
        <v>92.951365901696406</v>
      </c>
      <c r="AJ4144">
        <v>94.357186194068703</v>
      </c>
      <c r="AK4144">
        <v>21.554455319689701</v>
      </c>
      <c r="AL4144">
        <v>80.106182851906297</v>
      </c>
      <c r="AM4144">
        <v>91.883428453980301</v>
      </c>
      <c r="AN4144">
        <v>1.00000002895435</v>
      </c>
    </row>
    <row r="4145" spans="1:40" x14ac:dyDescent="0.25">
      <c r="A4145" t="str">
        <f>"20190312164110243"</f>
        <v>20190312164110243</v>
      </c>
      <c r="B4145" t="str">
        <f>"1552380070240040"</f>
        <v>1552380070240040</v>
      </c>
      <c r="C4145" t="s">
        <v>40</v>
      </c>
      <c r="D4145">
        <v>5.4865130000000004</v>
      </c>
      <c r="E4145">
        <v>0.53409090000000004</v>
      </c>
      <c r="F4145" t="s">
        <v>41</v>
      </c>
      <c r="G4145">
        <v>-190.03710000000001</v>
      </c>
      <c r="H4145" s="1">
        <v>-6.5289369999999899E-7</v>
      </c>
      <c r="I4145">
        <v>160.95189999999999</v>
      </c>
      <c r="J4145">
        <v>-190.9109</v>
      </c>
      <c r="K4145">
        <v>1.1098250000000001</v>
      </c>
      <c r="L4145">
        <v>182.4528</v>
      </c>
      <c r="M4145">
        <v>-2.9234400000000001E-2</v>
      </c>
      <c r="N4145">
        <v>0</v>
      </c>
      <c r="O4145">
        <v>-0.99956210000000001</v>
      </c>
      <c r="P4145">
        <v>-2.9919180000000001E-3</v>
      </c>
      <c r="Q4145">
        <v>0.1671434</v>
      </c>
      <c r="R4145">
        <v>-0.98592849999999999</v>
      </c>
      <c r="S4145">
        <v>0.1222229</v>
      </c>
      <c r="T4145">
        <v>-0.1565223</v>
      </c>
      <c r="U4145">
        <v>-3.069229</v>
      </c>
      <c r="V4145">
        <v>-2.6005049999999998E-2</v>
      </c>
      <c r="W4145">
        <v>0.17165610000000001</v>
      </c>
      <c r="X4145">
        <v>0.98481359999999996</v>
      </c>
      <c r="Y4145">
        <v>-6.8933560000000005E-2</v>
      </c>
      <c r="Z4145">
        <v>5.0817750000000002E-2</v>
      </c>
      <c r="AA4145">
        <v>0.99632609999999999</v>
      </c>
      <c r="AB4145">
        <v>28</v>
      </c>
      <c r="AC4145">
        <v>0.87379999999998803</v>
      </c>
      <c r="AD4145">
        <v>-1.1098256528937001</v>
      </c>
      <c r="AE4145">
        <v>-21.500900000000001</v>
      </c>
      <c r="AF4145">
        <v>-1.49801431469979</v>
      </c>
      <c r="AG4145">
        <v>-1.1098256528937001</v>
      </c>
      <c r="AH4145">
        <v>21.409216442478598</v>
      </c>
      <c r="AI4145">
        <v>92.960256958899706</v>
      </c>
      <c r="AJ4145">
        <v>94.002492912544994</v>
      </c>
      <c r="AK4145">
        <v>21.490237517248602</v>
      </c>
      <c r="AL4145">
        <v>80.115877348133907</v>
      </c>
      <c r="AM4145">
        <v>91.512604461152506</v>
      </c>
      <c r="AN4145">
        <v>0.99999995301883504</v>
      </c>
    </row>
    <row r="4146" spans="1:40" x14ac:dyDescent="0.25">
      <c r="A4146" t="str">
        <f>"20190312164110267"</f>
        <v>20190312164110267</v>
      </c>
      <c r="B4146" t="str">
        <f>"1552380070260536"</f>
        <v>1552380070260536</v>
      </c>
      <c r="C4146" t="s">
        <v>40</v>
      </c>
      <c r="D4146">
        <v>5.8238839999999996</v>
      </c>
      <c r="E4146">
        <v>0.54743560000000002</v>
      </c>
      <c r="F4146" t="s">
        <v>50</v>
      </c>
      <c r="G4146">
        <v>-193.6397</v>
      </c>
      <c r="H4146" s="1">
        <v>-1.106706E-5</v>
      </c>
      <c r="I4146">
        <v>148.5789</v>
      </c>
      <c r="J4146">
        <v>-190.9188</v>
      </c>
      <c r="K4146">
        <v>1.1098429999999999</v>
      </c>
      <c r="L4146">
        <v>182.1636</v>
      </c>
      <c r="M4146">
        <v>-2.8629959999999999E-2</v>
      </c>
      <c r="N4146">
        <v>0</v>
      </c>
      <c r="O4146">
        <v>-0.99957910000000005</v>
      </c>
      <c r="P4146">
        <v>-9.0565999999999997E-3</v>
      </c>
      <c r="Q4146">
        <v>0.1670846</v>
      </c>
      <c r="R4146">
        <v>-0.98590120000000003</v>
      </c>
      <c r="S4146">
        <v>-0.24642939999999999</v>
      </c>
      <c r="T4146">
        <v>-0.10022639999999999</v>
      </c>
      <c r="U4146">
        <v>-3.0590670000000002</v>
      </c>
      <c r="V4146">
        <v>-1.9345379999999999E-2</v>
      </c>
      <c r="W4146">
        <v>0.17172939999999901</v>
      </c>
      <c r="X4146">
        <v>0.9849542</v>
      </c>
      <c r="Y4146">
        <v>5.1683380000000001E-2</v>
      </c>
      <c r="Z4146">
        <v>3.2651319999999998E-2</v>
      </c>
      <c r="AA4146">
        <v>0.99812959999999995</v>
      </c>
      <c r="AB4146">
        <v>28</v>
      </c>
      <c r="AC4146">
        <v>-2.7208999999999999</v>
      </c>
      <c r="AD4146">
        <v>-1.1098540670599999</v>
      </c>
      <c r="AE4146">
        <v>-33.584699999999998</v>
      </c>
      <c r="AF4146">
        <v>1.7563399192548499</v>
      </c>
      <c r="AG4146">
        <v>-1.1098540670599999</v>
      </c>
      <c r="AH4146">
        <v>33.612365170014101</v>
      </c>
      <c r="AI4146">
        <v>91.888600183084904</v>
      </c>
      <c r="AJ4146">
        <v>87.008855876978402</v>
      </c>
      <c r="AK4146">
        <v>33.6765140459121</v>
      </c>
      <c r="AL4146">
        <v>80.1116147652465</v>
      </c>
      <c r="AM4146">
        <v>91.125195599712995</v>
      </c>
      <c r="AN4146">
        <v>1.0000000033246701</v>
      </c>
    </row>
    <row r="4147" spans="1:40" x14ac:dyDescent="0.25">
      <c r="A4147" t="str">
        <f>"20190312164110279"</f>
        <v>20190312164110279</v>
      </c>
      <c r="B4147" t="str">
        <f>"1552380070270296"</f>
        <v>1552380070270296</v>
      </c>
      <c r="C4147" t="s">
        <v>40</v>
      </c>
      <c r="D4147">
        <v>5.567825</v>
      </c>
      <c r="E4147">
        <v>0.54969349999999995</v>
      </c>
      <c r="F4147" t="s">
        <v>50</v>
      </c>
      <c r="G4147">
        <v>-195.12020000000001</v>
      </c>
      <c r="H4147" s="1">
        <v>-1.1081140000000001E-5</v>
      </c>
      <c r="I4147">
        <v>147.63640000000001</v>
      </c>
      <c r="J4147">
        <v>-190.9229</v>
      </c>
      <c r="K4147">
        <v>1.1098490000000001</v>
      </c>
      <c r="L4147">
        <v>182.00899999999999</v>
      </c>
      <c r="M4147">
        <v>-2.831243E-2</v>
      </c>
      <c r="N4147">
        <v>0</v>
      </c>
      <c r="O4147">
        <v>-0.99958780000000003</v>
      </c>
      <c r="P4147">
        <v>-1.2335499999999999E-2</v>
      </c>
      <c r="Q4147">
        <v>0.1669727</v>
      </c>
      <c r="R4147">
        <v>-0.98588469999999995</v>
      </c>
      <c r="S4147">
        <v>-0.37188719999999997</v>
      </c>
      <c r="T4147">
        <v>-9.8237630000000006E-2</v>
      </c>
      <c r="U4147">
        <v>-3.0561370000000001</v>
      </c>
      <c r="V4147">
        <v>-1.5752430000000001E-2</v>
      </c>
      <c r="W4147">
        <v>0.1716946</v>
      </c>
      <c r="X4147">
        <v>0.98502429999999996</v>
      </c>
      <c r="Y4147">
        <v>9.2578949999999993E-2</v>
      </c>
      <c r="Z4147">
        <v>3.1921900000000003E-2</v>
      </c>
      <c r="AA4147">
        <v>0.99519349999999995</v>
      </c>
      <c r="AB4147">
        <v>28</v>
      </c>
      <c r="AC4147">
        <v>-4.19730000000001</v>
      </c>
      <c r="AD4147">
        <v>-1.1098600811399999</v>
      </c>
      <c r="AE4147">
        <v>-34.372599999999998</v>
      </c>
      <c r="AF4147">
        <v>3.2191276082459899</v>
      </c>
      <c r="AG4147">
        <v>-1.1098600811399999</v>
      </c>
      <c r="AH4147">
        <v>34.4422761679849</v>
      </c>
      <c r="AI4147">
        <v>91.8376440534268</v>
      </c>
      <c r="AJ4147">
        <v>84.660394957294102</v>
      </c>
      <c r="AK4147">
        <v>34.610185778028097</v>
      </c>
      <c r="AL4147">
        <v>80.113638917797402</v>
      </c>
      <c r="AM4147">
        <v>90.916191436329598</v>
      </c>
      <c r="AN4147">
        <v>1.0000000231552699</v>
      </c>
    </row>
    <row r="4148" spans="1:40" x14ac:dyDescent="0.25">
      <c r="A4148" t="str">
        <f>"20190312164110299"</f>
        <v>20190312164110299</v>
      </c>
      <c r="B4148" t="str">
        <f>"1552380070290792"</f>
        <v>1552380070290792</v>
      </c>
      <c r="C4148" t="s">
        <v>40</v>
      </c>
      <c r="D4148">
        <v>5.7916809999999996</v>
      </c>
      <c r="E4148">
        <v>0.55427299999999902</v>
      </c>
      <c r="F4148" t="s">
        <v>50</v>
      </c>
      <c r="G4148">
        <v>-195.0926</v>
      </c>
      <c r="H4148" s="1">
        <v>-1.1820900000000001E-5</v>
      </c>
      <c r="I4148">
        <v>150.13499999999999</v>
      </c>
      <c r="J4148">
        <v>-190.92959999999999</v>
      </c>
      <c r="K4148">
        <v>1.109861</v>
      </c>
      <c r="L4148">
        <v>181.75620000000001</v>
      </c>
      <c r="M4148">
        <v>-2.781022E-2</v>
      </c>
      <c r="N4148">
        <v>0</v>
      </c>
      <c r="O4148">
        <v>-0.99960090000000001</v>
      </c>
      <c r="P4148">
        <v>-1.8469599999999999E-2</v>
      </c>
      <c r="Q4148">
        <v>0.16717850000000001</v>
      </c>
      <c r="R4148">
        <v>-0.98575380000000001</v>
      </c>
      <c r="S4148">
        <v>-0.39978029999999998</v>
      </c>
      <c r="T4148">
        <v>-0.1064104</v>
      </c>
      <c r="U4148">
        <v>-3.055984</v>
      </c>
      <c r="V4148">
        <v>-9.1185080000000009E-3</v>
      </c>
      <c r="W4148">
        <v>0.1720469</v>
      </c>
      <c r="X4148">
        <v>0.98504659999999999</v>
      </c>
      <c r="Y4148">
        <v>0.1020104</v>
      </c>
      <c r="Z4148">
        <v>3.4541330000000002E-2</v>
      </c>
      <c r="AA4148">
        <v>0.9941835</v>
      </c>
      <c r="AB4148">
        <v>28</v>
      </c>
      <c r="AC4148">
        <v>-4.16300000000001</v>
      </c>
      <c r="AD4148">
        <v>-1.1098728208999999</v>
      </c>
      <c r="AE4148">
        <v>-31.621200000000002</v>
      </c>
      <c r="AF4148">
        <v>3.2780169189199699</v>
      </c>
      <c r="AG4148">
        <v>-1.1098728208999999</v>
      </c>
      <c r="AH4148">
        <v>31.686373979420399</v>
      </c>
      <c r="AI4148">
        <v>91.995427905541206</v>
      </c>
      <c r="AJ4148">
        <v>84.093651063675495</v>
      </c>
      <c r="AK4148">
        <v>31.8748099376763</v>
      </c>
      <c r="AL4148">
        <v>80.093148915060894</v>
      </c>
      <c r="AM4148">
        <v>90.530367904949003</v>
      </c>
      <c r="AN4148">
        <v>1.0000000435796501</v>
      </c>
    </row>
    <row r="4149" spans="1:40" x14ac:dyDescent="0.25">
      <c r="A4149" t="str">
        <f>"20190312164110311"</f>
        <v>20190312164110311</v>
      </c>
      <c r="B4149" t="str">
        <f>"1552380070300552"</f>
        <v>1552380070300552</v>
      </c>
      <c r="C4149" t="s">
        <v>40</v>
      </c>
      <c r="D4149">
        <v>5.600676</v>
      </c>
      <c r="E4149">
        <v>0.5549444</v>
      </c>
      <c r="F4149" t="s">
        <v>50</v>
      </c>
      <c r="G4149">
        <v>-196.84719999999999</v>
      </c>
      <c r="H4149" s="1">
        <v>-9.8137390000000006E-6</v>
      </c>
      <c r="I4149">
        <v>142.21799999999999</v>
      </c>
      <c r="J4149">
        <v>-190.93350000000001</v>
      </c>
      <c r="K4149">
        <v>1.109869</v>
      </c>
      <c r="L4149">
        <v>181.6045</v>
      </c>
      <c r="M4149">
        <v>-2.7520619999999999E-2</v>
      </c>
      <c r="N4149">
        <v>0</v>
      </c>
      <c r="O4149">
        <v>-0.99960879999999996</v>
      </c>
      <c r="P4149">
        <v>-2.1644799999999999E-2</v>
      </c>
      <c r="Q4149">
        <v>0.16723560000000001</v>
      </c>
      <c r="R4149">
        <v>-0.98567979999999999</v>
      </c>
      <c r="S4149">
        <v>-0.45639039999999997</v>
      </c>
      <c r="T4149">
        <v>-8.5597399999999907E-2</v>
      </c>
      <c r="U4149">
        <v>-3.0493320000000002</v>
      </c>
      <c r="V4149">
        <v>-5.6537380000000002E-3</v>
      </c>
      <c r="W4149">
        <v>0.17220750000000001</v>
      </c>
      <c r="X4149">
        <v>0.98504449999999999</v>
      </c>
      <c r="Y4149">
        <v>0.1206893</v>
      </c>
      <c r="Z4149">
        <v>2.7786720000000001E-2</v>
      </c>
      <c r="AA4149">
        <v>0.99230130000000005</v>
      </c>
      <c r="AB4149">
        <v>28</v>
      </c>
      <c r="AC4149">
        <v>-5.9136999999999702</v>
      </c>
      <c r="AD4149">
        <v>-1.1098788137389901</v>
      </c>
      <c r="AE4149">
        <v>-39.386499999999998</v>
      </c>
      <c r="AF4149">
        <v>4.82375973870582</v>
      </c>
      <c r="AG4149">
        <v>-1.1098788137389901</v>
      </c>
      <c r="AH4149">
        <v>39.5036552329138</v>
      </c>
      <c r="AI4149">
        <v>91.597476396209402</v>
      </c>
      <c r="AJ4149">
        <v>83.038123728218196</v>
      </c>
      <c r="AK4149">
        <v>39.812551610752898</v>
      </c>
      <c r="AL4149">
        <v>80.083807632430506</v>
      </c>
      <c r="AM4149">
        <v>90.328849883266997</v>
      </c>
      <c r="AN4149">
        <v>1.0000000273949301</v>
      </c>
    </row>
    <row r="4150" spans="1:40" x14ac:dyDescent="0.25">
      <c r="A4150" t="str">
        <f>"20190312164110323"</f>
        <v>20190312164110323</v>
      </c>
      <c r="B4150" t="str">
        <f>"1552380070320071"</f>
        <v>1552380070320071</v>
      </c>
      <c r="C4150" t="s">
        <v>40</v>
      </c>
      <c r="D4150">
        <v>6.0379569999999996</v>
      </c>
      <c r="E4150">
        <v>0.55585410000000002</v>
      </c>
      <c r="F4150" t="s">
        <v>50</v>
      </c>
      <c r="G4150">
        <v>-197.71</v>
      </c>
      <c r="H4150" s="1">
        <v>-8.607202E-6</v>
      </c>
      <c r="I4150">
        <v>137.8768</v>
      </c>
      <c r="J4150">
        <v>-190.93729999999999</v>
      </c>
      <c r="K4150">
        <v>1.10988</v>
      </c>
      <c r="L4150">
        <v>181.4555</v>
      </c>
      <c r="M4150">
        <v>-2.7241830000000002E-2</v>
      </c>
      <c r="N4150">
        <v>0</v>
      </c>
      <c r="O4150">
        <v>-0.9996157</v>
      </c>
      <c r="P4150">
        <v>-2.4473430000000001E-2</v>
      </c>
      <c r="Q4150">
        <v>0.1672025</v>
      </c>
      <c r="R4150">
        <v>-0.98561920000000003</v>
      </c>
      <c r="S4150">
        <v>-0.4720917</v>
      </c>
      <c r="T4150">
        <v>-7.7320459999999994E-2</v>
      </c>
      <c r="U4150">
        <v>-3.0463260000000001</v>
      </c>
      <c r="V4150">
        <v>-2.5465790000000002E-3</v>
      </c>
      <c r="W4150">
        <v>0.17228270000000001</v>
      </c>
      <c r="X4150">
        <v>0.98504420000000004</v>
      </c>
      <c r="Y4150">
        <v>0.126116899999999</v>
      </c>
      <c r="Z4150">
        <v>2.5108209999999999E-2</v>
      </c>
      <c r="AA4150">
        <v>0.99169759999999996</v>
      </c>
      <c r="AB4150">
        <v>28</v>
      </c>
      <c r="AC4150">
        <v>-6.7727000000000102</v>
      </c>
      <c r="AD4150">
        <v>-1.109888607202</v>
      </c>
      <c r="AE4150">
        <v>-43.578699999999998</v>
      </c>
      <c r="AF4150">
        <v>5.5794734571402902</v>
      </c>
      <c r="AG4150">
        <v>-1.109888607202</v>
      </c>
      <c r="AH4150">
        <v>43.719339749077903</v>
      </c>
      <c r="AI4150">
        <v>91.442542054142805</v>
      </c>
      <c r="AJ4150">
        <v>82.727211547787306</v>
      </c>
      <c r="AK4150">
        <v>44.087901343505003</v>
      </c>
      <c r="AL4150">
        <v>80.079432789439906</v>
      </c>
      <c r="AM4150">
        <v>90.148123204866806</v>
      </c>
      <c r="AN4150">
        <v>0.99999994486876498</v>
      </c>
    </row>
    <row r="4151" spans="1:40" x14ac:dyDescent="0.25">
      <c r="A4151" t="str">
        <f>"20190312164110335"</f>
        <v>20190312164110335</v>
      </c>
      <c r="B4151" t="str">
        <f>"1552380070330807"</f>
        <v>1552380070330807</v>
      </c>
      <c r="C4151" t="s">
        <v>40</v>
      </c>
      <c r="D4151">
        <v>5.7591720000000004</v>
      </c>
      <c r="E4151">
        <v>0.55607649999999997</v>
      </c>
      <c r="F4151" t="s">
        <v>50</v>
      </c>
      <c r="G4151">
        <v>-198.6712</v>
      </c>
      <c r="H4151" s="1">
        <v>-7.3344679999999998E-6</v>
      </c>
      <c r="I4151">
        <v>133.26730000000001</v>
      </c>
      <c r="J4151">
        <v>-190.94130000000001</v>
      </c>
      <c r="K4151">
        <v>1.10989</v>
      </c>
      <c r="L4151">
        <v>181.30080000000001</v>
      </c>
      <c r="M4151">
        <v>-2.6959049999999998E-2</v>
      </c>
      <c r="N4151">
        <v>0</v>
      </c>
      <c r="O4151">
        <v>-0.99962260000000003</v>
      </c>
      <c r="P4151">
        <v>-2.7370930000000002E-2</v>
      </c>
      <c r="Q4151">
        <v>0.16715569999999999</v>
      </c>
      <c r="R4151">
        <v>-0.9855507</v>
      </c>
      <c r="S4151">
        <v>-0.48846440000000002</v>
      </c>
      <c r="T4151">
        <v>-7.0099709999999996E-2</v>
      </c>
      <c r="U4151">
        <v>-3.043533</v>
      </c>
      <c r="V4151">
        <v>6.3374359999999997E-4</v>
      </c>
      <c r="W4151">
        <v>0.17235599999999901</v>
      </c>
      <c r="X4151">
        <v>0.98503450000000004</v>
      </c>
      <c r="Y4151">
        <v>0.13174720000000001</v>
      </c>
      <c r="Z4151">
        <v>2.2767740000000002E-2</v>
      </c>
      <c r="AA4151">
        <v>0.99102190000000001</v>
      </c>
      <c r="AB4151">
        <v>28</v>
      </c>
      <c r="AC4151">
        <v>-7.7298999999999802</v>
      </c>
      <c r="AD4151">
        <v>-1.1098973344679901</v>
      </c>
      <c r="AE4151">
        <v>-48.033499999999997</v>
      </c>
      <c r="AF4151">
        <v>6.4287890129400598</v>
      </c>
      <c r="AG4151">
        <v>-1.1098973344679901</v>
      </c>
      <c r="AH4151">
        <v>48.199349849605603</v>
      </c>
      <c r="AI4151">
        <v>91.307554402442094</v>
      </c>
      <c r="AJ4151">
        <v>82.402776581646194</v>
      </c>
      <c r="AK4151">
        <v>48.6388581916829</v>
      </c>
      <c r="AL4151">
        <v>80.075169575537899</v>
      </c>
      <c r="AM4151">
        <v>89.963137505779301</v>
      </c>
      <c r="AN4151">
        <v>0.99999997927859996</v>
      </c>
    </row>
    <row r="4152" spans="1:40" x14ac:dyDescent="0.25">
      <c r="A4152" t="str">
        <f>"20190312164110347"</f>
        <v>20190312164110347</v>
      </c>
      <c r="B4152" t="str">
        <f>"1552380070340568"</f>
        <v>1552380070340568</v>
      </c>
      <c r="C4152" t="s">
        <v>40</v>
      </c>
      <c r="D4152">
        <v>5.7705070000000003</v>
      </c>
      <c r="E4152">
        <v>0.55646149999999905</v>
      </c>
      <c r="F4152" t="s">
        <v>50</v>
      </c>
      <c r="G4152">
        <v>-198.9091</v>
      </c>
      <c r="H4152" s="1">
        <v>-7.1994949999999898E-6</v>
      </c>
      <c r="I4152">
        <v>132.7071</v>
      </c>
      <c r="J4152">
        <v>-190.94489999999999</v>
      </c>
      <c r="K4152">
        <v>1.109901</v>
      </c>
      <c r="L4152">
        <v>181.15620000000001</v>
      </c>
      <c r="M4152">
        <v>-2.6703850000000001E-2</v>
      </c>
      <c r="N4152">
        <v>0</v>
      </c>
      <c r="O4152">
        <v>-0.99962879999999998</v>
      </c>
      <c r="P4152">
        <v>-3.0584179999999999E-2</v>
      </c>
      <c r="Q4152">
        <v>0.16675079999999901</v>
      </c>
      <c r="R4152">
        <v>-0.98552479999999998</v>
      </c>
      <c r="S4152">
        <v>-0.49877929999999998</v>
      </c>
      <c r="T4152">
        <v>-6.9478509999999993E-2</v>
      </c>
      <c r="U4152">
        <v>-3.0419160000000001</v>
      </c>
      <c r="V4152">
        <v>4.1016519999999999E-3</v>
      </c>
      <c r="W4152">
        <v>0.1720807</v>
      </c>
      <c r="X4152">
        <v>0.98507429999999996</v>
      </c>
      <c r="Y4152">
        <v>0.1353569</v>
      </c>
      <c r="Z4152">
        <v>2.2566559999999999E-2</v>
      </c>
      <c r="AA4152">
        <v>0.99053990000000003</v>
      </c>
      <c r="AB4152">
        <v>28</v>
      </c>
      <c r="AC4152">
        <v>-7.9641999999999999</v>
      </c>
      <c r="AD4152">
        <v>-1.109908199495</v>
      </c>
      <c r="AE4152">
        <v>-48.449100000000001</v>
      </c>
      <c r="AF4152">
        <v>6.66415802399752</v>
      </c>
      <c r="AG4152">
        <v>-1.109908199495</v>
      </c>
      <c r="AH4152">
        <v>48.619655131222402</v>
      </c>
      <c r="AI4152">
        <v>91.295632996636698</v>
      </c>
      <c r="AJ4152">
        <v>82.195264671354096</v>
      </c>
      <c r="AK4152">
        <v>49.0867982604194</v>
      </c>
      <c r="AL4152">
        <v>80.091182398318196</v>
      </c>
      <c r="AM4152">
        <v>89.761433233492895</v>
      </c>
      <c r="AN4152">
        <v>0.99999998369105403</v>
      </c>
    </row>
    <row r="4153" spans="1:40" x14ac:dyDescent="0.25">
      <c r="A4153" t="str">
        <f>"20190312164110359"</f>
        <v>20190312164110359</v>
      </c>
      <c r="B4153" t="str">
        <f>"1552380070350328"</f>
        <v>1552380070350328</v>
      </c>
      <c r="C4153" t="s">
        <v>40</v>
      </c>
      <c r="D4153">
        <v>5.6310180000000001</v>
      </c>
      <c r="E4153">
        <v>0.556654599999999</v>
      </c>
      <c r="F4153" t="s">
        <v>50</v>
      </c>
      <c r="G4153">
        <v>-198.97110000000001</v>
      </c>
      <c r="H4153" s="1">
        <v>-7.4298410000000001E-6</v>
      </c>
      <c r="I4153">
        <v>133.42519999999999</v>
      </c>
      <c r="J4153">
        <v>-190.94890000000001</v>
      </c>
      <c r="K4153">
        <v>1.109917</v>
      </c>
      <c r="L4153">
        <v>181.00020000000001</v>
      </c>
      <c r="M4153">
        <v>-2.6432210000000001E-2</v>
      </c>
      <c r="N4153">
        <v>0</v>
      </c>
      <c r="O4153">
        <v>-0.99963550000000001</v>
      </c>
      <c r="P4153">
        <v>-3.3116699999999999E-2</v>
      </c>
      <c r="Q4153">
        <v>0.16655010000000001</v>
      </c>
      <c r="R4153">
        <v>-0.98547700000000005</v>
      </c>
      <c r="S4153">
        <v>-0.51121519999999998</v>
      </c>
      <c r="T4153">
        <v>-7.0694090000000001E-2</v>
      </c>
      <c r="U4153">
        <v>-3.0401609999999999</v>
      </c>
      <c r="V4153">
        <v>6.9058409999999898E-3</v>
      </c>
      <c r="W4153">
        <v>0.17202619999999999</v>
      </c>
      <c r="X4153">
        <v>0.9850681</v>
      </c>
      <c r="Y4153">
        <v>0.13965759999999999</v>
      </c>
      <c r="Z4153">
        <v>2.2959960000000001E-2</v>
      </c>
      <c r="AA4153">
        <v>0.98993359999999997</v>
      </c>
      <c r="AB4153">
        <v>28</v>
      </c>
      <c r="AC4153">
        <v>-8.0221999999999891</v>
      </c>
      <c r="AD4153">
        <v>-1.109924429841</v>
      </c>
      <c r="AE4153">
        <v>-47.575000000000003</v>
      </c>
      <c r="AF4153">
        <v>6.7582888806805803</v>
      </c>
      <c r="AG4153">
        <v>-1.109924429841</v>
      </c>
      <c r="AH4153">
        <v>47.745156187315899</v>
      </c>
      <c r="AI4153">
        <v>91.318567169115198</v>
      </c>
      <c r="AJ4153">
        <v>81.943351612359905</v>
      </c>
      <c r="AK4153">
        <v>48.233871295862997</v>
      </c>
      <c r="AL4153">
        <v>80.094351780610907</v>
      </c>
      <c r="AM4153">
        <v>89.598333291539106</v>
      </c>
      <c r="AN4153">
        <v>0.99999993288198097</v>
      </c>
    </row>
    <row r="4154" spans="1:40" x14ac:dyDescent="0.25">
      <c r="A4154" t="str">
        <f>"20190312164110369"</f>
        <v>20190312164110369</v>
      </c>
      <c r="B4154" t="str">
        <f>"1552380070360088"</f>
        <v>1552380070360088</v>
      </c>
      <c r="C4154" t="s">
        <v>40</v>
      </c>
      <c r="D4154">
        <v>5.5509279999999999</v>
      </c>
      <c r="E4154">
        <v>0.55722360000000004</v>
      </c>
      <c r="F4154" t="s">
        <v>50</v>
      </c>
      <c r="G4154">
        <v>-199.0453</v>
      </c>
      <c r="H4154" s="1">
        <v>-7.5365459999999998E-6</v>
      </c>
      <c r="I4154">
        <v>133.7347</v>
      </c>
      <c r="J4154">
        <v>-190.95240000000001</v>
      </c>
      <c r="K4154">
        <v>1.1099349999999999</v>
      </c>
      <c r="L4154">
        <v>180.85810000000001</v>
      </c>
      <c r="M4154">
        <v>-2.619347E-2</v>
      </c>
      <c r="N4154">
        <v>0</v>
      </c>
      <c r="O4154">
        <v>-0.99964059999999999</v>
      </c>
      <c r="P4154">
        <v>-3.5927920000000002E-2</v>
      </c>
      <c r="Q4154">
        <v>0.16689979999999999</v>
      </c>
      <c r="R4154">
        <v>-0.98531930000000001</v>
      </c>
      <c r="S4154">
        <v>-0.52053830000000001</v>
      </c>
      <c r="T4154">
        <v>-7.1359160000000005E-2</v>
      </c>
      <c r="U4154">
        <v>-3.0387879999999998</v>
      </c>
      <c r="V4154">
        <v>9.9578329999999993E-3</v>
      </c>
      <c r="W4154">
        <v>0.17252979999999901</v>
      </c>
      <c r="X4154">
        <v>0.98495390000000005</v>
      </c>
      <c r="Y4154">
        <v>0.14291770000000001</v>
      </c>
      <c r="Z4154">
        <v>2.3175049999999999E-2</v>
      </c>
      <c r="AA4154">
        <v>0.98946319999999999</v>
      </c>
      <c r="AB4154">
        <v>28</v>
      </c>
      <c r="AC4154">
        <v>-8.0928999999999807</v>
      </c>
      <c r="AD4154">
        <v>-1.1099425365459901</v>
      </c>
      <c r="AE4154">
        <v>-47.123399999999997</v>
      </c>
      <c r="AF4154">
        <v>6.8520851527231796</v>
      </c>
      <c r="AG4154">
        <v>-1.1099425365459901</v>
      </c>
      <c r="AH4154">
        <v>47.293729314159499</v>
      </c>
      <c r="AI4154">
        <v>91.330547785790003</v>
      </c>
      <c r="AJ4154">
        <v>81.756145495802301</v>
      </c>
      <c r="AK4154">
        <v>47.800417109221897</v>
      </c>
      <c r="AL4154">
        <v>80.065059707342797</v>
      </c>
      <c r="AM4154">
        <v>89.420762366006798</v>
      </c>
      <c r="AN4154">
        <v>0.99999993772565099</v>
      </c>
    </row>
    <row r="4155" spans="1:40" x14ac:dyDescent="0.25">
      <c r="A4155" t="str">
        <f>"20190312164110382"</f>
        <v>20190312164110382</v>
      </c>
      <c r="B4155" t="str">
        <f>"1552380070370825"</f>
        <v>1552380070370825</v>
      </c>
      <c r="C4155" t="s">
        <v>40</v>
      </c>
      <c r="D4155">
        <v>5.5853109999999999</v>
      </c>
      <c r="E4155">
        <v>0.55793789999999999</v>
      </c>
      <c r="F4155" t="s">
        <v>50</v>
      </c>
      <c r="G4155">
        <v>-198.4528</v>
      </c>
      <c r="H4155" s="1">
        <v>-8.7947659999999995E-6</v>
      </c>
      <c r="I4155">
        <v>138.12970000000001</v>
      </c>
      <c r="J4155">
        <v>-190.95590000000001</v>
      </c>
      <c r="K4155">
        <v>1.1099559999999999</v>
      </c>
      <c r="L4155">
        <v>180.71799999999999</v>
      </c>
      <c r="M4155">
        <v>-2.5960649999999998E-2</v>
      </c>
      <c r="N4155">
        <v>0</v>
      </c>
      <c r="O4155">
        <v>-0.99964589999999998</v>
      </c>
      <c r="P4155">
        <v>-3.9302869999999997E-2</v>
      </c>
      <c r="Q4155">
        <v>0.16689219999999999</v>
      </c>
      <c r="R4155">
        <v>-0.9851917</v>
      </c>
      <c r="S4155">
        <v>-0.53338619999999903</v>
      </c>
      <c r="T4155">
        <v>-7.8933359999999994E-2</v>
      </c>
      <c r="U4155">
        <v>-3.0386199999999999</v>
      </c>
      <c r="V4155">
        <v>1.3566709999999999E-2</v>
      </c>
      <c r="W4155">
        <v>0.1726801</v>
      </c>
      <c r="X4155">
        <v>0.98488450000000005</v>
      </c>
      <c r="Y4155">
        <v>0.14720710000000001</v>
      </c>
      <c r="Z4155">
        <v>2.561768E-2</v>
      </c>
      <c r="AA4155">
        <v>0.98877389999999998</v>
      </c>
      <c r="AB4155">
        <v>28</v>
      </c>
      <c r="AC4155">
        <v>-7.4968999999999797</v>
      </c>
      <c r="AD4155">
        <v>-1.1099647947660001</v>
      </c>
      <c r="AE4155">
        <v>-42.588299999999897</v>
      </c>
      <c r="AF4155">
        <v>6.3845279612083399</v>
      </c>
      <c r="AG4155">
        <v>-1.1099647947660001</v>
      </c>
      <c r="AH4155">
        <v>42.7404141127017</v>
      </c>
      <c r="AI4155">
        <v>91.471314283185706</v>
      </c>
      <c r="AJ4155">
        <v>81.504025266094203</v>
      </c>
      <c r="AK4155">
        <v>43.2288933198422</v>
      </c>
      <c r="AL4155">
        <v>80.056317310876906</v>
      </c>
      <c r="AM4155">
        <v>89.210804855126696</v>
      </c>
      <c r="AN4155">
        <v>0.99999997544824104</v>
      </c>
    </row>
    <row r="4156" spans="1:40" x14ac:dyDescent="0.25">
      <c r="A4156" t="str">
        <f>"20190312164110402"</f>
        <v>20190312164110402</v>
      </c>
      <c r="B4156" t="str">
        <f>"1552380070390344"</f>
        <v>1552380070390344</v>
      </c>
      <c r="C4156" t="s">
        <v>40</v>
      </c>
      <c r="D4156">
        <v>5.6015610000000002</v>
      </c>
      <c r="E4156">
        <v>0.55926319999999996</v>
      </c>
      <c r="F4156" t="s">
        <v>50</v>
      </c>
      <c r="G4156">
        <v>-198.04580000000001</v>
      </c>
      <c r="H4156" s="1">
        <v>-9.7640020000000005E-6</v>
      </c>
      <c r="I4156">
        <v>141.47229999999999</v>
      </c>
      <c r="J4156">
        <v>-190.96180000000001</v>
      </c>
      <c r="K4156">
        <v>1.1099889999999999</v>
      </c>
      <c r="L4156">
        <v>180.4735</v>
      </c>
      <c r="M4156">
        <v>-2.5563909999999999E-2</v>
      </c>
      <c r="N4156">
        <v>0</v>
      </c>
      <c r="O4156">
        <v>-0.9996545</v>
      </c>
      <c r="P4156">
        <v>-4.548261E-2</v>
      </c>
      <c r="Q4156">
        <v>0.16734739999999901</v>
      </c>
      <c r="R4156">
        <v>-0.98484870000000002</v>
      </c>
      <c r="S4156">
        <v>-0.54878229999999995</v>
      </c>
      <c r="T4156">
        <v>-8.591509E-2</v>
      </c>
      <c r="U4156">
        <v>-3.03775</v>
      </c>
      <c r="V4156">
        <v>2.0146689999999998E-2</v>
      </c>
      <c r="W4156">
        <v>0.1734301</v>
      </c>
      <c r="X4156">
        <v>0.98464010000000002</v>
      </c>
      <c r="Y4156">
        <v>0.152492299999999</v>
      </c>
      <c r="Z4156">
        <v>2.7866660000000001E-2</v>
      </c>
      <c r="AA4156">
        <v>0.98791169999999995</v>
      </c>
      <c r="AB4156">
        <v>28</v>
      </c>
      <c r="AC4156">
        <v>-7.0839999999999996</v>
      </c>
      <c r="AD4156">
        <v>-1.1099987640019999</v>
      </c>
      <c r="AE4156">
        <v>-39.001199999999997</v>
      </c>
      <c r="AF4156">
        <v>6.0798755356216496</v>
      </c>
      <c r="AG4156">
        <v>-1.1099987640019999</v>
      </c>
      <c r="AH4156">
        <v>39.138861401087297</v>
      </c>
      <c r="AI4156">
        <v>91.605260637332094</v>
      </c>
      <c r="AJ4156">
        <v>81.170180422961707</v>
      </c>
      <c r="AK4156">
        <v>39.623824342916002</v>
      </c>
      <c r="AL4156">
        <v>80.012687513609293</v>
      </c>
      <c r="AM4156">
        <v>88.827836421919301</v>
      </c>
      <c r="AN4156">
        <v>1.0000000076159801</v>
      </c>
    </row>
    <row r="4157" spans="1:40" x14ac:dyDescent="0.25">
      <c r="A4157" t="str">
        <f>"20190312164110423"</f>
        <v>20190312164110423</v>
      </c>
      <c r="B4157" t="str">
        <f>"1552380070409864"</f>
        <v>1552380070409864</v>
      </c>
      <c r="C4157" t="s">
        <v>40</v>
      </c>
      <c r="D4157">
        <v>5.5979809999999999</v>
      </c>
      <c r="E4157">
        <v>0.55995539999999999</v>
      </c>
      <c r="F4157" t="s">
        <v>50</v>
      </c>
      <c r="G4157">
        <v>-197.6071</v>
      </c>
      <c r="H4157" s="1">
        <v>-1.08952E-5</v>
      </c>
      <c r="I4157">
        <v>145.48650000000001</v>
      </c>
      <c r="J4157">
        <v>-190.9684</v>
      </c>
      <c r="K4157">
        <v>1.1100350000000001</v>
      </c>
      <c r="L4157">
        <v>180.1961</v>
      </c>
      <c r="M4157">
        <v>-2.5123699999999999E-2</v>
      </c>
      <c r="N4157">
        <v>0</v>
      </c>
      <c r="O4157">
        <v>-0.99966330000000003</v>
      </c>
      <c r="P4157">
        <v>-5.1233960000000002E-2</v>
      </c>
      <c r="Q4157">
        <v>0.1671995</v>
      </c>
      <c r="R4157">
        <v>-0.9845912</v>
      </c>
      <c r="S4157">
        <v>-0.57662959999999996</v>
      </c>
      <c r="T4157">
        <v>-9.631729E-2</v>
      </c>
      <c r="U4157">
        <v>-3.0359039999999999</v>
      </c>
      <c r="V4157">
        <v>2.6338139999999999E-2</v>
      </c>
      <c r="W4157">
        <v>0.1736405</v>
      </c>
      <c r="X4157">
        <v>0.98445680000000002</v>
      </c>
      <c r="Y4157">
        <v>0.161768</v>
      </c>
      <c r="Z4157">
        <v>3.1207619999999998E-2</v>
      </c>
      <c r="AA4157">
        <v>0.98633519999999997</v>
      </c>
      <c r="AB4157">
        <v>28</v>
      </c>
      <c r="AC4157">
        <v>-6.6387</v>
      </c>
      <c r="AD4157">
        <v>-1.1100458951999901</v>
      </c>
      <c r="AE4157">
        <v>-34.709599999999902</v>
      </c>
      <c r="AF4157">
        <v>5.7588702806434702</v>
      </c>
      <c r="AG4157">
        <v>-1.1100458951999901</v>
      </c>
      <c r="AH4157">
        <v>34.831068340760403</v>
      </c>
      <c r="AI4157">
        <v>91.800932270947996</v>
      </c>
      <c r="AJ4157">
        <v>80.611809488302498</v>
      </c>
      <c r="AK4157">
        <v>35.321383191452902</v>
      </c>
      <c r="AL4157">
        <v>80.000446238858203</v>
      </c>
      <c r="AM4157">
        <v>88.467475295690093</v>
      </c>
      <c r="AN4157">
        <v>0.99999995596257296</v>
      </c>
    </row>
    <row r="4158" spans="1:40" x14ac:dyDescent="0.25">
      <c r="A4158" t="str">
        <f>"20190312164110445"</f>
        <v>20190312164110445</v>
      </c>
      <c r="B4158" t="str">
        <f>"1552380070440120"</f>
        <v>1552380070440120</v>
      </c>
      <c r="C4158" t="s">
        <v>40</v>
      </c>
      <c r="D4158">
        <v>5.6181469999999996</v>
      </c>
      <c r="E4158">
        <v>0.55913760000000001</v>
      </c>
      <c r="F4158" t="s">
        <v>50</v>
      </c>
      <c r="G4158">
        <v>-197.10980000000001</v>
      </c>
      <c r="H4158" s="1">
        <v>-1.18176E-5</v>
      </c>
      <c r="I4158">
        <v>149.0908</v>
      </c>
      <c r="J4158">
        <v>-190.97499999999999</v>
      </c>
      <c r="K4158">
        <v>1.1100859999999999</v>
      </c>
      <c r="L4158">
        <v>179.9178</v>
      </c>
      <c r="M4158">
        <v>-2.4687919999999999E-2</v>
      </c>
      <c r="N4158">
        <v>0</v>
      </c>
      <c r="O4158">
        <v>-0.99967159999999999</v>
      </c>
      <c r="P4158">
        <v>-5.6794539999999998E-2</v>
      </c>
      <c r="Q4158">
        <v>0.16689489999999901</v>
      </c>
      <c r="R4158">
        <v>-0.98433769999999998</v>
      </c>
      <c r="S4158">
        <v>-0.59906009999999998</v>
      </c>
      <c r="T4158">
        <v>-0.108279</v>
      </c>
      <c r="U4158">
        <v>-3.0341490000000002</v>
      </c>
      <c r="V4158">
        <v>3.2333279999999999E-2</v>
      </c>
      <c r="W4158">
        <v>0.1737119</v>
      </c>
      <c r="X4158">
        <v>0.98426559999999996</v>
      </c>
      <c r="Y4158">
        <v>0.16930100000000001</v>
      </c>
      <c r="Z4158">
        <v>3.5052489999999999E-2</v>
      </c>
      <c r="AA4158">
        <v>0.98494090000000001</v>
      </c>
      <c r="AB4158">
        <v>28</v>
      </c>
      <c r="AC4158">
        <v>-6.13480000000001</v>
      </c>
      <c r="AD4158">
        <v>-1.1100978176</v>
      </c>
      <c r="AE4158">
        <v>-30.827000000000002</v>
      </c>
      <c r="AF4158">
        <v>5.3651652994517702</v>
      </c>
      <c r="AG4158">
        <v>-1.1100978176</v>
      </c>
      <c r="AH4158">
        <v>30.930481257082999</v>
      </c>
      <c r="AI4158">
        <v>92.025252234298804</v>
      </c>
      <c r="AJ4158">
        <v>80.159455108785195</v>
      </c>
      <c r="AK4158">
        <v>31.411972027394899</v>
      </c>
      <c r="AL4158">
        <v>79.996292819872906</v>
      </c>
      <c r="AM4158">
        <v>88.118501218915</v>
      </c>
      <c r="AN4158">
        <v>1.00000001827026</v>
      </c>
    </row>
    <row r="4159" spans="1:40" x14ac:dyDescent="0.25">
      <c r="A4159" t="str">
        <f>"20190312164110458"</f>
        <v>20190312164110458</v>
      </c>
      <c r="B4159" t="str">
        <f>"1552380070450858"</f>
        <v>1552380070450858</v>
      </c>
      <c r="C4159" t="s">
        <v>40</v>
      </c>
      <c r="D4159">
        <v>5.590077</v>
      </c>
      <c r="E4159">
        <v>0.55914059999999999</v>
      </c>
      <c r="F4159" t="s">
        <v>50</v>
      </c>
      <c r="G4159">
        <v>-196.2079</v>
      </c>
      <c r="H4159" s="1">
        <v>-1.3185669999999999E-5</v>
      </c>
      <c r="I4159">
        <v>153.8167</v>
      </c>
      <c r="J4159">
        <v>-190.97900000000001</v>
      </c>
      <c r="K4159">
        <v>1.1101209999999999</v>
      </c>
      <c r="L4159">
        <v>179.74260000000001</v>
      </c>
      <c r="M4159">
        <v>-2.4414660000000001E-2</v>
      </c>
      <c r="N4159">
        <v>0</v>
      </c>
      <c r="O4159">
        <v>-0.99967640000000002</v>
      </c>
      <c r="P4159">
        <v>-5.9599399999999997E-2</v>
      </c>
      <c r="Q4159">
        <v>0.16694059999999999</v>
      </c>
      <c r="R4159">
        <v>-0.98416380000000003</v>
      </c>
      <c r="S4159">
        <v>-0.60838319999999901</v>
      </c>
      <c r="T4159">
        <v>-0.1290596</v>
      </c>
      <c r="U4159">
        <v>-3.0345</v>
      </c>
      <c r="V4159">
        <v>3.5410629999999998E-2</v>
      </c>
      <c r="W4159">
        <v>0.17400019999999999</v>
      </c>
      <c r="X4159">
        <v>0.98410869999999995</v>
      </c>
      <c r="Y4159">
        <v>0.17240820000000001</v>
      </c>
      <c r="Z4159">
        <v>4.1740670000000001E-2</v>
      </c>
      <c r="AA4159">
        <v>0.98414080000000004</v>
      </c>
      <c r="AB4159">
        <v>28</v>
      </c>
      <c r="AC4159">
        <v>-5.2288999999999799</v>
      </c>
      <c r="AD4159">
        <v>-1.11013418567</v>
      </c>
      <c r="AE4159">
        <v>-25.925899999999999</v>
      </c>
      <c r="AF4159">
        <v>4.5862728052342296</v>
      </c>
      <c r="AG4159">
        <v>-1.11013418567</v>
      </c>
      <c r="AH4159">
        <v>26.000028664627401</v>
      </c>
      <c r="AI4159">
        <v>92.407769664747093</v>
      </c>
      <c r="AJ4159">
        <v>79.996225152083795</v>
      </c>
      <c r="AK4159">
        <v>26.424757079596201</v>
      </c>
      <c r="AL4159">
        <v>79.979518388144101</v>
      </c>
      <c r="AM4159">
        <v>87.939247252427293</v>
      </c>
      <c r="AN4159">
        <v>0.99999995786636198</v>
      </c>
    </row>
    <row r="4160" spans="1:40" x14ac:dyDescent="0.25">
      <c r="A4160" t="str">
        <f>"20190312164110479"</f>
        <v>20190312164110479</v>
      </c>
      <c r="B4160" t="str">
        <f>"1552380070470376"</f>
        <v>1552380070470376</v>
      </c>
      <c r="C4160" t="s">
        <v>40</v>
      </c>
      <c r="D4160">
        <v>5.3236759999999999</v>
      </c>
      <c r="E4160">
        <v>0.55859459999999905</v>
      </c>
      <c r="F4160" t="s">
        <v>50</v>
      </c>
      <c r="G4160">
        <v>-196.0608</v>
      </c>
      <c r="H4160" s="1">
        <v>-1.34292E-5</v>
      </c>
      <c r="I4160">
        <v>154.74549999999999</v>
      </c>
      <c r="J4160">
        <v>-190.98490000000001</v>
      </c>
      <c r="K4160">
        <v>1.1101810000000001</v>
      </c>
      <c r="L4160">
        <v>179.48490000000001</v>
      </c>
      <c r="M4160">
        <v>-2.4012160000000001E-2</v>
      </c>
      <c r="N4160">
        <v>0</v>
      </c>
      <c r="O4160">
        <v>-0.99968360000000001</v>
      </c>
      <c r="P4160">
        <v>-6.5633129999999998E-2</v>
      </c>
      <c r="Q4160">
        <v>0.16763889999999901</v>
      </c>
      <c r="R4160">
        <v>-0.98366160000000002</v>
      </c>
      <c r="S4160">
        <v>-0.61674499999999999</v>
      </c>
      <c r="T4160">
        <v>-0.13473089999999999</v>
      </c>
      <c r="U4160">
        <v>-3.0337679999999998</v>
      </c>
      <c r="V4160">
        <v>4.1850079999999998E-2</v>
      </c>
      <c r="W4160">
        <v>0.17507249999999999</v>
      </c>
      <c r="X4160">
        <v>0.98366569999999998</v>
      </c>
      <c r="Y4160">
        <v>0.1754405</v>
      </c>
      <c r="Z4160">
        <v>4.3558899999999998E-2</v>
      </c>
      <c r="AA4160">
        <v>0.98352589999999995</v>
      </c>
      <c r="AB4160">
        <v>28</v>
      </c>
      <c r="AC4160">
        <v>-5.0758999999999901</v>
      </c>
      <c r="AD4160">
        <v>-1.1101944292000001</v>
      </c>
      <c r="AE4160">
        <v>-24.7394</v>
      </c>
      <c r="AF4160">
        <v>4.4717317988651697</v>
      </c>
      <c r="AG4160">
        <v>-1.1101944292000001</v>
      </c>
      <c r="AH4160">
        <v>24.8062159882518</v>
      </c>
      <c r="AI4160">
        <v>92.521949339805303</v>
      </c>
      <c r="AJ4160">
        <v>79.7812322224095</v>
      </c>
      <c r="AK4160">
        <v>25.2304829245777</v>
      </c>
      <c r="AL4160">
        <v>79.917122909837502</v>
      </c>
      <c r="AM4160">
        <v>87.563818917533695</v>
      </c>
      <c r="AN4160">
        <v>1.0000000094043699</v>
      </c>
    </row>
    <row r="4161" spans="1:40" x14ac:dyDescent="0.25">
      <c r="A4161" t="str">
        <f>"20190312164110490"</f>
        <v>20190312164110490</v>
      </c>
      <c r="B4161" t="str">
        <f>"1552380070480137"</f>
        <v>1552380070480137</v>
      </c>
      <c r="C4161" t="s">
        <v>40</v>
      </c>
      <c r="D4161">
        <v>5.5843189999999998</v>
      </c>
      <c r="E4161">
        <v>0.55862369999999995</v>
      </c>
      <c r="F4161" t="s">
        <v>50</v>
      </c>
      <c r="G4161">
        <v>-196.1317</v>
      </c>
      <c r="H4161" s="1">
        <v>-1.344225E-5</v>
      </c>
      <c r="I4161">
        <v>154.7612</v>
      </c>
      <c r="J4161">
        <v>-190.98840000000001</v>
      </c>
      <c r="K4161">
        <v>1.1102179999999999</v>
      </c>
      <c r="L4161">
        <v>179.3313</v>
      </c>
      <c r="M4161">
        <v>-2.377042E-2</v>
      </c>
      <c r="N4161">
        <v>0</v>
      </c>
      <c r="O4161">
        <v>-0.99968760000000001</v>
      </c>
      <c r="P4161">
        <v>-6.9005750000000005E-2</v>
      </c>
      <c r="Q4161">
        <v>0.168401</v>
      </c>
      <c r="R4161">
        <v>-0.98330059999999997</v>
      </c>
      <c r="S4161">
        <v>-0.63095089999999998</v>
      </c>
      <c r="T4161">
        <v>-0.1361011</v>
      </c>
      <c r="U4161">
        <v>-3.0309300000000001</v>
      </c>
      <c r="V4161">
        <v>4.5467029999999999E-2</v>
      </c>
      <c r="W4161">
        <v>0.17606910000000001</v>
      </c>
      <c r="X4161">
        <v>0.98332719999999996</v>
      </c>
      <c r="Y4161">
        <v>0.18027470000000001</v>
      </c>
      <c r="Z4161">
        <v>4.4001760000000001E-2</v>
      </c>
      <c r="AA4161">
        <v>0.98263160000000005</v>
      </c>
      <c r="AB4161">
        <v>28</v>
      </c>
      <c r="AC4161">
        <v>-5.1432999999999804</v>
      </c>
      <c r="AD4161">
        <v>-1.1102314422499999</v>
      </c>
      <c r="AE4161">
        <v>-24.5701</v>
      </c>
      <c r="AF4161">
        <v>4.5488896051889904</v>
      </c>
      <c r="AG4161">
        <v>-1.1102314422499999</v>
      </c>
      <c r="AH4161">
        <v>24.637226690959</v>
      </c>
      <c r="AI4161">
        <v>92.537354361845104</v>
      </c>
      <c r="AJ4161">
        <v>79.539014745446394</v>
      </c>
      <c r="AK4161">
        <v>25.078236571123998</v>
      </c>
      <c r="AL4161">
        <v>79.859120682719194</v>
      </c>
      <c r="AM4161">
        <v>87.352646399395397</v>
      </c>
      <c r="AN4161">
        <v>0.99999998052583505</v>
      </c>
    </row>
    <row r="4162" spans="1:40" x14ac:dyDescent="0.25">
      <c r="A4162" t="str">
        <f>"20190312164110511"</f>
        <v>20190312164110511</v>
      </c>
      <c r="B4162" t="str">
        <f>"1552380070500632"</f>
        <v>1552380070500632</v>
      </c>
      <c r="C4162" t="s">
        <v>40</v>
      </c>
      <c r="D4162">
        <v>6.0329470000000001</v>
      </c>
      <c r="E4162">
        <v>0.55914350000000002</v>
      </c>
      <c r="F4162" t="s">
        <v>50</v>
      </c>
      <c r="G4162">
        <v>-196.45859999999999</v>
      </c>
      <c r="H4162" s="1">
        <v>-1.31330299999999E-5</v>
      </c>
      <c r="I4162">
        <v>153.51920000000001</v>
      </c>
      <c r="J4162">
        <v>-190.994</v>
      </c>
      <c r="K4162">
        <v>1.1102799999999999</v>
      </c>
      <c r="L4162">
        <v>179.07810000000001</v>
      </c>
      <c r="M4162">
        <v>-2.3369399999999999E-2</v>
      </c>
      <c r="N4162">
        <v>0</v>
      </c>
      <c r="O4162">
        <v>-0.99969379999999997</v>
      </c>
      <c r="P4162">
        <v>-7.6246919999999996E-2</v>
      </c>
      <c r="Q4162">
        <v>0.16986219999999999</v>
      </c>
      <c r="R4162">
        <v>-0.982514</v>
      </c>
      <c r="S4162">
        <v>-0.64175419999999905</v>
      </c>
      <c r="T4162">
        <v>-0.13024959999999999</v>
      </c>
      <c r="U4162">
        <v>-3.0282140000000002</v>
      </c>
      <c r="V4162">
        <v>5.3116209999999997E-2</v>
      </c>
      <c r="W4162">
        <v>0.17792479999999999</v>
      </c>
      <c r="X4162">
        <v>0.98260950000000002</v>
      </c>
      <c r="Y4162">
        <v>0.18421760000000001</v>
      </c>
      <c r="Z4162">
        <v>4.2120159999999997E-2</v>
      </c>
      <c r="AA4162">
        <v>0.98198260000000004</v>
      </c>
      <c r="AB4162">
        <v>28</v>
      </c>
      <c r="AC4162">
        <v>-5.4645999999999599</v>
      </c>
      <c r="AD4162">
        <v>-1.1102931330300001</v>
      </c>
      <c r="AE4162">
        <v>-25.558899999999898</v>
      </c>
      <c r="AF4162">
        <v>4.8570266403150004</v>
      </c>
      <c r="AG4162">
        <v>-1.1102931330300001</v>
      </c>
      <c r="AH4162">
        <v>25.633370256645701</v>
      </c>
      <c r="AI4162">
        <v>92.436873982847203</v>
      </c>
      <c r="AJ4162">
        <v>79.270757619476498</v>
      </c>
      <c r="AK4162">
        <v>26.113083489704401</v>
      </c>
      <c r="AL4162">
        <v>79.751091431301901</v>
      </c>
      <c r="AM4162">
        <v>86.905815023178803</v>
      </c>
      <c r="AN4162">
        <v>0.99999999785502702</v>
      </c>
    </row>
    <row r="4163" spans="1:40" x14ac:dyDescent="0.25">
      <c r="A4163" t="str">
        <f>"20190312164110533"</f>
        <v>20190312164110533</v>
      </c>
      <c r="B4163" t="str">
        <f>"1552380070529912"</f>
        <v>1552380070529912</v>
      </c>
      <c r="C4163" t="s">
        <v>40</v>
      </c>
      <c r="D4163">
        <v>5.8321639999999997</v>
      </c>
      <c r="E4163">
        <v>0.55990839999999997</v>
      </c>
      <c r="F4163" t="s">
        <v>50</v>
      </c>
      <c r="G4163">
        <v>-196.96119999999999</v>
      </c>
      <c r="H4163" s="1">
        <v>-1.280757E-5</v>
      </c>
      <c r="I4163">
        <v>152.04849999999999</v>
      </c>
      <c r="J4163">
        <v>-191.00020000000001</v>
      </c>
      <c r="K4163">
        <v>1.1103609999999999</v>
      </c>
      <c r="L4163">
        <v>178.7911</v>
      </c>
      <c r="M4163">
        <v>-2.2923349999999999E-2</v>
      </c>
      <c r="N4163">
        <v>0</v>
      </c>
      <c r="O4163">
        <v>-0.99970000000000003</v>
      </c>
      <c r="P4163">
        <v>-8.281268E-2</v>
      </c>
      <c r="Q4163">
        <v>0.1700065</v>
      </c>
      <c r="R4163">
        <v>-0.98195739999999998</v>
      </c>
      <c r="S4163">
        <v>-0.66738889999999995</v>
      </c>
      <c r="T4163">
        <v>-0.12417839999999999</v>
      </c>
      <c r="U4163">
        <v>-3.0230709999999998</v>
      </c>
      <c r="V4163">
        <v>6.0129660000000001E-2</v>
      </c>
      <c r="W4163">
        <v>0.1785629</v>
      </c>
      <c r="X4163">
        <v>0.98208949999999995</v>
      </c>
      <c r="Y4163">
        <v>0.19295880000000001</v>
      </c>
      <c r="Z4163">
        <v>4.0157850000000002E-2</v>
      </c>
      <c r="AA4163">
        <v>0.98038479999999995</v>
      </c>
      <c r="AB4163">
        <v>28</v>
      </c>
      <c r="AC4163">
        <v>-5.9609999999999799</v>
      </c>
      <c r="AD4163">
        <v>-1.11037380757</v>
      </c>
      <c r="AE4163">
        <v>-26.742599999999999</v>
      </c>
      <c r="AF4163">
        <v>5.33761433386793</v>
      </c>
      <c r="AG4163">
        <v>-1.11037380757</v>
      </c>
      <c r="AH4163">
        <v>26.8281615195027</v>
      </c>
      <c r="AI4163">
        <v>92.324517936322394</v>
      </c>
      <c r="AJ4163">
        <v>78.747614452284196</v>
      </c>
      <c r="AK4163">
        <v>27.376510137089699</v>
      </c>
      <c r="AL4163">
        <v>79.713936392274803</v>
      </c>
      <c r="AM4163">
        <v>86.496367719714002</v>
      </c>
      <c r="AN4163">
        <v>1.0000000356391801</v>
      </c>
    </row>
    <row r="4164" spans="1:40" x14ac:dyDescent="0.25">
      <c r="A4164" t="str">
        <f>"20190312164110546"</f>
        <v>20190312164110546</v>
      </c>
      <c r="B4164" t="str">
        <f>"1552380070540648"</f>
        <v>1552380070540648</v>
      </c>
      <c r="C4164" t="s">
        <v>40</v>
      </c>
      <c r="D4164">
        <v>6.262823</v>
      </c>
      <c r="E4164">
        <v>0.55999270000000001</v>
      </c>
      <c r="F4164" t="s">
        <v>50</v>
      </c>
      <c r="G4164">
        <v>-197.39230000000001</v>
      </c>
      <c r="H4164" s="1">
        <v>-1.2576769999999999E-5</v>
      </c>
      <c r="I4164">
        <v>150.97919999999999</v>
      </c>
      <c r="J4164">
        <v>-191.00360000000001</v>
      </c>
      <c r="K4164">
        <v>1.110406</v>
      </c>
      <c r="L4164">
        <v>178.6301</v>
      </c>
      <c r="M4164">
        <v>-2.267402E-2</v>
      </c>
      <c r="N4164">
        <v>0</v>
      </c>
      <c r="O4164">
        <v>-0.99970289999999995</v>
      </c>
      <c r="P4164">
        <v>-8.5687579999999999E-2</v>
      </c>
      <c r="Q4164">
        <v>0.1696474</v>
      </c>
      <c r="R4164">
        <v>-0.9817728</v>
      </c>
      <c r="S4164">
        <v>-0.69352720000000001</v>
      </c>
      <c r="T4164">
        <v>-0.12047099999999999</v>
      </c>
      <c r="U4164">
        <v>-3.017471</v>
      </c>
      <c r="V4164">
        <v>6.3254080000000004E-2</v>
      </c>
      <c r="W4164">
        <v>0.178508</v>
      </c>
      <c r="X4164">
        <v>0.98190310000000003</v>
      </c>
      <c r="Y4164">
        <v>0.20167080000000001</v>
      </c>
      <c r="Z4164">
        <v>3.8960450000000001E-2</v>
      </c>
      <c r="AA4164">
        <v>0.97867820000000005</v>
      </c>
      <c r="AB4164">
        <v>28</v>
      </c>
      <c r="AC4164">
        <v>-6.3887</v>
      </c>
      <c r="AD4164">
        <v>-1.1104185767700001</v>
      </c>
      <c r="AE4164">
        <v>-27.6509</v>
      </c>
      <c r="AF4164">
        <v>5.7512702095317696</v>
      </c>
      <c r="AG4164">
        <v>-1.1104185767700001</v>
      </c>
      <c r="AH4164">
        <v>27.746175273776998</v>
      </c>
      <c r="AI4164">
        <v>92.244135429083698</v>
      </c>
      <c r="AJ4164">
        <v>78.289479171675595</v>
      </c>
      <c r="AK4164">
        <v>28.3577217131743</v>
      </c>
      <c r="AL4164">
        <v>79.717132312333803</v>
      </c>
      <c r="AM4164">
        <v>86.314105844771703</v>
      </c>
      <c r="AN4164">
        <v>0.99999994124512603</v>
      </c>
    </row>
    <row r="4165" spans="1:40" x14ac:dyDescent="0.25">
      <c r="A4165" t="str">
        <f>"20190312164110557"</f>
        <v>20190312164110557</v>
      </c>
      <c r="B4165" t="str">
        <f>"1552380070550409"</f>
        <v>1552380070550409</v>
      </c>
      <c r="C4165" t="s">
        <v>40</v>
      </c>
      <c r="D4165">
        <v>5.5477499999999997</v>
      </c>
      <c r="E4165">
        <v>0.56013269999999904</v>
      </c>
      <c r="F4165" t="s">
        <v>50</v>
      </c>
      <c r="G4165">
        <v>-197.47040000000001</v>
      </c>
      <c r="H4165" s="1">
        <v>-1.2561050000000001E-5</v>
      </c>
      <c r="I4165">
        <v>150.88929999999999</v>
      </c>
      <c r="J4165">
        <v>-191.00659999999999</v>
      </c>
      <c r="K4165">
        <v>1.1104459999999901</v>
      </c>
      <c r="L4165">
        <v>178.4873</v>
      </c>
      <c r="M4165">
        <v>-2.2452409999999999E-2</v>
      </c>
      <c r="N4165">
        <v>0</v>
      </c>
      <c r="O4165">
        <v>-0.99970530000000002</v>
      </c>
      <c r="P4165">
        <v>-8.8699940000000005E-2</v>
      </c>
      <c r="Q4165">
        <v>0.1690914</v>
      </c>
      <c r="R4165">
        <v>-0.98160099999999995</v>
      </c>
      <c r="S4165">
        <v>-0.70289609999999902</v>
      </c>
      <c r="T4165">
        <v>-0.120694</v>
      </c>
      <c r="U4165">
        <v>-3.0152130000000001</v>
      </c>
      <c r="V4165">
        <v>6.6489119999999999E-2</v>
      </c>
      <c r="W4165">
        <v>0.17822979999999899</v>
      </c>
      <c r="X4165">
        <v>0.9817399</v>
      </c>
      <c r="Y4165">
        <v>0.20493220000000001</v>
      </c>
      <c r="Z4165">
        <v>3.9034359999999997E-2</v>
      </c>
      <c r="AA4165">
        <v>0.97799749999999996</v>
      </c>
      <c r="AB4165">
        <v>28</v>
      </c>
      <c r="AC4165">
        <v>-6.4638000000000098</v>
      </c>
      <c r="AD4165">
        <v>-1.11045856104999</v>
      </c>
      <c r="AE4165">
        <v>-27.597999999999999</v>
      </c>
      <c r="AF4165">
        <v>5.8335489819353201</v>
      </c>
      <c r="AG4165">
        <v>-1.11045856104999</v>
      </c>
      <c r="AH4165">
        <v>27.693671669134499</v>
      </c>
      <c r="AI4165">
        <v>92.246954156765597</v>
      </c>
      <c r="AJ4165">
        <v>78.104799878607594</v>
      </c>
      <c r="AK4165">
        <v>28.3231859517652</v>
      </c>
      <c r="AL4165">
        <v>79.733331848734494</v>
      </c>
      <c r="AM4165">
        <v>86.125514084478098</v>
      </c>
      <c r="AN4165">
        <v>0.99999994796920999</v>
      </c>
    </row>
    <row r="4166" spans="1:40" x14ac:dyDescent="0.25">
      <c r="A4166" t="str">
        <f>"20190312164110569"</f>
        <v>20190312164110569</v>
      </c>
      <c r="B4166" t="str">
        <f>"1552380070560168"</f>
        <v>1552380070560168</v>
      </c>
      <c r="C4166" t="s">
        <v>40</v>
      </c>
      <c r="D4166">
        <v>5.5370200000000001</v>
      </c>
      <c r="E4166">
        <v>0.56018429999999997</v>
      </c>
      <c r="F4166" t="s">
        <v>50</v>
      </c>
      <c r="G4166">
        <v>-197.53729999999999</v>
      </c>
      <c r="H4166" s="1">
        <v>-1.25722E-5</v>
      </c>
      <c r="I4166">
        <v>150.91</v>
      </c>
      <c r="J4166">
        <v>-191.00970000000001</v>
      </c>
      <c r="K4166">
        <v>1.1104849999999999</v>
      </c>
      <c r="L4166">
        <v>178.33760000000001</v>
      </c>
      <c r="M4166">
        <v>-2.221426E-2</v>
      </c>
      <c r="N4166">
        <v>0</v>
      </c>
      <c r="O4166">
        <v>-0.99970789999999998</v>
      </c>
      <c r="P4166">
        <v>-9.145085E-2</v>
      </c>
      <c r="Q4166">
        <v>0.16894329999999999</v>
      </c>
      <c r="R4166">
        <v>-0.98137430000000003</v>
      </c>
      <c r="S4166">
        <v>-0.71343990000000002</v>
      </c>
      <c r="T4166">
        <v>-0.12131119999999999</v>
      </c>
      <c r="U4166">
        <v>-3.0126650000000001</v>
      </c>
      <c r="V4166">
        <v>6.948087E-2</v>
      </c>
      <c r="W4166">
        <v>0.1783682</v>
      </c>
      <c r="X4166">
        <v>0.98150760000000004</v>
      </c>
      <c r="Y4166">
        <v>0.20858860000000001</v>
      </c>
      <c r="Z4166">
        <v>3.9235409999999998E-2</v>
      </c>
      <c r="AA4166">
        <v>0.97721610000000003</v>
      </c>
      <c r="AB4166">
        <v>28</v>
      </c>
      <c r="AC4166">
        <v>-6.5275999999999703</v>
      </c>
      <c r="AD4166">
        <v>-1.1104975721999999</v>
      </c>
      <c r="AE4166">
        <v>-27.427600000000002</v>
      </c>
      <c r="AF4166">
        <v>5.9075125134296398</v>
      </c>
      <c r="AG4166">
        <v>-1.1104975721999999</v>
      </c>
      <c r="AH4166">
        <v>27.523143307954498</v>
      </c>
      <c r="AI4166">
        <v>92.259107056991297</v>
      </c>
      <c r="AJ4166">
        <v>77.885945820582904</v>
      </c>
      <c r="AK4166">
        <v>28.171888941006301</v>
      </c>
      <c r="AL4166">
        <v>79.725273390150804</v>
      </c>
      <c r="AM4166">
        <v>85.950789670522596</v>
      </c>
      <c r="AN4166">
        <v>0.99999998746247798</v>
      </c>
    </row>
    <row r="4167" spans="1:40" x14ac:dyDescent="0.25">
      <c r="A4167" t="str">
        <f>"20190312164110581"</f>
        <v>20190312164110581</v>
      </c>
      <c r="B4167" t="str">
        <f>"1552380070569928"</f>
        <v>1552380070569928</v>
      </c>
      <c r="C4167" t="s">
        <v>40</v>
      </c>
      <c r="D4167">
        <v>5.599386</v>
      </c>
      <c r="E4167">
        <v>0.56024030000000002</v>
      </c>
      <c r="F4167" t="s">
        <v>50</v>
      </c>
      <c r="G4167">
        <v>-197.59059999999999</v>
      </c>
      <c r="H4167" s="1">
        <v>-1.2574610000000001E-5</v>
      </c>
      <c r="I4167">
        <v>150.9008</v>
      </c>
      <c r="J4167">
        <v>-191.0128</v>
      </c>
      <c r="K4167">
        <v>1.1105149999999999</v>
      </c>
      <c r="L4167">
        <v>178.18940000000001</v>
      </c>
      <c r="M4167">
        <v>-2.197766E-2</v>
      </c>
      <c r="N4167">
        <v>0</v>
      </c>
      <c r="O4167">
        <v>-0.99971030000000005</v>
      </c>
      <c r="P4167">
        <v>-9.4317120000000004E-2</v>
      </c>
      <c r="Q4167">
        <v>0.1692401</v>
      </c>
      <c r="R4167">
        <v>-0.98105169999999997</v>
      </c>
      <c r="S4167">
        <v>-0.72212219999999905</v>
      </c>
      <c r="T4167">
        <v>-0.1218548</v>
      </c>
      <c r="U4167">
        <v>-3.0106350000000002</v>
      </c>
      <c r="V4167">
        <v>7.2587949999999998E-2</v>
      </c>
      <c r="W4167">
        <v>0.17894199999999999</v>
      </c>
      <c r="X4167">
        <v>0.9811782</v>
      </c>
      <c r="Y4167">
        <v>0.2116316</v>
      </c>
      <c r="Z4167">
        <v>3.9411040000000001E-2</v>
      </c>
      <c r="AA4167">
        <v>0.97655460000000005</v>
      </c>
      <c r="AB4167">
        <v>28</v>
      </c>
      <c r="AC4167">
        <v>-6.5777999999999901</v>
      </c>
      <c r="AD4167">
        <v>-1.1105275746099901</v>
      </c>
      <c r="AE4167">
        <v>-27.288599999999999</v>
      </c>
      <c r="AF4167">
        <v>5.96710293218805</v>
      </c>
      <c r="AG4167">
        <v>-1.1105275746099901</v>
      </c>
      <c r="AH4167">
        <v>27.383718908781599</v>
      </c>
      <c r="AI4167">
        <v>92.269127122671904</v>
      </c>
      <c r="AJ4167">
        <v>77.707017671988197</v>
      </c>
      <c r="AK4167">
        <v>28.0483092212786</v>
      </c>
      <c r="AL4167">
        <v>79.691859162051102</v>
      </c>
      <c r="AM4167">
        <v>85.768943409755593</v>
      </c>
      <c r="AN4167">
        <v>0.99999995500222005</v>
      </c>
    </row>
    <row r="4168" spans="1:40" x14ac:dyDescent="0.25">
      <c r="A4168" t="str">
        <f>"20190312164110593"</f>
        <v>20190312164110593</v>
      </c>
      <c r="B4168" t="str">
        <f>"1552380070590424"</f>
        <v>1552380070590424</v>
      </c>
      <c r="C4168" t="s">
        <v>40</v>
      </c>
      <c r="D4168">
        <v>5.3843050000000003</v>
      </c>
      <c r="E4168">
        <v>0.56129039999999997</v>
      </c>
      <c r="F4168" t="s">
        <v>50</v>
      </c>
      <c r="G4168">
        <v>-197.70599999999999</v>
      </c>
      <c r="H4168" s="1">
        <v>-1.250137E-5</v>
      </c>
      <c r="I4168">
        <v>150.64060000000001</v>
      </c>
      <c r="J4168">
        <v>-191.01589999999999</v>
      </c>
      <c r="K4168">
        <v>1.1105430000000001</v>
      </c>
      <c r="L4168">
        <v>178.0343</v>
      </c>
      <c r="M4168">
        <v>-2.172779E-2</v>
      </c>
      <c r="N4168">
        <v>0</v>
      </c>
      <c r="O4168">
        <v>-0.99971310000000002</v>
      </c>
      <c r="P4168">
        <v>-9.7609139999999997E-2</v>
      </c>
      <c r="Q4168">
        <v>0.1698498</v>
      </c>
      <c r="R4168">
        <v>-0.98062419999999995</v>
      </c>
      <c r="S4168">
        <v>-0.73097230000000002</v>
      </c>
      <c r="T4168">
        <v>-0.121281</v>
      </c>
      <c r="U4168">
        <v>-3.0086059999999999</v>
      </c>
      <c r="V4168">
        <v>7.6135410000000001E-2</v>
      </c>
      <c r="W4168">
        <v>0.17982529999999999</v>
      </c>
      <c r="X4168">
        <v>0.98074779999999995</v>
      </c>
      <c r="Y4168">
        <v>0.21474019999999999</v>
      </c>
      <c r="Z4168">
        <v>3.922498E-2</v>
      </c>
      <c r="AA4168">
        <v>0.97588319999999995</v>
      </c>
      <c r="AB4168">
        <v>28</v>
      </c>
      <c r="AC4168">
        <v>-6.6901000000000002</v>
      </c>
      <c r="AD4168">
        <v>-1.1105555013699999</v>
      </c>
      <c r="AE4168">
        <v>-27.3936999999999</v>
      </c>
      <c r="AF4168">
        <v>6.0838494455509702</v>
      </c>
      <c r="AG4168">
        <v>-1.1105555013699999</v>
      </c>
      <c r="AH4168">
        <v>27.489963141770598</v>
      </c>
      <c r="AI4168">
        <v>92.258813095351897</v>
      </c>
      <c r="AJ4168">
        <v>77.520917977951896</v>
      </c>
      <c r="AK4168">
        <v>28.177023106312301</v>
      </c>
      <c r="AL4168">
        <v>79.640415735530198</v>
      </c>
      <c r="AM4168">
        <v>85.561033798934304</v>
      </c>
      <c r="AN4168">
        <v>0.99999999319039901</v>
      </c>
    </row>
    <row r="4169" spans="1:40" x14ac:dyDescent="0.25">
      <c r="A4169" t="str">
        <f>"20190312164110612"</f>
        <v>20190312164110612</v>
      </c>
      <c r="B4169" t="str">
        <f>"1552380070600184"</f>
        <v>1552380070600184</v>
      </c>
      <c r="C4169" t="s">
        <v>40</v>
      </c>
      <c r="D4169">
        <v>5.5665879999999897</v>
      </c>
      <c r="E4169">
        <v>0.56155290000000002</v>
      </c>
      <c r="F4169" t="s">
        <v>50</v>
      </c>
      <c r="G4169">
        <v>-197.8783</v>
      </c>
      <c r="H4169" s="1">
        <v>-1.2464260000000001E-5</v>
      </c>
      <c r="I4169">
        <v>150.4829</v>
      </c>
      <c r="J4169">
        <v>-191.02070000000001</v>
      </c>
      <c r="K4169">
        <v>1.1105830000000001</v>
      </c>
      <c r="L4169">
        <v>177.79769999999999</v>
      </c>
      <c r="M4169">
        <v>-2.1348780000000001E-2</v>
      </c>
      <c r="N4169">
        <v>0</v>
      </c>
      <c r="O4169">
        <v>-0.99971690000000002</v>
      </c>
      <c r="P4169">
        <v>-0.1036661</v>
      </c>
      <c r="Q4169">
        <v>0.17013399999999901</v>
      </c>
      <c r="R4169">
        <v>-0.97995299999999996</v>
      </c>
      <c r="S4169">
        <v>-0.74865719999999902</v>
      </c>
      <c r="T4169">
        <v>-0.1211565</v>
      </c>
      <c r="U4169">
        <v>-3.0057369999999999</v>
      </c>
      <c r="V4169">
        <v>8.2578879999999993E-2</v>
      </c>
      <c r="W4169">
        <v>0.18050169999999999</v>
      </c>
      <c r="X4169">
        <v>0.98010200000000003</v>
      </c>
      <c r="Y4169">
        <v>0.22073429999999999</v>
      </c>
      <c r="Z4169">
        <v>3.916787E-2</v>
      </c>
      <c r="AA4169">
        <v>0.97454719999999995</v>
      </c>
      <c r="AB4169">
        <v>28</v>
      </c>
      <c r="AC4169">
        <v>-6.8575999999999899</v>
      </c>
      <c r="AD4169">
        <v>-1.11059546426</v>
      </c>
      <c r="AE4169">
        <v>-27.314799999999899</v>
      </c>
      <c r="AF4169">
        <v>6.2631270163288297</v>
      </c>
      <c r="AG4169">
        <v>-1.11059546426</v>
      </c>
      <c r="AH4169">
        <v>27.4123533236376</v>
      </c>
      <c r="AI4169">
        <v>92.261814070663604</v>
      </c>
      <c r="AJ4169">
        <v>77.130071214464195</v>
      </c>
      <c r="AK4169">
        <v>28.1406698045346</v>
      </c>
      <c r="AL4169">
        <v>79.601016577321502</v>
      </c>
      <c r="AM4169">
        <v>85.183896498542097</v>
      </c>
      <c r="AN4169">
        <v>1.00000003276447</v>
      </c>
    </row>
    <row r="4170" spans="1:40" x14ac:dyDescent="0.25">
      <c r="A4170" t="str">
        <f>"20190312164110636"</f>
        <v>20190312164110636</v>
      </c>
      <c r="B4170" t="str">
        <f>"1552380070630441"</f>
        <v>1552380070630441</v>
      </c>
      <c r="C4170" t="s">
        <v>40</v>
      </c>
      <c r="D4170">
        <v>5.3948330000000002</v>
      </c>
      <c r="E4170">
        <v>0.56273589999999996</v>
      </c>
      <c r="F4170" t="s">
        <v>50</v>
      </c>
      <c r="G4170">
        <v>-197.8108</v>
      </c>
      <c r="H4170" s="1">
        <v>-1.267381E-5</v>
      </c>
      <c r="I4170">
        <v>151.2174</v>
      </c>
      <c r="J4170">
        <v>-191.0266</v>
      </c>
      <c r="K4170">
        <v>1.1106259999999999</v>
      </c>
      <c r="L4170">
        <v>177.4967</v>
      </c>
      <c r="M4170">
        <v>-2.0874179999999999E-2</v>
      </c>
      <c r="N4170">
        <v>0</v>
      </c>
      <c r="O4170">
        <v>-0.99972220000000001</v>
      </c>
      <c r="P4170">
        <v>-0.1079039</v>
      </c>
      <c r="Q4170">
        <v>0.16904920000000001</v>
      </c>
      <c r="R4170">
        <v>-0.97968339999999998</v>
      </c>
      <c r="S4170">
        <v>-0.76689149999999995</v>
      </c>
      <c r="T4170">
        <v>-0.1254323</v>
      </c>
      <c r="U4170">
        <v>-3.002014</v>
      </c>
      <c r="V4170">
        <v>8.7288089999999999E-2</v>
      </c>
      <c r="W4170">
        <v>0.17987829999999999</v>
      </c>
      <c r="X4170">
        <v>0.97980840000000002</v>
      </c>
      <c r="Y4170">
        <v>0.22702739999999999</v>
      </c>
      <c r="Z4170">
        <v>4.0537869999999997E-2</v>
      </c>
      <c r="AA4170">
        <v>0.97304429999999997</v>
      </c>
      <c r="AB4170">
        <v>28</v>
      </c>
      <c r="AC4170">
        <v>-6.7841999999999896</v>
      </c>
      <c r="AD4170">
        <v>-1.11063867381</v>
      </c>
      <c r="AE4170">
        <v>-26.279299999999999</v>
      </c>
      <c r="AF4170">
        <v>6.2237080131232698</v>
      </c>
      <c r="AG4170">
        <v>-1.11063867381</v>
      </c>
      <c r="AH4170">
        <v>26.3710368230916</v>
      </c>
      <c r="AI4170">
        <v>92.347227594222304</v>
      </c>
      <c r="AJ4170">
        <v>76.720868731917705</v>
      </c>
      <c r="AK4170">
        <v>27.1182529455942</v>
      </c>
      <c r="AL4170">
        <v>79.637328343227296</v>
      </c>
      <c r="AM4170">
        <v>84.909136245247794</v>
      </c>
      <c r="AN4170">
        <v>0.99999995708864797</v>
      </c>
    </row>
    <row r="4171" spans="1:40" x14ac:dyDescent="0.25">
      <c r="A4171" t="str">
        <f>"20190312164110658"</f>
        <v>20190312164110658</v>
      </c>
      <c r="B4171" t="str">
        <f>"1552380070649960"</f>
        <v>1552380070649960</v>
      </c>
      <c r="C4171" t="s">
        <v>40</v>
      </c>
      <c r="D4171">
        <v>5.3602530000000002</v>
      </c>
      <c r="E4171">
        <v>0.56327349999999998</v>
      </c>
      <c r="F4171" t="s">
        <v>50</v>
      </c>
      <c r="G4171">
        <v>-197.64940000000001</v>
      </c>
      <c r="H4171" s="1">
        <v>-1.294109E-5</v>
      </c>
      <c r="I4171">
        <v>152.3366</v>
      </c>
      <c r="J4171">
        <v>-191.03190000000001</v>
      </c>
      <c r="K4171">
        <v>1.1106560000000001</v>
      </c>
      <c r="L4171">
        <v>177.21879999999999</v>
      </c>
      <c r="M4171">
        <v>-2.0442809999999999E-2</v>
      </c>
      <c r="N4171">
        <v>0</v>
      </c>
      <c r="O4171">
        <v>-0.99972669999999997</v>
      </c>
      <c r="P4171">
        <v>-0.1117505</v>
      </c>
      <c r="Q4171">
        <v>0.1667882</v>
      </c>
      <c r="R4171">
        <v>-0.9796397</v>
      </c>
      <c r="S4171">
        <v>-0.78918459999999901</v>
      </c>
      <c r="T4171">
        <v>-0.13234479999999901</v>
      </c>
      <c r="U4171">
        <v>-2.9981080000000002</v>
      </c>
      <c r="V4171">
        <v>9.1558749999999994E-2</v>
      </c>
      <c r="W4171">
        <v>0.17800460000000001</v>
      </c>
      <c r="X4171">
        <v>0.97976090000000005</v>
      </c>
      <c r="Y4171">
        <v>0.23449999999999999</v>
      </c>
      <c r="Z4171">
        <v>4.2744610000000002E-2</v>
      </c>
      <c r="AA4171">
        <v>0.97117589999999998</v>
      </c>
      <c r="AB4171">
        <v>28</v>
      </c>
      <c r="AC4171">
        <v>-6.6174999999999997</v>
      </c>
      <c r="AD4171">
        <v>-1.1106689410899999</v>
      </c>
      <c r="AE4171">
        <v>-24.882199999999902</v>
      </c>
      <c r="AF4171">
        <v>6.0960782363761101</v>
      </c>
      <c r="AG4171">
        <v>-1.1106689410899999</v>
      </c>
      <c r="AH4171">
        <v>24.965830884175599</v>
      </c>
      <c r="AI4171">
        <v>92.474659849048095</v>
      </c>
      <c r="AJ4171">
        <v>76.278199502999101</v>
      </c>
      <c r="AK4171">
        <v>25.7233059130816</v>
      </c>
      <c r="AL4171">
        <v>79.746445408682902</v>
      </c>
      <c r="AM4171">
        <v>84.661208965537995</v>
      </c>
      <c r="AN4171">
        <v>1.00000003174576</v>
      </c>
    </row>
    <row r="4172" spans="1:40" x14ac:dyDescent="0.25">
      <c r="A4172" t="str">
        <f>"20190312164110679"</f>
        <v>20190312164110679</v>
      </c>
      <c r="B4172" t="str">
        <f>"1552380070670460"</f>
        <v>1552380070670460</v>
      </c>
      <c r="C4172" t="s">
        <v>40</v>
      </c>
      <c r="D4172">
        <v>5.2943530000000001</v>
      </c>
      <c r="E4172">
        <v>0.56366280000000002</v>
      </c>
      <c r="F4172" t="s">
        <v>50</v>
      </c>
      <c r="G4172">
        <v>-197.404</v>
      </c>
      <c r="H4172" s="1">
        <v>-1.322023E-5</v>
      </c>
      <c r="I4172">
        <v>153.5325</v>
      </c>
      <c r="J4172">
        <v>-191.0369</v>
      </c>
      <c r="K4172">
        <v>1.110681</v>
      </c>
      <c r="L4172">
        <v>176.95189999999999</v>
      </c>
      <c r="M4172">
        <v>-2.0031409999999999E-2</v>
      </c>
      <c r="N4172">
        <v>0</v>
      </c>
      <c r="O4172">
        <v>-0.99973100000000004</v>
      </c>
      <c r="P4172">
        <v>-0.1151021</v>
      </c>
      <c r="Q4172">
        <v>0.16560250000000001</v>
      </c>
      <c r="R4172">
        <v>-0.97945280000000001</v>
      </c>
      <c r="S4172">
        <v>-0.80554199999999998</v>
      </c>
      <c r="T4172">
        <v>-0.14040759999999999</v>
      </c>
      <c r="U4172">
        <v>-2.994354</v>
      </c>
      <c r="V4172">
        <v>9.5318059999999996E-2</v>
      </c>
      <c r="W4172">
        <v>0.17714769999999999</v>
      </c>
      <c r="X4172">
        <v>0.97955760000000003</v>
      </c>
      <c r="Y4172">
        <v>0.24012</v>
      </c>
      <c r="Z4172">
        <v>4.533591E-2</v>
      </c>
      <c r="AA4172">
        <v>0.96968399999999999</v>
      </c>
      <c r="AB4172">
        <v>28</v>
      </c>
      <c r="AC4172">
        <v>-6.3671000000000202</v>
      </c>
      <c r="AD4172">
        <v>-1.1106942202299901</v>
      </c>
      <c r="AE4172">
        <v>-23.4194</v>
      </c>
      <c r="AF4172">
        <v>5.8843422163188004</v>
      </c>
      <c r="AG4172">
        <v>-1.1106942202299901</v>
      </c>
      <c r="AH4172">
        <v>23.493046246068801</v>
      </c>
      <c r="AI4172">
        <v>92.625795554861099</v>
      </c>
      <c r="AJ4172">
        <v>75.938325056316103</v>
      </c>
      <c r="AK4172">
        <v>24.244222959079</v>
      </c>
      <c r="AL4172">
        <v>79.796334376692201</v>
      </c>
      <c r="AM4172">
        <v>84.442202674931096</v>
      </c>
      <c r="AN4172">
        <v>0.99999996594760598</v>
      </c>
    </row>
    <row r="4173" spans="1:40" x14ac:dyDescent="0.25">
      <c r="A4173" t="str">
        <f>"20190312164110690"</f>
        <v>20190312164110690</v>
      </c>
      <c r="B4173" t="str">
        <f>"1552380070680216"</f>
        <v>1552380070680216</v>
      </c>
      <c r="C4173" t="s">
        <v>40</v>
      </c>
      <c r="D4173">
        <v>5.3844200000000004</v>
      </c>
      <c r="E4173">
        <v>0.56384690000000004</v>
      </c>
      <c r="F4173" t="s">
        <v>50</v>
      </c>
      <c r="G4173">
        <v>-197.28270000000001</v>
      </c>
      <c r="H4173" s="1">
        <v>-1.3359780000000001E-5</v>
      </c>
      <c r="I4173">
        <v>154.12989999999999</v>
      </c>
      <c r="J4173">
        <v>-191.03970000000001</v>
      </c>
      <c r="K4173">
        <v>1.110695</v>
      </c>
      <c r="L4173">
        <v>176.80289999999999</v>
      </c>
      <c r="M4173">
        <v>-1.9801570000000001E-2</v>
      </c>
      <c r="N4173">
        <v>0</v>
      </c>
      <c r="O4173">
        <v>-0.99973339999999999</v>
      </c>
      <c r="P4173">
        <v>-0.1166866</v>
      </c>
      <c r="Q4173">
        <v>0.16544510000000001</v>
      </c>
      <c r="R4173">
        <v>-0.97929160000000004</v>
      </c>
      <c r="S4173">
        <v>-0.81864930000000002</v>
      </c>
      <c r="T4173">
        <v>-0.14558219999999999</v>
      </c>
      <c r="U4173">
        <v>-2.9913479999999999</v>
      </c>
      <c r="V4173">
        <v>9.713157E-2</v>
      </c>
      <c r="W4173">
        <v>0.17715520000000001</v>
      </c>
      <c r="X4173">
        <v>0.97937810000000003</v>
      </c>
      <c r="Y4173">
        <v>0.24452209999999999</v>
      </c>
      <c r="Z4173">
        <v>4.6996139999999999E-2</v>
      </c>
      <c r="AA4173">
        <v>0.96850420000000004</v>
      </c>
      <c r="AB4173">
        <v>28</v>
      </c>
      <c r="AC4173">
        <v>-6.2429999999999897</v>
      </c>
      <c r="AD4173">
        <v>-1.1107083597799901</v>
      </c>
      <c r="AE4173">
        <v>-22.672999999999998</v>
      </c>
      <c r="AF4173">
        <v>5.7798898315572096</v>
      </c>
      <c r="AG4173">
        <v>-1.1107083597799901</v>
      </c>
      <c r="AH4173">
        <v>22.741454149544602</v>
      </c>
      <c r="AI4173">
        <v>92.710117124004896</v>
      </c>
      <c r="AJ4173">
        <v>75.739832170606206</v>
      </c>
      <c r="AK4173">
        <v>23.490732989016401</v>
      </c>
      <c r="AL4173">
        <v>79.7958979466177</v>
      </c>
      <c r="AM4173">
        <v>84.336110479296707</v>
      </c>
      <c r="AN4173">
        <v>0.99999998476865704</v>
      </c>
    </row>
    <row r="4174" spans="1:40" x14ac:dyDescent="0.25">
      <c r="A4174" t="str">
        <f>"20190312164110702"</f>
        <v>20190312164110702</v>
      </c>
      <c r="B4174" t="str">
        <f>"1552380070689977"</f>
        <v>1552380070689977</v>
      </c>
      <c r="C4174" t="s">
        <v>40</v>
      </c>
      <c r="D4174">
        <v>5.4584549999999998</v>
      </c>
      <c r="E4174">
        <v>0.56408539999999996</v>
      </c>
      <c r="F4174" t="s">
        <v>50</v>
      </c>
      <c r="G4174">
        <v>-197.2576</v>
      </c>
      <c r="H4174" s="1">
        <v>-1.3389909999999999E-5</v>
      </c>
      <c r="I4174">
        <v>154.2585</v>
      </c>
      <c r="J4174">
        <v>-191.04230000000001</v>
      </c>
      <c r="K4174">
        <v>1.110706</v>
      </c>
      <c r="L4174">
        <v>176.6601</v>
      </c>
      <c r="M4174">
        <v>-1.958213E-2</v>
      </c>
      <c r="N4174">
        <v>0</v>
      </c>
      <c r="O4174">
        <v>-0.99973619999999996</v>
      </c>
      <c r="P4174">
        <v>-0.1181055</v>
      </c>
      <c r="Q4174">
        <v>0.16628289999999901</v>
      </c>
      <c r="R4174">
        <v>-0.97897970000000001</v>
      </c>
      <c r="S4174">
        <v>-0.82467649999999904</v>
      </c>
      <c r="T4174">
        <v>-0.14731240000000001</v>
      </c>
      <c r="U4174">
        <v>-2.9900509999999998</v>
      </c>
      <c r="V4174">
        <v>9.8771789999999998E-2</v>
      </c>
      <c r="W4174">
        <v>0.17814150000000001</v>
      </c>
      <c r="X4174">
        <v>0.97903510000000005</v>
      </c>
      <c r="Y4174">
        <v>0.24664939999999999</v>
      </c>
      <c r="Z4174">
        <v>4.7548069999999998E-2</v>
      </c>
      <c r="AA4174">
        <v>0.96793759999999995</v>
      </c>
      <c r="AB4174">
        <v>28</v>
      </c>
      <c r="AC4174">
        <v>-6.2152999999999796</v>
      </c>
      <c r="AD4174">
        <v>-1.1107193899100001</v>
      </c>
      <c r="AE4174">
        <v>-22.401599999999998</v>
      </c>
      <c r="AF4174">
        <v>5.7622520672431197</v>
      </c>
      <c r="AG4174">
        <v>-1.1107193899100001</v>
      </c>
      <c r="AH4174">
        <v>22.467734985623199</v>
      </c>
      <c r="AI4174">
        <v>92.741593999352006</v>
      </c>
      <c r="AJ4174">
        <v>75.615508240289003</v>
      </c>
      <c r="AK4174">
        <v>23.221463386999702</v>
      </c>
      <c r="AL4174">
        <v>79.738473821453894</v>
      </c>
      <c r="AM4174">
        <v>84.239100310839405</v>
      </c>
      <c r="AN4174">
        <v>0.99999999377703197</v>
      </c>
    </row>
    <row r="4175" spans="1:40" x14ac:dyDescent="0.25">
      <c r="A4175" t="str">
        <f>"20190312164110714"</f>
        <v>20190312164110714</v>
      </c>
      <c r="B4175" t="str">
        <f>"1552380070710473"</f>
        <v>1552380070710473</v>
      </c>
      <c r="C4175" t="s">
        <v>40</v>
      </c>
      <c r="D4175">
        <v>5.3880049999999997</v>
      </c>
      <c r="E4175">
        <v>0.56454190000000004</v>
      </c>
      <c r="F4175" t="s">
        <v>50</v>
      </c>
      <c r="G4175">
        <v>-197.39670000000001</v>
      </c>
      <c r="H4175" s="1">
        <v>-1.329017E-5</v>
      </c>
      <c r="I4175">
        <v>153.81299999999999</v>
      </c>
      <c r="J4175">
        <v>-191.04490000000001</v>
      </c>
      <c r="K4175">
        <v>1.110714</v>
      </c>
      <c r="L4175">
        <v>176.51390000000001</v>
      </c>
      <c r="M4175">
        <v>-1.9358770000000001E-2</v>
      </c>
      <c r="N4175">
        <v>0</v>
      </c>
      <c r="O4175">
        <v>-0.99973889999999999</v>
      </c>
      <c r="P4175">
        <v>-0.1195886</v>
      </c>
      <c r="Q4175">
        <v>0.16713539999999999</v>
      </c>
      <c r="R4175">
        <v>-0.97865480000000005</v>
      </c>
      <c r="S4175">
        <v>-0.83128359999999901</v>
      </c>
      <c r="T4175">
        <v>-0.1453035</v>
      </c>
      <c r="U4175">
        <v>-2.9888309999999998</v>
      </c>
      <c r="V4175">
        <v>0.1004809</v>
      </c>
      <c r="W4175">
        <v>0.17913479999999901</v>
      </c>
      <c r="X4175">
        <v>0.97867990000000005</v>
      </c>
      <c r="Y4175">
        <v>0.24896209999999999</v>
      </c>
      <c r="Z4175">
        <v>4.6892219999999998E-2</v>
      </c>
      <c r="AA4175">
        <v>0.96737740000000005</v>
      </c>
      <c r="AB4175">
        <v>28</v>
      </c>
      <c r="AC4175">
        <v>-6.3517999999999901</v>
      </c>
      <c r="AD4175">
        <v>-1.11072729017</v>
      </c>
      <c r="AE4175">
        <v>-22.700900000000001</v>
      </c>
      <c r="AF4175">
        <v>5.8980208041992297</v>
      </c>
      <c r="AG4175">
        <v>-1.11072729017</v>
      </c>
      <c r="AH4175">
        <v>22.769065362023898</v>
      </c>
      <c r="AI4175">
        <v>92.703708065565905</v>
      </c>
      <c r="AJ4175">
        <v>75.477500626747002</v>
      </c>
      <c r="AK4175">
        <v>23.5467768915411</v>
      </c>
      <c r="AL4175">
        <v>79.680631762784003</v>
      </c>
      <c r="AM4175">
        <v>84.137991743025097</v>
      </c>
      <c r="AN4175">
        <v>1.0000000172499199</v>
      </c>
    </row>
    <row r="4176" spans="1:40" x14ac:dyDescent="0.25">
      <c r="A4176" t="str">
        <f>"20190312164110727"</f>
        <v>20190312164110727</v>
      </c>
      <c r="B4176" t="str">
        <f>"1552380070720232"</f>
        <v>1552380070720232</v>
      </c>
      <c r="C4176" t="s">
        <v>40</v>
      </c>
      <c r="D4176">
        <v>5.1833970000000003</v>
      </c>
      <c r="E4176">
        <v>0.56444719999999904</v>
      </c>
      <c r="F4176" t="s">
        <v>50</v>
      </c>
      <c r="G4176">
        <v>-197.47669999999999</v>
      </c>
      <c r="H4176" s="1">
        <v>-1.324733E-5</v>
      </c>
      <c r="I4176">
        <v>153.61449999999999</v>
      </c>
      <c r="J4176">
        <v>-191.04759999999999</v>
      </c>
      <c r="K4176">
        <v>1.110717</v>
      </c>
      <c r="L4176">
        <v>176.36</v>
      </c>
      <c r="M4176">
        <v>-1.913082E-2</v>
      </c>
      <c r="N4176">
        <v>0</v>
      </c>
      <c r="O4176">
        <v>-0.9997412</v>
      </c>
      <c r="P4176">
        <v>-0.12116300000000001</v>
      </c>
      <c r="Q4176">
        <v>0.16802909999999999</v>
      </c>
      <c r="R4176">
        <v>-0.9783075</v>
      </c>
      <c r="S4176">
        <v>-0.83915709999999999</v>
      </c>
      <c r="T4176">
        <v>-0.14491570000000001</v>
      </c>
      <c r="U4176">
        <v>-2.9876559999999999</v>
      </c>
      <c r="V4176">
        <v>0.1022873</v>
      </c>
      <c r="W4176">
        <v>0.1801644</v>
      </c>
      <c r="X4176">
        <v>0.9783037</v>
      </c>
      <c r="Y4176">
        <v>0.25164639999999999</v>
      </c>
      <c r="Z4176">
        <v>4.675261E-2</v>
      </c>
      <c r="AA4176">
        <v>0.96668929999999997</v>
      </c>
      <c r="AB4176">
        <v>28</v>
      </c>
      <c r="AC4176">
        <v>-6.4291</v>
      </c>
      <c r="AD4176">
        <v>-1.11073024733</v>
      </c>
      <c r="AE4176">
        <v>-22.7455</v>
      </c>
      <c r="AF4176">
        <v>5.9795459373115598</v>
      </c>
      <c r="AG4176">
        <v>-1.11073024733</v>
      </c>
      <c r="AH4176">
        <v>22.813961364180201</v>
      </c>
      <c r="AI4176">
        <v>92.696388976390395</v>
      </c>
      <c r="AJ4176">
        <v>75.313123445668097</v>
      </c>
      <c r="AK4176">
        <v>23.6107078340541</v>
      </c>
      <c r="AL4176">
        <v>79.620664385069105</v>
      </c>
      <c r="AM4176">
        <v>84.031082966860197</v>
      </c>
      <c r="AN4176">
        <v>1.00000001610116</v>
      </c>
    </row>
    <row r="4177" spans="1:40" x14ac:dyDescent="0.25">
      <c r="A4177" t="str">
        <f>"20190312164110738"</f>
        <v>20190312164110738</v>
      </c>
      <c r="B4177" t="str">
        <f>"1552380070729993"</f>
        <v>1552380070729993</v>
      </c>
      <c r="C4177" t="s">
        <v>40</v>
      </c>
      <c r="D4177">
        <v>5.2873929999999998</v>
      </c>
      <c r="E4177">
        <v>0.56444719999999904</v>
      </c>
      <c r="F4177" t="s">
        <v>50</v>
      </c>
      <c r="G4177">
        <v>-197.51060000000001</v>
      </c>
      <c r="H4177" s="1">
        <v>-1.321128E-5</v>
      </c>
      <c r="I4177">
        <v>153.45930000000001</v>
      </c>
      <c r="J4177">
        <v>-191.05029999999999</v>
      </c>
      <c r="K4177">
        <v>1.110717</v>
      </c>
      <c r="L4177">
        <v>176.20849999999999</v>
      </c>
      <c r="M4177">
        <v>-1.8910070000000001E-2</v>
      </c>
      <c r="N4177">
        <v>0</v>
      </c>
      <c r="O4177">
        <v>-0.99974410000000002</v>
      </c>
      <c r="P4177">
        <v>-0.1225644</v>
      </c>
      <c r="Q4177">
        <v>0.16920060000000001</v>
      </c>
      <c r="R4177">
        <v>-0.97793129999999995</v>
      </c>
      <c r="S4177">
        <v>-0.84298709999999899</v>
      </c>
      <c r="T4177">
        <v>-0.14487549999999999</v>
      </c>
      <c r="U4177">
        <v>-2.9870000000000001</v>
      </c>
      <c r="V4177">
        <v>0.1039146</v>
      </c>
      <c r="W4177">
        <v>0.1814626</v>
      </c>
      <c r="X4177">
        <v>0.97789219999999999</v>
      </c>
      <c r="Y4177">
        <v>0.25306380000000001</v>
      </c>
      <c r="Z4177">
        <v>4.6733110000000001E-2</v>
      </c>
      <c r="AA4177">
        <v>0.96632019999999996</v>
      </c>
      <c r="AB4177">
        <v>28</v>
      </c>
      <c r="AC4177">
        <v>-6.4603000000000099</v>
      </c>
      <c r="AD4177">
        <v>-1.1107302112799999</v>
      </c>
      <c r="AE4177">
        <v>-22.749199999999899</v>
      </c>
      <c r="AF4177">
        <v>6.0156520960840103</v>
      </c>
      <c r="AG4177">
        <v>-1.1107302112799999</v>
      </c>
      <c r="AH4177">
        <v>22.816971844278498</v>
      </c>
      <c r="AI4177">
        <v>92.695009280469705</v>
      </c>
      <c r="AJ4177">
        <v>75.230170798713999</v>
      </c>
      <c r="AK4177">
        <v>23.622785523429901</v>
      </c>
      <c r="AL4177">
        <v>79.545036676100196</v>
      </c>
      <c r="AM4177">
        <v>83.934292291473099</v>
      </c>
      <c r="AN4177">
        <v>1.00000003705637</v>
      </c>
    </row>
    <row r="4178" spans="1:40" x14ac:dyDescent="0.25">
      <c r="A4178" t="str">
        <f>"20190312164110758"</f>
        <v>20190312164110758</v>
      </c>
      <c r="B4178" t="str">
        <f>"1552380070750492"</f>
        <v>1552380070750492</v>
      </c>
      <c r="C4178" t="s">
        <v>40</v>
      </c>
      <c r="D4178">
        <v>5.4226400000000003</v>
      </c>
      <c r="E4178">
        <v>0.51899150000000005</v>
      </c>
      <c r="F4178" t="s">
        <v>50</v>
      </c>
      <c r="G4178">
        <v>-197.67619999999999</v>
      </c>
      <c r="H4178" s="1">
        <v>-1.3069379999999999E-5</v>
      </c>
      <c r="I4178">
        <v>152.83699999999999</v>
      </c>
      <c r="J4178">
        <v>-191.05449999999999</v>
      </c>
      <c r="K4178">
        <v>1.110708</v>
      </c>
      <c r="L4178">
        <v>175.96619999999999</v>
      </c>
      <c r="M4178">
        <v>-1.857994E-2</v>
      </c>
      <c r="N4178">
        <v>0</v>
      </c>
      <c r="O4178">
        <v>-0.99974759999999996</v>
      </c>
      <c r="P4178">
        <v>-0.12499830000000001</v>
      </c>
      <c r="Q4178">
        <v>0.17006370000000001</v>
      </c>
      <c r="R4178">
        <v>-0.97747360000000005</v>
      </c>
      <c r="S4178">
        <v>-0.84658809999999995</v>
      </c>
      <c r="T4178">
        <v>-0.14191599999999999</v>
      </c>
      <c r="U4178">
        <v>-2.9861300000000002</v>
      </c>
      <c r="V4178">
        <v>0.1066878</v>
      </c>
      <c r="W4178">
        <v>0.18250530000000001</v>
      </c>
      <c r="X4178">
        <v>0.97739929999999997</v>
      </c>
      <c r="Y4178">
        <v>0.25454739999999998</v>
      </c>
      <c r="Z4178">
        <v>4.5777360000000003E-2</v>
      </c>
      <c r="AA4178">
        <v>0.96597619999999895</v>
      </c>
      <c r="AB4178">
        <v>28</v>
      </c>
      <c r="AC4178">
        <v>-6.6216999999999997</v>
      </c>
      <c r="AD4178">
        <v>-1.11072106938</v>
      </c>
      <c r="AE4178">
        <v>-23.129199999999901</v>
      </c>
      <c r="AF4178">
        <v>6.1776160204489603</v>
      </c>
      <c r="AG4178">
        <v>-1.11072106938</v>
      </c>
      <c r="AH4178">
        <v>23.198800133340001</v>
      </c>
      <c r="AI4178">
        <v>92.648963253378696</v>
      </c>
      <c r="AJ4178">
        <v>75.088715957473596</v>
      </c>
      <c r="AK4178">
        <v>24.032914276398699</v>
      </c>
      <c r="AL4178">
        <v>79.484278694167799</v>
      </c>
      <c r="AM4178">
        <v>83.770554788531896</v>
      </c>
      <c r="AN4178">
        <v>0.99999993141870702</v>
      </c>
    </row>
    <row r="4179" spans="1:40" x14ac:dyDescent="0.25">
      <c r="A4179" t="str">
        <f>"20190312164110770"</f>
        <v>20190312164110770</v>
      </c>
      <c r="B4179" t="str">
        <f>"1552380070760248"</f>
        <v>1552380070760248</v>
      </c>
      <c r="C4179" t="s">
        <v>40</v>
      </c>
      <c r="D4179">
        <v>5.3898640000000002</v>
      </c>
      <c r="E4179">
        <v>0.51611629999999997</v>
      </c>
      <c r="F4179" t="s">
        <v>50</v>
      </c>
      <c r="G4179">
        <v>-195.3493</v>
      </c>
      <c r="H4179" s="1">
        <v>-1.1625400000000001E-5</v>
      </c>
      <c r="I4179">
        <v>149.5462</v>
      </c>
      <c r="J4179">
        <v>-191.05719999999999</v>
      </c>
      <c r="K4179">
        <v>1.110695</v>
      </c>
      <c r="L4179">
        <v>175.81020000000001</v>
      </c>
      <c r="M4179">
        <v>-1.8383940000000001E-2</v>
      </c>
      <c r="N4179">
        <v>0</v>
      </c>
      <c r="O4179">
        <v>-0.99975000000000003</v>
      </c>
      <c r="P4179">
        <v>-0.12628049999999999</v>
      </c>
      <c r="Q4179">
        <v>0.16997660000000001</v>
      </c>
      <c r="R4179">
        <v>-0.97732390000000002</v>
      </c>
      <c r="S4179">
        <v>-0.49227910000000002</v>
      </c>
      <c r="T4179">
        <v>-0.1273147</v>
      </c>
      <c r="U4179">
        <v>-3.0283509999999998</v>
      </c>
      <c r="V4179">
        <v>0.1081712</v>
      </c>
      <c r="W4179">
        <v>0.1825203</v>
      </c>
      <c r="X4179">
        <v>0.97723349999999998</v>
      </c>
      <c r="Y4179">
        <v>0.14213819999999999</v>
      </c>
      <c r="Z4179">
        <v>4.1508040000000003E-2</v>
      </c>
      <c r="AA4179">
        <v>0.98897619999999997</v>
      </c>
      <c r="AB4179">
        <v>28</v>
      </c>
      <c r="AC4179">
        <v>-4.2920999999999996</v>
      </c>
      <c r="AD4179">
        <v>-1.1107066254</v>
      </c>
      <c r="AE4179">
        <v>-26.263999999999999</v>
      </c>
      <c r="AF4179">
        <v>3.80187701246926</v>
      </c>
      <c r="AG4179">
        <v>-1.1107066254</v>
      </c>
      <c r="AH4179">
        <v>26.292672803107401</v>
      </c>
      <c r="AI4179">
        <v>92.394092639478401</v>
      </c>
      <c r="AJ4179">
        <v>81.772153219935106</v>
      </c>
      <c r="AK4179">
        <v>26.5893320930954</v>
      </c>
      <c r="AL4179">
        <v>79.4834052086822</v>
      </c>
      <c r="AM4179">
        <v>83.683572112617696</v>
      </c>
      <c r="AN4179">
        <v>0.99999999097188996</v>
      </c>
    </row>
    <row r="4180" spans="1:40" x14ac:dyDescent="0.25">
      <c r="A4180" t="str">
        <f>"20190312164110790"</f>
        <v>20190312164110790</v>
      </c>
      <c r="B4180" t="str">
        <f>"1552380070780745"</f>
        <v>1552380070780745</v>
      </c>
      <c r="C4180" t="s">
        <v>40</v>
      </c>
      <c r="D4180">
        <v>5.3957709999999999</v>
      </c>
      <c r="E4180">
        <v>0.51324269999999905</v>
      </c>
      <c r="F4180" t="s">
        <v>50</v>
      </c>
      <c r="G4180">
        <v>-194.4402</v>
      </c>
      <c r="H4180" s="1">
        <v>-1.308096E-5</v>
      </c>
      <c r="I4180">
        <v>154.02369999999999</v>
      </c>
      <c r="J4180">
        <v>-191.0615</v>
      </c>
      <c r="K4180">
        <v>1.110673</v>
      </c>
      <c r="L4180">
        <v>175.5566</v>
      </c>
      <c r="M4180">
        <v>-1.808324E-2</v>
      </c>
      <c r="N4180">
        <v>0</v>
      </c>
      <c r="O4180">
        <v>-0.999753</v>
      </c>
      <c r="P4180">
        <v>-0.12816939999999999</v>
      </c>
      <c r="Q4180">
        <v>0.1686521</v>
      </c>
      <c r="R4180">
        <v>-0.97730680000000003</v>
      </c>
      <c r="S4180">
        <v>-0.47137449999999997</v>
      </c>
      <c r="T4180">
        <v>-0.15476099999999901</v>
      </c>
      <c r="U4180">
        <v>-3.0356290000000001</v>
      </c>
      <c r="V4180">
        <v>0.1103666</v>
      </c>
      <c r="W4180">
        <v>0.1813514</v>
      </c>
      <c r="X4180">
        <v>0.97720560000000001</v>
      </c>
      <c r="Y4180">
        <v>0.13535139999999901</v>
      </c>
      <c r="Z4180">
        <v>5.036765E-2</v>
      </c>
      <c r="AA4180">
        <v>0.98951659999999997</v>
      </c>
      <c r="AB4180">
        <v>28</v>
      </c>
      <c r="AC4180">
        <v>-3.3786999999999998</v>
      </c>
      <c r="AD4180">
        <v>-1.1106860809600001</v>
      </c>
      <c r="AE4180">
        <v>-21.532900000000001</v>
      </c>
      <c r="AF4180">
        <v>2.9809897266912802</v>
      </c>
      <c r="AG4180">
        <v>-1.1106860809600001</v>
      </c>
      <c r="AH4180">
        <v>21.534563518622502</v>
      </c>
      <c r="AI4180">
        <v>92.924682788904803</v>
      </c>
      <c r="AJ4180">
        <v>82.118737886516598</v>
      </c>
      <c r="AK4180">
        <v>21.768264727778899</v>
      </c>
      <c r="AL4180">
        <v>79.551514549176801</v>
      </c>
      <c r="AM4180">
        <v>83.556261556414398</v>
      </c>
      <c r="AN4180">
        <v>0.99999995067443803</v>
      </c>
    </row>
    <row r="4181" spans="1:40" x14ac:dyDescent="0.25">
      <c r="A4181" t="str">
        <f>"20190312164110805"</f>
        <v>20190312164110805</v>
      </c>
      <c r="B4181" t="str">
        <f>"1552380070800264"</f>
        <v>1552380070800264</v>
      </c>
      <c r="C4181" t="s">
        <v>40</v>
      </c>
      <c r="D4181">
        <v>5.3644910000000001</v>
      </c>
      <c r="E4181">
        <v>0.51237600000000005</v>
      </c>
      <c r="F4181" t="s">
        <v>50</v>
      </c>
      <c r="G4181">
        <v>-193.97919999999999</v>
      </c>
      <c r="H4181" s="1">
        <v>-1.3786400000000001E-5</v>
      </c>
      <c r="I4181">
        <v>156.00839999999999</v>
      </c>
      <c r="J4181">
        <v>-191.0643</v>
      </c>
      <c r="K4181">
        <v>1.1106579999999999</v>
      </c>
      <c r="L4181">
        <v>175.38900000000001</v>
      </c>
      <c r="M4181">
        <v>-1.7902749999999999E-2</v>
      </c>
      <c r="N4181">
        <v>0</v>
      </c>
      <c r="O4181">
        <v>-0.99975510000000001</v>
      </c>
      <c r="P4181">
        <v>-0.12901840000000001</v>
      </c>
      <c r="Q4181">
        <v>0.16837859999999999</v>
      </c>
      <c r="R4181">
        <v>-0.97724250000000001</v>
      </c>
      <c r="S4181">
        <v>-0.45373540000000001</v>
      </c>
      <c r="T4181">
        <v>-0.17272409999999999</v>
      </c>
      <c r="U4181">
        <v>-3.0399630000000002</v>
      </c>
      <c r="V4181">
        <v>0.1114015</v>
      </c>
      <c r="W4181">
        <v>0.18116860000000001</v>
      </c>
      <c r="X4181">
        <v>0.97712209999999999</v>
      </c>
      <c r="Y4181">
        <v>0.12965689999999999</v>
      </c>
      <c r="Z4181">
        <v>5.6163289999999998E-2</v>
      </c>
      <c r="AA4181">
        <v>0.98996700000000004</v>
      </c>
      <c r="AB4181">
        <v>28</v>
      </c>
      <c r="AC4181">
        <v>-2.9148999999999798</v>
      </c>
      <c r="AD4181">
        <v>-1.1106717864</v>
      </c>
      <c r="AE4181">
        <v>-19.380600000000001</v>
      </c>
      <c r="AF4181">
        <v>2.55921815787883</v>
      </c>
      <c r="AG4181">
        <v>-1.1106717864</v>
      </c>
      <c r="AH4181">
        <v>19.367481816143801</v>
      </c>
      <c r="AI4181">
        <v>93.253936488953201</v>
      </c>
      <c r="AJ4181">
        <v>82.472548366129601</v>
      </c>
      <c r="AK4181">
        <v>19.567384630945998</v>
      </c>
      <c r="AL4181">
        <v>79.562164913234795</v>
      </c>
      <c r="AM4181">
        <v>83.495803360565702</v>
      </c>
      <c r="AN4181">
        <v>0.99999997706830901</v>
      </c>
    </row>
    <row r="4182" spans="1:40" x14ac:dyDescent="0.25">
      <c r="A4182" t="str">
        <f>"20190312164110825"</f>
        <v>20190312164110825</v>
      </c>
      <c r="B4182" t="str">
        <f>"1552380070820761"</f>
        <v>1552380070820761</v>
      </c>
      <c r="C4182" t="s">
        <v>40</v>
      </c>
      <c r="D4182">
        <v>5.3871219999999997</v>
      </c>
      <c r="E4182">
        <v>0.51101390000000002</v>
      </c>
      <c r="F4182" t="s">
        <v>50</v>
      </c>
      <c r="G4182">
        <v>-193.6591</v>
      </c>
      <c r="H4182" s="1">
        <v>-1.45137299999999E-5</v>
      </c>
      <c r="I4182">
        <v>157.7732</v>
      </c>
      <c r="J4182">
        <v>-191.06870000000001</v>
      </c>
      <c r="K4182">
        <v>1.1106339999999999</v>
      </c>
      <c r="L4182">
        <v>175.1277</v>
      </c>
      <c r="M4182">
        <v>-1.7656459999999999E-2</v>
      </c>
      <c r="N4182">
        <v>0</v>
      </c>
      <c r="O4182">
        <v>-0.99975769999999997</v>
      </c>
      <c r="P4182">
        <v>-0.13086159999999999</v>
      </c>
      <c r="Q4182">
        <v>0.16785919999999999</v>
      </c>
      <c r="R4182">
        <v>-0.97708669999999997</v>
      </c>
      <c r="S4182">
        <v>-0.4483337</v>
      </c>
      <c r="T4182">
        <v>-0.19190740000000001</v>
      </c>
      <c r="U4182">
        <v>-3.0437470000000002</v>
      </c>
      <c r="V4182">
        <v>0.11350200000000001</v>
      </c>
      <c r="W4182">
        <v>0.1807732</v>
      </c>
      <c r="X4182">
        <v>0.97695359999999998</v>
      </c>
      <c r="Y4182">
        <v>0.12794900000000001</v>
      </c>
      <c r="Z4182">
        <v>6.2316690000000001E-2</v>
      </c>
      <c r="AA4182">
        <v>0.98982099999999995</v>
      </c>
      <c r="AB4182">
        <v>28</v>
      </c>
      <c r="AC4182">
        <v>-2.5903999999999798</v>
      </c>
      <c r="AD4182">
        <v>-1.11064851373</v>
      </c>
      <c r="AE4182">
        <v>-17.354500000000002</v>
      </c>
      <c r="AF4182">
        <v>2.2744381931601798</v>
      </c>
      <c r="AG4182">
        <v>-1.11064851373</v>
      </c>
      <c r="AH4182">
        <v>17.3281112820688</v>
      </c>
      <c r="AI4182">
        <v>93.636262016572502</v>
      </c>
      <c r="AJ4182">
        <v>82.522267969626199</v>
      </c>
      <c r="AK4182">
        <v>17.511997310967001</v>
      </c>
      <c r="AL4182">
        <v>79.585200201212302</v>
      </c>
      <c r="AM4182">
        <v>83.373113157596705</v>
      </c>
      <c r="AN4182">
        <v>0.99999999519759997</v>
      </c>
    </row>
    <row r="4183" spans="1:40" x14ac:dyDescent="0.25">
      <c r="A4183" t="str">
        <f>"20190312164110848"</f>
        <v>20190312164110848</v>
      </c>
      <c r="B4183" t="str">
        <f>"1552380070840280"</f>
        <v>1552380070840280</v>
      </c>
      <c r="C4183" t="s">
        <v>40</v>
      </c>
      <c r="D4183">
        <v>5.3819059999999999</v>
      </c>
      <c r="E4183">
        <v>0.51082510000000003</v>
      </c>
      <c r="F4183" t="s">
        <v>50</v>
      </c>
      <c r="G4183">
        <v>-193.6516</v>
      </c>
      <c r="H4183" s="1">
        <v>-1.434744E-5</v>
      </c>
      <c r="I4183">
        <v>157.38399999999999</v>
      </c>
      <c r="J4183">
        <v>-191.07339999999999</v>
      </c>
      <c r="K4183">
        <v>1.110608</v>
      </c>
      <c r="L4183">
        <v>174.84549999999999</v>
      </c>
      <c r="M4183">
        <v>-1.743873E-2</v>
      </c>
      <c r="N4183">
        <v>0</v>
      </c>
      <c r="O4183">
        <v>-0.99975999999999998</v>
      </c>
      <c r="P4183">
        <v>-0.13304569999999999</v>
      </c>
      <c r="Q4183">
        <v>0.1674187</v>
      </c>
      <c r="R4183">
        <v>-0.97686740000000005</v>
      </c>
      <c r="S4183">
        <v>-0.44306950000000001</v>
      </c>
      <c r="T4183">
        <v>-0.1905192</v>
      </c>
      <c r="U4183">
        <v>-3.0437470000000002</v>
      </c>
      <c r="V4183">
        <v>0.1159183</v>
      </c>
      <c r="W4183">
        <v>0.1804463</v>
      </c>
      <c r="X4183">
        <v>0.97673030000000005</v>
      </c>
      <c r="Y4183">
        <v>0.12649270000000001</v>
      </c>
      <c r="Z4183">
        <v>6.1881510000000001E-2</v>
      </c>
      <c r="AA4183">
        <v>0.99003549999999996</v>
      </c>
      <c r="AB4183">
        <v>28</v>
      </c>
      <c r="AC4183">
        <v>-2.5781999999999998</v>
      </c>
      <c r="AD4183">
        <v>-1.1106223474400001</v>
      </c>
      <c r="AE4183">
        <v>-17.461500000000001</v>
      </c>
      <c r="AF4183">
        <v>2.2643099401625899</v>
      </c>
      <c r="AG4183">
        <v>-1.1106223474400001</v>
      </c>
      <c r="AH4183">
        <v>17.434781550199801</v>
      </c>
      <c r="AI4183">
        <v>93.614629156745295</v>
      </c>
      <c r="AJ4183">
        <v>82.600235361344005</v>
      </c>
      <c r="AK4183">
        <v>17.616247875383099</v>
      </c>
      <c r="AL4183">
        <v>79.604243401611299</v>
      </c>
      <c r="AM4183">
        <v>83.231798008343603</v>
      </c>
      <c r="AN4183">
        <v>0.99999999919833404</v>
      </c>
    </row>
    <row r="4184" spans="1:40" x14ac:dyDescent="0.25">
      <c r="A4184" t="str">
        <f>"20190312164110869"</f>
        <v>20190312164110869</v>
      </c>
      <c r="B4184" t="str">
        <f>"1552380070860777"</f>
        <v>1552380070860777</v>
      </c>
      <c r="C4184" t="s">
        <v>40</v>
      </c>
      <c r="D4184">
        <v>5.3532140000000004</v>
      </c>
      <c r="E4184">
        <v>0.51041130000000001</v>
      </c>
      <c r="F4184" t="s">
        <v>50</v>
      </c>
      <c r="G4184">
        <v>-193.51660000000001</v>
      </c>
      <c r="H4184" s="1">
        <v>-1.4628160000000001E-5</v>
      </c>
      <c r="I4184">
        <v>158.22790000000001</v>
      </c>
      <c r="J4184">
        <v>-191.0779</v>
      </c>
      <c r="K4184">
        <v>1.1105879999999999</v>
      </c>
      <c r="L4184">
        <v>174.5795</v>
      </c>
      <c r="M4184">
        <v>-1.727602E-2</v>
      </c>
      <c r="N4184">
        <v>0</v>
      </c>
      <c r="O4184">
        <v>-0.99976120000000002</v>
      </c>
      <c r="P4184">
        <v>-0.13477140000000001</v>
      </c>
      <c r="Q4184">
        <v>0.167904</v>
      </c>
      <c r="R4184">
        <v>-0.97654759999999996</v>
      </c>
      <c r="S4184">
        <v>-0.44767760000000001</v>
      </c>
      <c r="T4184">
        <v>-0.20350750000000001</v>
      </c>
      <c r="U4184">
        <v>-3.0449519999999999</v>
      </c>
      <c r="V4184">
        <v>0.11782289999999999</v>
      </c>
      <c r="W4184">
        <v>0.1810204</v>
      </c>
      <c r="X4184">
        <v>0.97639609999999999</v>
      </c>
      <c r="Y4184">
        <v>0.12802620000000001</v>
      </c>
      <c r="Z4184">
        <v>6.6042999999999893E-2</v>
      </c>
      <c r="AA4184">
        <v>0.98956940000000004</v>
      </c>
      <c r="AB4184">
        <v>28</v>
      </c>
      <c r="AC4184">
        <v>-2.4387000000000101</v>
      </c>
      <c r="AD4184">
        <v>-1.1106026281600001</v>
      </c>
      <c r="AE4184">
        <v>-16.351599999999902</v>
      </c>
      <c r="AF4184">
        <v>2.14613511038494</v>
      </c>
      <c r="AG4184">
        <v>-1.1106026281600001</v>
      </c>
      <c r="AH4184">
        <v>16.317656286330401</v>
      </c>
      <c r="AI4184">
        <v>93.860481968409005</v>
      </c>
      <c r="AJ4184">
        <v>82.507334787643302</v>
      </c>
      <c r="AK4184">
        <v>16.495612773962701</v>
      </c>
      <c r="AL4184">
        <v>79.570798962664796</v>
      </c>
      <c r="AM4184">
        <v>83.119317961514497</v>
      </c>
      <c r="AN4184">
        <v>0.99999998253788902</v>
      </c>
    </row>
    <row r="4185" spans="1:40" x14ac:dyDescent="0.25">
      <c r="A4185" t="str">
        <f>"20190312164110882"</f>
        <v>20190312164110882</v>
      </c>
      <c r="B4185" t="str">
        <f>"1552380070870536"</f>
        <v>1552380070870536</v>
      </c>
      <c r="C4185" t="s">
        <v>40</v>
      </c>
      <c r="D4185">
        <v>5.4537750000000003</v>
      </c>
      <c r="E4185">
        <v>0.51030390000000003</v>
      </c>
      <c r="F4185" t="s">
        <v>50</v>
      </c>
      <c r="G4185">
        <v>-193.4572</v>
      </c>
      <c r="H4185" s="1">
        <v>-1.46960299999999E-5</v>
      </c>
      <c r="I4185">
        <v>158.49770000000001</v>
      </c>
      <c r="J4185">
        <v>-191.0804</v>
      </c>
      <c r="K4185">
        <v>1.1105750000000001</v>
      </c>
      <c r="L4185">
        <v>174.42689999999999</v>
      </c>
      <c r="M4185">
        <v>-1.7198450000000001E-2</v>
      </c>
      <c r="N4185">
        <v>0</v>
      </c>
      <c r="O4185">
        <v>-0.99976189999999998</v>
      </c>
      <c r="P4185">
        <v>-0.1354534</v>
      </c>
      <c r="Q4185">
        <v>0.1683991</v>
      </c>
      <c r="R4185">
        <v>-0.97636789999999996</v>
      </c>
      <c r="S4185">
        <v>-0.45066830000000002</v>
      </c>
      <c r="T4185">
        <v>-0.21035609999999999</v>
      </c>
      <c r="U4185">
        <v>-3.0460050000000001</v>
      </c>
      <c r="V4185">
        <v>0.1185918</v>
      </c>
      <c r="W4185">
        <v>0.181561</v>
      </c>
      <c r="X4185">
        <v>0.97620260000000003</v>
      </c>
      <c r="Y4185">
        <v>0.1289833</v>
      </c>
      <c r="Z4185">
        <v>6.8223080000000005E-2</v>
      </c>
      <c r="AA4185">
        <v>0.98929719999999999</v>
      </c>
      <c r="AB4185">
        <v>28</v>
      </c>
      <c r="AC4185">
        <v>-2.3767999999999998</v>
      </c>
      <c r="AD4185">
        <v>-1.1105896960299999</v>
      </c>
      <c r="AE4185">
        <v>-15.9291999999999</v>
      </c>
      <c r="AF4185">
        <v>2.0925160906593998</v>
      </c>
      <c r="AG4185">
        <v>-1.1105896960299999</v>
      </c>
      <c r="AH4185">
        <v>15.8921563129662</v>
      </c>
      <c r="AI4185">
        <v>93.963396800345905</v>
      </c>
      <c r="AJ4185">
        <v>82.499028912771394</v>
      </c>
      <c r="AK4185">
        <v>16.0677523424513</v>
      </c>
      <c r="AL4185">
        <v>79.539302764246997</v>
      </c>
      <c r="AM4185">
        <v>83.073490642920603</v>
      </c>
      <c r="AN4185">
        <v>0.99999996399749902</v>
      </c>
    </row>
    <row r="4186" spans="1:40" x14ac:dyDescent="0.25">
      <c r="A4186" t="str">
        <f>"20190312164110893"</f>
        <v>20190312164110893</v>
      </c>
      <c r="B4186" t="str">
        <f>"1552380070890057"</f>
        <v>1552380070890057</v>
      </c>
      <c r="C4186" t="s">
        <v>40</v>
      </c>
      <c r="D4186">
        <v>5.4312379999999996</v>
      </c>
      <c r="E4186">
        <v>0.50995649999999904</v>
      </c>
      <c r="F4186" t="s">
        <v>42</v>
      </c>
      <c r="G4186">
        <v>-191.21950000000001</v>
      </c>
      <c r="H4186">
        <v>1.0452920000000001</v>
      </c>
      <c r="I4186">
        <v>173.4906</v>
      </c>
      <c r="J4186">
        <v>-191.0831</v>
      </c>
      <c r="K4186">
        <v>1.110565</v>
      </c>
      <c r="L4186">
        <v>174.2687</v>
      </c>
      <c r="M4186">
        <v>-1.7131739999999999E-2</v>
      </c>
      <c r="N4186">
        <v>0</v>
      </c>
      <c r="O4186">
        <v>-0.99976259999999995</v>
      </c>
      <c r="P4186">
        <v>-0.13638029999999901</v>
      </c>
      <c r="Q4186">
        <v>0.1691657</v>
      </c>
      <c r="R4186">
        <v>-0.97610649999999999</v>
      </c>
      <c r="S4186">
        <v>-0.45208739999999997</v>
      </c>
      <c r="T4186">
        <v>-0.2125177</v>
      </c>
      <c r="U4186">
        <v>-3.0465550000000001</v>
      </c>
      <c r="V4186">
        <v>0.1195962</v>
      </c>
      <c r="W4186">
        <v>0.18236840000000001</v>
      </c>
      <c r="X4186">
        <v>0.97592959999999995</v>
      </c>
      <c r="Y4186">
        <v>0.12946769999999999</v>
      </c>
      <c r="Z4186">
        <v>6.8904170000000001E-2</v>
      </c>
      <c r="AA4186">
        <v>0.98918669999999997</v>
      </c>
      <c r="AB4186">
        <v>28</v>
      </c>
      <c r="AC4186">
        <v>-0.13640000000000799</v>
      </c>
      <c r="AD4186">
        <v>-6.5272999999999901E-2</v>
      </c>
      <c r="AE4186">
        <v>-0.77809999999999402</v>
      </c>
      <c r="AF4186">
        <v>0.122214165674097</v>
      </c>
      <c r="AG4186">
        <v>-6.5272999999999901E-2</v>
      </c>
      <c r="AH4186">
        <v>0.77503136450133403</v>
      </c>
      <c r="AI4186">
        <v>94.755590967693394</v>
      </c>
      <c r="AJ4186">
        <v>81.038857209734005</v>
      </c>
      <c r="AK4186">
        <v>0.787318539589419</v>
      </c>
      <c r="AL4186">
        <v>79.492257464697403</v>
      </c>
      <c r="AM4186">
        <v>83.013469891496101</v>
      </c>
      <c r="AN4186">
        <v>1.0000000342645701</v>
      </c>
    </row>
    <row r="4187" spans="1:40" x14ac:dyDescent="0.25">
      <c r="A4187" t="str">
        <f>"20190312164110913"</f>
        <v>20190312164110913</v>
      </c>
      <c r="B4187" t="str">
        <f>"1552380070899816"</f>
        <v>1552380070899816</v>
      </c>
      <c r="C4187" t="s">
        <v>40</v>
      </c>
      <c r="D4187">
        <v>5.409268</v>
      </c>
      <c r="E4187">
        <v>0.50987590000000005</v>
      </c>
      <c r="F4187" t="s">
        <v>50</v>
      </c>
      <c r="G4187">
        <v>-193.40520000000001</v>
      </c>
      <c r="H4187" s="1">
        <v>-1.47294E-5</v>
      </c>
      <c r="I4187">
        <v>158.63030000000001</v>
      </c>
      <c r="J4187">
        <v>-191.08690000000001</v>
      </c>
      <c r="K4187">
        <v>1.110554</v>
      </c>
      <c r="L4187">
        <v>174.03579999999999</v>
      </c>
      <c r="M4187">
        <v>-1.7052999999999999E-2</v>
      </c>
      <c r="N4187">
        <v>0</v>
      </c>
      <c r="O4187">
        <v>-0.99976279999999995</v>
      </c>
      <c r="P4187">
        <v>-0.13842650000000001</v>
      </c>
      <c r="Q4187">
        <v>0.17118149999999999</v>
      </c>
      <c r="R4187">
        <v>-0.97546679999999997</v>
      </c>
      <c r="S4187">
        <v>-0.45256039999999997</v>
      </c>
      <c r="T4187">
        <v>-0.21643699999999999</v>
      </c>
      <c r="U4187">
        <v>-3.047714</v>
      </c>
      <c r="V4187">
        <v>0.12174</v>
      </c>
      <c r="W4187">
        <v>0.18443519999999999</v>
      </c>
      <c r="X4187">
        <v>0.97527589999999997</v>
      </c>
      <c r="Y4187">
        <v>0.12962870000000001</v>
      </c>
      <c r="Z4187">
        <v>7.0140980000000006E-2</v>
      </c>
      <c r="AA4187">
        <v>0.98907869999999998</v>
      </c>
      <c r="AB4187">
        <v>28</v>
      </c>
      <c r="AC4187">
        <v>-2.31829999999999</v>
      </c>
      <c r="AD4187">
        <v>-1.1105687294</v>
      </c>
      <c r="AE4187">
        <v>-15.4054999999999</v>
      </c>
      <c r="AF4187">
        <v>2.0448373534698998</v>
      </c>
      <c r="AG4187">
        <v>-1.1105687294</v>
      </c>
      <c r="AH4187">
        <v>15.3647172408819</v>
      </c>
      <c r="AI4187">
        <v>94.098165929721404</v>
      </c>
      <c r="AJ4187">
        <v>82.419249214871797</v>
      </c>
      <c r="AK4187">
        <v>15.539924665104399</v>
      </c>
      <c r="AL4187">
        <v>79.371795161601</v>
      </c>
      <c r="AM4187">
        <v>82.884787773301696</v>
      </c>
      <c r="AN4187">
        <v>1.00000002585992</v>
      </c>
    </row>
    <row r="4188" spans="1:40" x14ac:dyDescent="0.25">
      <c r="A4188" t="str">
        <f>"20190312164110926"</f>
        <v>20190312164110926</v>
      </c>
      <c r="B4188" t="str">
        <f>"1552380070920313"</f>
        <v>1552380070920313</v>
      </c>
      <c r="C4188" t="s">
        <v>40</v>
      </c>
      <c r="D4188">
        <v>5.4874879999999999</v>
      </c>
      <c r="E4188">
        <v>0.50963249999999904</v>
      </c>
      <c r="F4188" t="s">
        <v>50</v>
      </c>
      <c r="G4188">
        <v>-193.48480000000001</v>
      </c>
      <c r="H4188" s="1">
        <v>-1.4589879999999899E-5</v>
      </c>
      <c r="I4188">
        <v>158.07579999999999</v>
      </c>
      <c r="J4188">
        <v>-191.08959999999999</v>
      </c>
      <c r="K4188">
        <v>1.1105480000000001</v>
      </c>
      <c r="L4188">
        <v>173.8749</v>
      </c>
      <c r="M4188">
        <v>-1.7013230000000001E-2</v>
      </c>
      <c r="N4188">
        <v>0</v>
      </c>
      <c r="O4188">
        <v>-0.99976299999999996</v>
      </c>
      <c r="P4188">
        <v>-0.1397349</v>
      </c>
      <c r="Q4188">
        <v>0.17227809999999999</v>
      </c>
      <c r="R4188">
        <v>-0.97508720000000004</v>
      </c>
      <c r="S4188">
        <v>-0.45788570000000001</v>
      </c>
      <c r="T4188">
        <v>-0.2120726</v>
      </c>
      <c r="U4188">
        <v>-3.0476990000000002</v>
      </c>
      <c r="V4188">
        <v>0.1231</v>
      </c>
      <c r="W4188">
        <v>0.18556310000000001</v>
      </c>
      <c r="X4188">
        <v>0.97489110000000001</v>
      </c>
      <c r="Y4188">
        <v>0.13137380000000001</v>
      </c>
      <c r="Z4188">
        <v>6.8717109999999998E-2</v>
      </c>
      <c r="AA4188">
        <v>0.9889483</v>
      </c>
      <c r="AB4188">
        <v>28</v>
      </c>
      <c r="AC4188">
        <v>-2.3952000000000102</v>
      </c>
      <c r="AD4188">
        <v>-1.11056258987999</v>
      </c>
      <c r="AE4188">
        <v>-15.799099999999999</v>
      </c>
      <c r="AF4188">
        <v>2.11581522625114</v>
      </c>
      <c r="AG4188">
        <v>-1.11056258987999</v>
      </c>
      <c r="AH4188">
        <v>15.761438015082399</v>
      </c>
      <c r="AI4188">
        <v>93.994726886162795</v>
      </c>
      <c r="AJ4188">
        <v>82.3543226851301</v>
      </c>
      <c r="AK4188">
        <v>15.941547968781601</v>
      </c>
      <c r="AL4188">
        <v>79.306035509206396</v>
      </c>
      <c r="AM4188">
        <v>82.8033197459159</v>
      </c>
      <c r="AN4188">
        <v>0.99999996547040904</v>
      </c>
    </row>
    <row r="4189" spans="1:40" x14ac:dyDescent="0.25">
      <c r="A4189" t="str">
        <f>"20190312164110948"</f>
        <v>20190312164110948</v>
      </c>
      <c r="B4189" t="str">
        <f>"1552380070940809"</f>
        <v>1552380070940809</v>
      </c>
      <c r="C4189" t="s">
        <v>40</v>
      </c>
      <c r="D4189">
        <v>5.5339130000000001</v>
      </c>
      <c r="E4189">
        <v>0.50951570000000002</v>
      </c>
      <c r="F4189" t="s">
        <v>50</v>
      </c>
      <c r="G4189">
        <v>-193.47620000000001</v>
      </c>
      <c r="H4189" s="1">
        <v>-1.458217E-5</v>
      </c>
      <c r="I4189">
        <v>158.04519999999999</v>
      </c>
      <c r="J4189">
        <v>-191.0943</v>
      </c>
      <c r="K4189">
        <v>1.110547</v>
      </c>
      <c r="L4189">
        <v>173.5976</v>
      </c>
      <c r="M4189">
        <v>-1.696924E-2</v>
      </c>
      <c r="N4189">
        <v>0</v>
      </c>
      <c r="O4189">
        <v>-0.99976279999999995</v>
      </c>
      <c r="P4189">
        <v>-0.14214869999999999</v>
      </c>
      <c r="Q4189">
        <v>0.1741386</v>
      </c>
      <c r="R4189">
        <v>-0.97440749999999998</v>
      </c>
      <c r="S4189">
        <v>-0.45962520000000001</v>
      </c>
      <c r="T4189">
        <v>-0.21387919999999999</v>
      </c>
      <c r="U4189">
        <v>-3.048584</v>
      </c>
      <c r="V4189">
        <v>0.12557860000000001</v>
      </c>
      <c r="W4189">
        <v>0.1874702</v>
      </c>
      <c r="X4189">
        <v>0.97420989999999996</v>
      </c>
      <c r="Y4189">
        <v>0.13192129999999999</v>
      </c>
      <c r="Z4189">
        <v>6.9274520000000006E-2</v>
      </c>
      <c r="AA4189">
        <v>0.98883659999999995</v>
      </c>
      <c r="AB4189">
        <v>28</v>
      </c>
      <c r="AC4189">
        <v>-2.3818999999999999</v>
      </c>
      <c r="AD4189">
        <v>-1.1105615821699999</v>
      </c>
      <c r="AE4189">
        <v>-15.5524</v>
      </c>
      <c r="AF4189">
        <v>2.1071218580334499</v>
      </c>
      <c r="AG4189">
        <v>-1.1105615821699999</v>
      </c>
      <c r="AH4189">
        <v>15.5132926692333</v>
      </c>
      <c r="AI4189">
        <v>94.057558538285406</v>
      </c>
      <c r="AJ4189">
        <v>82.265029622028493</v>
      </c>
      <c r="AK4189">
        <v>15.6950807259371</v>
      </c>
      <c r="AL4189">
        <v>79.194815307668904</v>
      </c>
      <c r="AM4189">
        <v>82.654904186595104</v>
      </c>
      <c r="AN4189">
        <v>0.99999999496200398</v>
      </c>
    </row>
    <row r="4190" spans="1:40" x14ac:dyDescent="0.25">
      <c r="A4190" t="str">
        <f>"20190312164110970"</f>
        <v>20190312164110970</v>
      </c>
      <c r="B4190" t="str">
        <f>"1552380070960332"</f>
        <v>1552380070960332</v>
      </c>
      <c r="C4190" t="s">
        <v>40</v>
      </c>
      <c r="D4190">
        <v>5.4515079999999996</v>
      </c>
      <c r="E4190">
        <v>0.50920390000000004</v>
      </c>
      <c r="F4190" t="s">
        <v>50</v>
      </c>
      <c r="G4190">
        <v>-193.53120000000001</v>
      </c>
      <c r="H4190" s="1">
        <v>-1.44341299999999E-5</v>
      </c>
      <c r="I4190">
        <v>157.61089999999999</v>
      </c>
      <c r="J4190">
        <v>-191.09870000000001</v>
      </c>
      <c r="K4190">
        <v>1.110544</v>
      </c>
      <c r="L4190">
        <v>173.3389</v>
      </c>
      <c r="M4190">
        <v>-1.6951259999999999E-2</v>
      </c>
      <c r="N4190">
        <v>0</v>
      </c>
      <c r="O4190">
        <v>-0.99976229999999999</v>
      </c>
      <c r="P4190">
        <v>-0.14405989999999999</v>
      </c>
      <c r="Q4190">
        <v>0.17559240000000001</v>
      </c>
      <c r="R4190">
        <v>-0.97386569999999995</v>
      </c>
      <c r="S4190">
        <v>-0.4647522</v>
      </c>
      <c r="T4190">
        <v>-0.21179890000000001</v>
      </c>
      <c r="U4190">
        <v>-3.0488740000000001</v>
      </c>
      <c r="V4190">
        <v>0.12752520000000001</v>
      </c>
      <c r="W4190">
        <v>0.18896080000000001</v>
      </c>
      <c r="X4190">
        <v>0.97366889999999995</v>
      </c>
      <c r="Y4190">
        <v>0.1335577</v>
      </c>
      <c r="Z4190">
        <v>6.8581439999999994E-2</v>
      </c>
      <c r="AA4190">
        <v>0.98866520000000002</v>
      </c>
      <c r="AB4190">
        <v>28</v>
      </c>
      <c r="AC4190">
        <v>-2.4325000000000001</v>
      </c>
      <c r="AD4190">
        <v>-1.1105584341300001</v>
      </c>
      <c r="AE4190">
        <v>-15.728</v>
      </c>
      <c r="AF4190">
        <v>2.1550224126366699</v>
      </c>
      <c r="AG4190">
        <v>-1.1105584341300001</v>
      </c>
      <c r="AH4190">
        <v>15.6905748448367</v>
      </c>
      <c r="AI4190">
        <v>94.011038942775201</v>
      </c>
      <c r="AJ4190">
        <v>82.179638258555599</v>
      </c>
      <c r="AK4190">
        <v>15.876762913012399</v>
      </c>
      <c r="AL4190">
        <v>79.107856038067794</v>
      </c>
      <c r="AM4190">
        <v>82.538222473689601</v>
      </c>
      <c r="AN4190">
        <v>0.99999999369944403</v>
      </c>
    </row>
    <row r="4191" spans="1:40" x14ac:dyDescent="0.25">
      <c r="A4191" t="str">
        <f>"20190312164110981"</f>
        <v>20190312164110981</v>
      </c>
      <c r="B4191" t="str">
        <f>"1552380070970089"</f>
        <v>1552380070970089</v>
      </c>
      <c r="C4191" t="s">
        <v>40</v>
      </c>
      <c r="D4191">
        <v>5.3530720000000001</v>
      </c>
      <c r="E4191">
        <v>0.50905069999999997</v>
      </c>
      <c r="F4191" t="s">
        <v>50</v>
      </c>
      <c r="G4191">
        <v>-193.6481</v>
      </c>
      <c r="H4191" s="1">
        <v>-1.407321E-5</v>
      </c>
      <c r="I4191">
        <v>156.74549999999999</v>
      </c>
      <c r="J4191">
        <v>-191.10120000000001</v>
      </c>
      <c r="K4191">
        <v>1.110538</v>
      </c>
      <c r="L4191">
        <v>173.19040000000001</v>
      </c>
      <c r="M4191">
        <v>-1.6948930000000001E-2</v>
      </c>
      <c r="N4191">
        <v>0</v>
      </c>
      <c r="O4191">
        <v>-0.99976229999999999</v>
      </c>
      <c r="P4191">
        <v>-0.14498800000000001</v>
      </c>
      <c r="Q4191">
        <v>0.1761934</v>
      </c>
      <c r="R4191">
        <v>-0.97361949999999997</v>
      </c>
      <c r="S4191">
        <v>-0.46830749999999999</v>
      </c>
      <c r="T4191">
        <v>-0.20399680000000001</v>
      </c>
      <c r="U4191">
        <v>-3.048019</v>
      </c>
      <c r="V4191">
        <v>0.12846440000000001</v>
      </c>
      <c r="W4191">
        <v>0.18958130000000001</v>
      </c>
      <c r="X4191">
        <v>0.97342479999999998</v>
      </c>
      <c r="Y4191">
        <v>0.1347537</v>
      </c>
      <c r="Z4191">
        <v>6.6073489999999999E-2</v>
      </c>
      <c r="AA4191">
        <v>0.98867369999999999</v>
      </c>
      <c r="AB4191">
        <v>28</v>
      </c>
      <c r="AC4191">
        <v>-2.5468999999999902</v>
      </c>
      <c r="AD4191">
        <v>-1.11055207321</v>
      </c>
      <c r="AE4191">
        <v>-16.444900000000001</v>
      </c>
      <c r="AF4191">
        <v>2.2577291565330002</v>
      </c>
      <c r="AG4191">
        <v>-1.11055207321</v>
      </c>
      <c r="AH4191">
        <v>16.412611740716699</v>
      </c>
      <c r="AI4191">
        <v>93.834987604054703</v>
      </c>
      <c r="AJ4191">
        <v>82.167514320007498</v>
      </c>
      <c r="AK4191">
        <v>16.604351568281199</v>
      </c>
      <c r="AL4191">
        <v>79.071649709299294</v>
      </c>
      <c r="AM4191">
        <v>82.482030653344196</v>
      </c>
      <c r="AN4191">
        <v>1.0000000063160399</v>
      </c>
    </row>
    <row r="4192" spans="1:40" x14ac:dyDescent="0.25">
      <c r="A4192" t="str">
        <f>"20190312164111003"</f>
        <v>20190312164111003</v>
      </c>
      <c r="B4192" t="str">
        <f>"1552380070990584"</f>
        <v>1552380070990584</v>
      </c>
      <c r="C4192" t="s">
        <v>40</v>
      </c>
      <c r="D4192">
        <v>5.5274720000000004</v>
      </c>
      <c r="E4192">
        <v>0.50884050000000003</v>
      </c>
      <c r="F4192" t="s">
        <v>50</v>
      </c>
      <c r="G4192">
        <v>-193.6978</v>
      </c>
      <c r="H4192" s="1">
        <v>-1.391101E-5</v>
      </c>
      <c r="I4192">
        <v>156.3571</v>
      </c>
      <c r="J4192">
        <v>-191.10570000000001</v>
      </c>
      <c r="K4192">
        <v>1.110528</v>
      </c>
      <c r="L4192">
        <v>172.92570000000001</v>
      </c>
      <c r="M4192">
        <v>-1.6967110000000001E-2</v>
      </c>
      <c r="N4192">
        <v>0</v>
      </c>
      <c r="O4192">
        <v>-0.99976129999999996</v>
      </c>
      <c r="P4192">
        <v>-0.14689769999999999</v>
      </c>
      <c r="Q4192">
        <v>0.17690049999999999</v>
      </c>
      <c r="R4192">
        <v>-0.97320490000000004</v>
      </c>
      <c r="S4192">
        <v>-0.47012330000000002</v>
      </c>
      <c r="T4192">
        <v>-0.2010652</v>
      </c>
      <c r="U4192">
        <v>-3.0476679999999998</v>
      </c>
      <c r="V4192">
        <v>0.1303723</v>
      </c>
      <c r="W4192">
        <v>0.19031770000000001</v>
      </c>
      <c r="X4192">
        <v>0.97302730000000004</v>
      </c>
      <c r="Y4192">
        <v>0.13533770000000001</v>
      </c>
      <c r="Z4192">
        <v>6.5129889999999996E-2</v>
      </c>
      <c r="AA4192">
        <v>0.9886566</v>
      </c>
      <c r="AB4192">
        <v>28</v>
      </c>
      <c r="AC4192">
        <v>-2.5920999999999799</v>
      </c>
      <c r="AD4192">
        <v>-1.1105419110100001</v>
      </c>
      <c r="AE4192">
        <v>-16.5686</v>
      </c>
      <c r="AF4192">
        <v>2.3004906179244502</v>
      </c>
      <c r="AG4192">
        <v>-1.1105419110100001</v>
      </c>
      <c r="AH4192">
        <v>16.5376768435254</v>
      </c>
      <c r="AI4192">
        <v>93.8052406500735</v>
      </c>
      <c r="AJ4192">
        <v>82.0806316817999</v>
      </c>
      <c r="AK4192">
        <v>16.733807570309398</v>
      </c>
      <c r="AL4192">
        <v>79.028674006674194</v>
      </c>
      <c r="AM4192">
        <v>82.368602639048802</v>
      </c>
      <c r="AN4192">
        <v>0.99999994504293299</v>
      </c>
    </row>
    <row r="4193" spans="1:40" x14ac:dyDescent="0.25">
      <c r="A4193" t="str">
        <f>"20190312164111026"</f>
        <v>20190312164111026</v>
      </c>
      <c r="B4193" t="str">
        <f>"1552380071019865"</f>
        <v>1552380071019865</v>
      </c>
      <c r="C4193" t="s">
        <v>40</v>
      </c>
      <c r="D4193">
        <v>5.5398040000000002</v>
      </c>
      <c r="E4193">
        <v>0.50836859999999995</v>
      </c>
      <c r="F4193" t="s">
        <v>50</v>
      </c>
      <c r="G4193">
        <v>-193.7756</v>
      </c>
      <c r="H4193" s="1">
        <v>-1.36655E-5</v>
      </c>
      <c r="I4193">
        <v>155.7687</v>
      </c>
      <c r="J4193">
        <v>-191.11060000000001</v>
      </c>
      <c r="K4193">
        <v>1.1105039999999999</v>
      </c>
      <c r="L4193">
        <v>172.636</v>
      </c>
      <c r="M4193">
        <v>-1.7029740000000002E-2</v>
      </c>
      <c r="N4193">
        <v>0</v>
      </c>
      <c r="O4193">
        <v>-0.99975970000000003</v>
      </c>
      <c r="P4193">
        <v>-0.14901020000000001</v>
      </c>
      <c r="Q4193">
        <v>0.1766684</v>
      </c>
      <c r="R4193">
        <v>-0.97292579999999995</v>
      </c>
      <c r="S4193">
        <v>-0.47415160000000001</v>
      </c>
      <c r="T4193">
        <v>-0.19721820000000001</v>
      </c>
      <c r="U4193">
        <v>-3.046875</v>
      </c>
      <c r="V4193">
        <v>0.13244120000000001</v>
      </c>
      <c r="W4193">
        <v>0.19011120000000001</v>
      </c>
      <c r="X4193">
        <v>0.97278830000000005</v>
      </c>
      <c r="Y4193">
        <v>0.136603</v>
      </c>
      <c r="Z4193">
        <v>6.3893229999999995E-2</v>
      </c>
      <c r="AA4193">
        <v>0.98856319999999998</v>
      </c>
      <c r="AB4193">
        <v>28</v>
      </c>
      <c r="AC4193">
        <v>-2.6649999999999898</v>
      </c>
      <c r="AD4193">
        <v>-1.1105176655</v>
      </c>
      <c r="AE4193">
        <v>-16.8673</v>
      </c>
      <c r="AF4193">
        <v>2.3673286052064801</v>
      </c>
      <c r="AG4193">
        <v>-1.1105176655</v>
      </c>
      <c r="AH4193">
        <v>16.839027571720301</v>
      </c>
      <c r="AI4193">
        <v>93.7364992274629</v>
      </c>
      <c r="AJ4193">
        <v>81.997472117549293</v>
      </c>
      <c r="AK4193">
        <v>17.040843399655198</v>
      </c>
      <c r="AL4193">
        <v>79.040726318289501</v>
      </c>
      <c r="AM4193">
        <v>82.247078418108003</v>
      </c>
      <c r="AN4193">
        <v>1.0000000082198801</v>
      </c>
    </row>
    <row r="4194" spans="1:40" x14ac:dyDescent="0.25">
      <c r="A4194" t="str">
        <f>"20190312164111049"</f>
        <v>20190312164111049</v>
      </c>
      <c r="B4194" t="str">
        <f>"1552380071040360"</f>
        <v>1552380071040360</v>
      </c>
      <c r="C4194" t="s">
        <v>40</v>
      </c>
      <c r="D4194">
        <v>5.536486</v>
      </c>
      <c r="E4194">
        <v>0.50811419999999996</v>
      </c>
      <c r="F4194" t="s">
        <v>50</v>
      </c>
      <c r="G4194">
        <v>-193.65100000000001</v>
      </c>
      <c r="H4194" s="1">
        <v>-1.3917779999999899E-5</v>
      </c>
      <c r="I4194">
        <v>156.3826</v>
      </c>
      <c r="J4194">
        <v>-191.11539999999999</v>
      </c>
      <c r="K4194">
        <v>1.110473</v>
      </c>
      <c r="L4194">
        <v>172.35890000000001</v>
      </c>
      <c r="M4194">
        <v>-1.714104E-2</v>
      </c>
      <c r="N4194">
        <v>0</v>
      </c>
      <c r="O4194">
        <v>-0.99975729999999996</v>
      </c>
      <c r="P4194">
        <v>-0.15102839999999901</v>
      </c>
      <c r="Q4194">
        <v>0.1762194</v>
      </c>
      <c r="R4194">
        <v>-0.97269620000000001</v>
      </c>
      <c r="S4194">
        <v>-0.47644039999999999</v>
      </c>
      <c r="T4194">
        <v>-0.20827760000000001</v>
      </c>
      <c r="U4194">
        <v>-3.04834</v>
      </c>
      <c r="V4194">
        <v>0.1343712</v>
      </c>
      <c r="W4194">
        <v>0.18967819999999999</v>
      </c>
      <c r="X4194">
        <v>0.97260809999999998</v>
      </c>
      <c r="Y4194">
        <v>0.13710929999999999</v>
      </c>
      <c r="Z4194">
        <v>6.7421850000000005E-2</v>
      </c>
      <c r="AA4194">
        <v>0.98825870000000005</v>
      </c>
      <c r="AB4194">
        <v>28</v>
      </c>
      <c r="AC4194">
        <v>-2.5355999999999801</v>
      </c>
      <c r="AD4194">
        <v>-1.1104869177800001</v>
      </c>
      <c r="AE4194">
        <v>-15.9763</v>
      </c>
      <c r="AF4194">
        <v>2.2507436773673399</v>
      </c>
      <c r="AG4194">
        <v>-1.1104869177800001</v>
      </c>
      <c r="AH4194">
        <v>15.9422879637248</v>
      </c>
      <c r="AI4194">
        <v>93.945595478874907</v>
      </c>
      <c r="AJ4194">
        <v>81.964050629707302</v>
      </c>
      <c r="AK4194">
        <v>16.138636058046998</v>
      </c>
      <c r="AL4194">
        <v>79.065994831878896</v>
      </c>
      <c r="AM4194">
        <v>82.134063858465495</v>
      </c>
      <c r="AN4194">
        <v>0.99999997756514403</v>
      </c>
    </row>
    <row r="4195" spans="1:40" x14ac:dyDescent="0.25">
      <c r="A4195" t="str">
        <f>"20190312164111070"</f>
        <v>20190312164111070</v>
      </c>
      <c r="B4195" t="str">
        <f>"1552380071059880"</f>
        <v>1552380071059880</v>
      </c>
      <c r="C4195" t="s">
        <v>40</v>
      </c>
      <c r="D4195">
        <v>5.3926850000000002</v>
      </c>
      <c r="E4195">
        <v>0.50762600000000002</v>
      </c>
      <c r="F4195" t="s">
        <v>50</v>
      </c>
      <c r="G4195">
        <v>-193.6283</v>
      </c>
      <c r="H4195" s="1">
        <v>-1.3929089999999999E-5</v>
      </c>
      <c r="I4195">
        <v>156.4136</v>
      </c>
      <c r="J4195">
        <v>-191.12</v>
      </c>
      <c r="K4195">
        <v>1.11043799999999</v>
      </c>
      <c r="L4195">
        <v>172.1002</v>
      </c>
      <c r="M4195">
        <v>-1.7307389999999999E-2</v>
      </c>
      <c r="N4195">
        <v>0</v>
      </c>
      <c r="O4195">
        <v>-0.99975420000000004</v>
      </c>
      <c r="P4195">
        <v>-0.15428919999999999</v>
      </c>
      <c r="Q4195">
        <v>0.17588999999999999</v>
      </c>
      <c r="R4195">
        <v>-0.97224379999999999</v>
      </c>
      <c r="S4195">
        <v>-0.48034670000000002</v>
      </c>
      <c r="T4195">
        <v>-0.2122811</v>
      </c>
      <c r="U4195">
        <v>-3.048111</v>
      </c>
      <c r="V4195">
        <v>0.13749819999999999</v>
      </c>
      <c r="W4195">
        <v>0.1893523</v>
      </c>
      <c r="X4195">
        <v>0.9722345</v>
      </c>
      <c r="Y4195">
        <v>0.1381782</v>
      </c>
      <c r="Z4195">
        <v>6.8704609999999999E-2</v>
      </c>
      <c r="AA4195">
        <v>0.9880215</v>
      </c>
      <c r="AB4195">
        <v>28</v>
      </c>
      <c r="AC4195">
        <v>-2.50829999999999</v>
      </c>
      <c r="AD4195">
        <v>-1.1104519290899999</v>
      </c>
      <c r="AE4195">
        <v>-15.6866</v>
      </c>
      <c r="AF4195">
        <v>2.2255295198409999</v>
      </c>
      <c r="AG4195">
        <v>-1.1104519290899999</v>
      </c>
      <c r="AH4195">
        <v>15.6511903255506</v>
      </c>
      <c r="AI4195">
        <v>94.018050865872596</v>
      </c>
      <c r="AJ4195">
        <v>81.907049777471002</v>
      </c>
      <c r="AK4195">
        <v>15.847581636865399</v>
      </c>
      <c r="AL4195">
        <v>79.085012253744793</v>
      </c>
      <c r="AM4195">
        <v>81.950332053007003</v>
      </c>
      <c r="AN4195">
        <v>0.99999998575438998</v>
      </c>
    </row>
    <row r="4196" spans="1:40" x14ac:dyDescent="0.25">
      <c r="A4196" t="str">
        <f>"20190312164111092"</f>
        <v>20190312164111092</v>
      </c>
      <c r="B4196" t="str">
        <f>"1552380071080376"</f>
        <v>1552380071080376</v>
      </c>
      <c r="C4196" t="s">
        <v>40</v>
      </c>
      <c r="D4196">
        <v>5.6655430000000004</v>
      </c>
      <c r="E4196">
        <v>0.50767949999999995</v>
      </c>
      <c r="F4196" t="s">
        <v>50</v>
      </c>
      <c r="G4196">
        <v>-193.6104</v>
      </c>
      <c r="H4196" s="1">
        <v>-1.3952139999999999E-5</v>
      </c>
      <c r="I4196">
        <v>156.471</v>
      </c>
      <c r="J4196">
        <v>-191.1249</v>
      </c>
      <c r="K4196">
        <v>1.1103860000000001</v>
      </c>
      <c r="L4196">
        <v>171.8329</v>
      </c>
      <c r="M4196">
        <v>-1.7559140000000001E-2</v>
      </c>
      <c r="N4196">
        <v>0</v>
      </c>
      <c r="O4196">
        <v>-0.99974949999999996</v>
      </c>
      <c r="P4196">
        <v>-0.15795049999999999</v>
      </c>
      <c r="Q4196">
        <v>0.17665069999999999</v>
      </c>
      <c r="R4196">
        <v>-0.97151790000000005</v>
      </c>
      <c r="S4196">
        <v>-0.4856415</v>
      </c>
      <c r="T4196">
        <v>-0.21654390000000001</v>
      </c>
      <c r="U4196">
        <v>-3.0477599999999998</v>
      </c>
      <c r="V4196">
        <v>0.140954</v>
      </c>
      <c r="W4196">
        <v>0.1901042</v>
      </c>
      <c r="X4196">
        <v>0.97159269999999998</v>
      </c>
      <c r="Y4196">
        <v>0.1396057</v>
      </c>
      <c r="Z4196">
        <v>7.0068489999999997E-2</v>
      </c>
      <c r="AA4196">
        <v>0.98772499999999996</v>
      </c>
      <c r="AB4196">
        <v>27</v>
      </c>
      <c r="AC4196">
        <v>-2.4855</v>
      </c>
      <c r="AD4196">
        <v>-1.1103999521400001</v>
      </c>
      <c r="AE4196">
        <v>-15.361899999999901</v>
      </c>
      <c r="AF4196">
        <v>2.2041266687647401</v>
      </c>
      <c r="AG4196">
        <v>-1.1103999521400001</v>
      </c>
      <c r="AH4196">
        <v>15.325150493060001</v>
      </c>
      <c r="AI4196">
        <v>94.102120648976097</v>
      </c>
      <c r="AJ4196">
        <v>81.815607965404396</v>
      </c>
      <c r="AK4196">
        <v>15.522609318687699</v>
      </c>
      <c r="AL4196">
        <v>79.041134812357001</v>
      </c>
      <c r="AM4196">
        <v>81.745393201773098</v>
      </c>
      <c r="AN4196">
        <v>1.0000000058334599</v>
      </c>
    </row>
    <row r="4197" spans="1:40" x14ac:dyDescent="0.25">
      <c r="A4197" t="str">
        <f>"20190312164111104"</f>
        <v>20190312164111104</v>
      </c>
      <c r="B4197" t="str">
        <f>"1552380071099896"</f>
        <v>1552380071099896</v>
      </c>
      <c r="C4197" t="s">
        <v>40</v>
      </c>
      <c r="D4197">
        <v>5.700577</v>
      </c>
      <c r="E4197">
        <v>0.53956019999999905</v>
      </c>
      <c r="F4197" t="s">
        <v>50</v>
      </c>
      <c r="G4197">
        <v>-193.71629999999999</v>
      </c>
      <c r="H4197" s="1">
        <v>-1.37377399999999E-5</v>
      </c>
      <c r="I4197">
        <v>155.9494</v>
      </c>
      <c r="J4197">
        <v>-191.12790000000001</v>
      </c>
      <c r="K4197">
        <v>1.1103529999999999</v>
      </c>
      <c r="L4197">
        <v>171.67670000000001</v>
      </c>
      <c r="M4197">
        <v>-1.7749729999999998E-2</v>
      </c>
      <c r="N4197">
        <v>0</v>
      </c>
      <c r="O4197">
        <v>-0.99974600000000002</v>
      </c>
      <c r="P4197">
        <v>-0.159744</v>
      </c>
      <c r="Q4197">
        <v>0.17702979999999999</v>
      </c>
      <c r="R4197">
        <v>-0.9711554</v>
      </c>
      <c r="S4197">
        <v>-0.49693300000000001</v>
      </c>
      <c r="T4197">
        <v>-0.2129325</v>
      </c>
      <c r="U4197">
        <v>-3.045868</v>
      </c>
      <c r="V4197">
        <v>0.14258660000000001</v>
      </c>
      <c r="W4197">
        <v>0.1904759</v>
      </c>
      <c r="X4197">
        <v>0.97128159999999997</v>
      </c>
      <c r="Y4197">
        <v>0.1430932</v>
      </c>
      <c r="Z4197">
        <v>6.8909940000000003E-2</v>
      </c>
      <c r="AA4197">
        <v>0.9873073</v>
      </c>
      <c r="AB4197">
        <v>27</v>
      </c>
      <c r="AC4197">
        <v>-2.5883999999999698</v>
      </c>
      <c r="AD4197">
        <v>-1.1103667377399999</v>
      </c>
      <c r="AE4197">
        <v>-15.7273</v>
      </c>
      <c r="AF4197">
        <v>2.2976591685035199</v>
      </c>
      <c r="AG4197">
        <v>-1.1103667377399999</v>
      </c>
      <c r="AH4197">
        <v>15.694602526202999</v>
      </c>
      <c r="AI4197">
        <v>94.004294890864799</v>
      </c>
      <c r="AJ4197">
        <v>81.671175632514803</v>
      </c>
      <c r="AK4197">
        <v>15.9007138331077</v>
      </c>
      <c r="AL4197">
        <v>79.019441267246606</v>
      </c>
      <c r="AM4197">
        <v>81.648487875728605</v>
      </c>
      <c r="AN4197">
        <v>0.99999997673946395</v>
      </c>
    </row>
    <row r="4198" spans="1:40" x14ac:dyDescent="0.25">
      <c r="A4198" t="str">
        <f>"20190312164111116"</f>
        <v>20190312164111116</v>
      </c>
      <c r="B4198" t="str">
        <f>"1552380071110633"</f>
        <v>1552380071110633</v>
      </c>
      <c r="C4198" t="s">
        <v>40</v>
      </c>
      <c r="D4198">
        <v>6.1232709999999999</v>
      </c>
      <c r="E4198">
        <v>0.57551799999999997</v>
      </c>
      <c r="F4198" t="s">
        <v>50</v>
      </c>
      <c r="G4198">
        <v>-197.99379999999999</v>
      </c>
      <c r="H4198" s="1">
        <v>-1.0702080000000001E-5</v>
      </c>
      <c r="I4198">
        <v>144.6506</v>
      </c>
      <c r="J4198">
        <v>-191.13079999999999</v>
      </c>
      <c r="K4198">
        <v>1.1103179999999999</v>
      </c>
      <c r="L4198">
        <v>171.52619999999999</v>
      </c>
      <c r="M4198">
        <v>-1.7956699999999999E-2</v>
      </c>
      <c r="N4198">
        <v>0</v>
      </c>
      <c r="O4198">
        <v>-0.99974189999999996</v>
      </c>
      <c r="P4198">
        <v>-0.1621224</v>
      </c>
      <c r="Q4198">
        <v>0.17773710000000001</v>
      </c>
      <c r="R4198">
        <v>-0.9706321</v>
      </c>
      <c r="S4198">
        <v>-0.7587585</v>
      </c>
      <c r="T4198">
        <v>-0.12270590000000001</v>
      </c>
      <c r="U4198">
        <v>-2.9866489999999999</v>
      </c>
      <c r="V4198">
        <v>0.14479139999999999</v>
      </c>
      <c r="W4198">
        <v>0.19117139999999999</v>
      </c>
      <c r="X4198">
        <v>0.97081870000000003</v>
      </c>
      <c r="Y4198">
        <v>0.2285876</v>
      </c>
      <c r="Z4198">
        <v>3.9864749999999997E-2</v>
      </c>
      <c r="AA4198">
        <v>0.97270679999999998</v>
      </c>
      <c r="AB4198">
        <v>27</v>
      </c>
      <c r="AC4198">
        <v>-6.8630000000000004</v>
      </c>
      <c r="AD4198">
        <v>-1.1103287020799999</v>
      </c>
      <c r="AE4198">
        <v>-26.875599999999899</v>
      </c>
      <c r="AF4198">
        <v>6.3690440978852196</v>
      </c>
      <c r="AG4198">
        <v>-1.1103287020799999</v>
      </c>
      <c r="AH4198">
        <v>26.951329754716799</v>
      </c>
      <c r="AI4198">
        <v>92.295943906594005</v>
      </c>
      <c r="AJ4198">
        <v>76.703987149530306</v>
      </c>
      <c r="AK4198">
        <v>27.715911099852999</v>
      </c>
      <c r="AL4198">
        <v>78.97884635778</v>
      </c>
      <c r="AM4198">
        <v>81.517228537118299</v>
      </c>
      <c r="AN4198">
        <v>1.0000000009808001</v>
      </c>
    </row>
    <row r="4199" spans="1:40" x14ac:dyDescent="0.25">
      <c r="A4199" t="str">
        <f>"20190312164111137"</f>
        <v>20190312164111137</v>
      </c>
      <c r="B4199" t="str">
        <f>"1552380071130162"</f>
        <v>1552380071130162</v>
      </c>
      <c r="C4199" t="s">
        <v>40</v>
      </c>
      <c r="D4199">
        <v>5.4902870000000004</v>
      </c>
      <c r="E4199">
        <v>0.5712893</v>
      </c>
      <c r="F4199" t="s">
        <v>50</v>
      </c>
      <c r="G4199">
        <v>-196.09180000000001</v>
      </c>
      <c r="H4199" s="1">
        <v>-1.4438380000000001E-5</v>
      </c>
      <c r="I4199">
        <v>157.47370000000001</v>
      </c>
      <c r="J4199">
        <v>-191.13579999999999</v>
      </c>
      <c r="K4199">
        <v>1.1102510000000001</v>
      </c>
      <c r="L4199">
        <v>171.2681</v>
      </c>
      <c r="M4199">
        <v>-1.8394000000000001E-2</v>
      </c>
      <c r="N4199">
        <v>0</v>
      </c>
      <c r="O4199">
        <v>-0.99973389999999995</v>
      </c>
      <c r="P4199">
        <v>-0.16717370000000001</v>
      </c>
      <c r="Q4199">
        <v>0.17886009999999999</v>
      </c>
      <c r="R4199">
        <v>-0.96956810000000004</v>
      </c>
      <c r="S4199">
        <v>-1.044662</v>
      </c>
      <c r="T4199">
        <v>-0.2338073</v>
      </c>
      <c r="U4199">
        <v>-2.9591059999999998</v>
      </c>
      <c r="V4199">
        <v>0.14946999999999999</v>
      </c>
      <c r="W4199">
        <v>0.19226799999999999</v>
      </c>
      <c r="X4199">
        <v>0.96989259999999999</v>
      </c>
      <c r="Y4199">
        <v>0.31457010000000002</v>
      </c>
      <c r="Z4199">
        <v>7.4508610000000003E-2</v>
      </c>
      <c r="AA4199">
        <v>0.94630550000000002</v>
      </c>
      <c r="AB4199">
        <v>27</v>
      </c>
      <c r="AC4199">
        <v>-4.9560000000000102</v>
      </c>
      <c r="AD4199">
        <v>-1.1102654383799999</v>
      </c>
      <c r="AE4199">
        <v>-13.7943999999999</v>
      </c>
      <c r="AF4199">
        <v>4.67458211329508</v>
      </c>
      <c r="AG4199">
        <v>-1.1102654383799999</v>
      </c>
      <c r="AH4199">
        <v>13.8040344568102</v>
      </c>
      <c r="AI4199">
        <v>94.356432607934593</v>
      </c>
      <c r="AJ4199">
        <v>71.291903561700593</v>
      </c>
      <c r="AK4199">
        <v>14.616284567645801</v>
      </c>
      <c r="AL4199">
        <v>78.914827790079102</v>
      </c>
      <c r="AM4199">
        <v>81.239079158549799</v>
      </c>
      <c r="AN4199">
        <v>0.99999996012937897</v>
      </c>
    </row>
    <row r="4200" spans="1:40" x14ac:dyDescent="0.25">
      <c r="A4200" t="str">
        <f>"20190312164111149"</f>
        <v>20190312164111149</v>
      </c>
      <c r="B4200" t="str">
        <f>"1552380071139913"</f>
        <v>1552380071139913</v>
      </c>
      <c r="C4200" t="s">
        <v>40</v>
      </c>
      <c r="D4200">
        <v>5.685562</v>
      </c>
      <c r="E4200">
        <v>0.56954559999999999</v>
      </c>
      <c r="F4200" t="s">
        <v>50</v>
      </c>
      <c r="G4200">
        <v>-195.61779999999999</v>
      </c>
      <c r="H4200" s="1">
        <v>-1.464467E-5</v>
      </c>
      <c r="I4200">
        <v>158.29349999999999</v>
      </c>
      <c r="J4200">
        <v>-191.13890000000001</v>
      </c>
      <c r="K4200">
        <v>1.1102160000000001</v>
      </c>
      <c r="L4200">
        <v>171.12029999999999</v>
      </c>
      <c r="M4200">
        <v>-1.8698059999999999E-2</v>
      </c>
      <c r="N4200">
        <v>0</v>
      </c>
      <c r="O4200">
        <v>-0.99972799999999995</v>
      </c>
      <c r="P4200">
        <v>-0.1720766</v>
      </c>
      <c r="Q4200">
        <v>0.17962919999999999</v>
      </c>
      <c r="R4200">
        <v>-0.96856779999999998</v>
      </c>
      <c r="S4200">
        <v>-1.024017</v>
      </c>
      <c r="T4200">
        <v>-0.25367020000000001</v>
      </c>
      <c r="U4200">
        <v>-2.9643860000000002</v>
      </c>
      <c r="V4200">
        <v>0.1541149</v>
      </c>
      <c r="W4200">
        <v>0.19301289999999999</v>
      </c>
      <c r="X4200">
        <v>0.96901740000000003</v>
      </c>
      <c r="Y4200">
        <v>0.30770839999999999</v>
      </c>
      <c r="Z4200">
        <v>8.084355E-2</v>
      </c>
      <c r="AA4200">
        <v>0.94803999999999999</v>
      </c>
      <c r="AB4200">
        <v>27</v>
      </c>
      <c r="AC4200">
        <v>-4.4788999999999799</v>
      </c>
      <c r="AD4200">
        <v>-1.1102306446700001</v>
      </c>
      <c r="AE4200">
        <v>-12.826799999999899</v>
      </c>
      <c r="AF4200">
        <v>4.2101433294642998</v>
      </c>
      <c r="AG4200">
        <v>-1.1102306446700001</v>
      </c>
      <c r="AH4200">
        <v>12.8226864305886</v>
      </c>
      <c r="AI4200">
        <v>94.702713615806104</v>
      </c>
      <c r="AJ4200">
        <v>71.823155022446599</v>
      </c>
      <c r="AK4200">
        <v>13.5417578709782</v>
      </c>
      <c r="AL4200">
        <v>78.871334519569004</v>
      </c>
      <c r="AM4200">
        <v>80.963225260152001</v>
      </c>
      <c r="AN4200">
        <v>1.00000005173558</v>
      </c>
    </row>
    <row r="4201" spans="1:40" x14ac:dyDescent="0.25">
      <c r="A4201" t="str">
        <f>"20190312164111161"</f>
        <v>20190312164111161</v>
      </c>
      <c r="B4201" t="str">
        <f>"1552380071150648"</f>
        <v>1552380071150648</v>
      </c>
      <c r="C4201" t="s">
        <v>40</v>
      </c>
      <c r="D4201">
        <v>5.7453539999999998</v>
      </c>
      <c r="E4201">
        <v>0.56839549999999905</v>
      </c>
      <c r="F4201" t="s">
        <v>50</v>
      </c>
      <c r="G4201">
        <v>-195.67830000000001</v>
      </c>
      <c r="H4201" s="1">
        <v>-1.4568760000000001E-5</v>
      </c>
      <c r="I4201">
        <v>157.99189999999999</v>
      </c>
      <c r="J4201">
        <v>-191.14179999999999</v>
      </c>
      <c r="K4201">
        <v>1.1101859999999999</v>
      </c>
      <c r="L4201">
        <v>170.9812</v>
      </c>
      <c r="M4201">
        <v>-1.899613E-2</v>
      </c>
      <c r="N4201">
        <v>0</v>
      </c>
      <c r="O4201">
        <v>-0.99972220000000001</v>
      </c>
      <c r="P4201">
        <v>-0.17489739999999901</v>
      </c>
      <c r="Q4201">
        <v>0.1798487</v>
      </c>
      <c r="R4201">
        <v>-0.96802129999999997</v>
      </c>
      <c r="S4201">
        <v>-1.0241389999999999</v>
      </c>
      <c r="T4201">
        <v>-0.25047779999999997</v>
      </c>
      <c r="U4201">
        <v>-2.961884</v>
      </c>
      <c r="V4201">
        <v>0.15667349999999999</v>
      </c>
      <c r="W4201">
        <v>0.19321679999999999</v>
      </c>
      <c r="X4201">
        <v>0.96856629999999999</v>
      </c>
      <c r="Y4201">
        <v>0.3077318</v>
      </c>
      <c r="Z4201">
        <v>7.989483E-2</v>
      </c>
      <c r="AA4201">
        <v>0.94811279999999998</v>
      </c>
      <c r="AB4201">
        <v>27</v>
      </c>
      <c r="AC4201">
        <v>-4.53650000000001</v>
      </c>
      <c r="AD4201">
        <v>-1.1102005687600001</v>
      </c>
      <c r="AE4201">
        <v>-12.9893</v>
      </c>
      <c r="AF4201">
        <v>4.2611663194754401</v>
      </c>
      <c r="AG4201">
        <v>-1.1102005687600001</v>
      </c>
      <c r="AH4201">
        <v>12.9885713514918</v>
      </c>
      <c r="AI4201">
        <v>94.643154508707298</v>
      </c>
      <c r="AJ4201">
        <v>71.836865713965594</v>
      </c>
      <c r="AK4201">
        <v>13.7147026747904</v>
      </c>
      <c r="AL4201">
        <v>78.8594271676494</v>
      </c>
      <c r="AM4201">
        <v>80.811529556057707</v>
      </c>
      <c r="AN4201">
        <v>0.99999999745008905</v>
      </c>
    </row>
    <row r="4202" spans="1:40" x14ac:dyDescent="0.25">
      <c r="A4202" t="str">
        <f>"20190312164111182"</f>
        <v>20190312164111182</v>
      </c>
      <c r="B4202" t="str">
        <f>"1552380071170169"</f>
        <v>1552380071170169</v>
      </c>
      <c r="C4202" t="s">
        <v>40</v>
      </c>
      <c r="D4202">
        <v>6.3953749999999996</v>
      </c>
      <c r="E4202">
        <v>0.5677352</v>
      </c>
      <c r="F4202" t="s">
        <v>50</v>
      </c>
      <c r="G4202">
        <v>-195.7004</v>
      </c>
      <c r="H4202" s="1">
        <v>-1.4516769999999999E-5</v>
      </c>
      <c r="I4202">
        <v>157.7852</v>
      </c>
      <c r="J4202">
        <v>-191.14709999999999</v>
      </c>
      <c r="K4202">
        <v>1.110136</v>
      </c>
      <c r="L4202">
        <v>170.73349999999999</v>
      </c>
      <c r="M4202">
        <v>-1.958816E-2</v>
      </c>
      <c r="N4202">
        <v>0</v>
      </c>
      <c r="O4202">
        <v>-0.99971089999999996</v>
      </c>
      <c r="P4202">
        <v>-0.1806836</v>
      </c>
      <c r="Q4202">
        <v>0.17991670000000001</v>
      </c>
      <c r="R4202">
        <v>-0.96694590000000002</v>
      </c>
      <c r="S4202">
        <v>-1.022751</v>
      </c>
      <c r="T4202">
        <v>-0.24907879999999999</v>
      </c>
      <c r="U4202">
        <v>-2.9605869999999999</v>
      </c>
      <c r="V4202">
        <v>0.16193199999999999</v>
      </c>
      <c r="W4202">
        <v>0.19325429999999999</v>
      </c>
      <c r="X4202">
        <v>0.96769360000000004</v>
      </c>
      <c r="Y4202">
        <v>0.30690990000000001</v>
      </c>
      <c r="Z4202">
        <v>7.9499529999999999E-2</v>
      </c>
      <c r="AA4202">
        <v>0.94841240000000004</v>
      </c>
      <c r="AB4202">
        <v>27</v>
      </c>
      <c r="AC4202">
        <v>-4.5533000000000001</v>
      </c>
      <c r="AD4202">
        <v>-1.1101505167700001</v>
      </c>
      <c r="AE4202">
        <v>-12.9482999999999</v>
      </c>
      <c r="AF4202">
        <v>4.2708288607063798</v>
      </c>
      <c r="AG4202">
        <v>-1.1101505167700001</v>
      </c>
      <c r="AH4202">
        <v>12.950295146569101</v>
      </c>
      <c r="AI4202">
        <v>94.654248196085106</v>
      </c>
      <c r="AJ4202">
        <v>71.748156658190396</v>
      </c>
      <c r="AK4202">
        <v>13.681467673849101</v>
      </c>
      <c r="AL4202">
        <v>78.857237898475205</v>
      </c>
      <c r="AM4202">
        <v>80.500251798004399</v>
      </c>
      <c r="AN4202">
        <v>1.0000000502867199</v>
      </c>
    </row>
    <row r="4203" spans="1:40" x14ac:dyDescent="0.25">
      <c r="A4203" t="str">
        <f>"20190312164111205"</f>
        <v>20190312164111205</v>
      </c>
      <c r="B4203" t="str">
        <f>"1552380071200425"</f>
        <v>1552380071200425</v>
      </c>
      <c r="C4203" t="s">
        <v>40</v>
      </c>
      <c r="D4203">
        <v>5.7016169999999997</v>
      </c>
      <c r="E4203">
        <v>0.56276899999999996</v>
      </c>
      <c r="F4203" t="s">
        <v>50</v>
      </c>
      <c r="G4203">
        <v>-195.72399999999999</v>
      </c>
      <c r="H4203" s="1">
        <v>-1.448406E-5</v>
      </c>
      <c r="I4203">
        <v>157.65520000000001</v>
      </c>
      <c r="J4203">
        <v>-191.15350000000001</v>
      </c>
      <c r="K4203">
        <v>1.1100840000000001</v>
      </c>
      <c r="L4203">
        <v>170.45070000000001</v>
      </c>
      <c r="M4203">
        <v>-2.0343650000000001E-2</v>
      </c>
      <c r="N4203">
        <v>0</v>
      </c>
      <c r="O4203">
        <v>-0.99969569999999996</v>
      </c>
      <c r="P4203">
        <v>-0.1869673</v>
      </c>
      <c r="Q4203">
        <v>0.17963029999999999</v>
      </c>
      <c r="R4203">
        <v>-0.96580370000000004</v>
      </c>
      <c r="S4203">
        <v>-1.03447</v>
      </c>
      <c r="T4203">
        <v>-0.25091599999999997</v>
      </c>
      <c r="U4203">
        <v>-2.9559479999999998</v>
      </c>
      <c r="V4203">
        <v>0.1675307</v>
      </c>
      <c r="W4203">
        <v>0.19293569999999999</v>
      </c>
      <c r="X4203">
        <v>0.96680370000000004</v>
      </c>
      <c r="Y4203">
        <v>0.3099864</v>
      </c>
      <c r="Z4203">
        <v>8.0106739999999996E-2</v>
      </c>
      <c r="AA4203">
        <v>0.94736019999999999</v>
      </c>
      <c r="AB4203">
        <v>27</v>
      </c>
      <c r="AC4203">
        <v>-4.5705000000000098</v>
      </c>
      <c r="AD4203">
        <v>-1.1100984840599999</v>
      </c>
      <c r="AE4203">
        <v>-12.795500000000001</v>
      </c>
      <c r="AF4203">
        <v>4.2806476777047502</v>
      </c>
      <c r="AG4203">
        <v>-1.1100984840599999</v>
      </c>
      <c r="AH4203">
        <v>12.8003971970312</v>
      </c>
      <c r="AI4203">
        <v>94.701802751085296</v>
      </c>
      <c r="AJ4203">
        <v>71.509280377297799</v>
      </c>
      <c r="AK4203">
        <v>13.5427630706114</v>
      </c>
      <c r="AL4203">
        <v>78.8758425460327</v>
      </c>
      <c r="AM4203">
        <v>80.169232696564805</v>
      </c>
      <c r="AN4203">
        <v>1.00000005705533</v>
      </c>
    </row>
    <row r="4204" spans="1:40" x14ac:dyDescent="0.25">
      <c r="A4204" t="str">
        <f>"20190312164111228"</f>
        <v>20190312164111228</v>
      </c>
      <c r="B4204" t="str">
        <f>"1552380071219945"</f>
        <v>1552380071219945</v>
      </c>
      <c r="C4204" t="s">
        <v>40</v>
      </c>
      <c r="D4204">
        <v>5.905036</v>
      </c>
      <c r="E4204">
        <v>0.56167009999999995</v>
      </c>
      <c r="F4204" t="s">
        <v>50</v>
      </c>
      <c r="G4204">
        <v>-195.8579</v>
      </c>
      <c r="H4204" s="1">
        <v>-1.4256709999999999E-5</v>
      </c>
      <c r="I4204">
        <v>156.7516</v>
      </c>
      <c r="J4204">
        <v>-191.16</v>
      </c>
      <c r="K4204">
        <v>1.1100369999999999</v>
      </c>
      <c r="L4204">
        <v>170.173</v>
      </c>
      <c r="M4204">
        <v>-2.1149479999999998E-2</v>
      </c>
      <c r="N4204">
        <v>0</v>
      </c>
      <c r="O4204">
        <v>-0.99967870000000003</v>
      </c>
      <c r="P4204">
        <v>-0.19304730000000001</v>
      </c>
      <c r="Q4204">
        <v>0.17967149999999901</v>
      </c>
      <c r="R4204">
        <v>-0.96459919999999999</v>
      </c>
      <c r="S4204">
        <v>-1.0145420000000001</v>
      </c>
      <c r="T4204">
        <v>-0.23940410000000001</v>
      </c>
      <c r="U4204">
        <v>-2.9543460000000001</v>
      </c>
      <c r="V4204">
        <v>0.17287469999999999</v>
      </c>
      <c r="W4204">
        <v>0.19294549999999999</v>
      </c>
      <c r="X4204">
        <v>0.96586039999999995</v>
      </c>
      <c r="Y4204">
        <v>0.30375740000000001</v>
      </c>
      <c r="Z4204">
        <v>7.6652070000000003E-2</v>
      </c>
      <c r="AA4204">
        <v>0.94966099999999998</v>
      </c>
      <c r="AB4204">
        <v>27</v>
      </c>
      <c r="AC4204">
        <v>-4.6978999999999997</v>
      </c>
      <c r="AD4204">
        <v>-1.11005125671</v>
      </c>
      <c r="AE4204">
        <v>-13.4214</v>
      </c>
      <c r="AF4204">
        <v>4.3862363369636697</v>
      </c>
      <c r="AG4204">
        <v>-1.11005125671</v>
      </c>
      <c r="AH4204">
        <v>13.4358881699967</v>
      </c>
      <c r="AI4204">
        <v>94.490745696077497</v>
      </c>
      <c r="AJ4204">
        <v>71.920379132019605</v>
      </c>
      <c r="AK4204">
        <v>14.1772484605752</v>
      </c>
      <c r="AL4204">
        <v>78.875269315151598</v>
      </c>
      <c r="AM4204">
        <v>79.852356216719897</v>
      </c>
      <c r="AN4204">
        <v>0.99999997007924901</v>
      </c>
    </row>
    <row r="4205" spans="1:40" x14ac:dyDescent="0.25">
      <c r="A4205" t="str">
        <f>"20190312164111250"</f>
        <v>20190312164111250</v>
      </c>
      <c r="B4205" t="str">
        <f>"1552380071240440"</f>
        <v>1552380071240440</v>
      </c>
      <c r="C4205" t="s">
        <v>40</v>
      </c>
      <c r="D4205">
        <v>5.6514850000000001</v>
      </c>
      <c r="E4205">
        <v>0.55937300000000001</v>
      </c>
      <c r="F4205" t="s">
        <v>50</v>
      </c>
      <c r="G4205">
        <v>-195.6986</v>
      </c>
      <c r="H4205" s="1">
        <v>-1.4337250000000001E-5</v>
      </c>
      <c r="I4205">
        <v>157.07169999999999</v>
      </c>
      <c r="J4205">
        <v>-191.16659999999999</v>
      </c>
      <c r="K4205">
        <v>1.110004</v>
      </c>
      <c r="L4205">
        <v>169.90549999999999</v>
      </c>
      <c r="M4205">
        <v>-2.19752E-2</v>
      </c>
      <c r="N4205">
        <v>0</v>
      </c>
      <c r="O4205">
        <v>-0.99966089999999996</v>
      </c>
      <c r="P4205">
        <v>-0.19947190000000001</v>
      </c>
      <c r="Q4205">
        <v>0.1785602</v>
      </c>
      <c r="R4205">
        <v>-0.96349770000000001</v>
      </c>
      <c r="S4205">
        <v>-1.0226440000000001</v>
      </c>
      <c r="T4205">
        <v>-0.25012020000000001</v>
      </c>
      <c r="U4205">
        <v>-2.952026</v>
      </c>
      <c r="V4205">
        <v>0.17853740000000001</v>
      </c>
      <c r="W4205">
        <v>0.19180559999999999</v>
      </c>
      <c r="X4205">
        <v>0.96505700000000005</v>
      </c>
      <c r="Y4205">
        <v>0.30544110000000002</v>
      </c>
      <c r="Z4205">
        <v>8.0060770000000003E-2</v>
      </c>
      <c r="AA4205">
        <v>0.94883930000000005</v>
      </c>
      <c r="AB4205">
        <v>27</v>
      </c>
      <c r="AC4205">
        <v>-4.5320000000000098</v>
      </c>
      <c r="AD4205">
        <v>-1.1100183372499901</v>
      </c>
      <c r="AE4205">
        <v>-12.833799999999901</v>
      </c>
      <c r="AF4205">
        <v>4.2207784669864603</v>
      </c>
      <c r="AG4205">
        <v>-1.1100183372499901</v>
      </c>
      <c r="AH4205">
        <v>12.844865288251899</v>
      </c>
      <c r="AI4205">
        <v>94.6933745421087</v>
      </c>
      <c r="AJ4205">
        <v>71.809655014717507</v>
      </c>
      <c r="AK4205">
        <v>13.5660486454143</v>
      </c>
      <c r="AL4205">
        <v>78.941824289797594</v>
      </c>
      <c r="AM4205">
        <v>79.518675368425704</v>
      </c>
      <c r="AN4205">
        <v>1.0000000023195601</v>
      </c>
    </row>
    <row r="4206" spans="1:40" x14ac:dyDescent="0.25">
      <c r="A4206" t="str">
        <f>"20190312164111271"</f>
        <v>20190312164111271</v>
      </c>
      <c r="B4206" t="str">
        <f>"1552380071259961"</f>
        <v>1552380071259961</v>
      </c>
      <c r="C4206" t="s">
        <v>40</v>
      </c>
      <c r="D4206">
        <v>6.6746239999999997</v>
      </c>
      <c r="E4206">
        <v>0.55745919999999904</v>
      </c>
      <c r="F4206" t="s">
        <v>50</v>
      </c>
      <c r="G4206">
        <v>-195.9025</v>
      </c>
      <c r="H4206" s="1">
        <v>-1.4070099999999999E-5</v>
      </c>
      <c r="I4206">
        <v>156.27209999999999</v>
      </c>
      <c r="J4206">
        <v>-191.17330000000001</v>
      </c>
      <c r="K4206">
        <v>1.1099730000000001</v>
      </c>
      <c r="L4206">
        <v>169.64619999999999</v>
      </c>
      <c r="M4206">
        <v>-2.2814460000000002E-2</v>
      </c>
      <c r="N4206">
        <v>0</v>
      </c>
      <c r="O4206">
        <v>-0.99964200000000003</v>
      </c>
      <c r="P4206">
        <v>-0.20566229999999999</v>
      </c>
      <c r="Q4206">
        <v>0.17715139999999999</v>
      </c>
      <c r="R4206">
        <v>-0.96245559999999997</v>
      </c>
      <c r="S4206">
        <v>-1.0234529999999999</v>
      </c>
      <c r="T4206">
        <v>-0.2398796</v>
      </c>
      <c r="U4206">
        <v>-2.9462280000000001</v>
      </c>
      <c r="V4206">
        <v>0.18394959999999999</v>
      </c>
      <c r="W4206">
        <v>0.1903696</v>
      </c>
      <c r="X4206">
        <v>0.96432459999999998</v>
      </c>
      <c r="Y4206">
        <v>0.30553239999999998</v>
      </c>
      <c r="Z4206">
        <v>7.693883E-2</v>
      </c>
      <c r="AA4206">
        <v>0.94906809999999997</v>
      </c>
      <c r="AB4206">
        <v>27</v>
      </c>
      <c r="AC4206">
        <v>-4.7291999999999899</v>
      </c>
      <c r="AD4206">
        <v>-1.1099870701000001</v>
      </c>
      <c r="AE4206">
        <v>-13.3741</v>
      </c>
      <c r="AF4206">
        <v>4.3959016027725601</v>
      </c>
      <c r="AG4206">
        <v>-1.1099870701000001</v>
      </c>
      <c r="AH4206">
        <v>13.3965009319252</v>
      </c>
      <c r="AI4206">
        <v>94.501406670602407</v>
      </c>
      <c r="AJ4206">
        <v>71.833368788395305</v>
      </c>
      <c r="AK4206">
        <v>14.142922591039</v>
      </c>
      <c r="AL4206">
        <v>79.025645444163899</v>
      </c>
      <c r="AM4206">
        <v>79.200295572820394</v>
      </c>
      <c r="AN4206">
        <v>0.99999998705473903</v>
      </c>
    </row>
    <row r="4207" spans="1:40" x14ac:dyDescent="0.25">
      <c r="A4207" t="str">
        <f>"20190312164111293"</f>
        <v>20190312164111293</v>
      </c>
      <c r="B4207" t="str">
        <f>"1552380071280456"</f>
        <v>1552380071280456</v>
      </c>
      <c r="C4207" t="s">
        <v>40</v>
      </c>
      <c r="D4207">
        <v>6.0477400000000001</v>
      </c>
      <c r="E4207">
        <v>0.55604549999999997</v>
      </c>
      <c r="F4207" t="s">
        <v>50</v>
      </c>
      <c r="G4207">
        <v>-196.03700000000001</v>
      </c>
      <c r="H4207" s="1">
        <v>-1.384449E-5</v>
      </c>
      <c r="I4207">
        <v>155.7184</v>
      </c>
      <c r="J4207">
        <v>-191.18029999999999</v>
      </c>
      <c r="K4207">
        <v>1.1099410000000001</v>
      </c>
      <c r="L4207">
        <v>169.3802</v>
      </c>
      <c r="M4207">
        <v>-2.3712509999999999E-2</v>
      </c>
      <c r="N4207">
        <v>0</v>
      </c>
      <c r="O4207">
        <v>-0.99962110000000004</v>
      </c>
      <c r="P4207">
        <v>-0.2121711</v>
      </c>
      <c r="Q4207">
        <v>0.176363299999999</v>
      </c>
      <c r="R4207">
        <v>-0.96118689999999996</v>
      </c>
      <c r="S4207">
        <v>-1.0269469999999901</v>
      </c>
      <c r="T4207">
        <v>-0.23436390000000001</v>
      </c>
      <c r="U4207">
        <v>-2.9407350000000001</v>
      </c>
      <c r="V4207">
        <v>0.18963079999999999</v>
      </c>
      <c r="W4207">
        <v>0.18954989999999999</v>
      </c>
      <c r="X4207">
        <v>0.96338520000000005</v>
      </c>
      <c r="Y4207">
        <v>0.30627369999999998</v>
      </c>
      <c r="Z4207">
        <v>7.5286370000000005E-2</v>
      </c>
      <c r="AA4207">
        <v>0.94896170000000002</v>
      </c>
      <c r="AB4207">
        <v>27</v>
      </c>
      <c r="AC4207">
        <v>-4.8567000000000098</v>
      </c>
      <c r="AD4207">
        <v>-1.10995484449</v>
      </c>
      <c r="AE4207">
        <v>-13.661799999999999</v>
      </c>
      <c r="AF4207">
        <v>4.5049470882800096</v>
      </c>
      <c r="AG4207">
        <v>-1.10995484449</v>
      </c>
      <c r="AH4207">
        <v>13.6928907676173</v>
      </c>
      <c r="AI4207">
        <v>94.403111686935802</v>
      </c>
      <c r="AJ4207">
        <v>71.788847209721993</v>
      </c>
      <c r="AK4207">
        <v>14.4575864375389</v>
      </c>
      <c r="AL4207">
        <v>79.073482218360695</v>
      </c>
      <c r="AM4207">
        <v>78.864375102920107</v>
      </c>
      <c r="AN4207">
        <v>1.00000002423884</v>
      </c>
    </row>
    <row r="4208" spans="1:40" x14ac:dyDescent="0.25">
      <c r="A4208" t="str">
        <f>"20190312164111316"</f>
        <v>20190312164111316</v>
      </c>
      <c r="B4208" t="str">
        <f>"1552380071310714"</f>
        <v>1552380071310714</v>
      </c>
      <c r="C4208" t="s">
        <v>40</v>
      </c>
      <c r="D4208">
        <v>5.6562669999999997</v>
      </c>
      <c r="E4208">
        <v>0.55500859999999996</v>
      </c>
      <c r="F4208" t="s">
        <v>50</v>
      </c>
      <c r="G4208">
        <v>-196.18520000000001</v>
      </c>
      <c r="H4208" s="1">
        <v>-1.36307299999999E-5</v>
      </c>
      <c r="I4208">
        <v>155.18950000000001</v>
      </c>
      <c r="J4208">
        <v>-191.18799999999999</v>
      </c>
      <c r="K4208">
        <v>1.1099049999999999</v>
      </c>
      <c r="L4208">
        <v>169.10249999999999</v>
      </c>
      <c r="M4208">
        <v>-2.469762E-2</v>
      </c>
      <c r="N4208">
        <v>0</v>
      </c>
      <c r="O4208">
        <v>-0.99959710000000002</v>
      </c>
      <c r="P4208">
        <v>-0.2194566</v>
      </c>
      <c r="Q4208">
        <v>0.17635049999999999</v>
      </c>
      <c r="R4208">
        <v>-0.95955179999999995</v>
      </c>
      <c r="S4208">
        <v>-1.0350490000000001</v>
      </c>
      <c r="T4208">
        <v>-0.22954920000000001</v>
      </c>
      <c r="U4208">
        <v>-2.9347690000000002</v>
      </c>
      <c r="V4208">
        <v>0.19601859999999999</v>
      </c>
      <c r="W4208">
        <v>0.18949559999999999</v>
      </c>
      <c r="X4208">
        <v>0.96211650000000004</v>
      </c>
      <c r="Y4208">
        <v>0.30830380000000002</v>
      </c>
      <c r="Z4208">
        <v>7.3829179999999994E-2</v>
      </c>
      <c r="AA4208">
        <v>0.94841869999999995</v>
      </c>
      <c r="AB4208">
        <v>27</v>
      </c>
      <c r="AC4208">
        <v>-4.9972000000000198</v>
      </c>
      <c r="AD4208">
        <v>-1.10991863073</v>
      </c>
      <c r="AE4208">
        <v>-13.912999999999901</v>
      </c>
      <c r="AF4208">
        <v>4.6259475447784499</v>
      </c>
      <c r="AG4208">
        <v>-1.10991863073</v>
      </c>
      <c r="AH4208">
        <v>13.9535309059507</v>
      </c>
      <c r="AI4208">
        <v>94.317802231584196</v>
      </c>
      <c r="AJ4208">
        <v>71.658338710752005</v>
      </c>
      <c r="AK4208">
        <v>14.742195725101601</v>
      </c>
      <c r="AL4208">
        <v>79.076650722937899</v>
      </c>
      <c r="AM4208">
        <v>78.484344494789298</v>
      </c>
      <c r="AN4208">
        <v>1.0000000167687799</v>
      </c>
    </row>
    <row r="4209" spans="1:40" x14ac:dyDescent="0.25">
      <c r="A4209" t="str">
        <f>"20190312164111339"</f>
        <v>20190312164111339</v>
      </c>
      <c r="B4209" t="str">
        <f>"1552380071330236"</f>
        <v>1552380071330236</v>
      </c>
      <c r="C4209" t="s">
        <v>40</v>
      </c>
      <c r="D4209">
        <v>5.6115839999999997</v>
      </c>
      <c r="E4209">
        <v>0.55498760000000003</v>
      </c>
      <c r="F4209" t="s">
        <v>50</v>
      </c>
      <c r="G4209">
        <v>-196.39439999999999</v>
      </c>
      <c r="H4209" s="1">
        <v>-1.338754E-5</v>
      </c>
      <c r="I4209">
        <v>154.55330000000001</v>
      </c>
      <c r="J4209">
        <v>-191.196</v>
      </c>
      <c r="K4209">
        <v>1.1098490000000001</v>
      </c>
      <c r="L4209">
        <v>168.82660000000001</v>
      </c>
      <c r="M4209">
        <v>-2.5750700000000001E-2</v>
      </c>
      <c r="N4209">
        <v>0</v>
      </c>
      <c r="O4209">
        <v>-0.99957039999999997</v>
      </c>
      <c r="P4209">
        <v>-0.22685269999999999</v>
      </c>
      <c r="Q4209">
        <v>0.17697789999999999</v>
      </c>
      <c r="R4209">
        <v>-0.95771439999999997</v>
      </c>
      <c r="S4209">
        <v>-1.0477289999999999</v>
      </c>
      <c r="T4209">
        <v>-0.2233617</v>
      </c>
      <c r="U4209">
        <v>-2.9278870000000001</v>
      </c>
      <c r="V4209">
        <v>0.20246620000000001</v>
      </c>
      <c r="W4209">
        <v>0.1900714</v>
      </c>
      <c r="X4209">
        <v>0.96066660000000004</v>
      </c>
      <c r="Y4209">
        <v>0.31169239999999998</v>
      </c>
      <c r="Z4209">
        <v>7.1914359999999997E-2</v>
      </c>
      <c r="AA4209">
        <v>0.94745769999999996</v>
      </c>
      <c r="AB4209">
        <v>27</v>
      </c>
      <c r="AC4209">
        <v>-5.1983999999999897</v>
      </c>
      <c r="AD4209">
        <v>-1.10986238754</v>
      </c>
      <c r="AE4209">
        <v>-14.273300000000001</v>
      </c>
      <c r="AF4209">
        <v>4.8034505441640798</v>
      </c>
      <c r="AG4209">
        <v>-1.10986238754</v>
      </c>
      <c r="AH4209">
        <v>14.325966513307799</v>
      </c>
      <c r="AI4209">
        <v>94.201007282698598</v>
      </c>
      <c r="AJ4209">
        <v>71.463863032586801</v>
      </c>
      <c r="AK4209">
        <v>15.150519733326799</v>
      </c>
      <c r="AL4209">
        <v>79.043049037187799</v>
      </c>
      <c r="AM4209">
        <v>78.098743972389201</v>
      </c>
      <c r="AN4209">
        <v>1.00000000779797</v>
      </c>
    </row>
    <row r="4210" spans="1:40" x14ac:dyDescent="0.25">
      <c r="A4210" t="str">
        <f>"20190312164111360"</f>
        <v>20190312164111360</v>
      </c>
      <c r="B4210" t="str">
        <f>"1552380071350729"</f>
        <v>1552380071350729</v>
      </c>
      <c r="C4210" t="s">
        <v>40</v>
      </c>
      <c r="D4210">
        <v>5.587599</v>
      </c>
      <c r="E4210">
        <v>0.55388139999999997</v>
      </c>
      <c r="F4210" t="s">
        <v>50</v>
      </c>
      <c r="G4210">
        <v>-196.44659999999999</v>
      </c>
      <c r="H4210" s="1">
        <v>-1.337362E-5</v>
      </c>
      <c r="I4210">
        <v>154.4796</v>
      </c>
      <c r="J4210">
        <v>-191.2038</v>
      </c>
      <c r="K4210">
        <v>1.1097859999999999</v>
      </c>
      <c r="L4210">
        <v>168.5693</v>
      </c>
      <c r="M4210">
        <v>-2.6833320000000001E-2</v>
      </c>
      <c r="N4210">
        <v>0</v>
      </c>
      <c r="O4210">
        <v>-0.99954200000000004</v>
      </c>
      <c r="P4210">
        <v>-0.23551820000000001</v>
      </c>
      <c r="Q4210">
        <v>0.17761840000000001</v>
      </c>
      <c r="R4210">
        <v>-0.95550170000000001</v>
      </c>
      <c r="S4210">
        <v>-1.069</v>
      </c>
      <c r="T4210">
        <v>-0.22596260000000001</v>
      </c>
      <c r="U4210">
        <v>-2.9209900000000002</v>
      </c>
      <c r="V4210">
        <v>0.2101761</v>
      </c>
      <c r="W4210">
        <v>0.19064159999999999</v>
      </c>
      <c r="X4210">
        <v>0.95889619999999998</v>
      </c>
      <c r="Y4210">
        <v>0.31744519999999998</v>
      </c>
      <c r="Z4210">
        <v>7.2746430000000001E-2</v>
      </c>
      <c r="AA4210">
        <v>0.94548209999999999</v>
      </c>
      <c r="AB4210">
        <v>27</v>
      </c>
      <c r="AC4210">
        <v>-5.2427999999999804</v>
      </c>
      <c r="AD4210">
        <v>-1.10979937362</v>
      </c>
      <c r="AE4210">
        <v>-14.089699999999899</v>
      </c>
      <c r="AF4210">
        <v>4.8364444883250401</v>
      </c>
      <c r="AG4210">
        <v>-1.10979937362</v>
      </c>
      <c r="AH4210">
        <v>14.1482184123242</v>
      </c>
      <c r="AI4210">
        <v>94.244936823924107</v>
      </c>
      <c r="AJ4210">
        <v>71.127456318713797</v>
      </c>
      <c r="AK4210">
        <v>14.993162914514301</v>
      </c>
      <c r="AL4210">
        <v>79.009771150711202</v>
      </c>
      <c r="AM4210">
        <v>77.637104511100802</v>
      </c>
      <c r="AN4210">
        <v>1.0000000675181</v>
      </c>
    </row>
    <row r="4211" spans="1:40" x14ac:dyDescent="0.25">
      <c r="A4211" t="str">
        <f>"20190312164111382"</f>
        <v>20190312164111382</v>
      </c>
      <c r="B4211" t="str">
        <f>"1552380071370249"</f>
        <v>1552380071370249</v>
      </c>
      <c r="C4211" t="s">
        <v>40</v>
      </c>
      <c r="D4211">
        <v>5.6967850000000002</v>
      </c>
      <c r="E4211">
        <v>0.55328920000000004</v>
      </c>
      <c r="F4211" t="s">
        <v>50</v>
      </c>
      <c r="G4211">
        <v>-196.71639999999999</v>
      </c>
      <c r="H4211" s="1">
        <v>-1.322178E-5</v>
      </c>
      <c r="I4211">
        <v>153.78100000000001</v>
      </c>
      <c r="J4211">
        <v>-191.21250000000001</v>
      </c>
      <c r="K4211">
        <v>1.1097109999999999</v>
      </c>
      <c r="L4211">
        <v>168.29830000000001</v>
      </c>
      <c r="M4211">
        <v>-2.80743E-2</v>
      </c>
      <c r="N4211">
        <v>0</v>
      </c>
      <c r="O4211">
        <v>-0.99950799999999995</v>
      </c>
      <c r="P4211">
        <v>-0.2442358</v>
      </c>
      <c r="Q4211">
        <v>0.17802970000000001</v>
      </c>
      <c r="R4211">
        <v>-0.95323409999999997</v>
      </c>
      <c r="S4211">
        <v>-1.0857540000000001</v>
      </c>
      <c r="T4211">
        <v>-0.21858749999999999</v>
      </c>
      <c r="U4211">
        <v>-2.9127200000000002</v>
      </c>
      <c r="V4211">
        <v>0.2177974</v>
      </c>
      <c r="W4211">
        <v>0.1909739</v>
      </c>
      <c r="X4211">
        <v>0.95712759999999997</v>
      </c>
      <c r="Y4211">
        <v>0.321972599999999</v>
      </c>
      <c r="Z4211">
        <v>7.0444569999999998E-2</v>
      </c>
      <c r="AA4211">
        <v>0.94412459999999998</v>
      </c>
      <c r="AB4211">
        <v>27</v>
      </c>
      <c r="AC4211">
        <v>-5.5038999999999803</v>
      </c>
      <c r="AD4211">
        <v>-1.1097242217799901</v>
      </c>
      <c r="AE4211">
        <v>-14.517300000000001</v>
      </c>
      <c r="AF4211">
        <v>5.0682338709081503</v>
      </c>
      <c r="AG4211">
        <v>-1.1097242217799901</v>
      </c>
      <c r="AH4211">
        <v>14.591562333285999</v>
      </c>
      <c r="AI4211">
        <v>94.109191169847506</v>
      </c>
      <c r="AJ4211">
        <v>70.845838501477402</v>
      </c>
      <c r="AK4211">
        <v>15.4865158684836</v>
      </c>
      <c r="AL4211">
        <v>78.990374554101194</v>
      </c>
      <c r="AM4211">
        <v>77.180456988318994</v>
      </c>
      <c r="AN4211">
        <v>0.99999999030486497</v>
      </c>
    </row>
    <row r="4212" spans="1:40" x14ac:dyDescent="0.25">
      <c r="A4212" t="str">
        <f>"20190312164111406"</f>
        <v>20190312164111406</v>
      </c>
      <c r="B4212" t="str">
        <f>"1552380071400506"</f>
        <v>1552380071400506</v>
      </c>
      <c r="C4212" t="s">
        <v>40</v>
      </c>
      <c r="D4212">
        <v>5.6648310000000004</v>
      </c>
      <c r="E4212">
        <v>0.55220179999999996</v>
      </c>
      <c r="F4212" t="s">
        <v>50</v>
      </c>
      <c r="G4212">
        <v>-196.84039999999999</v>
      </c>
      <c r="H4212" s="1">
        <v>-1.316865E-5</v>
      </c>
      <c r="I4212">
        <v>153.52619999999999</v>
      </c>
      <c r="J4212">
        <v>-191.22190000000001</v>
      </c>
      <c r="K4212">
        <v>1.1096189999999999</v>
      </c>
      <c r="L4212">
        <v>168.02250000000001</v>
      </c>
      <c r="M4212">
        <v>-2.9483410000000002E-2</v>
      </c>
      <c r="N4212">
        <v>0</v>
      </c>
      <c r="O4212">
        <v>-0.99946729999999995</v>
      </c>
      <c r="P4212">
        <v>-0.2529419</v>
      </c>
      <c r="Q4212">
        <v>0.17874570000000001</v>
      </c>
      <c r="R4212">
        <v>-0.95082619999999896</v>
      </c>
      <c r="S4212">
        <v>-1.106522</v>
      </c>
      <c r="T4212">
        <v>-0.21818850000000001</v>
      </c>
      <c r="U4212">
        <v>-2.9044189999999999</v>
      </c>
      <c r="V4212">
        <v>0.22526499999999999</v>
      </c>
      <c r="W4212">
        <v>0.1915964</v>
      </c>
      <c r="X4212">
        <v>0.95527300000000004</v>
      </c>
      <c r="Y4212">
        <v>0.32742719999999997</v>
      </c>
      <c r="Z4212">
        <v>7.0346249999999999E-2</v>
      </c>
      <c r="AA4212">
        <v>0.94225409999999998</v>
      </c>
      <c r="AB4212">
        <v>27</v>
      </c>
      <c r="AC4212">
        <v>-5.6184999999999796</v>
      </c>
      <c r="AD4212">
        <v>-1.1096321686499999</v>
      </c>
      <c r="AE4212">
        <v>-14.4963</v>
      </c>
      <c r="AF4212">
        <v>5.1623176830523398</v>
      </c>
      <c r="AG4212">
        <v>-1.1096321686499999</v>
      </c>
      <c r="AH4212">
        <v>14.5813872671926</v>
      </c>
      <c r="AI4212">
        <v>94.103151170683304</v>
      </c>
      <c r="AJ4212">
        <v>70.504268035443502</v>
      </c>
      <c r="AK4212">
        <v>15.507987040435101</v>
      </c>
      <c r="AL4212">
        <v>78.954037076177997</v>
      </c>
      <c r="AM4212">
        <v>76.731358168775799</v>
      </c>
      <c r="AN4212">
        <v>1.0000000026234701</v>
      </c>
    </row>
    <row r="4213" spans="1:40" x14ac:dyDescent="0.25">
      <c r="A4213" t="str">
        <f>"20190312164111428"</f>
        <v>20190312164111428</v>
      </c>
      <c r="B4213" t="str">
        <f>"1552380071420025"</f>
        <v>1552380071420025</v>
      </c>
      <c r="C4213" t="s">
        <v>40</v>
      </c>
      <c r="D4213">
        <v>6.2408289999999997</v>
      </c>
      <c r="E4213">
        <v>0.55127879999999996</v>
      </c>
      <c r="F4213" t="s">
        <v>50</v>
      </c>
      <c r="G4213">
        <v>-197.0909</v>
      </c>
      <c r="H4213" s="1">
        <v>-1.30314E-5</v>
      </c>
      <c r="I4213">
        <v>152.89240000000001</v>
      </c>
      <c r="J4213">
        <v>-191.2319</v>
      </c>
      <c r="K4213">
        <v>1.1094980000000001</v>
      </c>
      <c r="L4213">
        <v>167.7439</v>
      </c>
      <c r="M4213">
        <v>-3.1112279999999999E-2</v>
      </c>
      <c r="N4213">
        <v>0</v>
      </c>
      <c r="O4213">
        <v>-0.99941789999999997</v>
      </c>
      <c r="P4213">
        <v>-0.26194830000000002</v>
      </c>
      <c r="Q4213">
        <v>0.18037539999999999</v>
      </c>
      <c r="R4213">
        <v>-0.94807609999999998</v>
      </c>
      <c r="S4213">
        <v>-1.1234440000000001</v>
      </c>
      <c r="T4213">
        <v>-0.21240439999999999</v>
      </c>
      <c r="U4213">
        <v>-2.8961939999999999</v>
      </c>
      <c r="V4213">
        <v>0.2328556</v>
      </c>
      <c r="W4213">
        <v>0.19310740000000001</v>
      </c>
      <c r="X4213">
        <v>0.9531463</v>
      </c>
      <c r="Y4213">
        <v>0.33161469999999998</v>
      </c>
      <c r="Z4213">
        <v>6.8545590000000003E-2</v>
      </c>
      <c r="AA4213">
        <v>0.94092149999999997</v>
      </c>
      <c r="AB4213">
        <v>27</v>
      </c>
      <c r="AC4213">
        <v>-5.859</v>
      </c>
      <c r="AD4213">
        <v>-1.1095110313999901</v>
      </c>
      <c r="AE4213">
        <v>-14.8514999999999</v>
      </c>
      <c r="AF4213">
        <v>5.3681284197779897</v>
      </c>
      <c r="AG4213">
        <v>-1.1095110313999901</v>
      </c>
      <c r="AH4213">
        <v>14.9543914103277</v>
      </c>
      <c r="AI4213">
        <v>93.994492481545805</v>
      </c>
      <c r="AJ4213">
        <v>70.253552520514603</v>
      </c>
      <c r="AK4213">
        <v>15.927386474664001</v>
      </c>
      <c r="AL4213">
        <v>78.865816050815894</v>
      </c>
      <c r="AM4213">
        <v>76.271430252224803</v>
      </c>
      <c r="AN4213">
        <v>1.0000000337949</v>
      </c>
    </row>
    <row r="4214" spans="1:40" x14ac:dyDescent="0.25">
      <c r="A4214" t="str">
        <f>"20190312164111451"</f>
        <v>20190312164111451</v>
      </c>
      <c r="B4214" t="str">
        <f>"1552380071440521"</f>
        <v>1552380071440521</v>
      </c>
      <c r="C4214" t="s">
        <v>40</v>
      </c>
      <c r="D4214">
        <v>5.6516719999999996</v>
      </c>
      <c r="E4214">
        <v>0.55054159999999996</v>
      </c>
      <c r="F4214" t="s">
        <v>50</v>
      </c>
      <c r="G4214">
        <v>-197.46109999999999</v>
      </c>
      <c r="H4214" s="1">
        <v>-1.284432E-5</v>
      </c>
      <c r="I4214">
        <v>152.01840000000001</v>
      </c>
      <c r="J4214">
        <v>-191.24209999999999</v>
      </c>
      <c r="K4214">
        <v>1.1093489999999999</v>
      </c>
      <c r="L4214">
        <v>167.47739999999999</v>
      </c>
      <c r="M4214">
        <v>-3.2913209999999998E-2</v>
      </c>
      <c r="N4214">
        <v>0</v>
      </c>
      <c r="O4214">
        <v>-0.99936000000000003</v>
      </c>
      <c r="P4214">
        <v>-0.27173629999999999</v>
      </c>
      <c r="Q4214">
        <v>0.18233260000000001</v>
      </c>
      <c r="R4214">
        <v>-0.94494180000000005</v>
      </c>
      <c r="S4214">
        <v>-1.1436309999999901</v>
      </c>
      <c r="T4214">
        <v>-0.2036964</v>
      </c>
      <c r="U4214">
        <v>-2.88707</v>
      </c>
      <c r="V4214">
        <v>0.2410997</v>
      </c>
      <c r="W4214">
        <v>0.1949186</v>
      </c>
      <c r="X4214">
        <v>0.95072480000000004</v>
      </c>
      <c r="Y4214">
        <v>0.33668140000000002</v>
      </c>
      <c r="Z4214">
        <v>6.5793779999999996E-2</v>
      </c>
      <c r="AA4214">
        <v>0.93931719999999996</v>
      </c>
      <c r="AB4214">
        <v>27</v>
      </c>
      <c r="AC4214">
        <v>-6.2189999999999896</v>
      </c>
      <c r="AD4214">
        <v>-1.10936184432</v>
      </c>
      <c r="AE4214">
        <v>-15.4589999999999</v>
      </c>
      <c r="AF4214">
        <v>5.6815916513211802</v>
      </c>
      <c r="AG4214">
        <v>-1.10936184432</v>
      </c>
      <c r="AH4214">
        <v>15.5862458389055</v>
      </c>
      <c r="AI4214">
        <v>93.825748615749802</v>
      </c>
      <c r="AJ4214">
        <v>69.971887566750198</v>
      </c>
      <c r="AK4214">
        <v>16.626551859745199</v>
      </c>
      <c r="AL4214">
        <v>78.760031365118806</v>
      </c>
      <c r="AM4214">
        <v>75.770022675408498</v>
      </c>
      <c r="AN4214">
        <v>0.99999998565054504</v>
      </c>
    </row>
    <row r="4215" spans="1:40" x14ac:dyDescent="0.25">
      <c r="A4215" t="str">
        <f>"20190312164111472"</f>
        <v>20190312164111472</v>
      </c>
      <c r="B4215" t="str">
        <f>"1552380071460041"</f>
        <v>1552380071460041</v>
      </c>
      <c r="C4215" t="s">
        <v>40</v>
      </c>
      <c r="D4215">
        <v>5.7112160000000003</v>
      </c>
      <c r="E4215">
        <v>0.54975039999999997</v>
      </c>
      <c r="F4215" t="s">
        <v>50</v>
      </c>
      <c r="G4215">
        <v>-197.87139999999999</v>
      </c>
      <c r="H4215" s="1">
        <v>-1.2659399999999999E-5</v>
      </c>
      <c r="I4215">
        <v>151.1388</v>
      </c>
      <c r="J4215">
        <v>-191.25290000000001</v>
      </c>
      <c r="K4215">
        <v>1.1091770000000001</v>
      </c>
      <c r="L4215">
        <v>167.21629999999999</v>
      </c>
      <c r="M4215">
        <v>-3.494626E-2</v>
      </c>
      <c r="N4215">
        <v>0</v>
      </c>
      <c r="O4215">
        <v>-0.99929080000000003</v>
      </c>
      <c r="P4215">
        <v>-0.28159309999999999</v>
      </c>
      <c r="Q4215">
        <v>0.1842886</v>
      </c>
      <c r="R4215">
        <v>-0.94167040000000002</v>
      </c>
      <c r="S4215">
        <v>-1.167252</v>
      </c>
      <c r="T4215">
        <v>-0.1953317</v>
      </c>
      <c r="U4215">
        <v>-2.8768310000000001</v>
      </c>
      <c r="V4215">
        <v>0.24922240000000001</v>
      </c>
      <c r="W4215">
        <v>0.19670480000000001</v>
      </c>
      <c r="X4215">
        <v>0.94825919999999997</v>
      </c>
      <c r="Y4215">
        <v>0.34260930000000001</v>
      </c>
      <c r="Z4215">
        <v>6.3142229999999994E-2</v>
      </c>
      <c r="AA4215">
        <v>0.93735369999999996</v>
      </c>
      <c r="AB4215">
        <v>27</v>
      </c>
      <c r="AC4215">
        <v>-6.6184999999999796</v>
      </c>
      <c r="AD4215">
        <v>-1.1091896593999999</v>
      </c>
      <c r="AE4215">
        <v>-16.077499999999901</v>
      </c>
      <c r="AF4215">
        <v>6.0280192064087297</v>
      </c>
      <c r="AG4215">
        <v>-1.1091896593999999</v>
      </c>
      <c r="AH4215">
        <v>16.232925496400501</v>
      </c>
      <c r="AI4215">
        <v>93.665111461027706</v>
      </c>
      <c r="AJ4215">
        <v>69.627761869047006</v>
      </c>
      <c r="AK4215">
        <v>17.351518303164202</v>
      </c>
      <c r="AL4215">
        <v>78.655670037149605</v>
      </c>
      <c r="AM4215">
        <v>75.274492898564901</v>
      </c>
      <c r="AN4215">
        <v>1.0000000466947101</v>
      </c>
    </row>
    <row r="4216" spans="1:40" x14ac:dyDescent="0.25">
      <c r="A4216" t="str">
        <f>"20190312164111494"</f>
        <v>20190312164111494</v>
      </c>
      <c r="B4216" t="str">
        <f>"1552380071490297"</f>
        <v>1552380071490297</v>
      </c>
      <c r="C4216" t="s">
        <v>40</v>
      </c>
      <c r="D4216">
        <v>5.651319</v>
      </c>
      <c r="E4216">
        <v>0.54896009999999995</v>
      </c>
      <c r="F4216" t="s">
        <v>50</v>
      </c>
      <c r="G4216">
        <v>-198.3141</v>
      </c>
      <c r="H4216" s="1">
        <v>-1.2419609999999999E-5</v>
      </c>
      <c r="I4216">
        <v>150.1986</v>
      </c>
      <c r="J4216">
        <v>-191.26439999999999</v>
      </c>
      <c r="K4216">
        <v>1.1089719999999901</v>
      </c>
      <c r="L4216">
        <v>166.95920000000001</v>
      </c>
      <c r="M4216">
        <v>-3.7230619999999999E-2</v>
      </c>
      <c r="N4216">
        <v>0</v>
      </c>
      <c r="O4216">
        <v>-0.9992084</v>
      </c>
      <c r="P4216">
        <v>-0.29160459999999999</v>
      </c>
      <c r="Q4216">
        <v>0.18557180000000001</v>
      </c>
      <c r="R4216">
        <v>-0.93836560000000002</v>
      </c>
      <c r="S4216">
        <v>-1.189484</v>
      </c>
      <c r="T4216">
        <v>-0.18684780000000001</v>
      </c>
      <c r="U4216">
        <v>-2.8666990000000001</v>
      </c>
      <c r="V4216">
        <v>0.2572817</v>
      </c>
      <c r="W4216">
        <v>0.19779969999999999</v>
      </c>
      <c r="X4216">
        <v>0.94587600000000005</v>
      </c>
      <c r="Y4216">
        <v>0.3478929</v>
      </c>
      <c r="Z4216">
        <v>6.0453769999999997E-2</v>
      </c>
      <c r="AA4216">
        <v>0.93558319999999995</v>
      </c>
      <c r="AB4216">
        <v>27</v>
      </c>
      <c r="AC4216">
        <v>-7.0496999999999996</v>
      </c>
      <c r="AD4216">
        <v>-1.1089844196099901</v>
      </c>
      <c r="AE4216">
        <v>-16.7606</v>
      </c>
      <c r="AF4216">
        <v>6.3969468786752204</v>
      </c>
      <c r="AG4216">
        <v>-1.1089844196099901</v>
      </c>
      <c r="AH4216">
        <v>16.948422257637699</v>
      </c>
      <c r="AI4216">
        <v>93.503136289038807</v>
      </c>
      <c r="AJ4216">
        <v>69.321681501500294</v>
      </c>
      <c r="AK4216">
        <v>18.149374447476699</v>
      </c>
      <c r="AL4216">
        <v>78.591679124484898</v>
      </c>
      <c r="AM4216">
        <v>74.783479943829903</v>
      </c>
      <c r="AN4216">
        <v>1.0000000009254899</v>
      </c>
    </row>
    <row r="4217" spans="1:40" x14ac:dyDescent="0.25">
      <c r="A4217" t="str">
        <f>"20190312164111517"</f>
        <v>20190312164111517</v>
      </c>
      <c r="B4217" t="str">
        <f>"1552380071509817"</f>
        <v>1552380071509817</v>
      </c>
      <c r="C4217" t="s">
        <v>40</v>
      </c>
      <c r="D4217">
        <v>6.1315109999999997</v>
      </c>
      <c r="E4217">
        <v>0.52770719999999904</v>
      </c>
      <c r="F4217" t="s">
        <v>50</v>
      </c>
      <c r="G4217">
        <v>-198.69929999999999</v>
      </c>
      <c r="H4217" s="1">
        <v>-1.2190780000000001E-5</v>
      </c>
      <c r="I4217">
        <v>149.4367</v>
      </c>
      <c r="J4217">
        <v>-191.2782</v>
      </c>
      <c r="K4217">
        <v>1.1087309999999999</v>
      </c>
      <c r="L4217">
        <v>166.67230000000001</v>
      </c>
      <c r="M4217">
        <v>-4.0109150000000003E-2</v>
      </c>
      <c r="N4217">
        <v>0</v>
      </c>
      <c r="O4217">
        <v>-0.99909680000000001</v>
      </c>
      <c r="P4217">
        <v>-0.30240929999999999</v>
      </c>
      <c r="Q4217">
        <v>0.18670220000000001</v>
      </c>
      <c r="R4217">
        <v>-0.9347145</v>
      </c>
      <c r="S4217">
        <v>-1.2118990000000001</v>
      </c>
      <c r="T4217">
        <v>-0.1807648</v>
      </c>
      <c r="U4217">
        <v>-2.8561709999999998</v>
      </c>
      <c r="V4217">
        <v>0.26561319999999999</v>
      </c>
      <c r="W4217">
        <v>0.198712</v>
      </c>
      <c r="X4217">
        <v>0.94337859999999996</v>
      </c>
      <c r="Y4217">
        <v>0.35269260000000002</v>
      </c>
      <c r="Z4217">
        <v>5.8541639999999999E-2</v>
      </c>
      <c r="AA4217">
        <v>0.93390620000000002</v>
      </c>
      <c r="AB4217">
        <v>27</v>
      </c>
      <c r="AC4217">
        <v>-7.4210999999999903</v>
      </c>
      <c r="AD4217">
        <v>-1.1087431907799901</v>
      </c>
      <c r="AE4217">
        <v>-17.235600000000002</v>
      </c>
      <c r="AF4217">
        <v>6.7003629010156196</v>
      </c>
      <c r="AG4217">
        <v>-1.1087431907799901</v>
      </c>
      <c r="AH4217">
        <v>17.4584638930308</v>
      </c>
      <c r="AI4217">
        <v>93.393142543088302</v>
      </c>
      <c r="AJ4217">
        <v>69.003757156305696</v>
      </c>
      <c r="AK4217">
        <v>18.7329158427797</v>
      </c>
      <c r="AL4217">
        <v>78.538349678029704</v>
      </c>
      <c r="AM4217">
        <v>74.275155825618995</v>
      </c>
      <c r="AN4217">
        <v>1.0000000069480901</v>
      </c>
    </row>
    <row r="4218" spans="1:40" x14ac:dyDescent="0.25">
      <c r="A4218" t="str">
        <f>"20190312164111540"</f>
        <v>20190312164111540</v>
      </c>
      <c r="B4218" t="str">
        <f>"1552380071530316"</f>
        <v>1552380071530316</v>
      </c>
      <c r="C4218" t="s">
        <v>40</v>
      </c>
      <c r="D4218">
        <v>5.5462059999999997</v>
      </c>
      <c r="E4218">
        <v>0.52993690000000004</v>
      </c>
      <c r="F4218" t="s">
        <v>50</v>
      </c>
      <c r="G4218">
        <v>-196.2475</v>
      </c>
      <c r="H4218" s="1">
        <v>-1.304803E-5</v>
      </c>
      <c r="I4218">
        <v>153.25579999999999</v>
      </c>
      <c r="J4218">
        <v>-191.29159999999999</v>
      </c>
      <c r="K4218">
        <v>1.108527</v>
      </c>
      <c r="L4218">
        <v>166.41679999999999</v>
      </c>
      <c r="M4218">
        <v>-4.2992509999999998E-2</v>
      </c>
      <c r="N4218">
        <v>0</v>
      </c>
      <c r="O4218">
        <v>-0.9989768</v>
      </c>
      <c r="P4218">
        <v>-0.31341449999999998</v>
      </c>
      <c r="Q4218">
        <v>0.18742110000000001</v>
      </c>
      <c r="R4218">
        <v>-0.93093789999999998</v>
      </c>
      <c r="S4218">
        <v>-1.0774539999999999</v>
      </c>
      <c r="T4218">
        <v>-0.24039769999999999</v>
      </c>
      <c r="U4218">
        <v>-2.9089659999999999</v>
      </c>
      <c r="V4218">
        <v>0.27414300000000003</v>
      </c>
      <c r="W4218">
        <v>0.19922509999999999</v>
      </c>
      <c r="X4218">
        <v>0.94082679999999996</v>
      </c>
      <c r="Y4218">
        <v>0.30564160000000001</v>
      </c>
      <c r="Z4218">
        <v>7.7713379999999999E-2</v>
      </c>
      <c r="AA4218">
        <v>0.94896990000000003</v>
      </c>
      <c r="AB4218">
        <v>27</v>
      </c>
      <c r="AC4218">
        <v>-4.9559000000000104</v>
      </c>
      <c r="AD4218">
        <v>-1.1085400480299901</v>
      </c>
      <c r="AE4218">
        <v>-13.161</v>
      </c>
      <c r="AF4218">
        <v>4.3583560488547999</v>
      </c>
      <c r="AG4218">
        <v>-1.1085400480299901</v>
      </c>
      <c r="AH4218">
        <v>13.279404901834701</v>
      </c>
      <c r="AI4218">
        <v>94.534950692537706</v>
      </c>
      <c r="AJ4218">
        <v>71.829948431748903</v>
      </c>
      <c r="AK4218">
        <v>14.0202254986696</v>
      </c>
      <c r="AL4218">
        <v>78.508351882483495</v>
      </c>
      <c r="AM4218">
        <v>73.754659219354593</v>
      </c>
      <c r="AN4218">
        <v>1.00000004625862</v>
      </c>
    </row>
    <row r="4219" spans="1:40" x14ac:dyDescent="0.25">
      <c r="A4219" t="str">
        <f>"20190312164111561"</f>
        <v>20190312164111561</v>
      </c>
      <c r="B4219" t="str">
        <f>"1552380071549833"</f>
        <v>1552380071549833</v>
      </c>
      <c r="C4219" t="s">
        <v>40</v>
      </c>
      <c r="D4219">
        <v>5.7233769999999904</v>
      </c>
      <c r="E4219">
        <v>0.53264389999999995</v>
      </c>
      <c r="F4219" t="s">
        <v>50</v>
      </c>
      <c r="G4219">
        <v>-197.54910000000001</v>
      </c>
      <c r="H4219" s="1">
        <v>-1.237964E-5</v>
      </c>
      <c r="I4219">
        <v>150.42179999999999</v>
      </c>
      <c r="J4219">
        <v>-191.30629999999999</v>
      </c>
      <c r="K4219">
        <v>1.108336</v>
      </c>
      <c r="L4219">
        <v>166.15599999999901</v>
      </c>
      <c r="M4219">
        <v>-4.620171E-2</v>
      </c>
      <c r="N4219">
        <v>0</v>
      </c>
      <c r="O4219">
        <v>-0.99883319999999998</v>
      </c>
      <c r="P4219">
        <v>-0.32516850000000003</v>
      </c>
      <c r="Q4219">
        <v>0.18777679999999999</v>
      </c>
      <c r="R4219">
        <v>-0.92682529999999996</v>
      </c>
      <c r="S4219">
        <v>-1.127899</v>
      </c>
      <c r="T4219">
        <v>-0.19981009999999999</v>
      </c>
      <c r="U4219">
        <v>-2.883041</v>
      </c>
      <c r="V4219">
        <v>0.283136</v>
      </c>
      <c r="W4219">
        <v>0.1993732</v>
      </c>
      <c r="X4219">
        <v>0.93812810000000002</v>
      </c>
      <c r="Y4219">
        <v>0.32014559999999997</v>
      </c>
      <c r="Z4219">
        <v>6.4829150000000002E-2</v>
      </c>
      <c r="AA4219">
        <v>0.94514759999999998</v>
      </c>
      <c r="AB4219">
        <v>27</v>
      </c>
      <c r="AC4219">
        <v>-6.2428000000000097</v>
      </c>
      <c r="AD4219">
        <v>-1.10834837964</v>
      </c>
      <c r="AE4219">
        <v>-15.7341999999999</v>
      </c>
      <c r="AF4219">
        <v>5.4855956994067903</v>
      </c>
      <c r="AG4219">
        <v>-1.10834837964</v>
      </c>
      <c r="AH4219">
        <v>15.937524235647199</v>
      </c>
      <c r="AI4219">
        <v>93.762194404672599</v>
      </c>
      <c r="AJ4219">
        <v>71.006858839448896</v>
      </c>
      <c r="AK4219">
        <v>16.891562244796699</v>
      </c>
      <c r="AL4219">
        <v>78.499692119859802</v>
      </c>
      <c r="AM4219">
        <v>73.205685426985696</v>
      </c>
      <c r="AN4219">
        <v>0.99999999969192499</v>
      </c>
    </row>
    <row r="4220" spans="1:40" x14ac:dyDescent="0.25">
      <c r="A4220" t="str">
        <f>"20190312164111583"</f>
        <v>20190312164111583</v>
      </c>
      <c r="B4220" t="str">
        <f>"1552380071580089"</f>
        <v>1552380071580089</v>
      </c>
      <c r="C4220" t="s">
        <v>40</v>
      </c>
      <c r="D4220">
        <v>5.4856480000000003</v>
      </c>
      <c r="E4220">
        <v>0.55658769999999902</v>
      </c>
      <c r="F4220" t="s">
        <v>50</v>
      </c>
      <c r="G4220">
        <v>-198.71539999999999</v>
      </c>
      <c r="H4220" s="1">
        <v>-1.18808999999999E-5</v>
      </c>
      <c r="I4220">
        <v>148.26480000000001</v>
      </c>
      <c r="J4220">
        <v>-191.3228</v>
      </c>
      <c r="K4220">
        <v>1.1081730000000001</v>
      </c>
      <c r="L4220">
        <v>165.8843</v>
      </c>
      <c r="M4220">
        <v>-4.9764929999999999E-2</v>
      </c>
      <c r="N4220">
        <v>0</v>
      </c>
      <c r="O4220">
        <v>-0.99866200000000005</v>
      </c>
      <c r="P4220">
        <v>-0.33774759999999998</v>
      </c>
      <c r="Q4220">
        <v>0.18745719999999999</v>
      </c>
      <c r="R4220">
        <v>-0.92238100000000001</v>
      </c>
      <c r="S4220">
        <v>-1.183365</v>
      </c>
      <c r="T4220">
        <v>-0.1770236</v>
      </c>
      <c r="U4220">
        <v>-2.8575439999999999</v>
      </c>
      <c r="V4220">
        <v>0.29263739999999999</v>
      </c>
      <c r="W4220">
        <v>0.19885449999999999</v>
      </c>
      <c r="X4220">
        <v>0.93531819999999999</v>
      </c>
      <c r="Y4220">
        <v>0.33551940000000002</v>
      </c>
      <c r="Z4220">
        <v>5.756344E-2</v>
      </c>
      <c r="AA4220">
        <v>0.94027289999999997</v>
      </c>
      <c r="AB4220">
        <v>27</v>
      </c>
      <c r="AC4220">
        <v>-7.3925999999999803</v>
      </c>
      <c r="AD4220">
        <v>-1.1081848808999999</v>
      </c>
      <c r="AE4220">
        <v>-17.619499999999899</v>
      </c>
      <c r="AF4220">
        <v>6.4847060601450197</v>
      </c>
      <c r="AG4220">
        <v>-1.1081848808999999</v>
      </c>
      <c r="AH4220">
        <v>17.9053648968526</v>
      </c>
      <c r="AI4220">
        <v>93.330423070693001</v>
      </c>
      <c r="AJ4220">
        <v>70.091358860086302</v>
      </c>
      <c r="AK4220">
        <v>19.0756802894727</v>
      </c>
      <c r="AL4220">
        <v>78.530018084245796</v>
      </c>
      <c r="AM4220">
        <v>72.626418819975896</v>
      </c>
      <c r="AN4220">
        <v>0.99999994765012301</v>
      </c>
    </row>
    <row r="4221" spans="1:40" x14ac:dyDescent="0.25">
      <c r="A4221" t="str">
        <f>"20190312164111607"</f>
        <v>20190312164111607</v>
      </c>
      <c r="B4221" t="str">
        <f>"1552380071600584"</f>
        <v>1552380071600584</v>
      </c>
      <c r="C4221" t="s">
        <v>40</v>
      </c>
      <c r="D4221">
        <v>5.4824409999999997</v>
      </c>
      <c r="E4221">
        <v>0.55443710000000002</v>
      </c>
      <c r="F4221" t="s">
        <v>50</v>
      </c>
      <c r="G4221">
        <v>-206.90799999999999</v>
      </c>
      <c r="H4221" s="1">
        <v>-5.3579220000000002E-6</v>
      </c>
      <c r="I4221">
        <v>135.29750000000001</v>
      </c>
      <c r="J4221">
        <v>-191.34059999999999</v>
      </c>
      <c r="K4221">
        <v>1.1080380000000001</v>
      </c>
      <c r="L4221">
        <v>165.61089999999999</v>
      </c>
      <c r="M4221">
        <v>-5.3533259999999999E-2</v>
      </c>
      <c r="N4221">
        <v>0</v>
      </c>
      <c r="O4221">
        <v>-0.99846699999999999</v>
      </c>
      <c r="P4221">
        <v>-0.35024250000000001</v>
      </c>
      <c r="Q4221">
        <v>0.18616779999999999</v>
      </c>
      <c r="R4221">
        <v>-0.9179716</v>
      </c>
      <c r="S4221">
        <v>-1.4053960000000001</v>
      </c>
      <c r="T4221">
        <v>-9.9930169999999999E-2</v>
      </c>
      <c r="U4221">
        <v>-2.7581630000000001</v>
      </c>
      <c r="V4221">
        <v>0.30186049999999998</v>
      </c>
      <c r="W4221">
        <v>0.19738639999999999</v>
      </c>
      <c r="X4221">
        <v>0.93269440000000003</v>
      </c>
      <c r="Y4221">
        <v>0.40540670000000001</v>
      </c>
      <c r="Z4221">
        <v>3.2584509999999997E-2</v>
      </c>
      <c r="AA4221">
        <v>0.91355549999999996</v>
      </c>
      <c r="AB4221">
        <v>27</v>
      </c>
      <c r="AC4221">
        <v>-15.5673999999999</v>
      </c>
      <c r="AD4221">
        <v>-1.1080433579219999</v>
      </c>
      <c r="AE4221">
        <v>-30.313399999999898</v>
      </c>
      <c r="AF4221">
        <v>13.9074332739615</v>
      </c>
      <c r="AG4221">
        <v>-1.1080433579219999</v>
      </c>
      <c r="AH4221">
        <v>31.070529938401599</v>
      </c>
      <c r="AI4221">
        <v>91.864330302666005</v>
      </c>
      <c r="AJ4221">
        <v>65.886304962067499</v>
      </c>
      <c r="AK4221">
        <v>34.059099973514201</v>
      </c>
      <c r="AL4221">
        <v>78.615835706017606</v>
      </c>
      <c r="AM4221">
        <v>72.066161932941796</v>
      </c>
      <c r="AN4221">
        <v>0.99999999807828499</v>
      </c>
    </row>
    <row r="4222" spans="1:40" x14ac:dyDescent="0.25">
      <c r="A4222" t="str">
        <f>"20190312164111629"</f>
        <v>20190312164111629</v>
      </c>
      <c r="B4222" t="str">
        <f>"1552380071620114"</f>
        <v>1552380071620114</v>
      </c>
      <c r="C4222" t="s">
        <v>40</v>
      </c>
      <c r="D4222">
        <v>5.7024330000000001</v>
      </c>
      <c r="E4222">
        <v>0.55505479999999996</v>
      </c>
      <c r="F4222" t="s">
        <v>50</v>
      </c>
      <c r="G4222">
        <v>-207.571</v>
      </c>
      <c r="H4222" s="1">
        <v>-4.7348120000000003E-6</v>
      </c>
      <c r="I4222">
        <v>134.36359999999999</v>
      </c>
      <c r="J4222">
        <v>-191.35919999999999</v>
      </c>
      <c r="K4222">
        <v>1.1079349999999999</v>
      </c>
      <c r="L4222">
        <v>165.34289999999999</v>
      </c>
      <c r="M4222">
        <v>-5.7373449999999999E-2</v>
      </c>
      <c r="N4222">
        <v>0</v>
      </c>
      <c r="O4222">
        <v>-0.99825379999999997</v>
      </c>
      <c r="P4222">
        <v>-0.36255680000000001</v>
      </c>
      <c r="Q4222">
        <v>0.1853862</v>
      </c>
      <c r="R4222">
        <v>-0.91333719999999996</v>
      </c>
      <c r="S4222">
        <v>-1.425278</v>
      </c>
      <c r="T4222">
        <v>-9.7303390000000003E-2</v>
      </c>
      <c r="U4222">
        <v>-2.7440030000000002</v>
      </c>
      <c r="V4222">
        <v>0.31086160000000002</v>
      </c>
      <c r="W4222">
        <v>0.19644020000000001</v>
      </c>
      <c r="X4222">
        <v>0.92993349999999997</v>
      </c>
      <c r="Y4222">
        <v>0.40903289999999998</v>
      </c>
      <c r="Z4222">
        <v>3.1787299999999998E-2</v>
      </c>
      <c r="AA4222">
        <v>0.91196580000000005</v>
      </c>
      <c r="AB4222">
        <v>27</v>
      </c>
      <c r="AC4222">
        <v>-16.2118</v>
      </c>
      <c r="AD4222">
        <v>-1.1079397348119999</v>
      </c>
      <c r="AE4222">
        <v>-30.979299999999899</v>
      </c>
      <c r="AF4222">
        <v>14.393073610259799</v>
      </c>
      <c r="AG4222">
        <v>-1.1079397348119999</v>
      </c>
      <c r="AH4222">
        <v>31.826522768737998</v>
      </c>
      <c r="AI4222">
        <v>91.816760115346796</v>
      </c>
      <c r="AJ4222">
        <v>65.665843169648994</v>
      </c>
      <c r="AK4222">
        <v>34.947326792693801</v>
      </c>
      <c r="AL4222">
        <v>78.671131646483005</v>
      </c>
      <c r="AM4222">
        <v>71.516058975315502</v>
      </c>
      <c r="AN4222">
        <v>1.00000000047642</v>
      </c>
    </row>
    <row r="4223" spans="1:40" x14ac:dyDescent="0.25">
      <c r="A4223" t="str">
        <f>"20190312164111651"</f>
        <v>20190312164111651</v>
      </c>
      <c r="B4223" t="str">
        <f>"1552380071640601"</f>
        <v>1552380071640601</v>
      </c>
      <c r="C4223" t="s">
        <v>40</v>
      </c>
      <c r="D4223">
        <v>5.6925619999999997</v>
      </c>
      <c r="E4223">
        <v>0.55461819999999995</v>
      </c>
      <c r="F4223" t="s">
        <v>50</v>
      </c>
      <c r="G4223">
        <v>-204.85730000000001</v>
      </c>
      <c r="H4223" s="1">
        <v>-7.792166E-6</v>
      </c>
      <c r="I4223">
        <v>140.185</v>
      </c>
      <c r="J4223">
        <v>-191.3784</v>
      </c>
      <c r="K4223">
        <v>1.1078509999999999</v>
      </c>
      <c r="L4223">
        <v>165.0829</v>
      </c>
      <c r="M4223">
        <v>-6.1211340000000003E-2</v>
      </c>
      <c r="N4223">
        <v>0</v>
      </c>
      <c r="O4223">
        <v>-0.99802550000000001</v>
      </c>
      <c r="P4223">
        <v>-0.37068719999999999</v>
      </c>
      <c r="Q4223">
        <v>0.18562619999999999</v>
      </c>
      <c r="R4223">
        <v>-0.91001840000000001</v>
      </c>
      <c r="S4223">
        <v>-1.463684</v>
      </c>
      <c r="T4223">
        <v>-0.120140899999999</v>
      </c>
      <c r="U4223">
        <v>-2.728027</v>
      </c>
      <c r="V4223">
        <v>0.31563140000000001</v>
      </c>
      <c r="W4223">
        <v>0.1965683</v>
      </c>
      <c r="X4223">
        <v>0.92829819999999996</v>
      </c>
      <c r="Y4223">
        <v>0.41759109999999999</v>
      </c>
      <c r="Z4223">
        <v>3.9224389999999998E-2</v>
      </c>
      <c r="AA4223">
        <v>0.90778800000000004</v>
      </c>
      <c r="AB4223">
        <v>27</v>
      </c>
      <c r="AC4223">
        <v>-13.478899999999999</v>
      </c>
      <c r="AD4223">
        <v>-1.1078587921659999</v>
      </c>
      <c r="AE4223">
        <v>-24.8979</v>
      </c>
      <c r="AF4223">
        <v>11.9111969265994</v>
      </c>
      <c r="AG4223">
        <v>-1.1078587921659999</v>
      </c>
      <c r="AH4223">
        <v>25.637091907788101</v>
      </c>
      <c r="AI4223">
        <v>92.244265367024695</v>
      </c>
      <c r="AJ4223">
        <v>65.080044012687495</v>
      </c>
      <c r="AK4223">
        <v>28.290713048913901</v>
      </c>
      <c r="AL4223">
        <v>78.6636451029254</v>
      </c>
      <c r="AM4223">
        <v>71.221412858848097</v>
      </c>
      <c r="AN4223">
        <v>0.99999991267704103</v>
      </c>
    </row>
    <row r="4224" spans="1:40" x14ac:dyDescent="0.25">
      <c r="A4224" t="str">
        <f>"20190312164111674"</f>
        <v>20190312164111674</v>
      </c>
      <c r="B4224" t="str">
        <f>"1552380071669881"</f>
        <v>1552380071669881</v>
      </c>
      <c r="C4224" t="s">
        <v>40</v>
      </c>
      <c r="D4224">
        <v>5.7108629999999998</v>
      </c>
      <c r="E4224">
        <v>0.5529539</v>
      </c>
      <c r="F4224" t="s">
        <v>50</v>
      </c>
      <c r="G4224">
        <v>-203.41130000000001</v>
      </c>
      <c r="H4224" s="1">
        <v>-9.0845510000000004E-6</v>
      </c>
      <c r="I4224">
        <v>143.0187</v>
      </c>
      <c r="J4224">
        <v>-191.39940000000001</v>
      </c>
      <c r="K4224">
        <v>1.1077699999999999</v>
      </c>
      <c r="L4224">
        <v>164.81299999999999</v>
      </c>
      <c r="M4224">
        <v>-6.5289539999999993E-2</v>
      </c>
      <c r="N4224">
        <v>0</v>
      </c>
      <c r="O4224">
        <v>-0.99776699999999996</v>
      </c>
      <c r="P4224">
        <v>-0.38325890000000001</v>
      </c>
      <c r="Q4224">
        <v>0.18567990000000001</v>
      </c>
      <c r="R4224">
        <v>-0.9047849</v>
      </c>
      <c r="S4224">
        <v>-1.4835050000000001</v>
      </c>
      <c r="T4224">
        <v>-0.13658419999999999</v>
      </c>
      <c r="U4224">
        <v>-2.720215</v>
      </c>
      <c r="V4224">
        <v>0.32474629999999999</v>
      </c>
      <c r="W4224">
        <v>0.1964622</v>
      </c>
      <c r="X4224">
        <v>0.92517159999999998</v>
      </c>
      <c r="Y4224">
        <v>0.41996919999999999</v>
      </c>
      <c r="Z4224">
        <v>4.4578340000000001E-2</v>
      </c>
      <c r="AA4224">
        <v>0.90644290000000005</v>
      </c>
      <c r="AB4224">
        <v>27</v>
      </c>
      <c r="AC4224">
        <v>-12.011899999999899</v>
      </c>
      <c r="AD4224">
        <v>-1.107779084551</v>
      </c>
      <c r="AE4224">
        <v>-21.7943</v>
      </c>
      <c r="AF4224">
        <v>10.5422940827789</v>
      </c>
      <c r="AG4224">
        <v>-1.107779084551</v>
      </c>
      <c r="AH4224">
        <v>22.487556931293799</v>
      </c>
      <c r="AI4224">
        <v>92.553907869858804</v>
      </c>
      <c r="AJ4224">
        <v>64.882550343506693</v>
      </c>
      <c r="AK4224">
        <v>24.860759356185099</v>
      </c>
      <c r="AL4224">
        <v>78.669846340351299</v>
      </c>
      <c r="AM4224">
        <v>70.658316418350594</v>
      </c>
      <c r="AN4224">
        <v>1.00000002241954</v>
      </c>
    </row>
    <row r="4225" spans="1:40" x14ac:dyDescent="0.25">
      <c r="A4225" t="str">
        <f>"20190312164111687"</f>
        <v>20190312164111687</v>
      </c>
      <c r="B4225" t="str">
        <f>"1552380071680617"</f>
        <v>1552380071680617</v>
      </c>
      <c r="C4225" t="s">
        <v>40</v>
      </c>
      <c r="D4225">
        <v>5.6540670000000004</v>
      </c>
      <c r="E4225">
        <v>0.55232409999999998</v>
      </c>
      <c r="F4225" t="s">
        <v>50</v>
      </c>
      <c r="G4225">
        <v>-202.63579999999999</v>
      </c>
      <c r="H4225" s="1">
        <v>-9.7985059999999992E-6</v>
      </c>
      <c r="I4225">
        <v>144.6173</v>
      </c>
      <c r="J4225">
        <v>-191.41249999999999</v>
      </c>
      <c r="K4225">
        <v>1.1077269999999999</v>
      </c>
      <c r="L4225">
        <v>164.65360000000001</v>
      </c>
      <c r="M4225">
        <v>-6.7742650000000001E-2</v>
      </c>
      <c r="N4225">
        <v>0</v>
      </c>
      <c r="O4225">
        <v>-0.99760340000000003</v>
      </c>
      <c r="P4225">
        <v>-0.38939790000000002</v>
      </c>
      <c r="Q4225">
        <v>0.18588399999999999</v>
      </c>
      <c r="R4225">
        <v>-0.90211759999999996</v>
      </c>
      <c r="S4225">
        <v>-1.5066679999999999</v>
      </c>
      <c r="T4225">
        <v>-0.14854010000000001</v>
      </c>
      <c r="U4225">
        <v>-2.708008</v>
      </c>
      <c r="V4225">
        <v>0.32878990000000002</v>
      </c>
      <c r="W4225">
        <v>0.19658800000000001</v>
      </c>
      <c r="X4225">
        <v>0.92371550000000002</v>
      </c>
      <c r="Y4225">
        <v>0.42530030000000002</v>
      </c>
      <c r="Z4225">
        <v>4.8492559999999997E-2</v>
      </c>
      <c r="AA4225">
        <v>0.90375229999999995</v>
      </c>
      <c r="AB4225">
        <v>26</v>
      </c>
      <c r="AC4225">
        <v>-11.223299999999901</v>
      </c>
      <c r="AD4225">
        <v>-1.107736798506</v>
      </c>
      <c r="AE4225">
        <v>-20.036300000000001</v>
      </c>
      <c r="AF4225">
        <v>9.8172256442934192</v>
      </c>
      <c r="AG4225">
        <v>-1.107736798506</v>
      </c>
      <c r="AH4225">
        <v>20.702469366074599</v>
      </c>
      <c r="AI4225">
        <v>92.7679221565608</v>
      </c>
      <c r="AJ4225">
        <v>64.629432957471806</v>
      </c>
      <c r="AK4225">
        <v>22.938989472489698</v>
      </c>
      <c r="AL4225">
        <v>78.662494716420298</v>
      </c>
      <c r="AM4225">
        <v>70.407178218310904</v>
      </c>
      <c r="AN4225">
        <v>0.99999998251312905</v>
      </c>
    </row>
    <row r="4226" spans="1:40" x14ac:dyDescent="0.25">
      <c r="A4226" t="str">
        <f>"20190312164111707"</f>
        <v>20190312164111707</v>
      </c>
      <c r="B4226" t="str">
        <f>"1552380071700137"</f>
        <v>1552380071700137</v>
      </c>
      <c r="C4226" t="s">
        <v>40</v>
      </c>
      <c r="D4226">
        <v>5.7133099999999999</v>
      </c>
      <c r="E4226">
        <v>0.55142590000000002</v>
      </c>
      <c r="F4226" t="s">
        <v>50</v>
      </c>
      <c r="G4226">
        <v>-202.8862</v>
      </c>
      <c r="H4226" s="1">
        <v>-9.6138909999999999E-6</v>
      </c>
      <c r="I4226">
        <v>144.27500000000001</v>
      </c>
      <c r="J4226">
        <v>-191.43279999999999</v>
      </c>
      <c r="K4226">
        <v>1.1076699999999999</v>
      </c>
      <c r="L4226">
        <v>164.41540000000001</v>
      </c>
      <c r="M4226">
        <v>-7.1454139999999999E-2</v>
      </c>
      <c r="N4226">
        <v>0</v>
      </c>
      <c r="O4226">
        <v>-0.99734449999999997</v>
      </c>
      <c r="P4226">
        <v>-0.40069490000000002</v>
      </c>
      <c r="Q4226">
        <v>0.1853407</v>
      </c>
      <c r="R4226">
        <v>-0.89726949999999905</v>
      </c>
      <c r="S4226">
        <v>-1.5199739999999999</v>
      </c>
      <c r="T4226">
        <v>-0.14674699999999999</v>
      </c>
      <c r="U4226">
        <v>-2.699646</v>
      </c>
      <c r="V4226">
        <v>0.33697700000000003</v>
      </c>
      <c r="W4226">
        <v>0.1959053</v>
      </c>
      <c r="X4226">
        <v>0.9209058</v>
      </c>
      <c r="Y4226">
        <v>0.42652380000000001</v>
      </c>
      <c r="Z4226">
        <v>4.7950180000000002E-2</v>
      </c>
      <c r="AA4226">
        <v>0.90320440000000002</v>
      </c>
      <c r="AB4226">
        <v>26</v>
      </c>
      <c r="AC4226">
        <v>-11.4534</v>
      </c>
      <c r="AD4226">
        <v>-1.1076796138909999</v>
      </c>
      <c r="AE4226">
        <v>-20.1404</v>
      </c>
      <c r="AF4226">
        <v>9.96209086424685</v>
      </c>
      <c r="AG4226">
        <v>-1.1076796138909999</v>
      </c>
      <c r="AH4226">
        <v>20.859705380036399</v>
      </c>
      <c r="AI4226">
        <v>92.743364231086005</v>
      </c>
      <c r="AJ4226">
        <v>64.471987255598705</v>
      </c>
      <c r="AK4226">
        <v>23.142979865532801</v>
      </c>
      <c r="AL4226">
        <v>78.702385754541396</v>
      </c>
      <c r="AM4226">
        <v>69.901463163412103</v>
      </c>
      <c r="AN4226">
        <v>0.99999993878536297</v>
      </c>
    </row>
    <row r="4227" spans="1:40" x14ac:dyDescent="0.25">
      <c r="A4227" t="str">
        <f>"20190312164111720"</f>
        <v>20190312164111720</v>
      </c>
      <c r="B4227" t="str">
        <f>"1552380071710220"</f>
        <v>1552380071710220</v>
      </c>
      <c r="C4227" t="s">
        <v>40</v>
      </c>
      <c r="D4227">
        <v>5.6529590000000001</v>
      </c>
      <c r="E4227">
        <v>0.5508383</v>
      </c>
      <c r="F4227" t="s">
        <v>50</v>
      </c>
      <c r="G4227">
        <v>-202.8664</v>
      </c>
      <c r="H4227" s="1">
        <v>-9.6956239999999998E-6</v>
      </c>
      <c r="I4227">
        <v>144.5565</v>
      </c>
      <c r="J4227">
        <v>-191.44640000000001</v>
      </c>
      <c r="K4227">
        <v>1.1076299999999999</v>
      </c>
      <c r="L4227">
        <v>164.26060000000001</v>
      </c>
      <c r="M4227">
        <v>-7.3894029999999999E-2</v>
      </c>
      <c r="N4227">
        <v>0</v>
      </c>
      <c r="O4227">
        <v>-0.99716669999999996</v>
      </c>
      <c r="P4227">
        <v>-0.40658</v>
      </c>
      <c r="Q4227">
        <v>0.1853919</v>
      </c>
      <c r="R4227">
        <v>-0.8946075</v>
      </c>
      <c r="S4227">
        <v>-1.545425</v>
      </c>
      <c r="T4227">
        <v>-0.1497192</v>
      </c>
      <c r="U4227">
        <v>-2.6842350000000001</v>
      </c>
      <c r="V4227">
        <v>0.34079769999999998</v>
      </c>
      <c r="W4227">
        <v>0.19588430000000001</v>
      </c>
      <c r="X4227">
        <v>0.91950330000000002</v>
      </c>
      <c r="Y4227">
        <v>0.43294850000000001</v>
      </c>
      <c r="Z4227">
        <v>4.8962940000000003E-2</v>
      </c>
      <c r="AA4227">
        <v>0.90008790000000005</v>
      </c>
      <c r="AB4227">
        <v>26</v>
      </c>
      <c r="AC4227">
        <v>-11.4199999999999</v>
      </c>
      <c r="AD4227">
        <v>-1.107639695624</v>
      </c>
      <c r="AE4227">
        <v>-19.7041</v>
      </c>
      <c r="AF4227">
        <v>9.9091736285299703</v>
      </c>
      <c r="AG4227">
        <v>-1.107639695624</v>
      </c>
      <c r="AH4227">
        <v>20.445810871337098</v>
      </c>
      <c r="AI4227">
        <v>92.790993415891293</v>
      </c>
      <c r="AJ4227">
        <v>64.1425989412147</v>
      </c>
      <c r="AK4227">
        <v>22.7475222800674</v>
      </c>
      <c r="AL4227">
        <v>78.703613725774304</v>
      </c>
      <c r="AM4227">
        <v>69.663662921102102</v>
      </c>
      <c r="AN4227">
        <v>1.0000000250113299</v>
      </c>
    </row>
    <row r="4228" spans="1:40" x14ac:dyDescent="0.25">
      <c r="A4228" t="str">
        <f>"20190312164111732"</f>
        <v>20190312164111732</v>
      </c>
      <c r="B4228" t="str">
        <f>"1552380071719980"</f>
        <v>1552380071719980</v>
      </c>
      <c r="C4228" t="s">
        <v>40</v>
      </c>
      <c r="D4228">
        <v>5.8434499999999998</v>
      </c>
      <c r="E4228">
        <v>0.55002249999999997</v>
      </c>
      <c r="F4228" t="s">
        <v>50</v>
      </c>
      <c r="G4228">
        <v>-203.0103</v>
      </c>
      <c r="H4228" s="1">
        <v>-9.5992230000000008E-6</v>
      </c>
      <c r="I4228">
        <v>144.3964</v>
      </c>
      <c r="J4228">
        <v>-191.45959999999999</v>
      </c>
      <c r="K4228">
        <v>1.107599</v>
      </c>
      <c r="L4228">
        <v>164.1157</v>
      </c>
      <c r="M4228">
        <v>-7.6203859999999998E-2</v>
      </c>
      <c r="N4228">
        <v>0</v>
      </c>
      <c r="O4228">
        <v>-0.99699260000000001</v>
      </c>
      <c r="P4228">
        <v>-0.4125819</v>
      </c>
      <c r="Q4228">
        <v>0.18514890000000001</v>
      </c>
      <c r="R4228">
        <v>-0.89190569999999902</v>
      </c>
      <c r="S4228">
        <v>-1.558014</v>
      </c>
      <c r="T4228">
        <v>-0.14923330000000001</v>
      </c>
      <c r="U4228">
        <v>-2.6763150000000002</v>
      </c>
      <c r="V4228">
        <v>0.34486109999999998</v>
      </c>
      <c r="W4228">
        <v>0.19557099999999999</v>
      </c>
      <c r="X4228">
        <v>0.91805380000000003</v>
      </c>
      <c r="Y4228">
        <v>0.43518240000000002</v>
      </c>
      <c r="Z4228">
        <v>4.883477E-2</v>
      </c>
      <c r="AA4228">
        <v>0.89901699999999996</v>
      </c>
      <c r="AB4228">
        <v>26</v>
      </c>
      <c r="AC4228">
        <v>-11.550700000000001</v>
      </c>
      <c r="AD4228">
        <v>-1.107608599223</v>
      </c>
      <c r="AE4228">
        <v>-19.7193</v>
      </c>
      <c r="AF4228">
        <v>9.9908026275811608</v>
      </c>
      <c r="AG4228">
        <v>-1.107608599223</v>
      </c>
      <c r="AH4228">
        <v>20.4941052588037</v>
      </c>
      <c r="AI4228">
        <v>92.781245240066795</v>
      </c>
      <c r="AJ4228">
        <v>64.010932864608094</v>
      </c>
      <c r="AK4228">
        <v>22.826547796617799</v>
      </c>
      <c r="AL4228">
        <v>78.721918105307907</v>
      </c>
      <c r="AM4228">
        <v>69.411628775348603</v>
      </c>
      <c r="AN4228">
        <v>0.99999998701432502</v>
      </c>
    </row>
    <row r="4229" spans="1:40" x14ac:dyDescent="0.25">
      <c r="A4229" t="str">
        <f>"20190312164111746"</f>
        <v>20190312164111746</v>
      </c>
      <c r="B4229" t="str">
        <f>"1552380071740477"</f>
        <v>1552380071740477</v>
      </c>
      <c r="C4229" t="s">
        <v>40</v>
      </c>
      <c r="D4229">
        <v>5.7132949999999996</v>
      </c>
      <c r="E4229">
        <v>0.54866309999999996</v>
      </c>
      <c r="F4229" t="s">
        <v>50</v>
      </c>
      <c r="G4229">
        <v>-203.11099999999999</v>
      </c>
      <c r="H4229" s="1">
        <v>-9.5367490000000004E-6</v>
      </c>
      <c r="I4229">
        <v>144.30340000000001</v>
      </c>
      <c r="J4229">
        <v>-191.47389999999999</v>
      </c>
      <c r="K4229">
        <v>1.107572</v>
      </c>
      <c r="L4229">
        <v>163.96379999999999</v>
      </c>
      <c r="M4229">
        <v>-7.8645759999999995E-2</v>
      </c>
      <c r="N4229">
        <v>0</v>
      </c>
      <c r="O4229">
        <v>-0.99680299999999999</v>
      </c>
      <c r="P4229">
        <v>-0.41833870000000001</v>
      </c>
      <c r="Q4229">
        <v>0.18464820000000001</v>
      </c>
      <c r="R4229">
        <v>-0.88932449999999996</v>
      </c>
      <c r="S4229">
        <v>-1.5693820000000001</v>
      </c>
      <c r="T4229">
        <v>-0.1491895</v>
      </c>
      <c r="U4229">
        <v>-2.668625</v>
      </c>
      <c r="V4229">
        <v>0.3485547</v>
      </c>
      <c r="W4229">
        <v>0.1950056</v>
      </c>
      <c r="X4229">
        <v>0.91677830000000005</v>
      </c>
      <c r="Y4229">
        <v>0.43695279999999997</v>
      </c>
      <c r="Z4229">
        <v>4.885631E-2</v>
      </c>
      <c r="AA4229">
        <v>0.89815659999999897</v>
      </c>
      <c r="AB4229">
        <v>26</v>
      </c>
      <c r="AC4229">
        <v>-11.6371</v>
      </c>
      <c r="AD4229">
        <v>-1.1075815367490001</v>
      </c>
      <c r="AE4229">
        <v>-19.6603999999999</v>
      </c>
      <c r="AF4229">
        <v>10.031111765695499</v>
      </c>
      <c r="AG4229">
        <v>-1.1075815367490001</v>
      </c>
      <c r="AH4229">
        <v>20.466689280238899</v>
      </c>
      <c r="AI4229">
        <v>92.782021554951498</v>
      </c>
      <c r="AJ4229">
        <v>63.889651571930699</v>
      </c>
      <c r="AK4229">
        <v>22.819625549300099</v>
      </c>
      <c r="AL4229">
        <v>78.754949352420297</v>
      </c>
      <c r="AM4229">
        <v>69.183437193313395</v>
      </c>
      <c r="AN4229">
        <v>1.00000000713717</v>
      </c>
    </row>
    <row r="4230" spans="1:40" x14ac:dyDescent="0.25">
      <c r="A4230" t="str">
        <f>"20190312164111762"</f>
        <v>20190312164111762</v>
      </c>
      <c r="B4230" t="str">
        <f>"1552380071750236"</f>
        <v>1552380071750236</v>
      </c>
      <c r="C4230" t="s">
        <v>40</v>
      </c>
      <c r="D4230">
        <v>6.3976179999999996</v>
      </c>
      <c r="E4230">
        <v>0.54804090000000005</v>
      </c>
      <c r="F4230" t="s">
        <v>50</v>
      </c>
      <c r="G4230">
        <v>-203.17410000000001</v>
      </c>
      <c r="H4230" s="1">
        <v>-9.484509E-6</v>
      </c>
      <c r="I4230">
        <v>144.19550000000001</v>
      </c>
      <c r="J4230">
        <v>-191.4932</v>
      </c>
      <c r="K4230">
        <v>1.10754</v>
      </c>
      <c r="L4230">
        <v>163.7637</v>
      </c>
      <c r="M4230">
        <v>-8.1894610000000007E-2</v>
      </c>
      <c r="N4230">
        <v>0</v>
      </c>
      <c r="O4230">
        <v>-0.99654129999999996</v>
      </c>
      <c r="P4230">
        <v>-0.42889919999999998</v>
      </c>
      <c r="Q4230">
        <v>0.18467980000000001</v>
      </c>
      <c r="R4230">
        <v>-0.88427309999999903</v>
      </c>
      <c r="S4230">
        <v>-1.576111</v>
      </c>
      <c r="T4230">
        <v>-0.14919939999999901</v>
      </c>
      <c r="U4230">
        <v>-2.6629330000000002</v>
      </c>
      <c r="V4230">
        <v>0.3565083</v>
      </c>
      <c r="W4230">
        <v>0.19491159999999999</v>
      </c>
      <c r="X4230">
        <v>0.91373479999999996</v>
      </c>
      <c r="Y4230">
        <v>0.43654150000000003</v>
      </c>
      <c r="Z4230">
        <v>4.8905369999999997E-2</v>
      </c>
      <c r="AA4230">
        <v>0.89835390000000004</v>
      </c>
      <c r="AB4230">
        <v>26</v>
      </c>
      <c r="AC4230">
        <v>-11.680899999999999</v>
      </c>
      <c r="AD4230">
        <v>-1.1075494845089999</v>
      </c>
      <c r="AE4230">
        <v>-19.568199999999901</v>
      </c>
      <c r="AF4230">
        <v>10.0153115778713</v>
      </c>
      <c r="AG4230">
        <v>-1.1075494845089999</v>
      </c>
      <c r="AH4230">
        <v>20.410946641025902</v>
      </c>
      <c r="AI4230">
        <v>92.788905340484703</v>
      </c>
      <c r="AJ4230">
        <v>63.863582224297197</v>
      </c>
      <c r="AK4230">
        <v>22.7626860156109</v>
      </c>
      <c r="AL4230">
        <v>78.760440353715396</v>
      </c>
      <c r="AM4230">
        <v>68.685958786594298</v>
      </c>
      <c r="AN4230">
        <v>0.99999999225724501</v>
      </c>
    </row>
    <row r="4231" spans="1:40" x14ac:dyDescent="0.25">
      <c r="A4231" t="str">
        <f>"20190312164111785"</f>
        <v>20190312164111785</v>
      </c>
      <c r="B4231" t="str">
        <f>"1552380071780492"</f>
        <v>1552380071780492</v>
      </c>
      <c r="C4231" t="s">
        <v>40</v>
      </c>
      <c r="D4231">
        <v>5.6388249999999998</v>
      </c>
      <c r="E4231">
        <v>0.54659250000000004</v>
      </c>
      <c r="F4231" t="s">
        <v>50</v>
      </c>
      <c r="G4231">
        <v>-203.33240000000001</v>
      </c>
      <c r="H4231" s="1">
        <v>-9.4248750000000001E-6</v>
      </c>
      <c r="I4231">
        <v>144.1953</v>
      </c>
      <c r="J4231">
        <v>-191.52</v>
      </c>
      <c r="K4231">
        <v>1.1075010000000001</v>
      </c>
      <c r="L4231">
        <v>163.49799999999999</v>
      </c>
      <c r="M4231">
        <v>-8.6275859999999996E-2</v>
      </c>
      <c r="N4231">
        <v>0</v>
      </c>
      <c r="O4231">
        <v>-0.99617160000000005</v>
      </c>
      <c r="P4231">
        <v>-0.44056830000000002</v>
      </c>
      <c r="Q4231">
        <v>0.18553239999999999</v>
      </c>
      <c r="R4231">
        <v>-0.87833779999999995</v>
      </c>
      <c r="S4231">
        <v>-1.6015469999999901</v>
      </c>
      <c r="T4231">
        <v>-0.1498234</v>
      </c>
      <c r="U4231">
        <v>-2.6471100000000001</v>
      </c>
      <c r="V4231">
        <v>0.36463689999999999</v>
      </c>
      <c r="W4231">
        <v>0.19562479999999999</v>
      </c>
      <c r="X4231">
        <v>0.91036859999999997</v>
      </c>
      <c r="Y4231">
        <v>0.44127060000000001</v>
      </c>
      <c r="Z4231">
        <v>4.9160099999999998E-2</v>
      </c>
      <c r="AA4231">
        <v>0.89602660000000001</v>
      </c>
      <c r="AB4231">
        <v>26</v>
      </c>
      <c r="AC4231">
        <v>-11.812399999999901</v>
      </c>
      <c r="AD4231">
        <v>-1.1075104248750001</v>
      </c>
      <c r="AE4231">
        <v>-19.302699999999898</v>
      </c>
      <c r="AF4231">
        <v>10.078684582053899</v>
      </c>
      <c r="AG4231">
        <v>-1.1075104248750001</v>
      </c>
      <c r="AH4231">
        <v>20.2015535201541</v>
      </c>
      <c r="AI4231">
        <v>92.8084875923102</v>
      </c>
      <c r="AJ4231">
        <v>63.485097131730797</v>
      </c>
      <c r="AK4231">
        <v>22.603301238389701</v>
      </c>
      <c r="AL4231">
        <v>78.718775707255105</v>
      </c>
      <c r="AM4231">
        <v>68.172039320694907</v>
      </c>
      <c r="AN4231">
        <v>1.0000000595412999</v>
      </c>
    </row>
    <row r="4232" spans="1:40" x14ac:dyDescent="0.25">
      <c r="A4232" t="str">
        <f>"20190312164111797"</f>
        <v>20190312164111797</v>
      </c>
      <c r="B4232" t="str">
        <f>"1552380071790253"</f>
        <v>1552380071790253</v>
      </c>
      <c r="C4232" t="s">
        <v>40</v>
      </c>
      <c r="D4232">
        <v>5.7177600000000002</v>
      </c>
      <c r="E4232">
        <v>0.54625210000000002</v>
      </c>
      <c r="F4232" t="s">
        <v>50</v>
      </c>
      <c r="G4232">
        <v>-202.81979999999999</v>
      </c>
      <c r="H4232" s="1">
        <v>-9.8744180000000008E-6</v>
      </c>
      <c r="I4232">
        <v>145.16720000000001</v>
      </c>
      <c r="J4232">
        <v>-191.53479999999999</v>
      </c>
      <c r="K4232">
        <v>1.1074850000000001</v>
      </c>
      <c r="L4232">
        <v>163.35550000000001</v>
      </c>
      <c r="M4232">
        <v>-8.8647569999999995E-2</v>
      </c>
      <c r="N4232">
        <v>0</v>
      </c>
      <c r="O4232">
        <v>-0.99596309999999999</v>
      </c>
      <c r="P4232">
        <v>-0.44634629999999997</v>
      </c>
      <c r="Q4232">
        <v>0.18552660000000001</v>
      </c>
      <c r="R4232">
        <v>-0.87541679999999999</v>
      </c>
      <c r="S4232">
        <v>-1.6240540000000001</v>
      </c>
      <c r="T4232">
        <v>-0.1591767</v>
      </c>
      <c r="U4232">
        <v>-2.6345830000000001</v>
      </c>
      <c r="V4232">
        <v>0.36848520000000001</v>
      </c>
      <c r="W4232">
        <v>0.1955518</v>
      </c>
      <c r="X4232">
        <v>0.90883340000000001</v>
      </c>
      <c r="Y4232">
        <v>0.4464979</v>
      </c>
      <c r="Z4232">
        <v>5.223556E-2</v>
      </c>
      <c r="AA4232">
        <v>0.89325869999999996</v>
      </c>
      <c r="AB4232">
        <v>26</v>
      </c>
      <c r="AC4232">
        <v>-11.284999999999901</v>
      </c>
      <c r="AD4232">
        <v>-1.107494874418</v>
      </c>
      <c r="AE4232">
        <v>-18.188300000000002</v>
      </c>
      <c r="AF4232">
        <v>9.6023473269537298</v>
      </c>
      <c r="AG4232">
        <v>-1.107494874418</v>
      </c>
      <c r="AH4232">
        <v>19.066125288981802</v>
      </c>
      <c r="AI4232">
        <v>92.969785552553503</v>
      </c>
      <c r="AJ4232">
        <v>63.268624650791203</v>
      </c>
      <c r="AK4232">
        <v>21.376359667152599</v>
      </c>
      <c r="AL4232">
        <v>78.723039980680198</v>
      </c>
      <c r="AM4232">
        <v>67.929976545965701</v>
      </c>
      <c r="AN4232">
        <v>0.99999999902891901</v>
      </c>
    </row>
    <row r="4233" spans="1:40" x14ac:dyDescent="0.25">
      <c r="A4233" t="str">
        <f>"20190312164111809"</f>
        <v>20190312164111809</v>
      </c>
      <c r="B4233" t="str">
        <f>"1552380071800012"</f>
        <v>1552380071800012</v>
      </c>
      <c r="C4233" t="s">
        <v>40</v>
      </c>
      <c r="D4233">
        <v>5.9957500000000001</v>
      </c>
      <c r="E4233">
        <v>0.54578419999999905</v>
      </c>
      <c r="F4233" t="s">
        <v>50</v>
      </c>
      <c r="G4233">
        <v>-202.88730000000001</v>
      </c>
      <c r="H4233" s="1">
        <v>-9.8477239999999996E-6</v>
      </c>
      <c r="I4233">
        <v>145.16249999999999</v>
      </c>
      <c r="J4233">
        <v>-191.55</v>
      </c>
      <c r="K4233">
        <v>1.1074660000000001</v>
      </c>
      <c r="L4233">
        <v>163.21459999999999</v>
      </c>
      <c r="M4233">
        <v>-9.1023240000000005E-2</v>
      </c>
      <c r="N4233">
        <v>0</v>
      </c>
      <c r="O4233">
        <v>-0.99574890000000005</v>
      </c>
      <c r="P4233">
        <v>-0.45180320000000002</v>
      </c>
      <c r="Q4233">
        <v>0.18535650000000001</v>
      </c>
      <c r="R4233">
        <v>-0.87264940000000002</v>
      </c>
      <c r="S4233">
        <v>-1.638306</v>
      </c>
      <c r="T4233">
        <v>-0.15982469999999999</v>
      </c>
      <c r="U4233">
        <v>-2.6254729999999999</v>
      </c>
      <c r="V4233">
        <v>0.3720041</v>
      </c>
      <c r="W4233">
        <v>0.19531799999999999</v>
      </c>
      <c r="X4233">
        <v>0.90744910000000001</v>
      </c>
      <c r="Y4233">
        <v>0.4492371</v>
      </c>
      <c r="Z4233">
        <v>5.2477019999999999E-2</v>
      </c>
      <c r="AA4233">
        <v>0.891870099999999</v>
      </c>
      <c r="AB4233">
        <v>26</v>
      </c>
      <c r="AC4233">
        <v>-11.337300000000001</v>
      </c>
      <c r="AD4233">
        <v>-1.1074758477240001</v>
      </c>
      <c r="AE4233">
        <v>-18.052099999999999</v>
      </c>
      <c r="AF4233">
        <v>9.6209349832494997</v>
      </c>
      <c r="AG4233">
        <v>-1.1074758477240001</v>
      </c>
      <c r="AH4233">
        <v>18.9580375028943</v>
      </c>
      <c r="AI4233">
        <v>92.982015596338897</v>
      </c>
      <c r="AJ4233">
        <v>63.092853074592497</v>
      </c>
      <c r="AK4233">
        <v>21.288402445142601</v>
      </c>
      <c r="AL4233">
        <v>78.736699370626198</v>
      </c>
      <c r="AM4233">
        <v>67.709075221590794</v>
      </c>
      <c r="AN4233">
        <v>1.0000000203158099</v>
      </c>
    </row>
    <row r="4234" spans="1:40" x14ac:dyDescent="0.25">
      <c r="A4234" t="str">
        <f>"20190312164111821"</f>
        <v>20190312164111821</v>
      </c>
      <c r="B4234" t="str">
        <f>"1552380071810279"</f>
        <v>1552380071810279</v>
      </c>
      <c r="C4234" t="s">
        <v>40</v>
      </c>
      <c r="D4234">
        <v>5.7090719999999999</v>
      </c>
      <c r="E4234">
        <v>0.54533160000000003</v>
      </c>
      <c r="F4234" t="s">
        <v>50</v>
      </c>
      <c r="G4234">
        <v>-202.9348</v>
      </c>
      <c r="H4234" s="1">
        <v>-9.8315049999999993E-6</v>
      </c>
      <c r="I4234">
        <v>145.1687</v>
      </c>
      <c r="J4234">
        <v>-191.56549999999999</v>
      </c>
      <c r="K4234">
        <v>1.107442</v>
      </c>
      <c r="L4234">
        <v>163.07299999999901</v>
      </c>
      <c r="M4234">
        <v>-9.3426099999999998E-2</v>
      </c>
      <c r="N4234">
        <v>0</v>
      </c>
      <c r="O4234">
        <v>-0.99552629999999998</v>
      </c>
      <c r="P4234">
        <v>-0.45716259999999997</v>
      </c>
      <c r="Q4234">
        <v>0.18569430000000001</v>
      </c>
      <c r="R4234">
        <v>-0.8697819</v>
      </c>
      <c r="S4234">
        <v>-1.65106199999999</v>
      </c>
      <c r="T4234">
        <v>-0.16060959999999999</v>
      </c>
      <c r="U4234">
        <v>-2.6170810000000002</v>
      </c>
      <c r="V4234">
        <v>0.37542330000000002</v>
      </c>
      <c r="W4234">
        <v>0.19558970000000001</v>
      </c>
      <c r="X4234">
        <v>0.90598120000000004</v>
      </c>
      <c r="Y4234">
        <v>0.45147199999999998</v>
      </c>
      <c r="Z4234">
        <v>5.2764110000000003E-2</v>
      </c>
      <c r="AA4234">
        <v>0.89072379999999995</v>
      </c>
      <c r="AB4234">
        <v>26</v>
      </c>
      <c r="AC4234">
        <v>-11.369300000000001</v>
      </c>
      <c r="AD4234">
        <v>-1.1074518315049999</v>
      </c>
      <c r="AE4234">
        <v>-17.9042999999999</v>
      </c>
      <c r="AF4234">
        <v>9.6204377264556094</v>
      </c>
      <c r="AG4234">
        <v>-1.1074518315049999</v>
      </c>
      <c r="AH4234">
        <v>18.836910978915402</v>
      </c>
      <c r="AI4234">
        <v>92.997173059289494</v>
      </c>
      <c r="AJ4234">
        <v>62.945568151046899</v>
      </c>
      <c r="AK4234">
        <v>21.1803797613569</v>
      </c>
      <c r="AL4234">
        <v>78.720825264408802</v>
      </c>
      <c r="AM4234">
        <v>67.491709160925694</v>
      </c>
      <c r="AN4234">
        <v>0.99999995984120904</v>
      </c>
    </row>
    <row r="4235" spans="1:40" x14ac:dyDescent="0.25">
      <c r="A4235" t="str">
        <f>"20190312164111835"</f>
        <v>20190312164111835</v>
      </c>
      <c r="B4235" t="str">
        <f>"1552380071830776"</f>
        <v>1552380071830776</v>
      </c>
      <c r="C4235" t="s">
        <v>40</v>
      </c>
      <c r="D4235">
        <v>5.7085540000000004</v>
      </c>
      <c r="E4235">
        <v>0.54437170000000001</v>
      </c>
      <c r="F4235" t="s">
        <v>50</v>
      </c>
      <c r="G4235">
        <v>-203.1576</v>
      </c>
      <c r="H4235" s="1">
        <v>-9.6768890000000004E-6</v>
      </c>
      <c r="I4235">
        <v>144.9006</v>
      </c>
      <c r="J4235">
        <v>-191.58410000000001</v>
      </c>
      <c r="K4235">
        <v>1.1074120000000001</v>
      </c>
      <c r="L4235">
        <v>162.90690000000001</v>
      </c>
      <c r="M4235">
        <v>-9.6278089999999997E-2</v>
      </c>
      <c r="N4235">
        <v>0</v>
      </c>
      <c r="O4235">
        <v>-0.99525450000000004</v>
      </c>
      <c r="P4235">
        <v>-0.46305770000000002</v>
      </c>
      <c r="Q4235">
        <v>0.18549789999999999</v>
      </c>
      <c r="R4235">
        <v>-0.86669949999999996</v>
      </c>
      <c r="S4235">
        <v>-1.663956</v>
      </c>
      <c r="T4235">
        <v>-0.15896640000000001</v>
      </c>
      <c r="U4235">
        <v>-2.6085050000000001</v>
      </c>
      <c r="V4235">
        <v>0.37899519999999998</v>
      </c>
      <c r="W4235">
        <v>0.1953203</v>
      </c>
      <c r="X4235">
        <v>0.90455110000000005</v>
      </c>
      <c r="Y4235">
        <v>0.45338650000000003</v>
      </c>
      <c r="Z4235">
        <v>5.2257959999999999E-2</v>
      </c>
      <c r="AA4235">
        <v>0.88978080000000004</v>
      </c>
      <c r="AB4235">
        <v>26</v>
      </c>
      <c r="AC4235">
        <v>-11.5734999999999</v>
      </c>
      <c r="AD4235">
        <v>-1.107421676889</v>
      </c>
      <c r="AE4235">
        <v>-18.0063</v>
      </c>
      <c r="AF4235">
        <v>9.7598156565454293</v>
      </c>
      <c r="AG4235">
        <v>-1.107421676889</v>
      </c>
      <c r="AH4235">
        <v>18.986199926016099</v>
      </c>
      <c r="AI4235">
        <v>92.969564965138204</v>
      </c>
      <c r="AJ4235">
        <v>62.794666478230397</v>
      </c>
      <c r="AK4235">
        <v>21.376533209359401</v>
      </c>
      <c r="AL4235">
        <v>78.736565191186699</v>
      </c>
      <c r="AM4235">
        <v>67.266946997890699</v>
      </c>
      <c r="AN4235">
        <v>1.0000000368631601</v>
      </c>
    </row>
    <row r="4236" spans="1:40" x14ac:dyDescent="0.25">
      <c r="A4236" t="str">
        <f>"20190312164111853"</f>
        <v>20190312164111853</v>
      </c>
      <c r="B4236" t="str">
        <f>"1552380071850295"</f>
        <v>1552380071850295</v>
      </c>
      <c r="C4236" t="s">
        <v>40</v>
      </c>
      <c r="D4236">
        <v>5.8250529999999996</v>
      </c>
      <c r="E4236">
        <v>0.53560280000000005</v>
      </c>
      <c r="F4236" t="s">
        <v>50</v>
      </c>
      <c r="G4236">
        <v>-203.10599999999999</v>
      </c>
      <c r="H4236" s="1">
        <v>-9.7245690000000002E-6</v>
      </c>
      <c r="I4236">
        <v>145.0077</v>
      </c>
      <c r="J4236">
        <v>-191.608</v>
      </c>
      <c r="K4236">
        <v>1.107372</v>
      </c>
      <c r="L4236">
        <v>162.70160000000001</v>
      </c>
      <c r="M4236">
        <v>-9.9859009999999998E-2</v>
      </c>
      <c r="N4236">
        <v>0</v>
      </c>
      <c r="O4236">
        <v>-0.99490149999999999</v>
      </c>
      <c r="P4236">
        <v>-0.47290330000000003</v>
      </c>
      <c r="Q4236">
        <v>0.18558369999999999</v>
      </c>
      <c r="R4236">
        <v>-0.86134829999999996</v>
      </c>
      <c r="S4236">
        <v>-1.674423</v>
      </c>
      <c r="T4236">
        <v>-0.1609372</v>
      </c>
      <c r="U4236">
        <v>-2.6012270000000002</v>
      </c>
      <c r="V4236">
        <v>0.38607849999999999</v>
      </c>
      <c r="W4236">
        <v>0.19527220000000001</v>
      </c>
      <c r="X4236">
        <v>0.90156099999999995</v>
      </c>
      <c r="Y4236">
        <v>0.45382499999999998</v>
      </c>
      <c r="Z4236">
        <v>5.2939989999999999E-2</v>
      </c>
      <c r="AA4236">
        <v>0.8895168</v>
      </c>
      <c r="AB4236">
        <v>26</v>
      </c>
      <c r="AC4236">
        <v>-11.4979999999999</v>
      </c>
      <c r="AD4236">
        <v>-1.1073817245690001</v>
      </c>
      <c r="AE4236">
        <v>-17.693899999999999</v>
      </c>
      <c r="AF4236">
        <v>9.6468780854851008</v>
      </c>
      <c r="AG4236">
        <v>-1.1073817245690001</v>
      </c>
      <c r="AH4236">
        <v>18.702228487547099</v>
      </c>
      <c r="AI4236">
        <v>93.012300658969494</v>
      </c>
      <c r="AJ4236">
        <v>62.714666300501598</v>
      </c>
      <c r="AK4236">
        <v>21.072776311643</v>
      </c>
      <c r="AL4236">
        <v>78.739375245835106</v>
      </c>
      <c r="AM4236">
        <v>66.817775516983303</v>
      </c>
      <c r="AN4236">
        <v>1.0000000384880401</v>
      </c>
    </row>
    <row r="4237" spans="1:40" x14ac:dyDescent="0.25">
      <c r="A4237" t="str">
        <f>"20190312164111876"</f>
        <v>20190312164111876</v>
      </c>
      <c r="B4237" t="str">
        <f>"1552380071870791"</f>
        <v>1552380071870791</v>
      </c>
      <c r="C4237" t="s">
        <v>40</v>
      </c>
      <c r="D4237">
        <v>5.5689359999999999</v>
      </c>
      <c r="E4237">
        <v>0.52966340000000001</v>
      </c>
      <c r="F4237" t="s">
        <v>50</v>
      </c>
      <c r="G4237">
        <v>-197.1585</v>
      </c>
      <c r="H4237" s="1">
        <v>-1.323561E-5</v>
      </c>
      <c r="I4237">
        <v>153.68010000000001</v>
      </c>
      <c r="J4237">
        <v>-191.6395</v>
      </c>
      <c r="K4237">
        <v>1.10731</v>
      </c>
      <c r="L4237">
        <v>162.4393</v>
      </c>
      <c r="M4237">
        <v>-0.10451199999999999</v>
      </c>
      <c r="N4237">
        <v>0</v>
      </c>
      <c r="O4237">
        <v>-0.99442339999999996</v>
      </c>
      <c r="P4237">
        <v>-0.48361300000000002</v>
      </c>
      <c r="Q4237">
        <v>0.1849761</v>
      </c>
      <c r="R4237">
        <v>-0.85551290000000002</v>
      </c>
      <c r="S4237">
        <v>-1.6341399999999999</v>
      </c>
      <c r="T4237">
        <v>-0.32602720000000002</v>
      </c>
      <c r="U4237">
        <v>-2.6560060000000001</v>
      </c>
      <c r="V4237">
        <v>0.39312789999999997</v>
      </c>
      <c r="W4237">
        <v>0.19451450000000001</v>
      </c>
      <c r="X4237">
        <v>0.89867379999999997</v>
      </c>
      <c r="Y4237">
        <v>0.42919439999999998</v>
      </c>
      <c r="Z4237">
        <v>0.1058737</v>
      </c>
      <c r="AA4237">
        <v>0.89698549999999999</v>
      </c>
      <c r="AB4237">
        <v>26</v>
      </c>
      <c r="AC4237">
        <v>-5.5190000000000001</v>
      </c>
      <c r="AD4237">
        <v>-1.10732323561</v>
      </c>
      <c r="AE4237">
        <v>-8.7591999999999892</v>
      </c>
      <c r="AF4237">
        <v>4.5215113333603201</v>
      </c>
      <c r="AG4237">
        <v>-1.10732323561</v>
      </c>
      <c r="AH4237">
        <v>9.1830278379822303</v>
      </c>
      <c r="AI4237">
        <v>96.1743126588309</v>
      </c>
      <c r="AJ4237">
        <v>63.785427550883703</v>
      </c>
      <c r="AK4237">
        <v>10.295544170124399</v>
      </c>
      <c r="AL4237">
        <v>78.783636764490794</v>
      </c>
      <c r="AM4237">
        <v>66.372863840614798</v>
      </c>
      <c r="AN4237">
        <v>1.0000000176375401</v>
      </c>
    </row>
    <row r="4238" spans="1:40" x14ac:dyDescent="0.25">
      <c r="A4238" t="str">
        <f>"20190312164111899"</f>
        <v>20190312164111899</v>
      </c>
      <c r="B4238" t="str">
        <f>"1552380071890314"</f>
        <v>1552380071890314</v>
      </c>
      <c r="C4238" t="s">
        <v>40</v>
      </c>
      <c r="D4238">
        <v>5.591774</v>
      </c>
      <c r="E4238">
        <v>0.52803029999999995</v>
      </c>
      <c r="F4238" t="s">
        <v>50</v>
      </c>
      <c r="G4238">
        <v>-197.5856</v>
      </c>
      <c r="H4238" s="1">
        <v>-1.303273E-5</v>
      </c>
      <c r="I4238">
        <v>152.72329999999999</v>
      </c>
      <c r="J4238">
        <v>-191.673</v>
      </c>
      <c r="K4238">
        <v>1.107246</v>
      </c>
      <c r="L4238">
        <v>162.17230000000001</v>
      </c>
      <c r="M4238">
        <v>-0.10935599999999999</v>
      </c>
      <c r="N4238">
        <v>0</v>
      </c>
      <c r="O4238">
        <v>-0.99390270000000003</v>
      </c>
      <c r="P4238">
        <v>-0.4937242</v>
      </c>
      <c r="Q4238">
        <v>0.18544640000000001</v>
      </c>
      <c r="R4238">
        <v>-0.84961569999999997</v>
      </c>
      <c r="S4238">
        <v>-1.6241909999999999</v>
      </c>
      <c r="T4238">
        <v>-0.30246659999999997</v>
      </c>
      <c r="U4238">
        <v>-2.653931</v>
      </c>
      <c r="V4238">
        <v>0.39946150000000002</v>
      </c>
      <c r="W4238">
        <v>0.19483349999999999</v>
      </c>
      <c r="X4238">
        <v>0.89580709999999997</v>
      </c>
      <c r="Y4238">
        <v>0.42305120000000002</v>
      </c>
      <c r="Z4238">
        <v>9.8531499999999994E-2</v>
      </c>
      <c r="AA4238">
        <v>0.90073259999999999</v>
      </c>
      <c r="AB4238">
        <v>26</v>
      </c>
      <c r="AC4238">
        <v>-5.9125999999999896</v>
      </c>
      <c r="AD4238">
        <v>-1.10725903272999</v>
      </c>
      <c r="AE4238">
        <v>-9.4490000000000105</v>
      </c>
      <c r="AF4238">
        <v>4.7963947269462404</v>
      </c>
      <c r="AG4238">
        <v>-1.10725903272999</v>
      </c>
      <c r="AH4238">
        <v>9.94086594041827</v>
      </c>
      <c r="AI4238">
        <v>95.7286320406578</v>
      </c>
      <c r="AJ4238">
        <v>64.243032498967096</v>
      </c>
      <c r="AK4238">
        <v>11.0928914439657</v>
      </c>
      <c r="AL4238">
        <v>78.765002383685299</v>
      </c>
      <c r="AM4238">
        <v>65.966781234532206</v>
      </c>
      <c r="AN4238">
        <v>0.99999997155745401</v>
      </c>
    </row>
    <row r="4239" spans="1:40" x14ac:dyDescent="0.25">
      <c r="A4239" t="str">
        <f>"20190312164111911"</f>
        <v>20190312164111911</v>
      </c>
      <c r="B4239" t="str">
        <f>"1552380071900071"</f>
        <v>1552380071900071</v>
      </c>
      <c r="C4239" t="s">
        <v>40</v>
      </c>
      <c r="D4239">
        <v>5.5683309999999997</v>
      </c>
      <c r="E4239">
        <v>0.52723160000000002</v>
      </c>
      <c r="F4239" t="s">
        <v>50</v>
      </c>
      <c r="G4239">
        <v>-197.96960000000001</v>
      </c>
      <c r="H4239" s="1">
        <v>-1.2902890000000001E-5</v>
      </c>
      <c r="I4239">
        <v>152.0719</v>
      </c>
      <c r="J4239">
        <v>-191.69390000000001</v>
      </c>
      <c r="K4239">
        <v>1.1072059999999999</v>
      </c>
      <c r="L4239">
        <v>162.01310000000001</v>
      </c>
      <c r="M4239">
        <v>-0.1123096</v>
      </c>
      <c r="N4239">
        <v>0</v>
      </c>
      <c r="O4239">
        <v>-0.99357300000000004</v>
      </c>
      <c r="P4239">
        <v>-0.49931900000000001</v>
      </c>
      <c r="Q4239">
        <v>0.18562090000000001</v>
      </c>
      <c r="R4239">
        <v>-0.84630119999999898</v>
      </c>
      <c r="S4239">
        <v>-1.64475999999999</v>
      </c>
      <c r="T4239">
        <v>-0.2892342</v>
      </c>
      <c r="U4239">
        <v>-2.638382</v>
      </c>
      <c r="V4239">
        <v>0.40274209999999999</v>
      </c>
      <c r="W4239">
        <v>0.19492190000000001</v>
      </c>
      <c r="X4239">
        <v>0.89431779999999905</v>
      </c>
      <c r="Y4239">
        <v>0.42800189999999999</v>
      </c>
      <c r="Z4239">
        <v>9.4391100000000006E-2</v>
      </c>
      <c r="AA4239">
        <v>0.89883519999999995</v>
      </c>
      <c r="AB4239">
        <v>26</v>
      </c>
      <c r="AC4239">
        <v>-6.2756999999999996</v>
      </c>
      <c r="AD4239">
        <v>-1.1072189028899999</v>
      </c>
      <c r="AE4239">
        <v>-9.9412000000000091</v>
      </c>
      <c r="AF4239">
        <v>5.0743744213711501</v>
      </c>
      <c r="AG4239">
        <v>-1.1072189028899999</v>
      </c>
      <c r="AH4239">
        <v>10.4901365642601</v>
      </c>
      <c r="AI4239">
        <v>95.427711967637194</v>
      </c>
      <c r="AJ4239">
        <v>64.185638554027406</v>
      </c>
      <c r="AK4239">
        <v>11.705476265578</v>
      </c>
      <c r="AL4239">
        <v>78.759839173939895</v>
      </c>
      <c r="AM4239">
        <v>65.756321841684994</v>
      </c>
      <c r="AN4239">
        <v>1.00000003680442</v>
      </c>
    </row>
    <row r="4240" spans="1:40" x14ac:dyDescent="0.25">
      <c r="A4240" t="str">
        <f>"20190312164111924"</f>
        <v>20190312164111924</v>
      </c>
      <c r="B4240" t="str">
        <f>"1552380071920098"</f>
        <v>1552380071920098</v>
      </c>
      <c r="C4240" t="s">
        <v>40</v>
      </c>
      <c r="D4240">
        <v>5.494237</v>
      </c>
      <c r="E4240">
        <v>0.52642909999999998</v>
      </c>
      <c r="F4240" t="s">
        <v>50</v>
      </c>
      <c r="G4240">
        <v>-198.09450000000001</v>
      </c>
      <c r="H4240" s="1">
        <v>-1.2859039999999999E-5</v>
      </c>
      <c r="I4240">
        <v>151.8536</v>
      </c>
      <c r="J4240">
        <v>-191.7132</v>
      </c>
      <c r="K4240">
        <v>1.1071660000000001</v>
      </c>
      <c r="L4240">
        <v>161.86799999999999</v>
      </c>
      <c r="M4240">
        <v>-0.11502759999999999</v>
      </c>
      <c r="N4240">
        <v>0</v>
      </c>
      <c r="O4240">
        <v>-0.99326190000000003</v>
      </c>
      <c r="P4240">
        <v>-0.50445459999999998</v>
      </c>
      <c r="Q4240">
        <v>0.18564829999999999</v>
      </c>
      <c r="R4240">
        <v>-0.84324409999999905</v>
      </c>
      <c r="S4240">
        <v>-1.656998</v>
      </c>
      <c r="T4240">
        <v>-0.2866359</v>
      </c>
      <c r="U4240">
        <v>-2.6300810000000001</v>
      </c>
      <c r="V4240">
        <v>0.40575660000000002</v>
      </c>
      <c r="W4240">
        <v>0.1948714</v>
      </c>
      <c r="X4240">
        <v>0.89296509999999996</v>
      </c>
      <c r="Y4240">
        <v>0.42984339999999999</v>
      </c>
      <c r="Z4240">
        <v>9.3605350000000004E-2</v>
      </c>
      <c r="AA4240">
        <v>0.89803829999999996</v>
      </c>
      <c r="AB4240">
        <v>26</v>
      </c>
      <c r="AC4240">
        <v>-6.3813000000000004</v>
      </c>
      <c r="AD4240">
        <v>-1.10717885904</v>
      </c>
      <c r="AE4240">
        <v>-10.014399999999901</v>
      </c>
      <c r="AF4240">
        <v>5.1421841453518899</v>
      </c>
      <c r="AG4240">
        <v>-1.10717885904</v>
      </c>
      <c r="AH4240">
        <v>10.5899505569209</v>
      </c>
      <c r="AI4240">
        <v>95.372795049985399</v>
      </c>
      <c r="AJ4240">
        <v>64.100085625544395</v>
      </c>
      <c r="AK4240">
        <v>11.8243374278918</v>
      </c>
      <c r="AL4240">
        <v>78.762788481657395</v>
      </c>
      <c r="AM4240">
        <v>65.563311013760298</v>
      </c>
      <c r="AN4240">
        <v>0.99999997539976404</v>
      </c>
    </row>
    <row r="4241" spans="1:40" x14ac:dyDescent="0.25">
      <c r="A4241" t="str">
        <f>"20190312164111942"</f>
        <v>20190312164111942</v>
      </c>
      <c r="B4241" t="str">
        <f>"1552380071930834"</f>
        <v>1552380071930834</v>
      </c>
      <c r="C4241" t="s">
        <v>40</v>
      </c>
      <c r="D4241">
        <v>5.5428509999999998</v>
      </c>
      <c r="E4241">
        <v>0.52596219999999905</v>
      </c>
      <c r="F4241" t="s">
        <v>50</v>
      </c>
      <c r="G4241">
        <v>-198.19759999999999</v>
      </c>
      <c r="H4241" s="1">
        <v>-1.282144E-5</v>
      </c>
      <c r="I4241">
        <v>151.6678</v>
      </c>
      <c r="J4241">
        <v>-191.73990000000001</v>
      </c>
      <c r="K4241">
        <v>1.1071139999999999</v>
      </c>
      <c r="L4241">
        <v>161.6721</v>
      </c>
      <c r="M4241">
        <v>-0.118742</v>
      </c>
      <c r="N4241">
        <v>0</v>
      </c>
      <c r="O4241">
        <v>-0.9928247</v>
      </c>
      <c r="P4241">
        <v>-0.51339409999999996</v>
      </c>
      <c r="Q4241">
        <v>0.18472189999999999</v>
      </c>
      <c r="R4241">
        <v>-0.83803609999999995</v>
      </c>
      <c r="S4241">
        <v>-1.667389</v>
      </c>
      <c r="T4241">
        <v>-0.28469670000000002</v>
      </c>
      <c r="U4241">
        <v>-2.622849</v>
      </c>
      <c r="V4241">
        <v>0.41191250000000001</v>
      </c>
      <c r="W4241">
        <v>0.1938124</v>
      </c>
      <c r="X4241">
        <v>0.89037339999999998</v>
      </c>
      <c r="Y4241">
        <v>0.43015310000000001</v>
      </c>
      <c r="Z4241">
        <v>9.3032699999999996E-2</v>
      </c>
      <c r="AA4241">
        <v>0.89794949999999996</v>
      </c>
      <c r="AB4241">
        <v>26</v>
      </c>
      <c r="AC4241">
        <v>-6.4576999999999796</v>
      </c>
      <c r="AD4241">
        <v>-1.1071268214400001</v>
      </c>
      <c r="AE4241">
        <v>-10.004300000000001</v>
      </c>
      <c r="AF4241">
        <v>5.17918141660145</v>
      </c>
      <c r="AG4241">
        <v>-1.1071268214400001</v>
      </c>
      <c r="AH4241">
        <v>10.608673534294701</v>
      </c>
      <c r="AI4241">
        <v>95.357600140326994</v>
      </c>
      <c r="AJ4241">
        <v>63.978251965681402</v>
      </c>
      <c r="AK4241">
        <v>11.857217384448401</v>
      </c>
      <c r="AL4241">
        <v>78.824644034461798</v>
      </c>
      <c r="AM4241">
        <v>65.173373177810504</v>
      </c>
      <c r="AN4241">
        <v>0.99999997273878405</v>
      </c>
    </row>
    <row r="4242" spans="1:40" x14ac:dyDescent="0.25">
      <c r="A4242" t="str">
        <f>"20190312164111964"</f>
        <v>20190312164111964</v>
      </c>
      <c r="B4242" t="str">
        <f>"1552380071960114"</f>
        <v>1552380071960114</v>
      </c>
      <c r="C4242" t="s">
        <v>40</v>
      </c>
      <c r="D4242">
        <v>5.556654</v>
      </c>
      <c r="E4242">
        <v>0.52438819999999997</v>
      </c>
      <c r="F4242" t="s">
        <v>50</v>
      </c>
      <c r="G4242">
        <v>-198.26130000000001</v>
      </c>
      <c r="H4242" s="1">
        <v>-1.281613E-5</v>
      </c>
      <c r="I4242">
        <v>151.62430000000001</v>
      </c>
      <c r="J4242">
        <v>-191.77690000000001</v>
      </c>
      <c r="K4242">
        <v>1.1070329999999999</v>
      </c>
      <c r="L4242">
        <v>161.4111</v>
      </c>
      <c r="M4242">
        <v>-0.1237979</v>
      </c>
      <c r="N4242">
        <v>0</v>
      </c>
      <c r="O4242">
        <v>-0.99220680000000006</v>
      </c>
      <c r="P4242">
        <v>-0.52236970000000005</v>
      </c>
      <c r="Q4242">
        <v>0.18332560000000001</v>
      </c>
      <c r="R4242">
        <v>-0.83277959999999995</v>
      </c>
      <c r="S4242">
        <v>-1.691818</v>
      </c>
      <c r="T4242">
        <v>-0.28721869999999999</v>
      </c>
      <c r="U4242">
        <v>-2.6066889999999998</v>
      </c>
      <c r="V4242">
        <v>0.41693259999999999</v>
      </c>
      <c r="W4242">
        <v>0.19228480000000001</v>
      </c>
      <c r="X4242">
        <v>0.88836579999999998</v>
      </c>
      <c r="Y4242">
        <v>0.43397229999999998</v>
      </c>
      <c r="Z4242">
        <v>9.3936179999999994E-2</v>
      </c>
      <c r="AA4242">
        <v>0.89601559999999902</v>
      </c>
      <c r="AB4242">
        <v>26</v>
      </c>
      <c r="AC4242">
        <v>-6.4843999999999902</v>
      </c>
      <c r="AD4242">
        <v>-1.1070458161300001</v>
      </c>
      <c r="AE4242">
        <v>-9.7867999999999995</v>
      </c>
      <c r="AF4242">
        <v>5.1767711856314396</v>
      </c>
      <c r="AG4242">
        <v>-1.1070458161300001</v>
      </c>
      <c r="AH4242">
        <v>10.4216671231543</v>
      </c>
      <c r="AI4242">
        <v>95.434474841056499</v>
      </c>
      <c r="AJ4242">
        <v>63.584957893998698</v>
      </c>
      <c r="AK4242">
        <v>11.689125543565201</v>
      </c>
      <c r="AL4242">
        <v>78.913847545148798</v>
      </c>
      <c r="AM4242">
        <v>64.858143909436095</v>
      </c>
      <c r="AN4242">
        <v>1.0000000159317199</v>
      </c>
    </row>
    <row r="4243" spans="1:40" x14ac:dyDescent="0.25">
      <c r="A4243" t="str">
        <f>"20190312164111976"</f>
        <v>20190312164111976</v>
      </c>
      <c r="B4243" t="str">
        <f>"1552380071970850"</f>
        <v>1552380071970850</v>
      </c>
      <c r="C4243" t="s">
        <v>40</v>
      </c>
      <c r="D4243">
        <v>5.4616439999999997</v>
      </c>
      <c r="E4243">
        <v>0.52367359999999996</v>
      </c>
      <c r="F4243" t="s">
        <v>50</v>
      </c>
      <c r="G4243">
        <v>-198.31950000000001</v>
      </c>
      <c r="H4243" s="1">
        <v>-1.27842699999999E-5</v>
      </c>
      <c r="I4243">
        <v>151.47710000000001</v>
      </c>
      <c r="J4243">
        <v>-191.798</v>
      </c>
      <c r="K4243">
        <v>1.106994</v>
      </c>
      <c r="L4243">
        <v>161.26589999999999</v>
      </c>
      <c r="M4243">
        <v>-0.12665170000000001</v>
      </c>
      <c r="N4243">
        <v>0</v>
      </c>
      <c r="O4243">
        <v>-0.99184660000000002</v>
      </c>
      <c r="P4243">
        <v>-0.52697729999999998</v>
      </c>
      <c r="Q4243">
        <v>0.18261169999999999</v>
      </c>
      <c r="R4243">
        <v>-0.83002909999999996</v>
      </c>
      <c r="S4243">
        <v>-1.7086030000000001</v>
      </c>
      <c r="T4243">
        <v>-0.28910449999999999</v>
      </c>
      <c r="U4243">
        <v>-2.5942690000000002</v>
      </c>
      <c r="V4243">
        <v>0.41929680000000003</v>
      </c>
      <c r="W4243">
        <v>0.1915028</v>
      </c>
      <c r="X4243">
        <v>0.88742149999999997</v>
      </c>
      <c r="Y4243">
        <v>0.43735629999999998</v>
      </c>
      <c r="Z4243">
        <v>9.4634969999999999E-2</v>
      </c>
      <c r="AA4243">
        <v>0.89429509999999901</v>
      </c>
      <c r="AB4243">
        <v>26</v>
      </c>
      <c r="AC4243">
        <v>-6.5214999999999996</v>
      </c>
      <c r="AD4243">
        <v>-1.10700678427</v>
      </c>
      <c r="AE4243">
        <v>-9.7887999999999806</v>
      </c>
      <c r="AF4243">
        <v>5.1831706811568301</v>
      </c>
      <c r="AG4243">
        <v>-1.10700678427</v>
      </c>
      <c r="AH4243">
        <v>10.443493919081501</v>
      </c>
      <c r="AI4243">
        <v>95.423908041780706</v>
      </c>
      <c r="AJ4243">
        <v>63.604510621828098</v>
      </c>
      <c r="AK4243">
        <v>11.7114169752561</v>
      </c>
      <c r="AL4243">
        <v>78.959501376062207</v>
      </c>
      <c r="AM4243">
        <v>64.709785961926897</v>
      </c>
      <c r="AN4243">
        <v>1.0000000237801601</v>
      </c>
    </row>
    <row r="4244" spans="1:40" x14ac:dyDescent="0.25">
      <c r="A4244" t="str">
        <f>"20190312164111998"</f>
        <v>20190312164111998</v>
      </c>
      <c r="B4244" t="str">
        <f>"1552380071990370"</f>
        <v>1552380071990370</v>
      </c>
      <c r="C4244" t="s">
        <v>40</v>
      </c>
      <c r="D4244">
        <v>5.5424910000000001</v>
      </c>
      <c r="E4244">
        <v>0.52318260000000005</v>
      </c>
      <c r="F4244" t="s">
        <v>50</v>
      </c>
      <c r="G4244">
        <v>-198.3329</v>
      </c>
      <c r="H4244" s="1">
        <v>-1.2772120000000001E-5</v>
      </c>
      <c r="I4244">
        <v>151.42410000000001</v>
      </c>
      <c r="J4244">
        <v>-191.83539999999999</v>
      </c>
      <c r="K4244">
        <v>1.106927</v>
      </c>
      <c r="L4244">
        <v>161.01669999999999</v>
      </c>
      <c r="M4244">
        <v>-0.13163520000000001</v>
      </c>
      <c r="N4244">
        <v>0</v>
      </c>
      <c r="O4244">
        <v>-0.99119749999999995</v>
      </c>
      <c r="P4244">
        <v>-0.53476979999999996</v>
      </c>
      <c r="Q4244">
        <v>0.1817899</v>
      </c>
      <c r="R4244">
        <v>-0.82521160000000005</v>
      </c>
      <c r="S4244">
        <v>-1.7181090000000001</v>
      </c>
      <c r="T4244">
        <v>-0.29104730000000001</v>
      </c>
      <c r="U4244">
        <v>-2.587555</v>
      </c>
      <c r="V4244">
        <v>0.42319790000000002</v>
      </c>
      <c r="W4244">
        <v>0.19056439999999999</v>
      </c>
      <c r="X4244">
        <v>0.88577009999999901</v>
      </c>
      <c r="Y4244">
        <v>0.43615470000000001</v>
      </c>
      <c r="Z4244">
        <v>9.5314860000000001E-2</v>
      </c>
      <c r="AA4244">
        <v>0.89480959999999998</v>
      </c>
      <c r="AB4244">
        <v>26</v>
      </c>
      <c r="AC4244">
        <v>-6.4974999999999996</v>
      </c>
      <c r="AD4244">
        <v>-1.1069397721200001</v>
      </c>
      <c r="AE4244">
        <v>-9.5925999999999707</v>
      </c>
      <c r="AF4244">
        <v>5.1312602838954602</v>
      </c>
      <c r="AG4244">
        <v>-1.1069397721200001</v>
      </c>
      <c r="AH4244">
        <v>10.2707433152591</v>
      </c>
      <c r="AI4244">
        <v>95.5070496419535</v>
      </c>
      <c r="AJ4244">
        <v>63.453300139646601</v>
      </c>
      <c r="AK4244">
        <v>11.534440428912101</v>
      </c>
      <c r="AL4244">
        <v>79.014275810956704</v>
      </c>
      <c r="AM4244">
        <v>64.462743084593697</v>
      </c>
      <c r="AN4244">
        <v>0.99999996158288895</v>
      </c>
    </row>
    <row r="4245" spans="1:40" x14ac:dyDescent="0.25">
      <c r="A4245" t="str">
        <f>"20190312164112020"</f>
        <v>20190312164112020</v>
      </c>
      <c r="B4245" t="str">
        <f>"1552380072010396"</f>
        <v>1552380072010396</v>
      </c>
      <c r="C4245" t="s">
        <v>40</v>
      </c>
      <c r="D4245">
        <v>5.4038700000000004</v>
      </c>
      <c r="E4245">
        <v>0.54673739999999904</v>
      </c>
      <c r="F4245" t="s">
        <v>50</v>
      </c>
      <c r="G4245">
        <v>-198.3861</v>
      </c>
      <c r="H4245" s="1">
        <v>-1.27515E-5</v>
      </c>
      <c r="I4245">
        <v>151.32339999999999</v>
      </c>
      <c r="J4245">
        <v>-191.87540000000001</v>
      </c>
      <c r="K4245">
        <v>1.106854</v>
      </c>
      <c r="L4245">
        <v>160.76089999999999</v>
      </c>
      <c r="M4245">
        <v>-0.1368723</v>
      </c>
      <c r="N4245">
        <v>0</v>
      </c>
      <c r="O4245">
        <v>-0.99048760000000002</v>
      </c>
      <c r="P4245">
        <v>-0.54269730000000005</v>
      </c>
      <c r="Q4245">
        <v>0.18133650000000001</v>
      </c>
      <c r="R4245">
        <v>-0.82011990000000001</v>
      </c>
      <c r="S4245">
        <v>-1.7389829999999999</v>
      </c>
      <c r="T4245">
        <v>-0.29385450000000002</v>
      </c>
      <c r="U4245">
        <v>-2.573242</v>
      </c>
      <c r="V4245">
        <v>0.4270737</v>
      </c>
      <c r="W4245">
        <v>0.18998480000000001</v>
      </c>
      <c r="X4245">
        <v>0.88403269999999901</v>
      </c>
      <c r="Y4245">
        <v>0.43864110000000001</v>
      </c>
      <c r="Z4245">
        <v>9.6300620000000003E-2</v>
      </c>
      <c r="AA4245">
        <v>0.89348760000000005</v>
      </c>
      <c r="AB4245">
        <v>26</v>
      </c>
      <c r="AC4245">
        <v>-6.5106999999999804</v>
      </c>
      <c r="AD4245">
        <v>-1.1068667514999999</v>
      </c>
      <c r="AE4245">
        <v>-9.4375</v>
      </c>
      <c r="AF4245">
        <v>5.1099277635961302</v>
      </c>
      <c r="AG4245">
        <v>-1.1068667514999999</v>
      </c>
      <c r="AH4245">
        <v>10.1453331721053</v>
      </c>
      <c r="AI4245">
        <v>95.565297622606906</v>
      </c>
      <c r="AJ4245">
        <v>63.2668502281904</v>
      </c>
      <c r="AK4245">
        <v>11.413338728337401</v>
      </c>
      <c r="AL4245">
        <v>79.048102766164305</v>
      </c>
      <c r="AM4245">
        <v>64.214943029165696</v>
      </c>
      <c r="AN4245">
        <v>0.99999999206600898</v>
      </c>
    </row>
    <row r="4246" spans="1:40" x14ac:dyDescent="0.25">
      <c r="A4246" t="str">
        <f>"20190312164112032"</f>
        <v>20190312164112032</v>
      </c>
      <c r="B4246" t="str">
        <f>"1552380072020156"</f>
        <v>1552380072020156</v>
      </c>
      <c r="C4246" t="s">
        <v>40</v>
      </c>
      <c r="D4246">
        <v>5.4357040000000003</v>
      </c>
      <c r="E4246">
        <v>0.54812989999999995</v>
      </c>
      <c r="F4246" t="s">
        <v>50</v>
      </c>
      <c r="G4246">
        <v>-205.08279999999999</v>
      </c>
      <c r="H4246" s="1">
        <v>-8.7479150000000008E-6</v>
      </c>
      <c r="I4246">
        <v>144.15880000000001</v>
      </c>
      <c r="J4246">
        <v>-191.8989</v>
      </c>
      <c r="K4246">
        <v>1.1068129999999901</v>
      </c>
      <c r="L4246">
        <v>160.6147</v>
      </c>
      <c r="M4246">
        <v>-0.13991049999999999</v>
      </c>
      <c r="N4246">
        <v>0</v>
      </c>
      <c r="O4246">
        <v>-0.99006309999999997</v>
      </c>
      <c r="P4246">
        <v>-0.54725159999999995</v>
      </c>
      <c r="Q4246">
        <v>0.18097659999999999</v>
      </c>
      <c r="R4246">
        <v>-0.81716809999999995</v>
      </c>
      <c r="S4246">
        <v>-1.9250339999999999</v>
      </c>
      <c r="T4246">
        <v>-0.16132969999999999</v>
      </c>
      <c r="U4246">
        <v>-2.4198300000000001</v>
      </c>
      <c r="V4246">
        <v>0.42928830000000001</v>
      </c>
      <c r="W4246">
        <v>0.18955320000000001</v>
      </c>
      <c r="X4246">
        <v>0.88305219999999995</v>
      </c>
      <c r="Y4246">
        <v>0.5060403</v>
      </c>
      <c r="Z4246">
        <v>5.3574099999999999E-2</v>
      </c>
      <c r="AA4246">
        <v>0.86084439999999995</v>
      </c>
      <c r="AB4246">
        <v>26</v>
      </c>
      <c r="AC4246">
        <v>-13.1838999999999</v>
      </c>
      <c r="AD4246">
        <v>-1.10682174791499</v>
      </c>
      <c r="AE4246">
        <v>-16.4558999999999</v>
      </c>
      <c r="AF4246">
        <v>10.722072617937201</v>
      </c>
      <c r="AG4246">
        <v>-1.10682174791499</v>
      </c>
      <c r="AH4246">
        <v>18.0889193503054</v>
      </c>
      <c r="AI4246">
        <v>93.013035009296303</v>
      </c>
      <c r="AJ4246">
        <v>59.3429725424702</v>
      </c>
      <c r="AK4246">
        <v>21.056991686084501</v>
      </c>
      <c r="AL4246">
        <v>79.073289648954898</v>
      </c>
      <c r="AM4246">
        <v>64.073691260786703</v>
      </c>
      <c r="AN4246">
        <v>1.0000000240359801</v>
      </c>
    </row>
    <row r="4247" spans="1:40" x14ac:dyDescent="0.25">
      <c r="A4247" t="str">
        <f>"20190312164112047"</f>
        <v>20190312164112047</v>
      </c>
      <c r="B4247" t="str">
        <f>"1552380072040652"</f>
        <v>1552380072040652</v>
      </c>
      <c r="C4247" t="s">
        <v>40</v>
      </c>
      <c r="D4247">
        <v>5.5466540000000002</v>
      </c>
      <c r="E4247">
        <v>0.54871230000000004</v>
      </c>
      <c r="F4247" t="s">
        <v>50</v>
      </c>
      <c r="G4247">
        <v>-205.50280000000001</v>
      </c>
      <c r="H4247" s="1">
        <v>-8.4778999999999904E-6</v>
      </c>
      <c r="I4247">
        <v>143.84139999999999</v>
      </c>
      <c r="J4247">
        <v>-191.9255</v>
      </c>
      <c r="K4247">
        <v>1.1067720000000001</v>
      </c>
      <c r="L4247">
        <v>160.45320000000001</v>
      </c>
      <c r="M4247">
        <v>-0.14330079999999901</v>
      </c>
      <c r="N4247">
        <v>0</v>
      </c>
      <c r="O4247">
        <v>-0.98957790000000001</v>
      </c>
      <c r="P4247">
        <v>-0.5518653</v>
      </c>
      <c r="Q4247">
        <v>0.18079020000000001</v>
      </c>
      <c r="R4247">
        <v>-0.81410070000000001</v>
      </c>
      <c r="S4247">
        <v>-1.947937</v>
      </c>
      <c r="T4247">
        <v>-0.15848599999999999</v>
      </c>
      <c r="U4247">
        <v>-2.4017789999999999</v>
      </c>
      <c r="V4247">
        <v>0.43127470000000001</v>
      </c>
      <c r="W4247">
        <v>0.18929609999999999</v>
      </c>
      <c r="X4247">
        <v>0.88213899999999901</v>
      </c>
      <c r="Y4247">
        <v>0.51122690000000004</v>
      </c>
      <c r="Z4247">
        <v>5.267376E-2</v>
      </c>
      <c r="AA4247">
        <v>0.85783019999999999</v>
      </c>
      <c r="AB4247">
        <v>26</v>
      </c>
      <c r="AC4247">
        <v>-13.577299999999999</v>
      </c>
      <c r="AD4247">
        <v>-1.1067804778999999</v>
      </c>
      <c r="AE4247">
        <v>-16.611799999999999</v>
      </c>
      <c r="AF4247">
        <v>11.0270741622088</v>
      </c>
      <c r="AG4247">
        <v>-1.1067804778999999</v>
      </c>
      <c r="AH4247">
        <v>18.3373506574492</v>
      </c>
      <c r="AI4247">
        <v>92.960965713302997</v>
      </c>
      <c r="AJ4247">
        <v>58.979613177604797</v>
      </c>
      <c r="AK4247">
        <v>21.426146567672099</v>
      </c>
      <c r="AL4247">
        <v>79.088292270140499</v>
      </c>
      <c r="AM4247">
        <v>63.946151136248197</v>
      </c>
      <c r="AN4247">
        <v>1.0000000478281399</v>
      </c>
    </row>
    <row r="4248" spans="1:40" x14ac:dyDescent="0.25">
      <c r="A4248" t="str">
        <f>"20190312164112067"</f>
        <v>20190312164112067</v>
      </c>
      <c r="B4248" t="str">
        <f>"1552380072060172"</f>
        <v>1552380072060172</v>
      </c>
      <c r="C4248" t="s">
        <v>40</v>
      </c>
      <c r="D4248">
        <v>5.4970829999999999</v>
      </c>
      <c r="E4248">
        <v>0.55070819999999998</v>
      </c>
      <c r="F4248" t="s">
        <v>50</v>
      </c>
      <c r="G4248">
        <v>-206.19059999999999</v>
      </c>
      <c r="H4248" s="1">
        <v>-7.9861079999999999E-6</v>
      </c>
      <c r="I4248">
        <v>143.13380000000001</v>
      </c>
      <c r="J4248">
        <v>-191.96279999999999</v>
      </c>
      <c r="K4248">
        <v>1.1067260000000001</v>
      </c>
      <c r="L4248">
        <v>160.23220000000001</v>
      </c>
      <c r="M4248">
        <v>-0.1479994</v>
      </c>
      <c r="N4248">
        <v>0</v>
      </c>
      <c r="O4248">
        <v>-0.98888609999999999</v>
      </c>
      <c r="P4248">
        <v>-0.55833199999999905</v>
      </c>
      <c r="Q4248">
        <v>0.18065809999999999</v>
      </c>
      <c r="R4248">
        <v>-0.80970850000000005</v>
      </c>
      <c r="S4248">
        <v>-1.9655910000000001</v>
      </c>
      <c r="T4248">
        <v>-0.152504</v>
      </c>
      <c r="U4248">
        <v>-2.3864589999999999</v>
      </c>
      <c r="V4248">
        <v>0.43413620000000003</v>
      </c>
      <c r="W4248">
        <v>0.1890667</v>
      </c>
      <c r="X4248">
        <v>0.88078349999999905</v>
      </c>
      <c r="Y4248">
        <v>0.51369039999999999</v>
      </c>
      <c r="Z4248">
        <v>5.0742549999999997E-2</v>
      </c>
      <c r="AA4248">
        <v>0.85647379999999995</v>
      </c>
      <c r="AB4248">
        <v>26</v>
      </c>
      <c r="AC4248">
        <v>-14.2278</v>
      </c>
      <c r="AD4248">
        <v>-1.1067339861079999</v>
      </c>
      <c r="AE4248">
        <v>-17.098399999999899</v>
      </c>
      <c r="AF4248">
        <v>11.511779606753599</v>
      </c>
      <c r="AG4248">
        <v>-1.1067339861079999</v>
      </c>
      <c r="AH4248">
        <v>18.969023487819999</v>
      </c>
      <c r="AI4248">
        <v>92.855429145675998</v>
      </c>
      <c r="AJ4248">
        <v>58.747585861889199</v>
      </c>
      <c r="AK4248">
        <v>22.216430449375601</v>
      </c>
      <c r="AL4248">
        <v>79.101677275880206</v>
      </c>
      <c r="AM4248">
        <v>63.761416202202199</v>
      </c>
      <c r="AN4248">
        <v>1.00000001553578</v>
      </c>
    </row>
    <row r="4249" spans="1:40" x14ac:dyDescent="0.25">
      <c r="A4249" t="str">
        <f>"20190312164112088"</f>
        <v>20190312164112088</v>
      </c>
      <c r="B4249" t="str">
        <f>"1552380072080669"</f>
        <v>1552380072080669</v>
      </c>
      <c r="C4249" t="s">
        <v>40</v>
      </c>
      <c r="D4249">
        <v>5.5182279999999997</v>
      </c>
      <c r="E4249">
        <v>0.55088300000000001</v>
      </c>
      <c r="F4249" t="s">
        <v>50</v>
      </c>
      <c r="G4249">
        <v>-205.11349999999999</v>
      </c>
      <c r="H4249" s="1">
        <v>-8.8668839999999993E-6</v>
      </c>
      <c r="I4249">
        <v>144.6609</v>
      </c>
      <c r="J4249">
        <v>-192.00659999999999</v>
      </c>
      <c r="K4249">
        <v>1.1066670000000001</v>
      </c>
      <c r="L4249">
        <v>159.98070000000001</v>
      </c>
      <c r="M4249">
        <v>-0.1534354</v>
      </c>
      <c r="N4249">
        <v>0</v>
      </c>
      <c r="O4249">
        <v>-0.98805719999999997</v>
      </c>
      <c r="P4249">
        <v>-0.56533409999999995</v>
      </c>
      <c r="Q4249">
        <v>0.18124589999999999</v>
      </c>
      <c r="R4249">
        <v>-0.80470339999999996</v>
      </c>
      <c r="S4249">
        <v>-1.997498</v>
      </c>
      <c r="T4249">
        <v>-0.16810510000000001</v>
      </c>
      <c r="U4249">
        <v>-2.365173</v>
      </c>
      <c r="V4249">
        <v>0.43698969999999998</v>
      </c>
      <c r="W4249">
        <v>0.18955130000000001</v>
      </c>
      <c r="X4249">
        <v>0.87926689999999996</v>
      </c>
      <c r="Y4249">
        <v>0.519343</v>
      </c>
      <c r="Z4249">
        <v>5.5912179999999999E-2</v>
      </c>
      <c r="AA4249">
        <v>0.85273480000000001</v>
      </c>
      <c r="AB4249">
        <v>26</v>
      </c>
      <c r="AC4249">
        <v>-13.1068999999999</v>
      </c>
      <c r="AD4249">
        <v>-1.106675866884</v>
      </c>
      <c r="AE4249">
        <v>-15.319800000000001</v>
      </c>
      <c r="AF4249">
        <v>10.568986324654601</v>
      </c>
      <c r="AG4249">
        <v>-1.106675866884</v>
      </c>
      <c r="AH4249">
        <v>17.098104885777499</v>
      </c>
      <c r="AI4249">
        <v>93.151287354172993</v>
      </c>
      <c r="AJ4249">
        <v>58.278218452416397</v>
      </c>
      <c r="AK4249">
        <v>20.131403182344901</v>
      </c>
      <c r="AL4249">
        <v>79.073400115040997</v>
      </c>
      <c r="AM4249">
        <v>63.572934523587897</v>
      </c>
      <c r="AN4249">
        <v>0.99999998733669404</v>
      </c>
    </row>
    <row r="4250" spans="1:40" x14ac:dyDescent="0.25">
      <c r="A4250" t="str">
        <f>"20190312164112109"</f>
        <v>20190312164112109</v>
      </c>
      <c r="B4250" t="str">
        <f>"1552380072100188"</f>
        <v>1552380072100188</v>
      </c>
      <c r="C4250" t="s">
        <v>40</v>
      </c>
      <c r="D4250">
        <v>5.6107909999999999</v>
      </c>
      <c r="E4250">
        <v>0.55235459999999903</v>
      </c>
      <c r="F4250" t="s">
        <v>50</v>
      </c>
      <c r="G4250">
        <v>-204.12360000000001</v>
      </c>
      <c r="H4250" s="1">
        <v>-9.5698269999999999E-6</v>
      </c>
      <c r="I4250">
        <v>145.87270000000001</v>
      </c>
      <c r="J4250">
        <v>-192.0513</v>
      </c>
      <c r="K4250">
        <v>1.1066210000000001</v>
      </c>
      <c r="L4250">
        <v>159.73259999999999</v>
      </c>
      <c r="M4250">
        <v>-0.15887879999999999</v>
      </c>
      <c r="N4250">
        <v>0</v>
      </c>
      <c r="O4250">
        <v>-0.98719639999999997</v>
      </c>
      <c r="P4250">
        <v>-0.5728704</v>
      </c>
      <c r="Q4250">
        <v>0.18132309999999999</v>
      </c>
      <c r="R4250">
        <v>-0.79933829999999995</v>
      </c>
      <c r="S4250">
        <v>-2.0192109999999999</v>
      </c>
      <c r="T4250">
        <v>-0.1844199</v>
      </c>
      <c r="U4250">
        <v>-2.351013</v>
      </c>
      <c r="V4250">
        <v>0.4404382</v>
      </c>
      <c r="W4250">
        <v>0.18952459999999999</v>
      </c>
      <c r="X4250">
        <v>0.87755039999999995</v>
      </c>
      <c r="Y4250">
        <v>0.52150699999999905</v>
      </c>
      <c r="Z4250">
        <v>6.1308469999999997E-2</v>
      </c>
      <c r="AA4250">
        <v>0.85104159999999995</v>
      </c>
      <c r="AB4250">
        <v>26</v>
      </c>
      <c r="AC4250">
        <v>-12.0723</v>
      </c>
      <c r="AD4250">
        <v>-1.10663056982699</v>
      </c>
      <c r="AE4250">
        <v>-13.8598999999999</v>
      </c>
      <c r="AF4250">
        <v>9.6815675398450693</v>
      </c>
      <c r="AG4250">
        <v>-1.10663056982699</v>
      </c>
      <c r="AH4250">
        <v>15.545690602541899</v>
      </c>
      <c r="AI4250">
        <v>93.4579222367082</v>
      </c>
      <c r="AJ4250">
        <v>58.086115962899697</v>
      </c>
      <c r="AK4250">
        <v>18.347367046980299</v>
      </c>
      <c r="AL4250">
        <v>79.074958773060303</v>
      </c>
      <c r="AM4250">
        <v>63.348152087867497</v>
      </c>
      <c r="AN4250">
        <v>1.00000004328227</v>
      </c>
    </row>
    <row r="4251" spans="1:40" x14ac:dyDescent="0.25">
      <c r="A4251" t="str">
        <f>"20190312164112123"</f>
        <v>20190312164112123</v>
      </c>
      <c r="B4251" t="str">
        <f>"1552380072110455"</f>
        <v>1552380072110455</v>
      </c>
      <c r="C4251" t="s">
        <v>40</v>
      </c>
      <c r="D4251">
        <v>5.5184139999999999</v>
      </c>
      <c r="E4251">
        <v>0.55259619999999998</v>
      </c>
      <c r="F4251" t="s">
        <v>50</v>
      </c>
      <c r="G4251">
        <v>-203.24080000000001</v>
      </c>
      <c r="H4251" s="1">
        <v>-1.0231219999999999E-5</v>
      </c>
      <c r="I4251">
        <v>147.0137</v>
      </c>
      <c r="J4251">
        <v>-192.0779</v>
      </c>
      <c r="K4251">
        <v>1.106589</v>
      </c>
      <c r="L4251">
        <v>159.589</v>
      </c>
      <c r="M4251">
        <v>-0.1620595</v>
      </c>
      <c r="N4251">
        <v>0</v>
      </c>
      <c r="O4251">
        <v>-0.98667930000000004</v>
      </c>
      <c r="P4251">
        <v>-0.5771695</v>
      </c>
      <c r="Q4251">
        <v>0.18128630000000001</v>
      </c>
      <c r="R4251">
        <v>-0.7962477</v>
      </c>
      <c r="S4251">
        <v>-2.0498349999999999</v>
      </c>
      <c r="T4251">
        <v>-0.20272660000000001</v>
      </c>
      <c r="U4251">
        <v>-2.3300019999999999</v>
      </c>
      <c r="V4251">
        <v>0.44235269999999999</v>
      </c>
      <c r="W4251">
        <v>0.1894333</v>
      </c>
      <c r="X4251">
        <v>0.87660659999999901</v>
      </c>
      <c r="Y4251">
        <v>0.528609</v>
      </c>
      <c r="Z4251">
        <v>6.73517E-2</v>
      </c>
      <c r="AA4251">
        <v>0.84618930000000003</v>
      </c>
      <c r="AB4251">
        <v>26</v>
      </c>
      <c r="AC4251">
        <v>-11.1629</v>
      </c>
      <c r="AD4251">
        <v>-1.1065992312199999</v>
      </c>
      <c r="AE4251">
        <v>-12.5753</v>
      </c>
      <c r="AF4251">
        <v>8.9384446184675301</v>
      </c>
      <c r="AG4251">
        <v>-1.1065992312199999</v>
      </c>
      <c r="AH4251">
        <v>14.1569562283645</v>
      </c>
      <c r="AI4251">
        <v>93.781450828527596</v>
      </c>
      <c r="AJ4251">
        <v>57.732430835285697</v>
      </c>
      <c r="AK4251">
        <v>16.779146691884399</v>
      </c>
      <c r="AL4251">
        <v>79.080286006742398</v>
      </c>
      <c r="AM4251">
        <v>63.223602420368799</v>
      </c>
      <c r="AN4251">
        <v>1.0000000087548599</v>
      </c>
    </row>
    <row r="4252" spans="1:40" x14ac:dyDescent="0.25">
      <c r="A4252" t="str">
        <f>"20190312164112135"</f>
        <v>20190312164112135</v>
      </c>
      <c r="B4252" t="str">
        <f>"1552380072130951"</f>
        <v>1552380072130951</v>
      </c>
      <c r="C4252" t="s">
        <v>40</v>
      </c>
      <c r="D4252">
        <v>5.4324110000000001</v>
      </c>
      <c r="E4252">
        <v>0.55241719999999905</v>
      </c>
      <c r="F4252" t="s">
        <v>50</v>
      </c>
      <c r="G4252">
        <v>-202.94149999999999</v>
      </c>
      <c r="H4252" s="1">
        <v>-1.0471689999999999E-5</v>
      </c>
      <c r="I4252">
        <v>147.3759</v>
      </c>
      <c r="J4252">
        <v>-192.10730000000001</v>
      </c>
      <c r="K4252">
        <v>1.10656</v>
      </c>
      <c r="L4252">
        <v>159.4325</v>
      </c>
      <c r="M4252">
        <v>-0.16554449999999901</v>
      </c>
      <c r="N4252">
        <v>0</v>
      </c>
      <c r="O4252">
        <v>-0.98610030000000004</v>
      </c>
      <c r="P4252">
        <v>-0.58142469999999902</v>
      </c>
      <c r="Q4252">
        <v>0.18084510000000001</v>
      </c>
      <c r="R4252">
        <v>-0.79324709999999998</v>
      </c>
      <c r="S4252">
        <v>-2.0634610000000002</v>
      </c>
      <c r="T4252">
        <v>-0.21018990000000001</v>
      </c>
      <c r="U4252">
        <v>-2.3197779999999999</v>
      </c>
      <c r="V4252">
        <v>0.44394250000000002</v>
      </c>
      <c r="W4252">
        <v>0.18894540000000001</v>
      </c>
      <c r="X4252">
        <v>0.87590800000000002</v>
      </c>
      <c r="Y4252">
        <v>0.53012809999999999</v>
      </c>
      <c r="Z4252">
        <v>6.9829230000000006E-2</v>
      </c>
      <c r="AA4252">
        <v>0.84503729999999999</v>
      </c>
      <c r="AB4252">
        <v>26</v>
      </c>
      <c r="AC4252">
        <v>-10.8341999999999</v>
      </c>
      <c r="AD4252">
        <v>-1.10657047169</v>
      </c>
      <c r="AE4252">
        <v>-12.0566</v>
      </c>
      <c r="AF4252">
        <v>8.6482732427520705</v>
      </c>
      <c r="AG4252">
        <v>-1.10657047169</v>
      </c>
      <c r="AH4252">
        <v>13.6204581837672</v>
      </c>
      <c r="AI4252">
        <v>93.923531107638496</v>
      </c>
      <c r="AJ4252">
        <v>57.586604259005497</v>
      </c>
      <c r="AK4252">
        <v>16.172013153156499</v>
      </c>
      <c r="AL4252">
        <v>79.108755376096994</v>
      </c>
      <c r="AM4252">
        <v>63.122425954130399</v>
      </c>
      <c r="AN4252">
        <v>1.0000000659757</v>
      </c>
    </row>
    <row r="4253" spans="1:40" x14ac:dyDescent="0.25">
      <c r="A4253" t="str">
        <f>"20190312164112154"</f>
        <v>20190312164112154</v>
      </c>
      <c r="B4253" t="str">
        <f>"1552380072150471"</f>
        <v>1552380072150471</v>
      </c>
      <c r="C4253" t="s">
        <v>40</v>
      </c>
      <c r="D4253">
        <v>5.4320579999999996</v>
      </c>
      <c r="E4253">
        <v>0.55127950000000003</v>
      </c>
      <c r="F4253" t="s">
        <v>50</v>
      </c>
      <c r="G4253">
        <v>-202.54750000000001</v>
      </c>
      <c r="H4253" s="1">
        <v>-1.0770569999999999E-5</v>
      </c>
      <c r="I4253">
        <v>147.79329999999999</v>
      </c>
      <c r="J4253">
        <v>-192.14599999999999</v>
      </c>
      <c r="K4253">
        <v>1.106533</v>
      </c>
      <c r="L4253">
        <v>159.2328</v>
      </c>
      <c r="M4253">
        <v>-0.17002679999999901</v>
      </c>
      <c r="N4253">
        <v>0</v>
      </c>
      <c r="O4253">
        <v>-0.98533740000000003</v>
      </c>
      <c r="P4253">
        <v>-0.58732130000000005</v>
      </c>
      <c r="Q4253">
        <v>0.1795272</v>
      </c>
      <c r="R4253">
        <v>-0.78919209999999995</v>
      </c>
      <c r="S4253">
        <v>-2.0737920000000001</v>
      </c>
      <c r="T4253">
        <v>-0.2198039</v>
      </c>
      <c r="U4253">
        <v>-2.311966</v>
      </c>
      <c r="V4253">
        <v>0.4464398</v>
      </c>
      <c r="W4253">
        <v>0.1875686</v>
      </c>
      <c r="X4253">
        <v>0.87493399999999999</v>
      </c>
      <c r="Y4253">
        <v>0.52963719999999903</v>
      </c>
      <c r="Z4253">
        <v>7.301713E-2</v>
      </c>
      <c r="AA4253">
        <v>0.84507569999999999</v>
      </c>
      <c r="AB4253">
        <v>26</v>
      </c>
      <c r="AC4253">
        <v>-10.4015</v>
      </c>
      <c r="AD4253">
        <v>-1.1065437705700001</v>
      </c>
      <c r="AE4253">
        <v>-11.439500000000001</v>
      </c>
      <c r="AF4253">
        <v>8.2624797675107704</v>
      </c>
      <c r="AG4253">
        <v>-1.1065437705700001</v>
      </c>
      <c r="AH4253">
        <v>12.975153160339399</v>
      </c>
      <c r="AI4253">
        <v>94.114481969764896</v>
      </c>
      <c r="AJ4253">
        <v>57.5113229877132</v>
      </c>
      <c r="AK4253">
        <v>15.4223088595378</v>
      </c>
      <c r="AL4253">
        <v>79.189075526133095</v>
      </c>
      <c r="AM4253">
        <v>62.966806670891501</v>
      </c>
      <c r="AN4253">
        <v>0.99999998954299996</v>
      </c>
    </row>
    <row r="4254" spans="1:40" x14ac:dyDescent="0.25">
      <c r="A4254" t="str">
        <f>"20190312164112170"</f>
        <v>20190312164112170</v>
      </c>
      <c r="B4254" t="str">
        <f>"1552380072160231"</f>
        <v>1552380072160231</v>
      </c>
      <c r="C4254" t="s">
        <v>40</v>
      </c>
      <c r="D4254">
        <v>5.5452079999999997</v>
      </c>
      <c r="E4254">
        <v>0.55075940000000001</v>
      </c>
      <c r="F4254" t="s">
        <v>50</v>
      </c>
      <c r="G4254">
        <v>-202.7098</v>
      </c>
      <c r="H4254" s="1">
        <v>-1.063049E-5</v>
      </c>
      <c r="I4254">
        <v>147.5642</v>
      </c>
      <c r="J4254">
        <v>-192.18369999999999</v>
      </c>
      <c r="K4254">
        <v>1.1065179999999999</v>
      </c>
      <c r="L4254">
        <v>159.04230000000001</v>
      </c>
      <c r="M4254">
        <v>-0.17432690000000001</v>
      </c>
      <c r="N4254">
        <v>0</v>
      </c>
      <c r="O4254">
        <v>-0.98458570000000001</v>
      </c>
      <c r="P4254">
        <v>-0.59168140000000002</v>
      </c>
      <c r="Q4254">
        <v>0.1789135</v>
      </c>
      <c r="R4254">
        <v>-0.78606830000000005</v>
      </c>
      <c r="S4254">
        <v>-2.0829770000000001</v>
      </c>
      <c r="T4254">
        <v>-0.21818879999999999</v>
      </c>
      <c r="U4254">
        <v>-2.3008120000000001</v>
      </c>
      <c r="V4254">
        <v>0.44744279999999997</v>
      </c>
      <c r="W4254">
        <v>0.18692590000000001</v>
      </c>
      <c r="X4254">
        <v>0.87455910000000003</v>
      </c>
      <c r="Y4254">
        <v>0.52985019999999905</v>
      </c>
      <c r="Z4254">
        <v>7.2568439999999998E-2</v>
      </c>
      <c r="AA4254">
        <v>0.84498079999999998</v>
      </c>
      <c r="AB4254">
        <v>26</v>
      </c>
      <c r="AC4254">
        <v>-10.5261</v>
      </c>
      <c r="AD4254">
        <v>-1.1065286304899999</v>
      </c>
      <c r="AE4254">
        <v>-11.4781</v>
      </c>
      <c r="AF4254">
        <v>8.3217377396065597</v>
      </c>
      <c r="AG4254">
        <v>-1.1065286304899999</v>
      </c>
      <c r="AH4254">
        <v>13.071489949652801</v>
      </c>
      <c r="AI4254">
        <v>94.084500229610299</v>
      </c>
      <c r="AJ4254">
        <v>57.517836955650097</v>
      </c>
      <c r="AK4254">
        <v>15.5351077923766</v>
      </c>
      <c r="AL4254">
        <v>79.226562519516904</v>
      </c>
      <c r="AM4254">
        <v>62.904761215660699</v>
      </c>
      <c r="AN4254">
        <v>0.99999998537772905</v>
      </c>
    </row>
    <row r="4255" spans="1:40" x14ac:dyDescent="0.25">
      <c r="A4255" t="str">
        <f>"20190312164112192"</f>
        <v>20190312164112192</v>
      </c>
      <c r="B4255" t="str">
        <f>"1552380072180727"</f>
        <v>1552380072180727</v>
      </c>
      <c r="C4255" t="s">
        <v>40</v>
      </c>
      <c r="D4255">
        <v>5.5993089999999999</v>
      </c>
      <c r="E4255">
        <v>0.54989650000000001</v>
      </c>
      <c r="F4255" t="s">
        <v>50</v>
      </c>
      <c r="G4255">
        <v>-202.86189999999999</v>
      </c>
      <c r="H4255" s="1">
        <v>-1.0500189999999999E-5</v>
      </c>
      <c r="I4255">
        <v>147.35299999999901</v>
      </c>
      <c r="J4255">
        <v>-192.23339999999999</v>
      </c>
      <c r="K4255">
        <v>1.106511</v>
      </c>
      <c r="L4255">
        <v>158.79740000000001</v>
      </c>
      <c r="M4255">
        <v>-0.17987879999999901</v>
      </c>
      <c r="N4255">
        <v>0</v>
      </c>
      <c r="O4255">
        <v>-0.98358639999999997</v>
      </c>
      <c r="P4255">
        <v>-0.59774759999999905</v>
      </c>
      <c r="Q4255">
        <v>0.1779095</v>
      </c>
      <c r="R4255">
        <v>-0.78169440000000001</v>
      </c>
      <c r="S4255">
        <v>-2.0925750000000001</v>
      </c>
      <c r="T4255">
        <v>-0.21684349999999999</v>
      </c>
      <c r="U4255">
        <v>-2.2907099999999998</v>
      </c>
      <c r="V4255">
        <v>0.44923679999999999</v>
      </c>
      <c r="W4255">
        <v>0.1858822</v>
      </c>
      <c r="X4255">
        <v>0.87386160000000002</v>
      </c>
      <c r="Y4255">
        <v>0.528873699999999</v>
      </c>
      <c r="Z4255">
        <v>7.2180460000000002E-2</v>
      </c>
      <c r="AA4255">
        <v>0.84562559999999998</v>
      </c>
      <c r="AB4255">
        <v>26</v>
      </c>
      <c r="AC4255">
        <v>-10.628500000000001</v>
      </c>
      <c r="AD4255">
        <v>-1.10652150019</v>
      </c>
      <c r="AE4255">
        <v>-11.4444</v>
      </c>
      <c r="AF4255">
        <v>8.3543561928620598</v>
      </c>
      <c r="AG4255">
        <v>-1.10652150019</v>
      </c>
      <c r="AH4255">
        <v>13.1039524745956</v>
      </c>
      <c r="AI4255">
        <v>94.072711630856006</v>
      </c>
      <c r="AJ4255">
        <v>57.480666070547002</v>
      </c>
      <c r="AK4255">
        <v>15.5798981923521</v>
      </c>
      <c r="AL4255">
        <v>79.287429031845406</v>
      </c>
      <c r="AM4255">
        <v>62.793105213032597</v>
      </c>
      <c r="AN4255">
        <v>0.99999999535282003</v>
      </c>
    </row>
    <row r="4256" spans="1:40" x14ac:dyDescent="0.25">
      <c r="A4256" t="str">
        <f>"20190312164112213"</f>
        <v>20190312164112213</v>
      </c>
      <c r="B4256" t="str">
        <f>"1552380072210984"</f>
        <v>1552380072210984</v>
      </c>
      <c r="C4256" t="s">
        <v>40</v>
      </c>
      <c r="D4256">
        <v>5.9248839999999996</v>
      </c>
      <c r="E4256">
        <v>0.54922349999999998</v>
      </c>
      <c r="F4256" t="s">
        <v>50</v>
      </c>
      <c r="G4256">
        <v>-203.02889999999999</v>
      </c>
      <c r="H4256" s="1">
        <v>-1.035519E-5</v>
      </c>
      <c r="I4256">
        <v>147.11449999999999</v>
      </c>
      <c r="J4256">
        <v>-192.28319999999999</v>
      </c>
      <c r="K4256">
        <v>1.106503</v>
      </c>
      <c r="L4256">
        <v>158.55940000000001</v>
      </c>
      <c r="M4256">
        <v>-0.18530260000000001</v>
      </c>
      <c r="N4256">
        <v>0</v>
      </c>
      <c r="O4256">
        <v>-0.98257910000000004</v>
      </c>
      <c r="P4256">
        <v>-0.60371490000000005</v>
      </c>
      <c r="Q4256">
        <v>0.17768729999999999</v>
      </c>
      <c r="R4256">
        <v>-0.77714559999999999</v>
      </c>
      <c r="S4256">
        <v>-2.104584</v>
      </c>
      <c r="T4256">
        <v>-0.21571770000000001</v>
      </c>
      <c r="U4256">
        <v>-2.277603</v>
      </c>
      <c r="V4256">
        <v>0.45110260000000002</v>
      </c>
      <c r="W4256">
        <v>0.1856217</v>
      </c>
      <c r="X4256">
        <v>0.87295540000000005</v>
      </c>
      <c r="Y4256">
        <v>0.52903940000000005</v>
      </c>
      <c r="Z4256">
        <v>7.188216E-2</v>
      </c>
      <c r="AA4256">
        <v>0.8455473</v>
      </c>
      <c r="AB4256">
        <v>26</v>
      </c>
      <c r="AC4256">
        <v>-10.745699999999999</v>
      </c>
      <c r="AD4256">
        <v>-1.1065133551899999</v>
      </c>
      <c r="AE4256">
        <v>-11.444900000000001</v>
      </c>
      <c r="AF4256">
        <v>8.39686479816163</v>
      </c>
      <c r="AG4256">
        <v>-1.1065133551899999</v>
      </c>
      <c r="AH4256">
        <v>13.1726174337557</v>
      </c>
      <c r="AI4256">
        <v>94.051699198049803</v>
      </c>
      <c r="AJ4256">
        <v>57.484588817325999</v>
      </c>
      <c r="AK4256">
        <v>15.660445724815901</v>
      </c>
      <c r="AL4256">
        <v>79.302619537765395</v>
      </c>
      <c r="AM4256">
        <v>62.672190122273001</v>
      </c>
      <c r="AN4256">
        <v>1.0000000508133999</v>
      </c>
    </row>
    <row r="4257" spans="1:40" x14ac:dyDescent="0.25">
      <c r="A4257" t="str">
        <f>"20190312164112233"</f>
        <v>20190312164112233</v>
      </c>
      <c r="B4257" t="str">
        <f>"1552380072220743"</f>
        <v>1552380072220743</v>
      </c>
      <c r="C4257" t="s">
        <v>40</v>
      </c>
      <c r="D4257">
        <v>5.5994789999999997</v>
      </c>
      <c r="E4257">
        <v>0.54871979999999998</v>
      </c>
      <c r="F4257" t="s">
        <v>50</v>
      </c>
      <c r="G4257">
        <v>-203.1694</v>
      </c>
      <c r="H4257" s="1">
        <v>-1.023355E-5</v>
      </c>
      <c r="I4257">
        <v>146.9151</v>
      </c>
      <c r="J4257">
        <v>-192.33070000000001</v>
      </c>
      <c r="K4257">
        <v>1.106492</v>
      </c>
      <c r="L4257">
        <v>158.33840000000001</v>
      </c>
      <c r="M4257">
        <v>-0.19035589999999999</v>
      </c>
      <c r="N4257">
        <v>0</v>
      </c>
      <c r="O4257">
        <v>-0.9816127</v>
      </c>
      <c r="P4257">
        <v>-0.60912980000000005</v>
      </c>
      <c r="Q4257">
        <v>0.17745089999999999</v>
      </c>
      <c r="R4257">
        <v>-0.77296339999999997</v>
      </c>
      <c r="S4257">
        <v>-2.117264</v>
      </c>
      <c r="T4257">
        <v>-0.21520629999999999</v>
      </c>
      <c r="U4257">
        <v>-2.264694</v>
      </c>
      <c r="V4257">
        <v>0.45270270000000001</v>
      </c>
      <c r="W4257">
        <v>0.18535550000000001</v>
      </c>
      <c r="X4257">
        <v>0.87218320000000005</v>
      </c>
      <c r="Y4257">
        <v>0.52961279999999999</v>
      </c>
      <c r="Z4257">
        <v>7.1769899999999998E-2</v>
      </c>
      <c r="AA4257">
        <v>0.84519789999999995</v>
      </c>
      <c r="AB4257">
        <v>26</v>
      </c>
      <c r="AC4257">
        <v>-10.8386999999999</v>
      </c>
      <c r="AD4257">
        <v>-1.1065022335500001</v>
      </c>
      <c r="AE4257">
        <v>-11.423299999999999</v>
      </c>
      <c r="AF4257">
        <v>8.4241701424540398</v>
      </c>
      <c r="AG4257">
        <v>-1.1065022335500001</v>
      </c>
      <c r="AH4257">
        <v>13.212565253457999</v>
      </c>
      <c r="AI4257">
        <v>94.039194914547707</v>
      </c>
      <c r="AJ4257">
        <v>57.478913462909702</v>
      </c>
      <c r="AK4257">
        <v>15.7086877350959</v>
      </c>
      <c r="AL4257">
        <v>79.318140101350096</v>
      </c>
      <c r="AM4257">
        <v>62.568637067475798</v>
      </c>
      <c r="AN4257">
        <v>0.99999996516488898</v>
      </c>
    </row>
    <row r="4258" spans="1:40" x14ac:dyDescent="0.25">
      <c r="A4258" t="str">
        <f>"20190312164112256"</f>
        <v>20190312164112256</v>
      </c>
      <c r="B4258" t="str">
        <f>"1552380072250024"</f>
        <v>1552380072250024</v>
      </c>
      <c r="C4258" t="s">
        <v>40</v>
      </c>
      <c r="D4258">
        <v>5.4919079999999996</v>
      </c>
      <c r="E4258">
        <v>0.54758879999999999</v>
      </c>
      <c r="F4258" t="s">
        <v>50</v>
      </c>
      <c r="G4258">
        <v>-203.29320000000001</v>
      </c>
      <c r="H4258" s="1">
        <v>-1.012664E-5</v>
      </c>
      <c r="I4258">
        <v>146.74029999999999</v>
      </c>
      <c r="J4258">
        <v>-192.3877</v>
      </c>
      <c r="K4258">
        <v>1.1064830000000001</v>
      </c>
      <c r="L4258">
        <v>158.07980000000001</v>
      </c>
      <c r="M4258">
        <v>-0.1962872</v>
      </c>
      <c r="N4258">
        <v>0</v>
      </c>
      <c r="O4258">
        <v>-0.98044390000000003</v>
      </c>
      <c r="P4258">
        <v>-0.61618479999999998</v>
      </c>
      <c r="Q4258">
        <v>0.1774608</v>
      </c>
      <c r="R4258">
        <v>-0.76734880000000005</v>
      </c>
      <c r="S4258">
        <v>-2.129181</v>
      </c>
      <c r="T4258">
        <v>-0.21490899999999999</v>
      </c>
      <c r="U4258">
        <v>-2.2526250000000001</v>
      </c>
      <c r="V4258">
        <v>0.45542700000000003</v>
      </c>
      <c r="W4258">
        <v>0.1853148</v>
      </c>
      <c r="X4258">
        <v>0.87077249999999995</v>
      </c>
      <c r="Y4258">
        <v>0.52911379999999997</v>
      </c>
      <c r="Z4258">
        <v>7.1718560000000001E-2</v>
      </c>
      <c r="AA4258">
        <v>0.84551469999999995</v>
      </c>
      <c r="AB4258">
        <v>26</v>
      </c>
      <c r="AC4258">
        <v>-10.9055</v>
      </c>
      <c r="AD4258">
        <v>-1.10649312664</v>
      </c>
      <c r="AE4258">
        <v>-11.339499999999999</v>
      </c>
      <c r="AF4258">
        <v>8.4256064526125201</v>
      </c>
      <c r="AG4258">
        <v>-1.10649312664</v>
      </c>
      <c r="AH4258">
        <v>13.1944208516393</v>
      </c>
      <c r="AI4258">
        <v>94.042896478427295</v>
      </c>
      <c r="AJ4258">
        <v>57.438780440387497</v>
      </c>
      <c r="AK4258">
        <v>15.6941999714475</v>
      </c>
      <c r="AL4258">
        <v>79.320513929051003</v>
      </c>
      <c r="AM4258">
        <v>62.3897620629917</v>
      </c>
      <c r="AN4258">
        <v>1.00000003709214</v>
      </c>
    </row>
    <row r="4259" spans="1:40" x14ac:dyDescent="0.25">
      <c r="A4259" t="str">
        <f>"20190312164112290"</f>
        <v>20190312164112290</v>
      </c>
      <c r="B4259" t="str">
        <f>"1552380072280279"</f>
        <v>1552380072280279</v>
      </c>
      <c r="C4259" t="s">
        <v>40</v>
      </c>
      <c r="D4259">
        <v>5.4367939999999999</v>
      </c>
      <c r="E4259">
        <v>0.54632289999999994</v>
      </c>
      <c r="F4259" t="s">
        <v>50</v>
      </c>
      <c r="G4259">
        <v>-203.41309999999999</v>
      </c>
      <c r="H4259" s="1">
        <v>-1.00173E-5</v>
      </c>
      <c r="I4259">
        <v>146.5514</v>
      </c>
      <c r="J4259">
        <v>-192.47309999999999</v>
      </c>
      <c r="K4259">
        <v>1.106473</v>
      </c>
      <c r="L4259">
        <v>157.70660000000001</v>
      </c>
      <c r="M4259">
        <v>-0.2048884</v>
      </c>
      <c r="N4259">
        <v>0</v>
      </c>
      <c r="O4259">
        <v>-0.97868259999999996</v>
      </c>
      <c r="P4259">
        <v>-0.62471739999999998</v>
      </c>
      <c r="Q4259">
        <v>0.17684530000000001</v>
      </c>
      <c r="R4259">
        <v>-0.7605615</v>
      </c>
      <c r="S4259">
        <v>-2.1417389999999998</v>
      </c>
      <c r="T4259">
        <v>-0.2149421</v>
      </c>
      <c r="U4259">
        <v>-2.2394409999999998</v>
      </c>
      <c r="V4259">
        <v>0.45748</v>
      </c>
      <c r="W4259">
        <v>0.18465819999999999</v>
      </c>
      <c r="X4259">
        <v>0.86983529999999998</v>
      </c>
      <c r="Y4259">
        <v>0.52662679999999995</v>
      </c>
      <c r="Z4259">
        <v>7.1776930000000003E-2</v>
      </c>
      <c r="AA4259">
        <v>0.84706090000000001</v>
      </c>
      <c r="AB4259">
        <v>26</v>
      </c>
      <c r="AC4259">
        <v>-10.9399999999999</v>
      </c>
      <c r="AD4259">
        <v>-1.1064830173</v>
      </c>
      <c r="AE4259">
        <v>-11.155200000000001</v>
      </c>
      <c r="AF4259">
        <v>8.3800365006425199</v>
      </c>
      <c r="AG4259">
        <v>-1.1064830173</v>
      </c>
      <c r="AH4259">
        <v>13.094531824346801</v>
      </c>
      <c r="AI4259">
        <v>94.071034084548899</v>
      </c>
      <c r="AJ4259">
        <v>57.382196844854001</v>
      </c>
      <c r="AK4259">
        <v>15.5857653042289</v>
      </c>
      <c r="AL4259">
        <v>79.358794900056694</v>
      </c>
      <c r="AM4259">
        <v>62.258383394598702</v>
      </c>
      <c r="AN4259">
        <v>1.0000000251766601</v>
      </c>
    </row>
    <row r="4260" spans="1:40" x14ac:dyDescent="0.25">
      <c r="A4260" t="str">
        <f>"20190312164112312"</f>
        <v>20190312164112312</v>
      </c>
      <c r="B4260" t="str">
        <f>"1552380072300775"</f>
        <v>1552380072300775</v>
      </c>
      <c r="C4260" t="s">
        <v>40</v>
      </c>
      <c r="D4260">
        <v>5.3299989999999999</v>
      </c>
      <c r="E4260">
        <v>0.54568589999999995</v>
      </c>
      <c r="F4260" t="s">
        <v>50</v>
      </c>
      <c r="G4260">
        <v>-203.70179999999999</v>
      </c>
      <c r="H4260" s="1">
        <v>-9.8024839999999993E-6</v>
      </c>
      <c r="I4260">
        <v>146.1525</v>
      </c>
      <c r="J4260">
        <v>-192.5334</v>
      </c>
      <c r="K4260">
        <v>1.1064689999999999</v>
      </c>
      <c r="L4260">
        <v>157.45160000000001</v>
      </c>
      <c r="M4260">
        <v>-0.2107947</v>
      </c>
      <c r="N4260">
        <v>0</v>
      </c>
      <c r="O4260">
        <v>-0.97742739999999995</v>
      </c>
      <c r="P4260">
        <v>-0.63019049999999999</v>
      </c>
      <c r="Q4260">
        <v>0.17662239999999901</v>
      </c>
      <c r="R4260">
        <v>-0.75608500000000001</v>
      </c>
      <c r="S4260">
        <v>-2.1584469999999998</v>
      </c>
      <c r="T4260">
        <v>-0.2126951</v>
      </c>
      <c r="U4260">
        <v>-2.2210079999999999</v>
      </c>
      <c r="V4260">
        <v>0.45849760000000001</v>
      </c>
      <c r="W4260">
        <v>0.18441170000000001</v>
      </c>
      <c r="X4260">
        <v>0.8693516</v>
      </c>
      <c r="Y4260">
        <v>0.52831850000000002</v>
      </c>
      <c r="Z4260">
        <v>7.1113339999999997E-2</v>
      </c>
      <c r="AA4260">
        <v>0.84606299999999901</v>
      </c>
      <c r="AB4260">
        <v>25</v>
      </c>
      <c r="AC4260">
        <v>-11.168399999999901</v>
      </c>
      <c r="AD4260">
        <v>-1.106478802484</v>
      </c>
      <c r="AE4260">
        <v>-11.299099999999999</v>
      </c>
      <c r="AF4260">
        <v>8.4941673097795007</v>
      </c>
      <c r="AG4260">
        <v>-1.106478802484</v>
      </c>
      <c r="AH4260">
        <v>13.3349559967559</v>
      </c>
      <c r="AI4260">
        <v>94.003248875469495</v>
      </c>
      <c r="AJ4260">
        <v>57.503473826281997</v>
      </c>
      <c r="AK4260">
        <v>15.8491711159382</v>
      </c>
      <c r="AL4260">
        <v>79.373164450173704</v>
      </c>
      <c r="AM4260">
        <v>62.192754897280203</v>
      </c>
      <c r="AN4260">
        <v>0.99999996436260397</v>
      </c>
    </row>
    <row r="4261" spans="1:40" x14ac:dyDescent="0.25">
      <c r="A4261" t="str">
        <f>"20190312164112332"</f>
        <v>20190312164112332</v>
      </c>
      <c r="B4261" t="str">
        <f>"1552380072320295"</f>
        <v>1552380072320295</v>
      </c>
      <c r="C4261" t="s">
        <v>40</v>
      </c>
      <c r="D4261">
        <v>5.545998</v>
      </c>
      <c r="E4261">
        <v>0.54510800000000004</v>
      </c>
      <c r="F4261" t="s">
        <v>50</v>
      </c>
      <c r="G4261">
        <v>-203.8554</v>
      </c>
      <c r="H4261" s="1">
        <v>-9.6877200000000001E-6</v>
      </c>
      <c r="I4261">
        <v>145.93680000000001</v>
      </c>
      <c r="J4261">
        <v>-192.58869999999999</v>
      </c>
      <c r="K4261">
        <v>1.106463</v>
      </c>
      <c r="L4261">
        <v>157.22399999999999</v>
      </c>
      <c r="M4261">
        <v>-0.21609329999999999</v>
      </c>
      <c r="N4261">
        <v>0</v>
      </c>
      <c r="O4261">
        <v>-0.97626950000000001</v>
      </c>
      <c r="P4261">
        <v>-0.63532880000000003</v>
      </c>
      <c r="Q4261">
        <v>0.17630960000000001</v>
      </c>
      <c r="R4261">
        <v>-0.75184569999999995</v>
      </c>
      <c r="S4261">
        <v>-2.1709290000000001</v>
      </c>
      <c r="T4261">
        <v>-0.21216189999999999</v>
      </c>
      <c r="U4261">
        <v>-2.207916</v>
      </c>
      <c r="V4261">
        <v>0.4596944</v>
      </c>
      <c r="W4261">
        <v>0.1840715</v>
      </c>
      <c r="X4261">
        <v>0.868791599999999</v>
      </c>
      <c r="Y4261">
        <v>0.52866359999999901</v>
      </c>
      <c r="Z4261">
        <v>7.0978369999999999E-2</v>
      </c>
      <c r="AA4261">
        <v>0.84585869999999996</v>
      </c>
      <c r="AB4261">
        <v>25</v>
      </c>
      <c r="AC4261">
        <v>-11.2667</v>
      </c>
      <c r="AD4261">
        <v>-1.10647268772</v>
      </c>
      <c r="AE4261">
        <v>-11.287199999999901</v>
      </c>
      <c r="AF4261">
        <v>8.5200979358118101</v>
      </c>
      <c r="AG4261">
        <v>-1.10647268772</v>
      </c>
      <c r="AH4261">
        <v>13.3909053839999</v>
      </c>
      <c r="AI4261">
        <v>93.987860047679703</v>
      </c>
      <c r="AJ4261">
        <v>57.533032863534601</v>
      </c>
      <c r="AK4261">
        <v>15.9101444885875</v>
      </c>
      <c r="AL4261">
        <v>79.392996904822297</v>
      </c>
      <c r="AM4261">
        <v>62.115819289196203</v>
      </c>
      <c r="AN4261">
        <v>1.0000000513670799</v>
      </c>
    </row>
    <row r="4262" spans="1:40" x14ac:dyDescent="0.25">
      <c r="A4262" t="str">
        <f>"20190312164112358"</f>
        <v>20190312164112358</v>
      </c>
      <c r="B4262" t="str">
        <f>"1552380072350551"</f>
        <v>1552380072350551</v>
      </c>
      <c r="C4262" t="s">
        <v>40</v>
      </c>
      <c r="D4262">
        <v>5.5171679999999999</v>
      </c>
      <c r="E4262">
        <v>0.54463359999999905</v>
      </c>
      <c r="F4262" t="s">
        <v>50</v>
      </c>
      <c r="G4262">
        <v>-203.96109999999999</v>
      </c>
      <c r="H4262" s="1">
        <v>-9.6081399999999998E-6</v>
      </c>
      <c r="I4262">
        <v>145.786</v>
      </c>
      <c r="J4262">
        <v>-192.65880000000001</v>
      </c>
      <c r="K4262">
        <v>1.1064499999999999</v>
      </c>
      <c r="L4262">
        <v>156.9427</v>
      </c>
      <c r="M4262">
        <v>-0.2226852</v>
      </c>
      <c r="N4262">
        <v>0</v>
      </c>
      <c r="O4262">
        <v>-0.97478719999999996</v>
      </c>
      <c r="P4262">
        <v>-0.6412793</v>
      </c>
      <c r="Q4262">
        <v>0.17680029999999999</v>
      </c>
      <c r="R4262">
        <v>-0.74666109999999997</v>
      </c>
      <c r="S4262">
        <v>-2.1828460000000001</v>
      </c>
      <c r="T4262">
        <v>-0.21237990000000001</v>
      </c>
      <c r="U4262">
        <v>-2.1954500000000001</v>
      </c>
      <c r="V4262">
        <v>0.46076270000000003</v>
      </c>
      <c r="W4262">
        <v>0.18452650000000001</v>
      </c>
      <c r="X4262">
        <v>0.86812889999999998</v>
      </c>
      <c r="Y4262">
        <v>0.52763800000000005</v>
      </c>
      <c r="Z4262">
        <v>7.1080160000000003E-2</v>
      </c>
      <c r="AA4262">
        <v>0.84649030000000003</v>
      </c>
      <c r="AB4262">
        <v>25</v>
      </c>
      <c r="AC4262">
        <v>-11.302299999999899</v>
      </c>
      <c r="AD4262">
        <v>-1.10645960814</v>
      </c>
      <c r="AE4262">
        <v>-11.156700000000001</v>
      </c>
      <c r="AF4262">
        <v>8.4925410001476997</v>
      </c>
      <c r="AG4262">
        <v>-1.10645960814</v>
      </c>
      <c r="AH4262">
        <v>13.3289119882342</v>
      </c>
      <c r="AI4262">
        <v>94.004687221069602</v>
      </c>
      <c r="AJ4262">
        <v>57.496674745494403</v>
      </c>
      <c r="AK4262">
        <v>15.8432130672326</v>
      </c>
      <c r="AL4262">
        <v>79.366472865449794</v>
      </c>
      <c r="AM4262">
        <v>62.042703314607103</v>
      </c>
      <c r="AN4262">
        <v>1.0000000409643699</v>
      </c>
    </row>
    <row r="4263" spans="1:40" x14ac:dyDescent="0.25">
      <c r="A4263" t="str">
        <f>"20190312164112378"</f>
        <v>20190312164112378</v>
      </c>
      <c r="B4263" t="str">
        <f>"1552380072370071"</f>
        <v>1552380072370071</v>
      </c>
      <c r="C4263" t="s">
        <v>40</v>
      </c>
      <c r="D4263">
        <v>5.4229329999999996</v>
      </c>
      <c r="E4263">
        <v>0.54012009999999999</v>
      </c>
      <c r="F4263" t="s">
        <v>50</v>
      </c>
      <c r="G4263">
        <v>-204.1823</v>
      </c>
      <c r="H4263" s="1">
        <v>-9.4531159999999998E-6</v>
      </c>
      <c r="I4263">
        <v>145.51419999999999</v>
      </c>
      <c r="J4263">
        <v>-192.71700000000001</v>
      </c>
      <c r="K4263">
        <v>1.1064290000000001</v>
      </c>
      <c r="L4263">
        <v>156.71530000000001</v>
      </c>
      <c r="M4263">
        <v>-0.22806199999999999</v>
      </c>
      <c r="N4263">
        <v>0</v>
      </c>
      <c r="O4263">
        <v>-0.97354320000000005</v>
      </c>
      <c r="P4263">
        <v>-0.64604539999999999</v>
      </c>
      <c r="Q4263">
        <v>0.1764705</v>
      </c>
      <c r="R4263">
        <v>-0.74261929999999998</v>
      </c>
      <c r="S4263">
        <v>-2.198105</v>
      </c>
      <c r="T4263">
        <v>-0.21105640000000001</v>
      </c>
      <c r="U4263">
        <v>-2.1799770000000001</v>
      </c>
      <c r="V4263">
        <v>0.4615168</v>
      </c>
      <c r="W4263">
        <v>0.1841652</v>
      </c>
      <c r="X4263">
        <v>0.86780489999999999</v>
      </c>
      <c r="Y4263">
        <v>0.5289161</v>
      </c>
      <c r="Z4263">
        <v>7.0675009999999996E-2</v>
      </c>
      <c r="AA4263">
        <v>0.84572630000000004</v>
      </c>
      <c r="AB4263">
        <v>25</v>
      </c>
      <c r="AC4263">
        <v>-11.4652999999999</v>
      </c>
      <c r="AD4263">
        <v>-1.1064384531160001</v>
      </c>
      <c r="AE4263">
        <v>-11.2011</v>
      </c>
      <c r="AF4263">
        <v>8.56746259117104</v>
      </c>
      <c r="AG4263">
        <v>-1.1064384531160001</v>
      </c>
      <c r="AH4263">
        <v>13.456794096269601</v>
      </c>
      <c r="AI4263">
        <v>93.967549797569106</v>
      </c>
      <c r="AJ4263">
        <v>57.516541322840297</v>
      </c>
      <c r="AK4263">
        <v>15.990963968787099</v>
      </c>
      <c r="AL4263">
        <v>79.387533942856706</v>
      </c>
      <c r="AM4263">
        <v>61.995020330512702</v>
      </c>
      <c r="AN4263">
        <v>0.99999996101864397</v>
      </c>
    </row>
    <row r="4264" spans="1:40" x14ac:dyDescent="0.25">
      <c r="A4264" t="str">
        <f>"20190312164112400"</f>
        <v>20190312164112400</v>
      </c>
      <c r="B4264" t="str">
        <f>"1552380072390567"</f>
        <v>1552380072390567</v>
      </c>
      <c r="C4264" t="s">
        <v>40</v>
      </c>
      <c r="D4264">
        <v>5.4761749999999996</v>
      </c>
      <c r="E4264">
        <v>0.53916569999999997</v>
      </c>
      <c r="F4264" t="s">
        <v>50</v>
      </c>
      <c r="G4264">
        <v>-199.70160000000001</v>
      </c>
      <c r="H4264" s="1">
        <v>-1.2415970000000001E-5</v>
      </c>
      <c r="I4264">
        <v>149.6164</v>
      </c>
      <c r="J4264">
        <v>-192.77959999999999</v>
      </c>
      <c r="K4264">
        <v>1.1063959999999999</v>
      </c>
      <c r="L4264">
        <v>156.47720000000001</v>
      </c>
      <c r="M4264">
        <v>-0.23374120000000001</v>
      </c>
      <c r="N4264">
        <v>0</v>
      </c>
      <c r="O4264">
        <v>-0.97219509999999998</v>
      </c>
      <c r="P4264">
        <v>-0.65132699999999999</v>
      </c>
      <c r="Q4264">
        <v>0.17530470000000001</v>
      </c>
      <c r="R4264">
        <v>-0.73826930000000002</v>
      </c>
      <c r="S4264">
        <v>-2.1852260000000001</v>
      </c>
      <c r="T4264">
        <v>-0.34616609999999998</v>
      </c>
      <c r="U4264">
        <v>-2.220993</v>
      </c>
      <c r="V4264">
        <v>0.46257870000000001</v>
      </c>
      <c r="W4264">
        <v>0.1829587</v>
      </c>
      <c r="X4264">
        <v>0.86749480000000001</v>
      </c>
      <c r="Y4264">
        <v>0.51063139999999996</v>
      </c>
      <c r="Z4264">
        <v>0.1145012</v>
      </c>
      <c r="AA4264">
        <v>0.85214140000000005</v>
      </c>
      <c r="AB4264">
        <v>25</v>
      </c>
      <c r="AC4264">
        <v>-6.9220000000000201</v>
      </c>
      <c r="AD4264">
        <v>-1.1064084159699901</v>
      </c>
      <c r="AE4264">
        <v>-6.86080000000001</v>
      </c>
      <c r="AF4264">
        <v>5.0611727964147404</v>
      </c>
      <c r="AG4264">
        <v>-1.1064084159699901</v>
      </c>
      <c r="AH4264">
        <v>8.1833636277931294</v>
      </c>
      <c r="AI4264">
        <v>96.559480932334594</v>
      </c>
      <c r="AJ4264">
        <v>58.2644122788328</v>
      </c>
      <c r="AK4264">
        <v>9.6854039628084401</v>
      </c>
      <c r="AL4264">
        <v>79.457857523681795</v>
      </c>
      <c r="AM4264">
        <v>61.931893968260098</v>
      </c>
      <c r="AN4264">
        <v>1.0000000838131999</v>
      </c>
    </row>
    <row r="4265" spans="1:40" x14ac:dyDescent="0.25">
      <c r="A4265" t="str">
        <f>"20190312164112424"</f>
        <v>20190312164112424</v>
      </c>
      <c r="B4265" t="str">
        <f>"1552380072420823"</f>
        <v>1552380072420823</v>
      </c>
      <c r="C4265" t="s">
        <v>40</v>
      </c>
      <c r="D4265">
        <v>5.3557119999999996</v>
      </c>
      <c r="E4265">
        <v>0.5374428</v>
      </c>
      <c r="F4265" t="s">
        <v>50</v>
      </c>
      <c r="G4265">
        <v>-199.58269999999999</v>
      </c>
      <c r="H4265" s="1">
        <v>-1.2397540000000001E-5</v>
      </c>
      <c r="I4265">
        <v>149.62260000000001</v>
      </c>
      <c r="J4265">
        <v>-192.85069999999999</v>
      </c>
      <c r="K4265">
        <v>1.1063620000000001</v>
      </c>
      <c r="L4265">
        <v>156.2133</v>
      </c>
      <c r="M4265">
        <v>-0.24008479999999999</v>
      </c>
      <c r="N4265">
        <v>0</v>
      </c>
      <c r="O4265">
        <v>-0.97064810000000001</v>
      </c>
      <c r="P4265">
        <v>-0.65682459999999998</v>
      </c>
      <c r="Q4265">
        <v>0.17344709999999999</v>
      </c>
      <c r="R4265">
        <v>-0.73382419999999904</v>
      </c>
      <c r="S4265">
        <v>-2.1951139999999998</v>
      </c>
      <c r="T4265">
        <v>-0.35699639999999999</v>
      </c>
      <c r="U4265">
        <v>-2.2117</v>
      </c>
      <c r="V4265">
        <v>0.46328330000000001</v>
      </c>
      <c r="W4265">
        <v>0.1810677</v>
      </c>
      <c r="X4265">
        <v>0.86751549999999999</v>
      </c>
      <c r="Y4265">
        <v>0.5084457</v>
      </c>
      <c r="Z4265">
        <v>0.1180152</v>
      </c>
      <c r="AA4265">
        <v>0.85296859999999997</v>
      </c>
      <c r="AB4265">
        <v>25</v>
      </c>
      <c r="AC4265">
        <v>-6.7319999999999904</v>
      </c>
      <c r="AD4265">
        <v>-1.10637439754</v>
      </c>
      <c r="AE4265">
        <v>-6.5906999999999902</v>
      </c>
      <c r="AF4265">
        <v>4.8852026261101198</v>
      </c>
      <c r="AG4265">
        <v>-1.10637439754</v>
      </c>
      <c r="AH4265">
        <v>7.90528592335178</v>
      </c>
      <c r="AI4265">
        <v>96.789411750627806</v>
      </c>
      <c r="AJ4265">
        <v>58.285319783556901</v>
      </c>
      <c r="AK4265">
        <v>9.3585690431619497</v>
      </c>
      <c r="AL4265">
        <v>79.568043893010199</v>
      </c>
      <c r="AM4265">
        <v>61.896240104135899</v>
      </c>
      <c r="AN4265">
        <v>1.00000003539121</v>
      </c>
    </row>
    <row r="4266" spans="1:40" x14ac:dyDescent="0.25">
      <c r="A4266" t="str">
        <f>"20190312164112445"</f>
        <v>20190312164112445</v>
      </c>
      <c r="B4266" t="str">
        <f>"1552380072440343"</f>
        <v>1552380072440343</v>
      </c>
      <c r="C4266" t="s">
        <v>40</v>
      </c>
      <c r="D4266">
        <v>5.2838370000000001</v>
      </c>
      <c r="E4266">
        <v>0.53762959999999904</v>
      </c>
      <c r="F4266" t="s">
        <v>50</v>
      </c>
      <c r="G4266">
        <v>-199.75630000000001</v>
      </c>
      <c r="H4266" s="1">
        <v>-1.23398499999999E-5</v>
      </c>
      <c r="I4266">
        <v>149.30510000000001</v>
      </c>
      <c r="J4266">
        <v>-192.9144</v>
      </c>
      <c r="K4266">
        <v>1.106336</v>
      </c>
      <c r="L4266">
        <v>155.9828</v>
      </c>
      <c r="M4266">
        <v>-0.24567159999999999</v>
      </c>
      <c r="N4266">
        <v>0</v>
      </c>
      <c r="O4266">
        <v>-0.96924909999999997</v>
      </c>
      <c r="P4266">
        <v>-0.66129789999999999</v>
      </c>
      <c r="Q4266">
        <v>0.17157919999999999</v>
      </c>
      <c r="R4266">
        <v>-0.73023660000000001</v>
      </c>
      <c r="S4266">
        <v>-2.200806</v>
      </c>
      <c r="T4266">
        <v>-0.3526012</v>
      </c>
      <c r="U4266">
        <v>-2.2016450000000001</v>
      </c>
      <c r="V4266">
        <v>0.46347179999999999</v>
      </c>
      <c r="W4266">
        <v>0.1791789</v>
      </c>
      <c r="X4266">
        <v>0.86780689999999905</v>
      </c>
      <c r="Y4266">
        <v>0.50665680000000002</v>
      </c>
      <c r="Z4266">
        <v>0.11667950000000001</v>
      </c>
      <c r="AA4266">
        <v>0.85421589999999903</v>
      </c>
      <c r="AB4266">
        <v>25</v>
      </c>
      <c r="AC4266">
        <v>-6.8419000000000096</v>
      </c>
      <c r="AD4266">
        <v>-1.10634833985</v>
      </c>
      <c r="AE4266">
        <v>-6.6776999999999802</v>
      </c>
      <c r="AF4266">
        <v>4.9255283389275002</v>
      </c>
      <c r="AG4266">
        <v>-1.10634833985</v>
      </c>
      <c r="AH4266">
        <v>8.0462873241222592</v>
      </c>
      <c r="AI4266">
        <v>96.688546038827596</v>
      </c>
      <c r="AJ4266">
        <v>58.527149023830198</v>
      </c>
      <c r="AK4266">
        <v>9.4988197039946698</v>
      </c>
      <c r="AL4266">
        <v>79.678063302394705</v>
      </c>
      <c r="AM4266">
        <v>61.894550882073403</v>
      </c>
      <c r="AN4266">
        <v>1.00000000164402</v>
      </c>
    </row>
    <row r="4267" spans="1:40" x14ac:dyDescent="0.25">
      <c r="A4267" t="str">
        <f>"20190312164112469"</f>
        <v>20190312164112469</v>
      </c>
      <c r="B4267" t="str">
        <f>"1552380072460840"</f>
        <v>1552380072460840</v>
      </c>
      <c r="C4267" t="s">
        <v>40</v>
      </c>
      <c r="D4267">
        <v>5.3095829999999999</v>
      </c>
      <c r="E4267">
        <v>0.53725080000000003</v>
      </c>
      <c r="F4267" t="s">
        <v>50</v>
      </c>
      <c r="G4267">
        <v>-199.7373</v>
      </c>
      <c r="H4267" s="1">
        <v>-1.231994E-5</v>
      </c>
      <c r="I4267">
        <v>149.2473</v>
      </c>
      <c r="J4267">
        <v>-192.98779999999999</v>
      </c>
      <c r="K4267">
        <v>1.106309</v>
      </c>
      <c r="L4267">
        <v>155.72319999999999</v>
      </c>
      <c r="M4267">
        <v>-0.25202829999999998</v>
      </c>
      <c r="N4267">
        <v>0</v>
      </c>
      <c r="O4267">
        <v>-0.96761569999999997</v>
      </c>
      <c r="P4267">
        <v>-0.66639110000000001</v>
      </c>
      <c r="Q4267">
        <v>0.1710322</v>
      </c>
      <c r="R4267">
        <v>-0.7257209</v>
      </c>
      <c r="S4267">
        <v>-2.2150729999999998</v>
      </c>
      <c r="T4267">
        <v>-0.35917880000000002</v>
      </c>
      <c r="U4267">
        <v>-2.1866910000000002</v>
      </c>
      <c r="V4267">
        <v>0.46382210000000001</v>
      </c>
      <c r="W4267">
        <v>0.1785986</v>
      </c>
      <c r="X4267">
        <v>0.86773940000000005</v>
      </c>
      <c r="Y4267">
        <v>0.50649650000000002</v>
      </c>
      <c r="Z4267">
        <v>0.1188563</v>
      </c>
      <c r="AA4267">
        <v>0.85401079999999996</v>
      </c>
      <c r="AB4267">
        <v>25</v>
      </c>
      <c r="AC4267">
        <v>-6.74950000000001</v>
      </c>
      <c r="AD4267">
        <v>-1.1063213199399999</v>
      </c>
      <c r="AE4267">
        <v>-6.4758999999999904</v>
      </c>
      <c r="AF4267">
        <v>4.83171472163398</v>
      </c>
      <c r="AG4267">
        <v>-1.1063213199399999</v>
      </c>
      <c r="AH4267">
        <v>7.8581228195529302</v>
      </c>
      <c r="AI4267">
        <v>96.838819519075599</v>
      </c>
      <c r="AJ4267">
        <v>58.413937967609499</v>
      </c>
      <c r="AK4267">
        <v>9.2908292558515395</v>
      </c>
      <c r="AL4267">
        <v>79.711857491720295</v>
      </c>
      <c r="AM4267">
        <v>61.874705853161302</v>
      </c>
      <c r="AN4267">
        <v>1.0000000333413599</v>
      </c>
    </row>
    <row r="4268" spans="1:40" x14ac:dyDescent="0.25">
      <c r="A4268" t="str">
        <f>"20190312164112490"</f>
        <v>20190312164112490</v>
      </c>
      <c r="B4268" t="str">
        <f>"1552380072480359"</f>
        <v>1552380072480359</v>
      </c>
      <c r="C4268" t="s">
        <v>40</v>
      </c>
      <c r="D4268">
        <v>5.3417349999999999</v>
      </c>
      <c r="E4268">
        <v>0.53682659999999904</v>
      </c>
      <c r="F4268" t="s">
        <v>50</v>
      </c>
      <c r="G4268">
        <v>-200.1953</v>
      </c>
      <c r="H4268" s="1">
        <v>-1.208676E-5</v>
      </c>
      <c r="I4268">
        <v>148.71109999999999</v>
      </c>
      <c r="J4268">
        <v>-193.05619999999999</v>
      </c>
      <c r="K4268">
        <v>1.1062809999999901</v>
      </c>
      <c r="L4268">
        <v>155.48740000000001</v>
      </c>
      <c r="M4268">
        <v>-0.2578743</v>
      </c>
      <c r="N4268">
        <v>0</v>
      </c>
      <c r="O4268">
        <v>-0.96607419999999999</v>
      </c>
      <c r="P4268">
        <v>-0.67160889999999995</v>
      </c>
      <c r="Q4268">
        <v>0.1713459</v>
      </c>
      <c r="R4268">
        <v>-0.72082060000000003</v>
      </c>
      <c r="S4268">
        <v>-2.2285159999999999</v>
      </c>
      <c r="T4268">
        <v>-0.34206989999999998</v>
      </c>
      <c r="U4268">
        <v>-2.1681210000000002</v>
      </c>
      <c r="V4268">
        <v>0.46487400000000001</v>
      </c>
      <c r="W4268">
        <v>0.17885799999999999</v>
      </c>
      <c r="X4268">
        <v>0.86712279999999997</v>
      </c>
      <c r="Y4268">
        <v>0.50798199999999905</v>
      </c>
      <c r="Z4268">
        <v>0.1134143</v>
      </c>
      <c r="AA4268">
        <v>0.85386849999999903</v>
      </c>
      <c r="AB4268">
        <v>25</v>
      </c>
      <c r="AC4268">
        <v>-7.1391000000000098</v>
      </c>
      <c r="AD4268">
        <v>-1.1062930867599901</v>
      </c>
      <c r="AE4268">
        <v>-6.7763000000000098</v>
      </c>
      <c r="AF4268">
        <v>5.0857407325952604</v>
      </c>
      <c r="AG4268">
        <v>-1.1062930867599901</v>
      </c>
      <c r="AH4268">
        <v>8.2836028052297497</v>
      </c>
      <c r="AI4268">
        <v>96.493092727301601</v>
      </c>
      <c r="AJ4268">
        <v>58.452041029206903</v>
      </c>
      <c r="AK4268">
        <v>9.7829810706042792</v>
      </c>
      <c r="AL4268">
        <v>79.696751239403795</v>
      </c>
      <c r="AM4268">
        <v>61.803755062914803</v>
      </c>
      <c r="AN4268">
        <v>0.99999998515991995</v>
      </c>
    </row>
    <row r="4269" spans="1:40" x14ac:dyDescent="0.25">
      <c r="A4269" t="str">
        <f>"20190312164112511"</f>
        <v>20190312164112511</v>
      </c>
      <c r="B4269" t="str">
        <f>"1552380072500856"</f>
        <v>1552380072500856</v>
      </c>
      <c r="C4269" t="s">
        <v>40</v>
      </c>
      <c r="D4269">
        <v>5.3928339999999997</v>
      </c>
      <c r="E4269">
        <v>0.53629230000000006</v>
      </c>
      <c r="F4269" t="s">
        <v>50</v>
      </c>
      <c r="G4269">
        <v>-200.67250000000001</v>
      </c>
      <c r="H4269" s="1">
        <v>-1.171902E-5</v>
      </c>
      <c r="I4269">
        <v>148.18639999999999</v>
      </c>
      <c r="J4269">
        <v>-193.12450000000001</v>
      </c>
      <c r="K4269">
        <v>1.106244</v>
      </c>
      <c r="L4269">
        <v>155.25749999999999</v>
      </c>
      <c r="M4269">
        <v>-0.2636539</v>
      </c>
      <c r="N4269">
        <v>0</v>
      </c>
      <c r="O4269">
        <v>-0.96451299999999995</v>
      </c>
      <c r="P4269">
        <v>-0.67683729999999998</v>
      </c>
      <c r="Q4269">
        <v>0.17194779999999901</v>
      </c>
      <c r="R4269">
        <v>-0.715769199999999</v>
      </c>
      <c r="S4269">
        <v>-2.242661</v>
      </c>
      <c r="T4269">
        <v>-0.32575349999999997</v>
      </c>
      <c r="U4269">
        <v>-2.1498110000000001</v>
      </c>
      <c r="V4269">
        <v>0.46605970000000002</v>
      </c>
      <c r="W4269">
        <v>0.17938999999999999</v>
      </c>
      <c r="X4269">
        <v>0.86637619999999904</v>
      </c>
      <c r="Y4269">
        <v>0.50958219999999999</v>
      </c>
      <c r="Z4269">
        <v>0.1081782</v>
      </c>
      <c r="AA4269">
        <v>0.85359449999999903</v>
      </c>
      <c r="AB4269">
        <v>25</v>
      </c>
      <c r="AC4269">
        <v>-7.548</v>
      </c>
      <c r="AD4269">
        <v>-1.10625571902</v>
      </c>
      <c r="AE4269">
        <v>-7.0711000000000004</v>
      </c>
      <c r="AF4269">
        <v>5.3551021614697598</v>
      </c>
      <c r="AG4269">
        <v>-1.10625571902</v>
      </c>
      <c r="AH4269">
        <v>8.7114526336143392</v>
      </c>
      <c r="AI4269">
        <v>96.174418850911593</v>
      </c>
      <c r="AJ4269">
        <v>58.420135509606503</v>
      </c>
      <c r="AK4269">
        <v>10.285442521513</v>
      </c>
      <c r="AL4269">
        <v>79.665769654781599</v>
      </c>
      <c r="AM4269">
        <v>61.722348634919101</v>
      </c>
      <c r="AN4269">
        <v>1.0000000679952601</v>
      </c>
    </row>
    <row r="4270" spans="1:40" x14ac:dyDescent="0.25">
      <c r="A4270" t="str">
        <f>"20190312164112534"</f>
        <v>20190312164112534</v>
      </c>
      <c r="B4270" t="str">
        <f>"1552380072530136"</f>
        <v>1552380072530136</v>
      </c>
      <c r="C4270" t="s">
        <v>40</v>
      </c>
      <c r="D4270">
        <v>5.3592120000000003</v>
      </c>
      <c r="E4270">
        <v>0.57082889999999997</v>
      </c>
      <c r="F4270" t="s">
        <v>50</v>
      </c>
      <c r="G4270">
        <v>-201.11060000000001</v>
      </c>
      <c r="H4270" s="1">
        <v>-1.1381959999999999E-5</v>
      </c>
      <c r="I4270">
        <v>147.70650000000001</v>
      </c>
      <c r="J4270">
        <v>-193.1979</v>
      </c>
      <c r="K4270">
        <v>1.1061749999999999</v>
      </c>
      <c r="L4270">
        <v>155.01580000000001</v>
      </c>
      <c r="M4270">
        <v>-0.26982460000000003</v>
      </c>
      <c r="N4270">
        <v>0</v>
      </c>
      <c r="O4270">
        <v>-0.96280460000000001</v>
      </c>
      <c r="P4270">
        <v>-0.68272080000000002</v>
      </c>
      <c r="Q4270">
        <v>0.17189209999999999</v>
      </c>
      <c r="R4270">
        <v>-0.71017299999999906</v>
      </c>
      <c r="S4270">
        <v>-2.2560120000000001</v>
      </c>
      <c r="T4270">
        <v>-0.31250600000000001</v>
      </c>
      <c r="U4270">
        <v>-2.1330719999999999</v>
      </c>
      <c r="V4270">
        <v>0.46768739999999998</v>
      </c>
      <c r="W4270">
        <v>0.17924029999999999</v>
      </c>
      <c r="X4270">
        <v>0.86552949999999995</v>
      </c>
      <c r="Y4270">
        <v>0.51028339999999905</v>
      </c>
      <c r="Z4270">
        <v>0.10389370000000001</v>
      </c>
      <c r="AA4270">
        <v>0.85370780000000002</v>
      </c>
      <c r="AB4270">
        <v>25</v>
      </c>
      <c r="AC4270">
        <v>-7.9127000000000001</v>
      </c>
      <c r="AD4270">
        <v>-1.10618638196</v>
      </c>
      <c r="AE4270">
        <v>-7.3093000000000004</v>
      </c>
      <c r="AF4270">
        <v>5.5877999760143497</v>
      </c>
      <c r="AG4270">
        <v>-1.10618638196</v>
      </c>
      <c r="AH4270">
        <v>9.0776680262136402</v>
      </c>
      <c r="AI4270">
        <v>95.924577066065496</v>
      </c>
      <c r="AJ4270">
        <v>58.385435621438802</v>
      </c>
      <c r="AK4270">
        <v>10.716865851438101</v>
      </c>
      <c r="AL4270">
        <v>79.674486936875695</v>
      </c>
      <c r="AM4270">
        <v>61.615504948601298</v>
      </c>
      <c r="AN4270">
        <v>0.99999995231654804</v>
      </c>
    </row>
    <row r="4271" spans="1:40" x14ac:dyDescent="0.25">
      <c r="A4271" t="str">
        <f>"20190312164112561"</f>
        <v>20190312164112561</v>
      </c>
      <c r="B4271" t="str">
        <f>"1552380072550632"</f>
        <v>1552380072550632</v>
      </c>
      <c r="C4271" t="s">
        <v>40</v>
      </c>
      <c r="D4271">
        <v>5.4059629999999999</v>
      </c>
      <c r="E4271">
        <v>0.57856189999999996</v>
      </c>
      <c r="F4271" t="s">
        <v>50</v>
      </c>
      <c r="G4271">
        <v>-203.60919999999999</v>
      </c>
      <c r="H4271" s="1">
        <v>-1.00561E-5</v>
      </c>
      <c r="I4271">
        <v>146.9743</v>
      </c>
      <c r="J4271">
        <v>-193.28809999999999</v>
      </c>
      <c r="K4271">
        <v>1.1060829999999999</v>
      </c>
      <c r="L4271">
        <v>154.72720000000001</v>
      </c>
      <c r="M4271">
        <v>-0.27735270000000001</v>
      </c>
      <c r="N4271">
        <v>0</v>
      </c>
      <c r="O4271">
        <v>-0.96066289999999999</v>
      </c>
      <c r="P4271">
        <v>-0.69000450000000002</v>
      </c>
      <c r="Q4271">
        <v>0.17086200000000001</v>
      </c>
      <c r="R4271">
        <v>-0.70334909999999995</v>
      </c>
      <c r="S4271">
        <v>-2.4732509999999999</v>
      </c>
      <c r="T4271">
        <v>-0.26277840000000002</v>
      </c>
      <c r="U4271">
        <v>-1.910309</v>
      </c>
      <c r="V4271">
        <v>0.4697964</v>
      </c>
      <c r="W4271">
        <v>0.17808009999999999</v>
      </c>
      <c r="X4271">
        <v>0.86462640000000002</v>
      </c>
      <c r="Y4271">
        <v>0.58768809999999905</v>
      </c>
      <c r="Z4271">
        <v>8.8087719999999994E-2</v>
      </c>
      <c r="AA4271">
        <v>0.8042781</v>
      </c>
      <c r="AB4271">
        <v>25</v>
      </c>
      <c r="AC4271">
        <v>-10.321099999999999</v>
      </c>
      <c r="AD4271">
        <v>-1.1060930561</v>
      </c>
      <c r="AE4271">
        <v>-7.7529000000000101</v>
      </c>
      <c r="AF4271">
        <v>7.7089949083528699</v>
      </c>
      <c r="AG4271">
        <v>-1.1060930561</v>
      </c>
      <c r="AH4271">
        <v>10.2363940970156</v>
      </c>
      <c r="AI4271">
        <v>94.933285887822194</v>
      </c>
      <c r="AJ4271">
        <v>53.016716171976597</v>
      </c>
      <c r="AK4271">
        <v>12.8621852130647</v>
      </c>
      <c r="AL4271">
        <v>79.742048965133307</v>
      </c>
      <c r="AM4271">
        <v>61.482470648103998</v>
      </c>
      <c r="AN4271">
        <v>0.99999999552296504</v>
      </c>
    </row>
    <row r="4272" spans="1:40" x14ac:dyDescent="0.25">
      <c r="A4272" t="str">
        <f>"20190312164112578"</f>
        <v>20190312164112578</v>
      </c>
      <c r="B4272" t="str">
        <f>"1552380072570155"</f>
        <v>1552380072570155</v>
      </c>
      <c r="C4272" t="s">
        <v>40</v>
      </c>
      <c r="D4272">
        <v>5.2681269999999998</v>
      </c>
      <c r="E4272">
        <v>0.58066049999999902</v>
      </c>
      <c r="F4272" t="s">
        <v>50</v>
      </c>
      <c r="G4272">
        <v>-202.6901</v>
      </c>
      <c r="H4272" s="1">
        <v>-1.073128E-5</v>
      </c>
      <c r="I4272">
        <v>147.87370000000001</v>
      </c>
      <c r="J4272">
        <v>-193.3518</v>
      </c>
      <c r="K4272">
        <v>1.1060140000000001</v>
      </c>
      <c r="L4272">
        <v>154.52809999999999</v>
      </c>
      <c r="M4272">
        <v>-0.28264909999999999</v>
      </c>
      <c r="N4272">
        <v>0</v>
      </c>
      <c r="O4272">
        <v>-0.95911809999999997</v>
      </c>
      <c r="P4272">
        <v>-0.694859</v>
      </c>
      <c r="Q4272">
        <v>0.1697882</v>
      </c>
      <c r="R4272">
        <v>-0.69881579999999999</v>
      </c>
      <c r="S4272">
        <v>-2.5368040000000001</v>
      </c>
      <c r="T4272">
        <v>-0.29844080000000001</v>
      </c>
      <c r="U4272">
        <v>-1.849167</v>
      </c>
      <c r="V4272">
        <v>0.47095999999999999</v>
      </c>
      <c r="W4272">
        <v>0.17691589999999999</v>
      </c>
      <c r="X4272">
        <v>0.86423229999999995</v>
      </c>
      <c r="Y4272">
        <v>0.60453809999999997</v>
      </c>
      <c r="Z4272">
        <v>9.9837469999999998E-2</v>
      </c>
      <c r="AA4272">
        <v>0.79029490000000002</v>
      </c>
      <c r="AB4272">
        <v>25</v>
      </c>
      <c r="AC4272">
        <v>-9.3383000000000003</v>
      </c>
      <c r="AD4272">
        <v>-1.10602473128</v>
      </c>
      <c r="AE4272">
        <v>-6.6543999999999803</v>
      </c>
      <c r="AF4272">
        <v>7.0111575518845397</v>
      </c>
      <c r="AG4272">
        <v>-1.10602473128</v>
      </c>
      <c r="AH4272">
        <v>8.9395581094301608</v>
      </c>
      <c r="AI4272">
        <v>95.560386536291702</v>
      </c>
      <c r="AJ4272">
        <v>51.8934571451925</v>
      </c>
      <c r="AK4272">
        <v>11.414697548136299</v>
      </c>
      <c r="AL4272">
        <v>79.809829162336101</v>
      </c>
      <c r="AM4272">
        <v>61.411998106001299</v>
      </c>
      <c r="AN4272">
        <v>1.00000001281805</v>
      </c>
    </row>
    <row r="4273" spans="1:40" x14ac:dyDescent="0.25">
      <c r="A4273" t="str">
        <f>"20190312164112600"</f>
        <v>20190312164112600</v>
      </c>
      <c r="B4273" t="str">
        <f>"1552380072590647"</f>
        <v>1552380072590647</v>
      </c>
      <c r="C4273" t="s">
        <v>40</v>
      </c>
      <c r="D4273">
        <v>5.6819519999999999</v>
      </c>
      <c r="E4273">
        <v>0.58020059999999996</v>
      </c>
      <c r="F4273" t="s">
        <v>50</v>
      </c>
      <c r="G4273">
        <v>-202.75970000000001</v>
      </c>
      <c r="H4273" s="1">
        <v>-1.0694090000000001E-5</v>
      </c>
      <c r="I4273">
        <v>147.85239999999999</v>
      </c>
      <c r="J4273">
        <v>-193.4281</v>
      </c>
      <c r="K4273">
        <v>1.105942</v>
      </c>
      <c r="L4273">
        <v>154.29560000000001</v>
      </c>
      <c r="M4273">
        <v>-0.28894419999999998</v>
      </c>
      <c r="N4273">
        <v>0</v>
      </c>
      <c r="O4273">
        <v>-0.95724019999999999</v>
      </c>
      <c r="P4273">
        <v>-0.70063450000000005</v>
      </c>
      <c r="Q4273">
        <v>0.16942460000000001</v>
      </c>
      <c r="R4273">
        <v>-0.6931138</v>
      </c>
      <c r="S4273">
        <v>-2.5624389999999999</v>
      </c>
      <c r="T4273">
        <v>-0.30125069999999998</v>
      </c>
      <c r="U4273">
        <v>-1.818268</v>
      </c>
      <c r="V4273">
        <v>0.47245999999999999</v>
      </c>
      <c r="W4273">
        <v>0.17644789999999999</v>
      </c>
      <c r="X4273">
        <v>0.86350890000000002</v>
      </c>
      <c r="Y4273">
        <v>0.60930989999999996</v>
      </c>
      <c r="Z4273">
        <v>0.1007996</v>
      </c>
      <c r="AA4273">
        <v>0.78649910000000001</v>
      </c>
      <c r="AB4273">
        <v>25</v>
      </c>
      <c r="AC4273">
        <v>-9.3315999999999999</v>
      </c>
      <c r="AD4273">
        <v>-1.10595269409</v>
      </c>
      <c r="AE4273">
        <v>-6.4432000000000098</v>
      </c>
      <c r="AF4273">
        <v>7.0049449645171498</v>
      </c>
      <c r="AG4273">
        <v>-1.10595269409</v>
      </c>
      <c r="AH4273">
        <v>8.7813741818029403</v>
      </c>
      <c r="AI4273">
        <v>95.622939913101206</v>
      </c>
      <c r="AJ4273">
        <v>51.420465204901603</v>
      </c>
      <c r="AK4273">
        <v>11.2873786965049</v>
      </c>
      <c r="AL4273">
        <v>79.837071700280703</v>
      </c>
      <c r="AM4273">
        <v>61.315180203008403</v>
      </c>
      <c r="AN4273">
        <v>0.99999996669680902</v>
      </c>
    </row>
    <row r="4274" spans="1:40" x14ac:dyDescent="0.25">
      <c r="A4274" t="str">
        <f>"20190312164112624"</f>
        <v>20190312164112624</v>
      </c>
      <c r="B4274" t="str">
        <f>"1552380072620904"</f>
        <v>1552380072620904</v>
      </c>
      <c r="C4274" t="s">
        <v>40</v>
      </c>
      <c r="D4274">
        <v>5.8647030000000004</v>
      </c>
      <c r="E4274">
        <v>0.57905319999999905</v>
      </c>
      <c r="F4274" t="s">
        <v>50</v>
      </c>
      <c r="G4274">
        <v>-202.81960000000001</v>
      </c>
      <c r="H4274" s="1">
        <v>-1.0632750000000001E-5</v>
      </c>
      <c r="I4274">
        <v>147.73560000000001</v>
      </c>
      <c r="J4274">
        <v>-193.51230000000001</v>
      </c>
      <c r="K4274">
        <v>1.1058680000000001</v>
      </c>
      <c r="L4274">
        <v>154.04480000000001</v>
      </c>
      <c r="M4274">
        <v>-0.29587599999999997</v>
      </c>
      <c r="N4274">
        <v>0</v>
      </c>
      <c r="O4274">
        <v>-0.95512010000000003</v>
      </c>
      <c r="P4274">
        <v>-0.7067059</v>
      </c>
      <c r="Q4274">
        <v>0.1704889</v>
      </c>
      <c r="R4274">
        <v>-0.68665859999999901</v>
      </c>
      <c r="S4274">
        <v>-2.5754999999999999</v>
      </c>
      <c r="T4274">
        <v>-0.30329129999999999</v>
      </c>
      <c r="U4274">
        <v>-1.7989809999999999</v>
      </c>
      <c r="V4274">
        <v>0.47392489999999998</v>
      </c>
      <c r="W4274">
        <v>0.17739920000000001</v>
      </c>
      <c r="X4274">
        <v>0.86251069999999996</v>
      </c>
      <c r="Y4274">
        <v>0.60934919999999904</v>
      </c>
      <c r="Z4274">
        <v>0.10151590000000001</v>
      </c>
      <c r="AA4274">
        <v>0.78637650000000003</v>
      </c>
      <c r="AB4274">
        <v>25</v>
      </c>
      <c r="AC4274">
        <v>-9.3072999999999908</v>
      </c>
      <c r="AD4274">
        <v>-1.1058786327500001</v>
      </c>
      <c r="AE4274">
        <v>-6.3091999999999997</v>
      </c>
      <c r="AF4274">
        <v>6.9562737137373603</v>
      </c>
      <c r="AG4274">
        <v>-1.1058786327500001</v>
      </c>
      <c r="AH4274">
        <v>8.6966197848520608</v>
      </c>
      <c r="AI4274">
        <v>95.6710193788482</v>
      </c>
      <c r="AJ4274">
        <v>51.344298064093202</v>
      </c>
      <c r="AK4274">
        <v>11.1912424338447</v>
      </c>
      <c r="AL4274">
        <v>79.781692909450697</v>
      </c>
      <c r="AM4274">
        <v>61.212467231464203</v>
      </c>
      <c r="AN4274">
        <v>0.99999999730756906</v>
      </c>
    </row>
    <row r="4275" spans="1:40" x14ac:dyDescent="0.25">
      <c r="A4275" t="str">
        <f>"20190312164112647"</f>
        <v>20190312164112647</v>
      </c>
      <c r="B4275" t="str">
        <f>"1552380072640424"</f>
        <v>1552380072640424</v>
      </c>
      <c r="C4275" t="s">
        <v>40</v>
      </c>
      <c r="D4275">
        <v>5.2888869999999999</v>
      </c>
      <c r="E4275">
        <v>0.57767619999999997</v>
      </c>
      <c r="F4275" t="s">
        <v>50</v>
      </c>
      <c r="G4275">
        <v>-203.6558</v>
      </c>
      <c r="H4275" s="1">
        <v>-1.006244E-5</v>
      </c>
      <c r="I4275">
        <v>147.065</v>
      </c>
      <c r="J4275">
        <v>-193.5941</v>
      </c>
      <c r="K4275">
        <v>1.1057980000000001</v>
      </c>
      <c r="L4275">
        <v>153.80760000000001</v>
      </c>
      <c r="M4275">
        <v>-0.30257689999999998</v>
      </c>
      <c r="N4275">
        <v>0</v>
      </c>
      <c r="O4275">
        <v>-0.95301849999999999</v>
      </c>
      <c r="P4275">
        <v>-0.71224519999999902</v>
      </c>
      <c r="Q4275">
        <v>0.17007920000000001</v>
      </c>
      <c r="R4275">
        <v>-0.68101389999999995</v>
      </c>
      <c r="S4275">
        <v>-2.5848080000000002</v>
      </c>
      <c r="T4275">
        <v>-0.28180559999999899</v>
      </c>
      <c r="U4275">
        <v>-1.7786409999999999</v>
      </c>
      <c r="V4275">
        <v>0.47485460000000002</v>
      </c>
      <c r="W4275">
        <v>0.17688999999999999</v>
      </c>
      <c r="X4275">
        <v>0.86210379999999998</v>
      </c>
      <c r="Y4275">
        <v>0.6098903</v>
      </c>
      <c r="Z4275">
        <v>9.4521579999999994E-2</v>
      </c>
      <c r="AA4275">
        <v>0.78682879999999999</v>
      </c>
      <c r="AB4275">
        <v>25</v>
      </c>
      <c r="AC4275">
        <v>-10.0617</v>
      </c>
      <c r="AD4275">
        <v>-1.10580806244</v>
      </c>
      <c r="AE4275">
        <v>-6.7426000000000004</v>
      </c>
      <c r="AF4275">
        <v>7.4871884634305896</v>
      </c>
      <c r="AG4275">
        <v>-1.10580806244</v>
      </c>
      <c r="AH4275">
        <v>9.3929276195159908</v>
      </c>
      <c r="AI4275">
        <v>95.259800557215101</v>
      </c>
      <c r="AJ4275">
        <v>51.4413306286907</v>
      </c>
      <c r="AK4275">
        <v>12.0626652039817</v>
      </c>
      <c r="AL4275">
        <v>79.811336385596903</v>
      </c>
      <c r="AM4275">
        <v>61.153627778329898</v>
      </c>
      <c r="AN4275">
        <v>0.999999962607799</v>
      </c>
    </row>
    <row r="4276" spans="1:40" x14ac:dyDescent="0.25">
      <c r="A4276" t="str">
        <f>"20190312164112670"</f>
        <v>20190312164112670</v>
      </c>
      <c r="B4276" t="str">
        <f>"1552380072660920"</f>
        <v>1552380072660920</v>
      </c>
      <c r="C4276" t="s">
        <v>40</v>
      </c>
      <c r="D4276">
        <v>5.3255569999999999</v>
      </c>
      <c r="E4276">
        <v>0.57734529999999995</v>
      </c>
      <c r="F4276" t="s">
        <v>50</v>
      </c>
      <c r="G4276">
        <v>-204.30250000000001</v>
      </c>
      <c r="H4276" s="1">
        <v>-9.6755069999999999E-6</v>
      </c>
      <c r="I4276">
        <v>146.52799999999999</v>
      </c>
      <c r="J4276">
        <v>-193.68209999999999</v>
      </c>
      <c r="K4276">
        <v>1.105712</v>
      </c>
      <c r="L4276">
        <v>153.55850000000001</v>
      </c>
      <c r="M4276">
        <v>-0.30977860000000002</v>
      </c>
      <c r="N4276">
        <v>0</v>
      </c>
      <c r="O4276">
        <v>-0.95070180000000004</v>
      </c>
      <c r="P4276">
        <v>-0.71796789999999999</v>
      </c>
      <c r="Q4276">
        <v>0.16976820000000001</v>
      </c>
      <c r="R4276">
        <v>-0.67505630000000005</v>
      </c>
      <c r="S4276">
        <v>-2.5914760000000001</v>
      </c>
      <c r="T4276">
        <v>-0.26761040000000003</v>
      </c>
      <c r="U4276">
        <v>-1.7616879999999999</v>
      </c>
      <c r="V4276">
        <v>0.47562320000000002</v>
      </c>
      <c r="W4276">
        <v>0.1764667</v>
      </c>
      <c r="X4276">
        <v>0.8617669</v>
      </c>
      <c r="Y4276">
        <v>0.60872569999999904</v>
      </c>
      <c r="Z4276">
        <v>8.9897809999999995E-2</v>
      </c>
      <c r="AA4276">
        <v>0.788271099999999</v>
      </c>
      <c r="AB4276">
        <v>25</v>
      </c>
      <c r="AC4276">
        <v>-10.6204</v>
      </c>
      <c r="AD4276">
        <v>-1.1057216755069901</v>
      </c>
      <c r="AE4276">
        <v>-7.0305000000000097</v>
      </c>
      <c r="AF4276">
        <v>7.8604973277801102</v>
      </c>
      <c r="AG4276">
        <v>-1.1057216755069901</v>
      </c>
      <c r="AH4276">
        <v>9.9002795887487203</v>
      </c>
      <c r="AI4276">
        <v>94.998873444057807</v>
      </c>
      <c r="AJ4276">
        <v>51.551577257547798</v>
      </c>
      <c r="AK4276">
        <v>12.689585280816599</v>
      </c>
      <c r="AL4276">
        <v>79.835978297923901</v>
      </c>
      <c r="AM4276">
        <v>61.104978140265302</v>
      </c>
      <c r="AN4276">
        <v>1.0000000572613601</v>
      </c>
    </row>
    <row r="4277" spans="1:40" x14ac:dyDescent="0.25">
      <c r="A4277" t="str">
        <f>"20190312164112693"</f>
        <v>20190312164112693</v>
      </c>
      <c r="B4277" t="str">
        <f>"1552380072680439"</f>
        <v>1552380072680439</v>
      </c>
      <c r="C4277" t="s">
        <v>40</v>
      </c>
      <c r="D4277">
        <v>5.3225749999999996</v>
      </c>
      <c r="E4277">
        <v>0.57630249999999905</v>
      </c>
      <c r="F4277" t="s">
        <v>50</v>
      </c>
      <c r="G4277">
        <v>-204.4529</v>
      </c>
      <c r="H4277" s="1">
        <v>-9.5738529999999997E-6</v>
      </c>
      <c r="I4277">
        <v>146.35749999999999</v>
      </c>
      <c r="J4277">
        <v>-193.7664</v>
      </c>
      <c r="K4277">
        <v>1.1056109999999999</v>
      </c>
      <c r="L4277">
        <v>153.32570000000001</v>
      </c>
      <c r="M4277">
        <v>-0.31667339999999999</v>
      </c>
      <c r="N4277">
        <v>0</v>
      </c>
      <c r="O4277">
        <v>-0.94842740000000003</v>
      </c>
      <c r="P4277">
        <v>-0.723858</v>
      </c>
      <c r="Q4277">
        <v>0.16955000000000001</v>
      </c>
      <c r="R4277">
        <v>-0.66879169999999999</v>
      </c>
      <c r="S4277">
        <v>-2.604492</v>
      </c>
      <c r="T4277">
        <v>-0.26737559999999999</v>
      </c>
      <c r="U4277">
        <v>-1.74128699999999</v>
      </c>
      <c r="V4277">
        <v>0.47694779999999998</v>
      </c>
      <c r="W4277">
        <v>0.17611559999999901</v>
      </c>
      <c r="X4277">
        <v>0.86110629999999999</v>
      </c>
      <c r="Y4277">
        <v>0.60906890000000002</v>
      </c>
      <c r="Z4277">
        <v>8.9850440000000004E-2</v>
      </c>
      <c r="AA4277">
        <v>0.78801140000000003</v>
      </c>
      <c r="AB4277">
        <v>25</v>
      </c>
      <c r="AC4277">
        <v>-10.686499999999899</v>
      </c>
      <c r="AD4277">
        <v>-1.1056205738530001</v>
      </c>
      <c r="AE4277">
        <v>-6.9682000000000199</v>
      </c>
      <c r="AF4277">
        <v>7.8704211293809196</v>
      </c>
      <c r="AG4277">
        <v>-1.1056205738530001</v>
      </c>
      <c r="AH4277">
        <v>9.9194778307532001</v>
      </c>
      <c r="AI4277">
        <v>94.990089774364193</v>
      </c>
      <c r="AJ4277">
        <v>51.570426119129998</v>
      </c>
      <c r="AK4277">
        <v>12.710702814633599</v>
      </c>
      <c r="AL4277">
        <v>79.856414173066796</v>
      </c>
      <c r="AM4277">
        <v>61.018897783129702</v>
      </c>
      <c r="AN4277">
        <v>0.99999998419394398</v>
      </c>
    </row>
    <row r="4278" spans="1:40" x14ac:dyDescent="0.25">
      <c r="A4278" t="str">
        <f>"20190312164112713"</f>
        <v>20190312164112713</v>
      </c>
      <c r="B4278" t="str">
        <f>"1552380072710695"</f>
        <v>1552380072710695</v>
      </c>
      <c r="C4278" t="s">
        <v>40</v>
      </c>
      <c r="D4278">
        <v>5.3178650000000003</v>
      </c>
      <c r="E4278">
        <v>0.57535950000000002</v>
      </c>
      <c r="F4278" t="s">
        <v>50</v>
      </c>
      <c r="G4278">
        <v>-204.3903</v>
      </c>
      <c r="H4278" s="1">
        <v>-9.5850129999999994E-6</v>
      </c>
      <c r="I4278">
        <v>146.31049999999999</v>
      </c>
      <c r="J4278">
        <v>-193.84829999999999</v>
      </c>
      <c r="K4278">
        <v>1.1055010000000001</v>
      </c>
      <c r="L4278">
        <v>153.10509999999999</v>
      </c>
      <c r="M4278">
        <v>-0.32337139999999998</v>
      </c>
      <c r="N4278">
        <v>0</v>
      </c>
      <c r="O4278">
        <v>-0.94616429999999996</v>
      </c>
      <c r="P4278">
        <v>-0.72923039999999995</v>
      </c>
      <c r="Q4278">
        <v>0.169786299999999</v>
      </c>
      <c r="R4278">
        <v>-0.66286940000000005</v>
      </c>
      <c r="S4278">
        <v>-2.6136170000000001</v>
      </c>
      <c r="T4278">
        <v>-0.27199790000000001</v>
      </c>
      <c r="U4278">
        <v>-1.7258450000000001</v>
      </c>
      <c r="V4278">
        <v>0.47787869999999999</v>
      </c>
      <c r="W4278">
        <v>0.17621789999999901</v>
      </c>
      <c r="X4278">
        <v>0.86056909999999898</v>
      </c>
      <c r="Y4278">
        <v>0.60785889999999998</v>
      </c>
      <c r="Z4278">
        <v>9.1399939999999999E-2</v>
      </c>
      <c r="AA4278">
        <v>0.7887672</v>
      </c>
      <c r="AB4278">
        <v>25</v>
      </c>
      <c r="AC4278">
        <v>-10.542</v>
      </c>
      <c r="AD4278">
        <v>-1.105510585013</v>
      </c>
      <c r="AE4278">
        <v>-6.7946</v>
      </c>
      <c r="AF4278">
        <v>7.7181120631341598</v>
      </c>
      <c r="AG4278">
        <v>-1.105510585013</v>
      </c>
      <c r="AH4278">
        <v>9.7629394413404107</v>
      </c>
      <c r="AI4278">
        <v>95.076255883676694</v>
      </c>
      <c r="AJ4278">
        <v>51.671793188024303</v>
      </c>
      <c r="AK4278">
        <v>12.494254439859599</v>
      </c>
      <c r="AL4278">
        <v>79.850459727995599</v>
      </c>
      <c r="AM4278">
        <v>60.956347917703098</v>
      </c>
      <c r="AN4278">
        <v>0.999999988034454</v>
      </c>
    </row>
    <row r="4279" spans="1:40" x14ac:dyDescent="0.25">
      <c r="A4279" t="str">
        <f>"20190312164112736"</f>
        <v>20190312164112736</v>
      </c>
      <c r="B4279" t="str">
        <f>"1552380072730216"</f>
        <v>1552380072730216</v>
      </c>
      <c r="C4279" t="s">
        <v>40</v>
      </c>
      <c r="D4279">
        <v>5.3151250000000001</v>
      </c>
      <c r="E4279">
        <v>0.57411979999999996</v>
      </c>
      <c r="F4279" t="s">
        <v>50</v>
      </c>
      <c r="G4279">
        <v>-204.08349999999999</v>
      </c>
      <c r="H4279" s="1">
        <v>-9.7298600000000004E-6</v>
      </c>
      <c r="I4279">
        <v>146.42169999999999</v>
      </c>
      <c r="J4279">
        <v>-193.9376</v>
      </c>
      <c r="K4279">
        <v>1.105375</v>
      </c>
      <c r="L4279">
        <v>152.87029999999999</v>
      </c>
      <c r="M4279">
        <v>-0.33067849999999999</v>
      </c>
      <c r="N4279">
        <v>0</v>
      </c>
      <c r="O4279">
        <v>-0.94363529999999995</v>
      </c>
      <c r="P4279">
        <v>-0.73469669999999998</v>
      </c>
      <c r="Q4279">
        <v>0.1699842</v>
      </c>
      <c r="R4279">
        <v>-0.65675459999999997</v>
      </c>
      <c r="S4279">
        <v>-2.622986</v>
      </c>
      <c r="T4279">
        <v>-0.2833116</v>
      </c>
      <c r="U4279">
        <v>-1.71276899999999</v>
      </c>
      <c r="V4279">
        <v>0.47842790000000002</v>
      </c>
      <c r="W4279">
        <v>0.1762724</v>
      </c>
      <c r="X4279">
        <v>0.86025280000000004</v>
      </c>
      <c r="Y4279">
        <v>0.60548000000000002</v>
      </c>
      <c r="Z4279">
        <v>9.5103229999999997E-2</v>
      </c>
      <c r="AA4279">
        <v>0.79015780000000002</v>
      </c>
      <c r="AB4279">
        <v>25</v>
      </c>
      <c r="AC4279">
        <v>-10.1458999999999</v>
      </c>
      <c r="AD4279">
        <v>-1.1053847298599999</v>
      </c>
      <c r="AE4279">
        <v>-6.4485999999999901</v>
      </c>
      <c r="AF4279">
        <v>7.3799817036851998</v>
      </c>
      <c r="AG4279">
        <v>-1.1053847298599999</v>
      </c>
      <c r="AH4279">
        <v>9.3619705911607607</v>
      </c>
      <c r="AI4279">
        <v>95.297643602548305</v>
      </c>
      <c r="AJ4279">
        <v>51.751512850271901</v>
      </c>
      <c r="AK4279">
        <v>11.9721551400529</v>
      </c>
      <c r="AL4279">
        <v>79.847288057199705</v>
      </c>
      <c r="AM4279">
        <v>60.919462340866701</v>
      </c>
      <c r="AN4279">
        <v>1.000000047204</v>
      </c>
    </row>
    <row r="4280" spans="1:40" x14ac:dyDescent="0.25">
      <c r="A4280" t="str">
        <f>"20190312164112758"</f>
        <v>20190312164112758</v>
      </c>
      <c r="B4280" t="str">
        <f>"1552380072750711"</f>
        <v>1552380072750711</v>
      </c>
      <c r="C4280" t="s">
        <v>40</v>
      </c>
      <c r="D4280">
        <v>5.3948460000000003</v>
      </c>
      <c r="E4280">
        <v>0.573399199999999</v>
      </c>
      <c r="F4280" t="s">
        <v>50</v>
      </c>
      <c r="G4280">
        <v>-204.71279999999999</v>
      </c>
      <c r="H4280" s="1">
        <v>-9.3622679999999992E-6</v>
      </c>
      <c r="I4280">
        <v>145.9265</v>
      </c>
      <c r="J4280">
        <v>-194.03100000000001</v>
      </c>
      <c r="K4280">
        <v>1.1052420000000001</v>
      </c>
      <c r="L4280">
        <v>152.63140000000001</v>
      </c>
      <c r="M4280">
        <v>-0.33832849999999998</v>
      </c>
      <c r="N4280">
        <v>0</v>
      </c>
      <c r="O4280">
        <v>-0.94091899999999995</v>
      </c>
      <c r="P4280">
        <v>-0.74068529999999999</v>
      </c>
      <c r="Q4280">
        <v>0.16939100000000001</v>
      </c>
      <c r="R4280">
        <v>-0.65014759999999905</v>
      </c>
      <c r="S4280">
        <v>-2.6304470000000002</v>
      </c>
      <c r="T4280">
        <v>-0.26984920000000001</v>
      </c>
      <c r="U4280">
        <v>-1.6951449999999999</v>
      </c>
      <c r="V4280">
        <v>0.4793287</v>
      </c>
      <c r="W4280">
        <v>0.1755227</v>
      </c>
      <c r="X4280">
        <v>0.85990449999999996</v>
      </c>
      <c r="Y4280">
        <v>0.60414669999999904</v>
      </c>
      <c r="Z4280">
        <v>9.067161E-2</v>
      </c>
      <c r="AA4280">
        <v>0.79169789999999995</v>
      </c>
      <c r="AB4280">
        <v>25</v>
      </c>
      <c r="AC4280">
        <v>-10.681800000000001</v>
      </c>
      <c r="AD4280">
        <v>-1.105251362268</v>
      </c>
      <c r="AE4280">
        <v>-6.7049000000000003</v>
      </c>
      <c r="AF4280">
        <v>7.7237291150107099</v>
      </c>
      <c r="AG4280">
        <v>-1.105251362268</v>
      </c>
      <c r="AH4280">
        <v>9.84810860048119</v>
      </c>
      <c r="AI4280">
        <v>95.046676637140493</v>
      </c>
      <c r="AJ4280">
        <v>51.8934231928069</v>
      </c>
      <c r="AK4280">
        <v>12.564346979558101</v>
      </c>
      <c r="AL4280">
        <v>79.890922402361099</v>
      </c>
      <c r="AM4280">
        <v>60.863792952927703</v>
      </c>
      <c r="AN4280">
        <v>0.99999998498961395</v>
      </c>
    </row>
    <row r="4281" spans="1:40" x14ac:dyDescent="0.25">
      <c r="A4281" t="str">
        <f>"20190312164112780"</f>
        <v>20190312164112780</v>
      </c>
      <c r="B4281" t="str">
        <f>"1552380072770231"</f>
        <v>1552380072770231</v>
      </c>
      <c r="C4281" t="s">
        <v>40</v>
      </c>
      <c r="D4281">
        <v>5.4100529999999996</v>
      </c>
      <c r="E4281">
        <v>0.57349249999999996</v>
      </c>
      <c r="F4281" t="s">
        <v>50</v>
      </c>
      <c r="G4281">
        <v>-204.946</v>
      </c>
      <c r="H4281" s="1">
        <v>-9.2180739999999996E-6</v>
      </c>
      <c r="I4281">
        <v>145.71289999999999</v>
      </c>
      <c r="J4281">
        <v>-194.1224</v>
      </c>
      <c r="K4281">
        <v>1.1051120000000001</v>
      </c>
      <c r="L4281">
        <v>152.40360000000001</v>
      </c>
      <c r="M4281">
        <v>-0.34583570000000002</v>
      </c>
      <c r="N4281">
        <v>0</v>
      </c>
      <c r="O4281">
        <v>-0.9381853</v>
      </c>
      <c r="P4281">
        <v>-0.74620900000000001</v>
      </c>
      <c r="Q4281">
        <v>0.16864409999999999</v>
      </c>
      <c r="R4281">
        <v>-0.64399640000000002</v>
      </c>
      <c r="S4281">
        <v>-2.6416930000000001</v>
      </c>
      <c r="T4281">
        <v>-0.26749729999999999</v>
      </c>
      <c r="U4281">
        <v>-1.6744380000000001</v>
      </c>
      <c r="V4281">
        <v>0.47977829999999999</v>
      </c>
      <c r="W4281">
        <v>0.1746354</v>
      </c>
      <c r="X4281">
        <v>0.8598344</v>
      </c>
      <c r="Y4281">
        <v>0.60380180000000006</v>
      </c>
      <c r="Z4281">
        <v>8.9910749999999998E-2</v>
      </c>
      <c r="AA4281">
        <v>0.79204770000000002</v>
      </c>
      <c r="AB4281">
        <v>25</v>
      </c>
      <c r="AC4281">
        <v>-10.823600000000001</v>
      </c>
      <c r="AD4281">
        <v>-1.105121218074</v>
      </c>
      <c r="AE4281">
        <v>-6.6907000000000201</v>
      </c>
      <c r="AF4281">
        <v>7.7827636855359197</v>
      </c>
      <c r="AG4281">
        <v>-1.105121218074</v>
      </c>
      <c r="AH4281">
        <v>9.9463132615008103</v>
      </c>
      <c r="AI4281">
        <v>95.000882439901403</v>
      </c>
      <c r="AJ4281">
        <v>51.957628978769897</v>
      </c>
      <c r="AK4281">
        <v>12.6776121958135</v>
      </c>
      <c r="AL4281">
        <v>79.942558326636401</v>
      </c>
      <c r="AM4281">
        <v>60.838955110539899</v>
      </c>
      <c r="AN4281">
        <v>0.99999996775370403</v>
      </c>
    </row>
    <row r="4282" spans="1:40" x14ac:dyDescent="0.25">
      <c r="A4282" t="str">
        <f>"20190312164112802"</f>
        <v>20190312164112802</v>
      </c>
      <c r="B4282" t="str">
        <f>"1552380072790728"</f>
        <v>1552380072790728</v>
      </c>
      <c r="C4282" t="s">
        <v>40</v>
      </c>
      <c r="D4282">
        <v>5.953004</v>
      </c>
      <c r="E4282">
        <v>0.57280149999999996</v>
      </c>
      <c r="F4282" t="s">
        <v>50</v>
      </c>
      <c r="G4282">
        <v>-204.82830000000001</v>
      </c>
      <c r="H4282" s="1">
        <v>-9.2695899999999995E-6</v>
      </c>
      <c r="I4282">
        <v>145.74019999999999</v>
      </c>
      <c r="J4282">
        <v>-194.21350000000001</v>
      </c>
      <c r="K4282">
        <v>1.105003</v>
      </c>
      <c r="L4282">
        <v>152.1824</v>
      </c>
      <c r="M4282">
        <v>-0.35329169999999999</v>
      </c>
      <c r="N4282">
        <v>0</v>
      </c>
      <c r="O4282">
        <v>-0.93540310000000004</v>
      </c>
      <c r="P4282">
        <v>-0.75226949999999904</v>
      </c>
      <c r="Q4282">
        <v>0.16709299999999999</v>
      </c>
      <c r="R4282">
        <v>-0.63731539999999998</v>
      </c>
      <c r="S4282">
        <v>-2.6557309999999998</v>
      </c>
      <c r="T4282">
        <v>-0.27413999999999999</v>
      </c>
      <c r="U4282">
        <v>-1.652954</v>
      </c>
      <c r="V4282">
        <v>0.48095660000000001</v>
      </c>
      <c r="W4282">
        <v>0.17295060000000001</v>
      </c>
      <c r="X4282">
        <v>0.85951659999999996</v>
      </c>
      <c r="Y4282">
        <v>0.60379450000000001</v>
      </c>
      <c r="Z4282">
        <v>9.2093300000000003E-2</v>
      </c>
      <c r="AA4282">
        <v>0.79180240000000002</v>
      </c>
      <c r="AB4282">
        <v>25</v>
      </c>
      <c r="AC4282">
        <v>-10.614800000000001</v>
      </c>
      <c r="AD4282">
        <v>-1.10501226959</v>
      </c>
      <c r="AE4282">
        <v>-6.4422000000000104</v>
      </c>
      <c r="AF4282">
        <v>7.5937877335738904</v>
      </c>
      <c r="AG4282">
        <v>-1.10501226959</v>
      </c>
      <c r="AH4282">
        <v>9.7003562742289198</v>
      </c>
      <c r="AI4282">
        <v>95.125624103846505</v>
      </c>
      <c r="AJ4282">
        <v>51.944882959833997</v>
      </c>
      <c r="AK4282">
        <v>12.368652962448801</v>
      </c>
      <c r="AL4282">
        <v>80.040582032551399</v>
      </c>
      <c r="AM4282">
        <v>60.770090139187801</v>
      </c>
      <c r="AN4282">
        <v>0.99999997339973901</v>
      </c>
    </row>
    <row r="4283" spans="1:40" x14ac:dyDescent="0.25">
      <c r="A4283" t="str">
        <f>"20190312164112825"</f>
        <v>20190312164112825</v>
      </c>
      <c r="B4283" t="str">
        <f>"1552380072820009"</f>
        <v>1552380072820009</v>
      </c>
      <c r="C4283" t="s">
        <v>40</v>
      </c>
      <c r="D4283">
        <v>5.2931900000000001</v>
      </c>
      <c r="E4283">
        <v>0.57125319999999902</v>
      </c>
      <c r="F4283" t="s">
        <v>50</v>
      </c>
      <c r="G4283">
        <v>-204.88200000000001</v>
      </c>
      <c r="H4283" s="1">
        <v>-9.2259829999999996E-6</v>
      </c>
      <c r="I4283">
        <v>145.6516</v>
      </c>
      <c r="J4283">
        <v>-194.31270000000001</v>
      </c>
      <c r="K4283">
        <v>1.104894</v>
      </c>
      <c r="L4283">
        <v>151.94730000000001</v>
      </c>
      <c r="M4283">
        <v>-0.36139660000000001</v>
      </c>
      <c r="N4283">
        <v>0</v>
      </c>
      <c r="O4283">
        <v>-0.93230159999999995</v>
      </c>
      <c r="P4283">
        <v>-0.75843549999999904</v>
      </c>
      <c r="Q4283">
        <v>0.16573740000000001</v>
      </c>
      <c r="R4283">
        <v>-0.63032290000000002</v>
      </c>
      <c r="S4283">
        <v>-2.6664119999999998</v>
      </c>
      <c r="T4283">
        <v>-0.27617819999999998</v>
      </c>
      <c r="U4283">
        <v>-1.632263</v>
      </c>
      <c r="V4283">
        <v>0.48176059999999998</v>
      </c>
      <c r="W4283">
        <v>0.17147290000000001</v>
      </c>
      <c r="X4283">
        <v>0.85936239999999997</v>
      </c>
      <c r="Y4283">
        <v>0.60271419999999998</v>
      </c>
      <c r="Z4283">
        <v>9.2770619999999998E-2</v>
      </c>
      <c r="AA4283">
        <v>0.79254599999999997</v>
      </c>
      <c r="AB4283">
        <v>25</v>
      </c>
      <c r="AC4283">
        <v>-10.569299999999901</v>
      </c>
      <c r="AD4283">
        <v>-1.1049032259830001</v>
      </c>
      <c r="AE4283">
        <v>-6.2957000000000098</v>
      </c>
      <c r="AF4283">
        <v>7.5186640198336603</v>
      </c>
      <c r="AG4283">
        <v>-1.1049032259830001</v>
      </c>
      <c r="AH4283">
        <v>9.6126602983592395</v>
      </c>
      <c r="AI4283">
        <v>95.173305933055602</v>
      </c>
      <c r="AJ4283">
        <v>51.968809526080101</v>
      </c>
      <c r="AK4283">
        <v>12.2537487241081</v>
      </c>
      <c r="AL4283">
        <v>80.126532209248793</v>
      </c>
      <c r="AM4283">
        <v>60.724906519432899</v>
      </c>
      <c r="AN4283">
        <v>0.99999998284026403</v>
      </c>
    </row>
    <row r="4284" spans="1:40" x14ac:dyDescent="0.25">
      <c r="A4284" t="str">
        <f>"20190312164112848"</f>
        <v>20190312164112848</v>
      </c>
      <c r="B4284" t="str">
        <f>"1552380072840504"</f>
        <v>1552380072840504</v>
      </c>
      <c r="C4284" t="s">
        <v>40</v>
      </c>
      <c r="D4284">
        <v>5.6052400000000002</v>
      </c>
      <c r="E4284">
        <v>0.57141569999999997</v>
      </c>
      <c r="F4284" t="s">
        <v>50</v>
      </c>
      <c r="G4284">
        <v>-205.24600000000001</v>
      </c>
      <c r="H4284" s="1">
        <v>-8.9896350000000002E-6</v>
      </c>
      <c r="I4284">
        <v>145.3485</v>
      </c>
      <c r="J4284">
        <v>-194.41390000000001</v>
      </c>
      <c r="K4284">
        <v>1.104789</v>
      </c>
      <c r="L4284">
        <v>151.71379999999999</v>
      </c>
      <c r="M4284">
        <v>-0.36963279999999998</v>
      </c>
      <c r="N4284">
        <v>0</v>
      </c>
      <c r="O4284">
        <v>-0.92906639999999996</v>
      </c>
      <c r="P4284">
        <v>-0.76508889999999996</v>
      </c>
      <c r="Q4284">
        <v>0.16453799999999999</v>
      </c>
      <c r="R4284">
        <v>-0.6225482</v>
      </c>
      <c r="S4284">
        <v>-2.6735229999999999</v>
      </c>
      <c r="T4284">
        <v>-0.2701828</v>
      </c>
      <c r="U4284">
        <v>-1.613602</v>
      </c>
      <c r="V4284">
        <v>0.4831975</v>
      </c>
      <c r="W4284">
        <v>0.17014089999999901</v>
      </c>
      <c r="X4284">
        <v>0.85882029999999998</v>
      </c>
      <c r="Y4284">
        <v>0.60080999999999996</v>
      </c>
      <c r="Z4284">
        <v>9.0792280000000003E-2</v>
      </c>
      <c r="AA4284">
        <v>0.79421929999999996</v>
      </c>
      <c r="AB4284">
        <v>25</v>
      </c>
      <c r="AC4284">
        <v>-10.832099999999899</v>
      </c>
      <c r="AD4284">
        <v>-1.104797989635</v>
      </c>
      <c r="AE4284">
        <v>-6.3652999999999897</v>
      </c>
      <c r="AF4284">
        <v>7.6525426160196401</v>
      </c>
      <c r="AG4284">
        <v>-1.104797989635</v>
      </c>
      <c r="AH4284">
        <v>9.8426060516280298</v>
      </c>
      <c r="AI4284">
        <v>95.063998517956904</v>
      </c>
      <c r="AJ4284">
        <v>52.135237526389297</v>
      </c>
      <c r="AK4284">
        <v>12.5163445532409</v>
      </c>
      <c r="AL4284">
        <v>80.203988906098104</v>
      </c>
      <c r="AM4284">
        <v>60.636617251096197</v>
      </c>
      <c r="AN4284">
        <v>1.0000000287755699</v>
      </c>
    </row>
    <row r="4285" spans="1:40" x14ac:dyDescent="0.25">
      <c r="A4285" t="str">
        <f>"20190312164112871"</f>
        <v>20190312164112871</v>
      </c>
      <c r="B4285" t="str">
        <f>"1552380072860023"</f>
        <v>1552380072860023</v>
      </c>
      <c r="C4285" t="s">
        <v>40</v>
      </c>
      <c r="D4285">
        <v>5.3183530000000001</v>
      </c>
      <c r="E4285">
        <v>0.57121650000000002</v>
      </c>
      <c r="F4285" t="s">
        <v>50</v>
      </c>
      <c r="G4285">
        <v>-205.03909999999999</v>
      </c>
      <c r="H4285" s="1">
        <v>-9.1092909999999997E-6</v>
      </c>
      <c r="I4285">
        <v>145.45419999999999</v>
      </c>
      <c r="J4285">
        <v>-194.51910000000001</v>
      </c>
      <c r="K4285">
        <v>1.1046720000000001</v>
      </c>
      <c r="L4285">
        <v>151.47739999999999</v>
      </c>
      <c r="M4285">
        <v>-0.37816090000000002</v>
      </c>
      <c r="N4285">
        <v>0</v>
      </c>
      <c r="O4285">
        <v>-0.92562750000000005</v>
      </c>
      <c r="P4285">
        <v>-0.77207859999999995</v>
      </c>
      <c r="Q4285">
        <v>0.1636938</v>
      </c>
      <c r="R4285">
        <v>-0.6140835</v>
      </c>
      <c r="S4285">
        <v>-2.691208</v>
      </c>
      <c r="T4285">
        <v>-0.27983029999999998</v>
      </c>
      <c r="U4285">
        <v>-1.585464</v>
      </c>
      <c r="V4285">
        <v>0.4849617</v>
      </c>
      <c r="W4285">
        <v>0.1691503</v>
      </c>
      <c r="X4285">
        <v>0.85802109999999998</v>
      </c>
      <c r="Y4285">
        <v>0.60165979999999997</v>
      </c>
      <c r="Z4285">
        <v>9.3959600000000004E-2</v>
      </c>
      <c r="AA4285">
        <v>0.79320690000000005</v>
      </c>
      <c r="AB4285">
        <v>25</v>
      </c>
      <c r="AC4285">
        <v>-10.5199999999999</v>
      </c>
      <c r="AD4285">
        <v>-1.1046811092909901</v>
      </c>
      <c r="AE4285">
        <v>-6.0232000000000001</v>
      </c>
      <c r="AF4285">
        <v>7.3991931849251404</v>
      </c>
      <c r="AG4285">
        <v>-1.1046811092909901</v>
      </c>
      <c r="AH4285">
        <v>9.4757958253036492</v>
      </c>
      <c r="AI4285">
        <v>95.249882793706504</v>
      </c>
      <c r="AJ4285">
        <v>52.015434520273701</v>
      </c>
      <c r="AK4285">
        <v>12.073072792951599</v>
      </c>
      <c r="AL4285">
        <v>80.261580033665098</v>
      </c>
      <c r="AM4285">
        <v>60.524452496400301</v>
      </c>
      <c r="AN4285">
        <v>0.99999994125109304</v>
      </c>
    </row>
    <row r="4286" spans="1:40" x14ac:dyDescent="0.25">
      <c r="A4286" t="str">
        <f>"20190312164112895"</f>
        <v>20190312164112895</v>
      </c>
      <c r="B4286" t="str">
        <f>"1552380072890279"</f>
        <v>1552380072890279</v>
      </c>
      <c r="C4286" t="s">
        <v>40</v>
      </c>
      <c r="D4286">
        <v>5.4048470000000002</v>
      </c>
      <c r="E4286">
        <v>0.57102469999999905</v>
      </c>
      <c r="F4286" t="s">
        <v>50</v>
      </c>
      <c r="G4286">
        <v>-204.97110000000001</v>
      </c>
      <c r="H4286" s="1">
        <v>-9.1415299999999992E-6</v>
      </c>
      <c r="I4286">
        <v>145.4622</v>
      </c>
      <c r="J4286">
        <v>-194.62729999999999</v>
      </c>
      <c r="K4286">
        <v>1.1045419999999999</v>
      </c>
      <c r="L4286">
        <v>151.2405</v>
      </c>
      <c r="M4286">
        <v>-0.38691389999999998</v>
      </c>
      <c r="N4286">
        <v>0</v>
      </c>
      <c r="O4286">
        <v>-0.92200289999999996</v>
      </c>
      <c r="P4286">
        <v>-0.77928750000000002</v>
      </c>
      <c r="Q4286">
        <v>0.16217309999999999</v>
      </c>
      <c r="R4286">
        <v>-0.6053193</v>
      </c>
      <c r="S4286">
        <v>-2.7071079999999998</v>
      </c>
      <c r="T4286">
        <v>-0.28611520000000001</v>
      </c>
      <c r="U4286">
        <v>-1.557968</v>
      </c>
      <c r="V4286">
        <v>0.48685390000000001</v>
      </c>
      <c r="W4286">
        <v>0.16746810000000001</v>
      </c>
      <c r="X4286">
        <v>0.85727919999999902</v>
      </c>
      <c r="Y4286">
        <v>0.601998699999999</v>
      </c>
      <c r="Z4286">
        <v>9.600591E-2</v>
      </c>
      <c r="AA4286">
        <v>0.79270450000000003</v>
      </c>
      <c r="AB4286">
        <v>24</v>
      </c>
      <c r="AC4286">
        <v>-10.3438</v>
      </c>
      <c r="AD4286">
        <v>-1.10455114153</v>
      </c>
      <c r="AE4286">
        <v>-5.7782999999999998</v>
      </c>
      <c r="AF4286">
        <v>7.2391558101651698</v>
      </c>
      <c r="AG4286">
        <v>-1.10455114153</v>
      </c>
      <c r="AH4286">
        <v>9.2503486649005602</v>
      </c>
      <c r="AI4286">
        <v>95.371976685382805</v>
      </c>
      <c r="AJ4286">
        <v>51.953908159168698</v>
      </c>
      <c r="AK4286">
        <v>11.798065963976001</v>
      </c>
      <c r="AL4286">
        <v>80.359358026567307</v>
      </c>
      <c r="AM4286">
        <v>60.4075023081514</v>
      </c>
      <c r="AN4286">
        <v>0.99999995560772803</v>
      </c>
    </row>
    <row r="4287" spans="1:40" x14ac:dyDescent="0.25">
      <c r="A4287" t="str">
        <f>"20190312164112914"</f>
        <v>20190312164112914</v>
      </c>
      <c r="B4287" t="str">
        <f>"1552380072910776"</f>
        <v>1552380072910776</v>
      </c>
      <c r="C4287" t="s">
        <v>40</v>
      </c>
      <c r="D4287">
        <v>5.319858</v>
      </c>
      <c r="E4287">
        <v>0.57080819999999999</v>
      </c>
      <c r="F4287" t="s">
        <v>50</v>
      </c>
      <c r="G4287">
        <v>-204.77940000000001</v>
      </c>
      <c r="H4287" s="1">
        <v>-9.2342929999999998E-6</v>
      </c>
      <c r="I4287">
        <v>145.5368</v>
      </c>
      <c r="J4287">
        <v>-194.71889999999999</v>
      </c>
      <c r="K4287">
        <v>1.104427</v>
      </c>
      <c r="L4287">
        <v>151.04509999999999</v>
      </c>
      <c r="M4287">
        <v>-0.39431169999999999</v>
      </c>
      <c r="N4287">
        <v>0</v>
      </c>
      <c r="O4287">
        <v>-0.91886299999999999</v>
      </c>
      <c r="P4287">
        <v>-0.78539930000000002</v>
      </c>
      <c r="Q4287">
        <v>0.1609507</v>
      </c>
      <c r="R4287">
        <v>-0.5976979</v>
      </c>
      <c r="S4287">
        <v>-2.7230219999999998</v>
      </c>
      <c r="T4287">
        <v>-0.29626390000000002</v>
      </c>
      <c r="U4287">
        <v>-1.52984599999999</v>
      </c>
      <c r="V4287">
        <v>0.48857879999999998</v>
      </c>
      <c r="W4287">
        <v>0.1660933</v>
      </c>
      <c r="X4287">
        <v>0.85656509999999997</v>
      </c>
      <c r="Y4287">
        <v>0.60349529999999996</v>
      </c>
      <c r="Z4287">
        <v>9.9368090000000006E-2</v>
      </c>
      <c r="AA4287">
        <v>0.79115069999999998</v>
      </c>
      <c r="AB4287">
        <v>24</v>
      </c>
      <c r="AC4287">
        <v>-10.060499999999999</v>
      </c>
      <c r="AD4287">
        <v>-1.1044362342929901</v>
      </c>
      <c r="AE4287">
        <v>-5.5082999999999904</v>
      </c>
      <c r="AF4287">
        <v>7.0079952935546901</v>
      </c>
      <c r="AG4287">
        <v>-1.1044362342929901</v>
      </c>
      <c r="AH4287">
        <v>8.94633931169151</v>
      </c>
      <c r="AI4287">
        <v>95.550806352838407</v>
      </c>
      <c r="AJ4287">
        <v>51.927101043822503</v>
      </c>
      <c r="AK4287">
        <v>11.417914192619399</v>
      </c>
      <c r="AL4287">
        <v>80.439247623235303</v>
      </c>
      <c r="AM4287">
        <v>60.299864091987899</v>
      </c>
      <c r="AN4287">
        <v>0.99999999932616901</v>
      </c>
    </row>
    <row r="4288" spans="1:40" x14ac:dyDescent="0.25">
      <c r="A4288" t="str">
        <f>"20190312164112937"</f>
        <v>20190312164112937</v>
      </c>
      <c r="B4288" t="str">
        <f>"1552380072930295"</f>
        <v>1552380072930295</v>
      </c>
      <c r="C4288" t="s">
        <v>40</v>
      </c>
      <c r="D4288">
        <v>5.3368909999999996</v>
      </c>
      <c r="E4288">
        <v>0.57039169999999995</v>
      </c>
      <c r="F4288" t="s">
        <v>50</v>
      </c>
      <c r="G4288">
        <v>-204.7133</v>
      </c>
      <c r="H4288" s="1">
        <v>-9.2633649999999994E-6</v>
      </c>
      <c r="I4288">
        <v>145.55269999999999</v>
      </c>
      <c r="J4288">
        <v>-194.82929999999999</v>
      </c>
      <c r="K4288">
        <v>1.1042749999999999</v>
      </c>
      <c r="L4288">
        <v>150.8151</v>
      </c>
      <c r="M4288">
        <v>-0.40322770000000002</v>
      </c>
      <c r="N4288">
        <v>0</v>
      </c>
      <c r="O4288">
        <v>-0.91498500000000005</v>
      </c>
      <c r="P4288">
        <v>-0.7925603</v>
      </c>
      <c r="Q4288">
        <v>0.16037650000000001</v>
      </c>
      <c r="R4288">
        <v>-0.58832629999999997</v>
      </c>
      <c r="S4288">
        <v>-2.7370299999999999</v>
      </c>
      <c r="T4288">
        <v>-0.30245509999999998</v>
      </c>
      <c r="U4288">
        <v>-1.5041199999999999</v>
      </c>
      <c r="V4288">
        <v>0.49058770000000002</v>
      </c>
      <c r="W4288">
        <v>0.16531970000000001</v>
      </c>
      <c r="X4288">
        <v>0.85556589999999999</v>
      </c>
      <c r="Y4288">
        <v>0.60299780000000003</v>
      </c>
      <c r="Z4288">
        <v>0.1013415</v>
      </c>
      <c r="AA4288">
        <v>0.79127969999999903</v>
      </c>
      <c r="AB4288">
        <v>24</v>
      </c>
      <c r="AC4288">
        <v>-9.8840000000000092</v>
      </c>
      <c r="AD4288">
        <v>-1.1042842633650001</v>
      </c>
      <c r="AE4288">
        <v>-5.2624000000000102</v>
      </c>
      <c r="AF4288">
        <v>6.8558165484563398</v>
      </c>
      <c r="AG4288">
        <v>-1.1042842633650001</v>
      </c>
      <c r="AH4288">
        <v>8.71666937540021</v>
      </c>
      <c r="AI4288">
        <v>95.686597363682196</v>
      </c>
      <c r="AJ4288">
        <v>51.814315631838902</v>
      </c>
      <c r="AK4288">
        <v>11.144594621629</v>
      </c>
      <c r="AL4288">
        <v>80.484192548999104</v>
      </c>
      <c r="AM4288">
        <v>60.169727554437003</v>
      </c>
      <c r="AN4288">
        <v>0.99999995192109303</v>
      </c>
    </row>
    <row r="4289" spans="1:40" x14ac:dyDescent="0.25">
      <c r="A4289" t="str">
        <f>"20190312164112959"</f>
        <v>20190312164112959</v>
      </c>
      <c r="B4289" t="str">
        <f>"1552380072950792"</f>
        <v>1552380072950792</v>
      </c>
      <c r="C4289" t="s">
        <v>40</v>
      </c>
      <c r="D4289">
        <v>5.6761160000000004</v>
      </c>
      <c r="E4289">
        <v>0.57096369999999996</v>
      </c>
      <c r="F4289" t="s">
        <v>50</v>
      </c>
      <c r="G4289">
        <v>-204.834</v>
      </c>
      <c r="H4289" s="1">
        <v>-9.1940110000000005E-6</v>
      </c>
      <c r="I4289">
        <v>145.46199999999999</v>
      </c>
      <c r="J4289">
        <v>-194.93860000000001</v>
      </c>
      <c r="K4289">
        <v>1.104117</v>
      </c>
      <c r="L4289">
        <v>150.59399999999999</v>
      </c>
      <c r="M4289">
        <v>-0.41206009999999998</v>
      </c>
      <c r="N4289">
        <v>0</v>
      </c>
      <c r="O4289">
        <v>-0.91104070000000004</v>
      </c>
      <c r="P4289">
        <v>-0.80007090000000003</v>
      </c>
      <c r="Q4289">
        <v>0.160169799999999</v>
      </c>
      <c r="R4289">
        <v>-0.57812799999999998</v>
      </c>
      <c r="S4289">
        <v>-2.753174</v>
      </c>
      <c r="T4289">
        <v>-0.30388759999999998</v>
      </c>
      <c r="U4289">
        <v>-1.4731289999999999</v>
      </c>
      <c r="V4289">
        <v>0.49337120000000001</v>
      </c>
      <c r="W4289">
        <v>0.1648847</v>
      </c>
      <c r="X4289">
        <v>0.85404789999999997</v>
      </c>
      <c r="Y4289">
        <v>0.60411250000000005</v>
      </c>
      <c r="Z4289">
        <v>0.10177609999999999</v>
      </c>
      <c r="AA4289">
        <v>0.79037309999999905</v>
      </c>
      <c r="AB4289">
        <v>24</v>
      </c>
      <c r="AC4289">
        <v>-9.8953999999999898</v>
      </c>
      <c r="AD4289">
        <v>-1.1041261940109901</v>
      </c>
      <c r="AE4289">
        <v>-5.1319999999999704</v>
      </c>
      <c r="AF4289">
        <v>6.8340987204111503</v>
      </c>
      <c r="AG4289">
        <v>-1.1041261940109901</v>
      </c>
      <c r="AH4289">
        <v>8.6688343450057701</v>
      </c>
      <c r="AI4289">
        <v>95.711893512680106</v>
      </c>
      <c r="AJ4289">
        <v>51.749426239912196</v>
      </c>
      <c r="AK4289">
        <v>11.0938130899063</v>
      </c>
      <c r="AL4289">
        <v>80.509463095790096</v>
      </c>
      <c r="AM4289">
        <v>59.985590981255598</v>
      </c>
      <c r="AN4289">
        <v>0.99999996038896899</v>
      </c>
    </row>
    <row r="4290" spans="1:40" x14ac:dyDescent="0.25">
      <c r="A4290" t="str">
        <f>"20190312164112982"</f>
        <v>20190312164112982</v>
      </c>
      <c r="B4290" t="str">
        <f>"1552380072970315"</f>
        <v>1552380072970315</v>
      </c>
      <c r="C4290" t="s">
        <v>40</v>
      </c>
      <c r="D4290">
        <v>5.4564209999999997</v>
      </c>
      <c r="E4290">
        <v>0.595427699999999</v>
      </c>
      <c r="F4290" t="s">
        <v>50</v>
      </c>
      <c r="G4290">
        <v>-204.85489999999999</v>
      </c>
      <c r="H4290" s="1">
        <v>-9.1867290000000007E-6</v>
      </c>
      <c r="I4290">
        <v>145.46430000000001</v>
      </c>
      <c r="J4290">
        <v>-195.0471</v>
      </c>
      <c r="K4290">
        <v>1.1039540000000001</v>
      </c>
      <c r="L4290">
        <v>150.38040000000001</v>
      </c>
      <c r="M4290">
        <v>-0.42083979999999999</v>
      </c>
      <c r="N4290">
        <v>0</v>
      </c>
      <c r="O4290">
        <v>-0.9070182</v>
      </c>
      <c r="P4290">
        <v>-0.80743489999999996</v>
      </c>
      <c r="Q4290">
        <v>0.16017679999999901</v>
      </c>
      <c r="R4290">
        <v>-0.56779639999999998</v>
      </c>
      <c r="S4290">
        <v>-2.774429</v>
      </c>
      <c r="T4290">
        <v>-0.30891619999999997</v>
      </c>
      <c r="U4290">
        <v>-1.4351959999999999</v>
      </c>
      <c r="V4290">
        <v>0.49616929999999998</v>
      </c>
      <c r="W4290">
        <v>0.1646599</v>
      </c>
      <c r="X4290">
        <v>0.85246880000000003</v>
      </c>
      <c r="Y4290">
        <v>0.60727589999999998</v>
      </c>
      <c r="Z4290">
        <v>0.1034002</v>
      </c>
      <c r="AA4290">
        <v>0.78773369999999998</v>
      </c>
      <c r="AB4290">
        <v>24</v>
      </c>
      <c r="AC4290">
        <v>-9.8077999999999808</v>
      </c>
      <c r="AD4290">
        <v>-1.1039631867290001</v>
      </c>
      <c r="AE4290">
        <v>-4.9161000000000001</v>
      </c>
      <c r="AF4290">
        <v>6.7592439874409802</v>
      </c>
      <c r="AG4290">
        <v>-1.1039631867290001</v>
      </c>
      <c r="AH4290">
        <v>8.5013327926495599</v>
      </c>
      <c r="AI4290">
        <v>95.803911076064495</v>
      </c>
      <c r="AJ4290">
        <v>51.512474287176502</v>
      </c>
      <c r="AK4290">
        <v>10.916903097984701</v>
      </c>
      <c r="AL4290">
        <v>80.522521634628603</v>
      </c>
      <c r="AM4290">
        <v>59.798965254161601</v>
      </c>
      <c r="AN4290">
        <v>0.999999955951969</v>
      </c>
    </row>
    <row r="4291" spans="1:40" x14ac:dyDescent="0.25">
      <c r="A4291" t="str">
        <f>"20190312164113003"</f>
        <v>20190312164113003</v>
      </c>
      <c r="B4291" t="str">
        <f>"1552380073000568"</f>
        <v>1552380073000568</v>
      </c>
      <c r="C4291" t="s">
        <v>40</v>
      </c>
      <c r="D4291">
        <v>5.5543490000000002</v>
      </c>
      <c r="E4291">
        <v>0.59790889999999997</v>
      </c>
      <c r="F4291" t="s">
        <v>50</v>
      </c>
      <c r="G4291">
        <v>-201.48920000000001</v>
      </c>
      <c r="H4291" s="1">
        <v>-1.1169430000000001E-5</v>
      </c>
      <c r="I4291">
        <v>147.55629999999999</v>
      </c>
      <c r="J4291">
        <v>-195.16</v>
      </c>
      <c r="K4291">
        <v>1.10381</v>
      </c>
      <c r="L4291">
        <v>150.16380000000001</v>
      </c>
      <c r="M4291">
        <v>-0.42996139999999999</v>
      </c>
      <c r="N4291">
        <v>0</v>
      </c>
      <c r="O4291">
        <v>-0.90272929999999996</v>
      </c>
      <c r="P4291">
        <v>-0.81479729999999995</v>
      </c>
      <c r="Q4291">
        <v>0.16092679999999901</v>
      </c>
      <c r="R4291">
        <v>-0.55696330000000005</v>
      </c>
      <c r="S4291">
        <v>-2.915756</v>
      </c>
      <c r="T4291">
        <v>-0.49966440000000001</v>
      </c>
      <c r="U4291">
        <v>-1.2781830000000001</v>
      </c>
      <c r="V4291">
        <v>0.49890459999999898</v>
      </c>
      <c r="W4291">
        <v>0.16518759999999999</v>
      </c>
      <c r="X4291">
        <v>0.85076859999999999</v>
      </c>
      <c r="Y4291">
        <v>0.64096889999999995</v>
      </c>
      <c r="Z4291">
        <v>0.16464760000000001</v>
      </c>
      <c r="AA4291">
        <v>0.74970000000000003</v>
      </c>
      <c r="AB4291">
        <v>24</v>
      </c>
      <c r="AC4291">
        <v>-6.3292000000000099</v>
      </c>
      <c r="AD4291">
        <v>-1.10382116943</v>
      </c>
      <c r="AE4291">
        <v>-2.6075000000000101</v>
      </c>
      <c r="AF4291">
        <v>4.4765184039708403</v>
      </c>
      <c r="AG4291">
        <v>-1.10382116943</v>
      </c>
      <c r="AH4291">
        <v>4.9470823889489903</v>
      </c>
      <c r="AI4291">
        <v>99.394255490377901</v>
      </c>
      <c r="AJ4291">
        <v>47.858668923538097</v>
      </c>
      <c r="AK4291">
        <v>6.7624893610430803</v>
      </c>
      <c r="AL4291">
        <v>80.491867074749294</v>
      </c>
      <c r="AM4291">
        <v>59.611944094265901</v>
      </c>
      <c r="AN4291">
        <v>0.99999997692043896</v>
      </c>
    </row>
    <row r="4292" spans="1:40" x14ac:dyDescent="0.25">
      <c r="A4292" t="str">
        <f>"20190312164113026"</f>
        <v>20190312164113026</v>
      </c>
      <c r="B4292" t="str">
        <f>"1552380073020089"</f>
        <v>1552380073020089</v>
      </c>
      <c r="C4292" t="s">
        <v>40</v>
      </c>
      <c r="D4292">
        <v>5.5973259999999998</v>
      </c>
      <c r="E4292">
        <v>0.59806579999999998</v>
      </c>
      <c r="F4292" t="s">
        <v>50</v>
      </c>
      <c r="G4292">
        <v>-202.327</v>
      </c>
      <c r="H4292" s="1">
        <v>-1.0693750000000001E-5</v>
      </c>
      <c r="I4292">
        <v>147.2063</v>
      </c>
      <c r="J4292">
        <v>-195.2826</v>
      </c>
      <c r="K4292">
        <v>1.103664</v>
      </c>
      <c r="L4292">
        <v>149.93530000000001</v>
      </c>
      <c r="M4292">
        <v>-0.43984499999999999</v>
      </c>
      <c r="N4292">
        <v>0</v>
      </c>
      <c r="O4292">
        <v>-0.89795449999999999</v>
      </c>
      <c r="P4292">
        <v>-0.82240650000000004</v>
      </c>
      <c r="Q4292">
        <v>0.1622933</v>
      </c>
      <c r="R4292">
        <v>-0.54526009999999903</v>
      </c>
      <c r="S4292">
        <v>-2.9416199999999999</v>
      </c>
      <c r="T4292">
        <v>-0.45305200000000001</v>
      </c>
      <c r="U4292">
        <v>-1.2138819999999999</v>
      </c>
      <c r="V4292">
        <v>0.50157419999999997</v>
      </c>
      <c r="W4292">
        <v>0.16633029999999999</v>
      </c>
      <c r="X4292">
        <v>0.84897449999999997</v>
      </c>
      <c r="Y4292">
        <v>0.65122899999999995</v>
      </c>
      <c r="Z4292">
        <v>0.1499211</v>
      </c>
      <c r="AA4292">
        <v>0.74392499999999995</v>
      </c>
      <c r="AB4292">
        <v>24</v>
      </c>
      <c r="AC4292">
        <v>-7.0443999999999898</v>
      </c>
      <c r="AD4292">
        <v>-1.1036746937499999</v>
      </c>
      <c r="AE4292">
        <v>-2.7290000000000099</v>
      </c>
      <c r="AF4292">
        <v>5.0186466755338399</v>
      </c>
      <c r="AG4292">
        <v>-1.1036746937499999</v>
      </c>
      <c r="AH4292">
        <v>5.4335840810754297</v>
      </c>
      <c r="AI4292">
        <v>98.486631787046605</v>
      </c>
      <c r="AJ4292">
        <v>47.273360141831802</v>
      </c>
      <c r="AK4292">
        <v>7.4785525504329602</v>
      </c>
      <c r="AL4292">
        <v>80.425477698659293</v>
      </c>
      <c r="AM4292">
        <v>59.425402875217898</v>
      </c>
      <c r="AN4292">
        <v>1.0000000742269799</v>
      </c>
    </row>
    <row r="4293" spans="1:40" x14ac:dyDescent="0.25">
      <c r="A4293" t="str">
        <f>"20190312164113050"</f>
        <v>20190312164113050</v>
      </c>
      <c r="B4293" t="str">
        <f>"1552380073040587"</f>
        <v>1552380073040587</v>
      </c>
      <c r="C4293" t="s">
        <v>40</v>
      </c>
      <c r="D4293">
        <v>5.7047230000000004</v>
      </c>
      <c r="E4293">
        <v>0.59703809999999902</v>
      </c>
      <c r="F4293" t="s">
        <v>50</v>
      </c>
      <c r="G4293">
        <v>-202.59899999999999</v>
      </c>
      <c r="H4293" s="1">
        <v>-1.0524529999999999E-5</v>
      </c>
      <c r="I4293">
        <v>147.04300000000001</v>
      </c>
      <c r="J4293">
        <v>-195.40350000000001</v>
      </c>
      <c r="K4293">
        <v>1.1035239999999999</v>
      </c>
      <c r="L4293">
        <v>149.71619999999999</v>
      </c>
      <c r="M4293">
        <v>-0.44958359999999897</v>
      </c>
      <c r="N4293">
        <v>0</v>
      </c>
      <c r="O4293">
        <v>-0.89311779999999996</v>
      </c>
      <c r="P4293">
        <v>-0.82934349999999901</v>
      </c>
      <c r="Q4293">
        <v>0.16341120000000001</v>
      </c>
      <c r="R4293">
        <v>-0.53430889999999998</v>
      </c>
      <c r="S4293">
        <v>-2.9600979999999999</v>
      </c>
      <c r="T4293">
        <v>-0.4465306</v>
      </c>
      <c r="U4293">
        <v>-1.1701969999999999</v>
      </c>
      <c r="V4293">
        <v>0.50348549999999903</v>
      </c>
      <c r="W4293">
        <v>0.1672457</v>
      </c>
      <c r="X4293">
        <v>0.84766219999999903</v>
      </c>
      <c r="Y4293">
        <v>0.65445030000000004</v>
      </c>
      <c r="Z4293">
        <v>0.14775429999999901</v>
      </c>
      <c r="AA4293">
        <v>0.74152779999999996</v>
      </c>
      <c r="AB4293">
        <v>24</v>
      </c>
      <c r="AC4293">
        <v>-7.1955000000000098</v>
      </c>
      <c r="AD4293">
        <v>-1.1035345245299999</v>
      </c>
      <c r="AE4293">
        <v>-2.67319999999998</v>
      </c>
      <c r="AF4293">
        <v>5.11935717833589</v>
      </c>
      <c r="AG4293">
        <v>-1.1035345245299999</v>
      </c>
      <c r="AH4293">
        <v>5.5092016999744597</v>
      </c>
      <c r="AI4293">
        <v>98.347741017867904</v>
      </c>
      <c r="AJ4293">
        <v>47.100608119849703</v>
      </c>
      <c r="AK4293">
        <v>7.6011124013008997</v>
      </c>
      <c r="AL4293">
        <v>80.372283221479705</v>
      </c>
      <c r="AM4293">
        <v>59.290979619480403</v>
      </c>
      <c r="AN4293">
        <v>0.99999998909378895</v>
      </c>
    </row>
    <row r="4294" spans="1:40" x14ac:dyDescent="0.25">
      <c r="A4294" t="str">
        <f>"20190312164113072"</f>
        <v>20190312164113072</v>
      </c>
      <c r="B4294" t="str">
        <f>"1552380073060104"</f>
        <v>1552380073060104</v>
      </c>
      <c r="C4294" t="s">
        <v>40</v>
      </c>
      <c r="D4294">
        <v>5.5201029999999998</v>
      </c>
      <c r="E4294">
        <v>0.59571560000000001</v>
      </c>
      <c r="F4294" t="s">
        <v>50</v>
      </c>
      <c r="G4294">
        <v>-203.08670000000001</v>
      </c>
      <c r="H4294" s="1">
        <v>-1.0230879999999999E-5</v>
      </c>
      <c r="I4294">
        <v>146.78290000000001</v>
      </c>
      <c r="J4294">
        <v>-195.52449999999999</v>
      </c>
      <c r="K4294">
        <v>1.10337</v>
      </c>
      <c r="L4294">
        <v>149.50290000000001</v>
      </c>
      <c r="M4294">
        <v>-0.45933629999999998</v>
      </c>
      <c r="N4294">
        <v>0</v>
      </c>
      <c r="O4294">
        <v>-0.88814059999999995</v>
      </c>
      <c r="P4294">
        <v>-0.83572829999999998</v>
      </c>
      <c r="Q4294">
        <v>0.16370409999999999</v>
      </c>
      <c r="R4294">
        <v>-0.52417449999999999</v>
      </c>
      <c r="S4294">
        <v>-2.9707029999999999</v>
      </c>
      <c r="T4294">
        <v>-0.42667949999999999</v>
      </c>
      <c r="U4294">
        <v>-1.134155</v>
      </c>
      <c r="V4294">
        <v>0.50454370000000004</v>
      </c>
      <c r="W4294">
        <v>0.1673491</v>
      </c>
      <c r="X4294">
        <v>0.8470124</v>
      </c>
      <c r="Y4294">
        <v>0.65590349999999997</v>
      </c>
      <c r="Z4294">
        <v>0.1413114</v>
      </c>
      <c r="AA4294">
        <v>0.74149969999999998</v>
      </c>
      <c r="AB4294">
        <v>24</v>
      </c>
      <c r="AC4294">
        <v>-7.5622000000000096</v>
      </c>
      <c r="AD4294">
        <v>-1.10338023088</v>
      </c>
      <c r="AE4294">
        <v>-2.71999999999999</v>
      </c>
      <c r="AF4294">
        <v>5.3663370769767003</v>
      </c>
      <c r="AG4294">
        <v>-1.10338023088</v>
      </c>
      <c r="AH4294">
        <v>5.7809996014271299</v>
      </c>
      <c r="AI4294">
        <v>97.963105735021401</v>
      </c>
      <c r="AJ4294">
        <v>47.130326197124603</v>
      </c>
      <c r="AK4294">
        <v>7.9646078339948598</v>
      </c>
      <c r="AL4294">
        <v>80.366274606128002</v>
      </c>
      <c r="AM4294">
        <v>59.218820729457697</v>
      </c>
      <c r="AN4294">
        <v>1.00000003611712</v>
      </c>
    </row>
    <row r="4295" spans="1:40" x14ac:dyDescent="0.25">
      <c r="A4295" t="str">
        <f>"20190312164113095"</f>
        <v>20190312164113095</v>
      </c>
      <c r="B4295" t="str">
        <f>"1552380073090363"</f>
        <v>1552380073090363</v>
      </c>
      <c r="C4295" t="s">
        <v>40</v>
      </c>
      <c r="D4295">
        <v>5.6224819999999998</v>
      </c>
      <c r="E4295">
        <v>0.59483469999999905</v>
      </c>
      <c r="F4295" t="s">
        <v>50</v>
      </c>
      <c r="G4295">
        <v>-203.3</v>
      </c>
      <c r="H4295" s="1">
        <v>-1.0087449999999999E-5</v>
      </c>
      <c r="I4295">
        <v>146.61859999999999</v>
      </c>
      <c r="J4295">
        <v>-195.6482</v>
      </c>
      <c r="K4295">
        <v>1.103192</v>
      </c>
      <c r="L4295">
        <v>149.29079999999999</v>
      </c>
      <c r="M4295">
        <v>-0.46930859999999902</v>
      </c>
      <c r="N4295">
        <v>0</v>
      </c>
      <c r="O4295">
        <v>-0.882911</v>
      </c>
      <c r="P4295">
        <v>-0.84172709999999995</v>
      </c>
      <c r="Q4295">
        <v>0.163748</v>
      </c>
      <c r="R4295">
        <v>-0.5144725</v>
      </c>
      <c r="S4295">
        <v>-2.9793090000000002</v>
      </c>
      <c r="T4295">
        <v>-0.42277979999999998</v>
      </c>
      <c r="U4295">
        <v>-1.105148</v>
      </c>
      <c r="V4295">
        <v>0.50486999999999904</v>
      </c>
      <c r="W4295">
        <v>0.16720479999999999</v>
      </c>
      <c r="X4295">
        <v>0.8468464</v>
      </c>
      <c r="Y4295">
        <v>0.65470150000000005</v>
      </c>
      <c r="Z4295">
        <v>0.13988519999999999</v>
      </c>
      <c r="AA4295">
        <v>0.74283109999999997</v>
      </c>
      <c r="AB4295">
        <v>24</v>
      </c>
      <c r="AC4295">
        <v>-7.6517999999999997</v>
      </c>
      <c r="AD4295">
        <v>-1.1032020874499999</v>
      </c>
      <c r="AE4295">
        <v>-2.6722000000000001</v>
      </c>
      <c r="AF4295">
        <v>5.4022822934681596</v>
      </c>
      <c r="AG4295">
        <v>-1.1032020874499999</v>
      </c>
      <c r="AH4295">
        <v>5.8427685691570099</v>
      </c>
      <c r="AI4295">
        <v>97.8929414220718</v>
      </c>
      <c r="AJ4295">
        <v>47.243218657954401</v>
      </c>
      <c r="AK4295">
        <v>8.0336575341996408</v>
      </c>
      <c r="AL4295">
        <v>80.374660132183806</v>
      </c>
      <c r="AM4295">
        <v>59.197592550354798</v>
      </c>
      <c r="AN4295">
        <v>0.99999999361799996</v>
      </c>
    </row>
    <row r="4296" spans="1:40" x14ac:dyDescent="0.25">
      <c r="A4296" t="str">
        <f>"20190312164113116"</f>
        <v>20190312164113116</v>
      </c>
      <c r="B4296" t="str">
        <f>"1552380073110857"</f>
        <v>1552380073110857</v>
      </c>
      <c r="C4296" t="s">
        <v>40</v>
      </c>
      <c r="D4296">
        <v>5.6120809999999999</v>
      </c>
      <c r="E4296">
        <v>0.59403119999999998</v>
      </c>
      <c r="F4296" t="s">
        <v>50</v>
      </c>
      <c r="G4296">
        <v>-203.40790000000001</v>
      </c>
      <c r="H4296" s="1">
        <v>-1.0004260000000001E-5</v>
      </c>
      <c r="I4296">
        <v>146.49770000000001</v>
      </c>
      <c r="J4296">
        <v>-195.77369999999999</v>
      </c>
      <c r="K4296">
        <v>1.103</v>
      </c>
      <c r="L4296">
        <v>149.08170000000001</v>
      </c>
      <c r="M4296">
        <v>-0.4794292</v>
      </c>
      <c r="N4296">
        <v>0</v>
      </c>
      <c r="O4296">
        <v>-0.87745589999999996</v>
      </c>
      <c r="P4296">
        <v>-0.84801009999999999</v>
      </c>
      <c r="Q4296">
        <v>0.16383610000000001</v>
      </c>
      <c r="R4296">
        <v>-0.50402060000000004</v>
      </c>
      <c r="S4296">
        <v>-2.9891359999999998</v>
      </c>
      <c r="T4296">
        <v>-0.42496800000000001</v>
      </c>
      <c r="U4296">
        <v>-1.075958</v>
      </c>
      <c r="V4296">
        <v>0.50567620000000002</v>
      </c>
      <c r="W4296">
        <v>0.16707830000000001</v>
      </c>
      <c r="X4296">
        <v>0.84639019999999998</v>
      </c>
      <c r="Y4296">
        <v>0.65319389999999999</v>
      </c>
      <c r="Z4296">
        <v>0.1403489</v>
      </c>
      <c r="AA4296">
        <v>0.7440698</v>
      </c>
      <c r="AB4296">
        <v>24</v>
      </c>
      <c r="AC4296">
        <v>-7.6342000000000203</v>
      </c>
      <c r="AD4296">
        <v>-1.10301000426</v>
      </c>
      <c r="AE4296">
        <v>-2.5840000000000001</v>
      </c>
      <c r="AF4296">
        <v>5.3600354437464999</v>
      </c>
      <c r="AG4296">
        <v>-1.10301000426</v>
      </c>
      <c r="AH4296">
        <v>5.8190648821925803</v>
      </c>
      <c r="AI4296">
        <v>97.936955652955206</v>
      </c>
      <c r="AJ4296">
        <v>47.351323673434997</v>
      </c>
      <c r="AK4296">
        <v>7.9879989440962902</v>
      </c>
      <c r="AL4296">
        <v>80.382011270794706</v>
      </c>
      <c r="AM4296">
        <v>59.143775214395703</v>
      </c>
      <c r="AN4296">
        <v>0.99999997411668395</v>
      </c>
    </row>
    <row r="4297" spans="1:40" x14ac:dyDescent="0.25">
      <c r="A4297" t="str">
        <f>"20190312164113140"</f>
        <v>20190312164113140</v>
      </c>
      <c r="B4297" t="str">
        <f>"1552380073130376"</f>
        <v>1552380073130376</v>
      </c>
      <c r="C4297" t="s">
        <v>40</v>
      </c>
      <c r="D4297">
        <v>5.6954940000000001</v>
      </c>
      <c r="E4297">
        <v>0.59360369999999996</v>
      </c>
      <c r="F4297" t="s">
        <v>50</v>
      </c>
      <c r="G4297">
        <v>-203.48990000000001</v>
      </c>
      <c r="H4297" s="1">
        <v>-9.9450870000000001E-6</v>
      </c>
      <c r="I4297">
        <v>146.39060000000001</v>
      </c>
      <c r="J4297">
        <v>-195.90280000000001</v>
      </c>
      <c r="K4297">
        <v>1.1028009999999999</v>
      </c>
      <c r="L4297">
        <v>148.8732</v>
      </c>
      <c r="M4297">
        <v>-0.48983539999999998</v>
      </c>
      <c r="N4297">
        <v>0</v>
      </c>
      <c r="O4297">
        <v>-0.87168849999999998</v>
      </c>
      <c r="P4297">
        <v>-0.85408249999999997</v>
      </c>
      <c r="Q4297">
        <v>0.1636763</v>
      </c>
      <c r="R4297">
        <v>-0.49371389999999998</v>
      </c>
      <c r="S4297">
        <v>-2.9988860000000002</v>
      </c>
      <c r="T4297">
        <v>-0.42868089999999998</v>
      </c>
      <c r="U4297">
        <v>-1.045898</v>
      </c>
      <c r="V4297">
        <v>0.50596319999999995</v>
      </c>
      <c r="W4297">
        <v>0.16670739999999901</v>
      </c>
      <c r="X4297">
        <v>0.84629179999999904</v>
      </c>
      <c r="Y4297">
        <v>0.65150180000000002</v>
      </c>
      <c r="Z4297">
        <v>0.1412696</v>
      </c>
      <c r="AA4297">
        <v>0.74537799999999999</v>
      </c>
      <c r="AB4297">
        <v>24</v>
      </c>
      <c r="AC4297">
        <v>-7.5870999999999897</v>
      </c>
      <c r="AD4297">
        <v>-1.1028109450869901</v>
      </c>
      <c r="AE4297">
        <v>-2.4825999999999899</v>
      </c>
      <c r="AF4297">
        <v>5.2970274587175297</v>
      </c>
      <c r="AG4297">
        <v>-1.1028109450869901</v>
      </c>
      <c r="AH4297">
        <v>5.7709969081849204</v>
      </c>
      <c r="AI4297">
        <v>98.013567522910606</v>
      </c>
      <c r="AJ4297">
        <v>47.452096802154998</v>
      </c>
      <c r="AK4297">
        <v>7.9106951144189104</v>
      </c>
      <c r="AL4297">
        <v>80.4035644607943</v>
      </c>
      <c r="AM4297">
        <v>59.126525861887302</v>
      </c>
      <c r="AN4297">
        <v>0.99999996385811896</v>
      </c>
    </row>
    <row r="4298" spans="1:40" x14ac:dyDescent="0.25">
      <c r="A4298" t="str">
        <f>"20190312164113161"</f>
        <v>20190312164113161</v>
      </c>
      <c r="B4298" t="str">
        <f>"1552380073149896"</f>
        <v>1552380073149896</v>
      </c>
      <c r="C4298" t="s">
        <v>40</v>
      </c>
      <c r="D4298">
        <v>5.7390689999999998</v>
      </c>
      <c r="E4298">
        <v>0.59306819999999905</v>
      </c>
      <c r="F4298" t="s">
        <v>50</v>
      </c>
      <c r="G4298">
        <v>-203.65520000000001</v>
      </c>
      <c r="H4298" s="1">
        <v>-9.8508110000000007E-6</v>
      </c>
      <c r="I4298">
        <v>146.26910000000001</v>
      </c>
      <c r="J4298">
        <v>-196.0342</v>
      </c>
      <c r="K4298">
        <v>1.1025959999999999</v>
      </c>
      <c r="L4298">
        <v>148.66730000000001</v>
      </c>
      <c r="M4298">
        <v>-0.50042969999999998</v>
      </c>
      <c r="N4298">
        <v>0</v>
      </c>
      <c r="O4298">
        <v>-0.8656488</v>
      </c>
      <c r="P4298">
        <v>-0.85936209999999902</v>
      </c>
      <c r="Q4298">
        <v>0.1631339</v>
      </c>
      <c r="R4298">
        <v>-0.48464849999999998</v>
      </c>
      <c r="S4298">
        <v>-3.0101469999999999</v>
      </c>
      <c r="T4298">
        <v>-0.42820330000000001</v>
      </c>
      <c r="U4298">
        <v>-1.0111079999999999</v>
      </c>
      <c r="V4298">
        <v>0.50475409999999998</v>
      </c>
      <c r="W4298">
        <v>0.16600109999999901</v>
      </c>
      <c r="X4298">
        <v>0.84715229999999997</v>
      </c>
      <c r="Y4298">
        <v>0.65095009999999998</v>
      </c>
      <c r="Z4298">
        <v>0.14084179999999999</v>
      </c>
      <c r="AA4298">
        <v>0.74594069999999901</v>
      </c>
      <c r="AB4298">
        <v>24</v>
      </c>
      <c r="AC4298">
        <v>-7.6210000000000004</v>
      </c>
      <c r="AD4298">
        <v>-1.1026058508109999</v>
      </c>
      <c r="AE4298">
        <v>-2.3982000000000001</v>
      </c>
      <c r="AF4298">
        <v>5.2966968139145498</v>
      </c>
      <c r="AG4298">
        <v>-1.1026058508109999</v>
      </c>
      <c r="AH4298">
        <v>5.7803348094549101</v>
      </c>
      <c r="AI4298">
        <v>98.005380236881507</v>
      </c>
      <c r="AJ4298">
        <v>47.5000224587207</v>
      </c>
      <c r="AK4298">
        <v>7.9172600885768203</v>
      </c>
      <c r="AL4298">
        <v>80.444605083095695</v>
      </c>
      <c r="AM4298">
        <v>59.212478021771602</v>
      </c>
      <c r="AN4298">
        <v>1.00000004303165</v>
      </c>
    </row>
    <row r="4299" spans="1:40" x14ac:dyDescent="0.25">
      <c r="A4299" t="str">
        <f>"20190312164113184"</f>
        <v>20190312164113184</v>
      </c>
      <c r="B4299" t="str">
        <f>"1552380073180153"</f>
        <v>1552380073180153</v>
      </c>
      <c r="C4299" t="s">
        <v>40</v>
      </c>
      <c r="D4299">
        <v>5.9461000000000004</v>
      </c>
      <c r="E4299">
        <v>0.59211320000000001</v>
      </c>
      <c r="F4299" t="s">
        <v>50</v>
      </c>
      <c r="G4299">
        <v>-203.82159999999999</v>
      </c>
      <c r="H4299" s="1">
        <v>-9.7548810000000001E-6</v>
      </c>
      <c r="I4299">
        <v>146.1431</v>
      </c>
      <c r="J4299">
        <v>-196.16839999999999</v>
      </c>
      <c r="K4299">
        <v>1.10242</v>
      </c>
      <c r="L4299">
        <v>148.4631</v>
      </c>
      <c r="M4299">
        <v>-0.5111985</v>
      </c>
      <c r="N4299">
        <v>0</v>
      </c>
      <c r="O4299">
        <v>-0.8593324</v>
      </c>
      <c r="P4299">
        <v>-0.86487739999999902</v>
      </c>
      <c r="Q4299">
        <v>0.161778799999999</v>
      </c>
      <c r="R4299">
        <v>-0.47520010000000001</v>
      </c>
      <c r="S4299">
        <v>-3.0200650000000002</v>
      </c>
      <c r="T4299">
        <v>-0.42760300000000001</v>
      </c>
      <c r="U4299">
        <v>-0.97891240000000002</v>
      </c>
      <c r="V4299">
        <v>0.5037237</v>
      </c>
      <c r="W4299">
        <v>0.16450799999999999</v>
      </c>
      <c r="X4299">
        <v>0.84805640000000004</v>
      </c>
      <c r="Y4299">
        <v>0.64951829999999999</v>
      </c>
      <c r="Z4299">
        <v>0.14030200000000001</v>
      </c>
      <c r="AA4299">
        <v>0.74728930000000005</v>
      </c>
      <c r="AB4299">
        <v>24</v>
      </c>
      <c r="AC4299">
        <v>-7.6531999999999902</v>
      </c>
      <c r="AD4299">
        <v>-1.102429754881</v>
      </c>
      <c r="AE4299">
        <v>-2.3199999999999901</v>
      </c>
      <c r="AF4299">
        <v>5.2907232538033799</v>
      </c>
      <c r="AG4299">
        <v>-1.102429754881</v>
      </c>
      <c r="AH4299">
        <v>5.7964634155049302</v>
      </c>
      <c r="AI4299">
        <v>97.996195064539506</v>
      </c>
      <c r="AJ4299">
        <v>47.611726965640202</v>
      </c>
      <c r="AK4299">
        <v>7.9250294661956797</v>
      </c>
      <c r="AL4299">
        <v>80.531346115466505</v>
      </c>
      <c r="AM4299">
        <v>59.290776994956403</v>
      </c>
      <c r="AN4299">
        <v>1.0000000527933199</v>
      </c>
    </row>
    <row r="4300" spans="1:40" x14ac:dyDescent="0.25">
      <c r="A4300" t="str">
        <f>"20190312164113206"</f>
        <v>20190312164113206</v>
      </c>
      <c r="B4300" t="str">
        <f>"1552380073200649"</f>
        <v>1552380073200649</v>
      </c>
      <c r="C4300" t="s">
        <v>40</v>
      </c>
      <c r="D4300">
        <v>5.8464769999999904</v>
      </c>
      <c r="E4300">
        <v>0.59147240000000001</v>
      </c>
      <c r="F4300" t="s">
        <v>50</v>
      </c>
      <c r="G4300">
        <v>-203.93340000000001</v>
      </c>
      <c r="H4300" s="1">
        <v>-9.6833370000000005E-6</v>
      </c>
      <c r="I4300">
        <v>146.03139999999999</v>
      </c>
      <c r="J4300">
        <v>-196.30520000000001</v>
      </c>
      <c r="K4300">
        <v>1.10226</v>
      </c>
      <c r="L4300">
        <v>148.2611</v>
      </c>
      <c r="M4300">
        <v>-0.52210939999999995</v>
      </c>
      <c r="N4300">
        <v>0</v>
      </c>
      <c r="O4300">
        <v>-0.85274649999999996</v>
      </c>
      <c r="P4300">
        <v>-0.87072070000000001</v>
      </c>
      <c r="Q4300">
        <v>0.16024720000000001</v>
      </c>
      <c r="R4300">
        <v>-0.46493760000000001</v>
      </c>
      <c r="S4300">
        <v>-3.0280610000000001</v>
      </c>
      <c r="T4300">
        <v>-0.4299096</v>
      </c>
      <c r="U4300">
        <v>-0.94828800000000002</v>
      </c>
      <c r="V4300">
        <v>0.50321700000000003</v>
      </c>
      <c r="W4300">
        <v>0.16284979999999999</v>
      </c>
      <c r="X4300">
        <v>0.84867700000000001</v>
      </c>
      <c r="Y4300">
        <v>0.64726169999999905</v>
      </c>
      <c r="Z4300">
        <v>0.14067109999999999</v>
      </c>
      <c r="AA4300">
        <v>0.74917549999999999</v>
      </c>
      <c r="AB4300">
        <v>24</v>
      </c>
      <c r="AC4300">
        <v>-7.6281999999999899</v>
      </c>
      <c r="AD4300">
        <v>-1.102269683337</v>
      </c>
      <c r="AE4300">
        <v>-2.2296999999999998</v>
      </c>
      <c r="AF4300">
        <v>5.2405646622740996</v>
      </c>
      <c r="AG4300">
        <v>-1.102269683337</v>
      </c>
      <c r="AH4300">
        <v>5.7737200625958698</v>
      </c>
      <c r="AI4300">
        <v>98.046236500493293</v>
      </c>
      <c r="AJ4300">
        <v>47.771285618905402</v>
      </c>
      <c r="AK4300">
        <v>7.8749196691459602</v>
      </c>
      <c r="AL4300">
        <v>80.627652577224595</v>
      </c>
      <c r="AM4300">
        <v>59.334479723949599</v>
      </c>
      <c r="AN4300">
        <v>1.00000002838901</v>
      </c>
    </row>
    <row r="4301" spans="1:40" x14ac:dyDescent="0.25">
      <c r="A4301" t="str">
        <f>"20190312164113243"</f>
        <v>20190312164113243</v>
      </c>
      <c r="B4301" t="str">
        <f>"1552380073240664"</f>
        <v>1552380073240664</v>
      </c>
      <c r="C4301" t="s">
        <v>40</v>
      </c>
      <c r="D4301">
        <v>5.6881589999999997</v>
      </c>
      <c r="E4301">
        <v>0.59068909999999997</v>
      </c>
      <c r="F4301" t="s">
        <v>50</v>
      </c>
      <c r="G4301">
        <v>-204.01769999999999</v>
      </c>
      <c r="H4301" s="1">
        <v>-9.6267530000000005E-6</v>
      </c>
      <c r="I4301">
        <v>145.93719999999999</v>
      </c>
      <c r="J4301">
        <v>-196.5334</v>
      </c>
      <c r="K4301">
        <v>1.1020239999999999</v>
      </c>
      <c r="L4301">
        <v>147.93690000000001</v>
      </c>
      <c r="M4301">
        <v>-0.54014949999999995</v>
      </c>
      <c r="N4301">
        <v>0</v>
      </c>
      <c r="O4301">
        <v>-0.84143369999999995</v>
      </c>
      <c r="P4301">
        <v>-0.88013269999999899</v>
      </c>
      <c r="Q4301">
        <v>0.1596079</v>
      </c>
      <c r="R4301">
        <v>-0.44709290000000002</v>
      </c>
      <c r="S4301">
        <v>-3.0367280000000001</v>
      </c>
      <c r="T4301">
        <v>-0.43401129999999999</v>
      </c>
      <c r="U4301">
        <v>-0.91499330000000001</v>
      </c>
      <c r="V4301">
        <v>0.50261829999999996</v>
      </c>
      <c r="W4301">
        <v>0.16202079999999999</v>
      </c>
      <c r="X4301">
        <v>0.84919029999999995</v>
      </c>
      <c r="Y4301">
        <v>0.63913089999999995</v>
      </c>
      <c r="Z4301">
        <v>0.14099739999999999</v>
      </c>
      <c r="AA4301">
        <v>0.75606309999999999</v>
      </c>
      <c r="AB4301">
        <v>24</v>
      </c>
      <c r="AC4301">
        <v>-7.4842999999999904</v>
      </c>
      <c r="AD4301">
        <v>-1.102033626753</v>
      </c>
      <c r="AE4301">
        <v>-1.99970000000001</v>
      </c>
      <c r="AF4301">
        <v>5.1144990194719</v>
      </c>
      <c r="AG4301">
        <v>-1.102033626753</v>
      </c>
      <c r="AH4301">
        <v>5.6123329401444497</v>
      </c>
      <c r="AI4301">
        <v>98.257943961458096</v>
      </c>
      <c r="AJ4301">
        <v>47.657199249327</v>
      </c>
      <c r="AK4301">
        <v>7.6727348035562803</v>
      </c>
      <c r="AL4301">
        <v>80.6757901019554</v>
      </c>
      <c r="AM4301">
        <v>59.379581480478102</v>
      </c>
      <c r="AN4301">
        <v>1.0000000303708001</v>
      </c>
    </row>
    <row r="4302" spans="1:40" x14ac:dyDescent="0.25">
      <c r="A4302" t="str">
        <f>"20190312164113261"</f>
        <v>20190312164113261</v>
      </c>
      <c r="B4302" t="str">
        <f>"1552380073250427"</f>
        <v>1552380073250427</v>
      </c>
      <c r="C4302" t="s">
        <v>40</v>
      </c>
      <c r="D4302">
        <v>5.4766849999999998</v>
      </c>
      <c r="E4302">
        <v>0.59003509999999904</v>
      </c>
      <c r="F4302" t="s">
        <v>50</v>
      </c>
      <c r="G4302">
        <v>-204.25299999999999</v>
      </c>
      <c r="H4302" s="1">
        <v>-9.4942079999999999E-6</v>
      </c>
      <c r="I4302">
        <v>145.77080000000001</v>
      </c>
      <c r="J4302">
        <v>-196.6507</v>
      </c>
      <c r="K4302">
        <v>1.1019129999999999</v>
      </c>
      <c r="L4302">
        <v>147.77619999999999</v>
      </c>
      <c r="M4302">
        <v>-0.5493285</v>
      </c>
      <c r="N4302">
        <v>0</v>
      </c>
      <c r="O4302">
        <v>-0.83546900000000002</v>
      </c>
      <c r="P4302">
        <v>-0.88448979999999999</v>
      </c>
      <c r="Q4302">
        <v>0.1586611</v>
      </c>
      <c r="R4302">
        <v>-0.43875330000000001</v>
      </c>
      <c r="S4302">
        <v>-3.052505</v>
      </c>
      <c r="T4302">
        <v>-0.43576920000000002</v>
      </c>
      <c r="U4302">
        <v>-0.85653690000000005</v>
      </c>
      <c r="V4302">
        <v>0.5015117</v>
      </c>
      <c r="W4302">
        <v>0.16101190000000001</v>
      </c>
      <c r="X4302">
        <v>0.85003600000000001</v>
      </c>
      <c r="Y4302">
        <v>0.64508489999999996</v>
      </c>
      <c r="Z4302">
        <v>0.1415997</v>
      </c>
      <c r="AA4302">
        <v>0.75087619999999999</v>
      </c>
      <c r="AB4302">
        <v>24</v>
      </c>
      <c r="AC4302">
        <v>-7.6022999999999801</v>
      </c>
      <c r="AD4302">
        <v>-1.1019224942079999</v>
      </c>
      <c r="AE4302">
        <v>-2.0053999999999799</v>
      </c>
      <c r="AF4302">
        <v>5.14932020180858</v>
      </c>
      <c r="AG4302">
        <v>-1.1019224942079999</v>
      </c>
      <c r="AH4302">
        <v>5.7395428668566799</v>
      </c>
      <c r="AI4302">
        <v>98.132771415405898</v>
      </c>
      <c r="AJ4302">
        <v>48.102638559799402</v>
      </c>
      <c r="AK4302">
        <v>7.7892287194869896</v>
      </c>
      <c r="AL4302">
        <v>80.734364702247504</v>
      </c>
      <c r="AM4302">
        <v>59.459872145193202</v>
      </c>
      <c r="AN4302">
        <v>1.0000000092372501</v>
      </c>
    </row>
    <row r="4303" spans="1:40" x14ac:dyDescent="0.25">
      <c r="A4303" t="str">
        <f>"20190312164113285"</f>
        <v>20190312164113285</v>
      </c>
      <c r="B4303" t="str">
        <f>"1552380073280679"</f>
        <v>1552380073280679</v>
      </c>
      <c r="C4303" t="s">
        <v>40</v>
      </c>
      <c r="D4303">
        <v>5.8456650000000003</v>
      </c>
      <c r="E4303">
        <v>0.58935530000000003</v>
      </c>
      <c r="F4303" t="s">
        <v>50</v>
      </c>
      <c r="G4303">
        <v>-204.42349999999999</v>
      </c>
      <c r="H4303" s="1">
        <v>-9.4041720000000006E-6</v>
      </c>
      <c r="I4303">
        <v>145.67269999999999</v>
      </c>
      <c r="J4303">
        <v>-196.8065</v>
      </c>
      <c r="K4303">
        <v>1.101777</v>
      </c>
      <c r="L4303">
        <v>147.5692</v>
      </c>
      <c r="M4303">
        <v>-0.5613937</v>
      </c>
      <c r="N4303">
        <v>0</v>
      </c>
      <c r="O4303">
        <v>-0.82740899999999995</v>
      </c>
      <c r="P4303">
        <v>-0.89069540000000003</v>
      </c>
      <c r="Q4303">
        <v>0.1586456</v>
      </c>
      <c r="R4303">
        <v>-0.42602050000000002</v>
      </c>
      <c r="S4303">
        <v>-3.058929</v>
      </c>
      <c r="T4303">
        <v>-0.43365490000000001</v>
      </c>
      <c r="U4303">
        <v>-0.82781979999999999</v>
      </c>
      <c r="V4303">
        <v>0.50142559999999903</v>
      </c>
      <c r="W4303">
        <v>0.16088529999999901</v>
      </c>
      <c r="X4303">
        <v>0.85011080000000006</v>
      </c>
      <c r="Y4303">
        <v>0.64120480000000002</v>
      </c>
      <c r="Z4303">
        <v>0.1402794</v>
      </c>
      <c r="AA4303">
        <v>0.75443890000000002</v>
      </c>
      <c r="AB4303">
        <v>24</v>
      </c>
      <c r="AC4303">
        <v>-7.6169999999999902</v>
      </c>
      <c r="AD4303">
        <v>-1.101786404172</v>
      </c>
      <c r="AE4303">
        <v>-1.8965000000000001</v>
      </c>
      <c r="AF4303">
        <v>5.13708767707476</v>
      </c>
      <c r="AG4303">
        <v>-1.101786404172</v>
      </c>
      <c r="AH4303">
        <v>5.7330424192055096</v>
      </c>
      <c r="AI4303">
        <v>98.145335247697204</v>
      </c>
      <c r="AJ4303">
        <v>48.138098743990497</v>
      </c>
      <c r="AK4303">
        <v>7.7763345133026096</v>
      </c>
      <c r="AL4303">
        <v>80.7417144720675</v>
      </c>
      <c r="AM4303">
        <v>59.466383528824103</v>
      </c>
      <c r="AN4303">
        <v>1.00000004218404</v>
      </c>
    </row>
    <row r="4304" spans="1:40" x14ac:dyDescent="0.25">
      <c r="A4304" t="str">
        <f>"20190312164113308"</f>
        <v>20190312164113308</v>
      </c>
      <c r="B4304" t="str">
        <f>"1552380073300200"</f>
        <v>1552380073300200</v>
      </c>
      <c r="C4304" t="s">
        <v>40</v>
      </c>
      <c r="D4304">
        <v>5.5446619999999998</v>
      </c>
      <c r="E4304">
        <v>0.58982119999999905</v>
      </c>
      <c r="F4304" t="s">
        <v>50</v>
      </c>
      <c r="G4304">
        <v>-204.6592</v>
      </c>
      <c r="H4304" s="1">
        <v>-9.2847290000000004E-6</v>
      </c>
      <c r="I4304">
        <v>145.5565</v>
      </c>
      <c r="J4304">
        <v>-196.95330000000001</v>
      </c>
      <c r="K4304">
        <v>1.1016459999999999</v>
      </c>
      <c r="L4304">
        <v>147.38</v>
      </c>
      <c r="M4304">
        <v>-0.57263730000000002</v>
      </c>
      <c r="N4304">
        <v>0</v>
      </c>
      <c r="O4304">
        <v>-0.81966689999999998</v>
      </c>
      <c r="P4304">
        <v>-0.89616390000000001</v>
      </c>
      <c r="Q4304">
        <v>0.1585242</v>
      </c>
      <c r="R4304">
        <v>-0.41444019999999998</v>
      </c>
      <c r="S4304">
        <v>-3.0686650000000002</v>
      </c>
      <c r="T4304">
        <v>-0.43055490000000002</v>
      </c>
      <c r="U4304">
        <v>-0.78652949999999999</v>
      </c>
      <c r="V4304">
        <v>0.50090210000000002</v>
      </c>
      <c r="W4304">
        <v>0.16066549999999999</v>
      </c>
      <c r="X4304">
        <v>0.85046089999999996</v>
      </c>
      <c r="Y4304">
        <v>0.64109899999999997</v>
      </c>
      <c r="Z4304">
        <v>0.138849</v>
      </c>
      <c r="AA4304">
        <v>0.7547933</v>
      </c>
      <c r="AB4304">
        <v>24</v>
      </c>
      <c r="AC4304">
        <v>-7.7058999999999802</v>
      </c>
      <c r="AD4304">
        <v>-1.101655284729</v>
      </c>
      <c r="AE4304">
        <v>-1.8234999999999899</v>
      </c>
      <c r="AF4304">
        <v>5.1725680655266597</v>
      </c>
      <c r="AG4304">
        <v>-1.101655284729</v>
      </c>
      <c r="AH4304">
        <v>5.7958598043673897</v>
      </c>
      <c r="AI4304">
        <v>98.071469199898104</v>
      </c>
      <c r="AJ4304">
        <v>48.252391361410602</v>
      </c>
      <c r="AK4304">
        <v>7.8460879188777399</v>
      </c>
      <c r="AL4304">
        <v>80.754473955485906</v>
      </c>
      <c r="AM4304">
        <v>59.502883748917299</v>
      </c>
      <c r="AN4304">
        <v>1.00000002955173</v>
      </c>
    </row>
    <row r="4305" spans="1:40" x14ac:dyDescent="0.25">
      <c r="A4305" t="str">
        <f>"20190312164113340"</f>
        <v>20190312164113340</v>
      </c>
      <c r="B4305" t="str">
        <f>"1552380073330459"</f>
        <v>1552380073330459</v>
      </c>
      <c r="C4305" t="s">
        <v>40</v>
      </c>
      <c r="D4305">
        <v>5.5272079999999999</v>
      </c>
      <c r="E4305">
        <v>0.61165639999999999</v>
      </c>
      <c r="F4305" t="s">
        <v>50</v>
      </c>
      <c r="G4305">
        <v>-204.87039999999999</v>
      </c>
      <c r="H4305" s="1">
        <v>-9.1846690000000005E-6</v>
      </c>
      <c r="I4305">
        <v>145.4785</v>
      </c>
      <c r="J4305">
        <v>-197.17789999999999</v>
      </c>
      <c r="K4305">
        <v>1.1014269999999999</v>
      </c>
      <c r="L4305">
        <v>147.101</v>
      </c>
      <c r="M4305">
        <v>-0.58962639999999999</v>
      </c>
      <c r="N4305">
        <v>0</v>
      </c>
      <c r="O4305">
        <v>-0.80753129999999995</v>
      </c>
      <c r="P4305">
        <v>-0.90428189999999997</v>
      </c>
      <c r="Q4305">
        <v>0.16050039999999999</v>
      </c>
      <c r="R4305">
        <v>-0.3956192</v>
      </c>
      <c r="S4305">
        <v>-3.081223</v>
      </c>
      <c r="T4305">
        <v>-0.42875039999999998</v>
      </c>
      <c r="U4305">
        <v>-0.74002080000000003</v>
      </c>
      <c r="V4305">
        <v>0.50076449999999995</v>
      </c>
      <c r="W4305">
        <v>0.16242870000000001</v>
      </c>
      <c r="X4305">
        <v>0.85020689999999999</v>
      </c>
      <c r="Y4305">
        <v>0.63685729999999996</v>
      </c>
      <c r="Z4305">
        <v>0.13719629999999999</v>
      </c>
      <c r="AA4305">
        <v>0.75867649999999998</v>
      </c>
      <c r="AB4305">
        <v>24</v>
      </c>
      <c r="AC4305">
        <v>-7.6924999999999901</v>
      </c>
      <c r="AD4305">
        <v>-1.101436184669</v>
      </c>
      <c r="AE4305">
        <v>-1.6225000000000001</v>
      </c>
      <c r="AF4305">
        <v>5.1547028608496603</v>
      </c>
      <c r="AG4305">
        <v>-1.101436184669</v>
      </c>
      <c r="AH4305">
        <v>5.7340552305579697</v>
      </c>
      <c r="AI4305">
        <v>98.129736075189001</v>
      </c>
      <c r="AJ4305">
        <v>48.045634291399402</v>
      </c>
      <c r="AK4305">
        <v>7.7886784912229601</v>
      </c>
      <c r="AL4305">
        <v>80.652104852767906</v>
      </c>
      <c r="AM4305">
        <v>59.5022833348253</v>
      </c>
      <c r="AN4305">
        <v>0.999999969925774</v>
      </c>
    </row>
    <row r="4306" spans="1:40" x14ac:dyDescent="0.25">
      <c r="A4306" t="str">
        <f>"20190312164113361"</f>
        <v>20190312164113361</v>
      </c>
      <c r="B4306" t="str">
        <f>"1552380073349979"</f>
        <v>1552380073349979</v>
      </c>
      <c r="C4306" t="s">
        <v>40</v>
      </c>
      <c r="D4306">
        <v>5.7613409999999998</v>
      </c>
      <c r="E4306">
        <v>0.60851109999999997</v>
      </c>
      <c r="F4306" t="s">
        <v>50</v>
      </c>
      <c r="G4306">
        <v>-205.50960000000001</v>
      </c>
      <c r="H4306" s="1">
        <v>-8.9806419999999999E-6</v>
      </c>
      <c r="I4306">
        <v>145.75729999999999</v>
      </c>
      <c r="J4306">
        <v>-197.32650000000001</v>
      </c>
      <c r="K4306">
        <v>1.101272</v>
      </c>
      <c r="L4306">
        <v>146.92359999999999</v>
      </c>
      <c r="M4306">
        <v>-0.60072959999999997</v>
      </c>
      <c r="N4306">
        <v>0</v>
      </c>
      <c r="O4306">
        <v>-0.79930599999999996</v>
      </c>
      <c r="P4306">
        <v>-0.90968769999999999</v>
      </c>
      <c r="Q4306">
        <v>0.16156709999999999</v>
      </c>
      <c r="R4306">
        <v>-0.38257659999999999</v>
      </c>
      <c r="S4306">
        <v>-3.1683650000000001</v>
      </c>
      <c r="T4306">
        <v>-0.41885220000000001</v>
      </c>
      <c r="U4306">
        <v>-0.51097109999999901</v>
      </c>
      <c r="V4306">
        <v>0.50117239999999996</v>
      </c>
      <c r="W4306">
        <v>0.16330049999999999</v>
      </c>
      <c r="X4306">
        <v>0.84979950000000004</v>
      </c>
      <c r="Y4306">
        <v>0.6830212</v>
      </c>
      <c r="Z4306">
        <v>0.13464400000000001</v>
      </c>
      <c r="AA4306">
        <v>0.71788090000000004</v>
      </c>
      <c r="AB4306">
        <v>24</v>
      </c>
      <c r="AC4306">
        <v>-8.1830999999999907</v>
      </c>
      <c r="AD4306">
        <v>-1.1012809806420001</v>
      </c>
      <c r="AE4306">
        <v>-1.1662999999999999</v>
      </c>
      <c r="AF4306">
        <v>5.7389794383077497</v>
      </c>
      <c r="AG4306">
        <v>-1.1012809806420001</v>
      </c>
      <c r="AH4306">
        <v>5.7467336955061503</v>
      </c>
      <c r="AI4306">
        <v>97.722126130209404</v>
      </c>
      <c r="AJ4306">
        <v>45.038681633264801</v>
      </c>
      <c r="AK4306">
        <v>8.1959534502526701</v>
      </c>
      <c r="AL4306">
        <v>80.601478817499498</v>
      </c>
      <c r="AM4306">
        <v>59.4698642773009</v>
      </c>
      <c r="AN4306">
        <v>1.0000000090111301</v>
      </c>
    </row>
    <row r="4307" spans="1:40" x14ac:dyDescent="0.25">
      <c r="A4307" t="str">
        <f>"20190312164113383"</f>
        <v>20190312164113383</v>
      </c>
      <c r="B4307" t="str">
        <f>"1552380073380232"</f>
        <v>1552380073380232</v>
      </c>
      <c r="C4307" t="s">
        <v>40</v>
      </c>
      <c r="D4307">
        <v>5.7212870000000002</v>
      </c>
      <c r="E4307">
        <v>0.60568089999999997</v>
      </c>
      <c r="F4307" t="s">
        <v>50</v>
      </c>
      <c r="G4307">
        <v>-206.131</v>
      </c>
      <c r="H4307" s="1">
        <v>-8.6565909999999998E-6</v>
      </c>
      <c r="I4307">
        <v>145.5736</v>
      </c>
      <c r="J4307">
        <v>-197.47919999999999</v>
      </c>
      <c r="K4307">
        <v>1.1011169999999999</v>
      </c>
      <c r="L4307">
        <v>146.74680000000001</v>
      </c>
      <c r="M4307">
        <v>-0.6119964</v>
      </c>
      <c r="N4307">
        <v>0</v>
      </c>
      <c r="O4307">
        <v>-0.79071309999999995</v>
      </c>
      <c r="P4307">
        <v>-0.91465540000000001</v>
      </c>
      <c r="Q4307">
        <v>0.16185869999999999</v>
      </c>
      <c r="R4307">
        <v>-0.37041499999999999</v>
      </c>
      <c r="S4307">
        <v>-3.1640929999999998</v>
      </c>
      <c r="T4307">
        <v>-0.39577200000000001</v>
      </c>
      <c r="U4307">
        <v>-0.4851685</v>
      </c>
      <c r="V4307">
        <v>0.50047839999999999</v>
      </c>
      <c r="W4307">
        <v>0.1634256</v>
      </c>
      <c r="X4307">
        <v>0.85018439999999995</v>
      </c>
      <c r="Y4307">
        <v>0.67945759999999999</v>
      </c>
      <c r="Z4307">
        <v>0.12689810000000001</v>
      </c>
      <c r="AA4307">
        <v>0.72265769999999996</v>
      </c>
      <c r="AB4307">
        <v>24</v>
      </c>
      <c r="AC4307">
        <v>-8.6517999999999802</v>
      </c>
      <c r="AD4307">
        <v>-1.1011256565909999</v>
      </c>
      <c r="AE4307">
        <v>-1.1732</v>
      </c>
      <c r="AF4307">
        <v>6.0279341312282604</v>
      </c>
      <c r="AG4307">
        <v>-1.1011256565909999</v>
      </c>
      <c r="AH4307">
        <v>6.1258263424432897</v>
      </c>
      <c r="AI4307">
        <v>97.301130324299393</v>
      </c>
      <c r="AJ4307">
        <v>45.461477686420402</v>
      </c>
      <c r="AK4307">
        <v>8.6645378399428701</v>
      </c>
      <c r="AL4307">
        <v>80.594213758396293</v>
      </c>
      <c r="AM4307">
        <v>59.515937083350401</v>
      </c>
      <c r="AN4307">
        <v>1.0000000348026299</v>
      </c>
    </row>
    <row r="4308" spans="1:40" x14ac:dyDescent="0.25">
      <c r="A4308" t="str">
        <f>"20190312164113406"</f>
        <v>20190312164113406</v>
      </c>
      <c r="B4308" t="str">
        <f>"1552380073400728"</f>
        <v>1552380073400728</v>
      </c>
      <c r="C4308" t="s">
        <v>40</v>
      </c>
      <c r="D4308">
        <v>5.7964200000000003</v>
      </c>
      <c r="E4308">
        <v>0.60435090000000002</v>
      </c>
      <c r="F4308" t="s">
        <v>50</v>
      </c>
      <c r="G4308">
        <v>-206.25800000000001</v>
      </c>
      <c r="H4308" s="1">
        <v>-8.5713509999999999E-6</v>
      </c>
      <c r="I4308">
        <v>145.464</v>
      </c>
      <c r="J4308">
        <v>-197.6499</v>
      </c>
      <c r="K4308">
        <v>1.100948</v>
      </c>
      <c r="L4308">
        <v>146.5556</v>
      </c>
      <c r="M4308">
        <v>-0.62443780000000004</v>
      </c>
      <c r="N4308">
        <v>0</v>
      </c>
      <c r="O4308">
        <v>-0.78092629999999996</v>
      </c>
      <c r="P4308">
        <v>-0.91983400000000004</v>
      </c>
      <c r="Q4308">
        <v>0.16177169999999999</v>
      </c>
      <c r="R4308">
        <v>-0.35740110000000003</v>
      </c>
      <c r="S4308">
        <v>-3.1629640000000001</v>
      </c>
      <c r="T4308">
        <v>-0.39673439999999999</v>
      </c>
      <c r="U4308">
        <v>-0.462204</v>
      </c>
      <c r="V4308">
        <v>0.49914649999999999</v>
      </c>
      <c r="W4308">
        <v>0.16315089999999999</v>
      </c>
      <c r="X4308">
        <v>0.85101970000000005</v>
      </c>
      <c r="Y4308">
        <v>0.67302289999999998</v>
      </c>
      <c r="Z4308">
        <v>0.126392899999999</v>
      </c>
      <c r="AA4308">
        <v>0.72874209999999995</v>
      </c>
      <c r="AB4308">
        <v>24</v>
      </c>
      <c r="AC4308">
        <v>-8.6080999999999701</v>
      </c>
      <c r="AD4308">
        <v>-1.1009565713509999</v>
      </c>
      <c r="AE4308">
        <v>-1.0915999999999899</v>
      </c>
      <c r="AF4308">
        <v>5.9456363726807604</v>
      </c>
      <c r="AG4308">
        <v>-1.1009565713509999</v>
      </c>
      <c r="AH4308">
        <v>6.1297212514298698</v>
      </c>
      <c r="AI4308">
        <v>97.346294078518795</v>
      </c>
      <c r="AJ4308">
        <v>45.873387770646403</v>
      </c>
      <c r="AK4308">
        <v>8.6102369228945399</v>
      </c>
      <c r="AL4308">
        <v>80.610166575917603</v>
      </c>
      <c r="AM4308">
        <v>59.607202496780197</v>
      </c>
      <c r="AN4308">
        <v>0.99999998721057404</v>
      </c>
    </row>
    <row r="4309" spans="1:40" x14ac:dyDescent="0.25">
      <c r="A4309" t="str">
        <f>"20190312164113430"</f>
        <v>20190312164113430</v>
      </c>
      <c r="B4309" t="str">
        <f>"1552380073420267"</f>
        <v>1552380073420267</v>
      </c>
      <c r="C4309" t="s">
        <v>40</v>
      </c>
      <c r="D4309">
        <v>5.7197550000000001</v>
      </c>
      <c r="E4309">
        <v>0.60241499999999903</v>
      </c>
      <c r="F4309" t="s">
        <v>50</v>
      </c>
      <c r="G4309">
        <v>-206.48920000000001</v>
      </c>
      <c r="H4309" s="1">
        <v>-8.4451649999999993E-6</v>
      </c>
      <c r="I4309">
        <v>145.37440000000001</v>
      </c>
      <c r="J4309">
        <v>-197.81739999999999</v>
      </c>
      <c r="K4309">
        <v>1.10076</v>
      </c>
      <c r="L4309">
        <v>146.37389999999999</v>
      </c>
      <c r="M4309">
        <v>-0.63650450000000003</v>
      </c>
      <c r="N4309">
        <v>0</v>
      </c>
      <c r="O4309">
        <v>-0.77112449999999999</v>
      </c>
      <c r="P4309">
        <v>-0.92455220000000005</v>
      </c>
      <c r="Q4309">
        <v>0.16194159999999999</v>
      </c>
      <c r="R4309">
        <v>-0.34493200000000002</v>
      </c>
      <c r="S4309">
        <v>-3.1664279999999998</v>
      </c>
      <c r="T4309">
        <v>-0.39438689999999998</v>
      </c>
      <c r="U4309">
        <v>-0.42311100000000001</v>
      </c>
      <c r="V4309">
        <v>0.49745479999999997</v>
      </c>
      <c r="W4309">
        <v>0.16311800000000001</v>
      </c>
      <c r="X4309">
        <v>0.852016</v>
      </c>
      <c r="Y4309">
        <v>0.67071530000000001</v>
      </c>
      <c r="Z4309">
        <v>0.1249668</v>
      </c>
      <c r="AA4309">
        <v>0.73111159999999997</v>
      </c>
      <c r="AB4309">
        <v>24</v>
      </c>
      <c r="AC4309">
        <v>-8.6718000000000099</v>
      </c>
      <c r="AD4309">
        <v>-1.1007684451649999</v>
      </c>
      <c r="AE4309">
        <v>-0.99949999999998296</v>
      </c>
      <c r="AF4309">
        <v>5.9568209709789999</v>
      </c>
      <c r="AG4309">
        <v>-1.1007684451649999</v>
      </c>
      <c r="AH4309">
        <v>6.1926261838856904</v>
      </c>
      <c r="AI4309">
        <v>97.300224862975696</v>
      </c>
      <c r="AJ4309">
        <v>46.111898115085701</v>
      </c>
      <c r="AK4309">
        <v>8.6627955247433199</v>
      </c>
      <c r="AL4309">
        <v>80.612077438012093</v>
      </c>
      <c r="AM4309">
        <v>59.721217009070799</v>
      </c>
      <c r="AN4309">
        <v>1.00000001211151</v>
      </c>
    </row>
    <row r="4310" spans="1:40" x14ac:dyDescent="0.25">
      <c r="A4310" t="str">
        <f>"20190312164113451"</f>
        <v>20190312164113451</v>
      </c>
      <c r="B4310" t="str">
        <f>"1552380073440748"</f>
        <v>1552380073440748</v>
      </c>
      <c r="C4310" t="s">
        <v>40</v>
      </c>
      <c r="D4310">
        <v>5.7890110000000004</v>
      </c>
      <c r="E4310">
        <v>0.60067530000000002</v>
      </c>
      <c r="F4310" t="s">
        <v>50</v>
      </c>
      <c r="G4310">
        <v>-206.82570000000001</v>
      </c>
      <c r="H4310" s="1">
        <v>-8.2665729999999992E-6</v>
      </c>
      <c r="I4310">
        <v>145.26320000000001</v>
      </c>
      <c r="J4310">
        <v>-197.97620000000001</v>
      </c>
      <c r="K4310">
        <v>1.1005739999999999</v>
      </c>
      <c r="L4310">
        <v>146.2071</v>
      </c>
      <c r="M4310">
        <v>-0.64781369999999905</v>
      </c>
      <c r="N4310">
        <v>0</v>
      </c>
      <c r="O4310">
        <v>-0.76165090000000002</v>
      </c>
      <c r="P4310">
        <v>-0.92877399999999999</v>
      </c>
      <c r="Q4310">
        <v>0.1622635</v>
      </c>
      <c r="R4310">
        <v>-0.33324140000000002</v>
      </c>
      <c r="S4310">
        <v>-3.1669309999999999</v>
      </c>
      <c r="T4310">
        <v>-0.3869804</v>
      </c>
      <c r="U4310">
        <v>-0.3904724</v>
      </c>
      <c r="V4310">
        <v>0.49564740000000002</v>
      </c>
      <c r="W4310">
        <v>0.163223799999999</v>
      </c>
      <c r="X4310">
        <v>0.85304840000000004</v>
      </c>
      <c r="Y4310">
        <v>0.66767480000000001</v>
      </c>
      <c r="Z4310">
        <v>0.1219831</v>
      </c>
      <c r="AA4310">
        <v>0.73439129999999997</v>
      </c>
      <c r="AB4310">
        <v>23</v>
      </c>
      <c r="AC4310">
        <v>-8.8495000000000008</v>
      </c>
      <c r="AD4310">
        <v>-1.1005822665729901</v>
      </c>
      <c r="AE4310">
        <v>-0.94389999999998497</v>
      </c>
      <c r="AF4310">
        <v>6.0371227296132597</v>
      </c>
      <c r="AG4310">
        <v>-1.1005822665729901</v>
      </c>
      <c r="AH4310">
        <v>6.3552847839072202</v>
      </c>
      <c r="AI4310">
        <v>97.156401184101597</v>
      </c>
      <c r="AJ4310">
        <v>46.470685915933501</v>
      </c>
      <c r="AK4310">
        <v>8.8344652844680205</v>
      </c>
      <c r="AL4310">
        <v>80.605932736449503</v>
      </c>
      <c r="AM4310">
        <v>59.842092611565398</v>
      </c>
      <c r="AN4310">
        <v>0.999999963377879</v>
      </c>
    </row>
    <row r="4311" spans="1:40" x14ac:dyDescent="0.25">
      <c r="A4311" t="str">
        <f>"20190312164113474"</f>
        <v>20190312164113474</v>
      </c>
      <c r="B4311" t="str">
        <f>"1552380073470028"</f>
        <v>1552380073470028</v>
      </c>
      <c r="C4311" t="s">
        <v>40</v>
      </c>
      <c r="D4311">
        <v>5.9153149999999997</v>
      </c>
      <c r="E4311">
        <v>0.59760990000000003</v>
      </c>
      <c r="F4311" t="s">
        <v>50</v>
      </c>
      <c r="G4311">
        <v>-207.06809999999999</v>
      </c>
      <c r="H4311" s="1">
        <v>-8.1348969999999906E-6</v>
      </c>
      <c r="I4311">
        <v>145.17160000000001</v>
      </c>
      <c r="J4311">
        <v>-198.1533</v>
      </c>
      <c r="K4311">
        <v>1.100365</v>
      </c>
      <c r="L4311">
        <v>146.02699999999999</v>
      </c>
      <c r="M4311">
        <v>-0.66027209999999903</v>
      </c>
      <c r="N4311">
        <v>0</v>
      </c>
      <c r="O4311">
        <v>-0.75087950000000003</v>
      </c>
      <c r="P4311">
        <v>-0.93331920000000002</v>
      </c>
      <c r="Q4311">
        <v>0.16224749999999999</v>
      </c>
      <c r="R4311">
        <v>-0.32029879999999999</v>
      </c>
      <c r="S4311">
        <v>-3.1675870000000002</v>
      </c>
      <c r="T4311">
        <v>-0.38343680000000002</v>
      </c>
      <c r="U4311">
        <v>-0.36077880000000001</v>
      </c>
      <c r="V4311">
        <v>0.49351279999999997</v>
      </c>
      <c r="W4311">
        <v>0.162944899999999</v>
      </c>
      <c r="X4311">
        <v>0.85433840000000005</v>
      </c>
      <c r="Y4311">
        <v>0.66253240000000002</v>
      </c>
      <c r="Z4311">
        <v>0.1199564</v>
      </c>
      <c r="AA4311">
        <v>0.73936550000000001</v>
      </c>
      <c r="AB4311">
        <v>23</v>
      </c>
      <c r="AC4311">
        <v>-8.9147999999999801</v>
      </c>
      <c r="AD4311">
        <v>-1.1003731348970001</v>
      </c>
      <c r="AE4311">
        <v>-0.85540000000000205</v>
      </c>
      <c r="AF4311">
        <v>6.0386577199797697</v>
      </c>
      <c r="AG4311">
        <v>-1.1003731348970001</v>
      </c>
      <c r="AH4311">
        <v>6.4321142116585701</v>
      </c>
      <c r="AI4311">
        <v>97.1093735940904</v>
      </c>
      <c r="AJ4311">
        <v>46.807099105577301</v>
      </c>
      <c r="AK4311">
        <v>8.8909111640424392</v>
      </c>
      <c r="AL4311">
        <v>80.622129837565396</v>
      </c>
      <c r="AM4311">
        <v>59.986909322316897</v>
      </c>
      <c r="AN4311">
        <v>1.0000000129572</v>
      </c>
    </row>
    <row r="4312" spans="1:40" x14ac:dyDescent="0.25">
      <c r="A4312" t="str">
        <f>"20190312164113497"</f>
        <v>20190312164113497</v>
      </c>
      <c r="B4312" t="str">
        <f>"1552380073490526"</f>
        <v>1552380073490526</v>
      </c>
      <c r="C4312" t="s">
        <v>40</v>
      </c>
      <c r="D4312">
        <v>5.997579</v>
      </c>
      <c r="E4312">
        <v>0.59600059999999999</v>
      </c>
      <c r="F4312" t="s">
        <v>50</v>
      </c>
      <c r="G4312">
        <v>-207.71510000000001</v>
      </c>
      <c r="H4312" s="1">
        <v>-7.8064709999999995E-6</v>
      </c>
      <c r="I4312">
        <v>145.01429999999999</v>
      </c>
      <c r="J4312">
        <v>-198.3314</v>
      </c>
      <c r="K4312">
        <v>1.1001529999999999</v>
      </c>
      <c r="L4312">
        <v>145.85210000000001</v>
      </c>
      <c r="M4312">
        <v>-0.67262069999999996</v>
      </c>
      <c r="N4312">
        <v>0</v>
      </c>
      <c r="O4312">
        <v>-0.73984179999999999</v>
      </c>
      <c r="P4312">
        <v>-0.93746119999999999</v>
      </c>
      <c r="Q4312">
        <v>0.1629235</v>
      </c>
      <c r="R4312">
        <v>-0.30760759999999998</v>
      </c>
      <c r="S4312">
        <v>-3.162674</v>
      </c>
      <c r="T4312">
        <v>-0.36396240000000002</v>
      </c>
      <c r="U4312">
        <v>-0.33496090000000001</v>
      </c>
      <c r="V4312">
        <v>0.49093740000000002</v>
      </c>
      <c r="W4312">
        <v>0.16334660000000001</v>
      </c>
      <c r="X4312">
        <v>0.85574430000000001</v>
      </c>
      <c r="Y4312">
        <v>0.65695150000000002</v>
      </c>
      <c r="Z4312">
        <v>0.1131335</v>
      </c>
      <c r="AA4312">
        <v>0.74539630000000001</v>
      </c>
      <c r="AB4312">
        <v>24</v>
      </c>
      <c r="AC4312">
        <v>-9.3836999999999993</v>
      </c>
      <c r="AD4312">
        <v>-1.100160806471</v>
      </c>
      <c r="AE4312">
        <v>-0.83780000000001498</v>
      </c>
      <c r="AF4312">
        <v>6.2937914765482903</v>
      </c>
      <c r="AG4312">
        <v>-1.100160806471</v>
      </c>
      <c r="AH4312">
        <v>6.8389945895085402</v>
      </c>
      <c r="AI4312">
        <v>96.750669745915303</v>
      </c>
      <c r="AJ4312">
        <v>47.377249574918601</v>
      </c>
      <c r="AK4312">
        <v>9.3591672677484503</v>
      </c>
      <c r="AL4312">
        <v>80.598801207677397</v>
      </c>
      <c r="AM4312">
        <v>60.1572631042187</v>
      </c>
      <c r="AN4312">
        <v>0.99999997471640401</v>
      </c>
    </row>
    <row r="4313" spans="1:40" x14ac:dyDescent="0.25">
      <c r="A4313" t="str">
        <f>"20190312164113518"</f>
        <v>20190312164113518</v>
      </c>
      <c r="B4313" t="str">
        <f>"1552380073511020"</f>
        <v>1552380073511020</v>
      </c>
      <c r="C4313" t="s">
        <v>40</v>
      </c>
      <c r="D4313">
        <v>5.7675539999999996</v>
      </c>
      <c r="E4313">
        <v>0.59442030000000001</v>
      </c>
      <c r="F4313" t="s">
        <v>50</v>
      </c>
      <c r="G4313">
        <v>-207.96940000000001</v>
      </c>
      <c r="H4313" s="1">
        <v>-7.6722000000000008E-6</v>
      </c>
      <c r="I4313">
        <v>144.93289999999999</v>
      </c>
      <c r="J4313">
        <v>-198.49959999999999</v>
      </c>
      <c r="K4313">
        <v>1.099955</v>
      </c>
      <c r="L4313">
        <v>145.6926</v>
      </c>
      <c r="M4313">
        <v>-0.68411180000000005</v>
      </c>
      <c r="N4313">
        <v>0</v>
      </c>
      <c r="O4313">
        <v>-0.72923329999999997</v>
      </c>
      <c r="P4313">
        <v>-0.94121750000000004</v>
      </c>
      <c r="Q4313">
        <v>0.16332049999999901</v>
      </c>
      <c r="R4313">
        <v>-0.29569620000000002</v>
      </c>
      <c r="S4313">
        <v>-3.1638790000000001</v>
      </c>
      <c r="T4313">
        <v>-0.36115170000000002</v>
      </c>
      <c r="U4313">
        <v>-0.30172729999999998</v>
      </c>
      <c r="V4313">
        <v>0.48841639999999997</v>
      </c>
      <c r="W4313">
        <v>0.16347130000000001</v>
      </c>
      <c r="X4313">
        <v>0.85716190000000003</v>
      </c>
      <c r="Y4313">
        <v>0.65319139999999998</v>
      </c>
      <c r="Z4313">
        <v>0.11141189999999999</v>
      </c>
      <c r="AA4313">
        <v>0.74895159999999905</v>
      </c>
      <c r="AB4313">
        <v>24</v>
      </c>
      <c r="AC4313">
        <v>-9.46980000000001</v>
      </c>
      <c r="AD4313">
        <v>-1.0999626722</v>
      </c>
      <c r="AE4313">
        <v>-0.75970000000000903</v>
      </c>
      <c r="AF4313">
        <v>6.3021592841304601</v>
      </c>
      <c r="AG4313">
        <v>-1.0999626722</v>
      </c>
      <c r="AH4313">
        <v>6.9401017693099298</v>
      </c>
      <c r="AI4313">
        <v>96.692198312834805</v>
      </c>
      <c r="AJ4313">
        <v>47.758076954844199</v>
      </c>
      <c r="AK4313">
        <v>9.4388633897924397</v>
      </c>
      <c r="AL4313">
        <v>80.591559168740204</v>
      </c>
      <c r="AM4313">
        <v>60.325229613771299</v>
      </c>
      <c r="AN4313">
        <v>0.99999998426212999</v>
      </c>
    </row>
    <row r="4314" spans="1:40" x14ac:dyDescent="0.25">
      <c r="A4314" t="str">
        <f>"20190312164113541"</f>
        <v>20190312164113541</v>
      </c>
      <c r="B4314" t="str">
        <f>"1552380073530544"</f>
        <v>1552380073530544</v>
      </c>
      <c r="C4314" t="s">
        <v>40</v>
      </c>
      <c r="D4314">
        <v>5.8350070000000001</v>
      </c>
      <c r="E4314">
        <v>0.59261509999999995</v>
      </c>
      <c r="F4314" t="s">
        <v>50</v>
      </c>
      <c r="G4314">
        <v>-208.5171</v>
      </c>
      <c r="H4314" s="1">
        <v>-7.4046999999999996E-6</v>
      </c>
      <c r="I4314">
        <v>144.83959999999999</v>
      </c>
      <c r="J4314">
        <v>-198.6739</v>
      </c>
      <c r="K4314">
        <v>1.099761</v>
      </c>
      <c r="L4314">
        <v>145.53290000000001</v>
      </c>
      <c r="M4314">
        <v>-0.69585010000000003</v>
      </c>
      <c r="N4314">
        <v>0</v>
      </c>
      <c r="O4314">
        <v>-0.71804480000000004</v>
      </c>
      <c r="P4314">
        <v>-0.94489080000000003</v>
      </c>
      <c r="Q4314">
        <v>0.1643519</v>
      </c>
      <c r="R4314">
        <v>-0.28314230000000001</v>
      </c>
      <c r="S4314">
        <v>-3.1630099999999999</v>
      </c>
      <c r="T4314">
        <v>-0.34731099999999998</v>
      </c>
      <c r="U4314">
        <v>-0.26934809999999998</v>
      </c>
      <c r="V4314">
        <v>0.48587649999999999</v>
      </c>
      <c r="W4314">
        <v>0.16421450000000001</v>
      </c>
      <c r="X4314">
        <v>0.85846239999999996</v>
      </c>
      <c r="Y4314">
        <v>0.64920840000000002</v>
      </c>
      <c r="Z4314">
        <v>0.1063284</v>
      </c>
      <c r="AA4314">
        <v>0.75314199999999998</v>
      </c>
      <c r="AB4314">
        <v>24</v>
      </c>
      <c r="AC4314">
        <v>-9.8431999999999906</v>
      </c>
      <c r="AD4314">
        <v>-1.0997684047</v>
      </c>
      <c r="AE4314">
        <v>-0.69330000000002101</v>
      </c>
      <c r="AF4314">
        <v>6.5052918060750802</v>
      </c>
      <c r="AG4314">
        <v>-1.0997684047</v>
      </c>
      <c r="AH4314">
        <v>7.2578085698438501</v>
      </c>
      <c r="AI4314">
        <v>96.437856798173698</v>
      </c>
      <c r="AJ4314">
        <v>48.129610701905698</v>
      </c>
      <c r="AK4314">
        <v>9.8083687360673206</v>
      </c>
      <c r="AL4314">
        <v>80.548394095530099</v>
      </c>
      <c r="AM4314">
        <v>60.490807110874002</v>
      </c>
      <c r="AN4314">
        <v>1.0000000337381201</v>
      </c>
    </row>
    <row r="4315" spans="1:40" x14ac:dyDescent="0.25">
      <c r="A4315" t="str">
        <f>"20190312164113562"</f>
        <v>20190312164113562</v>
      </c>
      <c r="B4315" t="str">
        <f>"1552380073550060"</f>
        <v>1552380073550060</v>
      </c>
      <c r="C4315" t="s">
        <v>40</v>
      </c>
      <c r="D4315">
        <v>5.801024</v>
      </c>
      <c r="E4315">
        <v>0.59105659999999904</v>
      </c>
      <c r="F4315" t="s">
        <v>50</v>
      </c>
      <c r="G4315">
        <v>-209.05799999999999</v>
      </c>
      <c r="H4315" s="1">
        <v>-7.1414620000000004E-6</v>
      </c>
      <c r="I4315">
        <v>144.75110000000001</v>
      </c>
      <c r="J4315">
        <v>-198.85550000000001</v>
      </c>
      <c r="K4315">
        <v>1.099575</v>
      </c>
      <c r="L4315">
        <v>145.3723</v>
      </c>
      <c r="M4315">
        <v>-0.70783869999999904</v>
      </c>
      <c r="N4315">
        <v>0</v>
      </c>
      <c r="O4315">
        <v>-0.70623359999999902</v>
      </c>
      <c r="P4315">
        <v>-0.94826350000000004</v>
      </c>
      <c r="Q4315">
        <v>0.16587839999999901</v>
      </c>
      <c r="R4315">
        <v>-0.27070440000000001</v>
      </c>
      <c r="S4315">
        <v>-3.161896</v>
      </c>
      <c r="T4315">
        <v>-0.3348738</v>
      </c>
      <c r="U4315">
        <v>-0.2380524</v>
      </c>
      <c r="V4315">
        <v>0.48260690000000001</v>
      </c>
      <c r="W4315">
        <v>0.1654862</v>
      </c>
      <c r="X4315">
        <v>0.86006099999999996</v>
      </c>
      <c r="Y4315">
        <v>0.64441949999999903</v>
      </c>
      <c r="Z4315">
        <v>0.1016179</v>
      </c>
      <c r="AA4315">
        <v>0.75788999999999995</v>
      </c>
      <c r="AB4315">
        <v>24</v>
      </c>
      <c r="AC4315">
        <v>-10.202499999999899</v>
      </c>
      <c r="AD4315">
        <v>-1.099582141462</v>
      </c>
      <c r="AE4315">
        <v>-0.62119999999998698</v>
      </c>
      <c r="AF4315">
        <v>6.6889016914285797</v>
      </c>
      <c r="AG4315">
        <v>-1.099582141462</v>
      </c>
      <c r="AH4315">
        <v>7.5735504642560603</v>
      </c>
      <c r="AI4315">
        <v>96.210573373100004</v>
      </c>
      <c r="AJ4315">
        <v>48.549304725729399</v>
      </c>
      <c r="AK4315">
        <v>10.164111046129401</v>
      </c>
      <c r="AL4315">
        <v>80.474520153667598</v>
      </c>
      <c r="AM4315">
        <v>60.701865644305798</v>
      </c>
      <c r="AN4315">
        <v>1.0000000130195199</v>
      </c>
    </row>
    <row r="4316" spans="1:40" x14ac:dyDescent="0.25">
      <c r="A4316" t="str">
        <f>"20190312164113585"</f>
        <v>20190312164113585</v>
      </c>
      <c r="B4316" t="str">
        <f>"1552380073580317"</f>
        <v>1552380073580317</v>
      </c>
      <c r="C4316" t="s">
        <v>40</v>
      </c>
      <c r="D4316">
        <v>5.6083369999999997</v>
      </c>
      <c r="E4316">
        <v>0.58895810000000004</v>
      </c>
      <c r="F4316" t="s">
        <v>50</v>
      </c>
      <c r="G4316">
        <v>-209.72569999999999</v>
      </c>
      <c r="H4316" s="1">
        <v>-6.8237800000000001E-6</v>
      </c>
      <c r="I4316">
        <v>144.6694</v>
      </c>
      <c r="J4316">
        <v>-199.03890000000001</v>
      </c>
      <c r="K4316">
        <v>1.099399</v>
      </c>
      <c r="L4316">
        <v>145.2157</v>
      </c>
      <c r="M4316">
        <v>-0.71971569999999996</v>
      </c>
      <c r="N4316">
        <v>0</v>
      </c>
      <c r="O4316">
        <v>-0.69413009999999997</v>
      </c>
      <c r="P4316">
        <v>-0.95133540000000005</v>
      </c>
      <c r="Q4316">
        <v>0.16741210000000001</v>
      </c>
      <c r="R4316">
        <v>-0.25871709999999998</v>
      </c>
      <c r="S4316">
        <v>-3.1612399999999998</v>
      </c>
      <c r="T4316">
        <v>-0.31977549999999999</v>
      </c>
      <c r="U4316">
        <v>-0.20443729999999999</v>
      </c>
      <c r="V4316">
        <v>0.4787709</v>
      </c>
      <c r="W4316">
        <v>0.1668047</v>
      </c>
      <c r="X4316">
        <v>0.86194809999999999</v>
      </c>
      <c r="Y4316">
        <v>0.6401656</v>
      </c>
      <c r="Z4316">
        <v>9.6144499999999994E-2</v>
      </c>
      <c r="AA4316">
        <v>0.76219700000000001</v>
      </c>
      <c r="AB4316">
        <v>24</v>
      </c>
      <c r="AC4316">
        <v>-10.6867999999999</v>
      </c>
      <c r="AD4316">
        <v>-1.09940582378</v>
      </c>
      <c r="AE4316">
        <v>-0.54630000000000201</v>
      </c>
      <c r="AF4316">
        <v>6.9521411022054096</v>
      </c>
      <c r="AG4316">
        <v>-1.09940582378</v>
      </c>
      <c r="AH4316">
        <v>7.9871290110469504</v>
      </c>
      <c r="AI4316">
        <v>95.927523126670707</v>
      </c>
      <c r="AJ4316">
        <v>48.963101047849499</v>
      </c>
      <c r="AK4316">
        <v>10.645900098603301</v>
      </c>
      <c r="AL4316">
        <v>80.397910327115596</v>
      </c>
      <c r="AM4316">
        <v>60.949924753145098</v>
      </c>
      <c r="AN4316">
        <v>0.99999995486125304</v>
      </c>
    </row>
    <row r="4317" spans="1:40" x14ac:dyDescent="0.25">
      <c r="A4317" t="str">
        <f>"20190312164113607"</f>
        <v>20190312164113607</v>
      </c>
      <c r="B4317" t="str">
        <f>"1552380073600813"</f>
        <v>1552380073600813</v>
      </c>
      <c r="C4317" t="s">
        <v>40</v>
      </c>
      <c r="D4317">
        <v>5.8546559999999896</v>
      </c>
      <c r="E4317">
        <v>0.58771459999999998</v>
      </c>
      <c r="F4317" t="s">
        <v>41</v>
      </c>
      <c r="G4317">
        <v>-210.55279999999999</v>
      </c>
      <c r="H4317" s="1">
        <v>-5.3789969999999998E-6</v>
      </c>
      <c r="I4317">
        <v>144.57730000000001</v>
      </c>
      <c r="J4317">
        <v>-199.23349999999999</v>
      </c>
      <c r="K4317">
        <v>1.0992170000000001</v>
      </c>
      <c r="L4317">
        <v>145.05539999999999</v>
      </c>
      <c r="M4317">
        <v>-0.73206009999999999</v>
      </c>
      <c r="N4317">
        <v>0</v>
      </c>
      <c r="O4317">
        <v>-0.68110230000000005</v>
      </c>
      <c r="P4317">
        <v>-0.95456090000000005</v>
      </c>
      <c r="Q4317">
        <v>0.16859199999999999</v>
      </c>
      <c r="R4317">
        <v>-0.24574389999999999</v>
      </c>
      <c r="S4317">
        <v>-3.1589049999999999</v>
      </c>
      <c r="T4317">
        <v>-0.30162679999999997</v>
      </c>
      <c r="U4317">
        <v>-0.1751404</v>
      </c>
      <c r="V4317">
        <v>0.47496830000000001</v>
      </c>
      <c r="W4317">
        <v>0.167762299999999</v>
      </c>
      <c r="X4317">
        <v>0.86386390000000002</v>
      </c>
      <c r="Y4317">
        <v>0.63416049999999902</v>
      </c>
      <c r="Z4317">
        <v>8.9710440000000002E-2</v>
      </c>
      <c r="AA4317">
        <v>0.76797950000000004</v>
      </c>
      <c r="AB4317">
        <v>24</v>
      </c>
      <c r="AC4317">
        <v>-11.319299999999901</v>
      </c>
      <c r="AD4317">
        <v>-1.0992223789969999</v>
      </c>
      <c r="AE4317">
        <v>-0.47809999999998298</v>
      </c>
      <c r="AF4317">
        <v>7.2916529615567196</v>
      </c>
      <c r="AG4317">
        <v>-1.0992223789969999</v>
      </c>
      <c r="AH4317">
        <v>8.5325289003967502</v>
      </c>
      <c r="AI4317">
        <v>95.593555370973903</v>
      </c>
      <c r="AJ4317">
        <v>49.483755420195699</v>
      </c>
      <c r="AK4317">
        <v>11.277435088989501</v>
      </c>
      <c r="AL4317">
        <v>80.342259717729505</v>
      </c>
      <c r="AM4317">
        <v>61.197193622340997</v>
      </c>
      <c r="AN4317">
        <v>0.99999995651469398</v>
      </c>
    </row>
    <row r="4318" spans="1:40" x14ac:dyDescent="0.25">
      <c r="A4318" t="str">
        <f>"20190312164113630"</f>
        <v>20190312164113630</v>
      </c>
      <c r="B4318" t="str">
        <f>"1552380073620839"</f>
        <v>1552380073620839</v>
      </c>
      <c r="C4318" t="s">
        <v>40</v>
      </c>
      <c r="D4318">
        <v>6.1110049999999996</v>
      </c>
      <c r="E4318">
        <v>0.58686669999999996</v>
      </c>
      <c r="F4318" t="s">
        <v>41</v>
      </c>
      <c r="G4318">
        <v>-211.21549999999999</v>
      </c>
      <c r="H4318" s="1">
        <v>-5.1166240000000001E-6</v>
      </c>
      <c r="I4318">
        <v>144.53270000000001</v>
      </c>
      <c r="J4318">
        <v>-199.42750000000001</v>
      </c>
      <c r="K4318">
        <v>1.099029</v>
      </c>
      <c r="L4318">
        <v>144.9014</v>
      </c>
      <c r="M4318">
        <v>-0.74410330000000002</v>
      </c>
      <c r="N4318">
        <v>0</v>
      </c>
      <c r="O4318">
        <v>-0.66792819999999997</v>
      </c>
      <c r="P4318">
        <v>-0.95772299999999999</v>
      </c>
      <c r="Q4318">
        <v>0.1692505</v>
      </c>
      <c r="R4318">
        <v>-0.2326396</v>
      </c>
      <c r="S4318">
        <v>-3.1585079999999999</v>
      </c>
      <c r="T4318">
        <v>-0.28976049999999998</v>
      </c>
      <c r="U4318">
        <v>-0.13777159999999999</v>
      </c>
      <c r="V4318">
        <v>0.47137440000000003</v>
      </c>
      <c r="W4318">
        <v>0.16819799999999999</v>
      </c>
      <c r="X4318">
        <v>0.86574569999999995</v>
      </c>
      <c r="Y4318">
        <v>0.62993480000000002</v>
      </c>
      <c r="Z4318">
        <v>8.5238670000000002E-2</v>
      </c>
      <c r="AA4318">
        <v>0.77195630000000004</v>
      </c>
      <c r="AB4318">
        <v>24</v>
      </c>
      <c r="AC4318">
        <v>-11.787999999999901</v>
      </c>
      <c r="AD4318">
        <v>-1.0990341166240001</v>
      </c>
      <c r="AE4318">
        <v>-0.36869999999998898</v>
      </c>
      <c r="AF4318">
        <v>7.5344503017630098</v>
      </c>
      <c r="AG4318">
        <v>-1.0990341166240001</v>
      </c>
      <c r="AH4318">
        <v>8.9409338069218993</v>
      </c>
      <c r="AI4318">
        <v>95.369851477797496</v>
      </c>
      <c r="AJ4318">
        <v>49.879440457138102</v>
      </c>
      <c r="AK4318">
        <v>11.743769185359399</v>
      </c>
      <c r="AL4318">
        <v>80.316936576640899</v>
      </c>
      <c r="AM4318">
        <v>61.432939917930398</v>
      </c>
      <c r="AN4318">
        <v>1.0000000046239199</v>
      </c>
    </row>
    <row r="4319" spans="1:40" x14ac:dyDescent="0.25">
      <c r="A4319" t="str">
        <f>"20190312164113652"</f>
        <v>20190312164113652</v>
      </c>
      <c r="B4319" t="str">
        <f>"1552380073640359"</f>
        <v>1552380073640359</v>
      </c>
      <c r="C4319" t="s">
        <v>40</v>
      </c>
      <c r="D4319">
        <v>5.9787030000000003</v>
      </c>
      <c r="E4319">
        <v>0.58573030000000004</v>
      </c>
      <c r="F4319" t="s">
        <v>41</v>
      </c>
      <c r="G4319">
        <v>-211.63759999999999</v>
      </c>
      <c r="H4319" s="1">
        <v>-4.9519199999999997E-6</v>
      </c>
      <c r="I4319">
        <v>144.51820000000001</v>
      </c>
      <c r="J4319">
        <v>-199.61250000000001</v>
      </c>
      <c r="K4319">
        <v>1.0988420000000001</v>
      </c>
      <c r="L4319">
        <v>144.76</v>
      </c>
      <c r="M4319">
        <v>-0.75533289999999997</v>
      </c>
      <c r="N4319">
        <v>0</v>
      </c>
      <c r="O4319">
        <v>-0.65520590000000001</v>
      </c>
      <c r="P4319">
        <v>-0.96066030000000002</v>
      </c>
      <c r="Q4319">
        <v>0.16786980000000001</v>
      </c>
      <c r="R4319">
        <v>-0.22125010000000001</v>
      </c>
      <c r="S4319">
        <v>-3.1586150000000002</v>
      </c>
      <c r="T4319">
        <v>-0.28430689999999997</v>
      </c>
      <c r="U4319">
        <v>-9.9136349999999998E-2</v>
      </c>
      <c r="V4319">
        <v>0.46712690000000001</v>
      </c>
      <c r="W4319">
        <v>0.16663499999999901</v>
      </c>
      <c r="X4319">
        <v>0.86834630000000002</v>
      </c>
      <c r="Y4319">
        <v>0.62646299999999999</v>
      </c>
      <c r="Z4319">
        <v>8.2723080000000004E-2</v>
      </c>
      <c r="AA4319">
        <v>0.77504910000000005</v>
      </c>
      <c r="AB4319">
        <v>24</v>
      </c>
      <c r="AC4319">
        <v>-12.025099999999901</v>
      </c>
      <c r="AD4319">
        <v>-1.0988469519199999</v>
      </c>
      <c r="AE4319">
        <v>-0.241799999999983</v>
      </c>
      <c r="AF4319">
        <v>7.6332464779613698</v>
      </c>
      <c r="AG4319">
        <v>-1.0988469519199999</v>
      </c>
      <c r="AH4319">
        <v>9.1656979379361392</v>
      </c>
      <c r="AI4319">
        <v>95.263434356675404</v>
      </c>
      <c r="AJ4319">
        <v>50.212271223191799</v>
      </c>
      <c r="AK4319">
        <v>11.9784779962456</v>
      </c>
      <c r="AL4319">
        <v>80.407772165118899</v>
      </c>
      <c r="AM4319">
        <v>61.721969873801598</v>
      </c>
      <c r="AN4319">
        <v>1.00000003032614</v>
      </c>
    </row>
    <row r="4320" spans="1:40" x14ac:dyDescent="0.25">
      <c r="A4320" t="str">
        <f>"20190312164113675"</f>
        <v>20190312164113675</v>
      </c>
      <c r="B4320" t="str">
        <f>"1552380073670615"</f>
        <v>1552380073670615</v>
      </c>
      <c r="C4320" t="s">
        <v>40</v>
      </c>
      <c r="D4320">
        <v>5.6688140000000002</v>
      </c>
      <c r="E4320">
        <v>0.58485640000000005</v>
      </c>
      <c r="F4320" t="s">
        <v>41</v>
      </c>
      <c r="G4320">
        <v>-211.9435</v>
      </c>
      <c r="H4320" s="1">
        <v>-4.831117E-6</v>
      </c>
      <c r="I4320">
        <v>144.49930000000001</v>
      </c>
      <c r="J4320">
        <v>-199.81909999999999</v>
      </c>
      <c r="K4320">
        <v>1.0986260000000001</v>
      </c>
      <c r="L4320">
        <v>144.6078</v>
      </c>
      <c r="M4320">
        <v>-0.76758590000000004</v>
      </c>
      <c r="N4320">
        <v>0</v>
      </c>
      <c r="O4320">
        <v>-0.64081219999999905</v>
      </c>
      <c r="P4320">
        <v>-0.96338809999999997</v>
      </c>
      <c r="Q4320">
        <v>0.16689189999999901</v>
      </c>
      <c r="R4320">
        <v>-0.20983479999999999</v>
      </c>
      <c r="S4320">
        <v>-3.156631</v>
      </c>
      <c r="T4320">
        <v>-0.28129419999999999</v>
      </c>
      <c r="U4320">
        <v>-6.6726679999999997E-2</v>
      </c>
      <c r="V4320">
        <v>0.46113920000000003</v>
      </c>
      <c r="W4320">
        <v>0.1654928</v>
      </c>
      <c r="X4320">
        <v>0.87175849999999899</v>
      </c>
      <c r="Y4320">
        <v>0.61985789999999996</v>
      </c>
      <c r="Z4320">
        <v>8.0704440000000002E-2</v>
      </c>
      <c r="AA4320">
        <v>0.78055299999999905</v>
      </c>
      <c r="AB4320">
        <v>24</v>
      </c>
      <c r="AC4320">
        <v>-12.1244</v>
      </c>
      <c r="AD4320">
        <v>-1.0986308311169899</v>
      </c>
      <c r="AE4320">
        <v>-0.10849999999999201</v>
      </c>
      <c r="AF4320">
        <v>7.6242441844350397</v>
      </c>
      <c r="AG4320">
        <v>-1.0986308311169899</v>
      </c>
      <c r="AH4320">
        <v>9.3004932773473605</v>
      </c>
      <c r="AI4320">
        <v>95.219681816839696</v>
      </c>
      <c r="AJ4320">
        <v>50.656206045954598</v>
      </c>
      <c r="AK4320">
        <v>12.076227237384799</v>
      </c>
      <c r="AL4320">
        <v>80.474137122693307</v>
      </c>
      <c r="AM4320">
        <v>62.1222404912915</v>
      </c>
      <c r="AN4320">
        <v>1.0000000554753601</v>
      </c>
    </row>
    <row r="4321" spans="1:40" x14ac:dyDescent="0.25">
      <c r="A4321" t="str">
        <f>"20190312164113700"</f>
        <v>20190312164113700</v>
      </c>
      <c r="B4321" t="str">
        <f>"1552380073690135"</f>
        <v>1552380073690135</v>
      </c>
      <c r="C4321" t="s">
        <v>40</v>
      </c>
      <c r="D4321">
        <v>6.1211520000000004</v>
      </c>
      <c r="E4321">
        <v>0.58427019999999996</v>
      </c>
      <c r="F4321" t="s">
        <v>41</v>
      </c>
      <c r="G4321">
        <v>-212.8691</v>
      </c>
      <c r="H4321" s="1">
        <v>-4.4734560000000001E-6</v>
      </c>
      <c r="I4321">
        <v>144.48670000000001</v>
      </c>
      <c r="J4321">
        <v>-200.03530000000001</v>
      </c>
      <c r="K4321">
        <v>1.0984240000000001</v>
      </c>
      <c r="L4321">
        <v>144.45519999999999</v>
      </c>
      <c r="M4321">
        <v>-0.78005519999999995</v>
      </c>
      <c r="N4321">
        <v>0</v>
      </c>
      <c r="O4321">
        <v>-0.62557759999999996</v>
      </c>
      <c r="P4321">
        <v>-0.96585739999999998</v>
      </c>
      <c r="Q4321">
        <v>0.16736219999999999</v>
      </c>
      <c r="R4321">
        <v>-0.19776089999999999</v>
      </c>
      <c r="S4321">
        <v>-3.1536409999999999</v>
      </c>
      <c r="T4321">
        <v>-0.26549420000000001</v>
      </c>
      <c r="U4321">
        <v>-2.9251099999999901E-2</v>
      </c>
      <c r="V4321">
        <v>0.45489109999999999</v>
      </c>
      <c r="W4321">
        <v>0.165800799999999</v>
      </c>
      <c r="X4321">
        <v>0.87497669999999905</v>
      </c>
      <c r="Y4321">
        <v>0.61426159999999996</v>
      </c>
      <c r="Z4321">
        <v>7.5096120000000002E-2</v>
      </c>
      <c r="AA4321">
        <v>0.78552100000000002</v>
      </c>
      <c r="AB4321">
        <v>24</v>
      </c>
      <c r="AC4321">
        <v>-12.833799999999901</v>
      </c>
      <c r="AD4321">
        <v>-1.0984284734559999</v>
      </c>
      <c r="AE4321">
        <v>3.1500000000022503E-2</v>
      </c>
      <c r="AF4321">
        <v>7.9952122511403196</v>
      </c>
      <c r="AG4321">
        <v>-1.0984284734559999</v>
      </c>
      <c r="AH4321">
        <v>9.9195344708474202</v>
      </c>
      <c r="AI4321">
        <v>94.9275951193097</v>
      </c>
      <c r="AJ4321">
        <v>51.130949463973899</v>
      </c>
      <c r="AK4321">
        <v>12.787772603953099</v>
      </c>
      <c r="AL4321">
        <v>80.456242492263399</v>
      </c>
      <c r="AM4321">
        <v>62.5305573207064</v>
      </c>
      <c r="AN4321">
        <v>1.0000000218413601</v>
      </c>
    </row>
    <row r="4322" spans="1:40" x14ac:dyDescent="0.25">
      <c r="A4322" t="str">
        <f>"20190312164113721"</f>
        <v>20190312164113721</v>
      </c>
      <c r="B4322" t="str">
        <f>"1552380073710633"</f>
        <v>1552380073710633</v>
      </c>
      <c r="C4322" t="s">
        <v>40</v>
      </c>
      <c r="D4322">
        <v>5.557061</v>
      </c>
      <c r="E4322">
        <v>0.5837175</v>
      </c>
      <c r="F4322" t="s">
        <v>41</v>
      </c>
      <c r="G4322">
        <v>-213.61410000000001</v>
      </c>
      <c r="H4322" s="1">
        <v>-4.1900079999999999E-6</v>
      </c>
      <c r="I4322">
        <v>144.5016</v>
      </c>
      <c r="J4322">
        <v>-200.23759999999999</v>
      </c>
      <c r="K4322">
        <v>1.0982400000000001</v>
      </c>
      <c r="L4322">
        <v>144.3184</v>
      </c>
      <c r="M4322">
        <v>-0.79139389999999998</v>
      </c>
      <c r="N4322">
        <v>0</v>
      </c>
      <c r="O4322">
        <v>-0.61117429999999995</v>
      </c>
      <c r="P4322">
        <v>-0.96752609999999994</v>
      </c>
      <c r="Q4322">
        <v>0.16833819999999999</v>
      </c>
      <c r="R4322">
        <v>-0.18856120000000001</v>
      </c>
      <c r="S4322">
        <v>-3.1524350000000001</v>
      </c>
      <c r="T4322">
        <v>-0.25500990000000001</v>
      </c>
      <c r="U4322">
        <v>1.0787959999999999E-2</v>
      </c>
      <c r="V4322">
        <v>0.44712550000000001</v>
      </c>
      <c r="W4322">
        <v>0.16672000000000001</v>
      </c>
      <c r="X4322">
        <v>0.87879649999999998</v>
      </c>
      <c r="Y4322">
        <v>0.61016959999999998</v>
      </c>
      <c r="Z4322">
        <v>7.1137270000000002E-2</v>
      </c>
      <c r="AA4322">
        <v>0.78907069999999901</v>
      </c>
      <c r="AB4322">
        <v>24</v>
      </c>
      <c r="AC4322">
        <v>-13.3765</v>
      </c>
      <c r="AD4322">
        <v>-1.09824419000799</v>
      </c>
      <c r="AE4322">
        <v>0.183199999999999</v>
      </c>
      <c r="AF4322">
        <v>8.2653244145151792</v>
      </c>
      <c r="AG4322">
        <v>-1.09824419000799</v>
      </c>
      <c r="AH4322">
        <v>10.4048361572343</v>
      </c>
      <c r="AI4322">
        <v>94.724648767835703</v>
      </c>
      <c r="AJ4322">
        <v>51.537307648473401</v>
      </c>
      <c r="AK4322">
        <v>13.3335045444533</v>
      </c>
      <c r="AL4322">
        <v>80.402832926092103</v>
      </c>
      <c r="AM4322">
        <v>63.0333269733108</v>
      </c>
      <c r="AN4322">
        <v>1.0000000297812399</v>
      </c>
    </row>
    <row r="4323" spans="1:40" x14ac:dyDescent="0.25">
      <c r="A4323" t="str">
        <f>"20190312164113741"</f>
        <v>20190312164113741</v>
      </c>
      <c r="B4323" t="str">
        <f>"1552380073730661"</f>
        <v>1552380073730661</v>
      </c>
      <c r="C4323" t="s">
        <v>40</v>
      </c>
      <c r="D4323">
        <v>5.5057999999999998</v>
      </c>
      <c r="E4323">
        <v>0.58314279999999996</v>
      </c>
      <c r="F4323" t="s">
        <v>41</v>
      </c>
      <c r="G4323">
        <v>-214.56280000000001</v>
      </c>
      <c r="H4323" s="1">
        <v>-3.8260019999999999E-6</v>
      </c>
      <c r="I4323">
        <v>144.5035</v>
      </c>
      <c r="J4323">
        <v>-200.4271</v>
      </c>
      <c r="K4323">
        <v>1.0980840000000001</v>
      </c>
      <c r="L4323">
        <v>144.1952</v>
      </c>
      <c r="M4323">
        <v>-0.80171130000000002</v>
      </c>
      <c r="N4323">
        <v>0</v>
      </c>
      <c r="O4323">
        <v>-0.59757959999999999</v>
      </c>
      <c r="P4323">
        <v>-0.96921250000000003</v>
      </c>
      <c r="Q4323">
        <v>0.1678751</v>
      </c>
      <c r="R4323">
        <v>-0.18012590000000001</v>
      </c>
      <c r="S4323">
        <v>-3.150665</v>
      </c>
      <c r="T4323">
        <v>-0.24154619999999999</v>
      </c>
      <c r="U4323">
        <v>4.0695189999999999E-2</v>
      </c>
      <c r="V4323">
        <v>0.43983349999999999</v>
      </c>
      <c r="W4323">
        <v>0.16624</v>
      </c>
      <c r="X4323">
        <v>0.88255919999999899</v>
      </c>
      <c r="Y4323">
        <v>0.60459130000000005</v>
      </c>
      <c r="Z4323">
        <v>6.6412520000000003E-2</v>
      </c>
      <c r="AA4323">
        <v>0.79376239999999998</v>
      </c>
      <c r="AB4323">
        <v>24</v>
      </c>
      <c r="AC4323">
        <v>-14.1357</v>
      </c>
      <c r="AD4323">
        <v>-1.0980878260019999</v>
      </c>
      <c r="AE4323">
        <v>0.30830000000000202</v>
      </c>
      <c r="AF4323">
        <v>8.6429280616396493</v>
      </c>
      <c r="AG4323">
        <v>-1.0980878260019999</v>
      </c>
      <c r="AH4323">
        <v>11.082549737058301</v>
      </c>
      <c r="AI4323">
        <v>94.467549228931901</v>
      </c>
      <c r="AJ4323">
        <v>52.0504646866409</v>
      </c>
      <c r="AK4323">
        <v>14.097124211223401</v>
      </c>
      <c r="AL4323">
        <v>80.430723774822596</v>
      </c>
      <c r="AM4323">
        <v>63.510102733749598</v>
      </c>
      <c r="AN4323">
        <v>0.99999999341344403</v>
      </c>
    </row>
    <row r="4324" spans="1:40" x14ac:dyDescent="0.25">
      <c r="A4324" t="str">
        <f>"20190312164113763"</f>
        <v>20190312164113763</v>
      </c>
      <c r="B4324" t="str">
        <f>"1552380073759938"</f>
        <v>1552380073759938</v>
      </c>
      <c r="C4324" t="s">
        <v>40</v>
      </c>
      <c r="D4324">
        <v>5.6477069999999996</v>
      </c>
      <c r="E4324">
        <v>0.58233539999999995</v>
      </c>
      <c r="F4324" t="s">
        <v>41</v>
      </c>
      <c r="G4324">
        <v>-215.0634</v>
      </c>
      <c r="H4324" s="1">
        <v>-3.6128820000000001E-6</v>
      </c>
      <c r="I4324">
        <v>144.49789999999999</v>
      </c>
      <c r="J4324">
        <v>-200.63749999999999</v>
      </c>
      <c r="K4324">
        <v>1.097942</v>
      </c>
      <c r="L4324">
        <v>144.06379999999999</v>
      </c>
      <c r="M4324">
        <v>-0.81282030000000005</v>
      </c>
      <c r="N4324">
        <v>0</v>
      </c>
      <c r="O4324">
        <v>-0.58238259999999997</v>
      </c>
      <c r="P4324">
        <v>-0.97129319999999997</v>
      </c>
      <c r="Q4324">
        <v>0.16688639999999999</v>
      </c>
      <c r="R4324">
        <v>-0.16952519999999999</v>
      </c>
      <c r="S4324">
        <v>-3.1482999999999999</v>
      </c>
      <c r="T4324">
        <v>-0.23619999999999999</v>
      </c>
      <c r="U4324">
        <v>6.5109249999999994E-2</v>
      </c>
      <c r="V4324">
        <v>0.43294909999999998</v>
      </c>
      <c r="W4324">
        <v>0.16522990000000001</v>
      </c>
      <c r="X4324">
        <v>0.88614570000000004</v>
      </c>
      <c r="Y4324">
        <v>0.59595909999999996</v>
      </c>
      <c r="Z4324">
        <v>6.3763050000000002E-2</v>
      </c>
      <c r="AA4324">
        <v>0.80047919999999995</v>
      </c>
      <c r="AB4324">
        <v>24</v>
      </c>
      <c r="AC4324">
        <v>-14.4259</v>
      </c>
      <c r="AD4324">
        <v>-1.097945612882</v>
      </c>
      <c r="AE4324">
        <v>0.43409999999999999</v>
      </c>
      <c r="AF4324">
        <v>8.7045346029877795</v>
      </c>
      <c r="AG4324">
        <v>-1.097945612882</v>
      </c>
      <c r="AH4324">
        <v>11.407712799248699</v>
      </c>
      <c r="AI4324">
        <v>94.375470854759698</v>
      </c>
      <c r="AJ4324">
        <v>52.654940781465001</v>
      </c>
      <c r="AK4324">
        <v>14.391327893339099</v>
      </c>
      <c r="AL4324">
        <v>80.489410131385796</v>
      </c>
      <c r="AM4324">
        <v>63.960997432307103</v>
      </c>
      <c r="AN4324">
        <v>1.0000000223366501</v>
      </c>
    </row>
    <row r="4325" spans="1:40" x14ac:dyDescent="0.25">
      <c r="A4325" t="str">
        <f>"20190312164113787"</f>
        <v>20190312164113787</v>
      </c>
      <c r="B4325" t="str">
        <f>"1552380073780433"</f>
        <v>1552380073780433</v>
      </c>
      <c r="C4325" t="s">
        <v>40</v>
      </c>
      <c r="D4325">
        <v>5.4503589999999997</v>
      </c>
      <c r="E4325">
        <v>0.54710839999999905</v>
      </c>
      <c r="F4325" t="s">
        <v>41</v>
      </c>
      <c r="G4325">
        <v>-215.5291</v>
      </c>
      <c r="H4325" s="1">
        <v>-3.3950940000000002E-6</v>
      </c>
      <c r="I4325">
        <v>144.50659999999999</v>
      </c>
      <c r="J4325">
        <v>-200.86019999999999</v>
      </c>
      <c r="K4325">
        <v>1.09781</v>
      </c>
      <c r="L4325">
        <v>143.9307</v>
      </c>
      <c r="M4325">
        <v>-0.82417700000000005</v>
      </c>
      <c r="N4325">
        <v>0</v>
      </c>
      <c r="O4325">
        <v>-0.56619980000000003</v>
      </c>
      <c r="P4325">
        <v>-0.97329790000000005</v>
      </c>
      <c r="Q4325">
        <v>0.16547590000000001</v>
      </c>
      <c r="R4325">
        <v>-0.1590877</v>
      </c>
      <c r="S4325">
        <v>-3.1448209999999999</v>
      </c>
      <c r="T4325">
        <v>-0.23186480000000001</v>
      </c>
      <c r="U4325">
        <v>9.3505859999999996E-2</v>
      </c>
      <c r="V4325">
        <v>0.42504229999999998</v>
      </c>
      <c r="W4325">
        <v>0.16386029999999999</v>
      </c>
      <c r="X4325">
        <v>0.89021839999999997</v>
      </c>
      <c r="Y4325">
        <v>0.58749490000000004</v>
      </c>
      <c r="Z4325">
        <v>6.1383060000000003E-2</v>
      </c>
      <c r="AA4325">
        <v>0.80689639999999996</v>
      </c>
      <c r="AB4325">
        <v>24</v>
      </c>
      <c r="AC4325">
        <v>-14.668900000000001</v>
      </c>
      <c r="AD4325">
        <v>-1.0978133950940001</v>
      </c>
      <c r="AE4325">
        <v>0.57589999999998998</v>
      </c>
      <c r="AF4325">
        <v>8.7319983788860203</v>
      </c>
      <c r="AG4325">
        <v>-1.0978133950940001</v>
      </c>
      <c r="AH4325">
        <v>11.6991526896728</v>
      </c>
      <c r="AI4325">
        <v>94.300554632479901</v>
      </c>
      <c r="AJ4325">
        <v>53.263123858550003</v>
      </c>
      <c r="AK4325">
        <v>14.639780175794799</v>
      </c>
      <c r="AL4325">
        <v>80.568966399225602</v>
      </c>
      <c r="AM4325">
        <v>64.477463161848902</v>
      </c>
      <c r="AN4325">
        <v>0.99999997720196898</v>
      </c>
    </row>
    <row r="4326" spans="1:40" x14ac:dyDescent="0.25">
      <c r="A4326" t="str">
        <f>"20190312164113809"</f>
        <v>20190312164113809</v>
      </c>
      <c r="B4326" t="str">
        <f>"1552380073799957"</f>
        <v>1552380073799957</v>
      </c>
      <c r="C4326" t="s">
        <v>40</v>
      </c>
      <c r="D4326">
        <v>5.6742520000000001</v>
      </c>
      <c r="E4326">
        <v>0.54099010000000003</v>
      </c>
      <c r="F4326" t="s">
        <v>41</v>
      </c>
      <c r="G4326">
        <v>-215.17949999999999</v>
      </c>
      <c r="H4326" s="1">
        <v>-3.2243639999999998E-6</v>
      </c>
      <c r="I4326">
        <v>143.2439</v>
      </c>
      <c r="J4326">
        <v>-201.08019999999999</v>
      </c>
      <c r="K4326">
        <v>1.0977059999999901</v>
      </c>
      <c r="L4326">
        <v>143.8049</v>
      </c>
      <c r="M4326">
        <v>-0.83498069999999902</v>
      </c>
      <c r="N4326">
        <v>0</v>
      </c>
      <c r="O4326">
        <v>-0.55014609999999997</v>
      </c>
      <c r="P4326">
        <v>-0.97497699999999998</v>
      </c>
      <c r="Q4326">
        <v>0.16385089999999999</v>
      </c>
      <c r="R4326">
        <v>-0.15024219999999999</v>
      </c>
      <c r="S4326">
        <v>-3.0984340000000001</v>
      </c>
      <c r="T4326">
        <v>-0.2375468</v>
      </c>
      <c r="U4326">
        <v>-0.1486053</v>
      </c>
      <c r="V4326">
        <v>0.41599380000000002</v>
      </c>
      <c r="W4326">
        <v>0.16235629999999901</v>
      </c>
      <c r="X4326">
        <v>0.89475669999999996</v>
      </c>
      <c r="Y4326">
        <v>0.50662169999999995</v>
      </c>
      <c r="Z4326">
        <v>5.9445100000000001E-2</v>
      </c>
      <c r="AA4326">
        <v>0.86011669999999996</v>
      </c>
      <c r="AB4326">
        <v>24</v>
      </c>
      <c r="AC4326">
        <v>-14.099299999999999</v>
      </c>
      <c r="AD4326">
        <v>-1.0977092243640001</v>
      </c>
      <c r="AE4326">
        <v>-0.56100000000000705</v>
      </c>
      <c r="AF4326">
        <v>7.2449389329662903</v>
      </c>
      <c r="AG4326">
        <v>-1.0977092243640001</v>
      </c>
      <c r="AH4326">
        <v>12.009480092473099</v>
      </c>
      <c r="AI4326">
        <v>94.475121986170095</v>
      </c>
      <c r="AJ4326">
        <v>58.8987499283554</v>
      </c>
      <c r="AK4326">
        <v>14.0684653667404</v>
      </c>
      <c r="AL4326">
        <v>80.6563089747699</v>
      </c>
      <c r="AM4326">
        <v>65.065156141670101</v>
      </c>
      <c r="AN4326">
        <v>0.999999980991509</v>
      </c>
    </row>
    <row r="4327" spans="1:40" x14ac:dyDescent="0.25">
      <c r="A4327" t="str">
        <f>"20190312164113831"</f>
        <v>20190312164113831</v>
      </c>
      <c r="B4327" t="str">
        <f>"1552380073819983"</f>
        <v>1552380073819983</v>
      </c>
      <c r="C4327" t="s">
        <v>40</v>
      </c>
      <c r="D4327">
        <v>5.6155530000000002</v>
      </c>
      <c r="E4327">
        <v>0.53818520000000003</v>
      </c>
      <c r="F4327" t="s">
        <v>41</v>
      </c>
      <c r="G4327">
        <v>-216.62649999999999</v>
      </c>
      <c r="H4327" s="1">
        <v>-2.4710460000000001E-6</v>
      </c>
      <c r="I4327">
        <v>142.98339999999999</v>
      </c>
      <c r="J4327">
        <v>-201.2921</v>
      </c>
      <c r="K4327">
        <v>1.097618</v>
      </c>
      <c r="L4327">
        <v>143.68879999999999</v>
      </c>
      <c r="M4327">
        <v>-0.84500439999999999</v>
      </c>
      <c r="N4327">
        <v>0</v>
      </c>
      <c r="O4327">
        <v>-0.53462500000000002</v>
      </c>
      <c r="P4327">
        <v>-0.97712209999999999</v>
      </c>
      <c r="Q4327">
        <v>0.16227529999999901</v>
      </c>
      <c r="R4327">
        <v>-0.1374744</v>
      </c>
      <c r="S4327">
        <v>-3.0884860000000001</v>
      </c>
      <c r="T4327">
        <v>-0.2180742</v>
      </c>
      <c r="U4327">
        <v>-0.1631927</v>
      </c>
      <c r="V4327">
        <v>0.41126859999999998</v>
      </c>
      <c r="W4327">
        <v>0.1607827</v>
      </c>
      <c r="X4327">
        <v>0.89722190000000002</v>
      </c>
      <c r="Y4327">
        <v>0.4869211</v>
      </c>
      <c r="Z4327">
        <v>5.3121340000000003E-2</v>
      </c>
      <c r="AA4327">
        <v>0.87182909999999902</v>
      </c>
      <c r="AB4327">
        <v>24</v>
      </c>
      <c r="AC4327">
        <v>-15.334399999999899</v>
      </c>
      <c r="AD4327">
        <v>-1.097620471046</v>
      </c>
      <c r="AE4327">
        <v>-0.70539999999999703</v>
      </c>
      <c r="AF4327">
        <v>7.5639611796415398</v>
      </c>
      <c r="AG4327">
        <v>-1.097620471046</v>
      </c>
      <c r="AH4327">
        <v>13.2678828840095</v>
      </c>
      <c r="AI4327">
        <v>94.110718450539395</v>
      </c>
      <c r="AJ4327">
        <v>60.3127272786842</v>
      </c>
      <c r="AK4327">
        <v>15.3119233164674</v>
      </c>
      <c r="AL4327">
        <v>80.747670518310898</v>
      </c>
      <c r="AM4327">
        <v>65.374224280621902</v>
      </c>
      <c r="AN4327">
        <v>1.0000000379024201</v>
      </c>
    </row>
    <row r="4328" spans="1:40" x14ac:dyDescent="0.25">
      <c r="A4328" t="str">
        <f>"20190312164113853"</f>
        <v>20190312164113853</v>
      </c>
      <c r="B4328" t="str">
        <f>"1552380073850236"</f>
        <v>1552380073850236</v>
      </c>
      <c r="C4328" t="s">
        <v>40</v>
      </c>
      <c r="D4328">
        <v>5.4411250000000004</v>
      </c>
      <c r="E4328">
        <v>0.53652949999999999</v>
      </c>
      <c r="F4328" t="s">
        <v>41</v>
      </c>
      <c r="G4328">
        <v>-219.31049999999999</v>
      </c>
      <c r="H4328" s="1">
        <v>-1.1699790000000001E-6</v>
      </c>
      <c r="I4328">
        <v>142.86189999999999</v>
      </c>
      <c r="J4328">
        <v>-201.50970000000001</v>
      </c>
      <c r="K4328">
        <v>1.09754</v>
      </c>
      <c r="L4328">
        <v>143.57490000000001</v>
      </c>
      <c r="M4328">
        <v>-0.85489439999999906</v>
      </c>
      <c r="N4328">
        <v>0</v>
      </c>
      <c r="O4328">
        <v>-0.51866570000000001</v>
      </c>
      <c r="P4328">
        <v>-0.97865000000000002</v>
      </c>
      <c r="Q4328">
        <v>0.1605065</v>
      </c>
      <c r="R4328">
        <v>-0.1283822</v>
      </c>
      <c r="S4328">
        <v>-3.081528</v>
      </c>
      <c r="T4328">
        <v>-0.18771650000000001</v>
      </c>
      <c r="U4328">
        <v>-0.1414185</v>
      </c>
      <c r="V4328">
        <v>0.40284959999999997</v>
      </c>
      <c r="W4328">
        <v>0.159164</v>
      </c>
      <c r="X4328">
        <v>0.90132069999999997</v>
      </c>
      <c r="Y4328">
        <v>0.47720600000000002</v>
      </c>
      <c r="Z4328">
        <v>4.4738470000000002E-2</v>
      </c>
      <c r="AA4328">
        <v>0.87765190000000004</v>
      </c>
      <c r="AB4328">
        <v>24</v>
      </c>
      <c r="AC4328">
        <v>-17.800799999999899</v>
      </c>
      <c r="AD4328">
        <v>-1.0975411699790001</v>
      </c>
      <c r="AE4328">
        <v>-0.71300000000002195</v>
      </c>
      <c r="AF4328">
        <v>8.5911272204428304</v>
      </c>
      <c r="AG4328">
        <v>-1.0975411699790001</v>
      </c>
      <c r="AH4328">
        <v>15.529772582227</v>
      </c>
      <c r="AI4328">
        <v>93.538737510319194</v>
      </c>
      <c r="AJ4328">
        <v>61.048470329494101</v>
      </c>
      <c r="AK4328">
        <v>17.781616911668198</v>
      </c>
      <c r="AL4328">
        <v>80.841624788466504</v>
      </c>
      <c r="AM4328">
        <v>65.917515914114006</v>
      </c>
      <c r="AN4328">
        <v>0.99999999168232401</v>
      </c>
    </row>
    <row r="4329" spans="1:40" x14ac:dyDescent="0.25">
      <c r="A4329" t="str">
        <f>"20190312164113875"</f>
        <v>20190312164113875</v>
      </c>
      <c r="B4329" t="str">
        <f>"1552380073870732"</f>
        <v>1552380073870732</v>
      </c>
      <c r="C4329" t="s">
        <v>40</v>
      </c>
      <c r="D4329">
        <v>5.7432460000000001</v>
      </c>
      <c r="E4329">
        <v>0.53604989999999997</v>
      </c>
      <c r="F4329" t="s">
        <v>41</v>
      </c>
      <c r="G4329">
        <v>-219.0487</v>
      </c>
      <c r="H4329" s="1">
        <v>-1.2952269999999901E-6</v>
      </c>
      <c r="I4329">
        <v>142.86760000000001</v>
      </c>
      <c r="J4329">
        <v>-201.7294</v>
      </c>
      <c r="K4329">
        <v>1.0974759999999999</v>
      </c>
      <c r="L4329">
        <v>143.4649</v>
      </c>
      <c r="M4329">
        <v>-0.86447129999999905</v>
      </c>
      <c r="N4329">
        <v>0</v>
      </c>
      <c r="O4329">
        <v>-0.50254399999999999</v>
      </c>
      <c r="P4329">
        <v>-0.98001090000000002</v>
      </c>
      <c r="Q4329">
        <v>0.15956600000000001</v>
      </c>
      <c r="R4329">
        <v>-0.11881609999999999</v>
      </c>
      <c r="S4329">
        <v>-3.080765</v>
      </c>
      <c r="T4329">
        <v>-0.1927854</v>
      </c>
      <c r="U4329">
        <v>-0.1242371</v>
      </c>
      <c r="V4329">
        <v>0.39478459999999899</v>
      </c>
      <c r="W4329">
        <v>0.1583763</v>
      </c>
      <c r="X4329">
        <v>0.90502050000000001</v>
      </c>
      <c r="Y4329">
        <v>0.46552569999999999</v>
      </c>
      <c r="Z4329">
        <v>4.4731439999999997E-2</v>
      </c>
      <c r="AA4329">
        <v>0.88390329999999995</v>
      </c>
      <c r="AB4329">
        <v>24</v>
      </c>
      <c r="AC4329">
        <v>-17.319299999999998</v>
      </c>
      <c r="AD4329">
        <v>-1.097477295227</v>
      </c>
      <c r="AE4329">
        <v>-0.59729999999998995</v>
      </c>
      <c r="AF4329">
        <v>8.1552225619421392</v>
      </c>
      <c r="AG4329">
        <v>-1.097477295227</v>
      </c>
      <c r="AH4329">
        <v>15.212257122090501</v>
      </c>
      <c r="AI4329">
        <v>93.638176762319404</v>
      </c>
      <c r="AJ4329">
        <v>61.8044412974224</v>
      </c>
      <c r="AK4329">
        <v>17.295227035137199</v>
      </c>
      <c r="AL4329">
        <v>80.887336754656999</v>
      </c>
      <c r="AM4329">
        <v>66.432390623836696</v>
      </c>
      <c r="AN4329">
        <v>1.00000001910954</v>
      </c>
    </row>
    <row r="4330" spans="1:40" x14ac:dyDescent="0.25">
      <c r="A4330" t="str">
        <f>"20190312164113900"</f>
        <v>20190312164113900</v>
      </c>
      <c r="B4330" t="str">
        <f>"1552380073890252"</f>
        <v>1552380073890252</v>
      </c>
      <c r="C4330" t="s">
        <v>40</v>
      </c>
      <c r="D4330">
        <v>5.6039139999999996</v>
      </c>
      <c r="E4330">
        <v>0.53559919999999905</v>
      </c>
      <c r="F4330" t="s">
        <v>41</v>
      </c>
      <c r="G4330">
        <v>-219.78299999999999</v>
      </c>
      <c r="H4330" s="1">
        <v>-9.5358330000000005E-7</v>
      </c>
      <c r="I4330">
        <v>142.88810000000001</v>
      </c>
      <c r="J4330">
        <v>-201.97980000000001</v>
      </c>
      <c r="K4330">
        <v>1.0974269999999999</v>
      </c>
      <c r="L4330">
        <v>143.34559999999999</v>
      </c>
      <c r="M4330">
        <v>-0.87488929999999998</v>
      </c>
      <c r="N4330">
        <v>0</v>
      </c>
      <c r="O4330">
        <v>-0.48418250000000002</v>
      </c>
      <c r="P4330">
        <v>-0.98153250000000003</v>
      </c>
      <c r="Q4330">
        <v>0.1588629</v>
      </c>
      <c r="R4330">
        <v>-0.1065672</v>
      </c>
      <c r="S4330">
        <v>-3.0797270000000001</v>
      </c>
      <c r="T4330">
        <v>-0.1872162</v>
      </c>
      <c r="U4330">
        <v>-9.8403930000000001E-2</v>
      </c>
      <c r="V4330">
        <v>0.38699499999999998</v>
      </c>
      <c r="W4330">
        <v>0.1578127</v>
      </c>
      <c r="X4330">
        <v>0.90847679999999997</v>
      </c>
      <c r="Y4330">
        <v>0.45436159999999998</v>
      </c>
      <c r="Z4330">
        <v>4.2157210000000001E-2</v>
      </c>
      <c r="AA4330">
        <v>0.88981929999999998</v>
      </c>
      <c r="AB4330">
        <v>24</v>
      </c>
      <c r="AC4330">
        <v>-17.803199999999901</v>
      </c>
      <c r="AD4330">
        <v>-1.0974279535833</v>
      </c>
      <c r="AE4330">
        <v>-0.45749999999998098</v>
      </c>
      <c r="AF4330">
        <v>8.1891986732160493</v>
      </c>
      <c r="AG4330">
        <v>-1.0974279535833</v>
      </c>
      <c r="AH4330">
        <v>15.738653559071301</v>
      </c>
      <c r="AI4330">
        <v>93.539567975061303</v>
      </c>
      <c r="AJ4330">
        <v>62.5109591591048</v>
      </c>
      <c r="AK4330">
        <v>17.775616413367398</v>
      </c>
      <c r="AL4330">
        <v>80.920040097276498</v>
      </c>
      <c r="AM4330">
        <v>66.926855756507905</v>
      </c>
      <c r="AN4330">
        <v>1.0000000372222599</v>
      </c>
    </row>
    <row r="4331" spans="1:40" x14ac:dyDescent="0.25">
      <c r="A4331" t="str">
        <f>"20190312164113923"</f>
        <v>20190312164113923</v>
      </c>
      <c r="B4331" t="str">
        <f>"1552380073910748"</f>
        <v>1552380073910748</v>
      </c>
      <c r="C4331" t="s">
        <v>40</v>
      </c>
      <c r="D4331">
        <v>5.6200239999999999</v>
      </c>
      <c r="E4331">
        <v>0.53473190000000004</v>
      </c>
      <c r="F4331" t="s">
        <v>41</v>
      </c>
      <c r="G4331">
        <v>-220.40780000000001</v>
      </c>
      <c r="H4331" s="1">
        <v>-4.7322460000000002E-6</v>
      </c>
      <c r="I4331">
        <v>142.97059999999999</v>
      </c>
      <c r="J4331">
        <v>-202.2193</v>
      </c>
      <c r="K4331">
        <v>1.0973980000000001</v>
      </c>
      <c r="L4331">
        <v>143.23769999999999</v>
      </c>
      <c r="M4331">
        <v>-0.884343199999999</v>
      </c>
      <c r="N4331">
        <v>0</v>
      </c>
      <c r="O4331">
        <v>-0.46669509999999997</v>
      </c>
      <c r="P4331">
        <v>-0.98298249999999998</v>
      </c>
      <c r="Q4331">
        <v>0.15703639999999999</v>
      </c>
      <c r="R4331">
        <v>-9.5316120000000004E-2</v>
      </c>
      <c r="S4331">
        <v>-3.0793149999999998</v>
      </c>
      <c r="T4331">
        <v>-0.1833813</v>
      </c>
      <c r="U4331">
        <v>-6.2652589999999994E-2</v>
      </c>
      <c r="V4331">
        <v>0.37939630000000002</v>
      </c>
      <c r="W4331">
        <v>0.15613669999999999</v>
      </c>
      <c r="X4331">
        <v>0.91196480000000002</v>
      </c>
      <c r="Y4331">
        <v>0.44707520000000001</v>
      </c>
      <c r="Z4331">
        <v>4.0181290000000001E-2</v>
      </c>
      <c r="AA4331">
        <v>0.89359339999999998</v>
      </c>
      <c r="AB4331">
        <v>24</v>
      </c>
      <c r="AC4331">
        <v>-18.188500000000001</v>
      </c>
      <c r="AD4331">
        <v>-1.0974027322459901</v>
      </c>
      <c r="AE4331">
        <v>-0.267099999999999</v>
      </c>
      <c r="AF4331">
        <v>8.2228962815431803</v>
      </c>
      <c r="AG4331">
        <v>-1.0974027322459901</v>
      </c>
      <c r="AH4331">
        <v>16.151821925991701</v>
      </c>
      <c r="AI4331">
        <v>93.464917048505399</v>
      </c>
      <c r="AJ4331">
        <v>63.019345089072203</v>
      </c>
      <c r="AK4331">
        <v>18.157688937271299</v>
      </c>
      <c r="AL4331">
        <v>81.017273012923297</v>
      </c>
      <c r="AM4331">
        <v>67.411674912790303</v>
      </c>
      <c r="AN4331">
        <v>1.00000000898981</v>
      </c>
    </row>
    <row r="4332" spans="1:40" x14ac:dyDescent="0.25">
      <c r="A4332" t="str">
        <f>"20190312164113943"</f>
        <v>20190312164113943</v>
      </c>
      <c r="B4332" t="str">
        <f>"1552380073940535"</f>
        <v>1552380073940535</v>
      </c>
      <c r="C4332" t="s">
        <v>40</v>
      </c>
      <c r="D4332">
        <v>5.3110109999999997</v>
      </c>
      <c r="E4332">
        <v>0.53350489999999995</v>
      </c>
      <c r="F4332" t="s">
        <v>41</v>
      </c>
      <c r="G4332">
        <v>-220.6609</v>
      </c>
      <c r="H4332" s="1">
        <v>-4.65929899999999E-6</v>
      </c>
      <c r="I4332">
        <v>143.04499999999999</v>
      </c>
      <c r="J4332">
        <v>-202.43450000000001</v>
      </c>
      <c r="K4332">
        <v>1.097375</v>
      </c>
      <c r="L4332">
        <v>143.14519999999999</v>
      </c>
      <c r="M4332">
        <v>-0.89244140000000005</v>
      </c>
      <c r="N4332">
        <v>0</v>
      </c>
      <c r="O4332">
        <v>-0.4510189</v>
      </c>
      <c r="P4332">
        <v>-0.98413220000000001</v>
      </c>
      <c r="Q4332">
        <v>0.15488289999999999</v>
      </c>
      <c r="R4332">
        <v>-8.6573479999999994E-2</v>
      </c>
      <c r="S4332">
        <v>-3.0780639999999999</v>
      </c>
      <c r="T4332">
        <v>-0.18316569999999999</v>
      </c>
      <c r="U4332">
        <v>-3.2150270000000002E-2</v>
      </c>
      <c r="V4332">
        <v>0.37146950000000001</v>
      </c>
      <c r="W4332">
        <v>0.15416350000000001</v>
      </c>
      <c r="X4332">
        <v>0.9155567</v>
      </c>
      <c r="Y4332">
        <v>0.44017299999999998</v>
      </c>
      <c r="Z4332">
        <v>3.9122730000000001E-2</v>
      </c>
      <c r="AA4332">
        <v>0.89706030000000003</v>
      </c>
      <c r="AB4332">
        <v>24</v>
      </c>
      <c r="AC4332">
        <v>-18.226399999999899</v>
      </c>
      <c r="AD4332">
        <v>-1.0973796592989999</v>
      </c>
      <c r="AE4332">
        <v>-0.1002</v>
      </c>
      <c r="AF4332">
        <v>8.1021882209060507</v>
      </c>
      <c r="AG4332">
        <v>-1.0973796592989999</v>
      </c>
      <c r="AH4332">
        <v>16.253331709160801</v>
      </c>
      <c r="AI4332">
        <v>93.457926661562297</v>
      </c>
      <c r="AJ4332">
        <v>63.504020681198902</v>
      </c>
      <c r="AK4332">
        <v>18.193968443735599</v>
      </c>
      <c r="AL4332">
        <v>81.131714972049494</v>
      </c>
      <c r="AM4332">
        <v>67.916092971409697</v>
      </c>
      <c r="AN4332">
        <v>1.00000002253869</v>
      </c>
    </row>
    <row r="4333" spans="1:40" x14ac:dyDescent="0.25">
      <c r="A4333" t="str">
        <f>"20190312164113965"</f>
        <v>20190312164113965</v>
      </c>
      <c r="B4333" t="str">
        <f>"1552380073960055"</f>
        <v>1552380073960055</v>
      </c>
      <c r="C4333" t="s">
        <v>40</v>
      </c>
      <c r="D4333">
        <v>6.1108779999999996</v>
      </c>
      <c r="E4333">
        <v>0.53282249999999998</v>
      </c>
      <c r="F4333" t="s">
        <v>41</v>
      </c>
      <c r="G4333">
        <v>-220.84010000000001</v>
      </c>
      <c r="H4333" s="1">
        <v>-4.6031349999999999E-6</v>
      </c>
      <c r="I4333">
        <v>143.07210000000001</v>
      </c>
      <c r="J4333">
        <v>-202.67150000000001</v>
      </c>
      <c r="K4333">
        <v>1.0973580000000001</v>
      </c>
      <c r="L4333">
        <v>143.04839999999999</v>
      </c>
      <c r="M4333">
        <v>-0.9009182</v>
      </c>
      <c r="N4333">
        <v>0</v>
      </c>
      <c r="O4333">
        <v>-0.4338417</v>
      </c>
      <c r="P4333">
        <v>-0.98534630000000001</v>
      </c>
      <c r="Q4333">
        <v>0.15293010000000001</v>
      </c>
      <c r="R4333">
        <v>-7.5532950000000001E-2</v>
      </c>
      <c r="S4333">
        <v>-3.0761569999999998</v>
      </c>
      <c r="T4333">
        <v>-0.18340770000000001</v>
      </c>
      <c r="U4333">
        <v>-1.222229E-2</v>
      </c>
      <c r="V4333">
        <v>0.36423889999999998</v>
      </c>
      <c r="W4333">
        <v>0.152362</v>
      </c>
      <c r="X4333">
        <v>0.91875770000000001</v>
      </c>
      <c r="Y4333">
        <v>0.42879519999999999</v>
      </c>
      <c r="Z4333">
        <v>3.7937489999999997E-2</v>
      </c>
      <c r="AA4333">
        <v>0.90260479999999998</v>
      </c>
      <c r="AB4333">
        <v>25</v>
      </c>
      <c r="AC4333">
        <v>-18.168600000000001</v>
      </c>
      <c r="AD4333">
        <v>-1.0973626031349999</v>
      </c>
      <c r="AE4333">
        <v>2.3700000000019299E-2</v>
      </c>
      <c r="AF4333">
        <v>7.8754234049056597</v>
      </c>
      <c r="AG4333">
        <v>-1.0973626031349999</v>
      </c>
      <c r="AH4333">
        <v>16.2997239098652</v>
      </c>
      <c r="AI4333">
        <v>93.468975767268901</v>
      </c>
      <c r="AJ4333">
        <v>64.211885544232501</v>
      </c>
      <c r="AK4333">
        <v>18.135807068535101</v>
      </c>
      <c r="AL4333">
        <v>81.236166599534499</v>
      </c>
      <c r="AM4333">
        <v>68.374289305101897</v>
      </c>
      <c r="AN4333">
        <v>0.99999993331324699</v>
      </c>
    </row>
    <row r="4334" spans="1:40" x14ac:dyDescent="0.25">
      <c r="A4334" t="str">
        <f>"20190312164113990"</f>
        <v>20190312164113990</v>
      </c>
      <c r="B4334" t="str">
        <f>"1552380073980551"</f>
        <v>1552380073980551</v>
      </c>
      <c r="C4334" t="s">
        <v>40</v>
      </c>
      <c r="D4334">
        <v>6.3666939999999999</v>
      </c>
      <c r="E4334">
        <v>0.53217559999999997</v>
      </c>
      <c r="F4334" t="s">
        <v>41</v>
      </c>
      <c r="G4334">
        <v>-221.06</v>
      </c>
      <c r="H4334" s="1">
        <v>-4.5425889999999901E-6</v>
      </c>
      <c r="I4334">
        <v>143.15260000000001</v>
      </c>
      <c r="J4334">
        <v>-202.92250000000001</v>
      </c>
      <c r="K4334">
        <v>1.097369</v>
      </c>
      <c r="L4334">
        <v>142.9512</v>
      </c>
      <c r="M4334">
        <v>-0.90940449999999995</v>
      </c>
      <c r="N4334">
        <v>0</v>
      </c>
      <c r="O4334">
        <v>-0.41576360000000001</v>
      </c>
      <c r="P4334">
        <v>-0.98632589999999998</v>
      </c>
      <c r="Q4334">
        <v>0.15180569999999999</v>
      </c>
      <c r="R4334">
        <v>-6.4159510000000003E-2</v>
      </c>
      <c r="S4334">
        <v>-3.0744319999999998</v>
      </c>
      <c r="T4334">
        <v>-0.18347189999999999</v>
      </c>
      <c r="U4334">
        <v>1.7440799999999999E-2</v>
      </c>
      <c r="V4334">
        <v>0.35648750000000001</v>
      </c>
      <c r="W4334">
        <v>0.15140429999999999</v>
      </c>
      <c r="X4334">
        <v>0.92195090000000002</v>
      </c>
      <c r="Y4334">
        <v>0.41949009999999998</v>
      </c>
      <c r="Z4334">
        <v>3.6715400000000002E-2</v>
      </c>
      <c r="AA4334">
        <v>0.90701710000000002</v>
      </c>
      <c r="AB4334">
        <v>25</v>
      </c>
      <c r="AC4334">
        <v>-18.1374999999999</v>
      </c>
      <c r="AD4334">
        <v>-1.0973735425890001</v>
      </c>
      <c r="AE4334">
        <v>0.20140000000000599</v>
      </c>
      <c r="AF4334">
        <v>7.6963756246843902</v>
      </c>
      <c r="AG4334">
        <v>-1.0973735425890001</v>
      </c>
      <c r="AH4334">
        <v>16.3517574546871</v>
      </c>
      <c r="AI4334">
        <v>93.474775163135007</v>
      </c>
      <c r="AJ4334">
        <v>64.794771590904503</v>
      </c>
      <c r="AK4334">
        <v>18.105755944039601</v>
      </c>
      <c r="AL4334">
        <v>81.291683703883706</v>
      </c>
      <c r="AM4334">
        <v>68.860184994801401</v>
      </c>
      <c r="AN4334">
        <v>1.0000000308627699</v>
      </c>
    </row>
    <row r="4335" spans="1:40" x14ac:dyDescent="0.25">
      <c r="A4335" t="str">
        <f>"20190312164114013"</f>
        <v>20190312164114013</v>
      </c>
      <c r="B4335" t="str">
        <f>"1552380074000070"</f>
        <v>1552380074000070</v>
      </c>
      <c r="C4335" t="s">
        <v>40</v>
      </c>
      <c r="D4335">
        <v>5.4929829999999997</v>
      </c>
      <c r="E4335">
        <v>0.53141210000000005</v>
      </c>
      <c r="F4335" t="s">
        <v>41</v>
      </c>
      <c r="G4335">
        <v>-220.96010000000001</v>
      </c>
      <c r="H4335" s="1">
        <v>-4.5898749999999998E-6</v>
      </c>
      <c r="I4335">
        <v>143.2276</v>
      </c>
      <c r="J4335">
        <v>-203.16079999999999</v>
      </c>
      <c r="K4335">
        <v>1.09739599999999</v>
      </c>
      <c r="L4335">
        <v>142.8639</v>
      </c>
      <c r="M4335">
        <v>-0.91699520000000001</v>
      </c>
      <c r="N4335">
        <v>0</v>
      </c>
      <c r="O4335">
        <v>-0.3987465</v>
      </c>
      <c r="P4335">
        <v>-0.98698249999999998</v>
      </c>
      <c r="Q4335">
        <v>0.1512964</v>
      </c>
      <c r="R4335">
        <v>-5.4547129999999999E-2</v>
      </c>
      <c r="S4335">
        <v>-3.0734249999999999</v>
      </c>
      <c r="T4335">
        <v>-0.1869816</v>
      </c>
      <c r="U4335">
        <v>4.7103880000000001E-2</v>
      </c>
      <c r="V4335">
        <v>0.34825850000000003</v>
      </c>
      <c r="W4335">
        <v>0.15108659999999999</v>
      </c>
      <c r="X4335">
        <v>0.92514260000000004</v>
      </c>
      <c r="Y4335">
        <v>0.41130919999999999</v>
      </c>
      <c r="Z4335">
        <v>3.622968E-2</v>
      </c>
      <c r="AA4335">
        <v>0.91077560000000002</v>
      </c>
      <c r="AB4335">
        <v>25</v>
      </c>
      <c r="AC4335">
        <v>-17.799299999999999</v>
      </c>
      <c r="AD4335">
        <v>-1.0974005898750001</v>
      </c>
      <c r="AE4335">
        <v>0.36369999999999397</v>
      </c>
      <c r="AF4335">
        <v>7.4032397645349599</v>
      </c>
      <c r="AG4335">
        <v>-1.0974005898750001</v>
      </c>
      <c r="AH4335">
        <v>16.116590255068399</v>
      </c>
      <c r="AI4335">
        <v>93.5406905052143</v>
      </c>
      <c r="AJ4335">
        <v>65.328068751029605</v>
      </c>
      <c r="AK4335">
        <v>17.769544972103599</v>
      </c>
      <c r="AL4335">
        <v>81.310098026198006</v>
      </c>
      <c r="AM4335">
        <v>69.371773360544395</v>
      </c>
      <c r="AN4335">
        <v>0.99999998692828496</v>
      </c>
    </row>
    <row r="4336" spans="1:40" x14ac:dyDescent="0.25">
      <c r="A4336" t="str">
        <f>"20190312164114032"</f>
        <v>20190312164114032</v>
      </c>
      <c r="B4336" t="str">
        <f>"1552380074020097"</f>
        <v>1552380074020097</v>
      </c>
      <c r="C4336" t="s">
        <v>40</v>
      </c>
      <c r="D4336">
        <v>5.5095400000000003</v>
      </c>
      <c r="E4336">
        <v>0.53083709999999995</v>
      </c>
      <c r="F4336" t="s">
        <v>41</v>
      </c>
      <c r="G4336">
        <v>-220.7722</v>
      </c>
      <c r="H4336" s="1">
        <v>-4.6625410000000003E-6</v>
      </c>
      <c r="I4336">
        <v>143.27670000000001</v>
      </c>
      <c r="J4336">
        <v>-203.38480000000001</v>
      </c>
      <c r="K4336">
        <v>1.097431</v>
      </c>
      <c r="L4336">
        <v>142.78620000000001</v>
      </c>
      <c r="M4336">
        <v>-0.92372500000000002</v>
      </c>
      <c r="N4336">
        <v>0</v>
      </c>
      <c r="O4336">
        <v>-0.38290229999999997</v>
      </c>
      <c r="P4336">
        <v>-0.98756429999999995</v>
      </c>
      <c r="Q4336">
        <v>0.150216299999999</v>
      </c>
      <c r="R4336">
        <v>-4.6390479999999998E-2</v>
      </c>
      <c r="S4336">
        <v>-3.0729220000000002</v>
      </c>
      <c r="T4336">
        <v>-0.1914804</v>
      </c>
      <c r="U4336">
        <v>7.2021479999999999E-2</v>
      </c>
      <c r="V4336">
        <v>0.3399549</v>
      </c>
      <c r="W4336">
        <v>0.15020839999999999</v>
      </c>
      <c r="X4336">
        <v>0.92836850000000004</v>
      </c>
      <c r="Y4336">
        <v>0.40296739999999998</v>
      </c>
      <c r="Z4336">
        <v>3.5929620000000002E-2</v>
      </c>
      <c r="AA4336">
        <v>0.91450880000000001</v>
      </c>
      <c r="AB4336">
        <v>25</v>
      </c>
      <c r="AC4336">
        <v>-17.3873999999999</v>
      </c>
      <c r="AD4336">
        <v>-1.097435662541</v>
      </c>
      <c r="AE4336">
        <v>0.49049999999999699</v>
      </c>
      <c r="AF4336">
        <v>7.0829877631004097</v>
      </c>
      <c r="AG4336">
        <v>-1.097435662541</v>
      </c>
      <c r="AH4336">
        <v>15.811360771686299</v>
      </c>
      <c r="AI4336">
        <v>93.624430567242001</v>
      </c>
      <c r="AJ4336">
        <v>65.869135038420893</v>
      </c>
      <c r="AK4336">
        <v>17.3600751766249</v>
      </c>
      <c r="AL4336">
        <v>81.360996033724703</v>
      </c>
      <c r="AM4336">
        <v>69.888011932058006</v>
      </c>
      <c r="AN4336">
        <v>0.999999984628409</v>
      </c>
    </row>
    <row r="4337" spans="1:40" x14ac:dyDescent="0.25">
      <c r="A4337" t="str">
        <f>"20190312164114055"</f>
        <v>20190312164114055</v>
      </c>
      <c r="B4337" t="str">
        <f>"1552380074050353"</f>
        <v>1552380074050353</v>
      </c>
      <c r="C4337" t="s">
        <v>40</v>
      </c>
      <c r="D4337">
        <v>5.5854350000000004</v>
      </c>
      <c r="E4337">
        <v>0.52968740000000003</v>
      </c>
      <c r="F4337" t="s">
        <v>41</v>
      </c>
      <c r="G4337">
        <v>-220.08590000000001</v>
      </c>
      <c r="H4337" s="1">
        <v>-4.8994120000000004E-6</v>
      </c>
      <c r="I4337">
        <v>143.2954</v>
      </c>
      <c r="J4337">
        <v>-203.6371</v>
      </c>
      <c r="K4337">
        <v>1.0974870000000001</v>
      </c>
      <c r="L4337">
        <v>142.70330000000001</v>
      </c>
      <c r="M4337">
        <v>-0.93084809999999996</v>
      </c>
      <c r="N4337">
        <v>0</v>
      </c>
      <c r="O4337">
        <v>-0.36524980000000001</v>
      </c>
      <c r="P4337">
        <v>-0.98829060000000002</v>
      </c>
      <c r="Q4337">
        <v>0.14810809999999999</v>
      </c>
      <c r="R4337">
        <v>-3.6683309999999997E-2</v>
      </c>
      <c r="S4337">
        <v>-3.0728909999999998</v>
      </c>
      <c r="T4337">
        <v>-0.2019213</v>
      </c>
      <c r="U4337">
        <v>9.3704220000000005E-2</v>
      </c>
      <c r="V4337">
        <v>0.33139629999999998</v>
      </c>
      <c r="W4337">
        <v>0.14830170000000001</v>
      </c>
      <c r="X4337">
        <v>0.93176340000000002</v>
      </c>
      <c r="Y4337">
        <v>0.39186690000000002</v>
      </c>
      <c r="Z4337">
        <v>3.6432810000000003E-2</v>
      </c>
      <c r="AA4337">
        <v>0.91930029999999996</v>
      </c>
      <c r="AB4337">
        <v>25</v>
      </c>
      <c r="AC4337">
        <v>-16.448799999999999</v>
      </c>
      <c r="AD4337">
        <v>-1.097491899412</v>
      </c>
      <c r="AE4337">
        <v>0.59209999999998697</v>
      </c>
      <c r="AF4337">
        <v>6.5304168838691696</v>
      </c>
      <c r="AG4337">
        <v>-1.097491899412</v>
      </c>
      <c r="AH4337">
        <v>15.0291135160635</v>
      </c>
      <c r="AI4337">
        <v>93.831660730709402</v>
      </c>
      <c r="AJ4337">
        <v>66.514197296415603</v>
      </c>
      <c r="AK4337">
        <v>16.423309234899101</v>
      </c>
      <c r="AL4337">
        <v>81.471479325835901</v>
      </c>
      <c r="AM4337">
        <v>70.421270836043703</v>
      </c>
      <c r="AN4337">
        <v>0.99999996772806898</v>
      </c>
    </row>
    <row r="4338" spans="1:40" x14ac:dyDescent="0.25">
      <c r="A4338" t="str">
        <f>"20190312164114079"</f>
        <v>20190312164114079</v>
      </c>
      <c r="B4338" t="str">
        <f>"1552380074070850"</f>
        <v>1552380074070850</v>
      </c>
      <c r="C4338" t="s">
        <v>40</v>
      </c>
      <c r="D4338">
        <v>5.5526200000000001</v>
      </c>
      <c r="E4338">
        <v>0.52908999999999995</v>
      </c>
      <c r="F4338" t="s">
        <v>41</v>
      </c>
      <c r="G4338">
        <v>-219.0607</v>
      </c>
      <c r="H4338" s="1">
        <v>-1.3997609999999999E-6</v>
      </c>
      <c r="I4338">
        <v>143.2818</v>
      </c>
      <c r="J4338">
        <v>-203.89510000000001</v>
      </c>
      <c r="K4338">
        <v>1.097559</v>
      </c>
      <c r="L4338">
        <v>142.62350000000001</v>
      </c>
      <c r="M4338">
        <v>-0.93764080000000005</v>
      </c>
      <c r="N4338">
        <v>0</v>
      </c>
      <c r="O4338">
        <v>-0.34744740000000002</v>
      </c>
      <c r="P4338">
        <v>-0.98895560000000005</v>
      </c>
      <c r="Q4338">
        <v>0.145627799999999</v>
      </c>
      <c r="R4338">
        <v>-2.7563799999999999E-2</v>
      </c>
      <c r="S4338">
        <v>-3.0725859999999998</v>
      </c>
      <c r="T4338">
        <v>-0.21863379999999999</v>
      </c>
      <c r="U4338">
        <v>0.11524959999999999</v>
      </c>
      <c r="V4338">
        <v>0.32222089999999998</v>
      </c>
      <c r="W4338">
        <v>0.14604159999999999</v>
      </c>
      <c r="X4338">
        <v>0.93533180000000005</v>
      </c>
      <c r="Y4338">
        <v>0.38055359999999999</v>
      </c>
      <c r="Z4338">
        <v>3.7844999999999997E-2</v>
      </c>
      <c r="AA4338">
        <v>0.92398420000000003</v>
      </c>
      <c r="AB4338">
        <v>25</v>
      </c>
      <c r="AC4338">
        <v>-15.1655999999999</v>
      </c>
      <c r="AD4338">
        <v>-1.0975603997609999</v>
      </c>
      <c r="AE4338">
        <v>0.658299999999997</v>
      </c>
      <c r="AF4338">
        <v>5.8562059574992302</v>
      </c>
      <c r="AG4338">
        <v>-1.0975603997609999</v>
      </c>
      <c r="AH4338">
        <v>13.919163711175599</v>
      </c>
      <c r="AI4338">
        <v>94.157040003853794</v>
      </c>
      <c r="AJ4338">
        <v>67.182062630631805</v>
      </c>
      <c r="AK4338">
        <v>15.1407696457703</v>
      </c>
      <c r="AL4338">
        <v>81.602399555890798</v>
      </c>
      <c r="AM4338">
        <v>70.991219911717295</v>
      </c>
      <c r="AN4338">
        <v>1.0000000167092999</v>
      </c>
    </row>
    <row r="4339" spans="1:40" x14ac:dyDescent="0.25">
      <c r="A4339" t="str">
        <f>"20190312164114102"</f>
        <v>20190312164114102</v>
      </c>
      <c r="B4339" t="str">
        <f>"1552380074090370"</f>
        <v>1552380074090370</v>
      </c>
      <c r="C4339" t="s">
        <v>40</v>
      </c>
      <c r="D4339">
        <v>5.3572509999999998</v>
      </c>
      <c r="E4339">
        <v>0.52825889999999998</v>
      </c>
      <c r="F4339" t="s">
        <v>41</v>
      </c>
      <c r="G4339">
        <v>-218.36779999999999</v>
      </c>
      <c r="H4339" s="1">
        <v>-1.7265290000000001E-6</v>
      </c>
      <c r="I4339">
        <v>143.27889999999999</v>
      </c>
      <c r="J4339">
        <v>-204.15219999999999</v>
      </c>
      <c r="K4339">
        <v>1.0976490000000001</v>
      </c>
      <c r="L4339">
        <v>142.54939999999999</v>
      </c>
      <c r="M4339">
        <v>-0.94392330000000002</v>
      </c>
      <c r="N4339">
        <v>0</v>
      </c>
      <c r="O4339">
        <v>-0.33000390000000002</v>
      </c>
      <c r="P4339">
        <v>-0.98949129999999996</v>
      </c>
      <c r="Q4339">
        <v>0.1432813</v>
      </c>
      <c r="R4339">
        <v>-1.9424819999999999E-2</v>
      </c>
      <c r="S4339">
        <v>-3.0716860000000001</v>
      </c>
      <c r="T4339">
        <v>-0.23294519999999999</v>
      </c>
      <c r="U4339">
        <v>0.13908389999999901</v>
      </c>
      <c r="V4339">
        <v>0.31254270000000001</v>
      </c>
      <c r="W4339">
        <v>0.14393069999999999</v>
      </c>
      <c r="X4339">
        <v>0.93893610000000005</v>
      </c>
      <c r="Y4339">
        <v>0.37039499999999997</v>
      </c>
      <c r="Z4339">
        <v>3.8682620000000001E-2</v>
      </c>
      <c r="AA4339">
        <v>0.92806849999999996</v>
      </c>
      <c r="AB4339">
        <v>25</v>
      </c>
      <c r="AC4339">
        <v>-14.215599999999901</v>
      </c>
      <c r="AD4339">
        <v>-1.0976507265290001</v>
      </c>
      <c r="AE4339">
        <v>0.72950000000000104</v>
      </c>
      <c r="AF4339">
        <v>5.3482781358834997</v>
      </c>
      <c r="AG4339">
        <v>-1.0976507265290001</v>
      </c>
      <c r="AH4339">
        <v>13.1004971132484</v>
      </c>
      <c r="AI4339">
        <v>94.435642449479104</v>
      </c>
      <c r="AJ4339">
        <v>67.7922610349775</v>
      </c>
      <c r="AK4339">
        <v>14.192672079296701</v>
      </c>
      <c r="AL4339">
        <v>81.724636637666407</v>
      </c>
      <c r="AM4339">
        <v>71.588999553351101</v>
      </c>
      <c r="AN4339">
        <v>0.99999999280449503</v>
      </c>
    </row>
    <row r="4340" spans="1:40" x14ac:dyDescent="0.25">
      <c r="A4340" t="str">
        <f>"20190312164114124"</f>
        <v>20190312164114124</v>
      </c>
      <c r="B4340" t="str">
        <f>"1552380074120156"</f>
        <v>1552380074120156</v>
      </c>
      <c r="C4340" t="s">
        <v>40</v>
      </c>
      <c r="D4340">
        <v>5.5360139999999998</v>
      </c>
      <c r="E4340">
        <v>0.52712150000000002</v>
      </c>
      <c r="F4340" t="s">
        <v>41</v>
      </c>
      <c r="G4340">
        <v>-217.94759999999999</v>
      </c>
      <c r="H4340" s="1">
        <v>-1.92022E-6</v>
      </c>
      <c r="I4340">
        <v>143.2602</v>
      </c>
      <c r="J4340">
        <v>-204.39750000000001</v>
      </c>
      <c r="K4340">
        <v>1.097729</v>
      </c>
      <c r="L4340">
        <v>142.4829</v>
      </c>
      <c r="M4340">
        <v>-0.94950259999999997</v>
      </c>
      <c r="N4340">
        <v>0</v>
      </c>
      <c r="O4340">
        <v>-0.31359540000000002</v>
      </c>
      <c r="P4340">
        <v>-0.98986830000000003</v>
      </c>
      <c r="Q4340">
        <v>0.14138909999999999</v>
      </c>
      <c r="R4340">
        <v>-1.304461E-2</v>
      </c>
      <c r="S4340">
        <v>-3.0703580000000001</v>
      </c>
      <c r="T4340">
        <v>-0.2442986</v>
      </c>
      <c r="U4340">
        <v>0.15820310000000001</v>
      </c>
      <c r="V4340">
        <v>0.30228050000000001</v>
      </c>
      <c r="W4340">
        <v>0.14228979999999999</v>
      </c>
      <c r="X4340">
        <v>0.94253920000000002</v>
      </c>
      <c r="Y4340">
        <v>0.35995159999999998</v>
      </c>
      <c r="Z4340">
        <v>3.8913040000000003E-2</v>
      </c>
      <c r="AA4340">
        <v>0.93215910000000002</v>
      </c>
      <c r="AB4340">
        <v>25</v>
      </c>
      <c r="AC4340">
        <v>-13.550099999999899</v>
      </c>
      <c r="AD4340">
        <v>-1.0977309202200001</v>
      </c>
      <c r="AE4340">
        <v>0.77729999999999599</v>
      </c>
      <c r="AF4340">
        <v>4.9551393701155799</v>
      </c>
      <c r="AG4340">
        <v>-1.0977309202200001</v>
      </c>
      <c r="AH4340">
        <v>12.5407103513518</v>
      </c>
      <c r="AI4340">
        <v>94.654120909777703</v>
      </c>
      <c r="AJ4340">
        <v>68.439819805672101</v>
      </c>
      <c r="AK4340">
        <v>13.5287780478127</v>
      </c>
      <c r="AL4340">
        <v>81.819631284434394</v>
      </c>
      <c r="AM4340">
        <v>72.2185033990189</v>
      </c>
      <c r="AN4340">
        <v>1.00000001570046</v>
      </c>
    </row>
    <row r="4341" spans="1:40" x14ac:dyDescent="0.25">
      <c r="A4341" t="str">
        <f>"20190312164114145"</f>
        <v>20190312164114145</v>
      </c>
      <c r="B4341" t="str">
        <f>"1552380074140652"</f>
        <v>1552380074140652</v>
      </c>
      <c r="C4341" t="s">
        <v>40</v>
      </c>
      <c r="D4341">
        <v>5.5874300000000003</v>
      </c>
      <c r="E4341">
        <v>0.52673210000000004</v>
      </c>
      <c r="F4341" t="s">
        <v>41</v>
      </c>
      <c r="G4341">
        <v>-217.56290000000001</v>
      </c>
      <c r="H4341" s="1">
        <v>-2.0889789999999999E-6</v>
      </c>
      <c r="I4341">
        <v>143.21109999999999</v>
      </c>
      <c r="J4341">
        <v>-204.64250000000001</v>
      </c>
      <c r="K4341">
        <v>1.09782</v>
      </c>
      <c r="L4341">
        <v>142.42060000000001</v>
      </c>
      <c r="M4341">
        <v>-0.95468439999999999</v>
      </c>
      <c r="N4341">
        <v>0</v>
      </c>
      <c r="O4341">
        <v>-0.29745300000000002</v>
      </c>
      <c r="P4341">
        <v>-0.99004199999999998</v>
      </c>
      <c r="Q4341">
        <v>0.1406181</v>
      </c>
      <c r="R4341">
        <v>-6.613514E-3</v>
      </c>
      <c r="S4341">
        <v>-3.0694889999999999</v>
      </c>
      <c r="T4341">
        <v>-0.25593379999999999</v>
      </c>
      <c r="U4341">
        <v>0.16976930000000001</v>
      </c>
      <c r="V4341">
        <v>0.2923656</v>
      </c>
      <c r="W4341">
        <v>0.14175650000000001</v>
      </c>
      <c r="X4341">
        <v>0.94574179999999997</v>
      </c>
      <c r="Y4341">
        <v>0.34752149999999998</v>
      </c>
      <c r="Z4341">
        <v>3.8957119999999998E-2</v>
      </c>
      <c r="AA4341">
        <v>0.93686239999999998</v>
      </c>
      <c r="AB4341">
        <v>25</v>
      </c>
      <c r="AC4341">
        <v>-12.920400000000001</v>
      </c>
      <c r="AD4341">
        <v>-1.097822088979</v>
      </c>
      <c r="AE4341">
        <v>0.79049999999998</v>
      </c>
      <c r="AF4341">
        <v>4.5652818056228801</v>
      </c>
      <c r="AG4341">
        <v>-1.097822088979</v>
      </c>
      <c r="AH4341">
        <v>12.013956910441699</v>
      </c>
      <c r="AI4341">
        <v>94.882327559883905</v>
      </c>
      <c r="AJ4341">
        <v>69.193299920093594</v>
      </c>
      <c r="AK4341">
        <v>12.8989213483047</v>
      </c>
      <c r="AL4341">
        <v>81.850500317717604</v>
      </c>
      <c r="AM4341">
        <v>72.821585408855597</v>
      </c>
      <c r="AN4341">
        <v>1.00000005081142</v>
      </c>
    </row>
    <row r="4342" spans="1:40" x14ac:dyDescent="0.25">
      <c r="A4342" t="str">
        <f>"20190312164114168"</f>
        <v>20190312164114168</v>
      </c>
      <c r="B4342" t="str">
        <f>"1552380074160172"</f>
        <v>1552380074160172</v>
      </c>
      <c r="C4342" t="s">
        <v>40</v>
      </c>
      <c r="D4342">
        <v>5.4454029999999998</v>
      </c>
      <c r="E4342">
        <v>0.49896069999999998</v>
      </c>
      <c r="F4342" t="s">
        <v>41</v>
      </c>
      <c r="G4342">
        <v>-217.6026</v>
      </c>
      <c r="H4342" s="1">
        <v>-2.0683269999999999E-6</v>
      </c>
      <c r="I4342">
        <v>143.2039</v>
      </c>
      <c r="J4342">
        <v>-204.90969999999999</v>
      </c>
      <c r="K4342">
        <v>1.097926</v>
      </c>
      <c r="L4342">
        <v>142.35730000000001</v>
      </c>
      <c r="M4342">
        <v>-0.9599067</v>
      </c>
      <c r="N4342">
        <v>0</v>
      </c>
      <c r="O4342">
        <v>-0.28014889999999998</v>
      </c>
      <c r="P4342">
        <v>-0.99015620000000004</v>
      </c>
      <c r="Q4342">
        <v>0.13996700000000001</v>
      </c>
      <c r="R4342">
        <v>3.305208E-4</v>
      </c>
      <c r="S4342">
        <v>-3.068314</v>
      </c>
      <c r="T4342">
        <v>-0.25991009999999998</v>
      </c>
      <c r="U4342">
        <v>0.1854401</v>
      </c>
      <c r="V4342">
        <v>0.28183439999999998</v>
      </c>
      <c r="W4342">
        <v>0.1413567</v>
      </c>
      <c r="X4342">
        <v>0.94899299999999998</v>
      </c>
      <c r="Y4342">
        <v>0.33537790000000001</v>
      </c>
      <c r="Z4342">
        <v>3.7642290000000002E-2</v>
      </c>
      <c r="AA4342">
        <v>0.94133140000000004</v>
      </c>
      <c r="AB4342">
        <v>25</v>
      </c>
      <c r="AC4342">
        <v>-12.6929</v>
      </c>
      <c r="AD4342">
        <v>-1.0979280683270001</v>
      </c>
      <c r="AE4342">
        <v>0.84659999999999502</v>
      </c>
      <c r="AF4342">
        <v>4.3364657250428298</v>
      </c>
      <c r="AG4342">
        <v>-1.0979280683270001</v>
      </c>
      <c r="AH4342">
        <v>11.8590593193952</v>
      </c>
      <c r="AI4342">
        <v>94.9693998209749</v>
      </c>
      <c r="AJ4342">
        <v>69.914205543016095</v>
      </c>
      <c r="AK4342">
        <v>12.674686148722801</v>
      </c>
      <c r="AL4342">
        <v>81.873640012548293</v>
      </c>
      <c r="AM4342">
        <v>73.459497099503906</v>
      </c>
      <c r="AN4342">
        <v>1.00000002985362</v>
      </c>
    </row>
    <row r="4343" spans="1:40" x14ac:dyDescent="0.25">
      <c r="A4343" t="str">
        <f>"20190312164114191"</f>
        <v>20190312164114191</v>
      </c>
      <c r="B4343" t="str">
        <f>"1552380074180668"</f>
        <v>1552380074180668</v>
      </c>
      <c r="C4343" t="s">
        <v>40</v>
      </c>
      <c r="D4343">
        <v>5.4002660000000002</v>
      </c>
      <c r="E4343">
        <v>0.4982047</v>
      </c>
      <c r="F4343" t="s">
        <v>41</v>
      </c>
      <c r="G4343">
        <v>-220.9212</v>
      </c>
      <c r="H4343" s="1">
        <v>-4.4350510000000002E-6</v>
      </c>
      <c r="I4343">
        <v>142.2801</v>
      </c>
      <c r="J4343">
        <v>-205.17</v>
      </c>
      <c r="K4343">
        <v>1.0980479999999999</v>
      </c>
      <c r="L4343">
        <v>142.30000000000001</v>
      </c>
      <c r="M4343">
        <v>-0.96457280000000001</v>
      </c>
      <c r="N4343">
        <v>0</v>
      </c>
      <c r="O4343">
        <v>-0.26364120000000002</v>
      </c>
      <c r="P4343">
        <v>-0.99052269999999998</v>
      </c>
      <c r="Q4343">
        <v>0.13722290000000001</v>
      </c>
      <c r="R4343">
        <v>5.8986680000000001E-3</v>
      </c>
      <c r="S4343">
        <v>-3.0594939999999999</v>
      </c>
      <c r="T4343">
        <v>-0.20979500000000001</v>
      </c>
      <c r="U4343">
        <v>-1.4755249999999999E-2</v>
      </c>
      <c r="V4343">
        <v>0.27083269999999998</v>
      </c>
      <c r="W4343">
        <v>0.13888599999999901</v>
      </c>
      <c r="X4343">
        <v>0.95255460000000003</v>
      </c>
      <c r="Y4343">
        <v>0.2577854</v>
      </c>
      <c r="Z4343">
        <v>2.6720210000000001E-2</v>
      </c>
      <c r="AA4343">
        <v>0.96583269999999999</v>
      </c>
      <c r="AB4343">
        <v>25</v>
      </c>
      <c r="AC4343">
        <v>-15.751200000000001</v>
      </c>
      <c r="AD4343">
        <v>-1.0980524350509999</v>
      </c>
      <c r="AE4343">
        <v>-1.9900000000006898E-2</v>
      </c>
      <c r="AF4343">
        <v>4.1136701242990004</v>
      </c>
      <c r="AG4343">
        <v>-1.0980524350509999</v>
      </c>
      <c r="AH4343">
        <v>15.125622059735599</v>
      </c>
      <c r="AI4343">
        <v>94.0070827783846</v>
      </c>
      <c r="AJ4343">
        <v>74.785433568350797</v>
      </c>
      <c r="AK4343">
        <v>15.713447862758599</v>
      </c>
      <c r="AL4343">
        <v>82.016610747860497</v>
      </c>
      <c r="AM4343">
        <v>74.128356539374096</v>
      </c>
      <c r="AN4343">
        <v>0.99999996918322398</v>
      </c>
    </row>
    <row r="4344" spans="1:40" x14ac:dyDescent="0.25">
      <c r="A4344" t="str">
        <f>"20190312164114212"</f>
        <v>20190312164114212</v>
      </c>
      <c r="B4344" t="str">
        <f>"1552380074200188"</f>
        <v>1552380074200188</v>
      </c>
      <c r="C4344" t="s">
        <v>40</v>
      </c>
      <c r="D4344">
        <v>5.5005110000000004</v>
      </c>
      <c r="E4344">
        <v>0.49669029999999997</v>
      </c>
      <c r="F4344" t="s">
        <v>41</v>
      </c>
      <c r="G4344">
        <v>-220.82140000000001</v>
      </c>
      <c r="H4344" s="1">
        <v>-4.4693889999999998E-6</v>
      </c>
      <c r="I4344">
        <v>142.28229999999999</v>
      </c>
      <c r="J4344">
        <v>-205.4203</v>
      </c>
      <c r="K4344">
        <v>1.09819</v>
      </c>
      <c r="L4344">
        <v>142.24889999999999</v>
      </c>
      <c r="M4344">
        <v>-0.96868489999999996</v>
      </c>
      <c r="N4344">
        <v>0</v>
      </c>
      <c r="O4344">
        <v>-0.2481131</v>
      </c>
      <c r="P4344">
        <v>-0.99079079999999997</v>
      </c>
      <c r="Q4344">
        <v>0.1349494</v>
      </c>
      <c r="R4344">
        <v>1.1058470000000001E-2</v>
      </c>
      <c r="S4344">
        <v>-3.0584410000000002</v>
      </c>
      <c r="T4344">
        <v>-0.21457039999999999</v>
      </c>
      <c r="U4344">
        <v>-3.4637449999999998E-3</v>
      </c>
      <c r="V4344">
        <v>0.26042179999999998</v>
      </c>
      <c r="W4344">
        <v>0.1368731</v>
      </c>
      <c r="X4344">
        <v>0.95574380000000003</v>
      </c>
      <c r="Y4344">
        <v>0.2458226</v>
      </c>
      <c r="Z4344">
        <v>2.5859839999999999E-2</v>
      </c>
      <c r="AA4344">
        <v>0.96896979999999999</v>
      </c>
      <c r="AB4344">
        <v>26</v>
      </c>
      <c r="AC4344">
        <v>-15.4011</v>
      </c>
      <c r="AD4344">
        <v>-1.098194469389</v>
      </c>
      <c r="AE4344">
        <v>3.3400000000000298E-2</v>
      </c>
      <c r="AF4344">
        <v>3.83424567602537</v>
      </c>
      <c r="AG4344">
        <v>-1.098194469389</v>
      </c>
      <c r="AH4344">
        <v>14.8357597428463</v>
      </c>
      <c r="AI4344">
        <v>94.0993009475864</v>
      </c>
      <c r="AJ4344">
        <v>75.5092045845375</v>
      </c>
      <c r="AK4344">
        <v>15.3625270754578</v>
      </c>
      <c r="AL4344">
        <v>82.133053720017202</v>
      </c>
      <c r="AM4344">
        <v>74.758028265266603</v>
      </c>
      <c r="AN4344">
        <v>0.99999998532864498</v>
      </c>
    </row>
    <row r="4345" spans="1:40" x14ac:dyDescent="0.25">
      <c r="A4345" t="str">
        <f>"20190312164114234"</f>
        <v>20190312164114234</v>
      </c>
      <c r="B4345" t="str">
        <f>"1552380074229975"</f>
        <v>1552380074229975</v>
      </c>
      <c r="C4345" t="s">
        <v>40</v>
      </c>
      <c r="D4345">
        <v>5.356751</v>
      </c>
      <c r="E4345">
        <v>0.49520639999999999</v>
      </c>
      <c r="F4345" t="s">
        <v>41</v>
      </c>
      <c r="G4345">
        <v>-220.14179999999999</v>
      </c>
      <c r="H4345" s="1">
        <v>-4.6951140000000001E-6</v>
      </c>
      <c r="I4345">
        <v>142.251</v>
      </c>
      <c r="J4345">
        <v>-205.6712</v>
      </c>
      <c r="K4345">
        <v>1.0983499999999999</v>
      </c>
      <c r="L4345">
        <v>142.2013</v>
      </c>
      <c r="M4345">
        <v>-0.97244779999999997</v>
      </c>
      <c r="N4345">
        <v>0</v>
      </c>
      <c r="O4345">
        <v>-0.23293610000000001</v>
      </c>
      <c r="P4345">
        <v>-0.99088390000000004</v>
      </c>
      <c r="Q4345">
        <v>0.13359799999999999</v>
      </c>
      <c r="R4345">
        <v>1.7339960000000001E-2</v>
      </c>
      <c r="S4345">
        <v>-3.0589750000000002</v>
      </c>
      <c r="T4345">
        <v>-0.22819439999999999</v>
      </c>
      <c r="U4345">
        <v>4.4250490000000001E-4</v>
      </c>
      <c r="V4345">
        <v>0.2514518</v>
      </c>
      <c r="W4345">
        <v>0.13574549999999999</v>
      </c>
      <c r="X4345">
        <v>0.95830329999999997</v>
      </c>
      <c r="Y4345">
        <v>0.2318045</v>
      </c>
      <c r="Z4345">
        <v>2.5866279999999998E-2</v>
      </c>
      <c r="AA4345">
        <v>0.97241840000000002</v>
      </c>
      <c r="AB4345">
        <v>26</v>
      </c>
      <c r="AC4345">
        <v>-14.4705999999999</v>
      </c>
      <c r="AD4345">
        <v>-1.098354695114</v>
      </c>
      <c r="AE4345">
        <v>4.9700000000001403E-2</v>
      </c>
      <c r="AF4345">
        <v>3.39961729033076</v>
      </c>
      <c r="AG4345">
        <v>-1.098354695114</v>
      </c>
      <c r="AH4345">
        <v>13.9803884780567</v>
      </c>
      <c r="AI4345">
        <v>94.365454482904497</v>
      </c>
      <c r="AJ4345">
        <v>76.332630952224804</v>
      </c>
      <c r="AK4345">
        <v>14.429658442055199</v>
      </c>
      <c r="AL4345">
        <v>82.198269508566497</v>
      </c>
      <c r="AM4345">
        <v>75.297447230966796</v>
      </c>
      <c r="AN4345">
        <v>1.00000003164218</v>
      </c>
    </row>
    <row r="4346" spans="1:40" x14ac:dyDescent="0.25">
      <c r="A4346" t="str">
        <f>"20190312164114257"</f>
        <v>20190312164114257</v>
      </c>
      <c r="B4346" t="str">
        <f>"1552380074250471"</f>
        <v>1552380074250471</v>
      </c>
      <c r="C4346" t="s">
        <v>40</v>
      </c>
      <c r="D4346">
        <v>5.4479959999999998</v>
      </c>
      <c r="E4346">
        <v>0.49424000000000001</v>
      </c>
      <c r="F4346" t="s">
        <v>41</v>
      </c>
      <c r="G4346">
        <v>-216.5094</v>
      </c>
      <c r="H4346" s="1">
        <v>-2.3213539999999999E-6</v>
      </c>
      <c r="I4346">
        <v>142.21279999999999</v>
      </c>
      <c r="J4346">
        <v>-205.93819999999999</v>
      </c>
      <c r="K4346">
        <v>1.0985750000000001</v>
      </c>
      <c r="L4346">
        <v>142.15459999999999</v>
      </c>
      <c r="M4346">
        <v>-0.9760759</v>
      </c>
      <c r="N4346">
        <v>0</v>
      </c>
      <c r="O4346">
        <v>-0.2172403</v>
      </c>
      <c r="P4346">
        <v>-0.99088609999999999</v>
      </c>
      <c r="Q4346">
        <v>0.13260169999999999</v>
      </c>
      <c r="R4346">
        <v>2.3699379999999999E-2</v>
      </c>
      <c r="S4346">
        <v>-3.0695039999999998</v>
      </c>
      <c r="T4346">
        <v>-0.31106719999999999</v>
      </c>
      <c r="U4346">
        <v>3.2348630000000001E-3</v>
      </c>
      <c r="V4346">
        <v>0.24205850000000001</v>
      </c>
      <c r="W4346">
        <v>0.134992</v>
      </c>
      <c r="X4346">
        <v>0.96082509999999999</v>
      </c>
      <c r="Y4346">
        <v>0.21607170000000001</v>
      </c>
      <c r="Z4346">
        <v>3.2748159999999998E-2</v>
      </c>
      <c r="AA4346">
        <v>0.97582820000000003</v>
      </c>
      <c r="AB4346">
        <v>26</v>
      </c>
      <c r="AC4346">
        <v>-10.571199999999999</v>
      </c>
      <c r="AD4346">
        <v>-1.098577321354</v>
      </c>
      <c r="AE4346">
        <v>5.8199999999999301E-2</v>
      </c>
      <c r="AF4346">
        <v>2.3282516297253202</v>
      </c>
      <c r="AG4346">
        <v>-1.098577321354</v>
      </c>
      <c r="AH4346">
        <v>10.195964972917601</v>
      </c>
      <c r="AI4346">
        <v>95.996497109939099</v>
      </c>
      <c r="AJ4346">
        <v>77.137039852476605</v>
      </c>
      <c r="AK4346">
        <v>10.515955948522899</v>
      </c>
      <c r="AL4346">
        <v>82.2418428303978</v>
      </c>
      <c r="AM4346">
        <v>75.859849324444497</v>
      </c>
      <c r="AN4346">
        <v>1.0000000151381201</v>
      </c>
    </row>
    <row r="4347" spans="1:40" x14ac:dyDescent="0.25">
      <c r="A4347" t="str">
        <f>"20190312164114279"</f>
        <v>20190312164114279</v>
      </c>
      <c r="B4347" t="str">
        <f>"1552380074269990"</f>
        <v>1552380074269990</v>
      </c>
      <c r="C4347" t="s">
        <v>40</v>
      </c>
      <c r="D4347">
        <v>5.605639</v>
      </c>
      <c r="E4347">
        <v>0.49574659999999898</v>
      </c>
      <c r="F4347" t="s">
        <v>41</v>
      </c>
      <c r="G4347">
        <v>-218.203</v>
      </c>
      <c r="H4347" s="1">
        <v>-1.5190120000000001E-6</v>
      </c>
      <c r="I4347">
        <v>142.20599999999999</v>
      </c>
      <c r="J4347">
        <v>-206.20230000000001</v>
      </c>
      <c r="K4347">
        <v>1.098835</v>
      </c>
      <c r="L4347">
        <v>142.1122</v>
      </c>
      <c r="M4347">
        <v>-0.97929359999999999</v>
      </c>
      <c r="N4347">
        <v>0</v>
      </c>
      <c r="O4347">
        <v>-0.20224919999999999</v>
      </c>
      <c r="P4347">
        <v>-0.99111130000000003</v>
      </c>
      <c r="Q4347">
        <v>0.12989100000000001</v>
      </c>
      <c r="R4347">
        <v>2.8753419999999998E-2</v>
      </c>
      <c r="S4347">
        <v>-3.0639949999999998</v>
      </c>
      <c r="T4347">
        <v>-0.27444839999999998</v>
      </c>
      <c r="U4347">
        <v>1.286316E-2</v>
      </c>
      <c r="V4347">
        <v>0.23211010000000001</v>
      </c>
      <c r="W4347">
        <v>0.13254749999999901</v>
      </c>
      <c r="X4347">
        <v>0.96361609999999998</v>
      </c>
      <c r="Y4347">
        <v>0.2047455</v>
      </c>
      <c r="Z4347">
        <v>2.713904E-2</v>
      </c>
      <c r="AA4347">
        <v>0.9784389</v>
      </c>
      <c r="AB4347">
        <v>26</v>
      </c>
      <c r="AC4347">
        <v>-12.000699999999901</v>
      </c>
      <c r="AD4347">
        <v>-1.098836519012</v>
      </c>
      <c r="AE4347">
        <v>9.3800000000015801E-2</v>
      </c>
      <c r="AF4347">
        <v>2.4981463422816099</v>
      </c>
      <c r="AG4347">
        <v>-1.098836519012</v>
      </c>
      <c r="AH4347">
        <v>11.636151094788699</v>
      </c>
      <c r="AI4347">
        <v>95.275116719446203</v>
      </c>
      <c r="AJ4347">
        <v>77.883186976234896</v>
      </c>
      <c r="AK4347">
        <v>11.951911526769299</v>
      </c>
      <c r="AL4347">
        <v>82.383172210999703</v>
      </c>
      <c r="AM4347">
        <v>76.456924924987106</v>
      </c>
      <c r="AN4347">
        <v>0.99999996322873397</v>
      </c>
    </row>
    <row r="4348" spans="1:40" x14ac:dyDescent="0.25">
      <c r="A4348" t="str">
        <f>"20190312164114303"</f>
        <v>20190312164114303</v>
      </c>
      <c r="B4348" t="str">
        <f>"1552380074290486"</f>
        <v>1552380074290486</v>
      </c>
      <c r="C4348" t="s">
        <v>40</v>
      </c>
      <c r="D4348">
        <v>5.4916799999999997</v>
      </c>
      <c r="E4348">
        <v>0.4948766</v>
      </c>
      <c r="F4348" t="s">
        <v>42</v>
      </c>
      <c r="G4348">
        <v>-207.16900000000001</v>
      </c>
      <c r="H4348">
        <v>1.0117430000000001</v>
      </c>
      <c r="I4348">
        <v>142.12520000000001</v>
      </c>
      <c r="J4348">
        <v>-206.47739999999999</v>
      </c>
      <c r="K4348">
        <v>1.099132</v>
      </c>
      <c r="L4348">
        <v>142.0719</v>
      </c>
      <c r="M4348">
        <v>-0.98227779999999998</v>
      </c>
      <c r="N4348">
        <v>0</v>
      </c>
      <c r="O4348">
        <v>-0.18722900000000001</v>
      </c>
      <c r="P4348">
        <v>-0.99147280000000004</v>
      </c>
      <c r="Q4348">
        <v>0.12566949999999999</v>
      </c>
      <c r="R4348">
        <v>3.4484220000000003E-2</v>
      </c>
      <c r="S4348">
        <v>-3.0618129999999999</v>
      </c>
      <c r="T4348">
        <v>-0.27547670000000002</v>
      </c>
      <c r="U4348">
        <v>4.0985109999999998E-2</v>
      </c>
      <c r="V4348">
        <v>0.22279460000000001</v>
      </c>
      <c r="W4348">
        <v>0.12857299999999999</v>
      </c>
      <c r="X4348">
        <v>0.96634960000000003</v>
      </c>
      <c r="Y4348">
        <v>0.19881399999999999</v>
      </c>
      <c r="Z4348">
        <v>2.5666769999999998E-2</v>
      </c>
      <c r="AA4348">
        <v>0.97970109999999999</v>
      </c>
      <c r="AB4348">
        <v>26</v>
      </c>
      <c r="AC4348">
        <v>-0.69160000000002197</v>
      </c>
      <c r="AD4348">
        <v>-8.7388999999999897E-2</v>
      </c>
      <c r="AE4348">
        <v>5.3300000000007203E-2</v>
      </c>
      <c r="AF4348">
        <v>0.17900863388718199</v>
      </c>
      <c r="AG4348">
        <v>-8.7388999999999897E-2</v>
      </c>
      <c r="AH4348">
        <v>0.658930781182825</v>
      </c>
      <c r="AI4348">
        <v>97.293280768984701</v>
      </c>
      <c r="AJ4348">
        <v>74.801530202856398</v>
      </c>
      <c r="AK4348">
        <v>0.68838267171491396</v>
      </c>
      <c r="AL4348">
        <v>82.612860772217005</v>
      </c>
      <c r="AM4348">
        <v>77.017157681895</v>
      </c>
      <c r="AN4348">
        <v>0.99999999976915999</v>
      </c>
    </row>
    <row r="4349" spans="1:40" x14ac:dyDescent="0.25">
      <c r="A4349" t="str">
        <f>"20190312164114325"</f>
        <v>20190312164114325</v>
      </c>
      <c r="B4349" t="str">
        <f>"1552380074320274"</f>
        <v>1552380074320274</v>
      </c>
      <c r="C4349" t="s">
        <v>40</v>
      </c>
      <c r="D4349">
        <v>5.4886140000000001</v>
      </c>
      <c r="E4349">
        <v>0.49388609999999999</v>
      </c>
      <c r="F4349" t="s">
        <v>42</v>
      </c>
      <c r="G4349">
        <v>-207.40280000000001</v>
      </c>
      <c r="H4349">
        <v>1.014877</v>
      </c>
      <c r="I4349">
        <v>142.0883</v>
      </c>
      <c r="J4349">
        <v>-206.74299999999999</v>
      </c>
      <c r="K4349">
        <v>1.09938799999999</v>
      </c>
      <c r="L4349">
        <v>142.03639999999999</v>
      </c>
      <c r="M4349">
        <v>-0.98484749999999999</v>
      </c>
      <c r="N4349">
        <v>0</v>
      </c>
      <c r="O4349">
        <v>-0.17321210000000001</v>
      </c>
      <c r="P4349">
        <v>-0.99156580000000005</v>
      </c>
      <c r="Q4349">
        <v>0.1231772</v>
      </c>
      <c r="R4349">
        <v>4.0305420000000002E-2</v>
      </c>
      <c r="S4349">
        <v>-3.0592039999999998</v>
      </c>
      <c r="T4349">
        <v>-0.27828920000000001</v>
      </c>
      <c r="U4349">
        <v>5.4107669999999997E-2</v>
      </c>
      <c r="V4349">
        <v>0.21458240000000001</v>
      </c>
      <c r="W4349">
        <v>0.12628159999999999</v>
      </c>
      <c r="X4349">
        <v>0.96850780000000003</v>
      </c>
      <c r="Y4349">
        <v>0.1891167</v>
      </c>
      <c r="Z4349">
        <v>2.425302E-2</v>
      </c>
      <c r="AA4349">
        <v>0.9816551</v>
      </c>
      <c r="AB4349">
        <v>26</v>
      </c>
      <c r="AC4349">
        <v>-0.65980000000001804</v>
      </c>
      <c r="AD4349">
        <v>-8.4510999999999697E-2</v>
      </c>
      <c r="AE4349">
        <v>5.1900000000017599E-2</v>
      </c>
      <c r="AF4349">
        <v>0.162751290702151</v>
      </c>
      <c r="AG4349">
        <v>-8.4510999999999697E-2</v>
      </c>
      <c r="AH4349">
        <v>0.63055480641281103</v>
      </c>
      <c r="AI4349">
        <v>97.394142625650105</v>
      </c>
      <c r="AJ4349">
        <v>75.527365723872094</v>
      </c>
      <c r="AK4349">
        <v>0.656680634430858</v>
      </c>
      <c r="AL4349">
        <v>82.745227445633802</v>
      </c>
      <c r="AM4349">
        <v>77.507364975379005</v>
      </c>
      <c r="AN4349">
        <v>1.00000000377458</v>
      </c>
    </row>
    <row r="4350" spans="1:40" x14ac:dyDescent="0.25">
      <c r="A4350" t="str">
        <f>"20190312164114346"</f>
        <v>20190312164114346</v>
      </c>
      <c r="B4350" t="str">
        <f>"1552380074340770"</f>
        <v>1552380074340770</v>
      </c>
      <c r="C4350" t="s">
        <v>40</v>
      </c>
      <c r="D4350">
        <v>5.4234239999999998</v>
      </c>
      <c r="E4350">
        <v>0.49366290000000002</v>
      </c>
      <c r="F4350" t="s">
        <v>42</v>
      </c>
      <c r="G4350">
        <v>-207.6395</v>
      </c>
      <c r="H4350">
        <v>1.018246</v>
      </c>
      <c r="I4350">
        <v>142.05459999999999</v>
      </c>
      <c r="J4350">
        <v>-207.00120000000001</v>
      </c>
      <c r="K4350">
        <v>1.099626</v>
      </c>
      <c r="L4350">
        <v>142.00489999999999</v>
      </c>
      <c r="M4350">
        <v>-0.98707219999999996</v>
      </c>
      <c r="N4350">
        <v>0</v>
      </c>
      <c r="O4350">
        <v>-0.1600567</v>
      </c>
      <c r="P4350">
        <v>-0.99197860000000004</v>
      </c>
      <c r="Q4350">
        <v>0.1197389</v>
      </c>
      <c r="R4350">
        <v>4.051039E-2</v>
      </c>
      <c r="S4350">
        <v>-3.0573579999999998</v>
      </c>
      <c r="T4350">
        <v>-0.27652480000000002</v>
      </c>
      <c r="U4350">
        <v>6.1843870000000002E-2</v>
      </c>
      <c r="V4350">
        <v>0.2017331</v>
      </c>
      <c r="W4350">
        <v>0.123153399999999</v>
      </c>
      <c r="X4350">
        <v>0.97166710000000001</v>
      </c>
      <c r="Y4350">
        <v>0.17861379999999999</v>
      </c>
      <c r="Z4350">
        <v>2.2465010000000001E-2</v>
      </c>
      <c r="AA4350">
        <v>0.98366279999999995</v>
      </c>
      <c r="AB4350">
        <v>26</v>
      </c>
      <c r="AC4350">
        <v>-0.63829999999998599</v>
      </c>
      <c r="AD4350">
        <v>-8.1379999999999994E-2</v>
      </c>
      <c r="AE4350">
        <v>4.9700000000001403E-2</v>
      </c>
      <c r="AF4350">
        <v>0.14882247324683001</v>
      </c>
      <c r="AG4350">
        <v>-8.1379999999999994E-2</v>
      </c>
      <c r="AH4350">
        <v>0.61222354848974103</v>
      </c>
      <c r="AI4350">
        <v>97.359798050551703</v>
      </c>
      <c r="AJ4350">
        <v>76.337243472347495</v>
      </c>
      <c r="AK4350">
        <v>0.63528616092960299</v>
      </c>
      <c r="AL4350">
        <v>82.925870408549201</v>
      </c>
      <c r="AM4350">
        <v>78.271137554934597</v>
      </c>
      <c r="AN4350">
        <v>0.99999997839478905</v>
      </c>
    </row>
    <row r="4351" spans="1:40" x14ac:dyDescent="0.25">
      <c r="A4351" t="str">
        <f>"20190312164114380"</f>
        <v>20190312164114380</v>
      </c>
      <c r="B4351" t="str">
        <f>"1552380074371026"</f>
        <v>1552380074371026</v>
      </c>
      <c r="C4351" t="s">
        <v>40</v>
      </c>
      <c r="D4351">
        <v>5.3861819999999998</v>
      </c>
      <c r="E4351">
        <v>0.49284699999999998</v>
      </c>
      <c r="F4351" t="s">
        <v>42</v>
      </c>
      <c r="G4351">
        <v>-207.87629999999999</v>
      </c>
      <c r="H4351">
        <v>1.017407</v>
      </c>
      <c r="I4351">
        <v>142.0213</v>
      </c>
      <c r="J4351">
        <v>-207.4085</v>
      </c>
      <c r="K4351">
        <v>1.1000490000000001</v>
      </c>
      <c r="L4351">
        <v>141.96109999999999</v>
      </c>
      <c r="M4351">
        <v>-0.99007500000000004</v>
      </c>
      <c r="N4351">
        <v>0</v>
      </c>
      <c r="O4351">
        <v>-0.14030519999999999</v>
      </c>
      <c r="P4351">
        <v>-0.992259</v>
      </c>
      <c r="Q4351">
        <v>0.11584170000000001</v>
      </c>
      <c r="R4351">
        <v>4.4753689999999999E-2</v>
      </c>
      <c r="S4351">
        <v>-3.05661</v>
      </c>
      <c r="T4351">
        <v>-0.28720489999999999</v>
      </c>
      <c r="U4351">
        <v>5.7205199999999998E-2</v>
      </c>
      <c r="V4351">
        <v>0.18628330000000001</v>
      </c>
      <c r="W4351">
        <v>0.1195978</v>
      </c>
      <c r="X4351">
        <v>0.97518970000000005</v>
      </c>
      <c r="Y4351">
        <v>0.15750310000000001</v>
      </c>
      <c r="Z4351">
        <v>2.050795E-2</v>
      </c>
      <c r="AA4351">
        <v>0.98730549999999995</v>
      </c>
      <c r="AB4351">
        <v>26</v>
      </c>
      <c r="AC4351">
        <v>-0.46779999999998201</v>
      </c>
      <c r="AD4351">
        <v>-8.2642000000000104E-2</v>
      </c>
      <c r="AE4351">
        <v>6.0200000000008899E-2</v>
      </c>
      <c r="AF4351">
        <v>0.121510948487475</v>
      </c>
      <c r="AG4351">
        <v>-8.2642000000000104E-2</v>
      </c>
      <c r="AH4351">
        <v>0.441181144802412</v>
      </c>
      <c r="AI4351">
        <v>100.237010632825</v>
      </c>
      <c r="AJ4351">
        <v>74.601277726862605</v>
      </c>
      <c r="AK4351">
        <v>0.46501119695712001</v>
      </c>
      <c r="AL4351">
        <v>83.131109130171694</v>
      </c>
      <c r="AM4351">
        <v>79.185492707741503</v>
      </c>
      <c r="AN4351">
        <v>1.0000000263049</v>
      </c>
    </row>
    <row r="4352" spans="1:40" x14ac:dyDescent="0.25">
      <c r="A4352" t="str">
        <f>"20190312164114401"</f>
        <v>20190312164114401</v>
      </c>
      <c r="B4352" t="str">
        <f>"1552380074390546"</f>
        <v>1552380074390546</v>
      </c>
      <c r="C4352" t="s">
        <v>40</v>
      </c>
      <c r="D4352">
        <v>5.3401569999999996</v>
      </c>
      <c r="E4352">
        <v>0.49241750000000001</v>
      </c>
      <c r="F4352" t="s">
        <v>42</v>
      </c>
      <c r="G4352">
        <v>-208.35380000000001</v>
      </c>
      <c r="H4352">
        <v>1.0086489999999999</v>
      </c>
      <c r="I4352">
        <v>141.9821</v>
      </c>
      <c r="J4352">
        <v>-207.66839999999999</v>
      </c>
      <c r="K4352">
        <v>1.1003320000000001</v>
      </c>
      <c r="L4352">
        <v>141.93690000000001</v>
      </c>
      <c r="M4352">
        <v>-0.99168840000000003</v>
      </c>
      <c r="N4352">
        <v>0</v>
      </c>
      <c r="O4352">
        <v>-0.12841659999999999</v>
      </c>
      <c r="P4352">
        <v>-0.99226400000000003</v>
      </c>
      <c r="Q4352">
        <v>0.1148214</v>
      </c>
      <c r="R4352">
        <v>4.7207209999999999E-2</v>
      </c>
      <c r="S4352">
        <v>-3.0548099999999998</v>
      </c>
      <c r="T4352">
        <v>-0.29515659999999999</v>
      </c>
      <c r="U4352">
        <v>6.7581180000000005E-2</v>
      </c>
      <c r="V4352">
        <v>0.1768825</v>
      </c>
      <c r="W4352">
        <v>0.11877169999999999</v>
      </c>
      <c r="X4352">
        <v>0.97703930000000005</v>
      </c>
      <c r="Y4352">
        <v>0.14903369999999999</v>
      </c>
      <c r="Z4352">
        <v>1.953856E-2</v>
      </c>
      <c r="AA4352">
        <v>0.98863909999999999</v>
      </c>
      <c r="AB4352">
        <v>27</v>
      </c>
      <c r="AC4352">
        <v>-0.685400000000015</v>
      </c>
      <c r="AD4352">
        <v>-9.1682999999999903E-2</v>
      </c>
      <c r="AE4352">
        <v>4.5199999999994099E-2</v>
      </c>
      <c r="AF4352">
        <v>0.13051994326823599</v>
      </c>
      <c r="AG4352">
        <v>-9.1682999999999903E-2</v>
      </c>
      <c r="AH4352">
        <v>0.66212387527038197</v>
      </c>
      <c r="AI4352">
        <v>97.736481982465804</v>
      </c>
      <c r="AJ4352">
        <v>78.848646608653695</v>
      </c>
      <c r="AK4352">
        <v>0.68106479448200197</v>
      </c>
      <c r="AL4352">
        <v>83.178780551546893</v>
      </c>
      <c r="AM4352">
        <v>79.738358655511107</v>
      </c>
      <c r="AN4352">
        <v>0.99999996463581398</v>
      </c>
    </row>
    <row r="4353" spans="1:40" x14ac:dyDescent="0.25">
      <c r="A4353" t="str">
        <f>"20190312164114423"</f>
        <v>20190312164114423</v>
      </c>
      <c r="B4353" t="str">
        <f>"1552380074420305"</f>
        <v>1552380074420305</v>
      </c>
      <c r="C4353" t="s">
        <v>40</v>
      </c>
      <c r="D4353">
        <v>5.4747629999999896</v>
      </c>
      <c r="E4353">
        <v>0.49187530000000002</v>
      </c>
      <c r="F4353" t="s">
        <v>42</v>
      </c>
      <c r="G4353">
        <v>-208.59649999999999</v>
      </c>
      <c r="H4353">
        <v>1.0111300000000001</v>
      </c>
      <c r="I4353">
        <v>141.959</v>
      </c>
      <c r="J4353">
        <v>-207.9341</v>
      </c>
      <c r="K4353">
        <v>1.1006119999999999</v>
      </c>
      <c r="L4353">
        <v>141.91480000000001</v>
      </c>
      <c r="M4353">
        <v>-0.99313249999999997</v>
      </c>
      <c r="N4353">
        <v>0</v>
      </c>
      <c r="O4353">
        <v>-0.1167338</v>
      </c>
      <c r="P4353">
        <v>-0.99213399999999996</v>
      </c>
      <c r="Q4353">
        <v>0.1145292</v>
      </c>
      <c r="R4353">
        <v>5.05286E-2</v>
      </c>
      <c r="S4353">
        <v>-3.0538789999999998</v>
      </c>
      <c r="T4353">
        <v>-0.29329499999999997</v>
      </c>
      <c r="U4353">
        <v>7.2631840000000003E-2</v>
      </c>
      <c r="V4353">
        <v>0.16855010000000001</v>
      </c>
      <c r="W4353">
        <v>0.1186372</v>
      </c>
      <c r="X4353">
        <v>0.97852749999999999</v>
      </c>
      <c r="Y4353">
        <v>0.13914290000000001</v>
      </c>
      <c r="Z4353">
        <v>1.7834200000000001E-2</v>
      </c>
      <c r="AA4353">
        <v>0.99011170000000004</v>
      </c>
      <c r="AB4353">
        <v>27</v>
      </c>
      <c r="AC4353">
        <v>-0.662399999999991</v>
      </c>
      <c r="AD4353">
        <v>-8.94820000000002E-2</v>
      </c>
      <c r="AE4353">
        <v>4.4199999999989303E-2</v>
      </c>
      <c r="AF4353">
        <v>0.1190615452782</v>
      </c>
      <c r="AG4353">
        <v>-8.94820000000002E-2</v>
      </c>
      <c r="AH4353">
        <v>0.64106455567006504</v>
      </c>
      <c r="AI4353">
        <v>97.814265135776196</v>
      </c>
      <c r="AJ4353">
        <v>79.4786368995928</v>
      </c>
      <c r="AK4353">
        <v>0.65813862097926701</v>
      </c>
      <c r="AL4353">
        <v>83.186541915216495</v>
      </c>
      <c r="AM4353">
        <v>80.226778709653701</v>
      </c>
      <c r="AN4353">
        <v>0.99999999484504998</v>
      </c>
    </row>
    <row r="4354" spans="1:40" x14ac:dyDescent="0.25">
      <c r="A4354" t="str">
        <f>"20190312164114445"</f>
        <v>20190312164114445</v>
      </c>
      <c r="B4354" t="str">
        <f>"1552380074440802"</f>
        <v>1552380074440802</v>
      </c>
      <c r="C4354" t="s">
        <v>40</v>
      </c>
      <c r="D4354">
        <v>5.4704389999999998</v>
      </c>
      <c r="E4354">
        <v>0.49142390000000002</v>
      </c>
      <c r="F4354" t="s">
        <v>42</v>
      </c>
      <c r="G4354">
        <v>-208.84100000000001</v>
      </c>
      <c r="H4354">
        <v>1.015144</v>
      </c>
      <c r="I4354">
        <v>141.93700000000001</v>
      </c>
      <c r="J4354">
        <v>-208.209</v>
      </c>
      <c r="K4354">
        <v>1.1009340000000001</v>
      </c>
      <c r="L4354">
        <v>141.8948</v>
      </c>
      <c r="M4354">
        <v>-0.99442180000000002</v>
      </c>
      <c r="N4354">
        <v>0</v>
      </c>
      <c r="O4354">
        <v>-0.1051979</v>
      </c>
      <c r="P4354">
        <v>-0.9918612</v>
      </c>
      <c r="Q4354">
        <v>0.11543680000000001</v>
      </c>
      <c r="R4354">
        <v>5.3717180000000003E-2</v>
      </c>
      <c r="S4354">
        <v>-3.0531769999999998</v>
      </c>
      <c r="T4354">
        <v>-0.28750530000000002</v>
      </c>
      <c r="U4354">
        <v>7.4142459999999993E-2</v>
      </c>
      <c r="V4354">
        <v>0.16023679999999901</v>
      </c>
      <c r="W4354">
        <v>0.1197001</v>
      </c>
      <c r="X4354">
        <v>0.9797939</v>
      </c>
      <c r="Y4354">
        <v>0.12828019999999901</v>
      </c>
      <c r="Z4354">
        <v>1.5898019999999999E-2</v>
      </c>
      <c r="AA4354">
        <v>0.99161049999999995</v>
      </c>
      <c r="AB4354">
        <v>27</v>
      </c>
      <c r="AC4354">
        <v>-0.63199999999997603</v>
      </c>
      <c r="AD4354">
        <v>-8.5790000000000005E-2</v>
      </c>
      <c r="AE4354">
        <v>4.2200000000008203E-2</v>
      </c>
      <c r="AF4354">
        <v>0.106499175177107</v>
      </c>
      <c r="AG4354">
        <v>-8.5790000000000005E-2</v>
      </c>
      <c r="AH4354">
        <v>0.61281177879585202</v>
      </c>
      <c r="AI4354">
        <v>97.853069340379406</v>
      </c>
      <c r="AJ4354">
        <v>80.141161695173395</v>
      </c>
      <c r="AK4354">
        <v>0.62788555855692396</v>
      </c>
      <c r="AL4354">
        <v>83.125205291457405</v>
      </c>
      <c r="AM4354">
        <v>80.7119943681802</v>
      </c>
      <c r="AN4354">
        <v>1.0000000162457201</v>
      </c>
    </row>
    <row r="4355" spans="1:40" x14ac:dyDescent="0.25">
      <c r="A4355" t="str">
        <f>"20190312164114469"</f>
        <v>20190312164114469</v>
      </c>
      <c r="B4355" t="str">
        <f>"1552380074460322"</f>
        <v>1552380074460322</v>
      </c>
      <c r="C4355" t="s">
        <v>40</v>
      </c>
      <c r="D4355">
        <v>5.3701179999999997</v>
      </c>
      <c r="E4355">
        <v>0.4910679</v>
      </c>
      <c r="F4355" t="s">
        <v>42</v>
      </c>
      <c r="G4355">
        <v>-209.0872</v>
      </c>
      <c r="H4355">
        <v>1.020364</v>
      </c>
      <c r="I4355">
        <v>141.91679999999999</v>
      </c>
      <c r="J4355">
        <v>-208.49590000000001</v>
      </c>
      <c r="K4355">
        <v>1.101305</v>
      </c>
      <c r="L4355">
        <v>141.87649999999999</v>
      </c>
      <c r="M4355">
        <v>-0.99556199999999995</v>
      </c>
      <c r="N4355">
        <v>0</v>
      </c>
      <c r="O4355">
        <v>-9.3810920000000006E-2</v>
      </c>
      <c r="P4355">
        <v>-0.99168559999999994</v>
      </c>
      <c r="Q4355">
        <v>0.1158772</v>
      </c>
      <c r="R4355">
        <v>5.5966019999999998E-2</v>
      </c>
      <c r="S4355">
        <v>-3.05307</v>
      </c>
      <c r="T4355">
        <v>-0.28015839999999997</v>
      </c>
      <c r="U4355">
        <v>7.6721189999999995E-2</v>
      </c>
      <c r="V4355">
        <v>0.15112539999999999</v>
      </c>
      <c r="W4355">
        <v>0.1203075</v>
      </c>
      <c r="X4355">
        <v>0.98116619999999999</v>
      </c>
      <c r="Y4355">
        <v>0.11790580000000001</v>
      </c>
      <c r="Z4355">
        <v>1.3979719999999999E-2</v>
      </c>
      <c r="AA4355">
        <v>0.99292639999999999</v>
      </c>
      <c r="AB4355">
        <v>27</v>
      </c>
      <c r="AC4355">
        <v>-0.59129999999998895</v>
      </c>
      <c r="AD4355">
        <v>-8.0940999999999902E-2</v>
      </c>
      <c r="AE4355">
        <v>4.0300000000002001E-2</v>
      </c>
      <c r="AF4355">
        <v>9.3843904255883695E-2</v>
      </c>
      <c r="AG4355">
        <v>-8.0940999999999902E-2</v>
      </c>
      <c r="AH4355">
        <v>0.57420195134194496</v>
      </c>
      <c r="AI4355">
        <v>97.919979105391505</v>
      </c>
      <c r="AJ4355">
        <v>80.718005111299902</v>
      </c>
      <c r="AK4355">
        <v>0.58742319052952296</v>
      </c>
      <c r="AL4355">
        <v>83.090150025310905</v>
      </c>
      <c r="AM4355">
        <v>81.243755016086496</v>
      </c>
      <c r="AN4355">
        <v>0.99999994655192304</v>
      </c>
    </row>
    <row r="4356" spans="1:40" x14ac:dyDescent="0.25">
      <c r="A4356" t="str">
        <f>"20190312164114491"</f>
        <v>20190312164114491</v>
      </c>
      <c r="B4356" t="str">
        <f>"1552380074480817"</f>
        <v>1552380074480817</v>
      </c>
      <c r="C4356" t="s">
        <v>40</v>
      </c>
      <c r="D4356">
        <v>5.3553360000000003</v>
      </c>
      <c r="E4356">
        <v>0.49060930000000003</v>
      </c>
      <c r="F4356" t="s">
        <v>42</v>
      </c>
      <c r="G4356">
        <v>-209.33459999999999</v>
      </c>
      <c r="H4356">
        <v>1.0255190000000001</v>
      </c>
      <c r="I4356">
        <v>141.89859999999999</v>
      </c>
      <c r="J4356">
        <v>-208.76859999999999</v>
      </c>
      <c r="K4356">
        <v>1.101691</v>
      </c>
      <c r="L4356">
        <v>141.86150000000001</v>
      </c>
      <c r="M4356">
        <v>-0.99646950000000001</v>
      </c>
      <c r="N4356">
        <v>0</v>
      </c>
      <c r="O4356">
        <v>-8.3634260000000002E-2</v>
      </c>
      <c r="P4356">
        <v>-0.99143630000000005</v>
      </c>
      <c r="Q4356">
        <v>0.11681759999999999</v>
      </c>
      <c r="R4356">
        <v>5.8372739999999999E-2</v>
      </c>
      <c r="S4356">
        <v>-3.0528719999999998</v>
      </c>
      <c r="T4356">
        <v>-0.27562449999999999</v>
      </c>
      <c r="U4356">
        <v>8.0139160000000001E-2</v>
      </c>
      <c r="V4356">
        <v>0.1433632</v>
      </c>
      <c r="W4356">
        <v>0.1213871</v>
      </c>
      <c r="X4356">
        <v>0.9821976</v>
      </c>
      <c r="Y4356">
        <v>0.1089745</v>
      </c>
      <c r="Z4356">
        <v>1.2438319999999999E-2</v>
      </c>
      <c r="AA4356">
        <v>0.99396669999999998</v>
      </c>
      <c r="AB4356">
        <v>27</v>
      </c>
      <c r="AC4356">
        <v>-0.56600000000000195</v>
      </c>
      <c r="AD4356">
        <v>-7.6171999999999906E-2</v>
      </c>
      <c r="AE4356">
        <v>3.7099999999981002E-2</v>
      </c>
      <c r="AF4356">
        <v>8.2814784449522796E-2</v>
      </c>
      <c r="AG4356">
        <v>-7.6171999999999906E-2</v>
      </c>
      <c r="AH4356">
        <v>0.55097758996595303</v>
      </c>
      <c r="AI4356">
        <v>97.784825411345196</v>
      </c>
      <c r="AJ4356">
        <v>81.452134538177702</v>
      </c>
      <c r="AK4356">
        <v>0.56234932804450899</v>
      </c>
      <c r="AL4356">
        <v>83.027837044905297</v>
      </c>
      <c r="AM4356">
        <v>81.695655250589098</v>
      </c>
      <c r="AN4356">
        <v>0.99999998030320403</v>
      </c>
    </row>
    <row r="4357" spans="1:40" x14ac:dyDescent="0.25">
      <c r="A4357" t="str">
        <f>"20190312164114515"</f>
        <v>20190312164114515</v>
      </c>
      <c r="B4357" t="str">
        <f>"1552380074511073"</f>
        <v>1552380074511073</v>
      </c>
      <c r="C4357" t="s">
        <v>40</v>
      </c>
      <c r="D4357">
        <v>5.3770129999999998</v>
      </c>
      <c r="E4357">
        <v>0.49014540000000001</v>
      </c>
      <c r="F4357" t="s">
        <v>42</v>
      </c>
      <c r="G4357">
        <v>-209.58179999999999</v>
      </c>
      <c r="H4357">
        <v>1.0279579999999999</v>
      </c>
      <c r="I4357">
        <v>141.88409999999999</v>
      </c>
      <c r="J4357">
        <v>-209.06899999999999</v>
      </c>
      <c r="K4357">
        <v>1.1021479999999999</v>
      </c>
      <c r="L4357">
        <v>141.84739999999999</v>
      </c>
      <c r="M4357">
        <v>-0.99729380000000001</v>
      </c>
      <c r="N4357">
        <v>0</v>
      </c>
      <c r="O4357">
        <v>-7.3167960000000004E-2</v>
      </c>
      <c r="P4357">
        <v>-0.99093180000000003</v>
      </c>
      <c r="Q4357">
        <v>0.11828470000000001</v>
      </c>
      <c r="R4357">
        <v>6.3741580000000006E-2</v>
      </c>
      <c r="S4357">
        <v>-3.053528</v>
      </c>
      <c r="T4357">
        <v>-0.27639789999999997</v>
      </c>
      <c r="U4357">
        <v>8.4060670000000004E-2</v>
      </c>
      <c r="V4357">
        <v>0.13823640000000001</v>
      </c>
      <c r="W4357">
        <v>0.1229437</v>
      </c>
      <c r="X4357">
        <v>0.98273880000000002</v>
      </c>
      <c r="Y4357">
        <v>9.9880079999999996E-2</v>
      </c>
      <c r="Z4357">
        <v>1.1115999999999999E-2</v>
      </c>
      <c r="AA4357">
        <v>0.99493739999999997</v>
      </c>
      <c r="AB4357">
        <v>27</v>
      </c>
      <c r="AC4357">
        <v>-0.51279999999996995</v>
      </c>
      <c r="AD4357">
        <v>-7.4189999999999895E-2</v>
      </c>
      <c r="AE4357">
        <v>3.6699999999996097E-2</v>
      </c>
      <c r="AF4357">
        <v>7.2611028886174905E-2</v>
      </c>
      <c r="AG4357">
        <v>-7.4189999999999895E-2</v>
      </c>
      <c r="AH4357">
        <v>0.49836193268386197</v>
      </c>
      <c r="AI4357">
        <v>98.380102754697603</v>
      </c>
      <c r="AJ4357">
        <v>81.710369825794103</v>
      </c>
      <c r="AK4357">
        <v>0.50905906687171698</v>
      </c>
      <c r="AL4357">
        <v>82.937977508536505</v>
      </c>
      <c r="AM4357">
        <v>81.993055399692594</v>
      </c>
      <c r="AN4357">
        <v>1.0000000023400399</v>
      </c>
    </row>
    <row r="4358" spans="1:40" x14ac:dyDescent="0.25">
      <c r="A4358" t="str">
        <f>"20190312164114537"</f>
        <v>20190312164114537</v>
      </c>
      <c r="B4358" t="str">
        <f>"1552380074531100"</f>
        <v>1552380074531100</v>
      </c>
      <c r="C4358" t="s">
        <v>40</v>
      </c>
      <c r="D4358">
        <v>5.2477099999999997</v>
      </c>
      <c r="E4358">
        <v>0.48982880000000001</v>
      </c>
      <c r="F4358" t="s">
        <v>42</v>
      </c>
      <c r="G4358">
        <v>-209.8323</v>
      </c>
      <c r="H4358">
        <v>1.035093</v>
      </c>
      <c r="I4358">
        <v>141.87010000000001</v>
      </c>
      <c r="J4358">
        <v>-209.33860000000001</v>
      </c>
      <c r="K4358">
        <v>1.1025849999999999</v>
      </c>
      <c r="L4358">
        <v>141.8366</v>
      </c>
      <c r="M4358">
        <v>-0.99789360000000005</v>
      </c>
      <c r="N4358">
        <v>0</v>
      </c>
      <c r="O4358">
        <v>-6.4491290000000007E-2</v>
      </c>
      <c r="P4358">
        <v>-0.99089959999999999</v>
      </c>
      <c r="Q4358">
        <v>0.11727360000000001</v>
      </c>
      <c r="R4358">
        <v>6.6069810000000007E-2</v>
      </c>
      <c r="S4358">
        <v>-3.0536189999999999</v>
      </c>
      <c r="T4358">
        <v>-0.26823930000000001</v>
      </c>
      <c r="U4358">
        <v>9.0972899999999995E-2</v>
      </c>
      <c r="V4358">
        <v>0.1318454</v>
      </c>
      <c r="W4358">
        <v>0.122045</v>
      </c>
      <c r="X4358">
        <v>0.98372850000000001</v>
      </c>
      <c r="Y4358">
        <v>9.3572719999999998E-2</v>
      </c>
      <c r="Z4358">
        <v>9.7525770000000001E-3</v>
      </c>
      <c r="AA4358">
        <v>0.99556469999999997</v>
      </c>
      <c r="AB4358">
        <v>27</v>
      </c>
      <c r="AC4358">
        <v>-0.49369999999998898</v>
      </c>
      <c r="AD4358">
        <v>-6.7491999999999802E-2</v>
      </c>
      <c r="AE4358">
        <v>3.3500000000003603E-2</v>
      </c>
      <c r="AF4358">
        <v>6.4078342053214499E-2</v>
      </c>
      <c r="AG4358">
        <v>-6.7491999999999802E-2</v>
      </c>
      <c r="AH4358">
        <v>0.48155334427715202</v>
      </c>
      <c r="AI4358">
        <v>97.909483962146197</v>
      </c>
      <c r="AJ4358">
        <v>82.420410804621696</v>
      </c>
      <c r="AK4358">
        <v>0.49046388997437701</v>
      </c>
      <c r="AL4358">
        <v>82.989859761771697</v>
      </c>
      <c r="AM4358">
        <v>82.366354844041993</v>
      </c>
      <c r="AN4358">
        <v>0.99999997661920403</v>
      </c>
    </row>
    <row r="4359" spans="1:40" x14ac:dyDescent="0.25">
      <c r="A4359" t="str">
        <f>"20190312164114558"</f>
        <v>20190312164114558</v>
      </c>
      <c r="B4359" t="str">
        <f>"1552380074550620"</f>
        <v>1552380074550620</v>
      </c>
      <c r="C4359" t="s">
        <v>40</v>
      </c>
      <c r="D4359">
        <v>5.4541559999999896</v>
      </c>
      <c r="E4359">
        <v>0.4893846</v>
      </c>
      <c r="F4359" t="s">
        <v>42</v>
      </c>
      <c r="G4359">
        <v>-210.0814</v>
      </c>
      <c r="H4359">
        <v>1.03701</v>
      </c>
      <c r="I4359">
        <v>141.8595</v>
      </c>
      <c r="J4359">
        <v>-209.60140000000001</v>
      </c>
      <c r="K4359">
        <v>1.10302099999999</v>
      </c>
      <c r="L4359">
        <v>141.8278</v>
      </c>
      <c r="M4359">
        <v>-0.99836800000000003</v>
      </c>
      <c r="N4359">
        <v>0</v>
      </c>
      <c r="O4359">
        <v>-5.6694219999999997E-2</v>
      </c>
      <c r="P4359">
        <v>-0.99124350000000006</v>
      </c>
      <c r="Q4359">
        <v>0.1144336</v>
      </c>
      <c r="R4359">
        <v>6.589043E-2</v>
      </c>
      <c r="S4359">
        <v>-3.053207</v>
      </c>
      <c r="T4359">
        <v>-0.26930150000000003</v>
      </c>
      <c r="U4359">
        <v>9.3124390000000001E-2</v>
      </c>
      <c r="V4359">
        <v>0.1238134</v>
      </c>
      <c r="W4359">
        <v>0.1193346</v>
      </c>
      <c r="X4359">
        <v>0.98510379999999997</v>
      </c>
      <c r="Y4359">
        <v>8.6550829999999995E-2</v>
      </c>
      <c r="Z4359">
        <v>8.7976700000000005E-3</v>
      </c>
      <c r="AA4359">
        <v>0.9962086</v>
      </c>
      <c r="AB4359">
        <v>27</v>
      </c>
      <c r="AC4359">
        <v>-0.47999999999998899</v>
      </c>
      <c r="AD4359">
        <v>-6.6010999999999806E-2</v>
      </c>
      <c r="AE4359">
        <v>3.17000000000007E-2</v>
      </c>
      <c r="AF4359">
        <v>5.7774950695929E-2</v>
      </c>
      <c r="AG4359">
        <v>-6.6010999999999806E-2</v>
      </c>
      <c r="AH4359">
        <v>0.468606616203258</v>
      </c>
      <c r="AI4359">
        <v>97.958819487457205</v>
      </c>
      <c r="AJ4359">
        <v>82.971419219171395</v>
      </c>
      <c r="AK4359">
        <v>0.47674684875558898</v>
      </c>
      <c r="AL4359">
        <v>83.146297982920302</v>
      </c>
      <c r="AM4359">
        <v>82.836307105866098</v>
      </c>
      <c r="AN4359">
        <v>1.0000000007755701</v>
      </c>
    </row>
    <row r="4360" spans="1:40" x14ac:dyDescent="0.25">
      <c r="A4360" t="str">
        <f>"20190312164114580"</f>
        <v>20190312164114580</v>
      </c>
      <c r="B4360" t="str">
        <f>"1552380074570140"</f>
        <v>1552380074570140</v>
      </c>
      <c r="C4360" t="s">
        <v>40</v>
      </c>
      <c r="D4360">
        <v>5.6170229999999997</v>
      </c>
      <c r="E4360">
        <v>0.48913420000000002</v>
      </c>
      <c r="F4360" t="s">
        <v>42</v>
      </c>
      <c r="G4360">
        <v>-210.56970000000001</v>
      </c>
      <c r="H4360">
        <v>1.013493</v>
      </c>
      <c r="I4360">
        <v>141.85669999999999</v>
      </c>
      <c r="J4360">
        <v>-209.89169999999999</v>
      </c>
      <c r="K4360">
        <v>1.103485</v>
      </c>
      <c r="L4360">
        <v>141.81970000000001</v>
      </c>
      <c r="M4360">
        <v>-0.99878389999999995</v>
      </c>
      <c r="N4360">
        <v>0</v>
      </c>
      <c r="O4360">
        <v>-4.8843789999999998E-2</v>
      </c>
      <c r="P4360">
        <v>-0.9915062</v>
      </c>
      <c r="Q4360">
        <v>0.111898499999999</v>
      </c>
      <c r="R4360">
        <v>6.6291470000000005E-2</v>
      </c>
      <c r="S4360">
        <v>-3.05307</v>
      </c>
      <c r="T4360">
        <v>-0.28210150000000001</v>
      </c>
      <c r="U4360">
        <v>9.0606690000000004E-2</v>
      </c>
      <c r="V4360">
        <v>0.1162971</v>
      </c>
      <c r="W4360">
        <v>0.11689330000000001</v>
      </c>
      <c r="X4360">
        <v>0.98631179999999996</v>
      </c>
      <c r="Y4360">
        <v>7.7912620000000002E-2</v>
      </c>
      <c r="Z4360">
        <v>8.0932239999999996E-3</v>
      </c>
      <c r="AA4360">
        <v>0.99692729999999996</v>
      </c>
      <c r="AB4360">
        <v>28</v>
      </c>
      <c r="AC4360">
        <v>-0.67800000000002503</v>
      </c>
      <c r="AD4360">
        <v>-8.9992000000000003E-2</v>
      </c>
      <c r="AE4360">
        <v>3.6999999999977697E-2</v>
      </c>
      <c r="AF4360">
        <v>6.8863066482137206E-2</v>
      </c>
      <c r="AG4360">
        <v>-8.9992000000000003E-2</v>
      </c>
      <c r="AH4360">
        <v>0.66372489795585998</v>
      </c>
      <c r="AI4360">
        <v>97.680703201388695</v>
      </c>
      <c r="AJ4360">
        <v>84.076617580670998</v>
      </c>
      <c r="AK4360">
        <v>0.67332861379555198</v>
      </c>
      <c r="AL4360">
        <v>83.287160317106398</v>
      </c>
      <c r="AM4360">
        <v>83.275242268158905</v>
      </c>
      <c r="AN4360">
        <v>1.0000000129362601</v>
      </c>
    </row>
    <row r="4361" spans="1:40" x14ac:dyDescent="0.25">
      <c r="A4361" t="str">
        <f>"20190312164114602"</f>
        <v>20190312164114602</v>
      </c>
      <c r="B4361" t="str">
        <f>"1552380074590636"</f>
        <v>1552380074590636</v>
      </c>
      <c r="C4361" t="s">
        <v>40</v>
      </c>
      <c r="D4361">
        <v>5.4196859999999996</v>
      </c>
      <c r="E4361">
        <v>0.4888904</v>
      </c>
      <c r="F4361" t="s">
        <v>42</v>
      </c>
      <c r="G4361">
        <v>-210.82140000000001</v>
      </c>
      <c r="H4361">
        <v>1.015358</v>
      </c>
      <c r="I4361">
        <v>141.84790000000001</v>
      </c>
      <c r="J4361">
        <v>-210.15369999999999</v>
      </c>
      <c r="K4361">
        <v>1.103826</v>
      </c>
      <c r="L4361">
        <v>141.81370000000001</v>
      </c>
      <c r="M4361">
        <v>-0.99908540000000001</v>
      </c>
      <c r="N4361">
        <v>0</v>
      </c>
      <c r="O4361">
        <v>-4.2255229999999998E-2</v>
      </c>
      <c r="P4361">
        <v>-0.99170230000000004</v>
      </c>
      <c r="Q4361">
        <v>0.11034919999999999</v>
      </c>
      <c r="R4361">
        <v>6.5955040000000006E-2</v>
      </c>
      <c r="S4361">
        <v>-3.0521850000000001</v>
      </c>
      <c r="T4361">
        <v>-0.289305599999999</v>
      </c>
      <c r="U4361">
        <v>9.2452999999999994E-2</v>
      </c>
      <c r="V4361">
        <v>0.1093317</v>
      </c>
      <c r="W4361">
        <v>0.1154023</v>
      </c>
      <c r="X4361">
        <v>0.98728360000000004</v>
      </c>
      <c r="Y4361">
        <v>7.1974969999999999E-2</v>
      </c>
      <c r="Z4361">
        <v>7.3979029999999999E-3</v>
      </c>
      <c r="AA4361">
        <v>0.99737900000000002</v>
      </c>
      <c r="AB4361">
        <v>28</v>
      </c>
      <c r="AC4361">
        <v>-0.66770000000002405</v>
      </c>
      <c r="AD4361">
        <v>-8.8467999999999894E-2</v>
      </c>
      <c r="AE4361">
        <v>3.4199999999998398E-2</v>
      </c>
      <c r="AF4361">
        <v>6.1310365668735899E-2</v>
      </c>
      <c r="AG4361">
        <v>-8.8467999999999894E-2</v>
      </c>
      <c r="AH4361">
        <v>0.65420372963127005</v>
      </c>
      <c r="AI4361">
        <v>97.668193314379195</v>
      </c>
      <c r="AJ4361">
        <v>84.646018452515804</v>
      </c>
      <c r="AK4361">
        <v>0.66299929700256699</v>
      </c>
      <c r="AL4361">
        <v>83.373170428063304</v>
      </c>
      <c r="AM4361">
        <v>83.680817825641697</v>
      </c>
      <c r="AN4361">
        <v>1.00000000914957</v>
      </c>
    </row>
    <row r="4362" spans="1:40" x14ac:dyDescent="0.25">
      <c r="A4362" t="str">
        <f>"20190312164114624"</f>
        <v>20190312164114624</v>
      </c>
      <c r="B4362" t="str">
        <f>"1552380074620424"</f>
        <v>1552380074620424</v>
      </c>
      <c r="C4362" t="s">
        <v>40</v>
      </c>
      <c r="D4362">
        <v>5.4462789999999996</v>
      </c>
      <c r="E4362">
        <v>0.48839650000000001</v>
      </c>
      <c r="F4362" t="s">
        <v>42</v>
      </c>
      <c r="G4362">
        <v>-211.07329999999999</v>
      </c>
      <c r="H4362">
        <v>1.015414</v>
      </c>
      <c r="I4362">
        <v>141.84129999999999</v>
      </c>
      <c r="J4362">
        <v>-210.43219999999999</v>
      </c>
      <c r="K4362">
        <v>1.1041319999999999</v>
      </c>
      <c r="L4362">
        <v>141.80869999999999</v>
      </c>
      <c r="M4362">
        <v>-0.99934060000000002</v>
      </c>
      <c r="N4362">
        <v>0</v>
      </c>
      <c r="O4362">
        <v>-3.573842E-2</v>
      </c>
      <c r="P4362">
        <v>-0.99185259999999997</v>
      </c>
      <c r="Q4362">
        <v>0.1094989</v>
      </c>
      <c r="R4362">
        <v>6.5103839999999996E-2</v>
      </c>
      <c r="S4362">
        <v>-3.0516969999999999</v>
      </c>
      <c r="T4362">
        <v>-0.29309059999999998</v>
      </c>
      <c r="U4362">
        <v>9.0576169999999998E-2</v>
      </c>
      <c r="V4362">
        <v>0.10193869999999999</v>
      </c>
      <c r="W4362">
        <v>0.114589</v>
      </c>
      <c r="X4362">
        <v>0.98816899999999996</v>
      </c>
      <c r="Y4362">
        <v>6.49092E-2</v>
      </c>
      <c r="Z4362">
        <v>6.5328969999999898E-3</v>
      </c>
      <c r="AA4362">
        <v>0.99786980000000003</v>
      </c>
      <c r="AB4362">
        <v>28</v>
      </c>
      <c r="AC4362">
        <v>-0.64109999999999401</v>
      </c>
      <c r="AD4362">
        <v>-8.8717999999999797E-2</v>
      </c>
      <c r="AE4362">
        <v>3.26000000000021E-2</v>
      </c>
      <c r="AF4362">
        <v>5.4451481713419299E-2</v>
      </c>
      <c r="AG4362">
        <v>-8.8717999999999797E-2</v>
      </c>
      <c r="AH4362">
        <v>0.62753887537573105</v>
      </c>
      <c r="AI4362">
        <v>98.017105383339896</v>
      </c>
      <c r="AJ4362">
        <v>85.040872175514394</v>
      </c>
      <c r="AK4362">
        <v>0.63611389506331595</v>
      </c>
      <c r="AL4362">
        <v>83.420080589845497</v>
      </c>
      <c r="AM4362">
        <v>84.110248174912101</v>
      </c>
      <c r="AN4362">
        <v>1.00000005501984</v>
      </c>
    </row>
    <row r="4363" spans="1:40" x14ac:dyDescent="0.25">
      <c r="A4363" t="str">
        <f>"20190312164114647"</f>
        <v>20190312164114647</v>
      </c>
      <c r="B4363" t="str">
        <f>"1552380074640919"</f>
        <v>1552380074640919</v>
      </c>
      <c r="C4363" t="s">
        <v>40</v>
      </c>
      <c r="D4363">
        <v>5.4265030000000003</v>
      </c>
      <c r="E4363">
        <v>0.48817519999999998</v>
      </c>
      <c r="F4363" t="s">
        <v>42</v>
      </c>
      <c r="G4363">
        <v>-211.32679999999999</v>
      </c>
      <c r="H4363">
        <v>1.01685</v>
      </c>
      <c r="I4363">
        <v>141.83410000000001</v>
      </c>
      <c r="J4363">
        <v>-210.72229999999999</v>
      </c>
      <c r="K4363">
        <v>1.1044149999999999</v>
      </c>
      <c r="L4363">
        <v>141.80500000000001</v>
      </c>
      <c r="M4363">
        <v>-0.9995463</v>
      </c>
      <c r="N4363">
        <v>0</v>
      </c>
      <c r="O4363">
        <v>-2.9459550000000001E-2</v>
      </c>
      <c r="P4363">
        <v>-0.99197120000000005</v>
      </c>
      <c r="Q4363">
        <v>0.109172699999999</v>
      </c>
      <c r="R4363">
        <v>6.3831230000000003E-2</v>
      </c>
      <c r="S4363">
        <v>-3.0518649999999998</v>
      </c>
      <c r="T4363">
        <v>-0.2976491</v>
      </c>
      <c r="U4363">
        <v>8.5968020000000006E-2</v>
      </c>
      <c r="V4363">
        <v>9.4367500000000007E-2</v>
      </c>
      <c r="W4363">
        <v>0.1142716</v>
      </c>
      <c r="X4363">
        <v>0.98895739999999999</v>
      </c>
      <c r="Y4363">
        <v>5.7183230000000002E-2</v>
      </c>
      <c r="Z4363">
        <v>5.6472730000000004E-3</v>
      </c>
      <c r="AA4363">
        <v>0.99834769999999995</v>
      </c>
      <c r="AB4363">
        <v>28</v>
      </c>
      <c r="AC4363">
        <v>-0.60450000000000104</v>
      </c>
      <c r="AD4363">
        <v>-8.7564999999999796E-2</v>
      </c>
      <c r="AE4363">
        <v>2.9099999999999598E-2</v>
      </c>
      <c r="AF4363">
        <v>4.5934402320172603E-2</v>
      </c>
      <c r="AG4363">
        <v>-8.7564999999999796E-2</v>
      </c>
      <c r="AH4363">
        <v>0.59100785825892099</v>
      </c>
      <c r="AI4363">
        <v>98.402776675033707</v>
      </c>
      <c r="AJ4363">
        <v>85.5557831479085</v>
      </c>
      <c r="AK4363">
        <v>0.59922273577135599</v>
      </c>
      <c r="AL4363">
        <v>83.438386030123695</v>
      </c>
      <c r="AM4363">
        <v>84.549271427616802</v>
      </c>
      <c r="AN4363">
        <v>0.99999998131878398</v>
      </c>
    </row>
    <row r="4364" spans="1:40" x14ac:dyDescent="0.25">
      <c r="A4364" t="str">
        <f>"20190312164114670"</f>
        <v>20190312164114670</v>
      </c>
      <c r="B4364" t="str">
        <f>"1552380074660443"</f>
        <v>1552380074660443</v>
      </c>
      <c r="C4364" t="s">
        <v>40</v>
      </c>
      <c r="D4364">
        <v>5.4005830000000001</v>
      </c>
      <c r="E4364">
        <v>0.48789650000000001</v>
      </c>
      <c r="F4364" t="s">
        <v>42</v>
      </c>
      <c r="G4364">
        <v>-211.58269999999999</v>
      </c>
      <c r="H4364">
        <v>1.0206599999999999</v>
      </c>
      <c r="I4364">
        <v>141.8279</v>
      </c>
      <c r="J4364">
        <v>-211.01750000000001</v>
      </c>
      <c r="K4364">
        <v>1.104687</v>
      </c>
      <c r="L4364">
        <v>141.80260000000001</v>
      </c>
      <c r="M4364">
        <v>-0.99970409999999998</v>
      </c>
      <c r="N4364">
        <v>0</v>
      </c>
      <c r="O4364">
        <v>-2.3549569999999999E-2</v>
      </c>
      <c r="P4364">
        <v>-0.99194539999999998</v>
      </c>
      <c r="Q4364">
        <v>0.1099415</v>
      </c>
      <c r="R4364">
        <v>6.2903420000000002E-2</v>
      </c>
      <c r="S4364">
        <v>-3.0517880000000002</v>
      </c>
      <c r="T4364">
        <v>-0.29691279999999998</v>
      </c>
      <c r="U4364">
        <v>8.0581669999999994E-2</v>
      </c>
      <c r="V4364">
        <v>8.7512939999999997E-2</v>
      </c>
      <c r="W4364">
        <v>0.1150139</v>
      </c>
      <c r="X4364">
        <v>0.98950150000000003</v>
      </c>
      <c r="Y4364">
        <v>4.9584900000000001E-2</v>
      </c>
      <c r="Z4364">
        <v>4.6914349999999999E-3</v>
      </c>
      <c r="AA4364">
        <v>0.99875890000000001</v>
      </c>
      <c r="AB4364">
        <v>28</v>
      </c>
      <c r="AC4364">
        <v>-0.56519999999997494</v>
      </c>
      <c r="AD4364">
        <v>-8.4026999999999796E-2</v>
      </c>
      <c r="AE4364">
        <v>2.5299999999987201E-2</v>
      </c>
      <c r="AF4364">
        <v>3.7770313740050798E-2</v>
      </c>
      <c r="AG4364">
        <v>-8.4026999999999796E-2</v>
      </c>
      <c r="AH4364">
        <v>0.55226561503652105</v>
      </c>
      <c r="AI4364">
        <v>98.631323200246499</v>
      </c>
      <c r="AJ4364">
        <v>86.087544012722503</v>
      </c>
      <c r="AK4364">
        <v>0.55989681449414297</v>
      </c>
      <c r="AL4364">
        <v>83.395572989213804</v>
      </c>
      <c r="AM4364">
        <v>84.945828958294996</v>
      </c>
      <c r="AN4364">
        <v>0.99999996518145096</v>
      </c>
    </row>
    <row r="4365" spans="1:40" x14ac:dyDescent="0.25">
      <c r="A4365" t="str">
        <f>"20190312164114691"</f>
        <v>20190312164114691</v>
      </c>
      <c r="B4365" t="str">
        <f>"1552380074680935"</f>
        <v>1552380074680935</v>
      </c>
      <c r="C4365" t="s">
        <v>40</v>
      </c>
      <c r="D4365">
        <v>5.6205270000000001</v>
      </c>
      <c r="E4365">
        <v>0.48756850000000002</v>
      </c>
      <c r="F4365" t="s">
        <v>42</v>
      </c>
      <c r="G4365">
        <v>-211.84020000000001</v>
      </c>
      <c r="H4365">
        <v>1.0257700000000001</v>
      </c>
      <c r="I4365">
        <v>141.82239999999999</v>
      </c>
      <c r="J4365">
        <v>-211.29150000000001</v>
      </c>
      <c r="K4365">
        <v>1.104946</v>
      </c>
      <c r="L4365">
        <v>141.8015</v>
      </c>
      <c r="M4365">
        <v>-0.99981189999999998</v>
      </c>
      <c r="N4365">
        <v>0</v>
      </c>
      <c r="O4365">
        <v>-1.847029E-2</v>
      </c>
      <c r="P4365">
        <v>-0.99192279999999999</v>
      </c>
      <c r="Q4365">
        <v>0.11134960000000001</v>
      </c>
      <c r="R4365">
        <v>6.0749589999999999E-2</v>
      </c>
      <c r="S4365">
        <v>-3.0522</v>
      </c>
      <c r="T4365">
        <v>-0.29262080000000001</v>
      </c>
      <c r="U4365">
        <v>7.2677610000000004E-2</v>
      </c>
      <c r="V4365">
        <v>8.0264340000000003E-2</v>
      </c>
      <c r="W4365">
        <v>0.1163965</v>
      </c>
      <c r="X4365">
        <v>0.98995429999999995</v>
      </c>
      <c r="Y4365">
        <v>4.1989039999999998E-2</v>
      </c>
      <c r="Z4365">
        <v>3.7744409999999999E-3</v>
      </c>
      <c r="AA4365">
        <v>0.99911090000000002</v>
      </c>
      <c r="AB4365">
        <v>28</v>
      </c>
      <c r="AC4365">
        <v>-0.54869999999999597</v>
      </c>
      <c r="AD4365">
        <v>-7.9175999999999899E-2</v>
      </c>
      <c r="AE4365">
        <v>2.0899999999983199E-2</v>
      </c>
      <c r="AF4365">
        <v>3.0399212342740699E-2</v>
      </c>
      <c r="AG4365">
        <v>-7.9175999999999899E-2</v>
      </c>
      <c r="AH4365">
        <v>0.53705415204455198</v>
      </c>
      <c r="AI4365">
        <v>98.373291254165196</v>
      </c>
      <c r="AJ4365">
        <v>86.760308135152698</v>
      </c>
      <c r="AK4365">
        <v>0.54370958545472803</v>
      </c>
      <c r="AL4365">
        <v>83.315820502790501</v>
      </c>
      <c r="AM4365">
        <v>85.364664501045098</v>
      </c>
      <c r="AN4365">
        <v>1.0000000127881801</v>
      </c>
    </row>
    <row r="4366" spans="1:40" x14ac:dyDescent="0.25">
      <c r="A4366" t="str">
        <f>"20190312164114715"</f>
        <v>20190312164114715</v>
      </c>
      <c r="B4366" t="str">
        <f>"1552380074710216"</f>
        <v>1552380074710216</v>
      </c>
      <c r="C4366" t="s">
        <v>40</v>
      </c>
      <c r="D4366">
        <v>5.4125379999999996</v>
      </c>
      <c r="E4366">
        <v>0.48728769999999999</v>
      </c>
      <c r="F4366" t="s">
        <v>42</v>
      </c>
      <c r="G4366">
        <v>-212.09790000000001</v>
      </c>
      <c r="H4366">
        <v>1.0289790000000001</v>
      </c>
      <c r="I4366">
        <v>141.8185</v>
      </c>
      <c r="J4366">
        <v>-211.59289999999999</v>
      </c>
      <c r="K4366">
        <v>1.1052420000000001</v>
      </c>
      <c r="L4366">
        <v>141.8015</v>
      </c>
      <c r="M4366">
        <v>-0.99989510000000004</v>
      </c>
      <c r="N4366">
        <v>0</v>
      </c>
      <c r="O4366">
        <v>-1.3299709999999999E-2</v>
      </c>
      <c r="P4366">
        <v>-0.99209369999999997</v>
      </c>
      <c r="Q4366">
        <v>0.1110907</v>
      </c>
      <c r="R4366">
        <v>5.8387550000000003E-2</v>
      </c>
      <c r="S4366">
        <v>-3.0527950000000001</v>
      </c>
      <c r="T4366">
        <v>-0.28748179999999901</v>
      </c>
      <c r="U4366">
        <v>6.3674930000000005E-2</v>
      </c>
      <c r="V4366">
        <v>7.2690400000000002E-2</v>
      </c>
      <c r="W4366">
        <v>0.1160981</v>
      </c>
      <c r="X4366">
        <v>0.99057419999999996</v>
      </c>
      <c r="Y4366">
        <v>3.3939660000000003E-2</v>
      </c>
      <c r="Z4366">
        <v>2.8439200000000002E-3</v>
      </c>
      <c r="AA4366">
        <v>0.99941979999999997</v>
      </c>
      <c r="AB4366">
        <v>28</v>
      </c>
      <c r="AC4366">
        <v>-0.50500000000002299</v>
      </c>
      <c r="AD4366">
        <v>-7.62629999999999E-2</v>
      </c>
      <c r="AE4366">
        <v>1.69999999999959E-2</v>
      </c>
      <c r="AF4366">
        <v>2.31867666045368E-2</v>
      </c>
      <c r="AG4366">
        <v>-7.62629999999999E-2</v>
      </c>
      <c r="AH4366">
        <v>0.49348760238687001</v>
      </c>
      <c r="AI4366">
        <v>98.775398211243896</v>
      </c>
      <c r="AJ4366">
        <v>87.309907007041204</v>
      </c>
      <c r="AK4366">
        <v>0.49988367149179203</v>
      </c>
      <c r="AL4366">
        <v>83.333033876293797</v>
      </c>
      <c r="AM4366">
        <v>85.803038906192199</v>
      </c>
      <c r="AN4366">
        <v>0.99999995439070399</v>
      </c>
    </row>
    <row r="4367" spans="1:40" x14ac:dyDescent="0.25">
      <c r="A4367" t="str">
        <f>"20190312164114738"</f>
        <v>20190312164114738</v>
      </c>
      <c r="B4367" t="str">
        <f>"1552380074730242"</f>
        <v>1552380074730242</v>
      </c>
      <c r="C4367" t="s">
        <v>40</v>
      </c>
      <c r="D4367">
        <v>5.4950349999999997</v>
      </c>
      <c r="E4367">
        <v>0.48711120000000002</v>
      </c>
      <c r="F4367" t="s">
        <v>42</v>
      </c>
      <c r="G4367">
        <v>-212.35740000000001</v>
      </c>
      <c r="H4367">
        <v>1.0335289999999999</v>
      </c>
      <c r="I4367">
        <v>141.81530000000001</v>
      </c>
      <c r="J4367">
        <v>-211.876</v>
      </c>
      <c r="K4367">
        <v>1.105521</v>
      </c>
      <c r="L4367">
        <v>141.80240000000001</v>
      </c>
      <c r="M4367">
        <v>-0.99994530000000004</v>
      </c>
      <c r="N4367">
        <v>0</v>
      </c>
      <c r="O4367">
        <v>-8.8389239999999997E-3</v>
      </c>
      <c r="P4367">
        <v>-0.99227810000000005</v>
      </c>
      <c r="Q4367">
        <v>0.1109328</v>
      </c>
      <c r="R4367">
        <v>5.5481660000000002E-2</v>
      </c>
      <c r="S4367">
        <v>-3.0527190000000002</v>
      </c>
      <c r="T4367">
        <v>-0.28630630000000001</v>
      </c>
      <c r="U4367">
        <v>5.4901119999999998E-2</v>
      </c>
      <c r="V4367">
        <v>6.5279740000000003E-2</v>
      </c>
      <c r="W4367">
        <v>0.11590300000000001</v>
      </c>
      <c r="X4367">
        <v>0.99111309999999997</v>
      </c>
      <c r="Y4367">
        <v>2.666261E-2</v>
      </c>
      <c r="Z4367">
        <v>2.074588E-3</v>
      </c>
      <c r="AA4367">
        <v>0.99964229999999998</v>
      </c>
      <c r="AB4367">
        <v>28</v>
      </c>
      <c r="AC4367">
        <v>-0.48140000000003602</v>
      </c>
      <c r="AD4367">
        <v>-7.1991999999999806E-2</v>
      </c>
      <c r="AE4367">
        <v>1.29000000000019E-2</v>
      </c>
      <c r="AF4367">
        <v>1.6779624459401302E-2</v>
      </c>
      <c r="AG4367">
        <v>-7.1991999999999806E-2</v>
      </c>
      <c r="AH4367">
        <v>0.47074677813691201</v>
      </c>
      <c r="AI4367">
        <v>98.689525681114304</v>
      </c>
      <c r="AJ4367">
        <v>87.958573801605496</v>
      </c>
      <c r="AK4367">
        <v>0.47651540687293797</v>
      </c>
      <c r="AL4367">
        <v>83.344288989077697</v>
      </c>
      <c r="AM4367">
        <v>86.231652110925495</v>
      </c>
      <c r="AN4367">
        <v>1.0000000634275299</v>
      </c>
    </row>
    <row r="4368" spans="1:40" x14ac:dyDescent="0.25">
      <c r="A4368" t="str">
        <f>"20190312164114760"</f>
        <v>20190312164114760</v>
      </c>
      <c r="B4368" t="str">
        <f>"1552380074750738"</f>
        <v>1552380074750738</v>
      </c>
      <c r="C4368" t="s">
        <v>40</v>
      </c>
      <c r="D4368">
        <v>5.6200269999999897</v>
      </c>
      <c r="E4368">
        <v>0.4869252</v>
      </c>
      <c r="F4368" t="s">
        <v>42</v>
      </c>
      <c r="G4368">
        <v>-212.61699999999999</v>
      </c>
      <c r="H4368">
        <v>1.0362049999999901</v>
      </c>
      <c r="I4368">
        <v>141.81360000000001</v>
      </c>
      <c r="J4368">
        <v>-212.1754</v>
      </c>
      <c r="K4368">
        <v>1.1058030000000001</v>
      </c>
      <c r="L4368">
        <v>141.80420000000001</v>
      </c>
      <c r="M4368">
        <v>-0.99997480000000005</v>
      </c>
      <c r="N4368">
        <v>0</v>
      </c>
      <c r="O4368">
        <v>-4.5583969999999996E-3</v>
      </c>
      <c r="P4368">
        <v>-0.99250530000000003</v>
      </c>
      <c r="Q4368">
        <v>0.1102354</v>
      </c>
      <c r="R4368">
        <v>5.2739330000000001E-2</v>
      </c>
      <c r="S4368">
        <v>-3.0527039999999999</v>
      </c>
      <c r="T4368">
        <v>-0.28552899999999998</v>
      </c>
      <c r="U4368">
        <v>4.5455929999999999E-2</v>
      </c>
      <c r="V4368">
        <v>5.8201339999999997E-2</v>
      </c>
      <c r="W4368">
        <v>0.115157</v>
      </c>
      <c r="X4368">
        <v>0.99164079999999999</v>
      </c>
      <c r="Y4368">
        <v>1.934224E-2</v>
      </c>
      <c r="Z4368">
        <v>1.327969E-3</v>
      </c>
      <c r="AA4368">
        <v>0.99981209999999998</v>
      </c>
      <c r="AB4368">
        <v>29</v>
      </c>
      <c r="AC4368">
        <v>-0.44160000000002197</v>
      </c>
      <c r="AD4368">
        <v>-6.9598000000000201E-2</v>
      </c>
      <c r="AE4368">
        <v>9.3999999999994002E-3</v>
      </c>
      <c r="AF4368">
        <v>1.1136427016554399E-2</v>
      </c>
      <c r="AG4368">
        <v>-6.9598000000000201E-2</v>
      </c>
      <c r="AH4368">
        <v>0.43085536129268898</v>
      </c>
      <c r="AI4368">
        <v>99.172969917624599</v>
      </c>
      <c r="AJ4368">
        <v>88.519391222530402</v>
      </c>
      <c r="AK4368">
        <v>0.436582459525516</v>
      </c>
      <c r="AL4368">
        <v>83.387319374854897</v>
      </c>
      <c r="AM4368">
        <v>86.641051896921596</v>
      </c>
      <c r="AN4368">
        <v>1.0000000034257099</v>
      </c>
    </row>
    <row r="4369" spans="1:40" x14ac:dyDescent="0.25">
      <c r="A4369" t="str">
        <f>"20190312164114781"</f>
        <v>20190312164114781</v>
      </c>
      <c r="B4369" t="str">
        <f>"1552380074770258"</f>
        <v>1552380074770258</v>
      </c>
      <c r="C4369" t="s">
        <v>40</v>
      </c>
      <c r="D4369">
        <v>5.4872239999999897</v>
      </c>
      <c r="E4369">
        <v>0.48679919999999999</v>
      </c>
      <c r="F4369" t="s">
        <v>42</v>
      </c>
      <c r="G4369">
        <v>-213.12729999999999</v>
      </c>
      <c r="H4369">
        <v>1.016297</v>
      </c>
      <c r="I4369">
        <v>141.81559999999999</v>
      </c>
      <c r="J4369">
        <v>-212.46100000000001</v>
      </c>
      <c r="K4369">
        <v>1.1060540000000001</v>
      </c>
      <c r="L4369">
        <v>141.80680000000001</v>
      </c>
      <c r="M4369">
        <v>-0.99998560000000003</v>
      </c>
      <c r="N4369">
        <v>0</v>
      </c>
      <c r="O4369">
        <v>-8.6415020000000001E-4</v>
      </c>
      <c r="P4369">
        <v>-0.99262700000000004</v>
      </c>
      <c r="Q4369">
        <v>0.11083460000000001</v>
      </c>
      <c r="R4369">
        <v>4.906286E-2</v>
      </c>
      <c r="S4369">
        <v>-3.0526119999999999</v>
      </c>
      <c r="T4369">
        <v>-0.28701880000000002</v>
      </c>
      <c r="U4369">
        <v>3.6071779999999998E-2</v>
      </c>
      <c r="V4369">
        <v>5.0786989999999997E-2</v>
      </c>
      <c r="W4369">
        <v>0.115713</v>
      </c>
      <c r="X4369">
        <v>0.99198350000000002</v>
      </c>
      <c r="Y4369">
        <v>1.26205E-2</v>
      </c>
      <c r="Z4369">
        <v>6.7305929999999896E-4</v>
      </c>
      <c r="AA4369">
        <v>0.99992009999999998</v>
      </c>
      <c r="AB4369">
        <v>29</v>
      </c>
      <c r="AC4369">
        <v>-0.666300000000006</v>
      </c>
      <c r="AD4369">
        <v>-8.9757000000000003E-2</v>
      </c>
      <c r="AE4369">
        <v>8.7999999999794892E-3</v>
      </c>
      <c r="AF4369">
        <v>9.2087097612549296E-3</v>
      </c>
      <c r="AG4369">
        <v>-8.9757000000000003E-2</v>
      </c>
      <c r="AH4369">
        <v>0.65441869515865103</v>
      </c>
      <c r="AI4369">
        <v>97.808929325374194</v>
      </c>
      <c r="AJ4369">
        <v>89.193810648282906</v>
      </c>
      <c r="AK4369">
        <v>0.66060952760130398</v>
      </c>
      <c r="AL4369">
        <v>83.355248776113299</v>
      </c>
      <c r="AM4369">
        <v>87.069163209931801</v>
      </c>
      <c r="AN4369">
        <v>1.00000004049725</v>
      </c>
    </row>
    <row r="4370" spans="1:40" x14ac:dyDescent="0.25">
      <c r="A4370" t="str">
        <f>"20190312164114803"</f>
        <v>20190312164114803</v>
      </c>
      <c r="B4370" t="str">
        <f>"1552380074790755"</f>
        <v>1552380074790755</v>
      </c>
      <c r="C4370" t="s">
        <v>40</v>
      </c>
      <c r="D4370">
        <v>5.5383750000000003</v>
      </c>
      <c r="E4370">
        <v>0.48669059999999997</v>
      </c>
      <c r="F4370" t="s">
        <v>42</v>
      </c>
      <c r="G4370">
        <v>-213.3903</v>
      </c>
      <c r="H4370">
        <v>1.0188790000000001</v>
      </c>
      <c r="I4370">
        <v>141.8141</v>
      </c>
      <c r="J4370">
        <v>-212.73519999999999</v>
      </c>
      <c r="K4370">
        <v>1.1062689999999999</v>
      </c>
      <c r="L4370">
        <v>141.81</v>
      </c>
      <c r="M4370">
        <v>-0.99998379999999998</v>
      </c>
      <c r="N4370">
        <v>0</v>
      </c>
      <c r="O4370">
        <v>2.4033890000000001E-3</v>
      </c>
      <c r="P4370">
        <v>-0.99253179999999996</v>
      </c>
      <c r="Q4370">
        <v>0.1129</v>
      </c>
      <c r="R4370">
        <v>4.6199619999999997E-2</v>
      </c>
      <c r="S4370">
        <v>-3.05307</v>
      </c>
      <c r="T4370">
        <v>-0.28637279999999998</v>
      </c>
      <c r="U4370">
        <v>2.3864750000000001E-2</v>
      </c>
      <c r="V4370">
        <v>4.4631820000000003E-2</v>
      </c>
      <c r="W4370">
        <v>0.1177276</v>
      </c>
      <c r="X4370">
        <v>0.99204239999999999</v>
      </c>
      <c r="Y4370">
        <v>5.3998780000000003E-3</v>
      </c>
      <c r="Z4370" s="1">
        <v>2.7752190000000001E-5</v>
      </c>
      <c r="AA4370">
        <v>0.99998540000000002</v>
      </c>
      <c r="AB4370">
        <v>29</v>
      </c>
      <c r="AC4370">
        <v>-0.65510000000000401</v>
      </c>
      <c r="AD4370">
        <v>-8.7389999999999801E-2</v>
      </c>
      <c r="AE4370">
        <v>4.0999999999939904E-3</v>
      </c>
      <c r="AF4370">
        <v>2.4813520883545902E-3</v>
      </c>
      <c r="AG4370">
        <v>-8.7389999999999801E-2</v>
      </c>
      <c r="AH4370">
        <v>0.64365431081095503</v>
      </c>
      <c r="AI4370">
        <v>97.731806819738495</v>
      </c>
      <c r="AJ4370">
        <v>89.779120103040697</v>
      </c>
      <c r="AK4370">
        <v>0.64956450105721697</v>
      </c>
      <c r="AL4370">
        <v>83.239025703008593</v>
      </c>
      <c r="AM4370">
        <v>87.424009628752302</v>
      </c>
      <c r="AN4370">
        <v>0.999999955278015</v>
      </c>
    </row>
    <row r="4371" spans="1:40" x14ac:dyDescent="0.25">
      <c r="A4371" t="str">
        <f>"20190312164114824"</f>
        <v>20190312164114824</v>
      </c>
      <c r="B4371" t="str">
        <f>"1552380074821010"</f>
        <v>1552380074821010</v>
      </c>
      <c r="C4371" t="s">
        <v>40</v>
      </c>
      <c r="D4371">
        <v>5.6178679999999996</v>
      </c>
      <c r="E4371">
        <v>0.48665029999999998</v>
      </c>
      <c r="F4371" t="s">
        <v>42</v>
      </c>
      <c r="G4371">
        <v>-213.65450000000001</v>
      </c>
      <c r="H4371">
        <v>1.0218</v>
      </c>
      <c r="I4371">
        <v>141.81440000000001</v>
      </c>
      <c r="J4371">
        <v>-213.0241</v>
      </c>
      <c r="K4371">
        <v>1.106476</v>
      </c>
      <c r="L4371">
        <v>141.81389999999999</v>
      </c>
      <c r="M4371">
        <v>-0.99997170000000002</v>
      </c>
      <c r="N4371">
        <v>0</v>
      </c>
      <c r="O4371">
        <v>5.5493390000000004E-3</v>
      </c>
      <c r="P4371">
        <v>-0.99219769999999896</v>
      </c>
      <c r="Q4371">
        <v>0.11645809999999999</v>
      </c>
      <c r="R4371">
        <v>4.4509090000000001E-2</v>
      </c>
      <c r="S4371">
        <v>-3.053833</v>
      </c>
      <c r="T4371">
        <v>-0.28057480000000001</v>
      </c>
      <c r="U4371">
        <v>1.416016E-2</v>
      </c>
      <c r="V4371">
        <v>3.9782959999999999E-2</v>
      </c>
      <c r="W4371">
        <v>0.12122620000000001</v>
      </c>
      <c r="X4371">
        <v>0.99182740000000003</v>
      </c>
      <c r="Y4371">
        <v>-8.8552330000000003E-4</v>
      </c>
      <c r="Z4371">
        <v>-5.4937509999999998E-4</v>
      </c>
      <c r="AA4371">
        <v>0.99999950000000004</v>
      </c>
      <c r="AB4371">
        <v>29</v>
      </c>
      <c r="AC4371">
        <v>-0.63040000000000795</v>
      </c>
      <c r="AD4371">
        <v>-8.4675999999999904E-2</v>
      </c>
      <c r="AE4371">
        <v>5.0000000001659795E-4</v>
      </c>
      <c r="AF4371">
        <v>-2.9452181107946901E-3</v>
      </c>
      <c r="AG4371">
        <v>-8.4675999999999904E-2</v>
      </c>
      <c r="AH4371">
        <v>0.619220997416704</v>
      </c>
      <c r="AI4371">
        <v>97.786586301912905</v>
      </c>
      <c r="AJ4371">
        <v>90.272515460072796</v>
      </c>
      <c r="AK4371">
        <v>0.62499067427239097</v>
      </c>
      <c r="AL4371">
        <v>83.037124895070093</v>
      </c>
      <c r="AM4371">
        <v>87.703053511934996</v>
      </c>
      <c r="AN4371">
        <v>1.00000003343178</v>
      </c>
    </row>
    <row r="4372" spans="1:40" x14ac:dyDescent="0.25">
      <c r="A4372" t="str">
        <f>"20190312164114848"</f>
        <v>20190312164114848</v>
      </c>
      <c r="B4372" t="str">
        <f>"1552380074840531"</f>
        <v>1552380074840531</v>
      </c>
      <c r="C4372" t="s">
        <v>40</v>
      </c>
      <c r="D4372">
        <v>5.6195579999999996</v>
      </c>
      <c r="E4372">
        <v>0.47900359999999997</v>
      </c>
      <c r="F4372" t="s">
        <v>42</v>
      </c>
      <c r="G4372">
        <v>-213.92080000000001</v>
      </c>
      <c r="H4372">
        <v>1.027128</v>
      </c>
      <c r="I4372">
        <v>141.81630000000001</v>
      </c>
      <c r="J4372">
        <v>-213.3391</v>
      </c>
      <c r="K4372">
        <v>1.1066929999999999</v>
      </c>
      <c r="L4372">
        <v>141.81899999999999</v>
      </c>
      <c r="M4372">
        <v>-0.99995060000000002</v>
      </c>
      <c r="N4372">
        <v>0</v>
      </c>
      <c r="O4372">
        <v>8.6214350000000002E-3</v>
      </c>
      <c r="P4372">
        <v>-0.99202069999999998</v>
      </c>
      <c r="Q4372">
        <v>0.1186296</v>
      </c>
      <c r="R4372">
        <v>4.2683800000000001E-2</v>
      </c>
      <c r="S4372">
        <v>-3.0549620000000002</v>
      </c>
      <c r="T4372">
        <v>-0.27030779999999999</v>
      </c>
      <c r="U4372">
        <v>8.0413819999999997E-3</v>
      </c>
      <c r="V4372">
        <v>3.4856470000000001E-2</v>
      </c>
      <c r="W4372">
        <v>0.1233388</v>
      </c>
      <c r="X4372">
        <v>0.99175230000000003</v>
      </c>
      <c r="Y4372">
        <v>-5.9325230000000003E-3</v>
      </c>
      <c r="Z4372">
        <v>-1.0232970000000001E-3</v>
      </c>
      <c r="AA4372">
        <v>0.99998189999999998</v>
      </c>
      <c r="AB4372">
        <v>29</v>
      </c>
      <c r="AC4372">
        <v>-0.58170000000001199</v>
      </c>
      <c r="AD4372">
        <v>-7.9564999999999803E-2</v>
      </c>
      <c r="AE4372">
        <v>-2.69999999997594E-3</v>
      </c>
      <c r="AF4372">
        <v>-7.5733642193345002E-3</v>
      </c>
      <c r="AG4372">
        <v>-7.9564999999999803E-2</v>
      </c>
      <c r="AH4372">
        <v>0.57097310888673203</v>
      </c>
      <c r="AI4372">
        <v>97.932381818264204</v>
      </c>
      <c r="AJ4372">
        <v>90.759924338668995</v>
      </c>
      <c r="AK4372">
        <v>0.57653988252537902</v>
      </c>
      <c r="AL4372">
        <v>82.9151665221776</v>
      </c>
      <c r="AM4372">
        <v>87.987091231832807</v>
      </c>
      <c r="AN4372">
        <v>1.00000002882079</v>
      </c>
    </row>
    <row r="4373" spans="1:40" x14ac:dyDescent="0.25">
      <c r="A4373" t="str">
        <f>"20190312164114870"</f>
        <v>20190312164114870</v>
      </c>
      <c r="B4373" t="str">
        <f>"1552380074861029"</f>
        <v>1552380074861029</v>
      </c>
      <c r="C4373" t="s">
        <v>40</v>
      </c>
      <c r="D4373">
        <v>5.5030659999999996</v>
      </c>
      <c r="E4373">
        <v>0.47972789999999998</v>
      </c>
      <c r="F4373" t="s">
        <v>41</v>
      </c>
      <c r="G4373">
        <v>-230.42060000000001</v>
      </c>
      <c r="H4373" s="1">
        <v>-4.467461E-6</v>
      </c>
      <c r="I4373">
        <v>141.5025</v>
      </c>
      <c r="J4373">
        <v>-213.63509999999999</v>
      </c>
      <c r="K4373">
        <v>1.1069169999999999</v>
      </c>
      <c r="L4373">
        <v>141.82419999999999</v>
      </c>
      <c r="M4373">
        <v>-0.99992599999999998</v>
      </c>
      <c r="N4373">
        <v>0</v>
      </c>
      <c r="O4373">
        <v>1.1156640000000001E-2</v>
      </c>
      <c r="P4373">
        <v>-0.99203799999999998</v>
      </c>
      <c r="Q4373">
        <v>0.1182276</v>
      </c>
      <c r="R4373">
        <v>4.3393849999999998E-2</v>
      </c>
      <c r="S4373">
        <v>-3.0502009999999999</v>
      </c>
      <c r="T4373">
        <v>-0.1976203</v>
      </c>
      <c r="U4373">
        <v>-5.6503299999999999E-2</v>
      </c>
      <c r="V4373">
        <v>3.2979300000000003E-2</v>
      </c>
      <c r="W4373">
        <v>0.1228798</v>
      </c>
      <c r="X4373">
        <v>0.99187340000000002</v>
      </c>
      <c r="Y4373">
        <v>-2.9589560000000001E-2</v>
      </c>
      <c r="Z4373">
        <v>-1.679484E-3</v>
      </c>
      <c r="AA4373">
        <v>0.99956069999999997</v>
      </c>
      <c r="AB4373">
        <v>29</v>
      </c>
      <c r="AC4373">
        <v>-16.785499999999999</v>
      </c>
      <c r="AD4373">
        <v>-1.106921467461</v>
      </c>
      <c r="AE4373">
        <v>-0.32169999999999199</v>
      </c>
      <c r="AF4373">
        <v>-0.50674904236761598</v>
      </c>
      <c r="AG4373">
        <v>-1.106921467461</v>
      </c>
      <c r="AH4373">
        <v>16.7082328077333</v>
      </c>
      <c r="AI4373">
        <v>93.7885731215612</v>
      </c>
      <c r="AJ4373">
        <v>91.737208476642905</v>
      </c>
      <c r="AK4373">
        <v>16.7525255792815</v>
      </c>
      <c r="AL4373">
        <v>82.941666385153795</v>
      </c>
      <c r="AM4373">
        <v>88.095645234675104</v>
      </c>
      <c r="AN4373">
        <v>0.99999996055204399</v>
      </c>
    </row>
    <row r="4374" spans="1:40" x14ac:dyDescent="0.25">
      <c r="A4374" t="str">
        <f>"20190312164114893"</f>
        <v>20190312164114893</v>
      </c>
      <c r="B4374" t="str">
        <f>"1552380074880550"</f>
        <v>1552380074880550</v>
      </c>
      <c r="C4374" t="s">
        <v>40</v>
      </c>
      <c r="D4374">
        <v>5.3954009999999997</v>
      </c>
      <c r="E4374">
        <v>0.4801956</v>
      </c>
      <c r="F4374" t="s">
        <v>41</v>
      </c>
      <c r="G4374">
        <v>-230.3065</v>
      </c>
      <c r="H4374" s="1">
        <v>-4.5169559999999998E-6</v>
      </c>
      <c r="I4374">
        <v>141.5625</v>
      </c>
      <c r="J4374">
        <v>-213.9229</v>
      </c>
      <c r="K4374">
        <v>1.10717</v>
      </c>
      <c r="L4374">
        <v>141.8297</v>
      </c>
      <c r="M4374">
        <v>-0.99990049999999997</v>
      </c>
      <c r="N4374">
        <v>0</v>
      </c>
      <c r="O4374">
        <v>1.3277590000000001E-2</v>
      </c>
      <c r="P4374">
        <v>-0.99216930000000003</v>
      </c>
      <c r="Q4374">
        <v>0.1181656</v>
      </c>
      <c r="R4374">
        <v>4.046139E-2</v>
      </c>
      <c r="S4374">
        <v>-3.0503230000000001</v>
      </c>
      <c r="T4374">
        <v>-0.20253119999999999</v>
      </c>
      <c r="U4374">
        <v>-4.7866819999999997E-2</v>
      </c>
      <c r="V4374">
        <v>2.7865580000000001E-2</v>
      </c>
      <c r="W4374">
        <v>0.1227956</v>
      </c>
      <c r="X4374">
        <v>0.9920407</v>
      </c>
      <c r="Y4374">
        <v>-2.887238E-2</v>
      </c>
      <c r="Z4374">
        <v>-1.837979E-3</v>
      </c>
      <c r="AA4374">
        <v>0.99958139999999995</v>
      </c>
      <c r="AB4374">
        <v>30</v>
      </c>
      <c r="AC4374">
        <v>-16.383600000000001</v>
      </c>
      <c r="AD4374">
        <v>-1.1071745169560001</v>
      </c>
      <c r="AE4374">
        <v>-0.26720000000000199</v>
      </c>
      <c r="AF4374">
        <v>-0.482510686160532</v>
      </c>
      <c r="AG4374">
        <v>-1.1071745169560001</v>
      </c>
      <c r="AH4374">
        <v>16.304169583717901</v>
      </c>
      <c r="AI4374">
        <v>93.883150929998706</v>
      </c>
      <c r="AJ4374">
        <v>91.695134427462406</v>
      </c>
      <c r="AK4374">
        <v>16.348840869856399</v>
      </c>
      <c r="AL4374">
        <v>82.946527785365902</v>
      </c>
      <c r="AM4374">
        <v>88.391033325955704</v>
      </c>
      <c r="AN4374">
        <v>1.00000000019229</v>
      </c>
    </row>
    <row r="4375" spans="1:40" x14ac:dyDescent="0.25">
      <c r="A4375" t="str">
        <f>"20190312164114916"</f>
        <v>20190312164114916</v>
      </c>
      <c r="B4375" t="str">
        <f>"1552380074910802"</f>
        <v>1552380074910802</v>
      </c>
      <c r="C4375" t="s">
        <v>40</v>
      </c>
      <c r="D4375">
        <v>5.5678210000000004</v>
      </c>
      <c r="E4375">
        <v>0.48101759999999899</v>
      </c>
      <c r="F4375" t="s">
        <v>41</v>
      </c>
      <c r="G4375">
        <v>-229.95529999999999</v>
      </c>
      <c r="H4375" s="1">
        <v>-5.1661409999999996E-7</v>
      </c>
      <c r="I4375">
        <v>141.5523</v>
      </c>
      <c r="J4375">
        <v>-214.23570000000001</v>
      </c>
      <c r="K4375">
        <v>1.1074790000000001</v>
      </c>
      <c r="L4375">
        <v>141.83600000000001</v>
      </c>
      <c r="M4375">
        <v>-0.99987340000000002</v>
      </c>
      <c r="N4375">
        <v>0</v>
      </c>
      <c r="O4375">
        <v>1.519247E-2</v>
      </c>
      <c r="P4375">
        <v>-0.9921719</v>
      </c>
      <c r="Q4375">
        <v>0.11900479999999999</v>
      </c>
      <c r="R4375">
        <v>3.7854730000000003E-2</v>
      </c>
      <c r="S4375">
        <v>-3.0509189999999999</v>
      </c>
      <c r="T4375">
        <v>-0.21069189999999999</v>
      </c>
      <c r="U4375">
        <v>-5.2780149999999998E-2</v>
      </c>
      <c r="V4375">
        <v>2.3273289999999999E-2</v>
      </c>
      <c r="W4375">
        <v>0.1236251</v>
      </c>
      <c r="X4375">
        <v>0.99205600000000005</v>
      </c>
      <c r="Y4375">
        <v>-3.2372280000000003E-2</v>
      </c>
      <c r="Z4375">
        <v>-2.1642380000000002E-3</v>
      </c>
      <c r="AA4375">
        <v>0.99947350000000001</v>
      </c>
      <c r="AB4375">
        <v>30</v>
      </c>
      <c r="AC4375">
        <v>-15.7195999999999</v>
      </c>
      <c r="AD4375">
        <v>-1.1074795166141</v>
      </c>
      <c r="AE4375">
        <v>-0.28370000000001</v>
      </c>
      <c r="AF4375">
        <v>-0.519909745680044</v>
      </c>
      <c r="AG4375">
        <v>-1.1074795166141</v>
      </c>
      <c r="AH4375">
        <v>15.635892022314099</v>
      </c>
      <c r="AI4375">
        <v>94.049224328912004</v>
      </c>
      <c r="AJ4375">
        <v>91.904442865659902</v>
      </c>
      <c r="AK4375">
        <v>15.6836837623321</v>
      </c>
      <c r="AL4375">
        <v>82.898635735063195</v>
      </c>
      <c r="AM4375">
        <v>88.656107369661996</v>
      </c>
      <c r="AN4375">
        <v>0.99999995925671603</v>
      </c>
    </row>
    <row r="4376" spans="1:40" x14ac:dyDescent="0.25">
      <c r="A4376" t="str">
        <f>"20190312164114939"</f>
        <v>20190312164114939</v>
      </c>
      <c r="B4376" t="str">
        <f>"1552380074930322"</f>
        <v>1552380074930322</v>
      </c>
      <c r="C4376" t="s">
        <v>40</v>
      </c>
      <c r="D4376">
        <v>5.5618749999999997</v>
      </c>
      <c r="E4376">
        <v>0.48129260000000001</v>
      </c>
      <c r="F4376" t="s">
        <v>41</v>
      </c>
      <c r="G4376">
        <v>-230.00980000000001</v>
      </c>
      <c r="H4376" s="1">
        <v>-4.6163320000000002E-6</v>
      </c>
      <c r="I4376">
        <v>141.55350000000001</v>
      </c>
      <c r="J4376">
        <v>-214.54259999999999</v>
      </c>
      <c r="K4376">
        <v>1.1077999999999999</v>
      </c>
      <c r="L4376">
        <v>141.84219999999999</v>
      </c>
      <c r="M4376">
        <v>-0.99985020000000002</v>
      </c>
      <c r="N4376">
        <v>0</v>
      </c>
      <c r="O4376">
        <v>1.6652719999999999E-2</v>
      </c>
      <c r="P4376">
        <v>-0.99199930000000003</v>
      </c>
      <c r="Q4376">
        <v>0.12103360000000001</v>
      </c>
      <c r="R4376">
        <v>3.5894179999999998E-2</v>
      </c>
      <c r="S4376">
        <v>-3.0514679999999998</v>
      </c>
      <c r="T4376">
        <v>-0.2142414</v>
      </c>
      <c r="U4376">
        <v>-5.4626460000000002E-2</v>
      </c>
      <c r="V4376">
        <v>1.9781699999999999E-2</v>
      </c>
      <c r="W4376">
        <v>0.1256652</v>
      </c>
      <c r="X4376">
        <v>0.99187550000000002</v>
      </c>
      <c r="Y4376">
        <v>-3.4420899999999997E-2</v>
      </c>
      <c r="Z4376">
        <v>-2.3744119999999998E-3</v>
      </c>
      <c r="AA4376">
        <v>0.99940459999999998</v>
      </c>
      <c r="AB4376">
        <v>30</v>
      </c>
      <c r="AC4376">
        <v>-15.4672</v>
      </c>
      <c r="AD4376">
        <v>-1.1078046163319999</v>
      </c>
      <c r="AE4376">
        <v>-0.28869999999997698</v>
      </c>
      <c r="AF4376">
        <v>-0.54344696494925404</v>
      </c>
      <c r="AG4376">
        <v>-1.1078046163319999</v>
      </c>
      <c r="AH4376">
        <v>15.3813711483976</v>
      </c>
      <c r="AI4376">
        <v>94.116911555482005</v>
      </c>
      <c r="AJ4376">
        <v>92.023504310692999</v>
      </c>
      <c r="AK4376">
        <v>15.430785594921501</v>
      </c>
      <c r="AL4376">
        <v>82.780828384348396</v>
      </c>
      <c r="AM4376">
        <v>88.857459746198899</v>
      </c>
      <c r="AN4376">
        <v>1.00000003282308</v>
      </c>
    </row>
    <row r="4377" spans="1:40" x14ac:dyDescent="0.25">
      <c r="A4377" t="str">
        <f>"20190312164114960"</f>
        <v>20190312164114960</v>
      </c>
      <c r="B4377" t="str">
        <f>"1552380074950818"</f>
        <v>1552380074950818</v>
      </c>
      <c r="C4377" t="s">
        <v>40</v>
      </c>
      <c r="D4377">
        <v>5.5066280000000001</v>
      </c>
      <c r="E4377">
        <v>0.48141099999999998</v>
      </c>
      <c r="F4377" t="s">
        <v>41</v>
      </c>
      <c r="G4377">
        <v>-230.59700000000001</v>
      </c>
      <c r="H4377" s="1">
        <v>-4.412427E-6</v>
      </c>
      <c r="I4377">
        <v>141.5307</v>
      </c>
      <c r="J4377">
        <v>-214.83760000000001</v>
      </c>
      <c r="K4377">
        <v>1.108114</v>
      </c>
      <c r="L4377">
        <v>141.84829999999999</v>
      </c>
      <c r="M4377">
        <v>-0.99983270000000002</v>
      </c>
      <c r="N4377">
        <v>0</v>
      </c>
      <c r="O4377">
        <v>1.7657220000000001E-2</v>
      </c>
      <c r="P4377">
        <v>-0.99170689999999995</v>
      </c>
      <c r="Q4377">
        <v>0.123903</v>
      </c>
      <c r="R4377">
        <v>3.4138519999999999E-2</v>
      </c>
      <c r="S4377">
        <v>-3.0520320000000001</v>
      </c>
      <c r="T4377">
        <v>-0.21060010000000001</v>
      </c>
      <c r="U4377">
        <v>-5.9219359999999999E-2</v>
      </c>
      <c r="V4377">
        <v>1.695352E-2</v>
      </c>
      <c r="W4377">
        <v>0.12857209999999999</v>
      </c>
      <c r="X4377">
        <v>0.99155519999999997</v>
      </c>
      <c r="Y4377">
        <v>-3.6920929999999998E-2</v>
      </c>
      <c r="Z4377">
        <v>-2.4890630000000001E-3</v>
      </c>
      <c r="AA4377">
        <v>0.99931510000000001</v>
      </c>
      <c r="AB4377">
        <v>30</v>
      </c>
      <c r="AC4377">
        <v>-15.759399999999999</v>
      </c>
      <c r="AD4377">
        <v>-1.108118412427</v>
      </c>
      <c r="AE4377">
        <v>-0.317599999999998</v>
      </c>
      <c r="AF4377">
        <v>-0.59289068965328395</v>
      </c>
      <c r="AG4377">
        <v>-1.108118412427</v>
      </c>
      <c r="AH4377">
        <v>15.673872288184899</v>
      </c>
      <c r="AI4377">
        <v>94.041113357018901</v>
      </c>
      <c r="AJ4377">
        <v>92.166276804515405</v>
      </c>
      <c r="AK4377">
        <v>15.724176235725899</v>
      </c>
      <c r="AL4377">
        <v>82.612912479724898</v>
      </c>
      <c r="AM4377">
        <v>89.020457454421702</v>
      </c>
      <c r="AN4377">
        <v>0.99999996069291897</v>
      </c>
    </row>
    <row r="4378" spans="1:40" x14ac:dyDescent="0.25">
      <c r="A4378" t="str">
        <f>"20190312164114984"</f>
        <v>20190312164114984</v>
      </c>
      <c r="B4378" t="str">
        <f>"1552380074970338"</f>
        <v>1552380074970338</v>
      </c>
      <c r="C4378" t="s">
        <v>40</v>
      </c>
      <c r="D4378">
        <v>5.7381769999999896</v>
      </c>
      <c r="E4378">
        <v>0.48150939999999998</v>
      </c>
      <c r="F4378" t="s">
        <v>41</v>
      </c>
      <c r="G4378">
        <v>-231.5753</v>
      </c>
      <c r="H4378" s="1">
        <v>-4.0729329999999999E-6</v>
      </c>
      <c r="I4378">
        <v>141.49350000000001</v>
      </c>
      <c r="J4378">
        <v>-215.1446</v>
      </c>
      <c r="K4378">
        <v>1.108401</v>
      </c>
      <c r="L4378">
        <v>141.8546</v>
      </c>
      <c r="M4378">
        <v>-0.99981949999999997</v>
      </c>
      <c r="N4378">
        <v>0</v>
      </c>
      <c r="O4378">
        <v>1.8383879999999998E-2</v>
      </c>
      <c r="P4378">
        <v>-0.99143510000000001</v>
      </c>
      <c r="Q4378">
        <v>0.1263695</v>
      </c>
      <c r="R4378">
        <v>3.297373E-2</v>
      </c>
      <c r="S4378">
        <v>-3.0525669999999998</v>
      </c>
      <c r="T4378">
        <v>-0.2020952</v>
      </c>
      <c r="U4378">
        <v>-6.4697270000000001E-2</v>
      </c>
      <c r="V4378">
        <v>1.499577E-2</v>
      </c>
      <c r="W4378">
        <v>0.1310945</v>
      </c>
      <c r="X4378">
        <v>0.99125649999999998</v>
      </c>
      <c r="Y4378">
        <v>-3.9439469999999997E-2</v>
      </c>
      <c r="Z4378">
        <v>-2.519631E-3</v>
      </c>
      <c r="AA4378">
        <v>0.99921879999999996</v>
      </c>
      <c r="AB4378">
        <v>30</v>
      </c>
      <c r="AC4378">
        <v>-16.430700000000002</v>
      </c>
      <c r="AD4378">
        <v>-1.1084050729329999</v>
      </c>
      <c r="AE4378">
        <v>-0.36109999999999298</v>
      </c>
      <c r="AF4378">
        <v>-0.66009995161870505</v>
      </c>
      <c r="AG4378">
        <v>-1.1084050729329999</v>
      </c>
      <c r="AH4378">
        <v>16.346929487003401</v>
      </c>
      <c r="AI4378">
        <v>93.875859246263502</v>
      </c>
      <c r="AJ4378">
        <v>92.312385606152802</v>
      </c>
      <c r="AK4378">
        <v>16.397755864900901</v>
      </c>
      <c r="AL4378">
        <v>82.467156488878103</v>
      </c>
      <c r="AM4378">
        <v>89.133293152531706</v>
      </c>
      <c r="AN4378">
        <v>1.00000004492019</v>
      </c>
    </row>
    <row r="4379" spans="1:40" x14ac:dyDescent="0.25">
      <c r="A4379" t="str">
        <f>"20190312164115004"</f>
        <v>20190312164115004</v>
      </c>
      <c r="B4379" t="str">
        <f>"1552380075000594"</f>
        <v>1552380075000594</v>
      </c>
      <c r="C4379" t="s">
        <v>40</v>
      </c>
      <c r="D4379">
        <v>5.4853319999999997</v>
      </c>
      <c r="E4379">
        <v>0.48166150000000002</v>
      </c>
      <c r="F4379" t="s">
        <v>41</v>
      </c>
      <c r="G4379">
        <v>-232.36269999999999</v>
      </c>
      <c r="H4379" s="1">
        <v>-3.750509E-6</v>
      </c>
      <c r="I4379">
        <v>141.46469999999999</v>
      </c>
      <c r="J4379">
        <v>-215.4263</v>
      </c>
      <c r="K4379">
        <v>1.1086290000000001</v>
      </c>
      <c r="L4379">
        <v>141.86019999999999</v>
      </c>
      <c r="M4379">
        <v>-0.99981169999999997</v>
      </c>
      <c r="N4379">
        <v>0</v>
      </c>
      <c r="O4379">
        <v>1.8788139999999998E-2</v>
      </c>
      <c r="P4379">
        <v>-0.9912723</v>
      </c>
      <c r="Q4379">
        <v>0.12793640000000001</v>
      </c>
      <c r="R4379">
        <v>3.1804770000000003E-2</v>
      </c>
      <c r="S4379">
        <v>-3.0532840000000001</v>
      </c>
      <c r="T4379">
        <v>-0.19655310000000001</v>
      </c>
      <c r="U4379">
        <v>-6.9122310000000006E-2</v>
      </c>
      <c r="V4379">
        <v>1.3363649999999999E-2</v>
      </c>
      <c r="W4379">
        <v>0.13273560000000001</v>
      </c>
      <c r="X4379">
        <v>0.99106139999999998</v>
      </c>
      <c r="Y4379">
        <v>-4.1288140000000001E-2</v>
      </c>
      <c r="Z4379">
        <v>-2.5355E-3</v>
      </c>
      <c r="AA4379">
        <v>0.99914409999999998</v>
      </c>
      <c r="AB4379">
        <v>30</v>
      </c>
      <c r="AC4379">
        <v>-16.9363999999999</v>
      </c>
      <c r="AD4379">
        <v>-1.1086327505089999</v>
      </c>
      <c r="AE4379">
        <v>-0.39549999999999802</v>
      </c>
      <c r="AF4379">
        <v>-0.71059427856847102</v>
      </c>
      <c r="AG4379">
        <v>-1.1086327505089999</v>
      </c>
      <c r="AH4379">
        <v>16.853803385182498</v>
      </c>
      <c r="AI4379">
        <v>93.760128050272201</v>
      </c>
      <c r="AJ4379">
        <v>92.414289089080199</v>
      </c>
      <c r="AK4379">
        <v>16.905167829708901</v>
      </c>
      <c r="AL4379">
        <v>82.372299176666601</v>
      </c>
      <c r="AM4379">
        <v>89.227460233238105</v>
      </c>
      <c r="AN4379">
        <v>1.00000001260932</v>
      </c>
    </row>
    <row r="4380" spans="1:40" x14ac:dyDescent="0.25">
      <c r="A4380" t="str">
        <f>"20190312164115026"</f>
        <v>20190312164115026</v>
      </c>
      <c r="B4380" t="str">
        <f>"1552380075020115"</f>
        <v>1552380075020115</v>
      </c>
      <c r="C4380" t="s">
        <v>40</v>
      </c>
      <c r="D4380">
        <v>5.6672379999999896</v>
      </c>
      <c r="E4380">
        <v>0.48172110000000001</v>
      </c>
      <c r="F4380" t="s">
        <v>41</v>
      </c>
      <c r="G4380">
        <v>-232.86930000000001</v>
      </c>
      <c r="H4380" s="1">
        <v>-3.5282890000000001E-6</v>
      </c>
      <c r="I4380">
        <v>141.44640000000001</v>
      </c>
      <c r="J4380">
        <v>-215.7407</v>
      </c>
      <c r="K4380">
        <v>1.108868</v>
      </c>
      <c r="L4380">
        <v>141.8665</v>
      </c>
      <c r="M4380">
        <v>-0.99980789999999997</v>
      </c>
      <c r="N4380">
        <v>0</v>
      </c>
      <c r="O4380">
        <v>1.8961309999999999E-2</v>
      </c>
      <c r="P4380">
        <v>-0.99109130000000001</v>
      </c>
      <c r="Q4380">
        <v>0.1295567</v>
      </c>
      <c r="R4380">
        <v>3.0874909999999998E-2</v>
      </c>
      <c r="S4380">
        <v>-3.0537719999999999</v>
      </c>
      <c r="T4380">
        <v>-0.1940895</v>
      </c>
      <c r="U4380">
        <v>-7.2448730000000003E-2</v>
      </c>
      <c r="V4380">
        <v>1.219875E-2</v>
      </c>
      <c r="W4380">
        <v>0.13446939999999999</v>
      </c>
      <c r="X4380">
        <v>0.99084260000000002</v>
      </c>
      <c r="Y4380">
        <v>-4.2545560000000003E-2</v>
      </c>
      <c r="Z4380">
        <v>-2.5542630000000002E-3</v>
      </c>
      <c r="AA4380">
        <v>0.99909130000000002</v>
      </c>
      <c r="AB4380">
        <v>30</v>
      </c>
      <c r="AC4380">
        <v>-17.128599999999999</v>
      </c>
      <c r="AD4380">
        <v>-1.108871528289</v>
      </c>
      <c r="AE4380">
        <v>-0.42009999999998998</v>
      </c>
      <c r="AF4380">
        <v>-0.74170255200721902</v>
      </c>
      <c r="AG4380">
        <v>-1.108871528289</v>
      </c>
      <c r="AH4380">
        <v>17.046157097166699</v>
      </c>
      <c r="AI4380">
        <v>93.718401952480306</v>
      </c>
      <c r="AJ4380">
        <v>92.491449384476297</v>
      </c>
      <c r="AK4380">
        <v>17.098280338185798</v>
      </c>
      <c r="AL4380">
        <v>82.272060570528694</v>
      </c>
      <c r="AM4380">
        <v>89.294639148267606</v>
      </c>
      <c r="AN4380">
        <v>0.99999994350633903</v>
      </c>
    </row>
    <row r="4381" spans="1:40" x14ac:dyDescent="0.25">
      <c r="A4381" t="str">
        <f>"20190312164115049"</f>
        <v>20190312164115049</v>
      </c>
      <c r="B4381" t="str">
        <f>"1552380075040614"</f>
        <v>1552380075040614</v>
      </c>
      <c r="C4381" t="s">
        <v>40</v>
      </c>
      <c r="D4381">
        <v>5.5652109999999997</v>
      </c>
      <c r="E4381">
        <v>0.48146299999999997</v>
      </c>
      <c r="F4381" t="s">
        <v>41</v>
      </c>
      <c r="G4381">
        <v>-233.58539999999999</v>
      </c>
      <c r="H4381" s="1">
        <v>-3.2152519999999999E-6</v>
      </c>
      <c r="I4381">
        <v>141.42449999999999</v>
      </c>
      <c r="J4381">
        <v>-216.05160000000001</v>
      </c>
      <c r="K4381">
        <v>1.109094</v>
      </c>
      <c r="L4381">
        <v>141.8724</v>
      </c>
      <c r="M4381">
        <v>-0.9998089</v>
      </c>
      <c r="N4381">
        <v>0</v>
      </c>
      <c r="O4381">
        <v>1.8872440000000001E-2</v>
      </c>
      <c r="P4381">
        <v>-0.99095060000000001</v>
      </c>
      <c r="Q4381">
        <v>0.13078480000000001</v>
      </c>
      <c r="R4381">
        <v>3.020304E-2</v>
      </c>
      <c r="S4381">
        <v>-3.0541230000000001</v>
      </c>
      <c r="T4381">
        <v>-0.18978320000000001</v>
      </c>
      <c r="U4381">
        <v>-7.5637819999999995E-2</v>
      </c>
      <c r="V4381">
        <v>1.155288E-2</v>
      </c>
      <c r="W4381">
        <v>0.1358367</v>
      </c>
      <c r="X4381">
        <v>0.99066390000000004</v>
      </c>
      <c r="Y4381">
        <v>-4.3500459999999998E-2</v>
      </c>
      <c r="Z4381">
        <v>-2.5215070000000001E-3</v>
      </c>
      <c r="AA4381">
        <v>0.9990502</v>
      </c>
      <c r="AB4381">
        <v>30</v>
      </c>
      <c r="AC4381">
        <v>-17.5337999999999</v>
      </c>
      <c r="AD4381">
        <v>-1.109097215252</v>
      </c>
      <c r="AE4381">
        <v>-0.44790000000000402</v>
      </c>
      <c r="AF4381">
        <v>-0.77562871672048805</v>
      </c>
      <c r="AG4381">
        <v>-1.109097215252</v>
      </c>
      <c r="AH4381">
        <v>17.4524394069295</v>
      </c>
      <c r="AI4381">
        <v>93.632663453156596</v>
      </c>
      <c r="AJ4381">
        <v>92.544688860687401</v>
      </c>
      <c r="AK4381">
        <v>17.504837553991401</v>
      </c>
      <c r="AL4381">
        <v>82.192995193010304</v>
      </c>
      <c r="AM4381">
        <v>89.331860925907606</v>
      </c>
      <c r="AN4381">
        <v>1.00000002043319</v>
      </c>
    </row>
    <row r="4382" spans="1:40" x14ac:dyDescent="0.25">
      <c r="A4382" t="str">
        <f>"20190312164115071"</f>
        <v>20190312164115071</v>
      </c>
      <c r="B4382" t="str">
        <f>"1552380075060134"</f>
        <v>1552380075060134</v>
      </c>
      <c r="C4382" t="s">
        <v>40</v>
      </c>
      <c r="D4382">
        <v>5.6191409999999999</v>
      </c>
      <c r="E4382">
        <v>0.48204710000000001</v>
      </c>
      <c r="F4382" t="s">
        <v>41</v>
      </c>
      <c r="G4382">
        <v>-233.39500000000001</v>
      </c>
      <c r="H4382" s="1">
        <v>-3.2933010000000001E-6</v>
      </c>
      <c r="I4382">
        <v>141.41079999999999</v>
      </c>
      <c r="J4382">
        <v>-216.35210000000001</v>
      </c>
      <c r="K4382">
        <v>1.1093170000000001</v>
      </c>
      <c r="L4382">
        <v>141.87790000000001</v>
      </c>
      <c r="M4382">
        <v>-0.99981390000000003</v>
      </c>
      <c r="N4382">
        <v>0</v>
      </c>
      <c r="O4382">
        <v>1.8561930000000001E-2</v>
      </c>
      <c r="P4382">
        <v>-0.99094309999999997</v>
      </c>
      <c r="Q4382">
        <v>0.1310318</v>
      </c>
      <c r="R4382">
        <v>2.9367299999999999E-2</v>
      </c>
      <c r="S4382">
        <v>-3.0556950000000001</v>
      </c>
      <c r="T4382">
        <v>-0.19540969999999999</v>
      </c>
      <c r="U4382">
        <v>-8.1329349999999995E-2</v>
      </c>
      <c r="V4382">
        <v>1.096274E-2</v>
      </c>
      <c r="W4382">
        <v>0.13623450000000001</v>
      </c>
      <c r="X4382">
        <v>0.99061600000000005</v>
      </c>
      <c r="Y4382">
        <v>-4.5027459999999998E-2</v>
      </c>
      <c r="Z4382">
        <v>-2.6236559999999998E-3</v>
      </c>
      <c r="AA4382">
        <v>0.99898229999999999</v>
      </c>
      <c r="AB4382">
        <v>31</v>
      </c>
      <c r="AC4382">
        <v>-17.042899999999999</v>
      </c>
      <c r="AD4382">
        <v>-1.109320293301</v>
      </c>
      <c r="AE4382">
        <v>-0.467100000000016</v>
      </c>
      <c r="AF4382">
        <v>-0.78007056967096999</v>
      </c>
      <c r="AG4382">
        <v>-1.109320293301</v>
      </c>
      <c r="AH4382">
        <v>16.9594950135792</v>
      </c>
      <c r="AI4382">
        <v>93.738443574352701</v>
      </c>
      <c r="AJ4382">
        <v>92.633526053141694</v>
      </c>
      <c r="AK4382">
        <v>17.013629028587999</v>
      </c>
      <c r="AL4382">
        <v>82.169989220735602</v>
      </c>
      <c r="AM4382">
        <v>89.365957046917501</v>
      </c>
      <c r="AN4382">
        <v>1.0000000400572699</v>
      </c>
    </row>
    <row r="4383" spans="1:40" x14ac:dyDescent="0.25">
      <c r="A4383" t="str">
        <f>"20190312164115093"</f>
        <v>20190312164115093</v>
      </c>
      <c r="B4383" t="str">
        <f>"1552380075090387"</f>
        <v>1552380075090387</v>
      </c>
      <c r="C4383" t="s">
        <v>40</v>
      </c>
      <c r="D4383">
        <v>5.7026379999999897</v>
      </c>
      <c r="E4383">
        <v>0.50883469999999997</v>
      </c>
      <c r="F4383" t="s">
        <v>41</v>
      </c>
      <c r="G4383">
        <v>-233.178</v>
      </c>
      <c r="H4383" s="1">
        <v>-3.3962920000000002E-6</v>
      </c>
      <c r="I4383">
        <v>141.4479</v>
      </c>
      <c r="J4383">
        <v>-216.6454</v>
      </c>
      <c r="K4383">
        <v>1.1095250000000001</v>
      </c>
      <c r="L4383">
        <v>141.88299999999899</v>
      </c>
      <c r="M4383">
        <v>-0.99982230000000005</v>
      </c>
      <c r="N4383">
        <v>0</v>
      </c>
      <c r="O4383">
        <v>1.806901E-2</v>
      </c>
      <c r="P4383">
        <v>-0.99093410000000004</v>
      </c>
      <c r="Q4383">
        <v>0.1313183</v>
      </c>
      <c r="R4383">
        <v>2.838193E-2</v>
      </c>
      <c r="S4383">
        <v>-3.056381</v>
      </c>
      <c r="T4383">
        <v>-0.20150599999999999</v>
      </c>
      <c r="U4383">
        <v>-7.8109739999999997E-2</v>
      </c>
      <c r="V4383">
        <v>1.0407E-2</v>
      </c>
      <c r="W4383">
        <v>0.13668089999999999</v>
      </c>
      <c r="X4383">
        <v>0.99056049999999995</v>
      </c>
      <c r="Y4383">
        <v>-4.3473619999999998E-2</v>
      </c>
      <c r="Z4383">
        <v>-2.6211479999999998E-3</v>
      </c>
      <c r="AA4383">
        <v>0.99905120000000003</v>
      </c>
      <c r="AB4383">
        <v>31</v>
      </c>
      <c r="AC4383">
        <v>-16.532599999999999</v>
      </c>
      <c r="AD4383">
        <v>-1.109528396292</v>
      </c>
      <c r="AE4383">
        <v>-0.43509999999997701</v>
      </c>
      <c r="AF4383">
        <v>-0.73047324764402199</v>
      </c>
      <c r="AG4383">
        <v>-1.109528396292</v>
      </c>
      <c r="AH4383">
        <v>16.448009004639399</v>
      </c>
      <c r="AI4383">
        <v>93.855349022507099</v>
      </c>
      <c r="AJ4383">
        <v>92.542894431374407</v>
      </c>
      <c r="AK4383">
        <v>16.5015649150134</v>
      </c>
      <c r="AL4383">
        <v>82.144170870744901</v>
      </c>
      <c r="AM4383">
        <v>89.398062773666098</v>
      </c>
      <c r="AN4383">
        <v>1.0000000391170201</v>
      </c>
    </row>
    <row r="4384" spans="1:40" x14ac:dyDescent="0.25">
      <c r="A4384" t="str">
        <f>"20190312164115116"</f>
        <v>20190312164115116</v>
      </c>
      <c r="B4384" t="str">
        <f>"1552380075110882"</f>
        <v>1552380075110882</v>
      </c>
      <c r="C4384" t="s">
        <v>40</v>
      </c>
      <c r="D4384">
        <v>5.7554819999999998</v>
      </c>
      <c r="E4384">
        <v>0.51066140000000004</v>
      </c>
      <c r="F4384" t="s">
        <v>42</v>
      </c>
      <c r="G4384">
        <v>-217.44139999999999</v>
      </c>
      <c r="H4384">
        <v>1.043282</v>
      </c>
      <c r="I4384">
        <v>141.91749999999999</v>
      </c>
      <c r="J4384">
        <v>-216.97130000000001</v>
      </c>
      <c r="K4384">
        <v>1.109737</v>
      </c>
      <c r="L4384">
        <v>141.88829999999999</v>
      </c>
      <c r="M4384">
        <v>-0.99983420000000001</v>
      </c>
      <c r="N4384">
        <v>0</v>
      </c>
      <c r="O4384">
        <v>1.7337539999999999E-2</v>
      </c>
      <c r="P4384">
        <v>-0.99087329999999996</v>
      </c>
      <c r="Q4384">
        <v>0.13188549999999999</v>
      </c>
      <c r="R4384">
        <v>2.7870160000000001E-2</v>
      </c>
      <c r="S4384">
        <v>-3.057404</v>
      </c>
      <c r="T4384">
        <v>-0.25454500000000002</v>
      </c>
      <c r="U4384">
        <v>0.13191220000000001</v>
      </c>
      <c r="V4384">
        <v>1.055974E-2</v>
      </c>
      <c r="W4384">
        <v>0.13743939999999999</v>
      </c>
      <c r="X4384">
        <v>0.9904539</v>
      </c>
      <c r="Y4384">
        <v>2.5747860000000001E-2</v>
      </c>
      <c r="Z4384">
        <v>-3.7063949999999998E-4</v>
      </c>
      <c r="AA4384">
        <v>0.99966840000000001</v>
      </c>
      <c r="AB4384">
        <v>31</v>
      </c>
      <c r="AC4384">
        <v>-0.47009999999997298</v>
      </c>
      <c r="AD4384">
        <v>-6.6454999999999903E-2</v>
      </c>
      <c r="AE4384">
        <v>2.9200000000002901E-2</v>
      </c>
      <c r="AF4384">
        <v>2.063434243021E-2</v>
      </c>
      <c r="AG4384">
        <v>-6.6454999999999903E-2</v>
      </c>
      <c r="AH4384">
        <v>0.46135154868115102</v>
      </c>
      <c r="AI4384">
        <v>98.188667512974305</v>
      </c>
      <c r="AJ4384">
        <v>87.439103975675494</v>
      </c>
      <c r="AK4384">
        <v>0.46656971031457201</v>
      </c>
      <c r="AL4384">
        <v>82.100297769769895</v>
      </c>
      <c r="AM4384">
        <v>89.389163279374301</v>
      </c>
      <c r="AN4384">
        <v>1.00000001240321</v>
      </c>
    </row>
    <row r="4385" spans="1:40" x14ac:dyDescent="0.25">
      <c r="A4385" t="str">
        <f>"20190312164115141"</f>
        <v>20190312164115141</v>
      </c>
      <c r="B4385" t="str">
        <f>"1552380075130403"</f>
        <v>1552380075130403</v>
      </c>
      <c r="C4385" t="s">
        <v>40</v>
      </c>
      <c r="D4385">
        <v>5.6940499999999998</v>
      </c>
      <c r="E4385">
        <v>0.51058409999999999</v>
      </c>
      <c r="F4385" t="s">
        <v>42</v>
      </c>
      <c r="G4385">
        <v>-217.7253</v>
      </c>
      <c r="H4385">
        <v>1.0529200000000001</v>
      </c>
      <c r="I4385">
        <v>141.9246</v>
      </c>
      <c r="J4385">
        <v>-217.29179999999999</v>
      </c>
      <c r="K4385">
        <v>1.109917</v>
      </c>
      <c r="L4385">
        <v>141.8931</v>
      </c>
      <c r="M4385">
        <v>-0.99984810000000002</v>
      </c>
      <c r="N4385">
        <v>0</v>
      </c>
      <c r="O4385">
        <v>1.64447E-2</v>
      </c>
      <c r="P4385">
        <v>-0.99075299999999999</v>
      </c>
      <c r="Q4385">
        <v>0.13277050000000001</v>
      </c>
      <c r="R4385">
        <v>2.7939410000000001E-2</v>
      </c>
      <c r="S4385">
        <v>-3.054138</v>
      </c>
      <c r="T4385">
        <v>-0.2301849</v>
      </c>
      <c r="U4385">
        <v>0.14686579999999999</v>
      </c>
      <c r="V4385">
        <v>1.146293E-2</v>
      </c>
      <c r="W4385">
        <v>0.13851910000000001</v>
      </c>
      <c r="X4385">
        <v>0.99029339999999999</v>
      </c>
      <c r="Y4385">
        <v>3.1556750000000001E-2</v>
      </c>
      <c r="Z4385" s="1">
        <v>-4.9976170000000002E-5</v>
      </c>
      <c r="AA4385">
        <v>0.99950190000000005</v>
      </c>
      <c r="AB4385">
        <v>31</v>
      </c>
      <c r="AC4385">
        <v>-0.43350000000000899</v>
      </c>
      <c r="AD4385">
        <v>-5.6996999999999902E-2</v>
      </c>
      <c r="AE4385">
        <v>3.1499999999993998E-2</v>
      </c>
      <c r="AF4385">
        <v>2.39549047776433E-2</v>
      </c>
      <c r="AG4385">
        <v>-5.6996999999999902E-2</v>
      </c>
      <c r="AH4385">
        <v>0.42662299612562898</v>
      </c>
      <c r="AI4385">
        <v>97.597849170691006</v>
      </c>
      <c r="AJ4385">
        <v>86.786213489344703</v>
      </c>
      <c r="AK4385">
        <v>0.431079663513735</v>
      </c>
      <c r="AL4385">
        <v>82.037837826826006</v>
      </c>
      <c r="AM4385">
        <v>89.336814545125193</v>
      </c>
      <c r="AN4385">
        <v>0.99999997895627701</v>
      </c>
    </row>
    <row r="4386" spans="1:40" x14ac:dyDescent="0.25">
      <c r="A4386" t="str">
        <f>"20190312164115165"</f>
        <v>20190312164115165</v>
      </c>
      <c r="B4386" t="str">
        <f>"1552380075160659"</f>
        <v>1552380075160659</v>
      </c>
      <c r="C4386" t="s">
        <v>40</v>
      </c>
      <c r="D4386">
        <v>5.6581659999999996</v>
      </c>
      <c r="E4386">
        <v>0.51035339999999996</v>
      </c>
      <c r="F4386" t="s">
        <v>42</v>
      </c>
      <c r="G4386">
        <v>-218.2697</v>
      </c>
      <c r="H4386">
        <v>1.041809</v>
      </c>
      <c r="I4386">
        <v>141.94049999999999</v>
      </c>
      <c r="J4386">
        <v>-217.6327</v>
      </c>
      <c r="K4386">
        <v>1.110079</v>
      </c>
      <c r="L4386">
        <v>141.89760000000001</v>
      </c>
      <c r="M4386">
        <v>-0.99986439999999999</v>
      </c>
      <c r="N4386">
        <v>0</v>
      </c>
      <c r="O4386">
        <v>1.5345299999999999E-2</v>
      </c>
      <c r="P4386">
        <v>-0.99058230000000003</v>
      </c>
      <c r="Q4386">
        <v>0.13412839999999901</v>
      </c>
      <c r="R4386">
        <v>2.7503960000000001E-2</v>
      </c>
      <c r="S4386">
        <v>-3.0523069999999999</v>
      </c>
      <c r="T4386">
        <v>-0.21261869999999999</v>
      </c>
      <c r="U4386">
        <v>0.14784239999999901</v>
      </c>
      <c r="V4386">
        <v>1.207242E-2</v>
      </c>
      <c r="W4386">
        <v>0.14008770000000001</v>
      </c>
      <c r="X4386">
        <v>0.99006550000000004</v>
      </c>
      <c r="Y4386">
        <v>3.3003579999999998E-2</v>
      </c>
      <c r="Z4386" s="1">
        <v>8.0525639999999996E-5</v>
      </c>
      <c r="AA4386">
        <v>0.99945519999999999</v>
      </c>
      <c r="AB4386">
        <v>31</v>
      </c>
      <c r="AC4386">
        <v>-0.63700000000000001</v>
      </c>
      <c r="AD4386">
        <v>-6.8269999999999997E-2</v>
      </c>
      <c r="AE4386">
        <v>4.2899999999974597E-2</v>
      </c>
      <c r="AF4386">
        <v>3.2745392081780601E-2</v>
      </c>
      <c r="AG4386">
        <v>-6.8269999999999997E-2</v>
      </c>
      <c r="AH4386">
        <v>0.63037531777448397</v>
      </c>
      <c r="AI4386">
        <v>96.172815885726493</v>
      </c>
      <c r="AJ4386">
        <v>87.026393799316295</v>
      </c>
      <c r="AK4386">
        <v>0.63490636700372605</v>
      </c>
      <c r="AL4386">
        <v>81.947078906996396</v>
      </c>
      <c r="AM4386">
        <v>89.3013952750333</v>
      </c>
      <c r="AN4386">
        <v>1.00000000065309</v>
      </c>
    </row>
    <row r="4387" spans="1:40" x14ac:dyDescent="0.25">
      <c r="A4387" t="str">
        <f>"20190312164115184"</f>
        <v>20190312164115184</v>
      </c>
      <c r="B4387" t="str">
        <f>"1552380075170419"</f>
        <v>1552380075170419</v>
      </c>
      <c r="C4387" t="s">
        <v>40</v>
      </c>
      <c r="D4387">
        <v>5.6350389999999999</v>
      </c>
      <c r="E4387">
        <v>0.51027939999999905</v>
      </c>
      <c r="F4387" t="s">
        <v>42</v>
      </c>
      <c r="G4387">
        <v>-218.55439999999999</v>
      </c>
      <c r="H4387">
        <v>1.0511699999999999</v>
      </c>
      <c r="I4387">
        <v>141.9418</v>
      </c>
      <c r="J4387">
        <v>-217.89410000000001</v>
      </c>
      <c r="K4387">
        <v>1.110174</v>
      </c>
      <c r="L4387">
        <v>141.9008</v>
      </c>
      <c r="M4387">
        <v>-0.99987700000000002</v>
      </c>
      <c r="N4387">
        <v>0</v>
      </c>
      <c r="O4387">
        <v>1.443418E-2</v>
      </c>
      <c r="P4387">
        <v>-0.99060950000000003</v>
      </c>
      <c r="Q4387">
        <v>0.13398959999999999</v>
      </c>
      <c r="R4387">
        <v>2.7198590000000002E-2</v>
      </c>
      <c r="S4387">
        <v>-3.0508730000000002</v>
      </c>
      <c r="T4387">
        <v>-0.1950654</v>
      </c>
      <c r="U4387">
        <v>0.14553829999999901</v>
      </c>
      <c r="V4387">
        <v>1.2642240000000001E-2</v>
      </c>
      <c r="W4387">
        <v>0.14010699999999901</v>
      </c>
      <c r="X4387">
        <v>0.99005560000000004</v>
      </c>
      <c r="Y4387">
        <v>3.3188420000000003E-2</v>
      </c>
      <c r="Z4387">
        <v>1.3797359999999999E-4</v>
      </c>
      <c r="AA4387">
        <v>0.99944909999999998</v>
      </c>
      <c r="AB4387">
        <v>31</v>
      </c>
      <c r="AC4387">
        <v>-0.66029999999997802</v>
      </c>
      <c r="AD4387">
        <v>-5.90039999999998E-2</v>
      </c>
      <c r="AE4387">
        <v>4.0999999999996803E-2</v>
      </c>
      <c r="AF4387">
        <v>3.12163518032916E-2</v>
      </c>
      <c r="AG4387">
        <v>-5.90039999999998E-2</v>
      </c>
      <c r="AH4387">
        <v>0.65560803249822897</v>
      </c>
      <c r="AI4387">
        <v>95.136913356269403</v>
      </c>
      <c r="AJ4387">
        <v>87.273957421807395</v>
      </c>
      <c r="AK4387">
        <v>0.65899759097595001</v>
      </c>
      <c r="AL4387">
        <v>81.945961627863895</v>
      </c>
      <c r="AM4387">
        <v>89.268417217729905</v>
      </c>
      <c r="AN4387">
        <v>0.99999994438628703</v>
      </c>
    </row>
    <row r="4388" spans="1:40" x14ac:dyDescent="0.25">
      <c r="A4388" t="str">
        <f>"20190312164115206"</f>
        <v>20190312164115206</v>
      </c>
      <c r="B4388" t="str">
        <f>"1552380075200675"</f>
        <v>1552380075200675</v>
      </c>
      <c r="C4388" t="s">
        <v>40</v>
      </c>
      <c r="D4388">
        <v>5.5941150000000004</v>
      </c>
      <c r="E4388">
        <v>0.51025549999999997</v>
      </c>
      <c r="F4388" t="s">
        <v>42</v>
      </c>
      <c r="G4388">
        <v>-218.83240000000001</v>
      </c>
      <c r="H4388">
        <v>1.050783</v>
      </c>
      <c r="I4388">
        <v>141.94540000000001</v>
      </c>
      <c r="J4388">
        <v>-218.2079</v>
      </c>
      <c r="K4388">
        <v>1.11026</v>
      </c>
      <c r="L4388">
        <v>141.90430000000001</v>
      </c>
      <c r="M4388">
        <v>-0.9998918</v>
      </c>
      <c r="N4388">
        <v>0</v>
      </c>
      <c r="O4388">
        <v>1.327098E-2</v>
      </c>
      <c r="P4388">
        <v>-0.99079070000000002</v>
      </c>
      <c r="Q4388">
        <v>0.13274900000000001</v>
      </c>
      <c r="R4388">
        <v>2.6670139999999998E-2</v>
      </c>
      <c r="S4388">
        <v>-3.0506129999999998</v>
      </c>
      <c r="T4388">
        <v>-0.19320799999999999</v>
      </c>
      <c r="U4388">
        <v>0.1442871</v>
      </c>
      <c r="V4388">
        <v>1.323974E-2</v>
      </c>
      <c r="W4388">
        <v>0.13905129999999999</v>
      </c>
      <c r="X4388">
        <v>0.99019659999999998</v>
      </c>
      <c r="Y4388">
        <v>3.3943010000000003E-2</v>
      </c>
      <c r="Z4388">
        <v>2.3407159999999999E-4</v>
      </c>
      <c r="AA4388">
        <v>0.99942370000000003</v>
      </c>
      <c r="AB4388">
        <v>31</v>
      </c>
      <c r="AC4388">
        <v>-0.62450000000001105</v>
      </c>
      <c r="AD4388">
        <v>-5.9476999999999898E-2</v>
      </c>
      <c r="AE4388">
        <v>4.1100000000000102E-2</v>
      </c>
      <c r="AF4388">
        <v>3.2514831342288497E-2</v>
      </c>
      <c r="AG4388">
        <v>-5.9476999999999898E-2</v>
      </c>
      <c r="AH4388">
        <v>0.61939641890707198</v>
      </c>
      <c r="AI4388">
        <v>95.477464296056297</v>
      </c>
      <c r="AJ4388">
        <v>86.995051724623494</v>
      </c>
      <c r="AK4388">
        <v>0.62309441623330397</v>
      </c>
      <c r="AL4388">
        <v>82.007046646014899</v>
      </c>
      <c r="AM4388">
        <v>89.233954123236501</v>
      </c>
      <c r="AN4388">
        <v>0.99999993069925597</v>
      </c>
    </row>
    <row r="4389" spans="1:40" x14ac:dyDescent="0.25">
      <c r="A4389" t="str">
        <f>"20190312164115231"</f>
        <v>20190312164115231</v>
      </c>
      <c r="B4389" t="str">
        <f>"1552380075220195"</f>
        <v>1552380075220195</v>
      </c>
      <c r="C4389" t="s">
        <v>40</v>
      </c>
      <c r="D4389">
        <v>5.7334889999999996</v>
      </c>
      <c r="E4389">
        <v>0.51015290000000002</v>
      </c>
      <c r="F4389" t="s">
        <v>42</v>
      </c>
      <c r="G4389">
        <v>-219.10830000000001</v>
      </c>
      <c r="H4389">
        <v>1.0471159999999999</v>
      </c>
      <c r="I4389">
        <v>141.9461</v>
      </c>
      <c r="J4389">
        <v>-218.56479999999999</v>
      </c>
      <c r="K4389">
        <v>1.110349</v>
      </c>
      <c r="L4389">
        <v>141.90770000000001</v>
      </c>
      <c r="M4389">
        <v>-0.99990820000000002</v>
      </c>
      <c r="N4389">
        <v>0</v>
      </c>
      <c r="O4389">
        <v>1.187305E-2</v>
      </c>
      <c r="P4389">
        <v>-0.99093779999999998</v>
      </c>
      <c r="Q4389">
        <v>0.13176160000000001</v>
      </c>
      <c r="R4389">
        <v>2.610026E-2</v>
      </c>
      <c r="S4389">
        <v>-3.0527799999999998</v>
      </c>
      <c r="T4389">
        <v>-0.2142144</v>
      </c>
      <c r="U4389">
        <v>0.1414337</v>
      </c>
      <c r="V4389">
        <v>1.4029740000000001E-2</v>
      </c>
      <c r="W4389">
        <v>0.138266</v>
      </c>
      <c r="X4389">
        <v>0.99029579999999995</v>
      </c>
      <c r="Y4389">
        <v>3.4360830000000002E-2</v>
      </c>
      <c r="Z4389">
        <v>3.7181729999999997E-4</v>
      </c>
      <c r="AA4389">
        <v>0.9994094</v>
      </c>
      <c r="AB4389">
        <v>31</v>
      </c>
      <c r="AC4389">
        <v>-0.54350000000002296</v>
      </c>
      <c r="AD4389">
        <v>-6.3233000000000095E-2</v>
      </c>
      <c r="AE4389">
        <v>3.8399999999995701E-2</v>
      </c>
      <c r="AF4389">
        <v>3.1519624370802302E-2</v>
      </c>
      <c r="AG4389">
        <v>-6.3233000000000095E-2</v>
      </c>
      <c r="AH4389">
        <v>0.53668911463230895</v>
      </c>
      <c r="AI4389">
        <v>96.708187197213206</v>
      </c>
      <c r="AJ4389">
        <v>86.638893274546405</v>
      </c>
      <c r="AK4389">
        <v>0.54131978051267204</v>
      </c>
      <c r="AL4389">
        <v>82.052480822419795</v>
      </c>
      <c r="AM4389">
        <v>89.188332298092902</v>
      </c>
      <c r="AN4389">
        <v>1.0000000459290499</v>
      </c>
    </row>
    <row r="4390" spans="1:40" x14ac:dyDescent="0.25">
      <c r="A4390" t="str">
        <f>"20190312164115251"</f>
        <v>20190312164115251</v>
      </c>
      <c r="B4390" t="str">
        <f>"1552380075240690"</f>
        <v>1552380075240690</v>
      </c>
      <c r="C4390" t="s">
        <v>40</v>
      </c>
      <c r="D4390">
        <v>5.6159850000000002</v>
      </c>
      <c r="E4390">
        <v>0.51004329999999998</v>
      </c>
      <c r="F4390" t="s">
        <v>42</v>
      </c>
      <c r="G4390">
        <v>-219.38990000000001</v>
      </c>
      <c r="H4390">
        <v>1.0489729999999999</v>
      </c>
      <c r="I4390">
        <v>141.94479999999999</v>
      </c>
      <c r="J4390">
        <v>-218.8374</v>
      </c>
      <c r="K4390">
        <v>1.1104149999999999</v>
      </c>
      <c r="L4390">
        <v>141.90989999999999</v>
      </c>
      <c r="M4390">
        <v>-0.99992000000000003</v>
      </c>
      <c r="N4390">
        <v>0</v>
      </c>
      <c r="O4390">
        <v>1.075286E-2</v>
      </c>
      <c r="P4390">
        <v>-0.99095500000000003</v>
      </c>
      <c r="Q4390">
        <v>0.13164919999999999</v>
      </c>
      <c r="R4390">
        <v>2.6017539999999999E-2</v>
      </c>
      <c r="S4390">
        <v>-3.0540470000000002</v>
      </c>
      <c r="T4390">
        <v>-0.22725960000000001</v>
      </c>
      <c r="U4390">
        <v>0.1371155</v>
      </c>
      <c r="V4390">
        <v>1.503782E-2</v>
      </c>
      <c r="W4390">
        <v>0.13829710000000001</v>
      </c>
      <c r="X4390">
        <v>0.99027659999999995</v>
      </c>
      <c r="Y4390">
        <v>3.4042030000000001E-2</v>
      </c>
      <c r="Z4390">
        <v>4.6559409999999998E-4</v>
      </c>
      <c r="AA4390">
        <v>0.99942030000000004</v>
      </c>
      <c r="AB4390">
        <v>31</v>
      </c>
      <c r="AC4390">
        <v>-0.55250000000000898</v>
      </c>
      <c r="AD4390">
        <v>-6.1441999999999997E-2</v>
      </c>
      <c r="AE4390">
        <v>3.48999999999932E-2</v>
      </c>
      <c r="AF4390">
        <v>2.8604547299729E-2</v>
      </c>
      <c r="AG4390">
        <v>-6.1441999999999997E-2</v>
      </c>
      <c r="AH4390">
        <v>0.54611633315258601</v>
      </c>
      <c r="AI4390">
        <v>96.410477935317502</v>
      </c>
      <c r="AJ4390">
        <v>87.001694650799095</v>
      </c>
      <c r="AK4390">
        <v>0.55030572305423897</v>
      </c>
      <c r="AL4390">
        <v>82.050681145078897</v>
      </c>
      <c r="AM4390">
        <v>89.130003273799105</v>
      </c>
      <c r="AN4390">
        <v>0.99999998420316005</v>
      </c>
    </row>
    <row r="4391" spans="1:40" x14ac:dyDescent="0.25">
      <c r="A4391" t="str">
        <f>"20190312164115271"</f>
        <v>20190312164115271</v>
      </c>
      <c r="B4391" t="str">
        <f>"1552380075260210"</f>
        <v>1552380075260210</v>
      </c>
      <c r="C4391" t="s">
        <v>40</v>
      </c>
      <c r="D4391">
        <v>5.6852910000000003</v>
      </c>
      <c r="E4391">
        <v>0.50985290000000005</v>
      </c>
      <c r="F4391" t="s">
        <v>42</v>
      </c>
      <c r="G4391">
        <v>-219.66810000000001</v>
      </c>
      <c r="H4391">
        <v>1.046807</v>
      </c>
      <c r="I4391">
        <v>141.94669999999999</v>
      </c>
      <c r="J4391">
        <v>-219.1327</v>
      </c>
      <c r="K4391">
        <v>1.1104909999999999</v>
      </c>
      <c r="L4391">
        <v>141.9119</v>
      </c>
      <c r="M4391">
        <v>-0.99993200000000004</v>
      </c>
      <c r="N4391">
        <v>0</v>
      </c>
      <c r="O4391">
        <v>9.4850179999999996E-3</v>
      </c>
      <c r="P4391">
        <v>-0.99098810000000004</v>
      </c>
      <c r="Q4391">
        <v>0.13151189999999999</v>
      </c>
      <c r="R4391">
        <v>2.5451080000000001E-2</v>
      </c>
      <c r="S4391">
        <v>-3.0549620000000002</v>
      </c>
      <c r="T4391">
        <v>-0.23409260000000001</v>
      </c>
      <c r="U4391">
        <v>0.1348114</v>
      </c>
      <c r="V4391">
        <v>1.5705839999999999E-2</v>
      </c>
      <c r="W4391">
        <v>0.13830329999999999</v>
      </c>
      <c r="X4391">
        <v>0.99026539999999996</v>
      </c>
      <c r="Y4391">
        <v>3.4534479999999999E-2</v>
      </c>
      <c r="Z4391">
        <v>5.9519650000000005E-4</v>
      </c>
      <c r="AA4391">
        <v>0.99940340000000005</v>
      </c>
      <c r="AB4391">
        <v>31</v>
      </c>
      <c r="AC4391">
        <v>-0.53540000000000898</v>
      </c>
      <c r="AD4391">
        <v>-6.3683999999999796E-2</v>
      </c>
      <c r="AE4391">
        <v>3.4799999999989902E-2</v>
      </c>
      <c r="AF4391">
        <v>2.9307137520717601E-2</v>
      </c>
      <c r="AG4391">
        <v>-6.3683999999999796E-2</v>
      </c>
      <c r="AH4391">
        <v>0.52826342015594396</v>
      </c>
      <c r="AI4391">
        <v>96.863580470483797</v>
      </c>
      <c r="AJ4391">
        <v>86.824584748992294</v>
      </c>
      <c r="AK4391">
        <v>0.53289473748622596</v>
      </c>
      <c r="AL4391">
        <v>82.050322745412004</v>
      </c>
      <c r="AM4391">
        <v>89.091351769740797</v>
      </c>
      <c r="AN4391">
        <v>1.0000000193190699</v>
      </c>
    </row>
    <row r="4392" spans="1:40" x14ac:dyDescent="0.25">
      <c r="A4392" t="str">
        <f>"20190312164115294"</f>
        <v>20190312164115294</v>
      </c>
      <c r="B4392" t="str">
        <f>"1552380075290466"</f>
        <v>1552380075290466</v>
      </c>
      <c r="C4392" t="s">
        <v>40</v>
      </c>
      <c r="D4392">
        <v>5.6896000000000004</v>
      </c>
      <c r="E4392">
        <v>0.50957450000000004</v>
      </c>
      <c r="F4392" t="s">
        <v>42</v>
      </c>
      <c r="G4392">
        <v>-219.95079999999999</v>
      </c>
      <c r="H4392">
        <v>1.048818</v>
      </c>
      <c r="I4392">
        <v>141.94710000000001</v>
      </c>
      <c r="J4392">
        <v>-219.44800000000001</v>
      </c>
      <c r="K4392">
        <v>1.110573</v>
      </c>
      <c r="L4392">
        <v>141.9135</v>
      </c>
      <c r="M4392">
        <v>-0.99994360000000004</v>
      </c>
      <c r="N4392">
        <v>0</v>
      </c>
      <c r="O4392">
        <v>8.0606879999999999E-3</v>
      </c>
      <c r="P4392">
        <v>-0.99096530000000005</v>
      </c>
      <c r="Q4392">
        <v>0.13184679999999999</v>
      </c>
      <c r="R4392">
        <v>2.459277E-2</v>
      </c>
      <c r="S4392">
        <v>-3.0544739999999999</v>
      </c>
      <c r="T4392">
        <v>-0.2302855</v>
      </c>
      <c r="U4392">
        <v>0.13125609999999999</v>
      </c>
      <c r="V4392">
        <v>1.6232819999999999E-2</v>
      </c>
      <c r="W4392">
        <v>0.1387774</v>
      </c>
      <c r="X4392">
        <v>0.99019060000000003</v>
      </c>
      <c r="Y4392">
        <v>3.4801560000000002E-2</v>
      </c>
      <c r="Z4392">
        <v>7.0287219999999996E-4</v>
      </c>
      <c r="AA4392">
        <v>0.999394</v>
      </c>
      <c r="AB4392">
        <v>31</v>
      </c>
      <c r="AC4392">
        <v>-0.50280000000000702</v>
      </c>
      <c r="AD4392">
        <v>-6.1754999999999997E-2</v>
      </c>
      <c r="AE4392">
        <v>3.3600000000006902E-2</v>
      </c>
      <c r="AF4392">
        <v>2.91087359666133E-2</v>
      </c>
      <c r="AG4392">
        <v>-6.1754999999999997E-2</v>
      </c>
      <c r="AH4392">
        <v>0.49561130772490097</v>
      </c>
      <c r="AI4392">
        <v>97.090563505905195</v>
      </c>
      <c r="AJ4392">
        <v>86.638708773327906</v>
      </c>
      <c r="AK4392">
        <v>0.50029148191765205</v>
      </c>
      <c r="AL4392">
        <v>82.022894546894506</v>
      </c>
      <c r="AM4392">
        <v>89.060798224390396</v>
      </c>
      <c r="AN4392">
        <v>1.00000004776213</v>
      </c>
    </row>
    <row r="4393" spans="1:40" x14ac:dyDescent="0.25">
      <c r="A4393" t="str">
        <f>"20190312164115317"</f>
        <v>20190312164115317</v>
      </c>
      <c r="B4393" t="str">
        <f>"1552380075310963"</f>
        <v>1552380075310963</v>
      </c>
      <c r="C4393" t="s">
        <v>40</v>
      </c>
      <c r="D4393">
        <v>5.65116</v>
      </c>
      <c r="E4393">
        <v>0.50943149999999904</v>
      </c>
      <c r="F4393" t="s">
        <v>42</v>
      </c>
      <c r="G4393">
        <v>-220.23570000000001</v>
      </c>
      <c r="H4393">
        <v>1.05264</v>
      </c>
      <c r="I4393">
        <v>141.9462</v>
      </c>
      <c r="J4393">
        <v>-219.7722</v>
      </c>
      <c r="K4393">
        <v>1.110657</v>
      </c>
      <c r="L4393">
        <v>141.91470000000001</v>
      </c>
      <c r="M4393">
        <v>-0.9999538</v>
      </c>
      <c r="N4393">
        <v>0</v>
      </c>
      <c r="O4393">
        <v>6.516511E-3</v>
      </c>
      <c r="P4393">
        <v>-0.99089559999999999</v>
      </c>
      <c r="Q4393">
        <v>0.13257169999999999</v>
      </c>
      <c r="R4393">
        <v>2.3472349999999999E-2</v>
      </c>
      <c r="S4393">
        <v>-3.0540919999999998</v>
      </c>
      <c r="T4393">
        <v>-0.22470560000000001</v>
      </c>
      <c r="U4393">
        <v>0.1264343</v>
      </c>
      <c r="V4393">
        <v>1.6613599999999999E-2</v>
      </c>
      <c r="W4393">
        <v>0.13962739999999901</v>
      </c>
      <c r="X4393">
        <v>0.99006470000000002</v>
      </c>
      <c r="Y4393">
        <v>3.4774680000000002E-2</v>
      </c>
      <c r="Z4393">
        <v>7.9841059999999895E-4</v>
      </c>
      <c r="AA4393">
        <v>0.99939480000000003</v>
      </c>
      <c r="AB4393">
        <v>31</v>
      </c>
      <c r="AC4393">
        <v>-0.46350000000001002</v>
      </c>
      <c r="AD4393">
        <v>-5.8016999999999902E-2</v>
      </c>
      <c r="AE4393">
        <v>3.1499999999993998E-2</v>
      </c>
      <c r="AF4393">
        <v>2.80415207766633E-2</v>
      </c>
      <c r="AG4393">
        <v>-5.8016999999999902E-2</v>
      </c>
      <c r="AH4393">
        <v>0.45657474988186297</v>
      </c>
      <c r="AI4393">
        <v>97.228294289147499</v>
      </c>
      <c r="AJ4393">
        <v>86.485470981423902</v>
      </c>
      <c r="AK4393">
        <v>0.461099556935543</v>
      </c>
      <c r="AL4393">
        <v>81.973713656261296</v>
      </c>
      <c r="AM4393">
        <v>89.038648854369796</v>
      </c>
      <c r="AN4393">
        <v>0.99999996636090405</v>
      </c>
    </row>
    <row r="4394" spans="1:40" x14ac:dyDescent="0.25">
      <c r="A4394" t="str">
        <f>"20190312164115341"</f>
        <v>20190312164115341</v>
      </c>
      <c r="B4394" t="str">
        <f>"1552380075330484"</f>
        <v>1552380075330484</v>
      </c>
      <c r="C4394" t="s">
        <v>40</v>
      </c>
      <c r="D4394">
        <v>5.690893</v>
      </c>
      <c r="E4394">
        <v>0.50938620000000001</v>
      </c>
      <c r="F4394" t="s">
        <v>41</v>
      </c>
      <c r="G4394">
        <v>-234.4812</v>
      </c>
      <c r="H4394" s="1">
        <v>-3.1155719999999999E-6</v>
      </c>
      <c r="I4394">
        <v>142.4941</v>
      </c>
      <c r="J4394">
        <v>-220.10069999999999</v>
      </c>
      <c r="K4394">
        <v>1.110738</v>
      </c>
      <c r="L4394">
        <v>141.9152</v>
      </c>
      <c r="M4394">
        <v>-0.99996249999999998</v>
      </c>
      <c r="N4394">
        <v>0</v>
      </c>
      <c r="O4394">
        <v>4.8580050000000003E-3</v>
      </c>
      <c r="P4394">
        <v>-0.99077320000000002</v>
      </c>
      <c r="Q4394">
        <v>0.1336299</v>
      </c>
      <c r="R4394">
        <v>2.2622469999999999E-2</v>
      </c>
      <c r="S4394">
        <v>-3.0556030000000001</v>
      </c>
      <c r="T4394">
        <v>-0.23072490000000001</v>
      </c>
      <c r="U4394">
        <v>0.1203766</v>
      </c>
      <c r="V4394">
        <v>1.7377179999999999E-2</v>
      </c>
      <c r="W4394">
        <v>0.14078209999999999</v>
      </c>
      <c r="X4394">
        <v>0.98988810000000005</v>
      </c>
      <c r="Y4394">
        <v>3.4425959999999999E-2</v>
      </c>
      <c r="Z4394">
        <v>9.3122430000000002E-4</v>
      </c>
      <c r="AA4394">
        <v>0.99940680000000004</v>
      </c>
      <c r="AB4394">
        <v>32</v>
      </c>
      <c r="AC4394">
        <v>-14.3805</v>
      </c>
      <c r="AD4394">
        <v>-1.1107411155719999</v>
      </c>
      <c r="AE4394">
        <v>0.57890000000000397</v>
      </c>
      <c r="AF4394">
        <v>0.506016858287062</v>
      </c>
      <c r="AG4394">
        <v>-1.1107411155719999</v>
      </c>
      <c r="AH4394">
        <v>14.297980016025299</v>
      </c>
      <c r="AI4394">
        <v>94.439342943923506</v>
      </c>
      <c r="AJ4394">
        <v>87.9731028512238</v>
      </c>
      <c r="AK4394">
        <v>14.349983673348</v>
      </c>
      <c r="AL4394">
        <v>81.906894548064201</v>
      </c>
      <c r="AM4394">
        <v>88.994293578925706</v>
      </c>
      <c r="AN4394">
        <v>1.00000000829338</v>
      </c>
    </row>
    <row r="4395" spans="1:40" x14ac:dyDescent="0.25">
      <c r="A4395" t="str">
        <f>"20190312164115363"</f>
        <v>20190312164115363</v>
      </c>
      <c r="B4395" t="str">
        <f>"1552380075360739"</f>
        <v>1552380075360739</v>
      </c>
      <c r="C4395" t="s">
        <v>40</v>
      </c>
      <c r="D4395">
        <v>5.6329070000000003</v>
      </c>
      <c r="E4395">
        <v>0.50918730000000001</v>
      </c>
      <c r="F4395" t="s">
        <v>42</v>
      </c>
      <c r="G4395">
        <v>-221.0736</v>
      </c>
      <c r="H4395">
        <v>1.03935</v>
      </c>
      <c r="I4395">
        <v>141.95240000000001</v>
      </c>
      <c r="J4395">
        <v>-220.42310000000001</v>
      </c>
      <c r="K4395">
        <v>1.1108009999999999</v>
      </c>
      <c r="L4395">
        <v>141.9151</v>
      </c>
      <c r="M4395">
        <v>-0.999969</v>
      </c>
      <c r="N4395">
        <v>0</v>
      </c>
      <c r="O4395">
        <v>3.1543370000000001E-3</v>
      </c>
      <c r="P4395">
        <v>-0.99068259999999997</v>
      </c>
      <c r="Q4395">
        <v>0.13448370000000001</v>
      </c>
      <c r="R4395">
        <v>2.15021E-2</v>
      </c>
      <c r="S4395">
        <v>-3.0555569999999999</v>
      </c>
      <c r="T4395">
        <v>-0.2243385</v>
      </c>
      <c r="U4395">
        <v>0.1165466</v>
      </c>
      <c r="V4395">
        <v>1.7918079999999999E-2</v>
      </c>
      <c r="W4395">
        <v>0.14169989999999999</v>
      </c>
      <c r="X4395">
        <v>0.9897475</v>
      </c>
      <c r="Y4395">
        <v>3.4877230000000002E-2</v>
      </c>
      <c r="Z4395">
        <v>1.0469590000000001E-3</v>
      </c>
      <c r="AA4395">
        <v>0.99939109999999998</v>
      </c>
      <c r="AB4395">
        <v>32</v>
      </c>
      <c r="AC4395">
        <v>-0.65049999999999297</v>
      </c>
      <c r="AD4395">
        <v>-7.1450999999999903E-2</v>
      </c>
      <c r="AE4395">
        <v>3.7300000000016098E-2</v>
      </c>
      <c r="AF4395">
        <v>3.4829034719887901E-2</v>
      </c>
      <c r="AG4395">
        <v>-7.1450999999999903E-2</v>
      </c>
      <c r="AH4395">
        <v>0.64288354683766702</v>
      </c>
      <c r="AI4395">
        <v>96.332696958808796</v>
      </c>
      <c r="AJ4395">
        <v>86.898959742367495</v>
      </c>
      <c r="AK4395">
        <v>0.64777894520823798</v>
      </c>
      <c r="AL4395">
        <v>81.853776046616801</v>
      </c>
      <c r="AM4395">
        <v>88.962848377108301</v>
      </c>
      <c r="AN4395">
        <v>1.0000000165035701</v>
      </c>
    </row>
    <row r="4396" spans="1:40" x14ac:dyDescent="0.25">
      <c r="A4396" t="str">
        <f>"20190312164115384"</f>
        <v>20190312164115384</v>
      </c>
      <c r="B4396" t="str">
        <f>"1552380075380258"</f>
        <v>1552380075380258</v>
      </c>
      <c r="C4396" t="s">
        <v>40</v>
      </c>
      <c r="D4396">
        <v>5.6016690000000002</v>
      </c>
      <c r="E4396">
        <v>0.50912299999999999</v>
      </c>
      <c r="F4396" t="s">
        <v>42</v>
      </c>
      <c r="G4396">
        <v>-221.35910000000001</v>
      </c>
      <c r="H4396">
        <v>1.042624</v>
      </c>
      <c r="I4396">
        <v>141.9494</v>
      </c>
      <c r="J4396">
        <v>-220.71029999999999</v>
      </c>
      <c r="K4396">
        <v>1.1108389999999999</v>
      </c>
      <c r="L4396">
        <v>141.9145</v>
      </c>
      <c r="M4396">
        <v>-0.99997230000000004</v>
      </c>
      <c r="N4396">
        <v>0</v>
      </c>
      <c r="O4396">
        <v>1.590075E-3</v>
      </c>
      <c r="P4396">
        <v>-0.99064560000000002</v>
      </c>
      <c r="Q4396">
        <v>0.1348586</v>
      </c>
      <c r="R4396">
        <v>2.0842820000000001E-2</v>
      </c>
      <c r="S4396">
        <v>-3.0560299999999998</v>
      </c>
      <c r="T4396">
        <v>-0.22275220000000001</v>
      </c>
      <c r="U4396">
        <v>0.1114349</v>
      </c>
      <c r="V4396">
        <v>1.878962E-2</v>
      </c>
      <c r="W4396">
        <v>0.1421152</v>
      </c>
      <c r="X4396">
        <v>0.98967179999999999</v>
      </c>
      <c r="Y4396">
        <v>3.4762750000000002E-2</v>
      </c>
      <c r="Z4396">
        <v>1.149111E-3</v>
      </c>
      <c r="AA4396">
        <v>0.99939500000000003</v>
      </c>
      <c r="AB4396">
        <v>32</v>
      </c>
      <c r="AC4396">
        <v>-0.64880000000002203</v>
      </c>
      <c r="AD4396">
        <v>-6.8214999999999901E-2</v>
      </c>
      <c r="AE4396">
        <v>3.48999999999932E-2</v>
      </c>
      <c r="AF4396">
        <v>3.3499042080679498E-2</v>
      </c>
      <c r="AG4396">
        <v>-6.8214999999999901E-2</v>
      </c>
      <c r="AH4396">
        <v>0.64178059700455203</v>
      </c>
      <c r="AI4396">
        <v>96.059014185107998</v>
      </c>
      <c r="AJ4396">
        <v>87.012042013221503</v>
      </c>
      <c r="AK4396">
        <v>0.64626450214818498</v>
      </c>
      <c r="AL4396">
        <v>81.829737917427494</v>
      </c>
      <c r="AM4396">
        <v>88.912329723173201</v>
      </c>
      <c r="AN4396">
        <v>1.00000002580301</v>
      </c>
    </row>
    <row r="4397" spans="1:40" x14ac:dyDescent="0.25">
      <c r="A4397" t="str">
        <f>"20190312164115406"</f>
        <v>20190312164115406</v>
      </c>
      <c r="B4397" t="str">
        <f>"1552380075400755"</f>
        <v>1552380075400755</v>
      </c>
      <c r="C4397" t="s">
        <v>40</v>
      </c>
      <c r="D4397">
        <v>5.5740879999999997</v>
      </c>
      <c r="E4397">
        <v>0.50907799999999903</v>
      </c>
      <c r="F4397" t="s">
        <v>42</v>
      </c>
      <c r="G4397">
        <v>-221.64439999999999</v>
      </c>
      <c r="H4397">
        <v>1.043782</v>
      </c>
      <c r="I4397">
        <v>141.94810000000001</v>
      </c>
      <c r="J4397">
        <v>-221.0341</v>
      </c>
      <c r="K4397">
        <v>1.1108659999999999</v>
      </c>
      <c r="L4397">
        <v>141.91319999999999</v>
      </c>
      <c r="M4397">
        <v>-0.99997349999999996</v>
      </c>
      <c r="N4397">
        <v>0</v>
      </c>
      <c r="O4397">
        <v>-2.1401619999999999E-4</v>
      </c>
      <c r="P4397">
        <v>-0.99045649999999996</v>
      </c>
      <c r="Q4397">
        <v>0.1361299</v>
      </c>
      <c r="R4397">
        <v>2.1559229999999999E-2</v>
      </c>
      <c r="S4397">
        <v>-3.0558779999999999</v>
      </c>
      <c r="T4397">
        <v>-0.2194624</v>
      </c>
      <c r="U4397">
        <v>0.1095734</v>
      </c>
      <c r="V4397">
        <v>2.1273810000000001E-2</v>
      </c>
      <c r="W4397">
        <v>0.1434117</v>
      </c>
      <c r="X4397">
        <v>0.98943440000000005</v>
      </c>
      <c r="Y4397">
        <v>3.5954420000000001E-2</v>
      </c>
      <c r="Z4397">
        <v>1.304333E-3</v>
      </c>
      <c r="AA4397">
        <v>0.99935260000000004</v>
      </c>
      <c r="AB4397">
        <v>32</v>
      </c>
      <c r="AC4397">
        <v>-0.61029999999999496</v>
      </c>
      <c r="AD4397">
        <v>-6.7083999999999894E-2</v>
      </c>
      <c r="AE4397">
        <v>3.4900000000021601E-2</v>
      </c>
      <c r="AF4397">
        <v>3.4613764528433198E-2</v>
      </c>
      <c r="AG4397">
        <v>-6.7083999999999894E-2</v>
      </c>
      <c r="AH4397">
        <v>0.60303024689260198</v>
      </c>
      <c r="AI4397">
        <v>96.337413623599502</v>
      </c>
      <c r="AJ4397">
        <v>86.714843298400893</v>
      </c>
      <c r="AK4397">
        <v>0.60773666535612503</v>
      </c>
      <c r="AL4397">
        <v>81.754684622408405</v>
      </c>
      <c r="AM4397">
        <v>88.768274329245102</v>
      </c>
      <c r="AN4397">
        <v>0.99999996129608204</v>
      </c>
    </row>
    <row r="4398" spans="1:40" x14ac:dyDescent="0.25">
      <c r="A4398" t="str">
        <f>"20190312164115441"</f>
        <v>20190312164115441</v>
      </c>
      <c r="B4398" t="str">
        <f>"1552380075431011"</f>
        <v>1552380075431011</v>
      </c>
      <c r="C4398" t="s">
        <v>40</v>
      </c>
      <c r="D4398">
        <v>5.7013309999999997</v>
      </c>
      <c r="E4398">
        <v>0.50915129999999997</v>
      </c>
      <c r="F4398" t="s">
        <v>42</v>
      </c>
      <c r="G4398">
        <v>-221.9307</v>
      </c>
      <c r="H4398">
        <v>1.0455829999999999</v>
      </c>
      <c r="I4398">
        <v>141.9461</v>
      </c>
      <c r="J4398">
        <v>-221.5317</v>
      </c>
      <c r="K4398">
        <v>1.1108990000000001</v>
      </c>
      <c r="L4398">
        <v>141.9102</v>
      </c>
      <c r="M4398">
        <v>-0.99996910000000006</v>
      </c>
      <c r="N4398">
        <v>0</v>
      </c>
      <c r="O4398">
        <v>-3.0312120000000001E-3</v>
      </c>
      <c r="P4398">
        <v>-0.99007559999999994</v>
      </c>
      <c r="Q4398">
        <v>0.138626</v>
      </c>
      <c r="R4398">
        <v>2.3091380000000002E-2</v>
      </c>
      <c r="S4398">
        <v>-3.0571139999999999</v>
      </c>
      <c r="T4398">
        <v>-0.2227817</v>
      </c>
      <c r="U4398">
        <v>0.11131290000000001</v>
      </c>
      <c r="V4398">
        <v>2.5570720000000002E-2</v>
      </c>
      <c r="W4398">
        <v>0.14589340000000001</v>
      </c>
      <c r="X4398">
        <v>0.98896980000000001</v>
      </c>
      <c r="Y4398">
        <v>3.9303989999999997E-2</v>
      </c>
      <c r="Z4398">
        <v>1.6502729999999901E-3</v>
      </c>
      <c r="AA4398">
        <v>0.9992259</v>
      </c>
      <c r="AB4398">
        <v>32</v>
      </c>
      <c r="AC4398">
        <v>-0.39900000000000002</v>
      </c>
      <c r="AD4398">
        <v>-6.5316000000000096E-2</v>
      </c>
      <c r="AE4398">
        <v>3.5899999999998003E-2</v>
      </c>
      <c r="AF4398">
        <v>3.61484143676781E-2</v>
      </c>
      <c r="AG4398">
        <v>-6.5316000000000096E-2</v>
      </c>
      <c r="AH4398">
        <v>0.388560531247442</v>
      </c>
      <c r="AI4398">
        <v>99.501784005984305</v>
      </c>
      <c r="AJ4398">
        <v>84.684979402554106</v>
      </c>
      <c r="AK4398">
        <v>0.39566674634165599</v>
      </c>
      <c r="AL4398">
        <v>81.610982627369594</v>
      </c>
      <c r="AM4398">
        <v>88.518895136849395</v>
      </c>
      <c r="AN4398">
        <v>1.0000000055984499</v>
      </c>
    </row>
    <row r="4399" spans="1:40" x14ac:dyDescent="0.25">
      <c r="A4399" t="str">
        <f>"20190312164115462"</f>
        <v>20190312164115462</v>
      </c>
      <c r="B4399" t="str">
        <f>"1552380075450534"</f>
        <v>1552380075450534</v>
      </c>
      <c r="C4399" t="s">
        <v>40</v>
      </c>
      <c r="D4399">
        <v>5.6038670000000002</v>
      </c>
      <c r="E4399">
        <v>0.5093917</v>
      </c>
      <c r="F4399" t="s">
        <v>42</v>
      </c>
      <c r="G4399">
        <v>-222.50190000000001</v>
      </c>
      <c r="H4399">
        <v>1.041374</v>
      </c>
      <c r="I4399">
        <v>141.94669999999999</v>
      </c>
      <c r="J4399">
        <v>-221.83090000000001</v>
      </c>
      <c r="K4399">
        <v>1.110903</v>
      </c>
      <c r="L4399">
        <v>141.90770000000001</v>
      </c>
      <c r="M4399">
        <v>-0.99996289999999999</v>
      </c>
      <c r="N4399">
        <v>0</v>
      </c>
      <c r="O4399">
        <v>-4.7361139999999996E-3</v>
      </c>
      <c r="P4399">
        <v>-0.98992690000000005</v>
      </c>
      <c r="Q4399">
        <v>0.1394821</v>
      </c>
      <c r="R4399">
        <v>2.4278950000000001E-2</v>
      </c>
      <c r="S4399">
        <v>-3.0581049999999999</v>
      </c>
      <c r="T4399">
        <v>-0.21927569999999999</v>
      </c>
      <c r="U4399">
        <v>0.1142883</v>
      </c>
      <c r="V4399">
        <v>2.8436090000000001E-2</v>
      </c>
      <c r="W4399">
        <v>0.1467137</v>
      </c>
      <c r="X4399">
        <v>0.98877020000000004</v>
      </c>
      <c r="Y4399">
        <v>4.1958990000000002E-2</v>
      </c>
      <c r="Z4399">
        <v>1.840901E-3</v>
      </c>
      <c r="AA4399">
        <v>0.99911760000000005</v>
      </c>
      <c r="AB4399">
        <v>32</v>
      </c>
      <c r="AC4399">
        <v>-0.67099999999999205</v>
      </c>
      <c r="AD4399">
        <v>-6.9528999999999896E-2</v>
      </c>
      <c r="AE4399">
        <v>3.8999999999987198E-2</v>
      </c>
      <c r="AF4399">
        <v>4.17310158826096E-2</v>
      </c>
      <c r="AG4399">
        <v>-6.9528999999999896E-2</v>
      </c>
      <c r="AH4399">
        <v>0.66370548270729501</v>
      </c>
      <c r="AI4399">
        <v>95.968723127743004</v>
      </c>
      <c r="AJ4399">
        <v>86.402217923430797</v>
      </c>
      <c r="AK4399">
        <v>0.66864095544867597</v>
      </c>
      <c r="AL4399">
        <v>81.563471745492606</v>
      </c>
      <c r="AM4399">
        <v>88.352681962135094</v>
      </c>
      <c r="AN4399">
        <v>1.0000000146951</v>
      </c>
    </row>
    <row r="4400" spans="1:40" x14ac:dyDescent="0.25">
      <c r="A4400" t="str">
        <f>"20190312164115483"</f>
        <v>20190312164115483</v>
      </c>
      <c r="B4400" t="str">
        <f>"1552380075480787"</f>
        <v>1552380075480787</v>
      </c>
      <c r="C4400" t="s">
        <v>40</v>
      </c>
      <c r="D4400">
        <v>5.6255300000000004</v>
      </c>
      <c r="E4400">
        <v>0.52662209999999998</v>
      </c>
      <c r="F4400" t="s">
        <v>42</v>
      </c>
      <c r="G4400">
        <v>-222.7901</v>
      </c>
      <c r="H4400">
        <v>1.0419529999999999</v>
      </c>
      <c r="I4400">
        <v>141.9451</v>
      </c>
      <c r="J4400">
        <v>-222.14779999999999</v>
      </c>
      <c r="K4400">
        <v>1.1109009999999999</v>
      </c>
      <c r="L4400">
        <v>141.90450000000001</v>
      </c>
      <c r="M4400">
        <v>-0.99995310000000004</v>
      </c>
      <c r="N4400">
        <v>0</v>
      </c>
      <c r="O4400">
        <v>-6.5412669999999999E-3</v>
      </c>
      <c r="P4400">
        <v>-0.9899192</v>
      </c>
      <c r="Q4400">
        <v>0.1394242</v>
      </c>
      <c r="R4400">
        <v>2.4920299999999999E-2</v>
      </c>
      <c r="S4400">
        <v>-3.058624</v>
      </c>
      <c r="T4400">
        <v>-0.2199583</v>
      </c>
      <c r="U4400">
        <v>0.1188965</v>
      </c>
      <c r="V4400">
        <v>3.085887E-2</v>
      </c>
      <c r="W4400">
        <v>0.14660190000000001</v>
      </c>
      <c r="X4400">
        <v>0.98871410000000004</v>
      </c>
      <c r="Y4400">
        <v>4.5245319999999999E-2</v>
      </c>
      <c r="Z4400">
        <v>2.093831E-3</v>
      </c>
      <c r="AA4400">
        <v>0.99897369999999996</v>
      </c>
      <c r="AB4400">
        <v>32</v>
      </c>
      <c r="AC4400">
        <v>-0.64230000000000498</v>
      </c>
      <c r="AD4400">
        <v>-6.8947999999999704E-2</v>
      </c>
      <c r="AE4400">
        <v>4.0599999999983503E-2</v>
      </c>
      <c r="AF4400">
        <v>4.4292342502865401E-2</v>
      </c>
      <c r="AG4400">
        <v>-6.8947999999999704E-2</v>
      </c>
      <c r="AH4400">
        <v>0.634735690973672</v>
      </c>
      <c r="AI4400">
        <v>96.1845103581404</v>
      </c>
      <c r="AJ4400">
        <v>86.0083272030773</v>
      </c>
      <c r="AK4400">
        <v>0.64000393413182699</v>
      </c>
      <c r="AL4400">
        <v>81.569947132236607</v>
      </c>
      <c r="AM4400">
        <v>88.212315136969494</v>
      </c>
      <c r="AN4400">
        <v>0.99999997924004802</v>
      </c>
    </row>
    <row r="4401" spans="1:40" x14ac:dyDescent="0.25">
      <c r="A4401" t="str">
        <f>"20190312164115506"</f>
        <v>20190312164115506</v>
      </c>
      <c r="B4401" t="str">
        <f>"1552380075500306"</f>
        <v>1552380075500306</v>
      </c>
      <c r="C4401" t="s">
        <v>40</v>
      </c>
      <c r="D4401">
        <v>5.5763109999999996</v>
      </c>
      <c r="E4401">
        <v>0.52663669999999996</v>
      </c>
      <c r="F4401" t="s">
        <v>41</v>
      </c>
      <c r="G4401">
        <v>-248.04470000000001</v>
      </c>
      <c r="H4401" s="1">
        <v>-2.0232809999999999E-6</v>
      </c>
      <c r="I4401">
        <v>144.1343</v>
      </c>
      <c r="J4401">
        <v>-222.47120000000001</v>
      </c>
      <c r="K4401">
        <v>1.110897</v>
      </c>
      <c r="L4401">
        <v>141.9007</v>
      </c>
      <c r="M4401">
        <v>-0.9999401</v>
      </c>
      <c r="N4401">
        <v>0</v>
      </c>
      <c r="O4401">
        <v>-8.3758510000000001E-3</v>
      </c>
      <c r="P4401">
        <v>-0.98975089999999999</v>
      </c>
      <c r="Q4401">
        <v>0.140320899999999</v>
      </c>
      <c r="R4401">
        <v>2.6529069999999998E-2</v>
      </c>
      <c r="S4401">
        <v>-3.0423429999999998</v>
      </c>
      <c r="T4401">
        <v>-0.13050789999999901</v>
      </c>
      <c r="U4401">
        <v>0.2619629</v>
      </c>
      <c r="V4401">
        <v>3.4274489999999998E-2</v>
      </c>
      <c r="W4401">
        <v>0.1474297</v>
      </c>
      <c r="X4401">
        <v>0.98847850000000004</v>
      </c>
      <c r="Y4401">
        <v>9.4036880000000003E-2</v>
      </c>
      <c r="Z4401">
        <v>2.370825E-3</v>
      </c>
      <c r="AA4401">
        <v>0.9955659</v>
      </c>
      <c r="AB4401">
        <v>32</v>
      </c>
      <c r="AC4401">
        <v>-25.573499999999999</v>
      </c>
      <c r="AD4401">
        <v>-1.1108990232809901</v>
      </c>
      <c r="AE4401">
        <v>2.2335999999999898</v>
      </c>
      <c r="AF4401">
        <v>2.4431514957521099</v>
      </c>
      <c r="AG4401">
        <v>-1.1108990232809901</v>
      </c>
      <c r="AH4401">
        <v>25.5061287676048</v>
      </c>
      <c r="AI4401">
        <v>92.482547152315902</v>
      </c>
      <c r="AJ4401">
        <v>84.528511394824207</v>
      </c>
      <c r="AK4401">
        <v>25.646943104018501</v>
      </c>
      <c r="AL4401">
        <v>81.521996846680594</v>
      </c>
      <c r="AM4401">
        <v>88.014122532973602</v>
      </c>
      <c r="AN4401">
        <v>1.00000000103455</v>
      </c>
    </row>
    <row r="4402" spans="1:40" x14ac:dyDescent="0.25">
      <c r="A4402" t="str">
        <f>"20190312164115531"</f>
        <v>20190312164115531</v>
      </c>
      <c r="B4402" t="str">
        <f>"1552380075520802"</f>
        <v>1552380075520802</v>
      </c>
      <c r="C4402" t="s">
        <v>40</v>
      </c>
      <c r="D4402">
        <v>5.6301649999999999</v>
      </c>
      <c r="E4402">
        <v>0.52689370000000002</v>
      </c>
      <c r="F4402" t="s">
        <v>41</v>
      </c>
      <c r="G4402">
        <v>-247.90199999999999</v>
      </c>
      <c r="H4402" s="1">
        <v>-2.0836829999999998E-6</v>
      </c>
      <c r="I4402">
        <v>144.13120000000001</v>
      </c>
      <c r="J4402">
        <v>-222.8245</v>
      </c>
      <c r="K4402">
        <v>1.1108819999999999</v>
      </c>
      <c r="L4402">
        <v>141.89580000000001</v>
      </c>
      <c r="M4402">
        <v>-0.99992210000000004</v>
      </c>
      <c r="N4402">
        <v>0</v>
      </c>
      <c r="O4402">
        <v>-1.0364160000000001E-2</v>
      </c>
      <c r="P4402">
        <v>-0.98953310000000005</v>
      </c>
      <c r="Q4402">
        <v>0.14172089999999901</v>
      </c>
      <c r="R4402">
        <v>2.7197289999999999E-2</v>
      </c>
      <c r="S4402">
        <v>-3.0427550000000001</v>
      </c>
      <c r="T4402">
        <v>-0.13291749999999999</v>
      </c>
      <c r="U4402">
        <v>0.2668915</v>
      </c>
      <c r="V4402">
        <v>3.689978E-2</v>
      </c>
      <c r="W4402">
        <v>0.14873499999999901</v>
      </c>
      <c r="X4402">
        <v>0.98818839999999997</v>
      </c>
      <c r="Y4402">
        <v>9.7596150000000007E-2</v>
      </c>
      <c r="Z4402">
        <v>2.5782829999999998E-3</v>
      </c>
      <c r="AA4402">
        <v>0.99522270000000002</v>
      </c>
      <c r="AB4402">
        <v>32</v>
      </c>
      <c r="AC4402">
        <v>-25.077500000000001</v>
      </c>
      <c r="AD4402">
        <v>-1.1108840836829901</v>
      </c>
      <c r="AE4402">
        <v>2.2353999999999901</v>
      </c>
      <c r="AF4402">
        <v>2.4903451212116199</v>
      </c>
      <c r="AG4402">
        <v>-1.1108840836829901</v>
      </c>
      <c r="AH4402">
        <v>25.0043048818839</v>
      </c>
      <c r="AI4402">
        <v>92.531340219406303</v>
      </c>
      <c r="AJ4402">
        <v>84.312288942484798</v>
      </c>
      <c r="AK4402">
        <v>25.152557422582799</v>
      </c>
      <c r="AL4402">
        <v>81.446374955961602</v>
      </c>
      <c r="AM4402">
        <v>87.861521301998906</v>
      </c>
      <c r="AN4402">
        <v>1.0000000039418</v>
      </c>
    </row>
    <row r="4403" spans="1:40" x14ac:dyDescent="0.25">
      <c r="A4403" t="str">
        <f>"20190312164115553"</f>
        <v>20190312164115553</v>
      </c>
      <c r="B4403" t="str">
        <f>"1552380075551058"</f>
        <v>1552380075551058</v>
      </c>
      <c r="C4403" t="s">
        <v>40</v>
      </c>
      <c r="D4403">
        <v>5.505979</v>
      </c>
      <c r="E4403">
        <v>0.52627469999999998</v>
      </c>
      <c r="F4403" t="s">
        <v>41</v>
      </c>
      <c r="G4403">
        <v>-249.43119999999999</v>
      </c>
      <c r="H4403" s="1">
        <v>-1.462646E-6</v>
      </c>
      <c r="I4403">
        <v>144.2627</v>
      </c>
      <c r="J4403">
        <v>-223.1602</v>
      </c>
      <c r="K4403">
        <v>1.110868</v>
      </c>
      <c r="L4403">
        <v>141.89060000000001</v>
      </c>
      <c r="M4403">
        <v>-0.99990179999999995</v>
      </c>
      <c r="N4403">
        <v>0</v>
      </c>
      <c r="O4403">
        <v>-1.222969E-2</v>
      </c>
      <c r="P4403">
        <v>-0.98929089999999997</v>
      </c>
      <c r="Q4403">
        <v>0.14333650000000001</v>
      </c>
      <c r="R4403">
        <v>2.753297E-2</v>
      </c>
      <c r="S4403">
        <v>-3.0424799999999999</v>
      </c>
      <c r="T4403">
        <v>-0.1270299</v>
      </c>
      <c r="U4403">
        <v>0.27066040000000002</v>
      </c>
      <c r="V4403">
        <v>3.9071549999999997E-2</v>
      </c>
      <c r="W4403">
        <v>0.15024709999999999</v>
      </c>
      <c r="X4403">
        <v>0.98787610000000003</v>
      </c>
      <c r="Y4403">
        <v>0.1006881</v>
      </c>
      <c r="Z4403">
        <v>2.6063789999999998E-3</v>
      </c>
      <c r="AA4403">
        <v>0.99491470000000004</v>
      </c>
      <c r="AB4403">
        <v>32</v>
      </c>
      <c r="AC4403">
        <v>-26.270999999999901</v>
      </c>
      <c r="AD4403">
        <v>-1.1108694626459901</v>
      </c>
      <c r="AE4403">
        <v>2.3720999999999801</v>
      </c>
      <c r="AF4403">
        <v>2.6884481712731101</v>
      </c>
      <c r="AG4403">
        <v>-1.1108694626459901</v>
      </c>
      <c r="AH4403">
        <v>26.193568567764601</v>
      </c>
      <c r="AI4403">
        <v>92.415783192565002</v>
      </c>
      <c r="AJ4403">
        <v>84.139812353908596</v>
      </c>
      <c r="AK4403">
        <v>26.354597679472299</v>
      </c>
      <c r="AL4403">
        <v>81.358753220374297</v>
      </c>
      <c r="AM4403">
        <v>87.735071513994598</v>
      </c>
      <c r="AN4403">
        <v>0.99999998301451098</v>
      </c>
    </row>
    <row r="4404" spans="1:40" x14ac:dyDescent="0.25">
      <c r="A4404" t="str">
        <f>"20190312164115574"</f>
        <v>20190312164115574</v>
      </c>
      <c r="B4404" t="str">
        <f>"1552380075570578"</f>
        <v>1552380075570578</v>
      </c>
      <c r="C4404" t="s">
        <v>40</v>
      </c>
      <c r="D4404">
        <v>5.6199009999999996</v>
      </c>
      <c r="E4404">
        <v>0.52615880000000004</v>
      </c>
      <c r="F4404" t="s">
        <v>41</v>
      </c>
      <c r="G4404">
        <v>-250.03440000000001</v>
      </c>
      <c r="H4404" s="1">
        <v>-5.0851790000000001E-6</v>
      </c>
      <c r="I4404">
        <v>144.24379999999999</v>
      </c>
      <c r="J4404">
        <v>-223.45949999999999</v>
      </c>
      <c r="K4404">
        <v>1.1108530000000001</v>
      </c>
      <c r="L4404">
        <v>141.8854</v>
      </c>
      <c r="M4404">
        <v>-0.99988140000000003</v>
      </c>
      <c r="N4404">
        <v>0</v>
      </c>
      <c r="O4404">
        <v>-1.3860890000000001E-2</v>
      </c>
      <c r="P4404">
        <v>-0.98909290000000005</v>
      </c>
      <c r="Q4404">
        <v>0.14474429999999999</v>
      </c>
      <c r="R4404">
        <v>2.729322E-2</v>
      </c>
      <c r="S4404">
        <v>-3.0432890000000001</v>
      </c>
      <c r="T4404">
        <v>-0.12579799999999999</v>
      </c>
      <c r="U4404">
        <v>0.26649479999999998</v>
      </c>
      <c r="V4404">
        <v>4.0440289999999997E-2</v>
      </c>
      <c r="W4404">
        <v>0.15155469999999999</v>
      </c>
      <c r="X4404">
        <v>0.98762119999999998</v>
      </c>
      <c r="Y4404">
        <v>0.1009369</v>
      </c>
      <c r="Z4404">
        <v>2.6530099999999999E-3</v>
      </c>
      <c r="AA4404">
        <v>0.99488929999999998</v>
      </c>
      <c r="AB4404">
        <v>33</v>
      </c>
      <c r="AC4404">
        <v>-26.5749</v>
      </c>
      <c r="AD4404">
        <v>-1.110858085179</v>
      </c>
      <c r="AE4404">
        <v>2.3583999999999801</v>
      </c>
      <c r="AF4404">
        <v>2.72181475764754</v>
      </c>
      <c r="AG4404">
        <v>-1.110858085179</v>
      </c>
      <c r="AH4404">
        <v>26.4937252364244</v>
      </c>
      <c r="AI4404">
        <v>92.388397967774296</v>
      </c>
      <c r="AJ4404">
        <v>84.134335555672607</v>
      </c>
      <c r="AK4404">
        <v>26.656326794281</v>
      </c>
      <c r="AL4404">
        <v>81.282965014655005</v>
      </c>
      <c r="AM4404">
        <v>87.655210054616504</v>
      </c>
      <c r="AN4404">
        <v>0.99999993941840504</v>
      </c>
    </row>
    <row r="4405" spans="1:40" x14ac:dyDescent="0.25">
      <c r="A4405" t="str">
        <f>"20190312164115596"</f>
        <v>20190312164115596</v>
      </c>
      <c r="B4405" t="str">
        <f>"1552380075590099"</f>
        <v>1552380075590099</v>
      </c>
      <c r="C4405" t="s">
        <v>40</v>
      </c>
      <c r="D4405">
        <v>5.5238659999999999</v>
      </c>
      <c r="E4405">
        <v>0.52596639999999995</v>
      </c>
      <c r="F4405" t="s">
        <v>41</v>
      </c>
      <c r="G4405">
        <v>-251.06989999999999</v>
      </c>
      <c r="H4405" s="1">
        <v>-4.7410970000000004E-6</v>
      </c>
      <c r="I4405">
        <v>144.29060000000001</v>
      </c>
      <c r="J4405">
        <v>-223.7921</v>
      </c>
      <c r="K4405">
        <v>1.1108229999999999</v>
      </c>
      <c r="L4405">
        <v>141.8792</v>
      </c>
      <c r="M4405">
        <v>-0.99985610000000003</v>
      </c>
      <c r="N4405">
        <v>0</v>
      </c>
      <c r="O4405">
        <v>-1.5624320000000001E-2</v>
      </c>
      <c r="P4405">
        <v>-0.98891399999999996</v>
      </c>
      <c r="Q4405">
        <v>0.1461906</v>
      </c>
      <c r="R4405">
        <v>2.6032280000000001E-2</v>
      </c>
      <c r="S4405">
        <v>-3.0436709999999998</v>
      </c>
      <c r="T4405">
        <v>-0.12245730000000001</v>
      </c>
      <c r="U4405">
        <v>0.265152</v>
      </c>
      <c r="V4405">
        <v>4.0922790000000001E-2</v>
      </c>
      <c r="W4405">
        <v>0.1528832</v>
      </c>
      <c r="X4405">
        <v>0.98739659999999996</v>
      </c>
      <c r="Y4405">
        <v>0.10224759999999999</v>
      </c>
      <c r="Z4405">
        <v>2.6794520000000001E-3</v>
      </c>
      <c r="AA4405">
        <v>0.99475539999999996</v>
      </c>
      <c r="AB4405">
        <v>33</v>
      </c>
      <c r="AC4405">
        <v>-27.2777999999999</v>
      </c>
      <c r="AD4405">
        <v>-1.110827741097</v>
      </c>
      <c r="AE4405">
        <v>2.4114000000000102</v>
      </c>
      <c r="AF4405">
        <v>2.8326509292681599</v>
      </c>
      <c r="AG4405">
        <v>-1.110827741097</v>
      </c>
      <c r="AH4405">
        <v>27.1920487076139</v>
      </c>
      <c r="AI4405">
        <v>92.3267238992795</v>
      </c>
      <c r="AJ4405">
        <v>84.052832916030795</v>
      </c>
      <c r="AK4405">
        <v>27.361749989259099</v>
      </c>
      <c r="AL4405">
        <v>81.205950597346003</v>
      </c>
      <c r="AM4405">
        <v>87.626726650413303</v>
      </c>
      <c r="AN4405">
        <v>0.99999999663759198</v>
      </c>
    </row>
    <row r="4406" spans="1:40" x14ac:dyDescent="0.25">
      <c r="A4406" t="str">
        <f>"20190312164115619"</f>
        <v>20190312164115619</v>
      </c>
      <c r="B4406" t="str">
        <f>"1552380075610595"</f>
        <v>1552380075610595</v>
      </c>
      <c r="C4406" t="s">
        <v>40</v>
      </c>
      <c r="D4406">
        <v>5.5557349999999897</v>
      </c>
      <c r="E4406">
        <v>0.5260011</v>
      </c>
      <c r="F4406" t="s">
        <v>41</v>
      </c>
      <c r="G4406">
        <v>-252.13390000000001</v>
      </c>
      <c r="H4406" s="1">
        <v>-4.3806540000000003E-6</v>
      </c>
      <c r="I4406">
        <v>144.29990000000001</v>
      </c>
      <c r="J4406">
        <v>-224.1164</v>
      </c>
      <c r="K4406">
        <v>1.110781</v>
      </c>
      <c r="L4406">
        <v>141.87260000000001</v>
      </c>
      <c r="M4406">
        <v>-0.99982959999999999</v>
      </c>
      <c r="N4406">
        <v>0</v>
      </c>
      <c r="O4406">
        <v>-1.7275559999999999E-2</v>
      </c>
      <c r="P4406">
        <v>-0.98870309999999995</v>
      </c>
      <c r="Q4406">
        <v>0.1479152</v>
      </c>
      <c r="R4406">
        <v>2.424107E-2</v>
      </c>
      <c r="S4406">
        <v>-3.0444339999999999</v>
      </c>
      <c r="T4406">
        <v>-0.1193234</v>
      </c>
      <c r="U4406">
        <v>0.2600403</v>
      </c>
      <c r="V4406">
        <v>4.076743E-2</v>
      </c>
      <c r="W4406">
        <v>0.15449179999999901</v>
      </c>
      <c r="X4406">
        <v>0.98715260000000005</v>
      </c>
      <c r="Y4406">
        <v>0.1022145</v>
      </c>
      <c r="Z4406">
        <v>2.6744149999999999E-3</v>
      </c>
      <c r="AA4406">
        <v>0.99475880000000005</v>
      </c>
      <c r="AB4406">
        <v>33</v>
      </c>
      <c r="AC4406">
        <v>-28.017499999999998</v>
      </c>
      <c r="AD4406">
        <v>-1.110785380654</v>
      </c>
      <c r="AE4406">
        <v>2.4272999999999998</v>
      </c>
      <c r="AF4406">
        <v>2.90643165481832</v>
      </c>
      <c r="AG4406">
        <v>-1.110785380654</v>
      </c>
      <c r="AH4406">
        <v>27.927814469549102</v>
      </c>
      <c r="AI4406">
        <v>92.265428081958603</v>
      </c>
      <c r="AJ4406">
        <v>84.058648607475106</v>
      </c>
      <c r="AK4406">
        <v>28.1006051566787</v>
      </c>
      <c r="AL4406">
        <v>81.112676281887303</v>
      </c>
      <c r="AM4406">
        <v>87.635142616114507</v>
      </c>
      <c r="AN4406">
        <v>0.99999997765140203</v>
      </c>
    </row>
    <row r="4407" spans="1:40" x14ac:dyDescent="0.25">
      <c r="A4407" t="str">
        <f>"20190312164115641"</f>
        <v>20190312164115641</v>
      </c>
      <c r="B4407" t="str">
        <f>"1552380075630285"</f>
        <v>1552380075630285</v>
      </c>
      <c r="C4407" t="s">
        <v>40</v>
      </c>
      <c r="D4407">
        <v>5.5590260000000002</v>
      </c>
      <c r="E4407">
        <v>0.52586639999999996</v>
      </c>
      <c r="F4407" t="s">
        <v>41</v>
      </c>
      <c r="G4407">
        <v>-253.51859999999999</v>
      </c>
      <c r="H4407" s="1">
        <v>-3.9161450000000003E-6</v>
      </c>
      <c r="I4407">
        <v>144.33770000000001</v>
      </c>
      <c r="J4407">
        <v>-224.44149999999999</v>
      </c>
      <c r="K4407">
        <v>1.1107199999999999</v>
      </c>
      <c r="L4407">
        <v>141.8655</v>
      </c>
      <c r="M4407">
        <v>-0.99980190000000002</v>
      </c>
      <c r="N4407">
        <v>0</v>
      </c>
      <c r="O4407">
        <v>-1.884456E-2</v>
      </c>
      <c r="P4407">
        <v>-0.98849969999999998</v>
      </c>
      <c r="Q4407">
        <v>0.14949589999999999</v>
      </c>
      <c r="R4407">
        <v>2.27908E-2</v>
      </c>
      <c r="S4407">
        <v>-3.0452119999999998</v>
      </c>
      <c r="T4407">
        <v>-0.11504499999999999</v>
      </c>
      <c r="U4407">
        <v>0.25532529999999998</v>
      </c>
      <c r="V4407">
        <v>4.0877190000000001E-2</v>
      </c>
      <c r="W4407">
        <v>0.155965299999999</v>
      </c>
      <c r="X4407">
        <v>0.98691640000000003</v>
      </c>
      <c r="Y4407">
        <v>0.1022301</v>
      </c>
      <c r="Z4407">
        <v>2.6375600000000002E-3</v>
      </c>
      <c r="AA4407">
        <v>0.99475729999999996</v>
      </c>
      <c r="AB4407">
        <v>33</v>
      </c>
      <c r="AC4407">
        <v>-29.077100000000002</v>
      </c>
      <c r="AD4407">
        <v>-1.110723916145</v>
      </c>
      <c r="AE4407">
        <v>2.4722000000000102</v>
      </c>
      <c r="AF4407">
        <v>3.0153490118852901</v>
      </c>
      <c r="AG4407">
        <v>-1.110723916145</v>
      </c>
      <c r="AH4407">
        <v>28.9833594304048</v>
      </c>
      <c r="AI4407">
        <v>92.182891330820098</v>
      </c>
      <c r="AJ4407">
        <v>84.060472476132304</v>
      </c>
      <c r="AK4407">
        <v>29.160952679112</v>
      </c>
      <c r="AL4407">
        <v>81.0272156838396</v>
      </c>
      <c r="AM4407">
        <v>87.6282160027598</v>
      </c>
      <c r="AN4407">
        <v>1.00000005002767</v>
      </c>
    </row>
    <row r="4408" spans="1:40" x14ac:dyDescent="0.25">
      <c r="A4408" t="str">
        <f>"20190312164115662"</f>
        <v>20190312164115662</v>
      </c>
      <c r="B4408" t="str">
        <f>"1552380075650781"</f>
        <v>1552380075650781</v>
      </c>
      <c r="C4408" t="s">
        <v>40</v>
      </c>
      <c r="D4408">
        <v>5.5914970000000004</v>
      </c>
      <c r="E4408">
        <v>0.50355870000000003</v>
      </c>
      <c r="F4408" t="s">
        <v>41</v>
      </c>
      <c r="G4408">
        <v>-254.46209999999999</v>
      </c>
      <c r="H4408" s="1">
        <v>-3.5922609999999999E-6</v>
      </c>
      <c r="I4408">
        <v>144.3218</v>
      </c>
      <c r="J4408">
        <v>-224.7543</v>
      </c>
      <c r="K4408">
        <v>1.1106769999999999</v>
      </c>
      <c r="L4408">
        <v>141.85830000000001</v>
      </c>
      <c r="M4408">
        <v>-0.9997743</v>
      </c>
      <c r="N4408">
        <v>0</v>
      </c>
      <c r="O4408">
        <v>-2.028454E-2</v>
      </c>
      <c r="P4408">
        <v>-0.9882668</v>
      </c>
      <c r="Q4408">
        <v>0.15133160000000001</v>
      </c>
      <c r="R4408">
        <v>2.0682180000000001E-2</v>
      </c>
      <c r="S4408">
        <v>-3.0462039999999999</v>
      </c>
      <c r="T4408">
        <v>-0.11270620000000001</v>
      </c>
      <c r="U4408">
        <v>0.24925230000000001</v>
      </c>
      <c r="V4408">
        <v>4.019959E-2</v>
      </c>
      <c r="W4408">
        <v>0.1577035</v>
      </c>
      <c r="X4408">
        <v>0.98666790000000004</v>
      </c>
      <c r="Y4408">
        <v>0.1016691</v>
      </c>
      <c r="Z4408">
        <v>2.626176E-3</v>
      </c>
      <c r="AA4408">
        <v>0.9948148</v>
      </c>
      <c r="AB4408">
        <v>33</v>
      </c>
      <c r="AC4408">
        <v>-29.707799999999899</v>
      </c>
      <c r="AD4408">
        <v>-1.1106805922609999</v>
      </c>
      <c r="AE4408">
        <v>2.4634999999999798</v>
      </c>
      <c r="AF4408">
        <v>3.0613643087959499</v>
      </c>
      <c r="AG4408">
        <v>-1.1106805922609999</v>
      </c>
      <c r="AH4408">
        <v>29.610609028117</v>
      </c>
      <c r="AI4408">
        <v>92.136752946700796</v>
      </c>
      <c r="AJ4408">
        <v>84.097309085422495</v>
      </c>
      <c r="AK4408">
        <v>29.789154567143999</v>
      </c>
      <c r="AL4408">
        <v>80.926375549014395</v>
      </c>
      <c r="AM4408">
        <v>87.666901235219697</v>
      </c>
      <c r="AN4408">
        <v>0.999999972919413</v>
      </c>
    </row>
    <row r="4409" spans="1:40" x14ac:dyDescent="0.25">
      <c r="A4409" t="str">
        <f>"20190312164115685"</f>
        <v>20190312164115685</v>
      </c>
      <c r="B4409" t="str">
        <f>"1552380075680062"</f>
        <v>1552380075680062</v>
      </c>
      <c r="C4409" t="s">
        <v>40</v>
      </c>
      <c r="D4409">
        <v>5.4205569999999996</v>
      </c>
      <c r="E4409">
        <v>0.43648789999999998</v>
      </c>
      <c r="F4409" t="s">
        <v>41</v>
      </c>
      <c r="G4409">
        <v>-251.9194</v>
      </c>
      <c r="H4409" s="1">
        <v>-4.1198410000000004E-6</v>
      </c>
      <c r="I4409">
        <v>142.41800000000001</v>
      </c>
      <c r="J4409">
        <v>-225.10300000000001</v>
      </c>
      <c r="K4409">
        <v>1.1106130000000001</v>
      </c>
      <c r="L4409">
        <v>141.84970000000001</v>
      </c>
      <c r="M4409">
        <v>-0.99974289999999999</v>
      </c>
      <c r="N4409">
        <v>0</v>
      </c>
      <c r="O4409">
        <v>-2.1797049999999998E-2</v>
      </c>
      <c r="P4409">
        <v>-0.98821159999999997</v>
      </c>
      <c r="Q4409">
        <v>0.15202280000000001</v>
      </c>
      <c r="R4409">
        <v>1.8077719999999999E-2</v>
      </c>
      <c r="S4409">
        <v>-3.053436</v>
      </c>
      <c r="T4409">
        <v>-0.1248442</v>
      </c>
      <c r="U4409">
        <v>6.2927250000000004E-2</v>
      </c>
      <c r="V4409">
        <v>3.9108730000000001E-2</v>
      </c>
      <c r="W4409">
        <v>0.1582982</v>
      </c>
      <c r="X4409">
        <v>0.98661659999999995</v>
      </c>
      <c r="Y4409">
        <v>4.2338670000000002E-2</v>
      </c>
      <c r="Z4409">
        <v>1.75583799999999E-3</v>
      </c>
      <c r="AA4409">
        <v>0.99910180000000004</v>
      </c>
      <c r="AB4409">
        <v>33</v>
      </c>
      <c r="AC4409">
        <v>-26.816400000000002</v>
      </c>
      <c r="AD4409">
        <v>-1.11061711984099</v>
      </c>
      <c r="AE4409">
        <v>0.56829999999999303</v>
      </c>
      <c r="AF4409">
        <v>1.1507219011518499</v>
      </c>
      <c r="AG4409">
        <v>-1.11061711984099</v>
      </c>
      <c r="AH4409">
        <v>26.751775679319501</v>
      </c>
      <c r="AI4409">
        <v>92.375112082234907</v>
      </c>
      <c r="AJ4409">
        <v>87.536952669382401</v>
      </c>
      <c r="AK4409">
        <v>26.7995360645909</v>
      </c>
      <c r="AL4409">
        <v>80.891869138992604</v>
      </c>
      <c r="AM4409">
        <v>87.730027387297497</v>
      </c>
      <c r="AN4409">
        <v>1.0000000641405</v>
      </c>
    </row>
    <row r="4410" spans="1:40" x14ac:dyDescent="0.25">
      <c r="A4410" t="str">
        <f>"20190312164115709"</f>
        <v>20190312164115709</v>
      </c>
      <c r="B4410" t="str">
        <f>"1552380075700557"</f>
        <v>1552380075700557</v>
      </c>
      <c r="C4410" t="s">
        <v>40</v>
      </c>
      <c r="D4410">
        <v>5.3571070000000001</v>
      </c>
      <c r="E4410">
        <v>0.43612050000000002</v>
      </c>
      <c r="F4410" t="s">
        <v>41</v>
      </c>
      <c r="G4410">
        <v>-240.49170000000001</v>
      </c>
      <c r="H4410" s="1">
        <v>-4.0963150000000003E-6</v>
      </c>
      <c r="I4410">
        <v>139.41890000000001</v>
      </c>
      <c r="J4410">
        <v>-225.4521</v>
      </c>
      <c r="K4410">
        <v>1.110547</v>
      </c>
      <c r="L4410">
        <v>141.8408</v>
      </c>
      <c r="M4410">
        <v>-0.99971189999999999</v>
      </c>
      <c r="N4410">
        <v>0</v>
      </c>
      <c r="O4410">
        <v>-2.3205739999999999E-2</v>
      </c>
      <c r="P4410">
        <v>-0.98825810000000003</v>
      </c>
      <c r="Q4410">
        <v>0.15198329999999999</v>
      </c>
      <c r="R4410">
        <v>1.5721789999999999E-2</v>
      </c>
      <c r="S4410">
        <v>-3.0788730000000002</v>
      </c>
      <c r="T4410">
        <v>-0.2222054</v>
      </c>
      <c r="U4410">
        <v>-0.48632809999999999</v>
      </c>
      <c r="V4410">
        <v>3.8170570000000001E-2</v>
      </c>
      <c r="W4410">
        <v>0.15817390000000001</v>
      </c>
      <c r="X4410">
        <v>0.98667320000000003</v>
      </c>
      <c r="Y4410">
        <v>-0.13278039999999999</v>
      </c>
      <c r="Z4410">
        <v>-3.094351E-3</v>
      </c>
      <c r="AA4410">
        <v>0.99114069999999999</v>
      </c>
      <c r="AB4410">
        <v>33</v>
      </c>
      <c r="AC4410">
        <v>-15.0396</v>
      </c>
      <c r="AD4410">
        <v>-1.110551096315</v>
      </c>
      <c r="AE4410">
        <v>-2.4218999999999902</v>
      </c>
      <c r="AF4410">
        <v>-2.0612809042294198</v>
      </c>
      <c r="AG4410">
        <v>-1.110551096315</v>
      </c>
      <c r="AH4410">
        <v>15.0119674745256</v>
      </c>
      <c r="AI4410">
        <v>94.191715857566507</v>
      </c>
      <c r="AJ4410">
        <v>97.818345773744298</v>
      </c>
      <c r="AK4410">
        <v>15.193464718749301</v>
      </c>
      <c r="AL4410">
        <v>80.899081188268397</v>
      </c>
      <c r="AM4410">
        <v>87.784552675249302</v>
      </c>
      <c r="AN4410">
        <v>0.99999998932678702</v>
      </c>
    </row>
    <row r="4411" spans="1:40" x14ac:dyDescent="0.25">
      <c r="A4411" t="str">
        <f>"20190312164115731"</f>
        <v>20190312164115731</v>
      </c>
      <c r="B4411" t="str">
        <f>"1552380075721054"</f>
        <v>1552380075721054</v>
      </c>
      <c r="C4411" t="s">
        <v>40</v>
      </c>
      <c r="D4411">
        <v>5.5331390000000003</v>
      </c>
      <c r="E4411">
        <v>0.43748559999999997</v>
      </c>
      <c r="F4411" t="s">
        <v>41</v>
      </c>
      <c r="G4411">
        <v>-241.8047</v>
      </c>
      <c r="H4411" s="1">
        <v>-3.5708720000000001E-6</v>
      </c>
      <c r="I4411">
        <v>139.20570000000001</v>
      </c>
      <c r="J4411">
        <v>-225.79480000000001</v>
      </c>
      <c r="K4411">
        <v>1.1104689999999999</v>
      </c>
      <c r="L4411">
        <v>141.83170000000001</v>
      </c>
      <c r="M4411">
        <v>-0.99968190000000001</v>
      </c>
      <c r="N4411">
        <v>0</v>
      </c>
      <c r="O4411">
        <v>-2.4480089999999999E-2</v>
      </c>
      <c r="P4411">
        <v>-0.98834580000000005</v>
      </c>
      <c r="Q4411">
        <v>0.151609299999999</v>
      </c>
      <c r="R4411">
        <v>1.36971E-2</v>
      </c>
      <c r="S4411">
        <v>-3.0756380000000001</v>
      </c>
      <c r="T4411">
        <v>-0.20887459999999999</v>
      </c>
      <c r="U4411">
        <v>-0.49560549999999998</v>
      </c>
      <c r="V4411">
        <v>3.7435540000000003E-2</v>
      </c>
      <c r="W4411">
        <v>0.15772800000000001</v>
      </c>
      <c r="X4411">
        <v>0.98677280000000001</v>
      </c>
      <c r="Y4411">
        <v>-0.1346234</v>
      </c>
      <c r="Z4411">
        <v>-2.8878039999999999E-3</v>
      </c>
      <c r="AA4411">
        <v>0.99089260000000001</v>
      </c>
      <c r="AB4411">
        <v>33</v>
      </c>
      <c r="AC4411">
        <v>-16.009899999999899</v>
      </c>
      <c r="AD4411">
        <v>-1.110472570872</v>
      </c>
      <c r="AE4411">
        <v>-2.6259999999999999</v>
      </c>
      <c r="AF4411">
        <v>-2.22286788130284</v>
      </c>
      <c r="AG4411">
        <v>-1.110472570872</v>
      </c>
      <c r="AH4411">
        <v>15.994453975477899</v>
      </c>
      <c r="AI4411">
        <v>93.933903554831105</v>
      </c>
      <c r="AJ4411">
        <v>97.912138871594607</v>
      </c>
      <c r="AK4411">
        <v>16.186316718823502</v>
      </c>
      <c r="AL4411">
        <v>80.924954718714602</v>
      </c>
      <c r="AM4411">
        <v>87.827392157473895</v>
      </c>
      <c r="AN4411">
        <v>1.0000000502294599</v>
      </c>
    </row>
    <row r="4412" spans="1:40" x14ac:dyDescent="0.25">
      <c r="A4412" t="str">
        <f>"20190312164115754"</f>
        <v>20190312164115754</v>
      </c>
      <c r="B4412" t="str">
        <f>"1552380075750333"</f>
        <v>1552380075750333</v>
      </c>
      <c r="C4412" t="s">
        <v>40</v>
      </c>
      <c r="D4412">
        <v>5.415127</v>
      </c>
      <c r="E4412">
        <v>0.43812299999999899</v>
      </c>
      <c r="F4412" t="s">
        <v>41</v>
      </c>
      <c r="G4412">
        <v>-242.77080000000001</v>
      </c>
      <c r="H4412" s="1">
        <v>-3.1721449999999998E-6</v>
      </c>
      <c r="I4412">
        <v>139.1172</v>
      </c>
      <c r="J4412">
        <v>-226.12639999999999</v>
      </c>
      <c r="K4412">
        <v>1.1103889999999901</v>
      </c>
      <c r="L4412">
        <v>141.82249999999999</v>
      </c>
      <c r="M4412">
        <v>-0.99965389999999998</v>
      </c>
      <c r="N4412">
        <v>0</v>
      </c>
      <c r="O4412">
        <v>-2.5603899999999999E-2</v>
      </c>
      <c r="P4412">
        <v>-0.98838289999999995</v>
      </c>
      <c r="Q4412">
        <v>0.15154629999999999</v>
      </c>
      <c r="R4412">
        <v>1.152944E-2</v>
      </c>
      <c r="S4412">
        <v>-3.073029</v>
      </c>
      <c r="T4412">
        <v>-0.2010208</v>
      </c>
      <c r="U4412">
        <v>-0.4913788</v>
      </c>
      <c r="V4412">
        <v>3.6408749999999997E-2</v>
      </c>
      <c r="W4412">
        <v>0.1576032</v>
      </c>
      <c r="X4412">
        <v>0.98683109999999996</v>
      </c>
      <c r="Y4412">
        <v>-0.1323375</v>
      </c>
      <c r="Z4412">
        <v>-2.6349730000000001E-3</v>
      </c>
      <c r="AA4412">
        <v>0.9912012</v>
      </c>
      <c r="AB4412">
        <v>34</v>
      </c>
      <c r="AC4412">
        <v>-16.644400000000001</v>
      </c>
      <c r="AD4412">
        <v>-1.1103921721450001</v>
      </c>
      <c r="AE4412">
        <v>-2.70529999999999</v>
      </c>
      <c r="AF4412">
        <v>-2.2684078575479298</v>
      </c>
      <c r="AG4412">
        <v>-1.1103921721450001</v>
      </c>
      <c r="AH4412">
        <v>16.636076161854799</v>
      </c>
      <c r="AI4412">
        <v>93.783693065630899</v>
      </c>
      <c r="AJ4412">
        <v>97.764665659496998</v>
      </c>
      <c r="AK4412">
        <v>16.826695309750502</v>
      </c>
      <c r="AL4412">
        <v>80.932195274098603</v>
      </c>
      <c r="AM4412">
        <v>87.887052852708393</v>
      </c>
      <c r="AN4412">
        <v>0.99999999282700602</v>
      </c>
    </row>
    <row r="4413" spans="1:40" x14ac:dyDescent="0.25">
      <c r="A4413" t="str">
        <f>"20190312164115775"</f>
        <v>20190312164115775</v>
      </c>
      <c r="B4413" t="str">
        <f>"1552380075770830"</f>
        <v>1552380075770830</v>
      </c>
      <c r="C4413" t="s">
        <v>40</v>
      </c>
      <c r="D4413">
        <v>5.2900289999999996</v>
      </c>
      <c r="E4413">
        <v>0.43846659999999998</v>
      </c>
      <c r="F4413" t="s">
        <v>41</v>
      </c>
      <c r="G4413">
        <v>-242.18559999999999</v>
      </c>
      <c r="H4413" s="1">
        <v>-3.400943E-6</v>
      </c>
      <c r="I4413">
        <v>139.24260000000001</v>
      </c>
      <c r="J4413">
        <v>-226.45699999999999</v>
      </c>
      <c r="K4413">
        <v>1.110303</v>
      </c>
      <c r="L4413">
        <v>141.81309999999999</v>
      </c>
      <c r="M4413">
        <v>-0.99962790000000001</v>
      </c>
      <c r="N4413">
        <v>0</v>
      </c>
      <c r="O4413">
        <v>-2.661552E-2</v>
      </c>
      <c r="P4413">
        <v>-0.98845059999999996</v>
      </c>
      <c r="Q4413">
        <v>0.15131320000000001</v>
      </c>
      <c r="R4413">
        <v>8.3681810000000006E-3</v>
      </c>
      <c r="S4413">
        <v>-3.0736080000000001</v>
      </c>
      <c r="T4413">
        <v>-0.21252190000000001</v>
      </c>
      <c r="U4413">
        <v>-0.49375920000000001</v>
      </c>
      <c r="V4413">
        <v>3.4282029999999998E-2</v>
      </c>
      <c r="W4413">
        <v>0.15731410000000001</v>
      </c>
      <c r="X4413">
        <v>0.98695339999999998</v>
      </c>
      <c r="Y4413">
        <v>-0.1320308</v>
      </c>
      <c r="Z4413">
        <v>-2.7048490000000001E-3</v>
      </c>
      <c r="AA4413">
        <v>0.99124190000000001</v>
      </c>
      <c r="AB4413">
        <v>34</v>
      </c>
      <c r="AC4413">
        <v>-15.7286</v>
      </c>
      <c r="AD4413">
        <v>-1.1103064009429999</v>
      </c>
      <c r="AE4413">
        <v>-2.57049999999998</v>
      </c>
      <c r="AF4413">
        <v>-2.1405676955887398</v>
      </c>
      <c r="AG4413">
        <v>-1.1103064009429999</v>
      </c>
      <c r="AH4413">
        <v>15.715170126737499</v>
      </c>
      <c r="AI4413">
        <v>94.004484026858904</v>
      </c>
      <c r="AJ4413">
        <v>97.756539475900198</v>
      </c>
      <c r="AK4413">
        <v>15.8991000523827</v>
      </c>
      <c r="AL4413">
        <v>80.948968776824401</v>
      </c>
      <c r="AM4413">
        <v>88.010619104367706</v>
      </c>
      <c r="AN4413">
        <v>0.99999999870564504</v>
      </c>
    </row>
    <row r="4414" spans="1:40" x14ac:dyDescent="0.25">
      <c r="A4414" t="str">
        <f>"20190312164115797"</f>
        <v>20190312164115797</v>
      </c>
      <c r="B4414" t="str">
        <f>"1552380075790350"</f>
        <v>1552380075790350</v>
      </c>
      <c r="C4414" t="s">
        <v>40</v>
      </c>
      <c r="D4414">
        <v>5.4038019999999998</v>
      </c>
      <c r="E4414">
        <v>0.43846350000000001</v>
      </c>
      <c r="F4414" t="s">
        <v>41</v>
      </c>
      <c r="G4414">
        <v>-242.1591</v>
      </c>
      <c r="H4414" s="1">
        <v>-3.409593E-6</v>
      </c>
      <c r="I4414">
        <v>139.2578</v>
      </c>
      <c r="J4414">
        <v>-226.79239999999999</v>
      </c>
      <c r="K4414">
        <v>1.1102069999999999</v>
      </c>
      <c r="L4414">
        <v>141.80330000000001</v>
      </c>
      <c r="M4414">
        <v>-0.99960329999999997</v>
      </c>
      <c r="N4414">
        <v>0</v>
      </c>
      <c r="O4414">
        <v>-2.753094E-2</v>
      </c>
      <c r="P4414">
        <v>-0.98852859999999998</v>
      </c>
      <c r="Q4414">
        <v>0.15093199999999901</v>
      </c>
      <c r="R4414">
        <v>5.5624439999999997E-3</v>
      </c>
      <c r="S4414">
        <v>-3.0725560000000001</v>
      </c>
      <c r="T4414">
        <v>-0.2172625</v>
      </c>
      <c r="U4414">
        <v>-0.5</v>
      </c>
      <c r="V4414">
        <v>3.2418589999999997E-2</v>
      </c>
      <c r="W4414">
        <v>0.1568841</v>
      </c>
      <c r="X4414">
        <v>0.98708479999999998</v>
      </c>
      <c r="Y4414">
        <v>-0.13312679999999999</v>
      </c>
      <c r="Z4414">
        <v>-2.7398449999999999E-3</v>
      </c>
      <c r="AA4414">
        <v>0.99109519999999995</v>
      </c>
      <c r="AB4414">
        <v>34</v>
      </c>
      <c r="AC4414">
        <v>-15.3667</v>
      </c>
      <c r="AD4414">
        <v>-1.1102104095930001</v>
      </c>
      <c r="AE4414">
        <v>-2.5455000000000001</v>
      </c>
      <c r="AF4414">
        <v>-2.1107446353424999</v>
      </c>
      <c r="AG4414">
        <v>-1.1102104095930001</v>
      </c>
      <c r="AH4414">
        <v>15.352958055552101</v>
      </c>
      <c r="AI4414">
        <v>94.0975904361121</v>
      </c>
      <c r="AJ4414">
        <v>97.828024968260493</v>
      </c>
      <c r="AK4414">
        <v>15.537088888357999</v>
      </c>
      <c r="AL4414">
        <v>80.973915690598304</v>
      </c>
      <c r="AM4414">
        <v>88.1189245615153</v>
      </c>
      <c r="AN4414">
        <v>0.99999999410071905</v>
      </c>
    </row>
    <row r="4415" spans="1:40" x14ac:dyDescent="0.25">
      <c r="A4415" t="str">
        <f>"20190312164115821"</f>
        <v>20190312164115821</v>
      </c>
      <c r="B4415" t="str">
        <f>"1552380075810845"</f>
        <v>1552380075810845</v>
      </c>
      <c r="C4415" t="s">
        <v>40</v>
      </c>
      <c r="D4415">
        <v>5.5692629999999896</v>
      </c>
      <c r="E4415">
        <v>0.43911559999999999</v>
      </c>
      <c r="F4415" t="s">
        <v>41</v>
      </c>
      <c r="G4415">
        <v>-242.1497</v>
      </c>
      <c r="H4415" s="1">
        <v>-3.4135259999999999E-6</v>
      </c>
      <c r="I4415">
        <v>139.25839999999999</v>
      </c>
      <c r="J4415">
        <v>-227.143</v>
      </c>
      <c r="K4415">
        <v>1.110107</v>
      </c>
      <c r="L4415">
        <v>141.7929</v>
      </c>
      <c r="M4415">
        <v>-0.99958029999999998</v>
      </c>
      <c r="N4415">
        <v>0</v>
      </c>
      <c r="O4415">
        <v>-2.835611E-2</v>
      </c>
      <c r="P4415">
        <v>-0.98869039999999997</v>
      </c>
      <c r="Q4415">
        <v>0.1499443</v>
      </c>
      <c r="R4415">
        <v>2.8532570000000001E-3</v>
      </c>
      <c r="S4415">
        <v>-3.0715789999999998</v>
      </c>
      <c r="T4415">
        <v>-0.2220519</v>
      </c>
      <c r="U4415">
        <v>-0.50898739999999998</v>
      </c>
      <c r="V4415">
        <v>3.0568970000000001E-2</v>
      </c>
      <c r="W4415">
        <v>0.15585599999999999</v>
      </c>
      <c r="X4415">
        <v>0.98730669999999998</v>
      </c>
      <c r="Y4415">
        <v>-0.1351676</v>
      </c>
      <c r="Z4415">
        <v>-2.814413E-3</v>
      </c>
      <c r="AA4415">
        <v>0.99081870000000005</v>
      </c>
      <c r="AB4415">
        <v>34</v>
      </c>
      <c r="AC4415">
        <v>-15.006699999999899</v>
      </c>
      <c r="AD4415">
        <v>-1.110110413526</v>
      </c>
      <c r="AE4415">
        <v>-2.5345</v>
      </c>
      <c r="AF4415">
        <v>-2.0967858669568402</v>
      </c>
      <c r="AG4415">
        <v>-1.110110413526</v>
      </c>
      <c r="AH4415">
        <v>14.992767094251899</v>
      </c>
      <c r="AI4415">
        <v>94.193959488812695</v>
      </c>
      <c r="AJ4415">
        <v>97.961358690518296</v>
      </c>
      <c r="AK4415">
        <v>15.1793254542015</v>
      </c>
      <c r="AL4415">
        <v>81.033555527158896</v>
      </c>
      <c r="AM4415">
        <v>88.226575787473195</v>
      </c>
      <c r="AN4415">
        <v>1.00000003726387</v>
      </c>
    </row>
    <row r="4416" spans="1:40" x14ac:dyDescent="0.25">
      <c r="A4416" t="str">
        <f>"20190312164115841"</f>
        <v>20190312164115841</v>
      </c>
      <c r="B4416" t="str">
        <f>"1552380075830365"</f>
        <v>1552380075830365</v>
      </c>
      <c r="C4416" t="s">
        <v>40</v>
      </c>
      <c r="D4416">
        <v>6.1920460000000004</v>
      </c>
      <c r="E4416">
        <v>0.44002370000000002</v>
      </c>
      <c r="F4416" t="s">
        <v>41</v>
      </c>
      <c r="G4416">
        <v>-242.46270000000001</v>
      </c>
      <c r="H4416" s="1">
        <v>-3.284599E-6</v>
      </c>
      <c r="I4416">
        <v>139.22829999999999</v>
      </c>
      <c r="J4416">
        <v>-227.45849999999999</v>
      </c>
      <c r="K4416">
        <v>1.1100190000000001</v>
      </c>
      <c r="L4416">
        <v>141.7833</v>
      </c>
      <c r="M4416">
        <v>-0.99956219999999996</v>
      </c>
      <c r="N4416">
        <v>0</v>
      </c>
      <c r="O4416">
        <v>-2.899929E-2</v>
      </c>
      <c r="P4416">
        <v>-0.98888869999999895</v>
      </c>
      <c r="Q4416">
        <v>0.14865699999999901</v>
      </c>
      <c r="R4416">
        <v>8.3640729999999897E-4</v>
      </c>
      <c r="S4416">
        <v>-3.0695190000000001</v>
      </c>
      <c r="T4416">
        <v>-0.22242680000000001</v>
      </c>
      <c r="U4416">
        <v>-0.51382450000000002</v>
      </c>
      <c r="V4416">
        <v>2.9229339999999999E-2</v>
      </c>
      <c r="W4416">
        <v>0.15453889999999901</v>
      </c>
      <c r="X4416">
        <v>0.9875543</v>
      </c>
      <c r="Y4416">
        <v>-0.13615429999999901</v>
      </c>
      <c r="Z4416">
        <v>-2.8099679999999999E-3</v>
      </c>
      <c r="AA4416">
        <v>0.99068369999999994</v>
      </c>
      <c r="AB4416">
        <v>34</v>
      </c>
      <c r="AC4416">
        <v>-15.004200000000001</v>
      </c>
      <c r="AD4416">
        <v>-1.110022284599</v>
      </c>
      <c r="AE4416">
        <v>-2.5550000000000002</v>
      </c>
      <c r="AF4416">
        <v>-2.1075966309707899</v>
      </c>
      <c r="AG4416">
        <v>-1.110022284599</v>
      </c>
      <c r="AH4416">
        <v>14.9922414181123</v>
      </c>
      <c r="AI4416">
        <v>94.193357081953096</v>
      </c>
      <c r="AJ4416">
        <v>98.002153056418805</v>
      </c>
      <c r="AK4416">
        <v>15.180296959221399</v>
      </c>
      <c r="AL4416">
        <v>81.109945591331297</v>
      </c>
      <c r="AM4416">
        <v>88.304671403099405</v>
      </c>
      <c r="AN4416">
        <v>1.0000000606892601</v>
      </c>
    </row>
    <row r="4417" spans="1:40" x14ac:dyDescent="0.25">
      <c r="A4417" t="str">
        <f>"20190312164115863"</f>
        <v>20190312164115863</v>
      </c>
      <c r="B4417" t="str">
        <f>"1552380075860621"</f>
        <v>1552380075860621</v>
      </c>
      <c r="C4417" t="s">
        <v>40</v>
      </c>
      <c r="D4417">
        <v>5.6469750000000003</v>
      </c>
      <c r="E4417">
        <v>0.4404033</v>
      </c>
      <c r="F4417" t="s">
        <v>41</v>
      </c>
      <c r="G4417">
        <v>-242.60849999999999</v>
      </c>
      <c r="H4417" s="1">
        <v>-3.218202E-6</v>
      </c>
      <c r="I4417">
        <v>139.25</v>
      </c>
      <c r="J4417">
        <v>-227.79769999999999</v>
      </c>
      <c r="K4417">
        <v>1.109923</v>
      </c>
      <c r="L4417">
        <v>141.77289999999999</v>
      </c>
      <c r="M4417">
        <v>-0.99954460000000001</v>
      </c>
      <c r="N4417">
        <v>0</v>
      </c>
      <c r="O4417">
        <v>-2.9599489999999999E-2</v>
      </c>
      <c r="P4417">
        <v>-0.98905960000000004</v>
      </c>
      <c r="Q4417">
        <v>0.1475146</v>
      </c>
      <c r="R4417">
        <v>-8.0772210000000001E-4</v>
      </c>
      <c r="S4417">
        <v>-3.0679319999999999</v>
      </c>
      <c r="T4417">
        <v>-0.22478409999999999</v>
      </c>
      <c r="U4417">
        <v>-0.51300049999999997</v>
      </c>
      <c r="V4417">
        <v>2.8217519999999999E-2</v>
      </c>
      <c r="W4417">
        <v>0.15337039999999999</v>
      </c>
      <c r="X4417">
        <v>0.98776580000000003</v>
      </c>
      <c r="Y4417">
        <v>-0.13538149999999999</v>
      </c>
      <c r="Z4417">
        <v>-2.76955E-3</v>
      </c>
      <c r="AA4417">
        <v>0.9907897</v>
      </c>
      <c r="AB4417">
        <v>34</v>
      </c>
      <c r="AC4417">
        <v>-14.8108</v>
      </c>
      <c r="AD4417">
        <v>-1.109926218202</v>
      </c>
      <c r="AE4417">
        <v>-2.5228999999999902</v>
      </c>
      <c r="AF4417">
        <v>-2.0720860406852299</v>
      </c>
      <c r="AG4417">
        <v>-1.109926218202</v>
      </c>
      <c r="AH4417">
        <v>14.7982239767155</v>
      </c>
      <c r="AI4417">
        <v>94.248093415007901</v>
      </c>
      <c r="AJ4417">
        <v>97.970881310008096</v>
      </c>
      <c r="AK4417">
        <v>14.9837548576747</v>
      </c>
      <c r="AL4417">
        <v>81.177702913328503</v>
      </c>
      <c r="AM4417">
        <v>88.3636756558043</v>
      </c>
      <c r="AN4417">
        <v>0.99999999184037502</v>
      </c>
    </row>
    <row r="4418" spans="1:40" x14ac:dyDescent="0.25">
      <c r="A4418" t="str">
        <f>"20190312164115886"</f>
        <v>20190312164115886</v>
      </c>
      <c r="B4418" t="str">
        <f>"1552380075880142"</f>
        <v>1552380075880142</v>
      </c>
      <c r="C4418" t="s">
        <v>40</v>
      </c>
      <c r="D4418">
        <v>5.4443390000000003</v>
      </c>
      <c r="E4418">
        <v>0.44053249999999999</v>
      </c>
      <c r="F4418" t="s">
        <v>41</v>
      </c>
      <c r="G4418">
        <v>-242.37729999999999</v>
      </c>
      <c r="H4418" s="1">
        <v>-3.3048020000000002E-6</v>
      </c>
      <c r="I4418">
        <v>139.32079999999999</v>
      </c>
      <c r="J4418">
        <v>-228.15029999999999</v>
      </c>
      <c r="K4418">
        <v>1.109834</v>
      </c>
      <c r="L4418">
        <v>141.762</v>
      </c>
      <c r="M4418">
        <v>-0.99952890000000005</v>
      </c>
      <c r="N4418">
        <v>0</v>
      </c>
      <c r="O4418">
        <v>-3.0127129999999998E-2</v>
      </c>
      <c r="P4418">
        <v>-0.98914930000000001</v>
      </c>
      <c r="Q4418">
        <v>0.1469049</v>
      </c>
      <c r="R4418">
        <v>-1.705884E-3</v>
      </c>
      <c r="S4418">
        <v>-3.067612</v>
      </c>
      <c r="T4418">
        <v>-0.23353299999999999</v>
      </c>
      <c r="U4418">
        <v>-0.51591489999999995</v>
      </c>
      <c r="V4418">
        <v>2.7875759999999999E-2</v>
      </c>
      <c r="W4418">
        <v>0.1527357</v>
      </c>
      <c r="X4418">
        <v>0.98787389999999997</v>
      </c>
      <c r="Y4418">
        <v>-0.13576949999999999</v>
      </c>
      <c r="Z4418">
        <v>-2.851999E-3</v>
      </c>
      <c r="AA4418">
        <v>0.99073639999999996</v>
      </c>
      <c r="AB4418">
        <v>34</v>
      </c>
      <c r="AC4418">
        <v>-14.227</v>
      </c>
      <c r="AD4418">
        <v>-1.1098373048019901</v>
      </c>
      <c r="AE4418">
        <v>-2.4411999999999998</v>
      </c>
      <c r="AF4418">
        <v>-1.9996451181469601</v>
      </c>
      <c r="AG4418">
        <v>-1.1098373048019901</v>
      </c>
      <c r="AH4418">
        <v>14.2100880053568</v>
      </c>
      <c r="AI4418">
        <v>94.422456291325005</v>
      </c>
      <c r="AJ4418">
        <v>98.010072399525995</v>
      </c>
      <c r="AK4418">
        <v>14.392946903315</v>
      </c>
      <c r="AL4418">
        <v>81.214502604705501</v>
      </c>
      <c r="AM4418">
        <v>88.383660418194594</v>
      </c>
      <c r="AN4418">
        <v>1.0000000471756301</v>
      </c>
    </row>
    <row r="4419" spans="1:40" x14ac:dyDescent="0.25">
      <c r="A4419" t="str">
        <f>"20190312164115909"</f>
        <v>20190312164115909</v>
      </c>
      <c r="B4419" t="str">
        <f>"1552380075900640"</f>
        <v>1552380075900640</v>
      </c>
      <c r="C4419" t="s">
        <v>40</v>
      </c>
      <c r="D4419">
        <v>5.4195869999999999</v>
      </c>
      <c r="E4419">
        <v>0.44061840000000002</v>
      </c>
      <c r="F4419" t="s">
        <v>41</v>
      </c>
      <c r="G4419">
        <v>-242.4991</v>
      </c>
      <c r="H4419" s="1">
        <v>-3.2497859999999998E-6</v>
      </c>
      <c r="I4419">
        <v>139.3366</v>
      </c>
      <c r="J4419">
        <v>-228.5009</v>
      </c>
      <c r="K4419">
        <v>1.109748</v>
      </c>
      <c r="L4419">
        <v>141.751</v>
      </c>
      <c r="M4419">
        <v>-0.99951599999999996</v>
      </c>
      <c r="N4419">
        <v>0</v>
      </c>
      <c r="O4419">
        <v>-3.0555760000000001E-2</v>
      </c>
      <c r="P4419">
        <v>-0.98914939999999996</v>
      </c>
      <c r="Q4419">
        <v>0.146896</v>
      </c>
      <c r="R4419">
        <v>-2.2672320000000001E-3</v>
      </c>
      <c r="S4419">
        <v>-3.0672450000000002</v>
      </c>
      <c r="T4419">
        <v>-0.2372438</v>
      </c>
      <c r="U4419">
        <v>-0.51844789999999996</v>
      </c>
      <c r="V4419">
        <v>2.7767969999999999E-2</v>
      </c>
      <c r="W4419">
        <v>0.1527037</v>
      </c>
      <c r="X4419">
        <v>0.98788180000000003</v>
      </c>
      <c r="Y4419">
        <v>-0.1361502</v>
      </c>
      <c r="Z4419">
        <v>-2.879113E-3</v>
      </c>
      <c r="AA4419">
        <v>0.99068400000000001</v>
      </c>
      <c r="AB4419">
        <v>34</v>
      </c>
      <c r="AC4419">
        <v>-13.998199999999899</v>
      </c>
      <c r="AD4419">
        <v>-1.109751249786</v>
      </c>
      <c r="AE4419">
        <v>-2.4144000000000001</v>
      </c>
      <c r="AF4419">
        <v>-1.97349452834671</v>
      </c>
      <c r="AG4419">
        <v>-1.109751249786</v>
      </c>
      <c r="AH4419">
        <v>13.980111667244101</v>
      </c>
      <c r="AI4419">
        <v>94.494289124192306</v>
      </c>
      <c r="AJ4419">
        <v>98.035034450214596</v>
      </c>
      <c r="AK4419">
        <v>14.162265027827599</v>
      </c>
      <c r="AL4419">
        <v>81.216357108800096</v>
      </c>
      <c r="AM4419">
        <v>88.389920053460003</v>
      </c>
      <c r="AN4419">
        <v>0.999999965461424</v>
      </c>
    </row>
    <row r="4420" spans="1:40" x14ac:dyDescent="0.25">
      <c r="A4420" t="str">
        <f>"20190312164115931"</f>
        <v>20190312164115931</v>
      </c>
      <c r="B4420" t="str">
        <f>"1552380075920164"</f>
        <v>1552380075920164</v>
      </c>
      <c r="C4420" t="s">
        <v>40</v>
      </c>
      <c r="D4420">
        <v>5.4255129999999996</v>
      </c>
      <c r="E4420">
        <v>0.44020670000000001</v>
      </c>
      <c r="F4420" t="s">
        <v>41</v>
      </c>
      <c r="G4420">
        <v>-242.8768</v>
      </c>
      <c r="H4420" s="1">
        <v>-3.0926019999999999E-6</v>
      </c>
      <c r="I4420">
        <v>139.3092</v>
      </c>
      <c r="J4420">
        <v>-228.84729999999999</v>
      </c>
      <c r="K4420">
        <v>1.1096629999999901</v>
      </c>
      <c r="L4420">
        <v>141.74010000000001</v>
      </c>
      <c r="M4420">
        <v>-0.99950589999999995</v>
      </c>
      <c r="N4420">
        <v>0</v>
      </c>
      <c r="O4420">
        <v>-3.088751E-2</v>
      </c>
      <c r="P4420">
        <v>-0.98914380000000002</v>
      </c>
      <c r="Q4420">
        <v>0.14693410000000001</v>
      </c>
      <c r="R4420">
        <v>-2.25544E-3</v>
      </c>
      <c r="S4420">
        <v>-3.0668790000000001</v>
      </c>
      <c r="T4420">
        <v>-0.23674880000000001</v>
      </c>
      <c r="U4420">
        <v>-0.52090449999999999</v>
      </c>
      <c r="V4420">
        <v>2.8137220000000001E-2</v>
      </c>
      <c r="W4420">
        <v>0.15272160000000001</v>
      </c>
      <c r="X4420">
        <v>0.98786859999999999</v>
      </c>
      <c r="Y4420">
        <v>-0.13661309999999999</v>
      </c>
      <c r="Z4420">
        <v>-2.8656440000000001E-3</v>
      </c>
      <c r="AA4420">
        <v>0.99062030000000001</v>
      </c>
      <c r="AB4420">
        <v>35</v>
      </c>
      <c r="AC4420">
        <v>-14.029500000000001</v>
      </c>
      <c r="AD4420">
        <v>-1.1096660926020001</v>
      </c>
      <c r="AE4420">
        <v>-2.4308999999999998</v>
      </c>
      <c r="AF4420">
        <v>-1.98434411362628</v>
      </c>
      <c r="AG4420">
        <v>-1.1096660926020001</v>
      </c>
      <c r="AH4420">
        <v>14.0127821011283</v>
      </c>
      <c r="AI4420">
        <v>94.483235405074794</v>
      </c>
      <c r="AJ4420">
        <v>98.060039369331307</v>
      </c>
      <c r="AK4420">
        <v>14.196022070004499</v>
      </c>
      <c r="AL4420">
        <v>81.215319475657296</v>
      </c>
      <c r="AM4420">
        <v>88.368499408335595</v>
      </c>
      <c r="AN4420">
        <v>0.99999998056092398</v>
      </c>
    </row>
    <row r="4421" spans="1:40" x14ac:dyDescent="0.25">
      <c r="A4421" t="str">
        <f>"20190312164115954"</f>
        <v>20190312164115954</v>
      </c>
      <c r="B4421" t="str">
        <f>"1552380075940654"</f>
        <v>1552380075940654</v>
      </c>
      <c r="C4421" t="s">
        <v>40</v>
      </c>
      <c r="D4421">
        <v>5.4162269999999904</v>
      </c>
      <c r="E4421">
        <v>0.42649619999999999</v>
      </c>
      <c r="F4421" t="s">
        <v>41</v>
      </c>
      <c r="G4421">
        <v>-243.55789999999999</v>
      </c>
      <c r="H4421" s="1">
        <v>-2.8155899999999999E-6</v>
      </c>
      <c r="I4421">
        <v>139.22370000000001</v>
      </c>
      <c r="J4421">
        <v>-229.19399999999999</v>
      </c>
      <c r="K4421">
        <v>1.1095729999999999</v>
      </c>
      <c r="L4421">
        <v>141.72909999999999</v>
      </c>
      <c r="M4421">
        <v>-0.99949849999999996</v>
      </c>
      <c r="N4421">
        <v>0</v>
      </c>
      <c r="O4421">
        <v>-3.1129739999999999E-2</v>
      </c>
      <c r="P4421">
        <v>-0.98918779999999995</v>
      </c>
      <c r="Q4421">
        <v>0.1466307</v>
      </c>
      <c r="R4421">
        <v>-2.6368289999999998E-3</v>
      </c>
      <c r="S4421">
        <v>-3.0660859999999999</v>
      </c>
      <c r="T4421">
        <v>-0.2312855</v>
      </c>
      <c r="U4421">
        <v>-0.52445980000000003</v>
      </c>
      <c r="V4421">
        <v>2.802756E-2</v>
      </c>
      <c r="W4421">
        <v>0.1524016</v>
      </c>
      <c r="X4421">
        <v>0.98792120000000005</v>
      </c>
      <c r="Y4421">
        <v>-0.13754350000000001</v>
      </c>
      <c r="Z4421">
        <v>-2.8168590000000001E-3</v>
      </c>
      <c r="AA4421">
        <v>0.99049169999999997</v>
      </c>
      <c r="AB4421">
        <v>35</v>
      </c>
      <c r="AC4421">
        <v>-14.3638999999999</v>
      </c>
      <c r="AD4421">
        <v>-1.10957581559</v>
      </c>
      <c r="AE4421">
        <v>-2.5053999999999799</v>
      </c>
      <c r="AF4421">
        <v>-2.0451900257590099</v>
      </c>
      <c r="AG4421">
        <v>-1.10957581559</v>
      </c>
      <c r="AH4421">
        <v>14.3518207240393</v>
      </c>
      <c r="AI4421">
        <v>94.376845133307995</v>
      </c>
      <c r="AJ4421">
        <v>98.110265272421501</v>
      </c>
      <c r="AK4421">
        <v>14.539213143322799</v>
      </c>
      <c r="AL4421">
        <v>81.233871859660894</v>
      </c>
      <c r="AM4421">
        <v>88.374940967618798</v>
      </c>
      <c r="AN4421">
        <v>1.00000004460577</v>
      </c>
    </row>
    <row r="4422" spans="1:40" x14ac:dyDescent="0.25">
      <c r="A4422" t="str">
        <f>"20190312164115976"</f>
        <v>20190312164115976</v>
      </c>
      <c r="B4422" t="str">
        <f>"1552380075970910"</f>
        <v>1552380075970910</v>
      </c>
      <c r="C4422" t="s">
        <v>40</v>
      </c>
      <c r="D4422">
        <v>5.4744789999999997</v>
      </c>
      <c r="E4422">
        <v>0.42668689999999998</v>
      </c>
      <c r="F4422" t="s">
        <v>41</v>
      </c>
      <c r="G4422">
        <v>-251.77379999999999</v>
      </c>
      <c r="H4422" s="1">
        <v>-3.964235E-6</v>
      </c>
      <c r="I4422">
        <v>137.06280000000001</v>
      </c>
      <c r="J4422">
        <v>-229.5462</v>
      </c>
      <c r="K4422">
        <v>1.1094919999999999</v>
      </c>
      <c r="L4422">
        <v>141.71789999999999</v>
      </c>
      <c r="M4422">
        <v>-0.99949339999999998</v>
      </c>
      <c r="N4422">
        <v>0</v>
      </c>
      <c r="O4422">
        <v>-3.1295480000000001E-2</v>
      </c>
      <c r="P4422">
        <v>-0.98922840000000001</v>
      </c>
      <c r="Q4422">
        <v>0.14636250000000001</v>
      </c>
      <c r="R4422">
        <v>-2.3145539999999999E-3</v>
      </c>
      <c r="S4422">
        <v>-3.0533139999999999</v>
      </c>
      <c r="T4422">
        <v>-0.15004039999999999</v>
      </c>
      <c r="U4422">
        <v>-0.63098140000000003</v>
      </c>
      <c r="V4422">
        <v>2.8545089999999999E-2</v>
      </c>
      <c r="W4422">
        <v>0.15212020000000001</v>
      </c>
      <c r="X4422">
        <v>0.98794970000000004</v>
      </c>
      <c r="Y4422">
        <v>-0.17146889999999901</v>
      </c>
      <c r="Z4422">
        <v>-2.6470019999999999E-3</v>
      </c>
      <c r="AA4422">
        <v>0.98518600000000001</v>
      </c>
      <c r="AB4422">
        <v>35</v>
      </c>
      <c r="AC4422">
        <v>-22.227599999999899</v>
      </c>
      <c r="AD4422">
        <v>-1.109495964235</v>
      </c>
      <c r="AE4422">
        <v>-4.6550999999999698</v>
      </c>
      <c r="AF4422">
        <v>-3.9477619818052601</v>
      </c>
      <c r="AG4422">
        <v>-1.109495964235</v>
      </c>
      <c r="AH4422">
        <v>22.3091496257729</v>
      </c>
      <c r="AI4422">
        <v>92.803645533116907</v>
      </c>
      <c r="AJ4422">
        <v>100.03500966070401</v>
      </c>
      <c r="AK4422">
        <v>22.6829002330999</v>
      </c>
      <c r="AL4422">
        <v>81.250184648178006</v>
      </c>
      <c r="AM4422">
        <v>88.344998444141297</v>
      </c>
      <c r="AN4422">
        <v>0.99999999357061897</v>
      </c>
    </row>
    <row r="4423" spans="1:40" x14ac:dyDescent="0.25">
      <c r="A4423" t="str">
        <f>"20190312164115999"</f>
        <v>20190312164115999</v>
      </c>
      <c r="B4423" t="str">
        <f>"1552380075990431"</f>
        <v>1552380075990431</v>
      </c>
      <c r="C4423" t="s">
        <v>40</v>
      </c>
      <c r="D4423">
        <v>5.4128610000000004</v>
      </c>
      <c r="E4423">
        <v>0.4272572</v>
      </c>
      <c r="F4423" t="s">
        <v>41</v>
      </c>
      <c r="G4423">
        <v>-252.0729</v>
      </c>
      <c r="H4423" s="1">
        <v>-3.832602E-6</v>
      </c>
      <c r="I4423">
        <v>137.08160000000001</v>
      </c>
      <c r="J4423">
        <v>-229.8997</v>
      </c>
      <c r="K4423">
        <v>1.109421</v>
      </c>
      <c r="L4423">
        <v>141.70679999999999</v>
      </c>
      <c r="M4423">
        <v>-0.9994904</v>
      </c>
      <c r="N4423">
        <v>0</v>
      </c>
      <c r="O4423">
        <v>-3.1391929999999998E-2</v>
      </c>
      <c r="P4423">
        <v>-0.98919509999999999</v>
      </c>
      <c r="Q4423">
        <v>0.1465979</v>
      </c>
      <c r="R4423">
        <v>-1.5511829999999901E-3</v>
      </c>
      <c r="S4423">
        <v>-3.053436</v>
      </c>
      <c r="T4423">
        <v>-0.15038979999999999</v>
      </c>
      <c r="U4423">
        <v>-0.62843319999999903</v>
      </c>
      <c r="V4423">
        <v>2.9429110000000001E-2</v>
      </c>
      <c r="W4423">
        <v>0.15234320000000001</v>
      </c>
      <c r="X4423">
        <v>0.98788940000000003</v>
      </c>
      <c r="Y4423">
        <v>-0.1705777</v>
      </c>
      <c r="Z4423">
        <v>-2.626874E-3</v>
      </c>
      <c r="AA4423">
        <v>0.98534069999999996</v>
      </c>
      <c r="AB4423">
        <v>35</v>
      </c>
      <c r="AC4423">
        <v>-22.173200000000001</v>
      </c>
      <c r="AD4423">
        <v>-1.109424832602</v>
      </c>
      <c r="AE4423">
        <v>-4.6251999999999702</v>
      </c>
      <c r="AF4423">
        <v>-3.9174509914216702</v>
      </c>
      <c r="AG4423">
        <v>-1.109424832602</v>
      </c>
      <c r="AH4423">
        <v>22.254079048828299</v>
      </c>
      <c r="AI4423">
        <v>92.810836367834995</v>
      </c>
      <c r="AJ4423">
        <v>99.983659968778497</v>
      </c>
      <c r="AK4423">
        <v>22.623467462811401</v>
      </c>
      <c r="AL4423">
        <v>81.237257026969104</v>
      </c>
      <c r="AM4423">
        <v>88.293670045339297</v>
      </c>
      <c r="AN4423">
        <v>0.99999999486699598</v>
      </c>
    </row>
    <row r="4424" spans="1:40" x14ac:dyDescent="0.25">
      <c r="A4424" t="str">
        <f>"20190312164116021"</f>
        <v>20190312164116021</v>
      </c>
      <c r="B4424" t="str">
        <f>"1552380076010926"</f>
        <v>1552380076010926</v>
      </c>
      <c r="C4424" t="s">
        <v>40</v>
      </c>
      <c r="D4424">
        <v>5.4395540000000002</v>
      </c>
      <c r="E4424">
        <v>0.42787700000000001</v>
      </c>
      <c r="F4424" t="s">
        <v>41</v>
      </c>
      <c r="G4424">
        <v>-252.49100000000001</v>
      </c>
      <c r="H4424" s="1">
        <v>-3.6489509999999998E-6</v>
      </c>
      <c r="I4424">
        <v>137.10589999999999</v>
      </c>
      <c r="J4424">
        <v>-230.2585</v>
      </c>
      <c r="K4424">
        <v>1.1093519999999999</v>
      </c>
      <c r="L4424">
        <v>141.69550000000001</v>
      </c>
      <c r="M4424">
        <v>-0.99948979999999998</v>
      </c>
      <c r="N4424">
        <v>0</v>
      </c>
      <c r="O4424">
        <v>-3.1413320000000002E-2</v>
      </c>
      <c r="P4424">
        <v>-0.98912610000000001</v>
      </c>
      <c r="Q4424">
        <v>0.14706929999999999</v>
      </c>
      <c r="R4424">
        <v>-4.8713679999999999E-4</v>
      </c>
      <c r="S4424">
        <v>-3.054001</v>
      </c>
      <c r="T4424">
        <v>-0.149978</v>
      </c>
      <c r="U4424">
        <v>-0.6219635</v>
      </c>
      <c r="V4424">
        <v>3.053635E-2</v>
      </c>
      <c r="W4424">
        <v>0.1528003</v>
      </c>
      <c r="X4424">
        <v>0.98778520000000003</v>
      </c>
      <c r="Y4424">
        <v>-0.16852010000000001</v>
      </c>
      <c r="Z4424">
        <v>-2.5687359999999998E-3</v>
      </c>
      <c r="AA4424">
        <v>0.98569490000000004</v>
      </c>
      <c r="AB4424">
        <v>35</v>
      </c>
      <c r="AC4424">
        <v>-22.232499999999899</v>
      </c>
      <c r="AD4424">
        <v>-1.1093556489509999</v>
      </c>
      <c r="AE4424">
        <v>-4.5896000000000097</v>
      </c>
      <c r="AF4424">
        <v>-3.8796618177680502</v>
      </c>
      <c r="AG4424">
        <v>-1.1093556489509999</v>
      </c>
      <c r="AH4424">
        <v>22.312421592823299</v>
      </c>
      <c r="AI4424">
        <v>92.804347370191905</v>
      </c>
      <c r="AJ4424">
        <v>99.863914305467901</v>
      </c>
      <c r="AK4424">
        <v>22.674360037540101</v>
      </c>
      <c r="AL4424">
        <v>81.210756925426097</v>
      </c>
      <c r="AM4424">
        <v>88.229324607752602</v>
      </c>
      <c r="AN4424">
        <v>1.0000000008452199</v>
      </c>
    </row>
    <row r="4425" spans="1:40" x14ac:dyDescent="0.25">
      <c r="A4425" t="str">
        <f>"20190312164116043"</f>
        <v>20190312164116043</v>
      </c>
      <c r="B4425" t="str">
        <f>"1552380076040205"</f>
        <v>1552380076040205</v>
      </c>
      <c r="C4425" t="s">
        <v>40</v>
      </c>
      <c r="D4425">
        <v>5.270918</v>
      </c>
      <c r="E4425">
        <v>0.42832219999999999</v>
      </c>
      <c r="F4425" t="s">
        <v>41</v>
      </c>
      <c r="G4425">
        <v>-252.97139999999999</v>
      </c>
      <c r="H4425" s="1">
        <v>-3.4387300000000002E-6</v>
      </c>
      <c r="I4425">
        <v>137.12899999999999</v>
      </c>
      <c r="J4425">
        <v>-230.5924</v>
      </c>
      <c r="K4425">
        <v>1.109286</v>
      </c>
      <c r="L4425">
        <v>141.685</v>
      </c>
      <c r="M4425">
        <v>-0.99949089999999996</v>
      </c>
      <c r="N4425">
        <v>0</v>
      </c>
      <c r="O4425">
        <v>-3.1377830000000002E-2</v>
      </c>
      <c r="P4425">
        <v>-0.98908050000000003</v>
      </c>
      <c r="Q4425">
        <v>0.1473757</v>
      </c>
      <c r="R4425">
        <v>2.5373840000000002E-4</v>
      </c>
      <c r="S4425">
        <v>-3.05484</v>
      </c>
      <c r="T4425">
        <v>-0.14920600000000001</v>
      </c>
      <c r="U4425">
        <v>-0.61416630000000005</v>
      </c>
      <c r="V4425">
        <v>3.1261730000000001E-2</v>
      </c>
      <c r="W4425">
        <v>0.153094799999999</v>
      </c>
      <c r="X4425">
        <v>0.98771690000000001</v>
      </c>
      <c r="Y4425">
        <v>-0.16608899999999999</v>
      </c>
      <c r="Z4425">
        <v>-2.4984310000000002E-3</v>
      </c>
      <c r="AA4425">
        <v>0.98610759999999997</v>
      </c>
      <c r="AB4425">
        <v>35</v>
      </c>
      <c r="AC4425">
        <v>-22.378999999999898</v>
      </c>
      <c r="AD4425">
        <v>-1.1092894387299901</v>
      </c>
      <c r="AE4425">
        <v>-4.5560000000000098</v>
      </c>
      <c r="AF4425">
        <v>-3.8424750432988599</v>
      </c>
      <c r="AG4425">
        <v>-1.1092894387299901</v>
      </c>
      <c r="AH4425">
        <v>22.457956238123099</v>
      </c>
      <c r="AI4425">
        <v>92.787333844865898</v>
      </c>
      <c r="AJ4425">
        <v>99.709087807058594</v>
      </c>
      <c r="AK4425">
        <v>22.811289659085599</v>
      </c>
      <c r="AL4425">
        <v>81.193682364651394</v>
      </c>
      <c r="AM4425">
        <v>88.187165324125601</v>
      </c>
      <c r="AN4425">
        <v>0.99999999404762097</v>
      </c>
    </row>
    <row r="4426" spans="1:40" x14ac:dyDescent="0.25">
      <c r="A4426" t="str">
        <f>"20190312164116064"</f>
        <v>20190312164116064</v>
      </c>
      <c r="B4426" t="str">
        <f>"1552380076060701"</f>
        <v>1552380076060701</v>
      </c>
      <c r="C4426" t="s">
        <v>40</v>
      </c>
      <c r="D4426">
        <v>5.2753519999999998</v>
      </c>
      <c r="E4426">
        <v>0.42232130000000001</v>
      </c>
      <c r="F4426" t="s">
        <v>41</v>
      </c>
      <c r="G4426">
        <v>-253.7868</v>
      </c>
      <c r="H4426" s="1">
        <v>-3.1007630000000001E-6</v>
      </c>
      <c r="I4426">
        <v>137.06229999999999</v>
      </c>
      <c r="J4426">
        <v>-230.93960000000001</v>
      </c>
      <c r="K4426">
        <v>1.1092120000000001</v>
      </c>
      <c r="L4426">
        <v>141.67410000000001</v>
      </c>
      <c r="M4426">
        <v>-0.99949429999999995</v>
      </c>
      <c r="N4426">
        <v>0</v>
      </c>
      <c r="O4426">
        <v>-3.1275089999999998E-2</v>
      </c>
      <c r="P4426">
        <v>-0.98906959999999999</v>
      </c>
      <c r="Q4426">
        <v>0.14744389999999999</v>
      </c>
      <c r="R4426">
        <v>1.364578E-3</v>
      </c>
      <c r="S4426">
        <v>-3.0550380000000001</v>
      </c>
      <c r="T4426">
        <v>-0.14610979999999901</v>
      </c>
      <c r="U4426">
        <v>-0.60887150000000001</v>
      </c>
      <c r="V4426">
        <v>3.2293139999999998E-2</v>
      </c>
      <c r="W4426">
        <v>0.15315319999999999</v>
      </c>
      <c r="X4426">
        <v>0.98767470000000002</v>
      </c>
      <c r="Y4426">
        <v>-0.16454240000000001</v>
      </c>
      <c r="Z4426">
        <v>-2.415141E-3</v>
      </c>
      <c r="AA4426">
        <v>0.98636699999999999</v>
      </c>
      <c r="AB4426">
        <v>35</v>
      </c>
      <c r="AC4426">
        <v>-22.847199999999901</v>
      </c>
      <c r="AD4426">
        <v>-1.109215100763</v>
      </c>
      <c r="AE4426">
        <v>-4.6118000000000103</v>
      </c>
      <c r="AF4426">
        <v>-3.88618261819376</v>
      </c>
      <c r="AG4426">
        <v>-1.109215100763</v>
      </c>
      <c r="AH4426">
        <v>22.928332902030601</v>
      </c>
      <c r="AI4426">
        <v>92.730779804809004</v>
      </c>
      <c r="AJ4426">
        <v>99.619787311319897</v>
      </c>
      <c r="AK4426">
        <v>23.281778779724998</v>
      </c>
      <c r="AL4426">
        <v>81.190296690604896</v>
      </c>
      <c r="AM4426">
        <v>88.127316899458407</v>
      </c>
      <c r="AN4426">
        <v>1.00000003129069</v>
      </c>
    </row>
    <row r="4427" spans="1:40" x14ac:dyDescent="0.25">
      <c r="A4427" t="str">
        <f>"20190312164116088"</f>
        <v>20190312164116088</v>
      </c>
      <c r="B4427" t="str">
        <f>"1552380076080222"</f>
        <v>1552380076080222</v>
      </c>
      <c r="C4427" t="s">
        <v>40</v>
      </c>
      <c r="D4427">
        <v>5.2402870000000004</v>
      </c>
      <c r="E4427">
        <v>0.42259770000000002</v>
      </c>
      <c r="F4427" t="s">
        <v>41</v>
      </c>
      <c r="G4427">
        <v>-245.1739</v>
      </c>
      <c r="H4427" s="1">
        <v>-2.2298370000000002E-6</v>
      </c>
      <c r="I4427">
        <v>138.61770000000001</v>
      </c>
      <c r="J4427">
        <v>-231.30410000000001</v>
      </c>
      <c r="K4427">
        <v>1.1091279999999999</v>
      </c>
      <c r="L4427">
        <v>141.66290000000001</v>
      </c>
      <c r="M4427">
        <v>-0.99950019999999995</v>
      </c>
      <c r="N4427">
        <v>0</v>
      </c>
      <c r="O4427">
        <v>-3.1085640000000001E-2</v>
      </c>
      <c r="P4427">
        <v>-0.98908839999999998</v>
      </c>
      <c r="Q4427">
        <v>0.14729879999999901</v>
      </c>
      <c r="R4427">
        <v>2.7424039999999999E-3</v>
      </c>
      <c r="S4427">
        <v>-3.0697329999999998</v>
      </c>
      <c r="T4427">
        <v>-0.23921120000000001</v>
      </c>
      <c r="U4427">
        <v>-0.65913389999999905</v>
      </c>
      <c r="V4427">
        <v>3.3510249999999998E-2</v>
      </c>
      <c r="W4427">
        <v>0.1529972</v>
      </c>
      <c r="X4427">
        <v>0.98765829999999999</v>
      </c>
      <c r="Y4427">
        <v>-0.17901239999999999</v>
      </c>
      <c r="Z4427">
        <v>-4.4967990000000001E-3</v>
      </c>
      <c r="AA4427">
        <v>0.9838365</v>
      </c>
      <c r="AB4427">
        <v>35</v>
      </c>
      <c r="AC4427">
        <v>-13.8697999999999</v>
      </c>
      <c r="AD4427">
        <v>-1.109130229837</v>
      </c>
      <c r="AE4427">
        <v>-3.0451999999999901</v>
      </c>
      <c r="AF4427">
        <v>-2.5967277362542598</v>
      </c>
      <c r="AG4427">
        <v>-1.109130229837</v>
      </c>
      <c r="AH4427">
        <v>13.8731248566597</v>
      </c>
      <c r="AI4427">
        <v>94.493261931130107</v>
      </c>
      <c r="AJ4427">
        <v>100.601767618802</v>
      </c>
      <c r="AK4427">
        <v>14.1575689329573</v>
      </c>
      <c r="AL4427">
        <v>81.199341140185993</v>
      </c>
      <c r="AM4427">
        <v>88.056757430652297</v>
      </c>
      <c r="AN4427">
        <v>0.99999999881089596</v>
      </c>
    </row>
    <row r="4428" spans="1:40" x14ac:dyDescent="0.25">
      <c r="A4428" t="str">
        <f>"20190312164116110"</f>
        <v>20190312164116110</v>
      </c>
      <c r="B4428" t="str">
        <f>"1552380076100717"</f>
        <v>1552380076100717</v>
      </c>
      <c r="C4428" t="s">
        <v>40</v>
      </c>
      <c r="D4428">
        <v>5.4496330000000004</v>
      </c>
      <c r="E4428">
        <v>0.44446950000000002</v>
      </c>
      <c r="F4428" t="s">
        <v>41</v>
      </c>
      <c r="G4428">
        <v>-245.5395</v>
      </c>
      <c r="H4428" s="1">
        <v>-2.070343E-6</v>
      </c>
      <c r="I4428">
        <v>138.63239999999999</v>
      </c>
      <c r="J4428">
        <v>-231.6643</v>
      </c>
      <c r="K4428">
        <v>1.1090469999999999</v>
      </c>
      <c r="L4428">
        <v>141.65190000000001</v>
      </c>
      <c r="M4428">
        <v>-0.99950870000000003</v>
      </c>
      <c r="N4428">
        <v>0</v>
      </c>
      <c r="O4428">
        <v>-3.080923E-2</v>
      </c>
      <c r="P4428">
        <v>-0.98911380000000004</v>
      </c>
      <c r="Q4428">
        <v>0.14708740000000001</v>
      </c>
      <c r="R4428">
        <v>4.4278219999999997E-3</v>
      </c>
      <c r="S4428">
        <v>-3.0705110000000002</v>
      </c>
      <c r="T4428">
        <v>-0.23923459999999999</v>
      </c>
      <c r="U4428">
        <v>-0.65364069999999996</v>
      </c>
      <c r="V4428">
        <v>3.4952360000000002E-2</v>
      </c>
      <c r="W4428">
        <v>0.15277289999999999</v>
      </c>
      <c r="X4428">
        <v>0.9876431</v>
      </c>
      <c r="Y4428">
        <v>-0.1775533</v>
      </c>
      <c r="Z4428">
        <v>-4.462031E-3</v>
      </c>
      <c r="AA4428">
        <v>0.98410109999999995</v>
      </c>
      <c r="AB4428">
        <v>35</v>
      </c>
      <c r="AC4428">
        <v>-13.8752</v>
      </c>
      <c r="AD4428">
        <v>-1.1090490703429901</v>
      </c>
      <c r="AE4428">
        <v>-3.0195000000000198</v>
      </c>
      <c r="AF4428">
        <v>-2.5748686004717101</v>
      </c>
      <c r="AG4428">
        <v>-1.1090490703429901</v>
      </c>
      <c r="AH4428">
        <v>13.876993706539601</v>
      </c>
      <c r="AI4428">
        <v>94.492998343015898</v>
      </c>
      <c r="AJ4428">
        <v>100.511654730019</v>
      </c>
      <c r="AK4428">
        <v>14.1573617768801</v>
      </c>
      <c r="AL4428">
        <v>81.2123460020712</v>
      </c>
      <c r="AM4428">
        <v>87.973167339030695</v>
      </c>
      <c r="AN4428">
        <v>1.0000000597107901</v>
      </c>
    </row>
    <row r="4429" spans="1:40" x14ac:dyDescent="0.25">
      <c r="A4429" t="str">
        <f>"20190312164116130"</f>
        <v>20190312164116130</v>
      </c>
      <c r="B4429" t="str">
        <f>"1552380076120238"</f>
        <v>1552380076120238</v>
      </c>
      <c r="C4429" t="s">
        <v>40</v>
      </c>
      <c r="D4429">
        <v>5.3472350000000004</v>
      </c>
      <c r="E4429">
        <v>0.46250839999999999</v>
      </c>
      <c r="F4429" t="s">
        <v>41</v>
      </c>
      <c r="G4429">
        <v>-243.3801</v>
      </c>
      <c r="H4429" s="1">
        <v>-2.8803269999999999E-6</v>
      </c>
      <c r="I4429">
        <v>139.8347</v>
      </c>
      <c r="J4429">
        <v>-232.00129999999999</v>
      </c>
      <c r="K4429">
        <v>1.1089639999999901</v>
      </c>
      <c r="L4429">
        <v>141.64179999999999</v>
      </c>
      <c r="M4429">
        <v>-0.9995193</v>
      </c>
      <c r="N4429">
        <v>0</v>
      </c>
      <c r="O4429">
        <v>-3.0465010000000001E-2</v>
      </c>
      <c r="P4429">
        <v>-0.98917560000000004</v>
      </c>
      <c r="Q4429">
        <v>0.14660970000000001</v>
      </c>
      <c r="R4429">
        <v>6.1195700000000004E-3</v>
      </c>
      <c r="S4429">
        <v>-3.0784910000000001</v>
      </c>
      <c r="T4429">
        <v>-0.2914177</v>
      </c>
      <c r="U4429">
        <v>-0.47747800000000001</v>
      </c>
      <c r="V4429">
        <v>3.633492E-2</v>
      </c>
      <c r="W4429">
        <v>0.1522819</v>
      </c>
      <c r="X4429">
        <v>0.98766900000000002</v>
      </c>
      <c r="Y4429">
        <v>-0.1226899</v>
      </c>
      <c r="Z4429">
        <v>-2.901392E-3</v>
      </c>
      <c r="AA4429">
        <v>0.99244080000000001</v>
      </c>
      <c r="AB4429">
        <v>36</v>
      </c>
      <c r="AC4429">
        <v>-11.3788</v>
      </c>
      <c r="AD4429">
        <v>-1.1089668803270001</v>
      </c>
      <c r="AE4429">
        <v>-1.8070999999999899</v>
      </c>
      <c r="AF4429">
        <v>-1.4462017176081901</v>
      </c>
      <c r="AG4429">
        <v>-1.1089668803270001</v>
      </c>
      <c r="AH4429">
        <v>11.3236632312708</v>
      </c>
      <c r="AI4429">
        <v>95.548560488475999</v>
      </c>
      <c r="AJ4429">
        <v>97.278130000317006</v>
      </c>
      <c r="AK4429">
        <v>11.469379055768799</v>
      </c>
      <c r="AL4429">
        <v>81.240811018531403</v>
      </c>
      <c r="AM4429">
        <v>87.893120932373705</v>
      </c>
      <c r="AN4429">
        <v>1.0000000285199999</v>
      </c>
    </row>
    <row r="4430" spans="1:40" x14ac:dyDescent="0.25">
      <c r="A4430" t="str">
        <f>"20190312164116155"</f>
        <v>20190312164116155</v>
      </c>
      <c r="B4430" t="str">
        <f>"1552380076150494"</f>
        <v>1552380076150494</v>
      </c>
      <c r="C4430" t="s">
        <v>40</v>
      </c>
      <c r="D4430">
        <v>5.5155250000000002</v>
      </c>
      <c r="E4430">
        <v>0.47533599999999998</v>
      </c>
      <c r="F4430" t="s">
        <v>41</v>
      </c>
      <c r="G4430">
        <v>-247.12989999999999</v>
      </c>
      <c r="H4430" s="1">
        <v>-1.32816E-6</v>
      </c>
      <c r="I4430">
        <v>140.04689999999999</v>
      </c>
      <c r="J4430">
        <v>-232.375</v>
      </c>
      <c r="K4430">
        <v>1.1088629999999999</v>
      </c>
      <c r="L4430">
        <v>141.63079999999999</v>
      </c>
      <c r="M4430">
        <v>-0.99953380000000003</v>
      </c>
      <c r="N4430">
        <v>0</v>
      </c>
      <c r="O4430">
        <v>-2.9986019999999999E-2</v>
      </c>
      <c r="P4430">
        <v>-0.98921499999999996</v>
      </c>
      <c r="Q4430">
        <v>0.1462618</v>
      </c>
      <c r="R4430">
        <v>7.816623E-3</v>
      </c>
      <c r="S4430">
        <v>-3.068146</v>
      </c>
      <c r="T4430">
        <v>-0.22490360000000001</v>
      </c>
      <c r="U4430">
        <v>-0.32342530000000003</v>
      </c>
      <c r="V4430">
        <v>3.7593639999999998E-2</v>
      </c>
      <c r="W4430">
        <v>0.15191760000000001</v>
      </c>
      <c r="X4430">
        <v>0.98767799999999994</v>
      </c>
      <c r="Y4430">
        <v>-7.4845690000000006E-2</v>
      </c>
      <c r="Z4430">
        <v>-5.4398249999999999E-4</v>
      </c>
      <c r="AA4430">
        <v>0.99719500000000005</v>
      </c>
      <c r="AB4430">
        <v>36</v>
      </c>
      <c r="AC4430">
        <v>-14.7548999999999</v>
      </c>
      <c r="AD4430">
        <v>-1.1088643281599999</v>
      </c>
      <c r="AE4430">
        <v>-1.5839000000000001</v>
      </c>
      <c r="AF4430">
        <v>-1.1344057132116301</v>
      </c>
      <c r="AG4430">
        <v>-1.1088643281599999</v>
      </c>
      <c r="AH4430">
        <v>14.7136066482375</v>
      </c>
      <c r="AI4430">
        <v>94.297140824690601</v>
      </c>
      <c r="AJ4430">
        <v>94.408730820197803</v>
      </c>
      <c r="AK4430">
        <v>14.7988741808116</v>
      </c>
      <c r="AL4430">
        <v>81.261929641774799</v>
      </c>
      <c r="AM4430">
        <v>87.820223170694206</v>
      </c>
      <c r="AN4430">
        <v>1.0000000353211</v>
      </c>
    </row>
    <row r="4431" spans="1:40" x14ac:dyDescent="0.25">
      <c r="A4431" t="str">
        <f>"20190312164116179"</f>
        <v>20190312164116179</v>
      </c>
      <c r="B4431" t="str">
        <f>"1552380076170991"</f>
        <v>1552380076170991</v>
      </c>
      <c r="C4431" t="s">
        <v>40</v>
      </c>
      <c r="D4431">
        <v>5.3589330000000004</v>
      </c>
      <c r="E4431">
        <v>0.4786337</v>
      </c>
      <c r="F4431" t="s">
        <v>41</v>
      </c>
      <c r="G4431">
        <v>-248.93389999999999</v>
      </c>
      <c r="H4431" s="1">
        <v>-6.6758309999999997E-7</v>
      </c>
      <c r="I4431">
        <v>140.47280000000001</v>
      </c>
      <c r="J4431">
        <v>-232.76830000000001</v>
      </c>
      <c r="K4431">
        <v>1.108746</v>
      </c>
      <c r="L4431">
        <v>141.61949999999999</v>
      </c>
      <c r="M4431">
        <v>-0.9995522</v>
      </c>
      <c r="N4431">
        <v>0</v>
      </c>
      <c r="O4431">
        <v>-2.93654E-2</v>
      </c>
      <c r="P4431">
        <v>-0.98929869999999998</v>
      </c>
      <c r="Q4431">
        <v>0.1455997</v>
      </c>
      <c r="R4431">
        <v>9.4444109999999998E-3</v>
      </c>
      <c r="S4431">
        <v>-3.0647280000000001</v>
      </c>
      <c r="T4431">
        <v>-0.20522940000000001</v>
      </c>
      <c r="U4431">
        <v>-0.21430969999999999</v>
      </c>
      <c r="V4431">
        <v>3.8646359999999998E-2</v>
      </c>
      <c r="W4431">
        <v>0.1512365</v>
      </c>
      <c r="X4431">
        <v>0.98774189999999995</v>
      </c>
      <c r="Y4431">
        <v>-4.0408409999999999E-2</v>
      </c>
      <c r="Z4431">
        <v>6.1136679999999996E-4</v>
      </c>
      <c r="AA4431">
        <v>0.99918309999999999</v>
      </c>
      <c r="AB4431">
        <v>36</v>
      </c>
      <c r="AC4431">
        <v>-16.165599999999898</v>
      </c>
      <c r="AD4431">
        <v>-1.1087466675830999</v>
      </c>
      <c r="AE4431">
        <v>-1.1466999999999801</v>
      </c>
      <c r="AF4431">
        <v>-0.66835997799922897</v>
      </c>
      <c r="AG4431">
        <v>-1.1087466675830999</v>
      </c>
      <c r="AH4431">
        <v>16.116865563296301</v>
      </c>
      <c r="AI4431">
        <v>93.932047139696095</v>
      </c>
      <c r="AJ4431">
        <v>92.374672453375496</v>
      </c>
      <c r="AK4431">
        <v>16.168777932126901</v>
      </c>
      <c r="AL4431">
        <v>81.301410020075906</v>
      </c>
      <c r="AM4431">
        <v>87.759389919869506</v>
      </c>
      <c r="AN4431">
        <v>1.0000000405445499</v>
      </c>
    </row>
    <row r="4432" spans="1:40" x14ac:dyDescent="0.25">
      <c r="A4432" t="str">
        <f>"20190312164116201"</f>
        <v>20190312164116201</v>
      </c>
      <c r="B4432" t="str">
        <f>"1552380076190510"</f>
        <v>1552380076190510</v>
      </c>
      <c r="C4432" t="s">
        <v>40</v>
      </c>
      <c r="D4432">
        <v>5.4188580000000002</v>
      </c>
      <c r="E4432">
        <v>0.47976950000000002</v>
      </c>
      <c r="F4432" t="s">
        <v>41</v>
      </c>
      <c r="G4432">
        <v>-249.60749999999999</v>
      </c>
      <c r="H4432" s="1">
        <v>-4.160489E-7</v>
      </c>
      <c r="I4432">
        <v>140.61349999999999</v>
      </c>
      <c r="J4432">
        <v>-233.1138</v>
      </c>
      <c r="K4432">
        <v>1.108652</v>
      </c>
      <c r="L4432">
        <v>141.60990000000001</v>
      </c>
      <c r="M4432">
        <v>-0.99957110000000005</v>
      </c>
      <c r="N4432">
        <v>0</v>
      </c>
      <c r="O4432">
        <v>-2.8717469999999998E-2</v>
      </c>
      <c r="P4432">
        <v>-0.98936590000000002</v>
      </c>
      <c r="Q4432">
        <v>0.14501989999999901</v>
      </c>
      <c r="R4432">
        <v>1.114542E-2</v>
      </c>
      <c r="S4432">
        <v>-3.0638890000000001</v>
      </c>
      <c r="T4432">
        <v>-0.20173659999999999</v>
      </c>
      <c r="U4432">
        <v>-0.1830292</v>
      </c>
      <c r="V4432">
        <v>3.973894E-2</v>
      </c>
      <c r="W4432">
        <v>0.15063650000000001</v>
      </c>
      <c r="X4432">
        <v>0.98779019999999995</v>
      </c>
      <c r="Y4432">
        <v>-3.0935020000000001E-2</v>
      </c>
      <c r="Z4432">
        <v>8.7013710000000003E-4</v>
      </c>
      <c r="AA4432">
        <v>0.99952099999999999</v>
      </c>
      <c r="AB4432">
        <v>36</v>
      </c>
      <c r="AC4432">
        <v>-16.493699999999901</v>
      </c>
      <c r="AD4432">
        <v>-1.1086524160489</v>
      </c>
      <c r="AE4432">
        <v>-0.99640000000002205</v>
      </c>
      <c r="AF4432">
        <v>-0.51998312083868503</v>
      </c>
      <c r="AG4432">
        <v>-1.1086524160489</v>
      </c>
      <c r="AH4432">
        <v>16.4414977990095</v>
      </c>
      <c r="AI4432">
        <v>93.855700602452004</v>
      </c>
      <c r="AJ4432">
        <v>91.8114475595616</v>
      </c>
      <c r="AK4432">
        <v>16.487035588619399</v>
      </c>
      <c r="AL4432">
        <v>81.336185621443406</v>
      </c>
      <c r="AM4432">
        <v>87.696224978172197</v>
      </c>
      <c r="AN4432">
        <v>1.0000000088503</v>
      </c>
    </row>
    <row r="4433" spans="1:40" x14ac:dyDescent="0.25">
      <c r="A4433" t="str">
        <f>"20190312164116223"</f>
        <v>20190312164116223</v>
      </c>
      <c r="B4433" t="str">
        <f>"1552380076220766"</f>
        <v>1552380076220766</v>
      </c>
      <c r="C4433" t="s">
        <v>40</v>
      </c>
      <c r="D4433">
        <v>5.3867820000000002</v>
      </c>
      <c r="E4433">
        <v>0.48251630000000001</v>
      </c>
      <c r="F4433" t="s">
        <v>41</v>
      </c>
      <c r="G4433">
        <v>-250.06530000000001</v>
      </c>
      <c r="H4433" s="1">
        <v>-4.441579E-6</v>
      </c>
      <c r="I4433">
        <v>140.6748</v>
      </c>
      <c r="J4433">
        <v>-233.4821</v>
      </c>
      <c r="K4433">
        <v>1.108557</v>
      </c>
      <c r="L4433">
        <v>141.59989999999999</v>
      </c>
      <c r="M4433">
        <v>-0.99959330000000002</v>
      </c>
      <c r="N4433">
        <v>0</v>
      </c>
      <c r="O4433">
        <v>-2.7944400000000001E-2</v>
      </c>
      <c r="P4433">
        <v>-0.98938309999999996</v>
      </c>
      <c r="Q4433">
        <v>0.1447783</v>
      </c>
      <c r="R4433">
        <v>1.267134E-2</v>
      </c>
      <c r="S4433">
        <v>-3.0635219999999999</v>
      </c>
      <c r="T4433">
        <v>-0.20035990000000001</v>
      </c>
      <c r="U4433">
        <v>-0.16897579999999901</v>
      </c>
      <c r="V4433">
        <v>4.0530789999999997E-2</v>
      </c>
      <c r="W4433">
        <v>0.15037149999999999</v>
      </c>
      <c r="X4433">
        <v>0.98779839999999997</v>
      </c>
      <c r="Y4433">
        <v>-2.7151379999999999E-2</v>
      </c>
      <c r="Z4433">
        <v>9.3752729999999995E-4</v>
      </c>
      <c r="AA4433">
        <v>0.99963089999999999</v>
      </c>
      <c r="AB4433">
        <v>36</v>
      </c>
      <c r="AC4433">
        <v>-16.583200000000001</v>
      </c>
      <c r="AD4433">
        <v>-1.1085614415789999</v>
      </c>
      <c r="AE4433">
        <v>-0.92509999999998604</v>
      </c>
      <c r="AF4433">
        <v>-0.45927763399432597</v>
      </c>
      <c r="AG4433">
        <v>-1.1085614415789999</v>
      </c>
      <c r="AH4433">
        <v>16.528941471649599</v>
      </c>
      <c r="AI4433">
        <v>93.835485706203499</v>
      </c>
      <c r="AJ4433">
        <v>91.591626476368702</v>
      </c>
      <c r="AK4433">
        <v>16.572439488139999</v>
      </c>
      <c r="AL4433">
        <v>81.351543918555194</v>
      </c>
      <c r="AM4433">
        <v>87.650389699390004</v>
      </c>
      <c r="AN4433">
        <v>1.00000000599641</v>
      </c>
    </row>
    <row r="4434" spans="1:40" x14ac:dyDescent="0.25">
      <c r="A4434" t="str">
        <f>"20190312164116244"</f>
        <v>20190312164116244</v>
      </c>
      <c r="B4434" t="str">
        <f>"1552380076240286"</f>
        <v>1552380076240286</v>
      </c>
      <c r="C4434" t="s">
        <v>40</v>
      </c>
      <c r="D4434">
        <v>5.2447559999999998</v>
      </c>
      <c r="E4434">
        <v>0.48400379999999898</v>
      </c>
      <c r="F4434" t="s">
        <v>41</v>
      </c>
      <c r="G4434">
        <v>-250.54</v>
      </c>
      <c r="H4434" s="1">
        <v>-4.3029330000000002E-6</v>
      </c>
      <c r="I4434">
        <v>140.8039</v>
      </c>
      <c r="J4434">
        <v>-233.81909999999999</v>
      </c>
      <c r="K4434">
        <v>1.108476</v>
      </c>
      <c r="L4434">
        <v>141.59119999999999</v>
      </c>
      <c r="M4434">
        <v>-0.99961460000000002</v>
      </c>
      <c r="N4434">
        <v>0</v>
      </c>
      <c r="O4434">
        <v>-2.717178E-2</v>
      </c>
      <c r="P4434">
        <v>-0.98947269999999998</v>
      </c>
      <c r="Q4434">
        <v>0.14408399999999999</v>
      </c>
      <c r="R4434">
        <v>1.356307E-2</v>
      </c>
      <c r="S4434">
        <v>-3.0631710000000001</v>
      </c>
      <c r="T4434">
        <v>-0.19907</v>
      </c>
      <c r="U4434">
        <v>-0.1429291</v>
      </c>
      <c r="V4434">
        <v>4.0685489999999998E-2</v>
      </c>
      <c r="W4434">
        <v>0.14965539999999999</v>
      </c>
      <c r="X4434">
        <v>0.98790080000000002</v>
      </c>
      <c r="Y4434">
        <v>-1.946608E-2</v>
      </c>
      <c r="Z4434">
        <v>1.1310910000000001E-3</v>
      </c>
      <c r="AA4434">
        <v>0.99980990000000003</v>
      </c>
      <c r="AB4434">
        <v>36</v>
      </c>
      <c r="AC4434">
        <v>-16.7209</v>
      </c>
      <c r="AD4434">
        <v>-1.1084803029329999</v>
      </c>
      <c r="AE4434">
        <v>-0.78729999999998701</v>
      </c>
      <c r="AF4434">
        <v>-0.33121295204312301</v>
      </c>
      <c r="AG4434">
        <v>-1.1084803029329999</v>
      </c>
      <c r="AH4434">
        <v>16.663050412407099</v>
      </c>
      <c r="AI4434">
        <v>93.805144643484695</v>
      </c>
      <c r="AJ4434">
        <v>91.138723410083301</v>
      </c>
      <c r="AK4434">
        <v>16.703163761635398</v>
      </c>
      <c r="AL4434">
        <v>81.393043147654495</v>
      </c>
      <c r="AM4434">
        <v>87.641675894038499</v>
      </c>
      <c r="AN4434">
        <v>1.0000000192431699</v>
      </c>
    </row>
    <row r="4435" spans="1:40" x14ac:dyDescent="0.25">
      <c r="A4435" t="str">
        <f>"20190312164116266"</f>
        <v>20190312164116266</v>
      </c>
      <c r="B4435" t="str">
        <f>"1552380076260781"</f>
        <v>1552380076260781</v>
      </c>
      <c r="C4435" t="s">
        <v>40</v>
      </c>
      <c r="D4435">
        <v>5.3328220000000002</v>
      </c>
      <c r="E4435">
        <v>0.48476279999999999</v>
      </c>
      <c r="F4435" t="s">
        <v>41</v>
      </c>
      <c r="G4435">
        <v>-250.78370000000001</v>
      </c>
      <c r="H4435" s="1">
        <v>-4.2333440000000001E-6</v>
      </c>
      <c r="I4435">
        <v>140.8792</v>
      </c>
      <c r="J4435">
        <v>-234.18559999999999</v>
      </c>
      <c r="K4435">
        <v>1.1083879999999999</v>
      </c>
      <c r="L4435">
        <v>141.58189999999999</v>
      </c>
      <c r="M4435">
        <v>-0.9996389</v>
      </c>
      <c r="N4435">
        <v>0</v>
      </c>
      <c r="O4435">
        <v>-2.626351E-2</v>
      </c>
      <c r="P4435">
        <v>-0.9895699</v>
      </c>
      <c r="Q4435">
        <v>0.14337269999999999</v>
      </c>
      <c r="R4435">
        <v>1.398462E-2</v>
      </c>
      <c r="S4435">
        <v>-3.0628199999999999</v>
      </c>
      <c r="T4435">
        <v>-0.2001271</v>
      </c>
      <c r="U4435">
        <v>-0.12852479999999999</v>
      </c>
      <c r="V4435">
        <v>4.0235859999999998E-2</v>
      </c>
      <c r="W4435">
        <v>0.14892079999999999</v>
      </c>
      <c r="X4435">
        <v>0.98803019999999997</v>
      </c>
      <c r="Y4435">
        <v>-1.5693169999999999E-2</v>
      </c>
      <c r="Z4435">
        <v>1.2012119999999999E-3</v>
      </c>
      <c r="AA4435">
        <v>0.99987610000000005</v>
      </c>
      <c r="AB4435">
        <v>36</v>
      </c>
      <c r="AC4435">
        <v>-16.598099999999999</v>
      </c>
      <c r="AD4435">
        <v>-1.1083922333439999</v>
      </c>
      <c r="AE4435">
        <v>-0.702699999999992</v>
      </c>
      <c r="AF4435">
        <v>-0.26534504812724902</v>
      </c>
      <c r="AG4435">
        <v>-1.1083922333439999</v>
      </c>
      <c r="AH4435">
        <v>16.537216975978399</v>
      </c>
      <c r="AI4435">
        <v>93.833971639384202</v>
      </c>
      <c r="AJ4435">
        <v>90.919250615112006</v>
      </c>
      <c r="AK4435">
        <v>16.576443727413</v>
      </c>
      <c r="AL4435">
        <v>81.435609495045398</v>
      </c>
      <c r="AM4435">
        <v>87.668014758875302</v>
      </c>
      <c r="AN4435">
        <v>1.0000000026072999</v>
      </c>
    </row>
    <row r="4436" spans="1:40" x14ac:dyDescent="0.25">
      <c r="A4436" t="str">
        <f>"20190312164116289"</f>
        <v>20190312164116289</v>
      </c>
      <c r="B4436" t="str">
        <f>"1552380076280302"</f>
        <v>1552380076280302</v>
      </c>
      <c r="C4436" t="s">
        <v>40</v>
      </c>
      <c r="D4436">
        <v>5.465344</v>
      </c>
      <c r="E4436">
        <v>0.48520000000000002</v>
      </c>
      <c r="F4436" t="s">
        <v>41</v>
      </c>
      <c r="G4436">
        <v>-250.99889999999999</v>
      </c>
      <c r="H4436" s="1">
        <v>-4.166798E-6</v>
      </c>
      <c r="I4436">
        <v>140.91669999999999</v>
      </c>
      <c r="J4436">
        <v>-234.55330000000001</v>
      </c>
      <c r="K4436">
        <v>1.108312</v>
      </c>
      <c r="L4436">
        <v>141.57310000000001</v>
      </c>
      <c r="M4436">
        <v>-0.9996642</v>
      </c>
      <c r="N4436">
        <v>0</v>
      </c>
      <c r="O4436">
        <v>-2.529352E-2</v>
      </c>
      <c r="P4436">
        <v>-0.98969810000000003</v>
      </c>
      <c r="Q4436">
        <v>0.14240659999999999</v>
      </c>
      <c r="R4436">
        <v>1.477958E-2</v>
      </c>
      <c r="S4436">
        <v>-3.062592</v>
      </c>
      <c r="T4436">
        <v>-0.20189850000000001</v>
      </c>
      <c r="U4436">
        <v>-0.12115480000000001</v>
      </c>
      <c r="V4436">
        <v>4.009679E-2</v>
      </c>
      <c r="W4436">
        <v>0.14792910000000001</v>
      </c>
      <c r="X4436">
        <v>0.98818479999999997</v>
      </c>
      <c r="Y4436">
        <v>-1.4265730000000001E-2</v>
      </c>
      <c r="Z4436">
        <v>1.1951450000000001E-3</v>
      </c>
      <c r="AA4436">
        <v>0.99989749999999999</v>
      </c>
      <c r="AB4436">
        <v>36</v>
      </c>
      <c r="AC4436">
        <v>-16.445599999999899</v>
      </c>
      <c r="AD4436">
        <v>-1.1083161667979999</v>
      </c>
      <c r="AE4436">
        <v>-0.65640000000001897</v>
      </c>
      <c r="AF4436">
        <v>-0.23913191726061001</v>
      </c>
      <c r="AG4436">
        <v>-1.1083161667979999</v>
      </c>
      <c r="AH4436">
        <v>16.382652919096302</v>
      </c>
      <c r="AI4436">
        <v>93.869855111275996</v>
      </c>
      <c r="AJ4436">
        <v>90.836267283732496</v>
      </c>
      <c r="AK4436">
        <v>16.421841110759001</v>
      </c>
      <c r="AL4436">
        <v>81.493065980098606</v>
      </c>
      <c r="AM4436">
        <v>87.676429286462294</v>
      </c>
      <c r="AN4436">
        <v>0.99999998507307597</v>
      </c>
    </row>
    <row r="4437" spans="1:40" x14ac:dyDescent="0.25">
      <c r="A4437" t="str">
        <f>"20190312164116311"</f>
        <v>20190312164116311</v>
      </c>
      <c r="B4437" t="str">
        <f>"1552380076300798"</f>
        <v>1552380076300798</v>
      </c>
      <c r="C4437" t="s">
        <v>40</v>
      </c>
      <c r="D4437">
        <v>5.3949499999999997</v>
      </c>
      <c r="E4437">
        <v>0.4854501</v>
      </c>
      <c r="F4437" t="s">
        <v>41</v>
      </c>
      <c r="G4437">
        <v>-251.303</v>
      </c>
      <c r="H4437" s="1">
        <v>-4.067314E-6</v>
      </c>
      <c r="I4437">
        <v>140.9468</v>
      </c>
      <c r="J4437">
        <v>-234.92259999999999</v>
      </c>
      <c r="K4437">
        <v>1.1082350000000001</v>
      </c>
      <c r="L4437">
        <v>141.56450000000001</v>
      </c>
      <c r="M4437">
        <v>-0.99968950000000001</v>
      </c>
      <c r="N4437">
        <v>0</v>
      </c>
      <c r="O4437">
        <v>-2.4272439999999999E-2</v>
      </c>
      <c r="P4437">
        <v>-0.98975290000000005</v>
      </c>
      <c r="Q4437">
        <v>0.1419339</v>
      </c>
      <c r="R4437">
        <v>1.5624320000000001E-2</v>
      </c>
      <c r="S4437">
        <v>-3.0620729999999998</v>
      </c>
      <c r="T4437">
        <v>-0.2026154</v>
      </c>
      <c r="U4437">
        <v>-0.1144714</v>
      </c>
      <c r="V4437">
        <v>3.9953519999999999E-2</v>
      </c>
      <c r="W4437">
        <v>0.14743110000000001</v>
      </c>
      <c r="X4437">
        <v>0.98826499999999995</v>
      </c>
      <c r="Y4437">
        <v>-1.311502E-2</v>
      </c>
      <c r="Z4437">
        <v>1.1702240000000001E-3</v>
      </c>
      <c r="AA4437">
        <v>0.9999133</v>
      </c>
      <c r="AB4437">
        <v>37</v>
      </c>
      <c r="AC4437">
        <v>-16.380400000000002</v>
      </c>
      <c r="AD4437">
        <v>-1.1082390673139999</v>
      </c>
      <c r="AE4437">
        <v>-0.61770000000001302</v>
      </c>
      <c r="AF4437">
        <v>-0.21891876587532599</v>
      </c>
      <c r="AG4437">
        <v>-1.1082390673139999</v>
      </c>
      <c r="AH4437">
        <v>16.315988603832999</v>
      </c>
      <c r="AI4437">
        <v>93.885412828619195</v>
      </c>
      <c r="AJ4437">
        <v>90.768716442738807</v>
      </c>
      <c r="AK4437">
        <v>16.3550482535755</v>
      </c>
      <c r="AL4437">
        <v>81.5219154097082</v>
      </c>
      <c r="AM4437">
        <v>87.6849102807289</v>
      </c>
      <c r="AN4437">
        <v>0.999999961616299</v>
      </c>
    </row>
    <row r="4438" spans="1:40" x14ac:dyDescent="0.25">
      <c r="A4438" t="str">
        <f>"20190312164116333"</f>
        <v>20190312164116333</v>
      </c>
      <c r="B4438" t="str">
        <f>"1552380076330583"</f>
        <v>1552380076330583</v>
      </c>
      <c r="C4438" t="s">
        <v>40</v>
      </c>
      <c r="D4438">
        <v>5.3325870000000002</v>
      </c>
      <c r="E4438">
        <v>0.48565839999999999</v>
      </c>
      <c r="F4438" t="s">
        <v>41</v>
      </c>
      <c r="G4438">
        <v>-251.71100000000001</v>
      </c>
      <c r="H4438" s="1">
        <v>-3.8960550000000001E-6</v>
      </c>
      <c r="I4438">
        <v>140.96090000000001</v>
      </c>
      <c r="J4438">
        <v>-235.29339999999999</v>
      </c>
      <c r="K4438">
        <v>1.1081669999999999</v>
      </c>
      <c r="L4438">
        <v>141.5564</v>
      </c>
      <c r="M4438">
        <v>-0.99971469999999996</v>
      </c>
      <c r="N4438">
        <v>0</v>
      </c>
      <c r="O4438">
        <v>-2.3215159999999999E-2</v>
      </c>
      <c r="P4438">
        <v>-0.98968869999999998</v>
      </c>
      <c r="Q4438">
        <v>0.1422571</v>
      </c>
      <c r="R4438">
        <v>1.6715799999999999E-2</v>
      </c>
      <c r="S4438">
        <v>-3.0617830000000001</v>
      </c>
      <c r="T4438">
        <v>-0.2021163</v>
      </c>
      <c r="U4438">
        <v>-0.11007690000000001</v>
      </c>
      <c r="V4438">
        <v>4.0016900000000001E-2</v>
      </c>
      <c r="W4438">
        <v>0.1477282</v>
      </c>
      <c r="X4438">
        <v>0.98821809999999999</v>
      </c>
      <c r="Y4438">
        <v>-1.2741219999999999E-2</v>
      </c>
      <c r="Z4438">
        <v>1.110148E-3</v>
      </c>
      <c r="AA4438">
        <v>0.99991819999999998</v>
      </c>
      <c r="AB4438">
        <v>37</v>
      </c>
      <c r="AC4438">
        <v>-16.417599999999901</v>
      </c>
      <c r="AD4438">
        <v>-1.1081708960550001</v>
      </c>
      <c r="AE4438">
        <v>-0.59549999999998704</v>
      </c>
      <c r="AF4438">
        <v>-0.213226069848171</v>
      </c>
      <c r="AG4438">
        <v>-1.1081708960550001</v>
      </c>
      <c r="AH4438">
        <v>16.3525937176714</v>
      </c>
      <c r="AI4438">
        <v>93.876523508345201</v>
      </c>
      <c r="AJ4438">
        <v>90.747053450899799</v>
      </c>
      <c r="AK4438">
        <v>16.391486491070701</v>
      </c>
      <c r="AL4438">
        <v>81.504704645891906</v>
      </c>
      <c r="AM4438">
        <v>87.681131832874499</v>
      </c>
      <c r="AN4438">
        <v>0.99999999326422995</v>
      </c>
    </row>
    <row r="4439" spans="1:40" x14ac:dyDescent="0.25">
      <c r="A4439" t="str">
        <f>"20190312164116356"</f>
        <v>20190312164116356</v>
      </c>
      <c r="B4439" t="str">
        <f>"1552380076350104"</f>
        <v>1552380076350104</v>
      </c>
      <c r="C4439" t="s">
        <v>40</v>
      </c>
      <c r="D4439">
        <v>5.4324370000000002</v>
      </c>
      <c r="E4439">
        <v>0.48576469999999999</v>
      </c>
      <c r="F4439" t="s">
        <v>41</v>
      </c>
      <c r="G4439">
        <v>-252.43219999999999</v>
      </c>
      <c r="H4439" s="1">
        <v>-3.5887289999999998E-6</v>
      </c>
      <c r="I4439">
        <v>140.96870000000001</v>
      </c>
      <c r="J4439">
        <v>-235.66309999999999</v>
      </c>
      <c r="K4439">
        <v>1.108114</v>
      </c>
      <c r="L4439">
        <v>141.5487</v>
      </c>
      <c r="M4439">
        <v>-0.9997393</v>
      </c>
      <c r="N4439">
        <v>0</v>
      </c>
      <c r="O4439">
        <v>-2.2138620000000001E-2</v>
      </c>
      <c r="P4439">
        <v>-0.98964090000000005</v>
      </c>
      <c r="Q4439">
        <v>0.14251129999999901</v>
      </c>
      <c r="R4439">
        <v>1.7370770000000001E-2</v>
      </c>
      <c r="S4439">
        <v>-3.0615079999999999</v>
      </c>
      <c r="T4439">
        <v>-0.19795270000000001</v>
      </c>
      <c r="U4439">
        <v>-0.10496519999999999</v>
      </c>
      <c r="V4439">
        <v>3.9621910000000003E-2</v>
      </c>
      <c r="W4439">
        <v>0.14795839999999999</v>
      </c>
      <c r="X4439">
        <v>0.98819959999999996</v>
      </c>
      <c r="Y4439">
        <v>-1.2151779999999999E-2</v>
      </c>
      <c r="Z4439">
        <v>1.0370049999999999E-3</v>
      </c>
      <c r="AA4439">
        <v>0.99992559999999997</v>
      </c>
      <c r="AB4439">
        <v>37</v>
      </c>
      <c r="AC4439">
        <v>-16.769100000000002</v>
      </c>
      <c r="AD4439">
        <v>-1.108117588729</v>
      </c>
      <c r="AE4439">
        <v>-0.57999999999998397</v>
      </c>
      <c r="AF4439">
        <v>-0.20770143336100999</v>
      </c>
      <c r="AG4439">
        <v>-1.108117588729</v>
      </c>
      <c r="AH4439">
        <v>16.704972298367501</v>
      </c>
      <c r="AI4439">
        <v>93.794839899381401</v>
      </c>
      <c r="AJ4439">
        <v>90.712350917903393</v>
      </c>
      <c r="AK4439">
        <v>16.742973569981402</v>
      </c>
      <c r="AL4439">
        <v>81.491368805431605</v>
      </c>
      <c r="AM4439">
        <v>87.703952851103793</v>
      </c>
      <c r="AN4439">
        <v>1.0000000166613801</v>
      </c>
    </row>
    <row r="4440" spans="1:40" x14ac:dyDescent="0.25">
      <c r="A4440" t="str">
        <f>"20190312164116380"</f>
        <v>20190312164116380</v>
      </c>
      <c r="B4440" t="str">
        <f>"1552380076370600"</f>
        <v>1552380076370600</v>
      </c>
      <c r="C4440" t="s">
        <v>40</v>
      </c>
      <c r="D4440">
        <v>5.4993999999999996</v>
      </c>
      <c r="E4440">
        <v>0.4858287</v>
      </c>
      <c r="F4440" t="s">
        <v>41</v>
      </c>
      <c r="G4440">
        <v>-252.98740000000001</v>
      </c>
      <c r="H4440" s="1">
        <v>-3.352206E-6</v>
      </c>
      <c r="I4440">
        <v>140.97489999999999</v>
      </c>
      <c r="J4440">
        <v>-236.05590000000001</v>
      </c>
      <c r="K4440">
        <v>1.1080680000000001</v>
      </c>
      <c r="L4440">
        <v>141.54089999999999</v>
      </c>
      <c r="M4440">
        <v>-0.99976430000000005</v>
      </c>
      <c r="N4440">
        <v>0</v>
      </c>
      <c r="O4440">
        <v>-2.097949E-2</v>
      </c>
      <c r="P4440">
        <v>-0.98966149999999997</v>
      </c>
      <c r="Q4440">
        <v>0.14225119999999999</v>
      </c>
      <c r="R4440">
        <v>1.8296059999999999E-2</v>
      </c>
      <c r="S4440">
        <v>-3.061401</v>
      </c>
      <c r="T4440">
        <v>-0.1958182</v>
      </c>
      <c r="U4440">
        <v>-0.10137939999999999</v>
      </c>
      <c r="V4440">
        <v>3.9413320000000002E-2</v>
      </c>
      <c r="W4440">
        <v>0.14767259999999999</v>
      </c>
      <c r="X4440">
        <v>0.98825070000000004</v>
      </c>
      <c r="Y4440">
        <v>-1.213964E-2</v>
      </c>
      <c r="Z4440">
        <v>9.5227310000000004E-4</v>
      </c>
      <c r="AA4440">
        <v>0.99992590000000003</v>
      </c>
      <c r="AB4440">
        <v>37</v>
      </c>
      <c r="AC4440">
        <v>-16.9315</v>
      </c>
      <c r="AD4440">
        <v>-1.1080713522059999</v>
      </c>
      <c r="AE4440">
        <v>-0.56600000000000195</v>
      </c>
      <c r="AF4440">
        <v>-0.209758261095012</v>
      </c>
      <c r="AG4440">
        <v>-1.1080713522059999</v>
      </c>
      <c r="AH4440">
        <v>16.867485723012699</v>
      </c>
      <c r="AI4440">
        <v>93.758226525122197</v>
      </c>
      <c r="AJ4440">
        <v>90.712473916380304</v>
      </c>
      <c r="AK4440">
        <v>16.905144047470099</v>
      </c>
      <c r="AL4440">
        <v>81.507925901164697</v>
      </c>
      <c r="AM4440">
        <v>87.7161455563012</v>
      </c>
      <c r="AN4440">
        <v>1.0000000263173301</v>
      </c>
    </row>
    <row r="4441" spans="1:40" x14ac:dyDescent="0.25">
      <c r="A4441" t="str">
        <f>"20190312164116401"</f>
        <v>20190312164116401</v>
      </c>
      <c r="B4441" t="str">
        <f>"1552380076390120"</f>
        <v>1552380076390120</v>
      </c>
      <c r="C4441" t="s">
        <v>40</v>
      </c>
      <c r="D4441">
        <v>5.2646369999999996</v>
      </c>
      <c r="E4441">
        <v>0.48588150000000002</v>
      </c>
      <c r="F4441" t="s">
        <v>41</v>
      </c>
      <c r="G4441">
        <v>-253.3604</v>
      </c>
      <c r="H4441" s="1">
        <v>-3.196308E-6</v>
      </c>
      <c r="I4441">
        <v>140.99039999999999</v>
      </c>
      <c r="J4441">
        <v>-236.4111</v>
      </c>
      <c r="K4441">
        <v>1.1080399999999999</v>
      </c>
      <c r="L4441">
        <v>141.5343</v>
      </c>
      <c r="M4441">
        <v>-0.99978610000000001</v>
      </c>
      <c r="N4441">
        <v>0</v>
      </c>
      <c r="O4441">
        <v>-1.9923409999999999E-2</v>
      </c>
      <c r="P4441">
        <v>-0.9896414</v>
      </c>
      <c r="Q4441">
        <v>0.14235519999999999</v>
      </c>
      <c r="R4441">
        <v>1.8581670000000002E-2</v>
      </c>
      <c r="S4441">
        <v>-3.0613100000000002</v>
      </c>
      <c r="T4441">
        <v>-0.1960268</v>
      </c>
      <c r="U4441">
        <v>-9.7366330000000001E-2</v>
      </c>
      <c r="V4441">
        <v>3.866385E-2</v>
      </c>
      <c r="W4441">
        <v>0.1477504</v>
      </c>
      <c r="X4441">
        <v>0.9882687</v>
      </c>
      <c r="Y4441">
        <v>-1.188586E-2</v>
      </c>
      <c r="Z4441">
        <v>8.9393519999999996E-4</v>
      </c>
      <c r="AA4441">
        <v>0.99992899999999996</v>
      </c>
      <c r="AB4441">
        <v>37</v>
      </c>
      <c r="AC4441">
        <v>-16.949299999999901</v>
      </c>
      <c r="AD4441">
        <v>-1.108043196308</v>
      </c>
      <c r="AE4441">
        <v>-0.54390000000000704</v>
      </c>
      <c r="AF4441">
        <v>-0.205222811625764</v>
      </c>
      <c r="AG4441">
        <v>-1.108043196308</v>
      </c>
      <c r="AH4441">
        <v>16.884685311112001</v>
      </c>
      <c r="AI4441">
        <v>93.754326980285995</v>
      </c>
      <c r="AJ4441">
        <v>90.696360150175906</v>
      </c>
      <c r="AK4441">
        <v>16.922247905717999</v>
      </c>
      <c r="AL4441">
        <v>81.503419041063196</v>
      </c>
      <c r="AM4441">
        <v>87.759570618618994</v>
      </c>
      <c r="AN4441">
        <v>1.00000004869833</v>
      </c>
    </row>
    <row r="4442" spans="1:40" x14ac:dyDescent="0.25">
      <c r="A4442" t="str">
        <f>"20190312164116422"</f>
        <v>20190312164116422</v>
      </c>
      <c r="B4442" t="str">
        <f>"1552380076410619"</f>
        <v>1552380076410619</v>
      </c>
      <c r="C4442" t="s">
        <v>40</v>
      </c>
      <c r="D4442">
        <v>5.2042799999999998</v>
      </c>
      <c r="E4442">
        <v>0.48589759999999999</v>
      </c>
      <c r="F4442" t="s">
        <v>41</v>
      </c>
      <c r="G4442">
        <v>-253.75839999999999</v>
      </c>
      <c r="H4442" s="1">
        <v>-3.025779E-6</v>
      </c>
      <c r="I4442">
        <v>140.99109999999999</v>
      </c>
      <c r="J4442">
        <v>-236.7689</v>
      </c>
      <c r="K4442">
        <v>1.1080080000000001</v>
      </c>
      <c r="L4442">
        <v>141.52799999999999</v>
      </c>
      <c r="M4442">
        <v>-0.999807</v>
      </c>
      <c r="N4442">
        <v>0</v>
      </c>
      <c r="O4442">
        <v>-1.8857079999999998E-2</v>
      </c>
      <c r="P4442">
        <v>-0.98958860000000004</v>
      </c>
      <c r="Q4442">
        <v>0.14257609999999901</v>
      </c>
      <c r="R4442">
        <v>1.966617E-2</v>
      </c>
      <c r="S4442">
        <v>-3.0613250000000001</v>
      </c>
      <c r="T4442">
        <v>-0.19554079999999999</v>
      </c>
      <c r="U4442">
        <v>-9.5840449999999994E-2</v>
      </c>
      <c r="V4442">
        <v>3.87008E-2</v>
      </c>
      <c r="W4442">
        <v>0.1479433</v>
      </c>
      <c r="X4442">
        <v>0.98823830000000001</v>
      </c>
      <c r="Y4442">
        <v>-1.2450859999999999E-2</v>
      </c>
      <c r="Z4442">
        <v>8.0569940000000003E-4</v>
      </c>
      <c r="AA4442">
        <v>0.99992219999999998</v>
      </c>
      <c r="AB4442">
        <v>37</v>
      </c>
      <c r="AC4442">
        <v>-16.9894999999999</v>
      </c>
      <c r="AD4442">
        <v>-1.1080110257789999</v>
      </c>
      <c r="AE4442">
        <v>-0.53690000000000204</v>
      </c>
      <c r="AF4442">
        <v>-0.215511581561525</v>
      </c>
      <c r="AG4442">
        <v>-1.1080110257789999</v>
      </c>
      <c r="AH4442">
        <v>16.924689395845</v>
      </c>
      <c r="AI4442">
        <v>93.745342996488802</v>
      </c>
      <c r="AJ4442">
        <v>90.729539931748405</v>
      </c>
      <c r="AK4442">
        <v>16.9622889027649</v>
      </c>
      <c r="AL4442">
        <v>81.492243068504095</v>
      </c>
      <c r="AM4442">
        <v>87.757362770600494</v>
      </c>
      <c r="AN4442">
        <v>0.99999995476120895</v>
      </c>
    </row>
    <row r="4443" spans="1:40" x14ac:dyDescent="0.25">
      <c r="A4443" t="str">
        <f>"20190312164116445"</f>
        <v>20190312164116445</v>
      </c>
      <c r="B4443" t="str">
        <f>"1552380076440403"</f>
        <v>1552380076440403</v>
      </c>
      <c r="C4443" t="s">
        <v>40</v>
      </c>
      <c r="D4443">
        <v>5.3473810000000004</v>
      </c>
      <c r="E4443">
        <v>0.4861741</v>
      </c>
      <c r="F4443" t="s">
        <v>41</v>
      </c>
      <c r="G4443">
        <v>-254.196</v>
      </c>
      <c r="H4443" s="1">
        <v>-2.8413100000000001E-6</v>
      </c>
      <c r="I4443">
        <v>141.0035</v>
      </c>
      <c r="J4443">
        <v>-237.14859999999999</v>
      </c>
      <c r="K4443">
        <v>1.1079889999999999</v>
      </c>
      <c r="L4443">
        <v>141.52170000000001</v>
      </c>
      <c r="M4443">
        <v>-0.99982789999999999</v>
      </c>
      <c r="N4443">
        <v>0</v>
      </c>
      <c r="O4443">
        <v>-1.7724609999999998E-2</v>
      </c>
      <c r="P4443">
        <v>-0.98950819999999995</v>
      </c>
      <c r="Q4443">
        <v>0.1429936</v>
      </c>
      <c r="R4443">
        <v>2.0657060000000001E-2</v>
      </c>
      <c r="S4443">
        <v>-3.0614469999999998</v>
      </c>
      <c r="T4443">
        <v>-0.19464619999999999</v>
      </c>
      <c r="U4443">
        <v>-9.2132569999999997E-2</v>
      </c>
      <c r="V4443">
        <v>3.8578290000000001E-2</v>
      </c>
      <c r="W4443">
        <v>0.14833370000000001</v>
      </c>
      <c r="X4443">
        <v>0.98818459999999997</v>
      </c>
      <c r="Y4443">
        <v>-1.237005E-2</v>
      </c>
      <c r="Z4443">
        <v>7.3267729999999896E-4</v>
      </c>
      <c r="AA4443">
        <v>0.99992320000000001</v>
      </c>
      <c r="AB4443">
        <v>37</v>
      </c>
      <c r="AC4443">
        <v>-17.0474</v>
      </c>
      <c r="AD4443">
        <v>-1.1079918413099901</v>
      </c>
      <c r="AE4443">
        <v>-0.51820000000000699</v>
      </c>
      <c r="AF4443">
        <v>-0.21504794880125699</v>
      </c>
      <c r="AG4443">
        <v>-1.1079918413099901</v>
      </c>
      <c r="AH4443">
        <v>16.982234749189502</v>
      </c>
      <c r="AI4443">
        <v>93.732626493009803</v>
      </c>
      <c r="AJ4443">
        <v>90.725504123033204</v>
      </c>
      <c r="AK4443">
        <v>17.019700015490098</v>
      </c>
      <c r="AL4443">
        <v>81.469625524080797</v>
      </c>
      <c r="AM4443">
        <v>87.7643334151998</v>
      </c>
      <c r="AN4443">
        <v>0.99999998734608697</v>
      </c>
    </row>
    <row r="4444" spans="1:40" x14ac:dyDescent="0.25">
      <c r="A4444" t="str">
        <f>"20190312164116468"</f>
        <v>20190312164116468</v>
      </c>
      <c r="B4444" t="str">
        <f>"1552380076460899"</f>
        <v>1552380076460899</v>
      </c>
      <c r="C4444" t="s">
        <v>40</v>
      </c>
      <c r="D4444">
        <v>5.2152799999999999</v>
      </c>
      <c r="E4444">
        <v>0.4862013</v>
      </c>
      <c r="F4444" t="s">
        <v>41</v>
      </c>
      <c r="G4444">
        <v>-254.56880000000001</v>
      </c>
      <c r="H4444" s="1">
        <v>-2.687703E-6</v>
      </c>
      <c r="I4444">
        <v>141.0273</v>
      </c>
      <c r="J4444">
        <v>-237.54</v>
      </c>
      <c r="K4444">
        <v>1.1079650000000001</v>
      </c>
      <c r="L4444">
        <v>141.51570000000001</v>
      </c>
      <c r="M4444">
        <v>-0.99984790000000001</v>
      </c>
      <c r="N4444">
        <v>0</v>
      </c>
      <c r="O4444">
        <v>-1.6559609999999999E-2</v>
      </c>
      <c r="P4444">
        <v>-0.98944829999999995</v>
      </c>
      <c r="Q4444">
        <v>0.14332059999999999</v>
      </c>
      <c r="R4444">
        <v>2.1247970000000001E-2</v>
      </c>
      <c r="S4444">
        <v>-3.061798</v>
      </c>
      <c r="T4444">
        <v>-0.19474240000000001</v>
      </c>
      <c r="U4444">
        <v>-8.6898799999999998E-2</v>
      </c>
      <c r="V4444">
        <v>3.8023069999999999E-2</v>
      </c>
      <c r="W4444">
        <v>0.14863699999999999</v>
      </c>
      <c r="X4444">
        <v>0.98816059999999994</v>
      </c>
      <c r="Y4444">
        <v>-1.182268E-2</v>
      </c>
      <c r="Z4444">
        <v>6.7637049999999998E-4</v>
      </c>
      <c r="AA4444">
        <v>0.99992990000000004</v>
      </c>
      <c r="AB4444">
        <v>38</v>
      </c>
      <c r="AC4444">
        <v>-17.0288</v>
      </c>
      <c r="AD4444">
        <v>-1.10796768770299</v>
      </c>
      <c r="AE4444">
        <v>-0.48840000000001199</v>
      </c>
      <c r="AF4444">
        <v>-0.205469405334267</v>
      </c>
      <c r="AG4444">
        <v>-1.10796768770299</v>
      </c>
      <c r="AH4444">
        <v>16.9628020054272</v>
      </c>
      <c r="AI4444">
        <v>93.736834676466501</v>
      </c>
      <c r="AJ4444">
        <v>90.693986407635904</v>
      </c>
      <c r="AK4444">
        <v>17.000190056256699</v>
      </c>
      <c r="AL4444">
        <v>81.452053381010998</v>
      </c>
      <c r="AM4444">
        <v>87.796423787011193</v>
      </c>
      <c r="AN4444">
        <v>1.00000004150679</v>
      </c>
    </row>
    <row r="4445" spans="1:40" x14ac:dyDescent="0.25">
      <c r="A4445" t="str">
        <f>"20190312164116501"</f>
        <v>20190312164116501</v>
      </c>
      <c r="B4445" t="str">
        <f>"1552380076490179"</f>
        <v>1552380076490179</v>
      </c>
      <c r="C4445" t="s">
        <v>40</v>
      </c>
      <c r="D4445">
        <v>5.2235370000000003</v>
      </c>
      <c r="E4445">
        <v>0.48639779999999999</v>
      </c>
      <c r="F4445" t="s">
        <v>41</v>
      </c>
      <c r="G4445">
        <v>-255.06890000000001</v>
      </c>
      <c r="H4445" s="1">
        <v>-2.4736400000000002E-6</v>
      </c>
      <c r="I4445">
        <v>141.029</v>
      </c>
      <c r="J4445">
        <v>-238.1</v>
      </c>
      <c r="K4445">
        <v>1.1079380000000001</v>
      </c>
      <c r="L4445">
        <v>141.50790000000001</v>
      </c>
      <c r="M4445">
        <v>-0.99987409999999999</v>
      </c>
      <c r="N4445">
        <v>0</v>
      </c>
      <c r="O4445">
        <v>-1.4906920000000001E-2</v>
      </c>
      <c r="P4445">
        <v>-0.9893573</v>
      </c>
      <c r="Q4445">
        <v>0.1437206</v>
      </c>
      <c r="R4445">
        <v>2.27353E-2</v>
      </c>
      <c r="S4445">
        <v>-3.0618590000000001</v>
      </c>
      <c r="T4445">
        <v>-0.19353429999999999</v>
      </c>
      <c r="U4445">
        <v>-8.5006709999999999E-2</v>
      </c>
      <c r="V4445">
        <v>3.7881749999999999E-2</v>
      </c>
      <c r="W4445">
        <v>0.14900329999999901</v>
      </c>
      <c r="X4445">
        <v>0.98811079999999996</v>
      </c>
      <c r="Y4445">
        <v>-1.285203E-2</v>
      </c>
      <c r="Z4445">
        <v>5.3536359999999995E-4</v>
      </c>
      <c r="AA4445">
        <v>0.99991730000000001</v>
      </c>
      <c r="AB4445">
        <v>38</v>
      </c>
      <c r="AC4445">
        <v>-16.968900000000001</v>
      </c>
      <c r="AD4445">
        <v>-1.10794047363999</v>
      </c>
      <c r="AE4445">
        <v>-0.47890000000000998</v>
      </c>
      <c r="AF4445">
        <v>-0.22493087170989801</v>
      </c>
      <c r="AG4445">
        <v>-1.10794047363999</v>
      </c>
      <c r="AH4445">
        <v>16.902155261801301</v>
      </c>
      <c r="AI4445">
        <v>93.750056012854003</v>
      </c>
      <c r="AJ4445">
        <v>90.762437021970598</v>
      </c>
      <c r="AK4445">
        <v>16.9399226233243</v>
      </c>
      <c r="AL4445">
        <v>81.430829079546697</v>
      </c>
      <c r="AM4445">
        <v>87.804495232065094</v>
      </c>
      <c r="AN4445">
        <v>0.99999998173529603</v>
      </c>
    </row>
    <row r="4446" spans="1:40" x14ac:dyDescent="0.25">
      <c r="A4446" t="str">
        <f>"20190312164116522"</f>
        <v>20190312164116522</v>
      </c>
      <c r="B4446" t="str">
        <f>"1552380076510689"</f>
        <v>1552380076510689</v>
      </c>
      <c r="C4446" t="s">
        <v>40</v>
      </c>
      <c r="D4446">
        <v>5.1588180000000001</v>
      </c>
      <c r="E4446">
        <v>0.50103160000000002</v>
      </c>
      <c r="F4446" t="s">
        <v>41</v>
      </c>
      <c r="G4446">
        <v>-255.76349999999999</v>
      </c>
      <c r="H4446" s="1">
        <v>-2.1832640000000002E-6</v>
      </c>
      <c r="I4446">
        <v>141.05760000000001</v>
      </c>
      <c r="J4446">
        <v>-238.4511</v>
      </c>
      <c r="K4446">
        <v>1.1079270000000001</v>
      </c>
      <c r="L4446">
        <v>141.5035</v>
      </c>
      <c r="M4446">
        <v>-0.99988900000000003</v>
      </c>
      <c r="N4446">
        <v>0</v>
      </c>
      <c r="O4446">
        <v>-1.388824E-2</v>
      </c>
      <c r="P4446">
        <v>-0.98934580000000005</v>
      </c>
      <c r="Q4446">
        <v>0.14372309999999999</v>
      </c>
      <c r="R4446">
        <v>2.322138E-2</v>
      </c>
      <c r="S4446">
        <v>-3.061966</v>
      </c>
      <c r="T4446">
        <v>-0.1920617</v>
      </c>
      <c r="U4446">
        <v>-7.8048709999999993E-2</v>
      </c>
      <c r="V4446">
        <v>3.7361499999999999E-2</v>
      </c>
      <c r="W4446">
        <v>0.14898919999999999</v>
      </c>
      <c r="X4446">
        <v>0.98813280000000003</v>
      </c>
      <c r="Y4446">
        <v>-1.159956E-2</v>
      </c>
      <c r="Z4446">
        <v>5.0672179999999996E-4</v>
      </c>
      <c r="AA4446">
        <v>0.99993259999999995</v>
      </c>
      <c r="AB4446">
        <v>38</v>
      </c>
      <c r="AC4446">
        <v>-17.312399999999901</v>
      </c>
      <c r="AD4446">
        <v>-1.1079291832639999</v>
      </c>
      <c r="AE4446">
        <v>-0.44589999999999402</v>
      </c>
      <c r="AF4446">
        <v>-0.204577431901864</v>
      </c>
      <c r="AG4446">
        <v>-1.1079291832639999</v>
      </c>
      <c r="AH4446">
        <v>17.246337133412901</v>
      </c>
      <c r="AI4446">
        <v>93.675453404382296</v>
      </c>
      <c r="AJ4446">
        <v>90.679615249176607</v>
      </c>
      <c r="AK4446">
        <v>17.2830987823396</v>
      </c>
      <c r="AL4446">
        <v>81.431646632194003</v>
      </c>
      <c r="AM4446">
        <v>87.834666516226903</v>
      </c>
      <c r="AN4446">
        <v>1.00000004691736</v>
      </c>
    </row>
    <row r="4447" spans="1:40" x14ac:dyDescent="0.25">
      <c r="A4447" t="str">
        <f>"20190312164116548"</f>
        <v>20190312164116548</v>
      </c>
      <c r="B4447" t="str">
        <f>"1552380076540461"</f>
        <v>1552380076540461</v>
      </c>
      <c r="C4447" t="s">
        <v>40</v>
      </c>
      <c r="D4447">
        <v>5.5265950000000004</v>
      </c>
      <c r="E4447">
        <v>0.50294939999999999</v>
      </c>
      <c r="F4447" t="s">
        <v>42</v>
      </c>
      <c r="G4447">
        <v>-239.4496</v>
      </c>
      <c r="H4447">
        <v>1.0307489999999999</v>
      </c>
      <c r="I4447">
        <v>141.51599999999999</v>
      </c>
      <c r="J4447">
        <v>-238.8871</v>
      </c>
      <c r="K4447">
        <v>1.1079239999999999</v>
      </c>
      <c r="L4447">
        <v>141.4984</v>
      </c>
      <c r="M4447">
        <v>-0.9999055</v>
      </c>
      <c r="N4447">
        <v>0</v>
      </c>
      <c r="O4447">
        <v>-1.2646070000000001E-2</v>
      </c>
      <c r="P4447">
        <v>-0.9892166</v>
      </c>
      <c r="Q4447">
        <v>0.14444419999999999</v>
      </c>
      <c r="R4447">
        <v>2.4220330000000002E-2</v>
      </c>
      <c r="S4447">
        <v>-3.065842</v>
      </c>
      <c r="T4447">
        <v>-0.2369937</v>
      </c>
      <c r="U4447">
        <v>3.7567139999999999E-2</v>
      </c>
      <c r="V4447">
        <v>3.7131259999999999E-2</v>
      </c>
      <c r="W4447">
        <v>0.14969360000000001</v>
      </c>
      <c r="X4447">
        <v>0.988035</v>
      </c>
      <c r="Y4447">
        <v>2.4785209999999998E-2</v>
      </c>
      <c r="Z4447">
        <v>1.932582E-3</v>
      </c>
      <c r="AA4447">
        <v>0.99969090000000005</v>
      </c>
      <c r="AB4447">
        <v>38</v>
      </c>
      <c r="AC4447">
        <v>-0.5625</v>
      </c>
      <c r="AD4447">
        <v>-7.7174999999999994E-2</v>
      </c>
      <c r="AE4447">
        <v>1.75999999999874E-2</v>
      </c>
      <c r="AF4447">
        <v>2.4255966473628401E-2</v>
      </c>
      <c r="AG4447">
        <v>-7.7174999999999994E-2</v>
      </c>
      <c r="AH4447">
        <v>0.55185458197565795</v>
      </c>
      <c r="AI4447">
        <v>97.953410779849193</v>
      </c>
      <c r="AJ4447">
        <v>87.483267114864304</v>
      </c>
      <c r="AK4447">
        <v>0.55775246497178099</v>
      </c>
      <c r="AL4447">
        <v>81.390829630538505</v>
      </c>
      <c r="AM4447">
        <v>87.847784970560795</v>
      </c>
      <c r="AN4447">
        <v>1.00000003278757</v>
      </c>
    </row>
    <row r="4448" spans="1:40" x14ac:dyDescent="0.25">
      <c r="A4448" t="str">
        <f>"20190312164116568"</f>
        <v>20190312164116568</v>
      </c>
      <c r="B4448" t="str">
        <f>"1552380076560959"</f>
        <v>1552380076560959</v>
      </c>
      <c r="C4448" t="s">
        <v>40</v>
      </c>
      <c r="D4448">
        <v>5.2462730000000004</v>
      </c>
      <c r="E4448">
        <v>0.50342149999999997</v>
      </c>
      <c r="F4448" t="s">
        <v>42</v>
      </c>
      <c r="G4448">
        <v>-239.8015</v>
      </c>
      <c r="H4448">
        <v>1.0478160000000001</v>
      </c>
      <c r="I4448">
        <v>141.51599999999999</v>
      </c>
      <c r="J4448">
        <v>-239.25190000000001</v>
      </c>
      <c r="K4448">
        <v>1.1079289999999999</v>
      </c>
      <c r="L4448">
        <v>141.49459999999999</v>
      </c>
      <c r="M4448">
        <v>-0.99991770000000002</v>
      </c>
      <c r="N4448">
        <v>0</v>
      </c>
      <c r="O4448">
        <v>-1.1633640000000001E-2</v>
      </c>
      <c r="P4448">
        <v>-0.98912639999999996</v>
      </c>
      <c r="Q4448">
        <v>0.14490890000000001</v>
      </c>
      <c r="R4448">
        <v>2.5107150000000002E-2</v>
      </c>
      <c r="S4448">
        <v>-3.060654</v>
      </c>
      <c r="T4448">
        <v>-0.20119400000000001</v>
      </c>
      <c r="U4448">
        <v>5.851746E-2</v>
      </c>
      <c r="V4448">
        <v>3.7014060000000001E-2</v>
      </c>
      <c r="W4448">
        <v>0.15014859999999999</v>
      </c>
      <c r="X4448">
        <v>0.98797040000000003</v>
      </c>
      <c r="Y4448">
        <v>3.065493E-2</v>
      </c>
      <c r="Z4448">
        <v>1.770254E-3</v>
      </c>
      <c r="AA4448">
        <v>0.99952850000000004</v>
      </c>
      <c r="AB4448">
        <v>38</v>
      </c>
      <c r="AC4448">
        <v>-0.54959999999999798</v>
      </c>
      <c r="AD4448">
        <v>-6.0113E-2</v>
      </c>
      <c r="AE4448">
        <v>2.1399999999999801E-2</v>
      </c>
      <c r="AF4448">
        <v>2.7464431738515399E-2</v>
      </c>
      <c r="AG4448">
        <v>-6.0113E-2</v>
      </c>
      <c r="AH4448">
        <v>0.542829751942285</v>
      </c>
      <c r="AI4448">
        <v>96.311183162346396</v>
      </c>
      <c r="AJ4448">
        <v>87.1035939781396</v>
      </c>
      <c r="AK4448">
        <v>0.54683819121696498</v>
      </c>
      <c r="AL4448">
        <v>81.364462428771105</v>
      </c>
      <c r="AM4448">
        <v>87.854431648571307</v>
      </c>
      <c r="AN4448">
        <v>1.0000000769978901</v>
      </c>
    </row>
    <row r="4449" spans="1:40" x14ac:dyDescent="0.25">
      <c r="A4449" t="str">
        <f>"20190312164116591"</f>
        <v>20190312164116591</v>
      </c>
      <c r="B4449" t="str">
        <f>"1552380076580477"</f>
        <v>1552380076580477</v>
      </c>
      <c r="C4449" t="s">
        <v>40</v>
      </c>
      <c r="D4449">
        <v>5.3418769999999904</v>
      </c>
      <c r="E4449">
        <v>0.50447719999999996</v>
      </c>
      <c r="F4449" t="s">
        <v>42</v>
      </c>
      <c r="G4449">
        <v>-240.14330000000001</v>
      </c>
      <c r="H4449">
        <v>1.046667</v>
      </c>
      <c r="I4449">
        <v>141.5138</v>
      </c>
      <c r="J4449">
        <v>-239.636</v>
      </c>
      <c r="K4449">
        <v>1.107942</v>
      </c>
      <c r="L4449">
        <v>141.49090000000001</v>
      </c>
      <c r="M4449">
        <v>-0.99992919999999996</v>
      </c>
      <c r="N4449">
        <v>0</v>
      </c>
      <c r="O4449">
        <v>-1.060289E-2</v>
      </c>
      <c r="P4449">
        <v>-0.98911459999999995</v>
      </c>
      <c r="Q4449">
        <v>0.1447146</v>
      </c>
      <c r="R4449">
        <v>2.6648479999999999E-2</v>
      </c>
      <c r="S4449">
        <v>-3.062195</v>
      </c>
      <c r="T4449">
        <v>-0.21050430000000001</v>
      </c>
      <c r="U4449">
        <v>6.480408E-2</v>
      </c>
      <c r="V4449">
        <v>3.7529519999999997E-2</v>
      </c>
      <c r="W4449">
        <v>0.14994679999999999</v>
      </c>
      <c r="X4449">
        <v>0.98798160000000002</v>
      </c>
      <c r="Y4449">
        <v>3.1657669999999999E-2</v>
      </c>
      <c r="Z4449">
        <v>1.8146709999999999E-3</v>
      </c>
      <c r="AA4449">
        <v>0.99949710000000003</v>
      </c>
      <c r="AB4449">
        <v>38</v>
      </c>
      <c r="AC4449">
        <v>-0.50730000000001496</v>
      </c>
      <c r="AD4449">
        <v>-6.1274999999999899E-2</v>
      </c>
      <c r="AE4449">
        <v>2.2899999999992801E-2</v>
      </c>
      <c r="AF4449">
        <v>2.7871831361396201E-2</v>
      </c>
      <c r="AG4449">
        <v>-6.1274999999999899E-2</v>
      </c>
      <c r="AH4449">
        <v>0.49975242054505598</v>
      </c>
      <c r="AI4449">
        <v>96.979448002510296</v>
      </c>
      <c r="AJ4449">
        <v>86.807848051624603</v>
      </c>
      <c r="AK4449">
        <v>0.50426574982748995</v>
      </c>
      <c r="AL4449">
        <v>81.376157095624194</v>
      </c>
      <c r="AM4449">
        <v>87.824605484158297</v>
      </c>
      <c r="AN4449">
        <v>1.0000000748201101</v>
      </c>
    </row>
    <row r="4450" spans="1:40" x14ac:dyDescent="0.25">
      <c r="A4450" t="str">
        <f>"20190312164116611"</f>
        <v>20190312164116611</v>
      </c>
      <c r="B4450" t="str">
        <f>"1552380076600977"</f>
        <v>1552380076600977</v>
      </c>
      <c r="C4450" t="s">
        <v>40</v>
      </c>
      <c r="D4450">
        <v>5.3101659999999997</v>
      </c>
      <c r="E4450">
        <v>0.50487179999999998</v>
      </c>
      <c r="F4450" t="s">
        <v>42</v>
      </c>
      <c r="G4450">
        <v>-240.48859999999999</v>
      </c>
      <c r="H4450">
        <v>1.048333</v>
      </c>
      <c r="I4450">
        <v>141.5127</v>
      </c>
      <c r="J4450">
        <v>-239.9984</v>
      </c>
      <c r="K4450">
        <v>1.1079600000000001</v>
      </c>
      <c r="L4450">
        <v>141.48779999999999</v>
      </c>
      <c r="M4450">
        <v>-0.99993869999999896</v>
      </c>
      <c r="N4450">
        <v>0</v>
      </c>
      <c r="O4450">
        <v>-9.6712220000000002E-3</v>
      </c>
      <c r="P4450">
        <v>-0.98899709999999996</v>
      </c>
      <c r="Q4450">
        <v>0.14528339999999901</v>
      </c>
      <c r="R4450">
        <v>2.788175E-2</v>
      </c>
      <c r="S4450">
        <v>-3.0622099999999999</v>
      </c>
      <c r="T4450">
        <v>-0.21410009999999999</v>
      </c>
      <c r="U4450">
        <v>7.7865599999999993E-2</v>
      </c>
      <c r="V4450">
        <v>3.7833579999999999E-2</v>
      </c>
      <c r="W4450">
        <v>0.15051059999999999</v>
      </c>
      <c r="X4450">
        <v>0.98788419999999999</v>
      </c>
      <c r="Y4450">
        <v>3.4977800000000003E-2</v>
      </c>
      <c r="Z4450">
        <v>1.8963529999999999E-3</v>
      </c>
      <c r="AA4450">
        <v>0.99938629999999995</v>
      </c>
      <c r="AB4450">
        <v>38</v>
      </c>
      <c r="AC4450">
        <v>-0.49019999999998698</v>
      </c>
      <c r="AD4450">
        <v>-5.9627000000000097E-2</v>
      </c>
      <c r="AE4450">
        <v>2.4900000000002299E-2</v>
      </c>
      <c r="AF4450">
        <v>2.92086829023404E-2</v>
      </c>
      <c r="AG4450">
        <v>-5.9627000000000097E-2</v>
      </c>
      <c r="AH4450">
        <v>0.48281105166282301</v>
      </c>
      <c r="AI4450">
        <v>97.027640384883696</v>
      </c>
      <c r="AJ4450">
        <v>86.537989211659493</v>
      </c>
      <c r="AK4450">
        <v>0.48735514554957898</v>
      </c>
      <c r="AL4450">
        <v>81.343482331356995</v>
      </c>
      <c r="AM4450">
        <v>87.806781811922505</v>
      </c>
      <c r="AN4450">
        <v>1.0000000065487999</v>
      </c>
    </row>
    <row r="4451" spans="1:40" x14ac:dyDescent="0.25">
      <c r="A4451" t="str">
        <f>"20190312164116633"</f>
        <v>20190312164116633</v>
      </c>
      <c r="B4451" t="str">
        <f>"1552380076630759"</f>
        <v>1552380076630759</v>
      </c>
      <c r="C4451" t="s">
        <v>40</v>
      </c>
      <c r="D4451">
        <v>5.1596859999999998</v>
      </c>
      <c r="E4451">
        <v>0.50442299999999995</v>
      </c>
      <c r="F4451" t="s">
        <v>42</v>
      </c>
      <c r="G4451">
        <v>-240.83439999999999</v>
      </c>
      <c r="H4451">
        <v>1.049393</v>
      </c>
      <c r="I4451">
        <v>141.5112</v>
      </c>
      <c r="J4451">
        <v>-240.37629999999999</v>
      </c>
      <c r="K4451">
        <v>1.1079859999999999</v>
      </c>
      <c r="L4451">
        <v>141.48480000000001</v>
      </c>
      <c r="M4451">
        <v>-0.99994740000000004</v>
      </c>
      <c r="N4451">
        <v>0</v>
      </c>
      <c r="O4451">
        <v>-8.7473310000000006E-3</v>
      </c>
      <c r="P4451">
        <v>-0.98894519999999997</v>
      </c>
      <c r="Q4451">
        <v>0.14539969999999999</v>
      </c>
      <c r="R4451">
        <v>2.909082E-2</v>
      </c>
      <c r="S4451">
        <v>-3.0625149999999999</v>
      </c>
      <c r="T4451">
        <v>-0.2146295</v>
      </c>
      <c r="U4451">
        <v>8.5083010000000001E-2</v>
      </c>
      <c r="V4451">
        <v>3.8117829999999998E-2</v>
      </c>
      <c r="W4451">
        <v>0.150622799999999</v>
      </c>
      <c r="X4451">
        <v>0.98785610000000001</v>
      </c>
      <c r="Y4451">
        <v>3.6403720000000001E-2</v>
      </c>
      <c r="Z4451">
        <v>1.8860190000000001E-3</v>
      </c>
      <c r="AA4451">
        <v>0.99933539999999998</v>
      </c>
      <c r="AB4451">
        <v>38</v>
      </c>
      <c r="AC4451">
        <v>-0.45810000000000101</v>
      </c>
      <c r="AD4451">
        <v>-5.8593000000000103E-2</v>
      </c>
      <c r="AE4451">
        <v>2.6399999999995299E-2</v>
      </c>
      <c r="AF4451">
        <v>2.9918369361607099E-2</v>
      </c>
      <c r="AG4451">
        <v>-5.8593000000000103E-2</v>
      </c>
      <c r="AH4451">
        <v>0.450505870981108</v>
      </c>
      <c r="AI4451">
        <v>97.394211702165904</v>
      </c>
      <c r="AJ4451">
        <v>86.200531507065406</v>
      </c>
      <c r="AK4451">
        <v>0.45528429388976799</v>
      </c>
      <c r="AL4451">
        <v>81.336978993416096</v>
      </c>
      <c r="AM4451">
        <v>87.790257278071905</v>
      </c>
      <c r="AN4451">
        <v>0.99999993557547695</v>
      </c>
    </row>
    <row r="4452" spans="1:40" x14ac:dyDescent="0.25">
      <c r="A4452" t="str">
        <f>"20190312164116659"</f>
        <v>20190312164116659</v>
      </c>
      <c r="B4452" t="str">
        <f>"1552380076650279"</f>
        <v>1552380076650279</v>
      </c>
      <c r="C4452" t="s">
        <v>40</v>
      </c>
      <c r="D4452">
        <v>5.1516479999999998</v>
      </c>
      <c r="E4452">
        <v>0.50408640000000005</v>
      </c>
      <c r="F4452" t="s">
        <v>42</v>
      </c>
      <c r="G4452">
        <v>-241.18379999999999</v>
      </c>
      <c r="H4452">
        <v>1.0530969999999999</v>
      </c>
      <c r="I4452">
        <v>141.5077</v>
      </c>
      <c r="J4452">
        <v>-240.79390000000001</v>
      </c>
      <c r="K4452">
        <v>1.1080190000000001</v>
      </c>
      <c r="L4452">
        <v>141.4819</v>
      </c>
      <c r="M4452">
        <v>-0.99995520000000004</v>
      </c>
      <c r="N4452">
        <v>0</v>
      </c>
      <c r="O4452">
        <v>-7.7840169999999998E-3</v>
      </c>
      <c r="P4452">
        <v>-0.98892590000000002</v>
      </c>
      <c r="Q4452">
        <v>0.14537630000000001</v>
      </c>
      <c r="R4452">
        <v>2.985092E-2</v>
      </c>
      <c r="S4452">
        <v>-3.0616150000000002</v>
      </c>
      <c r="T4452">
        <v>-0.20812449999999999</v>
      </c>
      <c r="U4452">
        <v>8.6257929999999997E-2</v>
      </c>
      <c r="V4452">
        <v>3.7911090000000001E-2</v>
      </c>
      <c r="W4452">
        <v>0.15059879999999901</v>
      </c>
      <c r="X4452">
        <v>0.98786779999999996</v>
      </c>
      <c r="Y4452">
        <v>3.5842400000000003E-2</v>
      </c>
      <c r="Z4452">
        <v>1.745066E-3</v>
      </c>
      <c r="AA4452">
        <v>0.99935589999999996</v>
      </c>
      <c r="AB4452">
        <v>39</v>
      </c>
      <c r="AC4452">
        <v>-0.38989999999998298</v>
      </c>
      <c r="AD4452">
        <v>-5.4922000000000103E-2</v>
      </c>
      <c r="AE4452">
        <v>2.5800000000003799E-2</v>
      </c>
      <c r="AF4452">
        <v>2.8275650020316099E-2</v>
      </c>
      <c r="AG4452">
        <v>-5.4922000000000103E-2</v>
      </c>
      <c r="AH4452">
        <v>0.38213801609961101</v>
      </c>
      <c r="AI4452">
        <v>98.156713684655401</v>
      </c>
      <c r="AJ4452">
        <v>85.7682084111119</v>
      </c>
      <c r="AK4452">
        <v>0.38709869777179301</v>
      </c>
      <c r="AL4452">
        <v>81.338370693826107</v>
      </c>
      <c r="AM4452">
        <v>87.802256498009598</v>
      </c>
      <c r="AN4452">
        <v>1.0000000197916299</v>
      </c>
    </row>
    <row r="4453" spans="1:40" x14ac:dyDescent="0.25">
      <c r="A4453" t="str">
        <f>"20190312164116679"</f>
        <v>20190312164116679</v>
      </c>
      <c r="B4453" t="str">
        <f>"1552380076670775"</f>
        <v>1552380076670775</v>
      </c>
      <c r="C4453" t="s">
        <v>40</v>
      </c>
      <c r="D4453">
        <v>5.3058880000000004</v>
      </c>
      <c r="E4453">
        <v>0.50377910000000004</v>
      </c>
      <c r="F4453" t="s">
        <v>42</v>
      </c>
      <c r="G4453">
        <v>-241.8664</v>
      </c>
      <c r="H4453">
        <v>1.0350809999999999</v>
      </c>
      <c r="I4453">
        <v>141.512</v>
      </c>
      <c r="J4453">
        <v>-241.1722</v>
      </c>
      <c r="K4453">
        <v>1.1080509999999999</v>
      </c>
      <c r="L4453">
        <v>141.4796</v>
      </c>
      <c r="M4453">
        <v>-0.99996130000000005</v>
      </c>
      <c r="N4453">
        <v>0</v>
      </c>
      <c r="O4453">
        <v>-6.9727019999999999E-3</v>
      </c>
      <c r="P4453">
        <v>-0.98894329999999997</v>
      </c>
      <c r="Q4453">
        <v>0.145061</v>
      </c>
      <c r="R4453">
        <v>3.080422E-2</v>
      </c>
      <c r="S4453">
        <v>-3.0615999999999999</v>
      </c>
      <c r="T4453">
        <v>-0.20820259999999999</v>
      </c>
      <c r="U4453">
        <v>8.6151119999999998E-2</v>
      </c>
      <c r="V4453">
        <v>3.8047419999999998E-2</v>
      </c>
      <c r="W4453">
        <v>0.15028429999999901</v>
      </c>
      <c r="X4453">
        <v>0.98791039999999997</v>
      </c>
      <c r="Y4453">
        <v>3.50006E-2</v>
      </c>
      <c r="Z4453">
        <v>1.662043E-3</v>
      </c>
      <c r="AA4453">
        <v>0.99938590000000005</v>
      </c>
      <c r="AB4453">
        <v>39</v>
      </c>
      <c r="AC4453">
        <v>-0.69419999999999404</v>
      </c>
      <c r="AD4453">
        <v>-7.2970000000000201E-2</v>
      </c>
      <c r="AE4453">
        <v>3.2399999999995502E-2</v>
      </c>
      <c r="AF4453">
        <v>3.6833644656247201E-2</v>
      </c>
      <c r="AG4453">
        <v>-7.2970000000000201E-2</v>
      </c>
      <c r="AH4453">
        <v>0.68638982903318002</v>
      </c>
      <c r="AI4453">
        <v>96.059659586770593</v>
      </c>
      <c r="AJ4453">
        <v>86.928290601467396</v>
      </c>
      <c r="AK4453">
        <v>0.69123970927519895</v>
      </c>
      <c r="AL4453">
        <v>81.356597205420798</v>
      </c>
      <c r="AM4453">
        <v>87.794456120403396</v>
      </c>
      <c r="AN4453">
        <v>0.999999967711652</v>
      </c>
    </row>
    <row r="4454" spans="1:40" x14ac:dyDescent="0.25">
      <c r="A4454" t="str">
        <f>"20190312164116702"</f>
        <v>20190312164116702</v>
      </c>
      <c r="B4454" t="str">
        <f>"1552380076691275"</f>
        <v>1552380076691275</v>
      </c>
      <c r="C4454" t="s">
        <v>40</v>
      </c>
      <c r="D4454">
        <v>5.3425089999999997</v>
      </c>
      <c r="E4454">
        <v>0.5035579</v>
      </c>
      <c r="F4454" t="s">
        <v>42</v>
      </c>
      <c r="G4454">
        <v>-242.21680000000001</v>
      </c>
      <c r="H4454">
        <v>1.0377080000000001</v>
      </c>
      <c r="I4454">
        <v>141.5094</v>
      </c>
      <c r="J4454">
        <v>-241.5558</v>
      </c>
      <c r="K4454">
        <v>1.1080829999999999</v>
      </c>
      <c r="L4454">
        <v>141.47749999999999</v>
      </c>
      <c r="M4454">
        <v>-0.99996649999999998</v>
      </c>
      <c r="N4454">
        <v>0</v>
      </c>
      <c r="O4454">
        <v>-6.1964389999999998E-3</v>
      </c>
      <c r="P4454">
        <v>-0.98903059999999998</v>
      </c>
      <c r="Q4454">
        <v>0.14441789999999999</v>
      </c>
      <c r="R4454">
        <v>3.1018359999999998E-2</v>
      </c>
      <c r="S4454">
        <v>-3.0610659999999998</v>
      </c>
      <c r="T4454">
        <v>-0.20616970000000001</v>
      </c>
      <c r="U4454">
        <v>8.6700440000000004E-2</v>
      </c>
      <c r="V4454">
        <v>3.7479220000000001E-2</v>
      </c>
      <c r="W4454">
        <v>0.1496469</v>
      </c>
      <c r="X4454">
        <v>0.98802889999999999</v>
      </c>
      <c r="Y4454">
        <v>3.4413819999999998E-2</v>
      </c>
      <c r="Z4454">
        <v>1.574184E-3</v>
      </c>
      <c r="AA4454">
        <v>0.99940649999999998</v>
      </c>
      <c r="AB4454">
        <v>39</v>
      </c>
      <c r="AC4454">
        <v>-0.66100000000000103</v>
      </c>
      <c r="AD4454">
        <v>-7.0374999999999799E-2</v>
      </c>
      <c r="AE4454">
        <v>3.1900000000007298E-2</v>
      </c>
      <c r="AF4454">
        <v>3.5592774214457001E-2</v>
      </c>
      <c r="AG4454">
        <v>-7.0374999999999799E-2</v>
      </c>
      <c r="AH4454">
        <v>0.65340034655071799</v>
      </c>
      <c r="AI4454">
        <v>96.138358363942402</v>
      </c>
      <c r="AJ4454">
        <v>86.882000086799806</v>
      </c>
      <c r="AK4454">
        <v>0.65814246107805596</v>
      </c>
      <c r="AL4454">
        <v>81.393535515015202</v>
      </c>
      <c r="AM4454">
        <v>87.827622226321395</v>
      </c>
      <c r="AN4454">
        <v>0.99999999692331398</v>
      </c>
    </row>
    <row r="4455" spans="1:40" x14ac:dyDescent="0.25">
      <c r="A4455" t="str">
        <f>"20190312164116724"</f>
        <v>20190312164116724</v>
      </c>
      <c r="B4455" t="str">
        <f>"1552380076720551"</f>
        <v>1552380076720551</v>
      </c>
      <c r="C4455" t="s">
        <v>40</v>
      </c>
      <c r="D4455">
        <v>5.1788699999999999</v>
      </c>
      <c r="E4455">
        <v>0.503135</v>
      </c>
      <c r="F4455" t="s">
        <v>42</v>
      </c>
      <c r="G4455">
        <v>-242.56800000000001</v>
      </c>
      <c r="H4455">
        <v>1.0400389999999999</v>
      </c>
      <c r="I4455">
        <v>141.5061</v>
      </c>
      <c r="J4455">
        <v>-241.9365</v>
      </c>
      <c r="K4455">
        <v>1.108114</v>
      </c>
      <c r="L4455">
        <v>141.47569999999999</v>
      </c>
      <c r="M4455">
        <v>-0.99997060000000004</v>
      </c>
      <c r="N4455">
        <v>0</v>
      </c>
      <c r="O4455">
        <v>-5.4708409999999997E-3</v>
      </c>
      <c r="P4455">
        <v>-0.98906899999999998</v>
      </c>
      <c r="Q4455">
        <v>0.14408560000000001</v>
      </c>
      <c r="R4455">
        <v>3.1336360000000001E-2</v>
      </c>
      <c r="S4455">
        <v>-3.0606230000000001</v>
      </c>
      <c r="T4455">
        <v>-0.20574139999999999</v>
      </c>
      <c r="U4455">
        <v>8.6349490000000001E-2</v>
      </c>
      <c r="V4455">
        <v>3.7066219999999997E-2</v>
      </c>
      <c r="W4455">
        <v>0.14932210000000001</v>
      </c>
      <c r="X4455">
        <v>0.98809360000000002</v>
      </c>
      <c r="Y4455">
        <v>3.3582069999999999E-2</v>
      </c>
      <c r="Z4455">
        <v>1.4945169999999999E-3</v>
      </c>
      <c r="AA4455">
        <v>0.99943479999999996</v>
      </c>
      <c r="AB4455">
        <v>39</v>
      </c>
      <c r="AC4455">
        <v>-0.63149999999998796</v>
      </c>
      <c r="AD4455">
        <v>-6.8075000000000094E-2</v>
      </c>
      <c r="AE4455">
        <v>3.0400000000014402E-2</v>
      </c>
      <c r="AF4455">
        <v>3.3466430127618803E-2</v>
      </c>
      <c r="AG4455">
        <v>-6.8075000000000094E-2</v>
      </c>
      <c r="AH4455">
        <v>0.624088714875773</v>
      </c>
      <c r="AI4455">
        <v>96.216295950487606</v>
      </c>
      <c r="AJ4455">
        <v>86.930483828427498</v>
      </c>
      <c r="AK4455">
        <v>0.628681900173514</v>
      </c>
      <c r="AL4455">
        <v>81.412356496155795</v>
      </c>
      <c r="AM4455">
        <v>87.851678602586006</v>
      </c>
      <c r="AN4455">
        <v>0.99999997828722798</v>
      </c>
    </row>
    <row r="4456" spans="1:40" x14ac:dyDescent="0.25">
      <c r="A4456" t="str">
        <f>"20190312164116747"</f>
        <v>20190312164116747</v>
      </c>
      <c r="B4456" t="str">
        <f>"1552380076740578"</f>
        <v>1552380076740578</v>
      </c>
      <c r="C4456" t="s">
        <v>40</v>
      </c>
      <c r="D4456">
        <v>5.3932659999999997</v>
      </c>
      <c r="E4456">
        <v>0.50286529999999996</v>
      </c>
      <c r="F4456" t="s">
        <v>42</v>
      </c>
      <c r="G4456">
        <v>-242.92</v>
      </c>
      <c r="H4456">
        <v>1.0420830000000001</v>
      </c>
      <c r="I4456">
        <v>141.50319999999999</v>
      </c>
      <c r="J4456">
        <v>-242.35830000000001</v>
      </c>
      <c r="K4456">
        <v>1.1081510000000001</v>
      </c>
      <c r="L4456">
        <v>141.47399999999999</v>
      </c>
      <c r="M4456">
        <v>-0.99997440000000004</v>
      </c>
      <c r="N4456">
        <v>0</v>
      </c>
      <c r="O4456">
        <v>-4.7185650000000001E-3</v>
      </c>
      <c r="P4456">
        <v>-0.98907290000000003</v>
      </c>
      <c r="Q4456">
        <v>0.14408679999999999</v>
      </c>
      <c r="R4456">
        <v>3.1212960000000001E-2</v>
      </c>
      <c r="S4456">
        <v>-3.0603940000000001</v>
      </c>
      <c r="T4456">
        <v>-0.20552300000000001</v>
      </c>
      <c r="U4456">
        <v>8.5174559999999996E-2</v>
      </c>
      <c r="V4456">
        <v>3.6184679999999997E-2</v>
      </c>
      <c r="W4456">
        <v>0.14933479999999999</v>
      </c>
      <c r="X4456">
        <v>0.98812440000000001</v>
      </c>
      <c r="Y4456">
        <v>3.2453309999999999E-2</v>
      </c>
      <c r="Z4456">
        <v>1.404747E-3</v>
      </c>
      <c r="AA4456">
        <v>0.99947229999999998</v>
      </c>
      <c r="AB4456">
        <v>39</v>
      </c>
      <c r="AC4456">
        <v>-0.561699999999973</v>
      </c>
      <c r="AD4456">
        <v>-6.6068000000000002E-2</v>
      </c>
      <c r="AE4456">
        <v>2.9200000000002901E-2</v>
      </c>
      <c r="AF4456">
        <v>3.1416658882594303E-2</v>
      </c>
      <c r="AG4456">
        <v>-6.6068000000000002E-2</v>
      </c>
      <c r="AH4456">
        <v>0.55391332596866005</v>
      </c>
      <c r="AI4456">
        <v>96.791006903212207</v>
      </c>
      <c r="AJ4456">
        <v>86.753796282996007</v>
      </c>
      <c r="AK4456">
        <v>0.55872350922885705</v>
      </c>
      <c r="AL4456">
        <v>81.411620964290705</v>
      </c>
      <c r="AM4456">
        <v>87.902790920006893</v>
      </c>
      <c r="AN4456">
        <v>1.0000000217165499</v>
      </c>
    </row>
    <row r="4457" spans="1:40" x14ac:dyDescent="0.25">
      <c r="A4457" t="str">
        <f>"20190312164116769"</f>
        <v>20190312164116769</v>
      </c>
      <c r="B4457" t="str">
        <f>"1552380076761076"</f>
        <v>1552380076761076</v>
      </c>
      <c r="C4457" t="s">
        <v>40</v>
      </c>
      <c r="D4457">
        <v>5.3602550000000004</v>
      </c>
      <c r="E4457">
        <v>0.50270809999999999</v>
      </c>
      <c r="F4457" t="s">
        <v>42</v>
      </c>
      <c r="G4457">
        <v>-243.27520000000001</v>
      </c>
      <c r="H4457">
        <v>1.0463929999999999</v>
      </c>
      <c r="I4457">
        <v>141.499</v>
      </c>
      <c r="J4457">
        <v>-242.7586</v>
      </c>
      <c r="K4457">
        <v>1.108185</v>
      </c>
      <c r="L4457">
        <v>141.4726</v>
      </c>
      <c r="M4457">
        <v>-0.99997729999999996</v>
      </c>
      <c r="N4457">
        <v>0</v>
      </c>
      <c r="O4457">
        <v>-4.0524810000000001E-3</v>
      </c>
      <c r="P4457">
        <v>-0.98900849999999996</v>
      </c>
      <c r="Q4457">
        <v>0.1444772</v>
      </c>
      <c r="R4457">
        <v>3.1447650000000001E-2</v>
      </c>
      <c r="S4457">
        <v>-3.0605470000000001</v>
      </c>
      <c r="T4457">
        <v>-0.20613480000000001</v>
      </c>
      <c r="U4457">
        <v>8.3175659999999998E-2</v>
      </c>
      <c r="V4457">
        <v>3.574712E-2</v>
      </c>
      <c r="W4457">
        <v>0.14973789999999901</v>
      </c>
      <c r="X4457">
        <v>0.98807929999999999</v>
      </c>
      <c r="Y4457">
        <v>3.1137850000000002E-2</v>
      </c>
      <c r="Z4457">
        <v>1.319815E-3</v>
      </c>
      <c r="AA4457">
        <v>0.99951420000000002</v>
      </c>
      <c r="AB4457">
        <v>39</v>
      </c>
      <c r="AC4457">
        <v>-0.51660000000001005</v>
      </c>
      <c r="AD4457">
        <v>-6.1791999999999798E-2</v>
      </c>
      <c r="AE4457">
        <v>2.6399999999995299E-2</v>
      </c>
      <c r="AF4457">
        <v>2.80924469164919E-2</v>
      </c>
      <c r="AG4457">
        <v>-6.1791999999999798E-2</v>
      </c>
      <c r="AH4457">
        <v>0.50922218661006402</v>
      </c>
      <c r="AI4457">
        <v>96.908375375837494</v>
      </c>
      <c r="AJ4457">
        <v>86.842343523832199</v>
      </c>
      <c r="AK4457">
        <v>0.51372626190773096</v>
      </c>
      <c r="AL4457">
        <v>81.388262202034895</v>
      </c>
      <c r="AM4457">
        <v>87.928034509575596</v>
      </c>
      <c r="AN4457">
        <v>0.99999999918659699</v>
      </c>
    </row>
    <row r="4458" spans="1:40" x14ac:dyDescent="0.25">
      <c r="A4458" t="str">
        <f>"20190312164116793"</f>
        <v>20190312164116793</v>
      </c>
      <c r="B4458" t="str">
        <f>"1552380076780594"</f>
        <v>1552380076780594</v>
      </c>
      <c r="C4458" t="s">
        <v>40</v>
      </c>
      <c r="D4458">
        <v>5.1987610000000002</v>
      </c>
      <c r="E4458">
        <v>0.50250289999999997</v>
      </c>
      <c r="F4458" t="s">
        <v>42</v>
      </c>
      <c r="G4458">
        <v>-243.6319</v>
      </c>
      <c r="H4458">
        <v>1.0502689999999999</v>
      </c>
      <c r="I4458">
        <v>141.49639999999999</v>
      </c>
      <c r="J4458">
        <v>-243.15639999999999</v>
      </c>
      <c r="K4458">
        <v>1.108222</v>
      </c>
      <c r="L4458">
        <v>141.47149999999999</v>
      </c>
      <c r="M4458">
        <v>-0.99997939999999996</v>
      </c>
      <c r="N4458">
        <v>0</v>
      </c>
      <c r="O4458">
        <v>-3.4366050000000001E-3</v>
      </c>
      <c r="P4458">
        <v>-0.98894749999999998</v>
      </c>
      <c r="Q4458">
        <v>0.14485919999999999</v>
      </c>
      <c r="R4458">
        <v>3.1602980000000003E-2</v>
      </c>
      <c r="S4458">
        <v>-3.0603639999999999</v>
      </c>
      <c r="T4458">
        <v>-0.20305100000000001</v>
      </c>
      <c r="U4458">
        <v>8.2595829999999995E-2</v>
      </c>
      <c r="V4458">
        <v>3.5279310000000001E-2</v>
      </c>
      <c r="W4458">
        <v>0.1501382</v>
      </c>
      <c r="X4458">
        <v>0.98803540000000001</v>
      </c>
      <c r="Y4458">
        <v>3.034011E-2</v>
      </c>
      <c r="Z4458">
        <v>1.232953E-3</v>
      </c>
      <c r="AA4458">
        <v>0.99953890000000001</v>
      </c>
      <c r="AB4458">
        <v>39</v>
      </c>
      <c r="AC4458">
        <v>-0.47550000000001003</v>
      </c>
      <c r="AD4458">
        <v>-5.79529999999999E-2</v>
      </c>
      <c r="AE4458">
        <v>2.4900000000002299E-2</v>
      </c>
      <c r="AF4458">
        <v>2.6146655745396898E-2</v>
      </c>
      <c r="AG4458">
        <v>-5.79529999999999E-2</v>
      </c>
      <c r="AH4458">
        <v>0.46847185030494398</v>
      </c>
      <c r="AI4458">
        <v>97.041183258180993</v>
      </c>
      <c r="AJ4458">
        <v>86.805484947172403</v>
      </c>
      <c r="AK4458">
        <v>0.47276640356925398</v>
      </c>
      <c r="AL4458">
        <v>81.365064730097899</v>
      </c>
      <c r="AM4458">
        <v>87.955035642146498</v>
      </c>
      <c r="AN4458">
        <v>1.0000000302332299</v>
      </c>
    </row>
    <row r="4459" spans="1:40" x14ac:dyDescent="0.25">
      <c r="A4459" t="str">
        <f>"20190312164116813"</f>
        <v>20190312164116813</v>
      </c>
      <c r="B4459" t="str">
        <f>"1552380076810851"</f>
        <v>1552380076810851</v>
      </c>
      <c r="C4459" t="s">
        <v>40</v>
      </c>
      <c r="D4459">
        <v>5.1674319999999998</v>
      </c>
      <c r="E4459">
        <v>0.50212029999999996</v>
      </c>
      <c r="F4459" t="s">
        <v>42</v>
      </c>
      <c r="G4459">
        <v>-243.99879999999999</v>
      </c>
      <c r="H4459">
        <v>1.0530969999999999</v>
      </c>
      <c r="I4459">
        <v>141.4941</v>
      </c>
      <c r="J4459">
        <v>-243.52539999999999</v>
      </c>
      <c r="K4459">
        <v>1.108263</v>
      </c>
      <c r="L4459">
        <v>141.47059999999999</v>
      </c>
      <c r="M4459">
        <v>-0.99998120000000001</v>
      </c>
      <c r="N4459">
        <v>0</v>
      </c>
      <c r="O4459">
        <v>-2.9096840000000001E-3</v>
      </c>
      <c r="P4459">
        <v>-0.98899919999999997</v>
      </c>
      <c r="Q4459">
        <v>0.1445862</v>
      </c>
      <c r="R4459">
        <v>3.1241209999999998E-2</v>
      </c>
      <c r="S4459">
        <v>-3.0602420000000001</v>
      </c>
      <c r="T4459">
        <v>-0.20031550000000001</v>
      </c>
      <c r="U4459">
        <v>8.203125E-2</v>
      </c>
      <c r="V4459">
        <v>3.4381759999999997E-2</v>
      </c>
      <c r="W4459">
        <v>0.149894</v>
      </c>
      <c r="X4459">
        <v>0.98810410000000004</v>
      </c>
      <c r="Y4459">
        <v>2.9634819999999999E-2</v>
      </c>
      <c r="Z4459">
        <v>1.158926E-3</v>
      </c>
      <c r="AA4459">
        <v>0.99956009999999995</v>
      </c>
      <c r="AB4459">
        <v>39</v>
      </c>
      <c r="AC4459">
        <v>-0.47339999999999799</v>
      </c>
      <c r="AD4459">
        <v>-5.5166E-2</v>
      </c>
      <c r="AE4459">
        <v>2.3500000000012702E-2</v>
      </c>
      <c r="AF4459">
        <v>2.45448751104341E-2</v>
      </c>
      <c r="AG4459">
        <v>-5.5166E-2</v>
      </c>
      <c r="AH4459">
        <v>0.46700349294569898</v>
      </c>
      <c r="AI4459">
        <v>96.727791564788205</v>
      </c>
      <c r="AJ4459">
        <v>86.991403718046001</v>
      </c>
      <c r="AK4459">
        <v>0.47089064640707301</v>
      </c>
      <c r="AL4459">
        <v>81.37921637062</v>
      </c>
      <c r="AM4459">
        <v>88.007158058363103</v>
      </c>
      <c r="AN4459">
        <v>1.00000001454675</v>
      </c>
    </row>
    <row r="4460" spans="1:40" x14ac:dyDescent="0.25">
      <c r="A4460" t="str">
        <f>"20190312164116835"</f>
        <v>20190312164116835</v>
      </c>
      <c r="B4460" t="str">
        <f>"1552380076830876"</f>
        <v>1552380076830876</v>
      </c>
      <c r="C4460" t="s">
        <v>40</v>
      </c>
      <c r="D4460">
        <v>5.2750909999999998</v>
      </c>
      <c r="E4460">
        <v>0.50197639999999999</v>
      </c>
      <c r="F4460" t="s">
        <v>41</v>
      </c>
      <c r="G4460">
        <v>-260.53230000000002</v>
      </c>
      <c r="H4460" s="1">
        <v>-4.5008420000000001E-6</v>
      </c>
      <c r="I4460">
        <v>141.90479999999999</v>
      </c>
      <c r="J4460">
        <v>-243.92349999999999</v>
      </c>
      <c r="K4460">
        <v>1.10832</v>
      </c>
      <c r="L4460">
        <v>141.46979999999999</v>
      </c>
      <c r="M4460">
        <v>-0.99998220000000004</v>
      </c>
      <c r="N4460">
        <v>0</v>
      </c>
      <c r="O4460">
        <v>-2.391532E-3</v>
      </c>
      <c r="P4460">
        <v>-0.98907999999999996</v>
      </c>
      <c r="Q4460">
        <v>0.14407429999999999</v>
      </c>
      <c r="R4460">
        <v>3.103378E-2</v>
      </c>
      <c r="S4460">
        <v>-3.0600429999999998</v>
      </c>
      <c r="T4460">
        <v>-0.1994108</v>
      </c>
      <c r="U4460">
        <v>7.8140260000000003E-2</v>
      </c>
      <c r="V4460">
        <v>3.3643800000000001E-2</v>
      </c>
      <c r="W4460">
        <v>0.14942440000000001</v>
      </c>
      <c r="X4460">
        <v>0.98820059999999998</v>
      </c>
      <c r="Y4460">
        <v>2.7853949999999999E-2</v>
      </c>
      <c r="Z4460">
        <v>1.0621160000000001E-3</v>
      </c>
      <c r="AA4460">
        <v>0.99961140000000004</v>
      </c>
      <c r="AB4460">
        <v>40</v>
      </c>
      <c r="AC4460">
        <v>-16.608799999999999</v>
      </c>
      <c r="AD4460">
        <v>-1.108324500842</v>
      </c>
      <c r="AE4460">
        <v>0.435000000000002</v>
      </c>
      <c r="AF4460">
        <v>0.47261668410635499</v>
      </c>
      <c r="AG4460">
        <v>-1.108324500842</v>
      </c>
      <c r="AH4460">
        <v>16.5341353462507</v>
      </c>
      <c r="AI4460">
        <v>93.833381474220104</v>
      </c>
      <c r="AJ4460">
        <v>88.362686084670301</v>
      </c>
      <c r="AK4460">
        <v>16.577978808570101</v>
      </c>
      <c r="AL4460">
        <v>81.406428744328494</v>
      </c>
      <c r="AM4460">
        <v>88.050088729680496</v>
      </c>
      <c r="AN4460">
        <v>0.99999999121707905</v>
      </c>
    </row>
    <row r="4461" spans="1:40" x14ac:dyDescent="0.25">
      <c r="A4461" t="str">
        <f>"20190312164116859"</f>
        <v>20190312164116859</v>
      </c>
      <c r="B4461" t="str">
        <f>"1552380076850396"</f>
        <v>1552380076850396</v>
      </c>
      <c r="C4461" t="s">
        <v>40</v>
      </c>
      <c r="D4461">
        <v>5.1593460000000002</v>
      </c>
      <c r="E4461">
        <v>0.50182499999999997</v>
      </c>
      <c r="F4461" t="s">
        <v>41</v>
      </c>
      <c r="G4461">
        <v>-260.65429999999998</v>
      </c>
      <c r="H4461" s="1">
        <v>-4.4562279999999997E-6</v>
      </c>
      <c r="I4461">
        <v>141.88730000000001</v>
      </c>
      <c r="J4461">
        <v>-244.328</v>
      </c>
      <c r="K4461">
        <v>1.1083769999999999</v>
      </c>
      <c r="L4461">
        <v>141.4692</v>
      </c>
      <c r="M4461">
        <v>-0.99998290000000001</v>
      </c>
      <c r="N4461">
        <v>0</v>
      </c>
      <c r="O4461">
        <v>-1.925897E-3</v>
      </c>
      <c r="P4461">
        <v>-0.98904809999999999</v>
      </c>
      <c r="Q4461">
        <v>0.1442474</v>
      </c>
      <c r="R4461">
        <v>3.1248229999999998E-2</v>
      </c>
      <c r="S4461">
        <v>-3.0602719999999999</v>
      </c>
      <c r="T4461">
        <v>-0.20272699999999999</v>
      </c>
      <c r="U4461">
        <v>7.6370240000000006E-2</v>
      </c>
      <c r="V4461">
        <v>3.3378709999999999E-2</v>
      </c>
      <c r="W4461">
        <v>0.14965120000000001</v>
      </c>
      <c r="X4461">
        <v>0.98817529999999998</v>
      </c>
      <c r="Y4461">
        <v>2.6809940000000001E-2</v>
      </c>
      <c r="Z4461">
        <v>1.0143229999999999E-3</v>
      </c>
      <c r="AA4461">
        <v>0.99963999999999997</v>
      </c>
      <c r="AB4461">
        <v>40</v>
      </c>
      <c r="AC4461">
        <v>-16.3262999999999</v>
      </c>
      <c r="AD4461">
        <v>-1.1083814562280001</v>
      </c>
      <c r="AE4461">
        <v>0.41810000000000902</v>
      </c>
      <c r="AF4461">
        <v>0.44748140386399898</v>
      </c>
      <c r="AG4461">
        <v>-1.1083814562280001</v>
      </c>
      <c r="AH4461">
        <v>16.250615140851998</v>
      </c>
      <c r="AI4461">
        <v>93.900370894306306</v>
      </c>
      <c r="AJ4461">
        <v>88.4226862551821</v>
      </c>
      <c r="AK4461">
        <v>16.294515688273901</v>
      </c>
      <c r="AL4461">
        <v>81.393286552395594</v>
      </c>
      <c r="AM4461">
        <v>88.065391476116602</v>
      </c>
      <c r="AN4461">
        <v>1.00000002173639</v>
      </c>
    </row>
    <row r="4462" spans="1:40" x14ac:dyDescent="0.25">
      <c r="A4462" t="str">
        <f>"20190312164116880"</f>
        <v>20190312164116880</v>
      </c>
      <c r="B4462" t="str">
        <f>"1552380076870895"</f>
        <v>1552380076870895</v>
      </c>
      <c r="C4462" t="s">
        <v>40</v>
      </c>
      <c r="D4462">
        <v>5.157654</v>
      </c>
      <c r="E4462">
        <v>0.50161089999999997</v>
      </c>
      <c r="F4462" t="s">
        <v>42</v>
      </c>
      <c r="G4462">
        <v>-245.4024</v>
      </c>
      <c r="H4462">
        <v>1.0368729999999999</v>
      </c>
      <c r="I4462">
        <v>141.4957</v>
      </c>
      <c r="J4462">
        <v>-244.72970000000001</v>
      </c>
      <c r="K4462">
        <v>1.1084400000000001</v>
      </c>
      <c r="L4462">
        <v>141.46879999999999</v>
      </c>
      <c r="M4462">
        <v>-0.99998330000000002</v>
      </c>
      <c r="N4462">
        <v>0</v>
      </c>
      <c r="O4462">
        <v>-1.5345910000000001E-3</v>
      </c>
      <c r="P4462">
        <v>-0.98900180000000004</v>
      </c>
      <c r="Q4462">
        <v>0.1445246</v>
      </c>
      <c r="R4462">
        <v>3.143514E-2</v>
      </c>
      <c r="S4462">
        <v>-3.0605470000000001</v>
      </c>
      <c r="T4462">
        <v>-0.20373260000000001</v>
      </c>
      <c r="U4462">
        <v>7.5119019999999995E-2</v>
      </c>
      <c r="V4462">
        <v>3.315767E-2</v>
      </c>
      <c r="W4462">
        <v>0.1499916</v>
      </c>
      <c r="X4462">
        <v>0.98813110000000004</v>
      </c>
      <c r="Y4462">
        <v>2.6010120000000001E-2</v>
      </c>
      <c r="Z4462">
        <v>9.6665360000000003E-4</v>
      </c>
      <c r="AA4462">
        <v>0.99966120000000003</v>
      </c>
      <c r="AB4462">
        <v>40</v>
      </c>
      <c r="AC4462">
        <v>-0.67269999999999097</v>
      </c>
      <c r="AD4462">
        <v>-7.1566999999999895E-2</v>
      </c>
      <c r="AE4462">
        <v>2.6900000000011901E-2</v>
      </c>
      <c r="AF4462">
        <v>2.7620188098808299E-2</v>
      </c>
      <c r="AG4462">
        <v>-7.1566999999999895E-2</v>
      </c>
      <c r="AH4462">
        <v>0.66514164576180501</v>
      </c>
      <c r="AI4462">
        <v>96.135958966716998</v>
      </c>
      <c r="AJ4462">
        <v>87.622143265115398</v>
      </c>
      <c r="AK4462">
        <v>0.66955068456864097</v>
      </c>
      <c r="AL4462">
        <v>81.373560154621899</v>
      </c>
      <c r="AM4462">
        <v>88.078107273590703</v>
      </c>
      <c r="AN4462">
        <v>0.99999999096879899</v>
      </c>
    </row>
    <row r="4463" spans="1:40" x14ac:dyDescent="0.25">
      <c r="A4463" t="str">
        <f>"20190312164116902"</f>
        <v>20190312164116902</v>
      </c>
      <c r="B4463" t="str">
        <f>"1552380076890412"</f>
        <v>1552380076890412</v>
      </c>
      <c r="C4463" t="s">
        <v>40</v>
      </c>
      <c r="D4463">
        <v>5.1770139999999998</v>
      </c>
      <c r="E4463">
        <v>0.5014788</v>
      </c>
      <c r="F4463" t="s">
        <v>42</v>
      </c>
      <c r="G4463">
        <v>-245.76240000000001</v>
      </c>
      <c r="H4463">
        <v>1.0395430000000001</v>
      </c>
      <c r="I4463">
        <v>141.4939</v>
      </c>
      <c r="J4463">
        <v>-245.1003</v>
      </c>
      <c r="K4463">
        <v>1.108506</v>
      </c>
      <c r="L4463">
        <v>141.4684</v>
      </c>
      <c r="M4463">
        <v>-0.99998339999999997</v>
      </c>
      <c r="N4463">
        <v>0</v>
      </c>
      <c r="O4463">
        <v>-1.2241039999999999E-3</v>
      </c>
      <c r="P4463">
        <v>-0.98897840000000004</v>
      </c>
      <c r="Q4463">
        <v>0.1446751</v>
      </c>
      <c r="R4463">
        <v>3.1483700000000003E-2</v>
      </c>
      <c r="S4463">
        <v>-3.0608520000000001</v>
      </c>
      <c r="T4463">
        <v>-0.20425209999999999</v>
      </c>
      <c r="U4463">
        <v>7.4142459999999993E-2</v>
      </c>
      <c r="V4463">
        <v>3.2879949999999998E-2</v>
      </c>
      <c r="W4463">
        <v>0.15020610000000001</v>
      </c>
      <c r="X4463">
        <v>0.98810779999999998</v>
      </c>
      <c r="Y4463">
        <v>2.538033E-2</v>
      </c>
      <c r="Z4463">
        <v>9.2734060000000001E-4</v>
      </c>
      <c r="AA4463">
        <v>0.99967740000000005</v>
      </c>
      <c r="AB4463">
        <v>40</v>
      </c>
      <c r="AC4463">
        <v>-0.66210000000000901</v>
      </c>
      <c r="AD4463">
        <v>-6.8962999999999802E-2</v>
      </c>
      <c r="AE4463">
        <v>2.5499999999993798E-2</v>
      </c>
      <c r="AF4463">
        <v>2.6028510909991399E-2</v>
      </c>
      <c r="AG4463">
        <v>-6.8962999999999802E-2</v>
      </c>
      <c r="AH4463">
        <v>0.65497308535287402</v>
      </c>
      <c r="AI4463">
        <v>96.005897652132703</v>
      </c>
      <c r="AJ4463">
        <v>87.724273654481195</v>
      </c>
      <c r="AK4463">
        <v>0.65910782220047603</v>
      </c>
      <c r="AL4463">
        <v>81.361129407909104</v>
      </c>
      <c r="AM4463">
        <v>88.094147718633195</v>
      </c>
      <c r="AN4463">
        <v>0.99999999400502604</v>
      </c>
    </row>
    <row r="4464" spans="1:40" x14ac:dyDescent="0.25">
      <c r="A4464" t="str">
        <f>"20190312164116924"</f>
        <v>20190312164116924</v>
      </c>
      <c r="B4464" t="str">
        <f>"1552380076920669"</f>
        <v>1552380076920669</v>
      </c>
      <c r="C4464" t="s">
        <v>40</v>
      </c>
      <c r="D4464">
        <v>5.1283510000000003</v>
      </c>
      <c r="E4464">
        <v>0.5013147</v>
      </c>
      <c r="F4464" t="s">
        <v>42</v>
      </c>
      <c r="G4464">
        <v>-246.1223</v>
      </c>
      <c r="H4464">
        <v>1.0404070000000001</v>
      </c>
      <c r="I4464">
        <v>141.4931</v>
      </c>
      <c r="J4464">
        <v>-245.51339999999999</v>
      </c>
      <c r="K4464">
        <v>1.1085719999999999</v>
      </c>
      <c r="L4464">
        <v>141.46809999999999</v>
      </c>
      <c r="M4464">
        <v>-0.99998330000000002</v>
      </c>
      <c r="N4464">
        <v>0</v>
      </c>
      <c r="O4464">
        <v>-9.4183649999999999E-4</v>
      </c>
      <c r="P4464">
        <v>-0.98894950000000004</v>
      </c>
      <c r="Q4464">
        <v>0.1447097</v>
      </c>
      <c r="R4464">
        <v>3.2221260000000002E-2</v>
      </c>
      <c r="S4464">
        <v>-3.0609280000000001</v>
      </c>
      <c r="T4464">
        <v>-0.20397970000000001</v>
      </c>
      <c r="U4464">
        <v>7.3593140000000001E-2</v>
      </c>
      <c r="V4464">
        <v>3.331634E-2</v>
      </c>
      <c r="W4464">
        <v>0.15031539999999999</v>
      </c>
      <c r="X4464">
        <v>0.98807659999999997</v>
      </c>
      <c r="Y4464">
        <v>2.4920040000000001E-2</v>
      </c>
      <c r="Z4464">
        <v>8.9198089999999999E-4</v>
      </c>
      <c r="AA4464">
        <v>0.99968900000000005</v>
      </c>
      <c r="AB4464">
        <v>40</v>
      </c>
      <c r="AC4464">
        <v>-0.60890000000000499</v>
      </c>
      <c r="AD4464">
        <v>-6.8164999999999795E-2</v>
      </c>
      <c r="AE4464">
        <v>2.5000000000005601E-2</v>
      </c>
      <c r="AF4464">
        <v>2.5257480739609602E-2</v>
      </c>
      <c r="AG4464">
        <v>-6.8164999999999795E-2</v>
      </c>
      <c r="AH4464">
        <v>0.60135253356088603</v>
      </c>
      <c r="AI4464">
        <v>96.461385429237794</v>
      </c>
      <c r="AJ4464">
        <v>87.594926605487899</v>
      </c>
      <c r="AK4464">
        <v>0.60573036672962699</v>
      </c>
      <c r="AL4464">
        <v>81.354795398871104</v>
      </c>
      <c r="AM4464">
        <v>88.068810918686495</v>
      </c>
      <c r="AN4464">
        <v>1.00000003272785</v>
      </c>
    </row>
    <row r="4465" spans="1:40" x14ac:dyDescent="0.25">
      <c r="A4465" t="str">
        <f>"20190312164116948"</f>
        <v>20190312164116948</v>
      </c>
      <c r="B4465" t="str">
        <f>"1552380076940696"</f>
        <v>1552380076940696</v>
      </c>
      <c r="C4465" t="s">
        <v>40</v>
      </c>
      <c r="D4465">
        <v>5.2857419999999999</v>
      </c>
      <c r="E4465">
        <v>0.50123269999999998</v>
      </c>
      <c r="F4465" t="s">
        <v>42</v>
      </c>
      <c r="G4465">
        <v>-246.4854</v>
      </c>
      <c r="H4465">
        <v>1.044494</v>
      </c>
      <c r="I4465">
        <v>141.49189999999999</v>
      </c>
      <c r="J4465">
        <v>-245.93899999999999</v>
      </c>
      <c r="K4465">
        <v>1.108644</v>
      </c>
      <c r="L4465">
        <v>141.46789999999999</v>
      </c>
      <c r="M4465">
        <v>-0.99998299999999996</v>
      </c>
      <c r="N4465">
        <v>0</v>
      </c>
      <c r="O4465">
        <v>-7.229402E-4</v>
      </c>
      <c r="P4465">
        <v>-0.98893690000000001</v>
      </c>
      <c r="Q4465">
        <v>0.14462910000000001</v>
      </c>
      <c r="R4465">
        <v>3.2955850000000002E-2</v>
      </c>
      <c r="S4465">
        <v>-3.0606080000000002</v>
      </c>
      <c r="T4465">
        <v>-0.20180090000000001</v>
      </c>
      <c r="U4465">
        <v>7.4539179999999997E-2</v>
      </c>
      <c r="V4465">
        <v>3.3810720000000002E-2</v>
      </c>
      <c r="W4465">
        <v>0.1503206</v>
      </c>
      <c r="X4465">
        <v>0.98805900000000002</v>
      </c>
      <c r="Y4465">
        <v>2.5014040000000001E-2</v>
      </c>
      <c r="Z4465">
        <v>8.712425E-4</v>
      </c>
      <c r="AA4465">
        <v>0.99968670000000004</v>
      </c>
      <c r="AB4465">
        <v>40</v>
      </c>
      <c r="AC4465">
        <v>-0.54639999999997702</v>
      </c>
      <c r="AD4465">
        <v>-6.4149999999999902E-2</v>
      </c>
      <c r="AE4465">
        <v>2.4000000000000899E-2</v>
      </c>
      <c r="AF4465">
        <v>2.4063958509405198E-2</v>
      </c>
      <c r="AG4465">
        <v>-6.4149999999999902E-2</v>
      </c>
      <c r="AH4465">
        <v>0.53896773728830705</v>
      </c>
      <c r="AI4465">
        <v>96.780937732189201</v>
      </c>
      <c r="AJ4465">
        <v>87.443542372162995</v>
      </c>
      <c r="AK4465">
        <v>0.54330517983617699</v>
      </c>
      <c r="AL4465">
        <v>81.354493904226103</v>
      </c>
      <c r="AM4465">
        <v>88.040141373234405</v>
      </c>
      <c r="AN4465">
        <v>1.0000000175261301</v>
      </c>
    </row>
    <row r="4466" spans="1:40" x14ac:dyDescent="0.25">
      <c r="A4466" t="str">
        <f>"20190312164116971"</f>
        <v>20190312164116971</v>
      </c>
      <c r="B4466" t="str">
        <f>"1552380076961191"</f>
        <v>1552380076961191</v>
      </c>
      <c r="C4466" t="s">
        <v>40</v>
      </c>
      <c r="D4466">
        <v>5.3620159999999997</v>
      </c>
      <c r="E4466">
        <v>0.50114320000000001</v>
      </c>
      <c r="F4466" t="s">
        <v>42</v>
      </c>
      <c r="G4466">
        <v>-246.85040000000001</v>
      </c>
      <c r="H4466">
        <v>1.048708</v>
      </c>
      <c r="I4466">
        <v>141.4907</v>
      </c>
      <c r="J4466">
        <v>-246.36080000000001</v>
      </c>
      <c r="K4466">
        <v>1.108708</v>
      </c>
      <c r="L4466">
        <v>141.46770000000001</v>
      </c>
      <c r="M4466">
        <v>-0.99998260000000005</v>
      </c>
      <c r="N4466">
        <v>0</v>
      </c>
      <c r="O4466">
        <v>-5.7167749999999999E-4</v>
      </c>
      <c r="P4466">
        <v>-0.9889386</v>
      </c>
      <c r="Q4466">
        <v>0.1444058</v>
      </c>
      <c r="R4466">
        <v>3.3875660000000002E-2</v>
      </c>
      <c r="S4466">
        <v>-3.060486</v>
      </c>
      <c r="T4466">
        <v>-0.2013134</v>
      </c>
      <c r="U4466">
        <v>7.6019290000000003E-2</v>
      </c>
      <c r="V4466">
        <v>3.4557549999999999E-2</v>
      </c>
      <c r="W4466">
        <v>0.1501905</v>
      </c>
      <c r="X4466">
        <v>0.98805290000000001</v>
      </c>
      <c r="Y4466">
        <v>2.5346830000000001E-2</v>
      </c>
      <c r="Z4466">
        <v>8.7016559999999999E-4</v>
      </c>
      <c r="AA4466">
        <v>0.99967830000000002</v>
      </c>
      <c r="AB4466">
        <v>40</v>
      </c>
      <c r="AC4466">
        <v>-0.48959999999999498</v>
      </c>
      <c r="AD4466">
        <v>-0.06</v>
      </c>
      <c r="AE4466">
        <v>2.29999999999961E-2</v>
      </c>
      <c r="AF4466">
        <v>2.2936191138972498E-2</v>
      </c>
      <c r="AG4466">
        <v>-0.06</v>
      </c>
      <c r="AH4466">
        <v>0.48235853584724703</v>
      </c>
      <c r="AI4466">
        <v>97.082612397816405</v>
      </c>
      <c r="AJ4466">
        <v>87.277631138039595</v>
      </c>
      <c r="AK4466">
        <v>0.48661671361417902</v>
      </c>
      <c r="AL4466">
        <v>81.362033285326902</v>
      </c>
      <c r="AM4466">
        <v>87.996873454285407</v>
      </c>
      <c r="AN4466">
        <v>0.99999997187532996</v>
      </c>
    </row>
    <row r="4467" spans="1:40" x14ac:dyDescent="0.25">
      <c r="A4467" t="str">
        <f>"20190312164116995"</f>
        <v>20190312164116995</v>
      </c>
      <c r="B4467" t="str">
        <f>"1552380076990471"</f>
        <v>1552380076990471</v>
      </c>
      <c r="C4467" t="s">
        <v>40</v>
      </c>
      <c r="D4467">
        <v>5.2181699999999998</v>
      </c>
      <c r="E4467">
        <v>0.50112809999999997</v>
      </c>
      <c r="F4467" t="s">
        <v>42</v>
      </c>
      <c r="G4467">
        <v>-247.22110000000001</v>
      </c>
      <c r="H4467">
        <v>1.052262</v>
      </c>
      <c r="I4467">
        <v>141.49</v>
      </c>
      <c r="J4467">
        <v>-246.77369999999999</v>
      </c>
      <c r="K4467">
        <v>1.108773</v>
      </c>
      <c r="L4467">
        <v>141.4676</v>
      </c>
      <c r="M4467">
        <v>-0.99998209999999998</v>
      </c>
      <c r="N4467">
        <v>0</v>
      </c>
      <c r="O4467">
        <v>-4.7309609999999998E-4</v>
      </c>
      <c r="P4467">
        <v>-0.98889229999999995</v>
      </c>
      <c r="Q4467">
        <v>0.14455560000000001</v>
      </c>
      <c r="R4467">
        <v>3.4579409999999998E-2</v>
      </c>
      <c r="S4467">
        <v>-3.0602260000000001</v>
      </c>
      <c r="T4467">
        <v>-0.2009523</v>
      </c>
      <c r="U4467">
        <v>7.8063960000000002E-2</v>
      </c>
      <c r="V4467">
        <v>3.5143389999999997E-2</v>
      </c>
      <c r="W4467">
        <v>0.1504366</v>
      </c>
      <c r="X4467">
        <v>0.98799479999999995</v>
      </c>
      <c r="Y4467">
        <v>2.5917059999999999E-2</v>
      </c>
      <c r="Z4467">
        <v>8.8090789999999998E-4</v>
      </c>
      <c r="AA4467">
        <v>0.99966370000000004</v>
      </c>
      <c r="AB4467">
        <v>40</v>
      </c>
      <c r="AC4467">
        <v>-0.44740000000001601</v>
      </c>
      <c r="AD4467">
        <v>-5.6510999999999902E-2</v>
      </c>
      <c r="AE4467">
        <v>2.24000000000046E-2</v>
      </c>
      <c r="AF4467">
        <v>2.2257453319230201E-2</v>
      </c>
      <c r="AG4467">
        <v>-5.6510999999999902E-2</v>
      </c>
      <c r="AH4467">
        <v>0.44038100984652701</v>
      </c>
      <c r="AI4467">
        <v>97.303181255691001</v>
      </c>
      <c r="AJ4467">
        <v>87.106655558150507</v>
      </c>
      <c r="AK4467">
        <v>0.44454957111969501</v>
      </c>
      <c r="AL4467">
        <v>81.347770789604198</v>
      </c>
      <c r="AM4467">
        <v>87.962823950680701</v>
      </c>
      <c r="AN4467">
        <v>0.99999997665364504</v>
      </c>
    </row>
    <row r="4468" spans="1:40" x14ac:dyDescent="0.25">
      <c r="A4468" t="str">
        <f>"20190312164117013"</f>
        <v>20190312164117013</v>
      </c>
      <c r="B4468" t="str">
        <f>"1552380077010967"</f>
        <v>1552380077010967</v>
      </c>
      <c r="C4468" t="s">
        <v>40</v>
      </c>
      <c r="D4468">
        <v>5.3775029999999999</v>
      </c>
      <c r="E4468">
        <v>0.48056070000000001</v>
      </c>
      <c r="F4468" t="s">
        <v>41</v>
      </c>
      <c r="G4468">
        <v>-263.6223</v>
      </c>
      <c r="H4468" s="1">
        <v>-3.328863E-6</v>
      </c>
      <c r="I4468">
        <v>141.9109</v>
      </c>
      <c r="J4468">
        <v>-247.12860000000001</v>
      </c>
      <c r="K4468">
        <v>1.1088249999999999</v>
      </c>
      <c r="L4468">
        <v>141.4674</v>
      </c>
      <c r="M4468">
        <v>-0.99998169999999997</v>
      </c>
      <c r="N4468">
        <v>0</v>
      </c>
      <c r="O4468">
        <v>-4.1851010000000001E-4</v>
      </c>
      <c r="P4468">
        <v>-0.98879899999999998</v>
      </c>
      <c r="Q4468">
        <v>0.14506859999999999</v>
      </c>
      <c r="R4468">
        <v>3.5097160000000002E-2</v>
      </c>
      <c r="S4468">
        <v>-3.0603180000000001</v>
      </c>
      <c r="T4468">
        <v>-0.2013935</v>
      </c>
      <c r="U4468">
        <v>8.0535889999999999E-2</v>
      </c>
      <c r="V4468">
        <v>3.5592550000000001E-2</v>
      </c>
      <c r="W4468">
        <v>0.15103150000000001</v>
      </c>
      <c r="X4468">
        <v>0.98788799999999999</v>
      </c>
      <c r="Y4468">
        <v>2.66669E-2</v>
      </c>
      <c r="Z4468">
        <v>9.0385620000000004E-4</v>
      </c>
      <c r="AA4468">
        <v>0.99964399999999998</v>
      </c>
      <c r="AB4468">
        <v>40</v>
      </c>
      <c r="AC4468">
        <v>-16.493699999999901</v>
      </c>
      <c r="AD4468">
        <v>-1.1088283288630001</v>
      </c>
      <c r="AE4468">
        <v>0.44350000000000001</v>
      </c>
      <c r="AF4468">
        <v>0.448377877626076</v>
      </c>
      <c r="AG4468">
        <v>-1.1088283288630001</v>
      </c>
      <c r="AH4468">
        <v>16.4193589143987</v>
      </c>
      <c r="AI4468">
        <v>93.861983942273</v>
      </c>
      <c r="AJ4468">
        <v>88.435762497584307</v>
      </c>
      <c r="AK4468">
        <v>16.462863971492801</v>
      </c>
      <c r="AL4468">
        <v>81.313291979278105</v>
      </c>
      <c r="AM4468">
        <v>87.936586750464002</v>
      </c>
      <c r="AN4468">
        <v>1.00000002207587</v>
      </c>
    </row>
    <row r="4469" spans="1:40" x14ac:dyDescent="0.25">
      <c r="A4469" t="str">
        <f>"20190312164117036"</f>
        <v>20190312164117036</v>
      </c>
      <c r="B4469" t="str">
        <f>"1552380077030994"</f>
        <v>1552380077030994</v>
      </c>
      <c r="C4469" t="s">
        <v>40</v>
      </c>
      <c r="D4469">
        <v>5.1323509999999999</v>
      </c>
      <c r="E4469">
        <v>0.47474230000000001</v>
      </c>
      <c r="F4469" t="s">
        <v>41</v>
      </c>
      <c r="G4469">
        <v>-267.84030000000001</v>
      </c>
      <c r="H4469" s="1">
        <v>-1.257383E-6</v>
      </c>
      <c r="I4469">
        <v>140.92609999999999</v>
      </c>
      <c r="J4469">
        <v>-247.5471</v>
      </c>
      <c r="K4469">
        <v>1.108876</v>
      </c>
      <c r="L4469">
        <v>141.46729999999999</v>
      </c>
      <c r="M4469">
        <v>-0.99998120000000001</v>
      </c>
      <c r="N4469">
        <v>0</v>
      </c>
      <c r="O4469">
        <v>-3.7755599999999997E-4</v>
      </c>
      <c r="P4469">
        <v>-0.98875869999999999</v>
      </c>
      <c r="Q4469">
        <v>0.1453422</v>
      </c>
      <c r="R4469">
        <v>3.5106070000000003E-2</v>
      </c>
      <c r="S4469">
        <v>-3.060867</v>
      </c>
      <c r="T4469">
        <v>-0.16386819999999999</v>
      </c>
      <c r="U4469">
        <v>-7.9986570000000007E-2</v>
      </c>
      <c r="V4469">
        <v>3.5546499999999898E-2</v>
      </c>
      <c r="W4469">
        <v>0.15140010000000001</v>
      </c>
      <c r="X4469">
        <v>0.98783319999999997</v>
      </c>
      <c r="Y4469">
        <v>-2.5709389999999999E-2</v>
      </c>
      <c r="Z4469">
        <v>-6.6739079999999997E-4</v>
      </c>
      <c r="AA4469">
        <v>0.99966929999999998</v>
      </c>
      <c r="AB4469">
        <v>41</v>
      </c>
      <c r="AC4469">
        <v>-20.293199999999999</v>
      </c>
      <c r="AD4469">
        <v>-1.1088772573829999</v>
      </c>
      <c r="AE4469">
        <v>-0.54120000000000301</v>
      </c>
      <c r="AF4469">
        <v>-0.53195080974704201</v>
      </c>
      <c r="AG4469">
        <v>-1.1088772573829999</v>
      </c>
      <c r="AH4469">
        <v>20.233033318036401</v>
      </c>
      <c r="AI4469">
        <v>93.135892105440206</v>
      </c>
      <c r="AJ4469">
        <v>91.506028098005004</v>
      </c>
      <c r="AK4469">
        <v>20.270377837739101</v>
      </c>
      <c r="AL4469">
        <v>81.291926771871005</v>
      </c>
      <c r="AM4469">
        <v>87.939139890888598</v>
      </c>
      <c r="AN4469">
        <v>0.99999998748224905</v>
      </c>
    </row>
    <row r="4470" spans="1:40" x14ac:dyDescent="0.25">
      <c r="A4470" t="str">
        <f>"20190312164117060"</f>
        <v>20190312164117060</v>
      </c>
      <c r="B4470" t="str">
        <f>"1552380077050513"</f>
        <v>1552380077050513</v>
      </c>
      <c r="C4470" t="s">
        <v>40</v>
      </c>
      <c r="D4470">
        <v>5.0361929999999999</v>
      </c>
      <c r="E4470">
        <v>0.47305599999999998</v>
      </c>
      <c r="F4470" t="s">
        <v>41</v>
      </c>
      <c r="G4470">
        <v>-267.0761</v>
      </c>
      <c r="H4470" s="1">
        <v>-1.5141579999999999E-6</v>
      </c>
      <c r="I4470">
        <v>140.6591</v>
      </c>
      <c r="J4470">
        <v>-247.97749999999999</v>
      </c>
      <c r="K4470">
        <v>1.1089150000000001</v>
      </c>
      <c r="L4470">
        <v>141.46719999999999</v>
      </c>
      <c r="M4470">
        <v>-0.99998039999999999</v>
      </c>
      <c r="N4470">
        <v>0</v>
      </c>
      <c r="O4470">
        <v>-3.5504040000000002E-4</v>
      </c>
      <c r="P4470">
        <v>-0.98879720000000004</v>
      </c>
      <c r="Q4470">
        <v>0.14522829999999901</v>
      </c>
      <c r="R4470">
        <v>3.447749E-2</v>
      </c>
      <c r="S4470">
        <v>-3.0642239999999998</v>
      </c>
      <c r="T4470">
        <v>-0.1739906</v>
      </c>
      <c r="U4470">
        <v>-0.12680050000000001</v>
      </c>
      <c r="V4470">
        <v>3.4883909999999997E-2</v>
      </c>
      <c r="W4470">
        <v>0.15138119999999999</v>
      </c>
      <c r="X4470">
        <v>0.98785970000000001</v>
      </c>
      <c r="Y4470">
        <v>-4.0925589999999998E-2</v>
      </c>
      <c r="Z4470">
        <v>-1.1403380000000001E-3</v>
      </c>
      <c r="AA4470">
        <v>0.99916150000000004</v>
      </c>
      <c r="AB4470">
        <v>41</v>
      </c>
      <c r="AC4470">
        <v>-19.098600000000001</v>
      </c>
      <c r="AD4470">
        <v>-1.108916514158</v>
      </c>
      <c r="AE4470">
        <v>-0.80809999999999504</v>
      </c>
      <c r="AF4470">
        <v>-0.79863144457297097</v>
      </c>
      <c r="AG4470">
        <v>-1.108916514158</v>
      </c>
      <c r="AH4470">
        <v>19.0348286821526</v>
      </c>
      <c r="AI4470">
        <v>93.331201162719694</v>
      </c>
      <c r="AJ4470">
        <v>92.402511225540593</v>
      </c>
      <c r="AK4470">
        <v>19.083820659881901</v>
      </c>
      <c r="AL4470">
        <v>81.293022143420799</v>
      </c>
      <c r="AM4470">
        <v>87.977576515767595</v>
      </c>
      <c r="AN4470">
        <v>0.99999997088720805</v>
      </c>
    </row>
    <row r="4471" spans="1:40" x14ac:dyDescent="0.25">
      <c r="A4471" t="str">
        <f>"20190312164117081"</f>
        <v>20190312164117081</v>
      </c>
      <c r="B4471" t="str">
        <f>"1552380077071013"</f>
        <v>1552380077071013</v>
      </c>
      <c r="C4471" t="s">
        <v>40</v>
      </c>
      <c r="D4471">
        <v>5.0639669999999999</v>
      </c>
      <c r="E4471">
        <v>0.47226400000000002</v>
      </c>
      <c r="F4471" t="s">
        <v>41</v>
      </c>
      <c r="G4471">
        <v>-267.32810000000001</v>
      </c>
      <c r="H4471" s="1">
        <v>-1.381414E-6</v>
      </c>
      <c r="I4471">
        <v>140.56649999999999</v>
      </c>
      <c r="J4471">
        <v>-248.36529999999999</v>
      </c>
      <c r="K4471">
        <v>1.1089389999999999</v>
      </c>
      <c r="L4471">
        <v>141.46700000000001</v>
      </c>
      <c r="M4471">
        <v>-0.99998010000000004</v>
      </c>
      <c r="N4471">
        <v>0</v>
      </c>
      <c r="O4471">
        <v>-3.4519299999999999E-4</v>
      </c>
      <c r="P4471">
        <v>-0.98877570000000004</v>
      </c>
      <c r="Q4471">
        <v>0.14550729999999901</v>
      </c>
      <c r="R4471">
        <v>3.3920180000000001E-2</v>
      </c>
      <c r="S4471">
        <v>-3.0647739999999999</v>
      </c>
      <c r="T4471">
        <v>-0.17563219999999999</v>
      </c>
      <c r="U4471">
        <v>-0.14263919999999999</v>
      </c>
      <c r="V4471">
        <v>3.4308789999999999E-2</v>
      </c>
      <c r="W4471">
        <v>0.15174270000000001</v>
      </c>
      <c r="X4471">
        <v>0.98782440000000005</v>
      </c>
      <c r="Y4471">
        <v>-4.607149E-2</v>
      </c>
      <c r="Z4471">
        <v>-1.2985550000000001E-3</v>
      </c>
      <c r="AA4471">
        <v>0.99893730000000003</v>
      </c>
      <c r="AB4471">
        <v>41</v>
      </c>
      <c r="AC4471">
        <v>-18.962800000000001</v>
      </c>
      <c r="AD4471">
        <v>-1.108940381414</v>
      </c>
      <c r="AE4471">
        <v>-0.90050000000002195</v>
      </c>
      <c r="AF4471">
        <v>-0.89091402277301301</v>
      </c>
      <c r="AG4471">
        <v>-1.108940381414</v>
      </c>
      <c r="AH4471">
        <v>18.8986240275683</v>
      </c>
      <c r="AI4471">
        <v>93.354455247309602</v>
      </c>
      <c r="AJ4471">
        <v>92.699024545316703</v>
      </c>
      <c r="AK4471">
        <v>18.9520834395822</v>
      </c>
      <c r="AL4471">
        <v>81.272067838496596</v>
      </c>
      <c r="AM4471">
        <v>88.010821540249296</v>
      </c>
      <c r="AN4471">
        <v>0.99999999265495698</v>
      </c>
    </row>
    <row r="4472" spans="1:40" x14ac:dyDescent="0.25">
      <c r="A4472" t="str">
        <f>"20190312164117102"</f>
        <v>20190312164117102</v>
      </c>
      <c r="B4472" t="str">
        <f>"1552380077090530"</f>
        <v>1552380077090530</v>
      </c>
      <c r="C4472" t="s">
        <v>40</v>
      </c>
      <c r="D4472">
        <v>5.0853449999999896</v>
      </c>
      <c r="E4472">
        <v>0.47171629999999998</v>
      </c>
      <c r="F4472" t="s">
        <v>41</v>
      </c>
      <c r="G4472">
        <v>-267.5797</v>
      </c>
      <c r="H4472" s="1">
        <v>-1.2612939999999999E-6</v>
      </c>
      <c r="I4472">
        <v>140.5206</v>
      </c>
      <c r="J4472">
        <v>-248.74619999999999</v>
      </c>
      <c r="K4472">
        <v>1.108962</v>
      </c>
      <c r="L4472">
        <v>141.46690000000001</v>
      </c>
      <c r="M4472">
        <v>-0.99997959999999997</v>
      </c>
      <c r="N4472">
        <v>0</v>
      </c>
      <c r="O4472">
        <v>-3.3948300000000002E-4</v>
      </c>
      <c r="P4472">
        <v>-0.98872349999999998</v>
      </c>
      <c r="Q4472">
        <v>0.14600379999999999</v>
      </c>
      <c r="R4472">
        <v>3.3300160000000002E-2</v>
      </c>
      <c r="S4472">
        <v>-3.0652620000000002</v>
      </c>
      <c r="T4472">
        <v>-0.17690980000000001</v>
      </c>
      <c r="U4472">
        <v>-0.15097049999999901</v>
      </c>
      <c r="V4472">
        <v>3.3676310000000001E-2</v>
      </c>
      <c r="W4472">
        <v>0.15231539999999999</v>
      </c>
      <c r="X4472">
        <v>0.98775800000000002</v>
      </c>
      <c r="Y4472">
        <v>-4.8772950000000002E-2</v>
      </c>
      <c r="Z4472">
        <v>-1.3858659999999999E-3</v>
      </c>
      <c r="AA4472">
        <v>0.9988089</v>
      </c>
      <c r="AB4472">
        <v>41</v>
      </c>
      <c r="AC4472">
        <v>-18.833500000000001</v>
      </c>
      <c r="AD4472">
        <v>-1.1089632612939999</v>
      </c>
      <c r="AE4472">
        <v>-0.94630000000000802</v>
      </c>
      <c r="AF4472">
        <v>-0.93666677919246299</v>
      </c>
      <c r="AG4472">
        <v>-1.1089632612939999</v>
      </c>
      <c r="AH4472">
        <v>18.768909482052798</v>
      </c>
      <c r="AI4472">
        <v>93.3772036086296</v>
      </c>
      <c r="AJ4472">
        <v>92.856988925939007</v>
      </c>
      <c r="AK4472">
        <v>18.824959689615198</v>
      </c>
      <c r="AL4472">
        <v>81.238868444738003</v>
      </c>
      <c r="AM4472">
        <v>88.047332093640094</v>
      </c>
      <c r="AN4472">
        <v>0.99999997074818703</v>
      </c>
    </row>
    <row r="4473" spans="1:40" x14ac:dyDescent="0.25">
      <c r="A4473" t="str">
        <f>"20190312164117127"</f>
        <v>20190312164117127</v>
      </c>
      <c r="B4473" t="str">
        <f>"1552380077120786"</f>
        <v>1552380077120786</v>
      </c>
      <c r="C4473" t="s">
        <v>40</v>
      </c>
      <c r="D4473">
        <v>5.1039849999999998</v>
      </c>
      <c r="E4473">
        <v>0.47121639999999998</v>
      </c>
      <c r="F4473" t="s">
        <v>41</v>
      </c>
      <c r="G4473">
        <v>-268.01620000000003</v>
      </c>
      <c r="H4473" s="1">
        <v>-1.0615910000000001E-6</v>
      </c>
      <c r="I4473">
        <v>140.47399999999999</v>
      </c>
      <c r="J4473">
        <v>-249.20009999999999</v>
      </c>
      <c r="K4473">
        <v>1.1089850000000001</v>
      </c>
      <c r="L4473">
        <v>141.46680000000001</v>
      </c>
      <c r="M4473">
        <v>-0.99997910000000001</v>
      </c>
      <c r="N4473">
        <v>0</v>
      </c>
      <c r="O4473">
        <v>-3.3511970000000001E-4</v>
      </c>
      <c r="P4473">
        <v>-0.98873310000000003</v>
      </c>
      <c r="Q4473">
        <v>0.14594960000000001</v>
      </c>
      <c r="R4473">
        <v>3.325562E-2</v>
      </c>
      <c r="S4473">
        <v>-3.065598</v>
      </c>
      <c r="T4473">
        <v>-0.17642179999999999</v>
      </c>
      <c r="U4473">
        <v>-0.15795899999999999</v>
      </c>
      <c r="V4473">
        <v>3.3620360000000002E-2</v>
      </c>
      <c r="W4473">
        <v>0.1523465</v>
      </c>
      <c r="X4473">
        <v>0.9877551</v>
      </c>
      <c r="Y4473">
        <v>-5.1039710000000002E-2</v>
      </c>
      <c r="Z4473">
        <v>-1.44719799999999E-3</v>
      </c>
      <c r="AA4473">
        <v>0.99869560000000002</v>
      </c>
      <c r="AB4473">
        <v>41</v>
      </c>
      <c r="AC4473">
        <v>-18.816099999999999</v>
      </c>
      <c r="AD4473">
        <v>-1.1089860615909899</v>
      </c>
      <c r="AE4473">
        <v>-0.992800000000016</v>
      </c>
      <c r="AF4473">
        <v>-0.983088687552782</v>
      </c>
      <c r="AG4473">
        <v>-1.1089860615909899</v>
      </c>
      <c r="AH4473">
        <v>18.751475396996302</v>
      </c>
      <c r="AI4473">
        <v>93.379971564282897</v>
      </c>
      <c r="AJ4473">
        <v>93.001113749069802</v>
      </c>
      <c r="AK4473">
        <v>18.8099479801661</v>
      </c>
      <c r="AL4473">
        <v>81.237065419791094</v>
      </c>
      <c r="AM4473">
        <v>88.050568042257296</v>
      </c>
      <c r="AN4473">
        <v>0.99999996112239398</v>
      </c>
    </row>
    <row r="4474" spans="1:40" x14ac:dyDescent="0.25">
      <c r="A4474" t="str">
        <f>"20190312164117148"</f>
        <v>20190312164117148</v>
      </c>
      <c r="B4474" t="str">
        <f>"1552380077140812"</f>
        <v>1552380077140812</v>
      </c>
      <c r="C4474" t="s">
        <v>40</v>
      </c>
      <c r="D4474">
        <v>5.2430899999999996</v>
      </c>
      <c r="E4474">
        <v>0.470941</v>
      </c>
      <c r="F4474" t="s">
        <v>41</v>
      </c>
      <c r="G4474">
        <v>-268.52069999999998</v>
      </c>
      <c r="H4474" s="1">
        <v>-8.372725E-7</v>
      </c>
      <c r="I4474">
        <v>140.4443</v>
      </c>
      <c r="J4474">
        <v>-249.59829999999999</v>
      </c>
      <c r="K4474">
        <v>1.109002</v>
      </c>
      <c r="L4474">
        <v>141.4667</v>
      </c>
      <c r="M4474">
        <v>-0.99997860000000005</v>
      </c>
      <c r="N4474">
        <v>0</v>
      </c>
      <c r="O4474">
        <v>-3.3163149999999999E-4</v>
      </c>
      <c r="P4474">
        <v>-0.98875460000000004</v>
      </c>
      <c r="Q4474">
        <v>0.14578079999999999</v>
      </c>
      <c r="R4474">
        <v>3.3353729999999998E-2</v>
      </c>
      <c r="S4474">
        <v>-3.0656129999999999</v>
      </c>
      <c r="T4474">
        <v>-0.17596349999999999</v>
      </c>
      <c r="U4474">
        <v>-0.1622314</v>
      </c>
      <c r="V4474">
        <v>3.370973E-2</v>
      </c>
      <c r="W4474">
        <v>0.15224649999999901</v>
      </c>
      <c r="X4474">
        <v>0.98776750000000002</v>
      </c>
      <c r="Y4474">
        <v>-5.2429110000000001E-2</v>
      </c>
      <c r="Z4474">
        <v>-1.4834E-3</v>
      </c>
      <c r="AA4474">
        <v>0.9986235</v>
      </c>
      <c r="AB4474">
        <v>41</v>
      </c>
      <c r="AC4474">
        <v>-18.9223999999999</v>
      </c>
      <c r="AD4474">
        <v>-1.1090028372725</v>
      </c>
      <c r="AE4474">
        <v>-1.0224</v>
      </c>
      <c r="AF4474">
        <v>-1.0126563076339801</v>
      </c>
      <c r="AG4474">
        <v>-1.1090028372725</v>
      </c>
      <c r="AH4474">
        <v>18.858150900062</v>
      </c>
      <c r="AI4474">
        <v>93.360721079254304</v>
      </c>
      <c r="AJ4474">
        <v>93.073751003823304</v>
      </c>
      <c r="AK4474">
        <v>18.9178544095248</v>
      </c>
      <c r="AL4474">
        <v>81.242862863596599</v>
      </c>
      <c r="AM4474">
        <v>88.045414573944399</v>
      </c>
      <c r="AN4474">
        <v>0.99999998835758597</v>
      </c>
    </row>
    <row r="4475" spans="1:40" x14ac:dyDescent="0.25">
      <c r="A4475" t="str">
        <f>"20190312164117172"</f>
        <v>20190312164117172</v>
      </c>
      <c r="B4475" t="str">
        <f>"1552380077160332"</f>
        <v>1552380077160332</v>
      </c>
      <c r="C4475" t="s">
        <v>40</v>
      </c>
      <c r="D4475">
        <v>5.131443</v>
      </c>
      <c r="E4475">
        <v>0.47063310000000003</v>
      </c>
      <c r="F4475" t="s">
        <v>41</v>
      </c>
      <c r="G4475">
        <v>-268.70609999999999</v>
      </c>
      <c r="H4475" s="1">
        <v>-7.5773149999999998E-7</v>
      </c>
      <c r="I4475">
        <v>140.4443</v>
      </c>
      <c r="J4475">
        <v>-250.02690000000001</v>
      </c>
      <c r="K4475">
        <v>1.1090139999999999</v>
      </c>
      <c r="L4475">
        <v>141.4666</v>
      </c>
      <c r="M4475">
        <v>-0.99997820000000004</v>
      </c>
      <c r="N4475">
        <v>0</v>
      </c>
      <c r="O4475">
        <v>-3.2766140000000001E-4</v>
      </c>
      <c r="P4475">
        <v>-0.98872420000000005</v>
      </c>
      <c r="Q4475">
        <v>0.14599889999999999</v>
      </c>
      <c r="R4475">
        <v>3.3302270000000002E-2</v>
      </c>
      <c r="S4475">
        <v>-3.065887</v>
      </c>
      <c r="T4475">
        <v>-0.17794170000000001</v>
      </c>
      <c r="U4475">
        <v>-0.16403199999999901</v>
      </c>
      <c r="V4475">
        <v>3.3649449999999997E-2</v>
      </c>
      <c r="W4475">
        <v>0.1525331</v>
      </c>
      <c r="X4475">
        <v>0.98772539999999998</v>
      </c>
      <c r="Y4475">
        <v>-5.3010259999999997E-2</v>
      </c>
      <c r="Z4475">
        <v>-1.5169599999999999E-3</v>
      </c>
      <c r="AA4475">
        <v>0.99859279999999995</v>
      </c>
      <c r="AB4475">
        <v>41</v>
      </c>
      <c r="AC4475">
        <v>-18.679199999999899</v>
      </c>
      <c r="AD4475">
        <v>-1.1090147577314999</v>
      </c>
      <c r="AE4475">
        <v>-1.0223</v>
      </c>
      <c r="AF4475">
        <v>-1.0126205398628401</v>
      </c>
      <c r="AG4475">
        <v>-1.1090147577314999</v>
      </c>
      <c r="AH4475">
        <v>18.61411531804</v>
      </c>
      <c r="AI4475">
        <v>93.4045859654005</v>
      </c>
      <c r="AJ4475">
        <v>93.113860060171902</v>
      </c>
      <c r="AK4475">
        <v>18.6745978046091</v>
      </c>
      <c r="AL4475">
        <v>81.226248372965998</v>
      </c>
      <c r="AM4475">
        <v>88.048823977383705</v>
      </c>
      <c r="AN4475">
        <v>1.0000000489430301</v>
      </c>
    </row>
    <row r="4476" spans="1:40" x14ac:dyDescent="0.25">
      <c r="A4476" t="str">
        <f>"20190312164117195"</f>
        <v>20190312164117195</v>
      </c>
      <c r="B4476" t="str">
        <f>"1552380077190589"</f>
        <v>1552380077190589</v>
      </c>
      <c r="C4476" t="s">
        <v>40</v>
      </c>
      <c r="D4476">
        <v>5.179081</v>
      </c>
      <c r="E4476">
        <v>0.46253860000000002</v>
      </c>
      <c r="F4476" t="s">
        <v>41</v>
      </c>
      <c r="G4476">
        <v>-268.94150000000002</v>
      </c>
      <c r="H4476" s="1">
        <v>-6.5563299999999998E-7</v>
      </c>
      <c r="I4476">
        <v>140.4401</v>
      </c>
      <c r="J4476">
        <v>-250.45179999999999</v>
      </c>
      <c r="K4476">
        <v>1.10902099999999</v>
      </c>
      <c r="L4476">
        <v>141.46639999999999</v>
      </c>
      <c r="M4476">
        <v>-0.99997780000000003</v>
      </c>
      <c r="N4476">
        <v>0</v>
      </c>
      <c r="O4476">
        <v>-3.237615E-4</v>
      </c>
      <c r="P4476">
        <v>-0.98861810000000006</v>
      </c>
      <c r="Q4476">
        <v>0.1467319</v>
      </c>
      <c r="R4476">
        <v>3.3232150000000002E-2</v>
      </c>
      <c r="S4476">
        <v>-3.066376</v>
      </c>
      <c r="T4476">
        <v>-0.17979010000000001</v>
      </c>
      <c r="U4476">
        <v>-0.16639709999999999</v>
      </c>
      <c r="V4476">
        <v>3.3571610000000002E-2</v>
      </c>
      <c r="W4476">
        <v>0.1533224</v>
      </c>
      <c r="X4476">
        <v>0.98760579999999998</v>
      </c>
      <c r="Y4476">
        <v>-5.3770529999999997E-2</v>
      </c>
      <c r="Z4476">
        <v>-1.554897E-3</v>
      </c>
      <c r="AA4476">
        <v>0.99855210000000005</v>
      </c>
      <c r="AB4476">
        <v>41</v>
      </c>
      <c r="AC4476">
        <v>-18.489699999999999</v>
      </c>
      <c r="AD4476">
        <v>-1.1090216556329899</v>
      </c>
      <c r="AE4476">
        <v>-1.02629999999999</v>
      </c>
      <c r="AF4476">
        <v>-1.01666717052405</v>
      </c>
      <c r="AG4476">
        <v>-1.1090216556329899</v>
      </c>
      <c r="AH4476">
        <v>18.423951758729402</v>
      </c>
      <c r="AI4476">
        <v>93.4395175189197</v>
      </c>
      <c r="AJ4476">
        <v>93.158482037313803</v>
      </c>
      <c r="AK4476">
        <v>18.485278996441298</v>
      </c>
      <c r="AL4476">
        <v>81.180486222990893</v>
      </c>
      <c r="AM4476">
        <v>88.053098520678205</v>
      </c>
      <c r="AN4476">
        <v>1.00000001376669</v>
      </c>
    </row>
    <row r="4477" spans="1:40" x14ac:dyDescent="0.25">
      <c r="A4477" t="str">
        <f>"20190312164117215"</f>
        <v>20190312164117215</v>
      </c>
      <c r="B4477" t="str">
        <f>"1552380077211084"</f>
        <v>1552380077211084</v>
      </c>
      <c r="C4477" t="s">
        <v>40</v>
      </c>
      <c r="D4477">
        <v>5.2197040000000001</v>
      </c>
      <c r="E4477">
        <v>0.46349249999999997</v>
      </c>
      <c r="F4477" t="s">
        <v>41</v>
      </c>
      <c r="G4477">
        <v>-265.12299999999999</v>
      </c>
      <c r="H4477" s="1">
        <v>-2.2707280000000001E-6</v>
      </c>
      <c r="I4477">
        <v>140.3535</v>
      </c>
      <c r="J4477">
        <v>-250.84190000000001</v>
      </c>
      <c r="K4477">
        <v>1.1090310000000001</v>
      </c>
      <c r="L4477">
        <v>141.46629999999999</v>
      </c>
      <c r="M4477">
        <v>-0.99997749999999996</v>
      </c>
      <c r="N4477">
        <v>0</v>
      </c>
      <c r="O4477">
        <v>-3.2038640000000001E-4</v>
      </c>
      <c r="P4477">
        <v>-0.98861580000000004</v>
      </c>
      <c r="Q4477">
        <v>0.14669499999999999</v>
      </c>
      <c r="R4477">
        <v>3.3462859999999997E-2</v>
      </c>
      <c r="S4477">
        <v>-3.0769199999999999</v>
      </c>
      <c r="T4477">
        <v>-0.23259070000000001</v>
      </c>
      <c r="U4477">
        <v>-0.23339840000000001</v>
      </c>
      <c r="V4477">
        <v>3.3795980000000003E-2</v>
      </c>
      <c r="W4477">
        <v>0.15332799999999999</v>
      </c>
      <c r="X4477">
        <v>0.98759730000000001</v>
      </c>
      <c r="Y4477">
        <v>-7.5105649999999996E-2</v>
      </c>
      <c r="Z4477">
        <v>-2.806453E-3</v>
      </c>
      <c r="AA4477">
        <v>0.99717160000000005</v>
      </c>
      <c r="AB4477">
        <v>41</v>
      </c>
      <c r="AC4477">
        <v>-14.281099999999901</v>
      </c>
      <c r="AD4477">
        <v>-1.109033270728</v>
      </c>
      <c r="AE4477">
        <v>-1.11279999999999</v>
      </c>
      <c r="AF4477">
        <v>-1.10162094754922</v>
      </c>
      <c r="AG4477">
        <v>-1.109033270728</v>
      </c>
      <c r="AH4477">
        <v>14.1963588768234</v>
      </c>
      <c r="AI4477">
        <v>94.453594732109394</v>
      </c>
      <c r="AJ4477">
        <v>94.437193842936196</v>
      </c>
      <c r="AK4477">
        <v>14.282161211358099</v>
      </c>
      <c r="AL4477">
        <v>81.180161719751794</v>
      </c>
      <c r="AM4477">
        <v>88.0400800030353</v>
      </c>
      <c r="AN4477">
        <v>1.0000000354077201</v>
      </c>
    </row>
    <row r="4478" spans="1:40" x14ac:dyDescent="0.25">
      <c r="A4478" t="str">
        <f>"20190312164117238"</f>
        <v>20190312164117238</v>
      </c>
      <c r="B4478" t="str">
        <f>"1552380077231113"</f>
        <v>1552380077231113</v>
      </c>
      <c r="C4478" t="s">
        <v>40</v>
      </c>
      <c r="D4478">
        <v>5.1603500000000002</v>
      </c>
      <c r="E4478">
        <v>0.46884579999999998</v>
      </c>
      <c r="F4478" t="s">
        <v>41</v>
      </c>
      <c r="G4478">
        <v>-265.6703</v>
      </c>
      <c r="H4478" s="1">
        <v>-2.0425389999999999E-6</v>
      </c>
      <c r="I4478">
        <v>140.3784</v>
      </c>
      <c r="J4478">
        <v>-251.26570000000001</v>
      </c>
      <c r="K4478">
        <v>1.1090310000000001</v>
      </c>
      <c r="L4478">
        <v>141.46619999999999</v>
      </c>
      <c r="M4478">
        <v>-0.99997720000000001</v>
      </c>
      <c r="N4478">
        <v>0</v>
      </c>
      <c r="O4478">
        <v>-3.1757509999999999E-4</v>
      </c>
      <c r="P4478">
        <v>-0.9886028</v>
      </c>
      <c r="Q4478">
        <v>0.146831399999999</v>
      </c>
      <c r="R4478">
        <v>3.324303E-2</v>
      </c>
      <c r="S4478">
        <v>-3.0763240000000001</v>
      </c>
      <c r="T4478">
        <v>-0.2300818</v>
      </c>
      <c r="U4478">
        <v>-0.2256927</v>
      </c>
      <c r="V4478">
        <v>3.3570620000000002E-2</v>
      </c>
      <c r="W4478">
        <v>0.1534981</v>
      </c>
      <c r="X4478">
        <v>0.98757850000000003</v>
      </c>
      <c r="Y4478">
        <v>-7.2650099999999995E-2</v>
      </c>
      <c r="Z4478">
        <v>-2.6856900000000001E-3</v>
      </c>
      <c r="AA4478">
        <v>0.99735390000000002</v>
      </c>
      <c r="AB4478">
        <v>41</v>
      </c>
      <c r="AC4478">
        <v>-14.404599999999901</v>
      </c>
      <c r="AD4478">
        <v>-1.10903304253899</v>
      </c>
      <c r="AE4478">
        <v>-1.0877999999999799</v>
      </c>
      <c r="AF4478">
        <v>-1.0768780809898699</v>
      </c>
      <c r="AG4478">
        <v>-1.10903304253899</v>
      </c>
      <c r="AH4478">
        <v>14.3205381792399</v>
      </c>
      <c r="AI4478">
        <v>94.415930190139406</v>
      </c>
      <c r="AJ4478">
        <v>94.300443225649403</v>
      </c>
      <c r="AK4478">
        <v>14.4037298792302</v>
      </c>
      <c r="AL4478">
        <v>81.170298402591797</v>
      </c>
      <c r="AM4478">
        <v>88.0531021131481</v>
      </c>
      <c r="AN4478">
        <v>0.99999997344652103</v>
      </c>
    </row>
    <row r="4479" spans="1:40" x14ac:dyDescent="0.25">
      <c r="A4479" t="str">
        <f>"20190312164117260"</f>
        <v>20190312164117260</v>
      </c>
      <c r="B4479" t="str">
        <f>"1552380077250644"</f>
        <v>1552380077250644</v>
      </c>
      <c r="C4479" t="s">
        <v>40</v>
      </c>
      <c r="D4479">
        <v>5.3025129999999896</v>
      </c>
      <c r="E4479">
        <v>0.4633235</v>
      </c>
      <c r="F4479" t="s">
        <v>41</v>
      </c>
      <c r="G4479">
        <v>-270.53789999999998</v>
      </c>
      <c r="H4479" s="1">
        <v>-4.2193859999999998E-6</v>
      </c>
      <c r="I4479">
        <v>140.3289</v>
      </c>
      <c r="J4479">
        <v>-251.67400000000001</v>
      </c>
      <c r="K4479">
        <v>1.1090329999999999</v>
      </c>
      <c r="L4479">
        <v>141.46610000000001</v>
      </c>
      <c r="M4479">
        <v>-0.99997709999999995</v>
      </c>
      <c r="N4479">
        <v>0</v>
      </c>
      <c r="O4479">
        <v>-3.1602650000000002E-4</v>
      </c>
      <c r="P4479">
        <v>-0.98864850000000004</v>
      </c>
      <c r="Q4479">
        <v>0.14638609999999999</v>
      </c>
      <c r="R4479">
        <v>3.3841759999999999E-2</v>
      </c>
      <c r="S4479">
        <v>-3.0668639999999998</v>
      </c>
      <c r="T4479">
        <v>-0.17648539999999999</v>
      </c>
      <c r="U4479">
        <v>-0.1809692</v>
      </c>
      <c r="V4479">
        <v>3.4166080000000001E-2</v>
      </c>
      <c r="W4479">
        <v>0.15307780000000001</v>
      </c>
      <c r="X4479">
        <v>0.98762329999999998</v>
      </c>
      <c r="Y4479">
        <v>-5.8494039999999997E-2</v>
      </c>
      <c r="Z4479">
        <v>-1.662041E-3</v>
      </c>
      <c r="AA4479">
        <v>0.99828640000000002</v>
      </c>
      <c r="AB4479">
        <v>42</v>
      </c>
      <c r="AC4479">
        <v>-18.863899999999902</v>
      </c>
      <c r="AD4479">
        <v>-1.1090372193860001</v>
      </c>
      <c r="AE4479">
        <v>-1.1372</v>
      </c>
      <c r="AF4479">
        <v>-1.1273557847795399</v>
      </c>
      <c r="AG4479">
        <v>-1.1090372193860001</v>
      </c>
      <c r="AH4479">
        <v>18.7995143151254</v>
      </c>
      <c r="AI4479">
        <v>93.370089236846695</v>
      </c>
      <c r="AJ4479">
        <v>93.431762505300199</v>
      </c>
      <c r="AK4479">
        <v>18.865911934069501</v>
      </c>
      <c r="AL4479">
        <v>81.194667693527506</v>
      </c>
      <c r="AM4479">
        <v>88.018686040500697</v>
      </c>
      <c r="AN4479">
        <v>0.99999995828914701</v>
      </c>
    </row>
    <row r="4480" spans="1:40" x14ac:dyDescent="0.25">
      <c r="A4480" t="str">
        <f>"20190312164117282"</f>
        <v>20190312164117282</v>
      </c>
      <c r="B4480" t="str">
        <f>"1552380077271131"</f>
        <v>1552380077271131</v>
      </c>
      <c r="C4480" t="s">
        <v>40</v>
      </c>
      <c r="D4480">
        <v>5.1834429999999996</v>
      </c>
      <c r="E4480">
        <v>0.46317760000000002</v>
      </c>
      <c r="F4480" t="s">
        <v>41</v>
      </c>
      <c r="G4480">
        <v>-266.14850000000001</v>
      </c>
      <c r="H4480" s="1">
        <v>-1.844012E-6</v>
      </c>
      <c r="I4480">
        <v>140.4032</v>
      </c>
      <c r="J4480">
        <v>-252.08369999999999</v>
      </c>
      <c r="K4480">
        <v>1.109032</v>
      </c>
      <c r="L4480">
        <v>141.46600000000001</v>
      </c>
      <c r="M4480">
        <v>-0.9999768</v>
      </c>
      <c r="N4480">
        <v>0</v>
      </c>
      <c r="O4480">
        <v>-3.1457590000000003E-4</v>
      </c>
      <c r="P4480">
        <v>-0.98865650000000005</v>
      </c>
      <c r="Q4480">
        <v>0.1463428</v>
      </c>
      <c r="R4480">
        <v>3.3797349999999997E-2</v>
      </c>
      <c r="S4480">
        <v>-3.0770569999999999</v>
      </c>
      <c r="T4480">
        <v>-0.23576569999999999</v>
      </c>
      <c r="U4480">
        <v>-0.2259369</v>
      </c>
      <c r="V4480">
        <v>3.411898E-2</v>
      </c>
      <c r="W4480">
        <v>0.1530552</v>
      </c>
      <c r="X4480">
        <v>0.98762850000000002</v>
      </c>
      <c r="Y4480">
        <v>-7.2704379999999999E-2</v>
      </c>
      <c r="Z4480">
        <v>-2.753489E-3</v>
      </c>
      <c r="AA4480">
        <v>0.99734970000000001</v>
      </c>
      <c r="AB4480">
        <v>42</v>
      </c>
      <c r="AC4480">
        <v>-14.0648</v>
      </c>
      <c r="AD4480">
        <v>-1.109033844012</v>
      </c>
      <c r="AE4480">
        <v>-1.06280000000001</v>
      </c>
      <c r="AF4480">
        <v>-1.0518724125268699</v>
      </c>
      <c r="AG4480">
        <v>-1.109033844012</v>
      </c>
      <c r="AH4480">
        <v>13.978713117786199</v>
      </c>
      <c r="AI4480">
        <v>94.523457635370406</v>
      </c>
      <c r="AJ4480">
        <v>94.3032919384911</v>
      </c>
      <c r="AK4480">
        <v>14.062034421404601</v>
      </c>
      <c r="AL4480">
        <v>81.195978624768699</v>
      </c>
      <c r="AM4480">
        <v>88.021425637982802</v>
      </c>
      <c r="AN4480">
        <v>1.00000002652776</v>
      </c>
    </row>
    <row r="4481" spans="1:40" x14ac:dyDescent="0.25">
      <c r="A4481" t="str">
        <f>"20190312164117304"</f>
        <v>20190312164117304</v>
      </c>
      <c r="B4481" t="str">
        <f>"1552380077300407"</f>
        <v>1552380077300407</v>
      </c>
      <c r="C4481" t="s">
        <v>40</v>
      </c>
      <c r="D4481">
        <v>5.2005480000000004</v>
      </c>
      <c r="E4481">
        <v>0.4632812</v>
      </c>
      <c r="F4481" t="s">
        <v>41</v>
      </c>
      <c r="G4481">
        <v>-266.84449999999998</v>
      </c>
      <c r="H4481" s="1">
        <v>-1.5382730000000001E-6</v>
      </c>
      <c r="I4481">
        <v>140.37629999999999</v>
      </c>
      <c r="J4481">
        <v>-252.49029999999999</v>
      </c>
      <c r="K4481">
        <v>1.1090329999999999</v>
      </c>
      <c r="L4481">
        <v>141.4658</v>
      </c>
      <c r="M4481">
        <v>-0.9999768</v>
      </c>
      <c r="N4481">
        <v>0</v>
      </c>
      <c r="O4481">
        <v>-3.1394259999999998E-4</v>
      </c>
      <c r="P4481">
        <v>-0.98869569999999996</v>
      </c>
      <c r="Q4481">
        <v>0.14601910000000001</v>
      </c>
      <c r="R4481">
        <v>3.4051789999999998E-2</v>
      </c>
      <c r="S4481">
        <v>-3.0763850000000001</v>
      </c>
      <c r="T4481">
        <v>-0.2311414</v>
      </c>
      <c r="U4481">
        <v>-0.22709660000000001</v>
      </c>
      <c r="V4481">
        <v>3.4371909999999999E-2</v>
      </c>
      <c r="W4481">
        <v>0.15274939999999901</v>
      </c>
      <c r="X4481">
        <v>0.98766699999999996</v>
      </c>
      <c r="Y4481">
        <v>-7.3101810000000003E-2</v>
      </c>
      <c r="Z4481">
        <v>-2.715121E-3</v>
      </c>
      <c r="AA4481">
        <v>0.99732080000000001</v>
      </c>
      <c r="AB4481">
        <v>42</v>
      </c>
      <c r="AC4481">
        <v>-14.354199999999899</v>
      </c>
      <c r="AD4481">
        <v>-1.109034538273</v>
      </c>
      <c r="AE4481">
        <v>-1.0895000000000099</v>
      </c>
      <c r="AF4481">
        <v>-1.07859175958811</v>
      </c>
      <c r="AG4481">
        <v>-1.109034538273</v>
      </c>
      <c r="AH4481">
        <v>14.269846554640599</v>
      </c>
      <c r="AI4481">
        <v>94.431432610064604</v>
      </c>
      <c r="AJ4481">
        <v>94.322504007298505</v>
      </c>
      <c r="AK4481">
        <v>14.3534608538819</v>
      </c>
      <c r="AL4481">
        <v>81.213707517563094</v>
      </c>
      <c r="AM4481">
        <v>88.006847540910599</v>
      </c>
      <c r="AN4481">
        <v>0.99999995514320295</v>
      </c>
    </row>
    <row r="4482" spans="1:40" x14ac:dyDescent="0.25">
      <c r="A4482" t="str">
        <f>"20190312164117327"</f>
        <v>20190312164117327</v>
      </c>
      <c r="B4482" t="str">
        <f>"1552380077320903"</f>
        <v>1552380077320903</v>
      </c>
      <c r="C4482" t="s">
        <v>40</v>
      </c>
      <c r="D4482">
        <v>5.2032590000000001</v>
      </c>
      <c r="E4482">
        <v>0.46392090000000002</v>
      </c>
      <c r="F4482" t="s">
        <v>41</v>
      </c>
      <c r="G4482">
        <v>-267.04270000000002</v>
      </c>
      <c r="H4482" s="1">
        <v>-1.4599049999999999E-6</v>
      </c>
      <c r="I4482">
        <v>140.40129999999999</v>
      </c>
      <c r="J4482">
        <v>-252.9271</v>
      </c>
      <c r="K4482">
        <v>1.1090329999999999</v>
      </c>
      <c r="L4482">
        <v>141.4657</v>
      </c>
      <c r="M4482">
        <v>-0.9999768</v>
      </c>
      <c r="N4482">
        <v>0</v>
      </c>
      <c r="O4482">
        <v>-3.1377050000000001E-4</v>
      </c>
      <c r="P4482">
        <v>-0.98871140000000002</v>
      </c>
      <c r="Q4482">
        <v>0.14594660000000001</v>
      </c>
      <c r="R4482">
        <v>3.3905610000000003E-2</v>
      </c>
      <c r="S4482">
        <v>-3.0766450000000001</v>
      </c>
      <c r="T4482">
        <v>-0.23447219999999999</v>
      </c>
      <c r="U4482">
        <v>-0.2250519</v>
      </c>
      <c r="V4482">
        <v>3.4224409999999997E-2</v>
      </c>
      <c r="W4482">
        <v>0.15269089999999999</v>
      </c>
      <c r="X4482">
        <v>0.98768120000000004</v>
      </c>
      <c r="Y4482">
        <v>-7.2432590000000005E-2</v>
      </c>
      <c r="Z4482">
        <v>-2.728552E-3</v>
      </c>
      <c r="AA4482">
        <v>0.99736959999999997</v>
      </c>
      <c r="AB4482">
        <v>42</v>
      </c>
      <c r="AC4482">
        <v>-14.115600000000001</v>
      </c>
      <c r="AD4482">
        <v>-1.1090344599049999</v>
      </c>
      <c r="AE4482">
        <v>-1.0644</v>
      </c>
      <c r="AF4482">
        <v>-1.05350434550329</v>
      </c>
      <c r="AG4482">
        <v>-1.1090344599049999</v>
      </c>
      <c r="AH4482">
        <v>14.029817855107</v>
      </c>
      <c r="AI4482">
        <v>94.507104016461795</v>
      </c>
      <c r="AJ4482">
        <v>94.294302686328393</v>
      </c>
      <c r="AK4482">
        <v>14.112959217922</v>
      </c>
      <c r="AL4482">
        <v>81.217099388009004</v>
      </c>
      <c r="AM4482">
        <v>88.015422401438101</v>
      </c>
      <c r="AN4482">
        <v>0.99999998700804804</v>
      </c>
    </row>
    <row r="4483" spans="1:40" x14ac:dyDescent="0.25">
      <c r="A4483" t="str">
        <f>"20190312164117349"</f>
        <v>20190312164117349</v>
      </c>
      <c r="B4483" t="str">
        <f>"1552380077340930"</f>
        <v>1552380077340930</v>
      </c>
      <c r="C4483" t="s">
        <v>40</v>
      </c>
      <c r="D4483">
        <v>5.4432850000000004</v>
      </c>
      <c r="E4483">
        <v>0.48060449999999999</v>
      </c>
      <c r="F4483" t="s">
        <v>41</v>
      </c>
      <c r="G4483">
        <v>-267.47199999999998</v>
      </c>
      <c r="H4483" s="1">
        <v>-1.281578E-6</v>
      </c>
      <c r="I4483">
        <v>140.42320000000001</v>
      </c>
      <c r="J4483">
        <v>-253.35120000000001</v>
      </c>
      <c r="K4483">
        <v>1.10903</v>
      </c>
      <c r="L4483">
        <v>141.46559999999999</v>
      </c>
      <c r="M4483">
        <v>-0.99997659999999999</v>
      </c>
      <c r="N4483">
        <v>0</v>
      </c>
      <c r="O4483">
        <v>-3.1358109999999999E-4</v>
      </c>
      <c r="P4483">
        <v>-0.98879499999999998</v>
      </c>
      <c r="Q4483">
        <v>0.14534849999999999</v>
      </c>
      <c r="R4483">
        <v>3.4034920000000003E-2</v>
      </c>
      <c r="S4483">
        <v>-3.076416</v>
      </c>
      <c r="T4483">
        <v>-0.2345749</v>
      </c>
      <c r="U4483">
        <v>-0.22047420000000001</v>
      </c>
      <c r="V4483">
        <v>3.435303E-2</v>
      </c>
      <c r="W4483">
        <v>0.15210379999999901</v>
      </c>
      <c r="X4483">
        <v>0.98776730000000001</v>
      </c>
      <c r="Y4483">
        <v>-7.0965769999999997E-2</v>
      </c>
      <c r="Z4483">
        <v>-2.6743370000000002E-3</v>
      </c>
      <c r="AA4483">
        <v>0.99747509999999995</v>
      </c>
      <c r="AB4483">
        <v>42</v>
      </c>
      <c r="AC4483">
        <v>-14.1207999999999</v>
      </c>
      <c r="AD4483">
        <v>-1.1090312815779999</v>
      </c>
      <c r="AE4483">
        <v>-1.04239999999998</v>
      </c>
      <c r="AF4483">
        <v>-1.0316427854752599</v>
      </c>
      <c r="AG4483">
        <v>-1.1090312815779999</v>
      </c>
      <c r="AH4483">
        <v>14.0350224785095</v>
      </c>
      <c r="AI4483">
        <v>94.505952339867406</v>
      </c>
      <c r="AJ4483">
        <v>94.203959569235906</v>
      </c>
      <c r="AK4483">
        <v>14.1165184515378</v>
      </c>
      <c r="AL4483">
        <v>81.251135134917803</v>
      </c>
      <c r="AM4483">
        <v>88.008143583752698</v>
      </c>
      <c r="AN4483">
        <v>0.99999996779695399</v>
      </c>
    </row>
    <row r="4484" spans="1:40" x14ac:dyDescent="0.25">
      <c r="A4484" t="str">
        <f>"20190312164117372"</f>
        <v>20190312164117372</v>
      </c>
      <c r="B4484" t="str">
        <f>"1552380077360450"</f>
        <v>1552380077360450</v>
      </c>
      <c r="C4484" t="s">
        <v>40</v>
      </c>
      <c r="D4484">
        <v>5.3844289999999999</v>
      </c>
      <c r="E4484">
        <v>0.48937360000000002</v>
      </c>
      <c r="F4484" t="s">
        <v>42</v>
      </c>
      <c r="G4484">
        <v>-254.23830000000001</v>
      </c>
      <c r="H4484">
        <v>1.0318969999999901</v>
      </c>
      <c r="I4484">
        <v>141.43989999999999</v>
      </c>
      <c r="J4484">
        <v>-253.7758</v>
      </c>
      <c r="K4484">
        <v>1.109027</v>
      </c>
      <c r="L4484">
        <v>141.46539999999999</v>
      </c>
      <c r="M4484">
        <v>-0.99997659999999999</v>
      </c>
      <c r="N4484">
        <v>0</v>
      </c>
      <c r="O4484">
        <v>-3.1362339999999999E-4</v>
      </c>
      <c r="P4484">
        <v>-0.98889950000000004</v>
      </c>
      <c r="Q4484">
        <v>0.14458570000000001</v>
      </c>
      <c r="R4484">
        <v>3.424986E-2</v>
      </c>
      <c r="S4484">
        <v>-3.0764010000000002</v>
      </c>
      <c r="T4484">
        <v>-0.2674937</v>
      </c>
      <c r="U4484">
        <v>-8.9447020000000002E-2</v>
      </c>
      <c r="V4484">
        <v>3.456762E-2</v>
      </c>
      <c r="W4484">
        <v>0.15135109999999999</v>
      </c>
      <c r="X4484">
        <v>0.98787550000000002</v>
      </c>
      <c r="Y4484">
        <v>-2.864264E-2</v>
      </c>
      <c r="Z4484">
        <v>-1.215423E-3</v>
      </c>
      <c r="AA4484">
        <v>0.99958899999999995</v>
      </c>
      <c r="AB4484">
        <v>42</v>
      </c>
      <c r="AC4484">
        <v>-0.46250000000000502</v>
      </c>
      <c r="AD4484">
        <v>-7.7130000000000101E-2</v>
      </c>
      <c r="AE4484">
        <v>-2.5499999999993798E-2</v>
      </c>
      <c r="AF4484">
        <v>-2.4670891415536501E-2</v>
      </c>
      <c r="AG4484">
        <v>-7.7130000000000101E-2</v>
      </c>
      <c r="AH4484">
        <v>0.45002993438690497</v>
      </c>
      <c r="AI4484">
        <v>99.711050603803798</v>
      </c>
      <c r="AJ4484">
        <v>93.137845647194794</v>
      </c>
      <c r="AK4484">
        <v>0.45725772998115499</v>
      </c>
      <c r="AL4484">
        <v>81.294767452700199</v>
      </c>
      <c r="AM4484">
        <v>87.995930695617901</v>
      </c>
      <c r="AN4484">
        <v>1.0000000396619599</v>
      </c>
    </row>
    <row r="4485" spans="1:40" x14ac:dyDescent="0.25">
      <c r="A4485" t="str">
        <f>"20190312164117394"</f>
        <v>20190312164117394</v>
      </c>
      <c r="B4485" t="str">
        <f>"1552380077390706"</f>
        <v>1552380077390706</v>
      </c>
      <c r="C4485" t="s">
        <v>40</v>
      </c>
      <c r="D4485">
        <v>5.3343699999999998</v>
      </c>
      <c r="E4485">
        <v>0.48860789999999998</v>
      </c>
      <c r="F4485" t="s">
        <v>41</v>
      </c>
      <c r="G4485">
        <v>-273.01159999999999</v>
      </c>
      <c r="H4485" s="1">
        <v>-3.449584E-6</v>
      </c>
      <c r="I4485">
        <v>141.37979999999999</v>
      </c>
      <c r="J4485">
        <v>-254.2004</v>
      </c>
      <c r="K4485">
        <v>1.1090249999999999</v>
      </c>
      <c r="L4485">
        <v>141.46530000000001</v>
      </c>
      <c r="M4485">
        <v>-0.99997650000000005</v>
      </c>
      <c r="N4485">
        <v>0</v>
      </c>
      <c r="O4485">
        <v>-3.1390230000000001E-4</v>
      </c>
      <c r="P4485">
        <v>-0.98903229999999998</v>
      </c>
      <c r="Q4485">
        <v>0.14359149999999901</v>
      </c>
      <c r="R4485">
        <v>3.4591980000000001E-2</v>
      </c>
      <c r="S4485">
        <v>-3.0599370000000001</v>
      </c>
      <c r="T4485">
        <v>-0.1764194</v>
      </c>
      <c r="U4485">
        <v>-1.3610840000000001E-2</v>
      </c>
      <c r="V4485">
        <v>3.4909540000000003E-2</v>
      </c>
      <c r="W4485">
        <v>0.15036679999999999</v>
      </c>
      <c r="X4485">
        <v>0.98801369999999999</v>
      </c>
      <c r="Y4485">
        <v>-4.1277950000000001E-3</v>
      </c>
      <c r="Z4485">
        <v>-1.0081059999999999E-4</v>
      </c>
      <c r="AA4485">
        <v>0.99999150000000003</v>
      </c>
      <c r="AB4485">
        <v>42</v>
      </c>
      <c r="AC4485">
        <v>-18.8111999999999</v>
      </c>
      <c r="AD4485">
        <v>-1.1090284495839999</v>
      </c>
      <c r="AE4485">
        <v>-8.5500000000024501E-2</v>
      </c>
      <c r="AF4485">
        <v>-7.9319287607815994E-2</v>
      </c>
      <c r="AG4485">
        <v>-1.1090284495839999</v>
      </c>
      <c r="AH4485">
        <v>18.7460700292966</v>
      </c>
      <c r="AI4485">
        <v>93.385675255164003</v>
      </c>
      <c r="AJ4485">
        <v>90.242431255477797</v>
      </c>
      <c r="AK4485">
        <v>18.779014276438101</v>
      </c>
      <c r="AL4485">
        <v>81.351815913282806</v>
      </c>
      <c r="AM4485">
        <v>87.9764070314598</v>
      </c>
      <c r="AN4485">
        <v>0.99999996095647004</v>
      </c>
    </row>
    <row r="4486" spans="1:40" x14ac:dyDescent="0.25">
      <c r="A4486" t="str">
        <f>"20190312164117417"</f>
        <v>20190312164117417</v>
      </c>
      <c r="B4486" t="str">
        <f>"1552380077410226"</f>
        <v>1552380077410226</v>
      </c>
      <c r="C4486" t="s">
        <v>40</v>
      </c>
      <c r="D4486">
        <v>5.3310659999999999</v>
      </c>
      <c r="E4486">
        <v>0.48839909999999997</v>
      </c>
      <c r="F4486" t="s">
        <v>41</v>
      </c>
      <c r="G4486">
        <v>-273.1103</v>
      </c>
      <c r="H4486" s="1">
        <v>-3.3997919999999998E-6</v>
      </c>
      <c r="I4486">
        <v>141.3518</v>
      </c>
      <c r="J4486">
        <v>-254.6156</v>
      </c>
      <c r="K4486">
        <v>1.1090180000000001</v>
      </c>
      <c r="L4486">
        <v>141.46520000000001</v>
      </c>
      <c r="M4486">
        <v>-0.99997650000000005</v>
      </c>
      <c r="N4486">
        <v>0</v>
      </c>
      <c r="O4486">
        <v>-3.141811E-4</v>
      </c>
      <c r="P4486">
        <v>-0.98912129999999998</v>
      </c>
      <c r="Q4486">
        <v>0.1429078</v>
      </c>
      <c r="R4486">
        <v>3.488426E-2</v>
      </c>
      <c r="S4486">
        <v>-3.059952</v>
      </c>
      <c r="T4486">
        <v>-0.17946039999999999</v>
      </c>
      <c r="U4486">
        <v>-1.8356319999999999E-2</v>
      </c>
      <c r="V4486">
        <v>3.5201780000000002E-2</v>
      </c>
      <c r="W4486">
        <v>0.1496941</v>
      </c>
      <c r="X4486">
        <v>0.98810549999999997</v>
      </c>
      <c r="Y4486">
        <v>-5.6753910000000001E-3</v>
      </c>
      <c r="Z4486">
        <v>-1.4787059999999999E-4</v>
      </c>
      <c r="AA4486">
        <v>0.99998390000000004</v>
      </c>
      <c r="AB4486">
        <v>42</v>
      </c>
      <c r="AC4486">
        <v>-18.494699999999899</v>
      </c>
      <c r="AD4486">
        <v>-1.109021399792</v>
      </c>
      <c r="AE4486">
        <v>-0.11340000000001201</v>
      </c>
      <c r="AF4486">
        <v>-0.107203713428316</v>
      </c>
      <c r="AG4486">
        <v>-1.109021399792</v>
      </c>
      <c r="AH4486">
        <v>18.428473666672499</v>
      </c>
      <c r="AI4486">
        <v>93.443835525084495</v>
      </c>
      <c r="AJ4486">
        <v>90.333302212273097</v>
      </c>
      <c r="AK4486">
        <v>18.462125088532201</v>
      </c>
      <c r="AL4486">
        <v>81.390800233053994</v>
      </c>
      <c r="AM4486">
        <v>87.959670500440097</v>
      </c>
      <c r="AN4486">
        <v>0.99999998401011403</v>
      </c>
    </row>
    <row r="4487" spans="1:40" x14ac:dyDescent="0.25">
      <c r="A4487" t="str">
        <f>"20190312164117440"</f>
        <v>20190312164117440</v>
      </c>
      <c r="B4487" t="str">
        <f>"1552380077430254"</f>
        <v>1552380077430254</v>
      </c>
      <c r="C4487" t="s">
        <v>40</v>
      </c>
      <c r="D4487">
        <v>5.3161639999999997</v>
      </c>
      <c r="E4487">
        <v>0.48836829999999998</v>
      </c>
      <c r="F4487" t="s">
        <v>41</v>
      </c>
      <c r="G4487">
        <v>-273.54790000000003</v>
      </c>
      <c r="H4487" s="1">
        <v>-3.2099700000000002E-6</v>
      </c>
      <c r="I4487">
        <v>141.34399999999999</v>
      </c>
      <c r="J4487">
        <v>-255.0564</v>
      </c>
      <c r="K4487">
        <v>1.109008</v>
      </c>
      <c r="L4487">
        <v>141.465</v>
      </c>
      <c r="M4487">
        <v>-0.99997639999999999</v>
      </c>
      <c r="N4487">
        <v>0</v>
      </c>
      <c r="O4487">
        <v>-3.1458359999999999E-4</v>
      </c>
      <c r="P4487">
        <v>-0.98919550000000001</v>
      </c>
      <c r="Q4487">
        <v>0.14234939999999999</v>
      </c>
      <c r="R4487">
        <v>3.5059029999999998E-2</v>
      </c>
      <c r="S4487">
        <v>-3.0595699999999999</v>
      </c>
      <c r="T4487">
        <v>-0.1792251</v>
      </c>
      <c r="U4487">
        <v>-1.9577029999999999E-2</v>
      </c>
      <c r="V4487">
        <v>3.5376709999999999E-2</v>
      </c>
      <c r="W4487">
        <v>0.14914720000000001</v>
      </c>
      <c r="X4487">
        <v>0.98818189999999995</v>
      </c>
      <c r="Y4487">
        <v>-6.0740319999999896E-3</v>
      </c>
      <c r="Z4487">
        <v>-1.5933740000000001E-4</v>
      </c>
      <c r="AA4487">
        <v>0.99998149999999997</v>
      </c>
      <c r="AB4487">
        <v>42</v>
      </c>
      <c r="AC4487">
        <v>-18.491499999999998</v>
      </c>
      <c r="AD4487">
        <v>-1.10901120997</v>
      </c>
      <c r="AE4487">
        <v>-0.121000000000009</v>
      </c>
      <c r="AF4487">
        <v>-0.114769936800172</v>
      </c>
      <c r="AG4487">
        <v>-1.10901120997</v>
      </c>
      <c r="AH4487">
        <v>18.425266266168901</v>
      </c>
      <c r="AI4487">
        <v>93.444393480674805</v>
      </c>
      <c r="AJ4487">
        <v>90.356887539846895</v>
      </c>
      <c r="AK4487">
        <v>18.458968415961198</v>
      </c>
      <c r="AL4487">
        <v>81.422490626715899</v>
      </c>
      <c r="AM4487">
        <v>87.949698413770605</v>
      </c>
      <c r="AN4487">
        <v>0.99999993318293401</v>
      </c>
    </row>
    <row r="4488" spans="1:40" x14ac:dyDescent="0.25">
      <c r="A4488" t="str">
        <f>"20190312164117460"</f>
        <v>20190312164117460</v>
      </c>
      <c r="B4488" t="str">
        <f>"1552380077450749"</f>
        <v>1552380077450749</v>
      </c>
      <c r="C4488" t="s">
        <v>40</v>
      </c>
      <c r="D4488">
        <v>5.4783019999999896</v>
      </c>
      <c r="E4488">
        <v>0.4882765</v>
      </c>
      <c r="F4488" t="s">
        <v>41</v>
      </c>
      <c r="G4488">
        <v>-273.80189999999999</v>
      </c>
      <c r="H4488" s="1">
        <v>-3.101053E-6</v>
      </c>
      <c r="I4488">
        <v>141.3442</v>
      </c>
      <c r="J4488">
        <v>-255.46289999999999</v>
      </c>
      <c r="K4488">
        <v>1.1090059999999999</v>
      </c>
      <c r="L4488">
        <v>141.4649</v>
      </c>
      <c r="M4488">
        <v>-0.99997630000000004</v>
      </c>
      <c r="N4488">
        <v>0</v>
      </c>
      <c r="O4488">
        <v>-3.1498509999999997E-4</v>
      </c>
      <c r="P4488">
        <v>-0.98925229999999997</v>
      </c>
      <c r="Q4488">
        <v>0.14197100000000001</v>
      </c>
      <c r="R4488">
        <v>3.4991410000000001E-2</v>
      </c>
      <c r="S4488">
        <v>-3.0595089999999998</v>
      </c>
      <c r="T4488">
        <v>-0.181005</v>
      </c>
      <c r="U4488">
        <v>-1.971436E-2</v>
      </c>
      <c r="V4488">
        <v>3.5309340000000002E-2</v>
      </c>
      <c r="W4488">
        <v>0.14878079999999999</v>
      </c>
      <c r="X4488">
        <v>0.9882396</v>
      </c>
      <c r="Y4488">
        <v>-6.1183660000000001E-3</v>
      </c>
      <c r="Z4488">
        <v>-1.622068E-4</v>
      </c>
      <c r="AA4488">
        <v>0.99998129999999996</v>
      </c>
      <c r="AB4488">
        <v>43</v>
      </c>
      <c r="AC4488">
        <v>-18.338999999999999</v>
      </c>
      <c r="AD4488">
        <v>-1.1090091010530001</v>
      </c>
      <c r="AE4488">
        <v>-0.120699999999999</v>
      </c>
      <c r="AF4488">
        <v>-0.11450462618769</v>
      </c>
      <c r="AG4488">
        <v>-1.1090091010530001</v>
      </c>
      <c r="AH4488">
        <v>18.272219427200501</v>
      </c>
      <c r="AI4488">
        <v>93.473165747060605</v>
      </c>
      <c r="AJ4488">
        <v>90.359044831103404</v>
      </c>
      <c r="AK4488">
        <v>18.3062015527908</v>
      </c>
      <c r="AL4488">
        <v>81.443721176093007</v>
      </c>
      <c r="AM4488">
        <v>87.953718984603597</v>
      </c>
      <c r="AN4488">
        <v>0.99999999147401697</v>
      </c>
    </row>
    <row r="4489" spans="1:40" x14ac:dyDescent="0.25">
      <c r="A4489" t="str">
        <f>"20190312164117482"</f>
        <v>20190312164117482</v>
      </c>
      <c r="B4489" t="str">
        <f>"1552380077470269"</f>
        <v>1552380077470269</v>
      </c>
      <c r="C4489" t="s">
        <v>40</v>
      </c>
      <c r="D4489">
        <v>5.2860760000000004</v>
      </c>
      <c r="E4489">
        <v>0.48821710000000001</v>
      </c>
      <c r="F4489" t="s">
        <v>41</v>
      </c>
      <c r="G4489">
        <v>-274.2654</v>
      </c>
      <c r="H4489" s="1">
        <v>-2.900491E-6</v>
      </c>
      <c r="I4489">
        <v>141.33760000000001</v>
      </c>
      <c r="J4489">
        <v>-255.88200000000001</v>
      </c>
      <c r="K4489">
        <v>1.1090040000000001</v>
      </c>
      <c r="L4489">
        <v>141.4648</v>
      </c>
      <c r="M4489">
        <v>-0.99997619999999998</v>
      </c>
      <c r="N4489">
        <v>0</v>
      </c>
      <c r="O4489">
        <v>-3.1706589999999998E-4</v>
      </c>
      <c r="P4489">
        <v>-0.98933040000000005</v>
      </c>
      <c r="Q4489">
        <v>0.14148569999999999</v>
      </c>
      <c r="R4489">
        <v>3.4748979999999999E-2</v>
      </c>
      <c r="S4489">
        <v>-3.0592350000000001</v>
      </c>
      <c r="T4489">
        <v>-0.18044089999999999</v>
      </c>
      <c r="U4489">
        <v>-2.0706180000000001E-2</v>
      </c>
      <c r="V4489">
        <v>3.5068500000000002E-2</v>
      </c>
      <c r="W4489">
        <v>0.14830879999999999</v>
      </c>
      <c r="X4489">
        <v>0.98831919999999995</v>
      </c>
      <c r="Y4489">
        <v>-6.4405549999999997E-3</v>
      </c>
      <c r="Z4489">
        <v>-1.7108720000000001E-4</v>
      </c>
      <c r="AA4489">
        <v>0.99997930000000002</v>
      </c>
      <c r="AB4489">
        <v>43</v>
      </c>
      <c r="AC4489">
        <v>-18.383399999999899</v>
      </c>
      <c r="AD4489">
        <v>-1.1090069004909999</v>
      </c>
      <c r="AE4489">
        <v>-0.12719999999998699</v>
      </c>
      <c r="AF4489">
        <v>-0.120931023748646</v>
      </c>
      <c r="AG4489">
        <v>-1.1090069004909999</v>
      </c>
      <c r="AH4489">
        <v>18.3167824912295</v>
      </c>
      <c r="AI4489">
        <v>93.464722139051304</v>
      </c>
      <c r="AJ4489">
        <v>90.378272581727003</v>
      </c>
      <c r="AK4489">
        <v>18.350723185990599</v>
      </c>
      <c r="AL4489">
        <v>81.471068859742701</v>
      </c>
      <c r="AM4489">
        <v>87.967828181263997</v>
      </c>
      <c r="AN4489">
        <v>1.0000000704691601</v>
      </c>
    </row>
    <row r="4490" spans="1:40" x14ac:dyDescent="0.25">
      <c r="A4490" t="str">
        <f>"20190312164117505"</f>
        <v>20190312164117505</v>
      </c>
      <c r="B4490" t="str">
        <f>"1552380077500525"</f>
        <v>1552380077500525</v>
      </c>
      <c r="C4490" t="s">
        <v>40</v>
      </c>
      <c r="D4490">
        <v>5.4563490000000003</v>
      </c>
      <c r="E4490">
        <v>0.48885269999999997</v>
      </c>
      <c r="F4490" t="s">
        <v>41</v>
      </c>
      <c r="G4490">
        <v>-274.4907</v>
      </c>
      <c r="H4490" s="1">
        <v>-2.802269E-6</v>
      </c>
      <c r="I4490">
        <v>141.33179999999999</v>
      </c>
      <c r="J4490">
        <v>-256.30779999999999</v>
      </c>
      <c r="K4490">
        <v>1.1090100000000001</v>
      </c>
      <c r="L4490">
        <v>141.46459999999999</v>
      </c>
      <c r="M4490">
        <v>-0.99997610000000003</v>
      </c>
      <c r="N4490">
        <v>0</v>
      </c>
      <c r="O4490">
        <v>-3.3099349999999997E-4</v>
      </c>
      <c r="P4490">
        <v>-0.9892997</v>
      </c>
      <c r="Q4490">
        <v>0.14160539999999999</v>
      </c>
      <c r="R4490">
        <v>3.5132589999999998E-2</v>
      </c>
      <c r="S4490">
        <v>-3.0592039999999998</v>
      </c>
      <c r="T4490">
        <v>-0.1823168</v>
      </c>
      <c r="U4490">
        <v>-2.185059E-2</v>
      </c>
      <c r="V4490">
        <v>3.5463699999999897E-2</v>
      </c>
      <c r="W4490">
        <v>0.1484432</v>
      </c>
      <c r="X4490">
        <v>0.98828479999999996</v>
      </c>
      <c r="Y4490">
        <v>-6.7999189999999998E-3</v>
      </c>
      <c r="Z4490">
        <v>-1.8273359999999999E-4</v>
      </c>
      <c r="AA4490">
        <v>0.99997689999999995</v>
      </c>
      <c r="AB4490">
        <v>43</v>
      </c>
      <c r="AC4490">
        <v>-18.1829</v>
      </c>
      <c r="AD4490">
        <v>-1.109012802269</v>
      </c>
      <c r="AE4490">
        <v>-0.132800000000003</v>
      </c>
      <c r="AF4490">
        <v>-0.126311569328585</v>
      </c>
      <c r="AG4490">
        <v>-1.109012802269</v>
      </c>
      <c r="AH4490">
        <v>18.115556084946199</v>
      </c>
      <c r="AI4490">
        <v>93.503122541337703</v>
      </c>
      <c r="AJ4490">
        <v>90.399491051489093</v>
      </c>
      <c r="AK4490">
        <v>18.149910089997</v>
      </c>
      <c r="AL4490">
        <v>81.463281095415297</v>
      </c>
      <c r="AM4490">
        <v>87.944874935902007</v>
      </c>
      <c r="AN4490">
        <v>0.99999995177748302</v>
      </c>
    </row>
    <row r="4491" spans="1:40" x14ac:dyDescent="0.25">
      <c r="A4491" t="str">
        <f>"20190312164117539"</f>
        <v>20190312164117539</v>
      </c>
      <c r="B4491" t="str">
        <f>"1552380077530781"</f>
        <v>1552380077530781</v>
      </c>
      <c r="C4491" t="s">
        <v>40</v>
      </c>
      <c r="D4491">
        <v>5.4763590000000004</v>
      </c>
      <c r="E4491">
        <v>0.48875350000000001</v>
      </c>
      <c r="F4491" t="s">
        <v>41</v>
      </c>
      <c r="G4491">
        <v>-274.10199999999998</v>
      </c>
      <c r="H4491" s="1">
        <v>-2.9779100000000002E-6</v>
      </c>
      <c r="I4491">
        <v>141.36510000000001</v>
      </c>
      <c r="J4491">
        <v>-256.96910000000003</v>
      </c>
      <c r="K4491">
        <v>1.10904</v>
      </c>
      <c r="L4491">
        <v>141.46440000000001</v>
      </c>
      <c r="M4491">
        <v>-0.99997599999999998</v>
      </c>
      <c r="N4491">
        <v>0</v>
      </c>
      <c r="O4491">
        <v>-4.0378130000000002E-4</v>
      </c>
      <c r="P4491">
        <v>-0.98928199999999999</v>
      </c>
      <c r="Q4491">
        <v>0.141572</v>
      </c>
      <c r="R4491">
        <v>3.5762250000000002E-2</v>
      </c>
      <c r="S4491">
        <v>-3.0603639999999999</v>
      </c>
      <c r="T4491">
        <v>-0.1907363</v>
      </c>
      <c r="U4491">
        <v>-1.7105099999999901E-2</v>
      </c>
      <c r="V4491">
        <v>3.6155630000000001E-2</v>
      </c>
      <c r="W4491">
        <v>0.14843509999999999</v>
      </c>
      <c r="X4491">
        <v>0.98826099999999995</v>
      </c>
      <c r="Y4491">
        <v>-5.1761059999999998E-3</v>
      </c>
      <c r="Z4491">
        <v>-1.36000499999999E-4</v>
      </c>
      <c r="AA4491">
        <v>0.99998659999999995</v>
      </c>
      <c r="AB4491">
        <v>43</v>
      </c>
      <c r="AC4491">
        <v>-17.132899999999999</v>
      </c>
      <c r="AD4491">
        <v>-1.1090429779099999</v>
      </c>
      <c r="AE4491">
        <v>-9.92999999999995E-2</v>
      </c>
      <c r="AF4491">
        <v>-9.1996411172782303E-2</v>
      </c>
      <c r="AG4491">
        <v>-1.1090429779099999</v>
      </c>
      <c r="AH4491">
        <v>17.061450173108899</v>
      </c>
      <c r="AI4491">
        <v>93.719102972052696</v>
      </c>
      <c r="AJ4491">
        <v>90.308939448539505</v>
      </c>
      <c r="AK4491">
        <v>17.0977051581783</v>
      </c>
      <c r="AL4491">
        <v>81.463750859266696</v>
      </c>
      <c r="AM4491">
        <v>87.904762503203401</v>
      </c>
      <c r="AN4491">
        <v>1.0000000063068499</v>
      </c>
    </row>
    <row r="4492" spans="1:40" x14ac:dyDescent="0.25">
      <c r="A4492" t="str">
        <f>"20190312164117561"</f>
        <v>20190312164117561</v>
      </c>
      <c r="B4492" t="str">
        <f>"1552380077550301"</f>
        <v>1552380077550301</v>
      </c>
      <c r="C4492" t="s">
        <v>40</v>
      </c>
      <c r="D4492">
        <v>5.3690629999999997</v>
      </c>
      <c r="E4492">
        <v>0.48912660000000002</v>
      </c>
      <c r="F4492" t="s">
        <v>42</v>
      </c>
      <c r="G4492">
        <v>-258.06049999999999</v>
      </c>
      <c r="H4492">
        <v>1.041668</v>
      </c>
      <c r="I4492">
        <v>141.4589</v>
      </c>
      <c r="J4492">
        <v>-257.3861</v>
      </c>
      <c r="K4492">
        <v>1.1090709999999999</v>
      </c>
      <c r="L4492">
        <v>141.4641</v>
      </c>
      <c r="M4492">
        <v>-0.99997570000000002</v>
      </c>
      <c r="N4492">
        <v>0</v>
      </c>
      <c r="O4492">
        <v>-5.0340870000000002E-4</v>
      </c>
      <c r="P4492">
        <v>-0.98922940000000004</v>
      </c>
      <c r="Q4492">
        <v>0.14180319999999999</v>
      </c>
      <c r="R4492">
        <v>3.6294649999999998E-2</v>
      </c>
      <c r="S4492">
        <v>-3.06012</v>
      </c>
      <c r="T4492">
        <v>-0.1889266</v>
      </c>
      <c r="U4492">
        <v>-1.5731809999999999E-2</v>
      </c>
      <c r="V4492">
        <v>3.6775059999999998E-2</v>
      </c>
      <c r="W4492">
        <v>0.14868509999999999</v>
      </c>
      <c r="X4492">
        <v>0.98820050000000004</v>
      </c>
      <c r="Y4492">
        <v>-4.6295759999999998E-3</v>
      </c>
      <c r="Z4492">
        <v>-1.117237E-4</v>
      </c>
      <c r="AA4492">
        <v>0.99998929999999997</v>
      </c>
      <c r="AB4492">
        <v>43</v>
      </c>
      <c r="AC4492">
        <v>-0.67439999999999101</v>
      </c>
      <c r="AD4492">
        <v>-6.7402999999999796E-2</v>
      </c>
      <c r="AE4492">
        <v>-5.2000000000020901E-3</v>
      </c>
      <c r="AF4492">
        <v>-4.81242371829637E-3</v>
      </c>
      <c r="AG4492">
        <v>-6.7402999999999796E-2</v>
      </c>
      <c r="AH4492">
        <v>0.66773292444693899</v>
      </c>
      <c r="AI4492">
        <v>95.763937419218806</v>
      </c>
      <c r="AJ4492">
        <v>90.4129297572224</v>
      </c>
      <c r="AK4492">
        <v>0.67114348854883898</v>
      </c>
      <c r="AL4492">
        <v>81.449265664841903</v>
      </c>
      <c r="AM4492">
        <v>87.868768682475903</v>
      </c>
      <c r="AN4492">
        <v>0.99999994610012999</v>
      </c>
    </row>
    <row r="4493" spans="1:40" x14ac:dyDescent="0.25">
      <c r="A4493" t="str">
        <f>"20190312164117584"</f>
        <v>20190312164117584</v>
      </c>
      <c r="B4493" t="str">
        <f>"1552380077580557"</f>
        <v>1552380077580557</v>
      </c>
      <c r="C4493" t="s">
        <v>40</v>
      </c>
      <c r="D4493">
        <v>5.328665</v>
      </c>
      <c r="E4493">
        <v>0.48894549999999998</v>
      </c>
      <c r="F4493" t="s">
        <v>42</v>
      </c>
      <c r="G4493">
        <v>-258.44729999999998</v>
      </c>
      <c r="H4493">
        <v>1.0427010000000001</v>
      </c>
      <c r="I4493">
        <v>141.4607</v>
      </c>
      <c r="J4493">
        <v>-257.82420000000002</v>
      </c>
      <c r="K4493">
        <v>1.10911</v>
      </c>
      <c r="L4493">
        <v>141.46379999999999</v>
      </c>
      <c r="M4493">
        <v>-0.99997559999999996</v>
      </c>
      <c r="N4493">
        <v>0</v>
      </c>
      <c r="O4493">
        <v>-6.5210219999999996E-4</v>
      </c>
      <c r="P4493">
        <v>-0.98922909999999997</v>
      </c>
      <c r="Q4493">
        <v>0.14179059999999999</v>
      </c>
      <c r="R4493">
        <v>3.6351189999999999E-2</v>
      </c>
      <c r="S4493">
        <v>-3.0605470000000001</v>
      </c>
      <c r="T4493">
        <v>-0.191581</v>
      </c>
      <c r="U4493">
        <v>-1.1108399999999999E-2</v>
      </c>
      <c r="V4493">
        <v>3.6964629999999998E-2</v>
      </c>
      <c r="W4493">
        <v>0.14869350000000001</v>
      </c>
      <c r="X4493">
        <v>0.98819219999999997</v>
      </c>
      <c r="Y4493">
        <v>-2.9728670000000001E-3</v>
      </c>
      <c r="Z4493" s="1">
        <v>-5.217441E-5</v>
      </c>
      <c r="AA4493">
        <v>0.99999559999999998</v>
      </c>
      <c r="AB4493">
        <v>43</v>
      </c>
      <c r="AC4493">
        <v>-0.62309999999996502</v>
      </c>
      <c r="AD4493">
        <v>-6.6408999999999899E-2</v>
      </c>
      <c r="AE4493">
        <v>-3.0999999999892199E-3</v>
      </c>
      <c r="AF4493">
        <v>-2.66341180583838E-3</v>
      </c>
      <c r="AG4493">
        <v>-6.6408999999999899E-2</v>
      </c>
      <c r="AH4493">
        <v>0.61610376733037198</v>
      </c>
      <c r="AI4493">
        <v>96.152025894173207</v>
      </c>
      <c r="AJ4493">
        <v>90.247687667335796</v>
      </c>
      <c r="AK4493">
        <v>0.61967822388891802</v>
      </c>
      <c r="AL4493">
        <v>81.448779283548802</v>
      </c>
      <c r="AM4493">
        <v>87.857774733315495</v>
      </c>
      <c r="AN4493">
        <v>0.99999998247706301</v>
      </c>
    </row>
    <row r="4494" spans="1:40" x14ac:dyDescent="0.25">
      <c r="A4494" t="str">
        <f>"20190312164117607"</f>
        <v>20190312164117607</v>
      </c>
      <c r="B4494" t="str">
        <f>"1552380077601053"</f>
        <v>1552380077601053</v>
      </c>
      <c r="C4494" t="s">
        <v>40</v>
      </c>
      <c r="D4494">
        <v>5.3191350000000002</v>
      </c>
      <c r="E4494">
        <v>0.48895309999999997</v>
      </c>
      <c r="F4494" t="s">
        <v>41</v>
      </c>
      <c r="G4494">
        <v>-275.35149999999999</v>
      </c>
      <c r="H4494" s="1">
        <v>-2.450135E-6</v>
      </c>
      <c r="I4494">
        <v>141.39619999999999</v>
      </c>
      <c r="J4494">
        <v>-258.27710000000002</v>
      </c>
      <c r="K4494">
        <v>1.1091500000000001</v>
      </c>
      <c r="L4494">
        <v>141.4633</v>
      </c>
      <c r="M4494">
        <v>-0.99997530000000001</v>
      </c>
      <c r="N4494">
        <v>0</v>
      </c>
      <c r="O4494">
        <v>-8.5951149999999896E-4</v>
      </c>
      <c r="P4494">
        <v>-0.98914610000000003</v>
      </c>
      <c r="Q4494">
        <v>0.1421675</v>
      </c>
      <c r="R4494">
        <v>3.7131030000000002E-2</v>
      </c>
      <c r="S4494">
        <v>-3.0608520000000001</v>
      </c>
      <c r="T4494">
        <v>-0.19368879999999999</v>
      </c>
      <c r="U4494">
        <v>-1.177979E-2</v>
      </c>
      <c r="V4494">
        <v>3.7933429999999997E-2</v>
      </c>
      <c r="W4494">
        <v>0.149092899999999</v>
      </c>
      <c r="X4494">
        <v>0.98809530000000001</v>
      </c>
      <c r="Y4494">
        <v>-2.9847250000000001E-3</v>
      </c>
      <c r="Z4494" s="1">
        <v>-4.0004959999999998E-5</v>
      </c>
      <c r="AA4494">
        <v>0.99999550000000004</v>
      </c>
      <c r="AB4494">
        <v>43</v>
      </c>
      <c r="AC4494">
        <v>-17.074399999999901</v>
      </c>
      <c r="AD4494">
        <v>-1.1091524501350001</v>
      </c>
      <c r="AE4494">
        <v>-6.7100000000010596E-2</v>
      </c>
      <c r="AF4494">
        <v>-5.2203689399691999E-2</v>
      </c>
      <c r="AG4494">
        <v>-1.1091524501350001</v>
      </c>
      <c r="AH4494">
        <v>17.002704509966701</v>
      </c>
      <c r="AI4494">
        <v>93.732320403650206</v>
      </c>
      <c r="AJ4494">
        <v>90.175915641960799</v>
      </c>
      <c r="AK4494">
        <v>17.038923235817201</v>
      </c>
      <c r="AL4494">
        <v>81.425637370362196</v>
      </c>
      <c r="AM4494">
        <v>87.801468508646593</v>
      </c>
      <c r="AN4494">
        <v>0.99999997991203204</v>
      </c>
    </row>
    <row r="4495" spans="1:40" x14ac:dyDescent="0.25">
      <c r="A4495" t="str">
        <f>"20190312164117628"</f>
        <v>20190312164117628</v>
      </c>
      <c r="B4495" t="str">
        <f>"1552380077620576"</f>
        <v>1552380077620576</v>
      </c>
      <c r="C4495" t="s">
        <v>40</v>
      </c>
      <c r="D4495">
        <v>5.2591549999999998</v>
      </c>
      <c r="E4495">
        <v>0.48885879999999998</v>
      </c>
      <c r="F4495" t="s">
        <v>41</v>
      </c>
      <c r="G4495">
        <v>-275.84660000000002</v>
      </c>
      <c r="H4495" s="1">
        <v>-2.2411200000000002E-6</v>
      </c>
      <c r="I4495">
        <v>141.40889999999999</v>
      </c>
      <c r="J4495">
        <v>-258.69819999999999</v>
      </c>
      <c r="K4495">
        <v>1.109189</v>
      </c>
      <c r="L4495">
        <v>141.46279999999999</v>
      </c>
      <c r="M4495">
        <v>-0.9999749</v>
      </c>
      <c r="N4495">
        <v>0</v>
      </c>
      <c r="O4495">
        <v>-1.0986119999999999E-3</v>
      </c>
      <c r="P4495">
        <v>-0.98910039999999999</v>
      </c>
      <c r="Q4495">
        <v>0.1423558</v>
      </c>
      <c r="R4495">
        <v>3.7622889999999999E-2</v>
      </c>
      <c r="S4495">
        <v>-3.0610659999999998</v>
      </c>
      <c r="T4495">
        <v>-0.1932439</v>
      </c>
      <c r="U4495">
        <v>-9.4757079999999994E-3</v>
      </c>
      <c r="V4495">
        <v>3.8646300000000001E-2</v>
      </c>
      <c r="W4495">
        <v>0.1493032</v>
      </c>
      <c r="X4495">
        <v>0.98803589999999997</v>
      </c>
      <c r="Y4495">
        <v>-1.995124E-3</v>
      </c>
      <c r="Z4495" s="1">
        <v>6.3745609999999999E-6</v>
      </c>
      <c r="AA4495">
        <v>0.99999800000000005</v>
      </c>
      <c r="AB4495">
        <v>43</v>
      </c>
      <c r="AC4495">
        <v>-17.148399999999999</v>
      </c>
      <c r="AD4495">
        <v>-1.10919124112</v>
      </c>
      <c r="AE4495">
        <v>-5.3899999999998699E-2</v>
      </c>
      <c r="AF4495">
        <v>-3.4913997967140099E-2</v>
      </c>
      <c r="AG4495">
        <v>-1.10919124112</v>
      </c>
      <c r="AH4495">
        <v>17.077003671228901</v>
      </c>
      <c r="AI4495">
        <v>93.716266632230798</v>
      </c>
      <c r="AJ4495">
        <v>90.117141272597294</v>
      </c>
      <c r="AK4495">
        <v>17.1130236540419</v>
      </c>
      <c r="AL4495">
        <v>81.413451512438996</v>
      </c>
      <c r="AM4495">
        <v>87.760059430729498</v>
      </c>
      <c r="AN4495">
        <v>0.999999960861369</v>
      </c>
    </row>
    <row r="4496" spans="1:40" x14ac:dyDescent="0.25">
      <c r="A4496" t="str">
        <f>"20190312164117649"</f>
        <v>20190312164117649</v>
      </c>
      <c r="B4496" t="str">
        <f>"1552380077641072"</f>
        <v>1552380077641072</v>
      </c>
      <c r="C4496" t="s">
        <v>40</v>
      </c>
      <c r="D4496">
        <v>5.3527769999999997</v>
      </c>
      <c r="E4496">
        <v>0.48942609999999998</v>
      </c>
      <c r="F4496" t="s">
        <v>41</v>
      </c>
      <c r="G4496">
        <v>-275.97859999999997</v>
      </c>
      <c r="H4496" s="1">
        <v>-2.1865460000000002E-6</v>
      </c>
      <c r="I4496">
        <v>141.41659999999999</v>
      </c>
      <c r="J4496">
        <v>-259.11660000000001</v>
      </c>
      <c r="K4496">
        <v>1.109229</v>
      </c>
      <c r="L4496">
        <v>141.46209999999999</v>
      </c>
      <c r="M4496">
        <v>-0.99997429999999998</v>
      </c>
      <c r="N4496">
        <v>0</v>
      </c>
      <c r="O4496">
        <v>-1.3726140000000001E-3</v>
      </c>
      <c r="P4496">
        <v>-0.98918309999999998</v>
      </c>
      <c r="Q4496">
        <v>0.141809299999999</v>
      </c>
      <c r="R4496">
        <v>3.7510349999999998E-2</v>
      </c>
      <c r="S4496">
        <v>-3.0616460000000001</v>
      </c>
      <c r="T4496">
        <v>-0.1965208</v>
      </c>
      <c r="U4496">
        <v>-8.1634519999999999E-3</v>
      </c>
      <c r="V4496">
        <v>3.8791199999999998E-2</v>
      </c>
      <c r="W4496">
        <v>0.14877979999999999</v>
      </c>
      <c r="X4496">
        <v>0.98810920000000002</v>
      </c>
      <c r="Y4496">
        <v>-1.2938680000000001E-3</v>
      </c>
      <c r="Z4496" s="1">
        <v>4.6534089999999998E-5</v>
      </c>
      <c r="AA4496">
        <v>0.99999919999999998</v>
      </c>
      <c r="AB4496">
        <v>43</v>
      </c>
      <c r="AC4496">
        <v>-16.861999999999899</v>
      </c>
      <c r="AD4496">
        <v>-1.1092311865459901</v>
      </c>
      <c r="AE4496">
        <v>-4.5500000000004003E-2</v>
      </c>
      <c r="AF4496">
        <v>-2.2258048290067001E-2</v>
      </c>
      <c r="AG4496">
        <v>-1.1092311865459901</v>
      </c>
      <c r="AH4496">
        <v>16.7893928590766</v>
      </c>
      <c r="AI4496">
        <v>93.779885462805495</v>
      </c>
      <c r="AJ4496">
        <v>90.075958165420303</v>
      </c>
      <c r="AK4496">
        <v>16.8260096821062</v>
      </c>
      <c r="AL4496">
        <v>81.443779092004903</v>
      </c>
      <c r="AM4496">
        <v>87.751836240321893</v>
      </c>
      <c r="AN4496">
        <v>0.99999998860505901</v>
      </c>
    </row>
    <row r="4497" spans="1:40" x14ac:dyDescent="0.25">
      <c r="A4497" t="str">
        <f>"20190312164117672"</f>
        <v>20190312164117672</v>
      </c>
      <c r="B4497" t="str">
        <f>"1552380077660589"</f>
        <v>1552380077660589</v>
      </c>
      <c r="C4497" t="s">
        <v>40</v>
      </c>
      <c r="D4497">
        <v>5.2351010000000002</v>
      </c>
      <c r="E4497">
        <v>0.4901219</v>
      </c>
      <c r="F4497" t="s">
        <v>41</v>
      </c>
      <c r="G4497">
        <v>-276.30279999999999</v>
      </c>
      <c r="H4497" s="1">
        <v>-2.0551999999999998E-6</v>
      </c>
      <c r="I4497">
        <v>141.44560000000001</v>
      </c>
      <c r="J4497">
        <v>-259.54149999999998</v>
      </c>
      <c r="K4497">
        <v>1.1092610000000001</v>
      </c>
      <c r="L4497">
        <v>141.46129999999999</v>
      </c>
      <c r="M4497">
        <v>-0.99997380000000002</v>
      </c>
      <c r="N4497">
        <v>0</v>
      </c>
      <c r="O4497">
        <v>-1.679835E-3</v>
      </c>
      <c r="P4497">
        <v>-0.98920110000000006</v>
      </c>
      <c r="Q4497">
        <v>0.14177089999999901</v>
      </c>
      <c r="R4497">
        <v>3.7178669999999997E-2</v>
      </c>
      <c r="S4497">
        <v>-3.0612180000000002</v>
      </c>
      <c r="T4497">
        <v>-0.19757810000000001</v>
      </c>
      <c r="U4497">
        <v>-2.9296880000000002E-3</v>
      </c>
      <c r="V4497">
        <v>3.8751439999999998E-2</v>
      </c>
      <c r="W4497">
        <v>0.14876329999999999</v>
      </c>
      <c r="X4497">
        <v>0.98811320000000002</v>
      </c>
      <c r="Y4497">
        <v>7.1785600000000001E-4</v>
      </c>
      <c r="Z4497">
        <v>1.314523E-4</v>
      </c>
      <c r="AA4497">
        <v>0.99999979999999999</v>
      </c>
      <c r="AB4497">
        <v>43</v>
      </c>
      <c r="AC4497">
        <v>-16.761299999999999</v>
      </c>
      <c r="AD4497">
        <v>-1.1092630552</v>
      </c>
      <c r="AE4497">
        <v>-1.5699999999981101E-2</v>
      </c>
      <c r="AF4497">
        <v>1.2402617656524201E-2</v>
      </c>
      <c r="AG4497">
        <v>-1.1092630552</v>
      </c>
      <c r="AH4497">
        <v>16.6882118554967</v>
      </c>
      <c r="AI4497">
        <v>93.802847171341099</v>
      </c>
      <c r="AJ4497">
        <v>89.957417995291905</v>
      </c>
      <c r="AK4497">
        <v>16.725042101127801</v>
      </c>
      <c r="AL4497">
        <v>81.444734733532002</v>
      </c>
      <c r="AM4497">
        <v>87.754147272783896</v>
      </c>
      <c r="AN4497">
        <v>0.99999994477160004</v>
      </c>
    </row>
    <row r="4498" spans="1:40" x14ac:dyDescent="0.25">
      <c r="A4498" t="str">
        <f>"20190312164117694"</f>
        <v>20190312164117694</v>
      </c>
      <c r="B4498" t="str">
        <f>"1552380077690845"</f>
        <v>1552380077690845</v>
      </c>
      <c r="C4498" t="s">
        <v>40</v>
      </c>
      <c r="D4498">
        <v>5.4482140000000001</v>
      </c>
      <c r="E4498">
        <v>0.4908863</v>
      </c>
      <c r="F4498" t="s">
        <v>41</v>
      </c>
      <c r="G4498">
        <v>-276.82229999999998</v>
      </c>
      <c r="H4498" s="1">
        <v>-1.8387540000000001E-6</v>
      </c>
      <c r="I4498">
        <v>141.4699</v>
      </c>
      <c r="J4498">
        <v>-259.98410000000001</v>
      </c>
      <c r="K4498">
        <v>1.109291</v>
      </c>
      <c r="L4498">
        <v>141.46029999999999</v>
      </c>
      <c r="M4498">
        <v>-0.99997309999999995</v>
      </c>
      <c r="N4498">
        <v>0</v>
      </c>
      <c r="O4498">
        <v>-2.0219510000000001E-3</v>
      </c>
      <c r="P4498">
        <v>-0.98918810000000001</v>
      </c>
      <c r="Q4498">
        <v>0.14187339999999901</v>
      </c>
      <c r="R4498">
        <v>3.7133029999999997E-2</v>
      </c>
      <c r="S4498">
        <v>-3.0608219999999999</v>
      </c>
      <c r="T4498">
        <v>-0.19647529999999999</v>
      </c>
      <c r="U4498">
        <v>1.525879E-3</v>
      </c>
      <c r="V4498">
        <v>3.9033579999999998E-2</v>
      </c>
      <c r="W4498">
        <v>0.1488892</v>
      </c>
      <c r="X4498">
        <v>0.98808320000000005</v>
      </c>
      <c r="Y4498">
        <v>2.5111899999999999E-3</v>
      </c>
      <c r="Z4498">
        <v>2.101738E-4</v>
      </c>
      <c r="AA4498">
        <v>0.99999680000000002</v>
      </c>
      <c r="AB4498">
        <v>44</v>
      </c>
      <c r="AC4498">
        <v>-16.838199999999901</v>
      </c>
      <c r="AD4498">
        <v>-1.109292838754</v>
      </c>
      <c r="AE4498">
        <v>9.6000000000060395E-3</v>
      </c>
      <c r="AF4498">
        <v>4.3458228381329497E-2</v>
      </c>
      <c r="AG4498">
        <v>-1.109292838754</v>
      </c>
      <c r="AH4498">
        <v>16.765382527249901</v>
      </c>
      <c r="AI4498">
        <v>93.785483466051204</v>
      </c>
      <c r="AJ4498">
        <v>89.851481617525195</v>
      </c>
      <c r="AK4498">
        <v>16.8020972055497</v>
      </c>
      <c r="AL4498">
        <v>81.437440536719805</v>
      </c>
      <c r="AM4498">
        <v>87.737744068266295</v>
      </c>
      <c r="AN4498">
        <v>1.00000001218324</v>
      </c>
    </row>
    <row r="4499" spans="1:40" x14ac:dyDescent="0.25">
      <c r="A4499" t="str">
        <f>"20190312164117718"</f>
        <v>20190312164117718</v>
      </c>
      <c r="B4499" t="str">
        <f>"1552380077710365"</f>
        <v>1552380077710365</v>
      </c>
      <c r="C4499" t="s">
        <v>40</v>
      </c>
      <c r="D4499">
        <v>5.1945829999999997</v>
      </c>
      <c r="E4499">
        <v>0.49139509999999997</v>
      </c>
      <c r="F4499" t="s">
        <v>41</v>
      </c>
      <c r="G4499">
        <v>-277.33139999999997</v>
      </c>
      <c r="H4499" s="1">
        <v>-1.627605E-6</v>
      </c>
      <c r="I4499">
        <v>141.49709999999999</v>
      </c>
      <c r="J4499">
        <v>-260.43810000000002</v>
      </c>
      <c r="K4499">
        <v>1.1093139999999999</v>
      </c>
      <c r="L4499">
        <v>141.45920000000001</v>
      </c>
      <c r="M4499">
        <v>-0.99997219999999998</v>
      </c>
      <c r="N4499">
        <v>0</v>
      </c>
      <c r="O4499">
        <v>-2.388112E-3</v>
      </c>
      <c r="P4499">
        <v>-0.98914570000000002</v>
      </c>
      <c r="Q4499">
        <v>0.14215800000000001</v>
      </c>
      <c r="R4499">
        <v>3.7178610000000001E-2</v>
      </c>
      <c r="S4499">
        <v>-3.0605769999999999</v>
      </c>
      <c r="T4499">
        <v>-0.19571269999999999</v>
      </c>
      <c r="U4499">
        <v>6.5002439999999996E-3</v>
      </c>
      <c r="V4499">
        <v>3.9432630000000003E-2</v>
      </c>
      <c r="W4499">
        <v>0.14919760000000001</v>
      </c>
      <c r="X4499">
        <v>0.98802080000000003</v>
      </c>
      <c r="Y4499">
        <v>4.4979520000000004E-3</v>
      </c>
      <c r="Z4499">
        <v>2.9622570000000003E-4</v>
      </c>
      <c r="AA4499">
        <v>0.99998989999999999</v>
      </c>
      <c r="AB4499">
        <v>44</v>
      </c>
      <c r="AC4499">
        <v>-16.893299999999901</v>
      </c>
      <c r="AD4499">
        <v>-1.109315627605</v>
      </c>
      <c r="AE4499">
        <v>3.7899999999979103E-2</v>
      </c>
      <c r="AF4499">
        <v>7.7908051115115701E-2</v>
      </c>
      <c r="AG4499">
        <v>-1.109315627605</v>
      </c>
      <c r="AH4499">
        <v>16.820630698360102</v>
      </c>
      <c r="AI4499">
        <v>93.773135411211996</v>
      </c>
      <c r="AJ4499">
        <v>89.734625253988796</v>
      </c>
      <c r="AK4499">
        <v>16.857350560414101</v>
      </c>
      <c r="AL4499">
        <v>81.419570637103803</v>
      </c>
      <c r="AM4499">
        <v>87.714496679276806</v>
      </c>
      <c r="AN4499">
        <v>0.99999997869355794</v>
      </c>
    </row>
    <row r="4500" spans="1:40" x14ac:dyDescent="0.25">
      <c r="A4500" t="str">
        <f>"20190312164117740"</f>
        <v>20190312164117740</v>
      </c>
      <c r="B4500" t="str">
        <f>"1552380077730861"</f>
        <v>1552380077730861</v>
      </c>
      <c r="C4500" t="s">
        <v>40</v>
      </c>
      <c r="D4500">
        <v>5.3279820000000004</v>
      </c>
      <c r="E4500">
        <v>0.49184729999999999</v>
      </c>
      <c r="F4500" t="s">
        <v>41</v>
      </c>
      <c r="G4500">
        <v>-277.99590000000001</v>
      </c>
      <c r="H4500" s="1">
        <v>-1.347729E-6</v>
      </c>
      <c r="I4500">
        <v>141.51660000000001</v>
      </c>
      <c r="J4500">
        <v>-260.8657</v>
      </c>
      <c r="K4500">
        <v>1.109337</v>
      </c>
      <c r="L4500">
        <v>141.4579</v>
      </c>
      <c r="M4500">
        <v>-0.99997100000000005</v>
      </c>
      <c r="N4500">
        <v>0</v>
      </c>
      <c r="O4500">
        <v>-2.7420669999999999E-3</v>
      </c>
      <c r="P4500">
        <v>-0.98912009999999995</v>
      </c>
      <c r="Q4500">
        <v>0.1422979</v>
      </c>
      <c r="R4500">
        <v>3.7318829999999997E-2</v>
      </c>
      <c r="S4500">
        <v>-3.0603639999999999</v>
      </c>
      <c r="T4500">
        <v>-0.19335640000000001</v>
      </c>
      <c r="U4500">
        <v>1.0025020000000001E-2</v>
      </c>
      <c r="V4500">
        <v>3.991546E-2</v>
      </c>
      <c r="W4500">
        <v>0.149360299999999</v>
      </c>
      <c r="X4500">
        <v>0.98797679999999999</v>
      </c>
      <c r="Y4500">
        <v>6.0004219999999896E-3</v>
      </c>
      <c r="Z4500">
        <v>3.6244409999999999E-4</v>
      </c>
      <c r="AA4500">
        <v>0.99998189999999998</v>
      </c>
      <c r="AB4500">
        <v>44</v>
      </c>
      <c r="AC4500">
        <v>-17.130199999999999</v>
      </c>
      <c r="AD4500">
        <v>-1.109338347729</v>
      </c>
      <c r="AE4500">
        <v>5.8700000000015899E-2</v>
      </c>
      <c r="AF4500">
        <v>0.105231809680901</v>
      </c>
      <c r="AG4500">
        <v>-1.109338347729</v>
      </c>
      <c r="AH4500">
        <v>17.058436547927499</v>
      </c>
      <c r="AI4500">
        <v>93.720729396993605</v>
      </c>
      <c r="AJ4500">
        <v>89.646552480515993</v>
      </c>
      <c r="AK4500">
        <v>17.094793440202199</v>
      </c>
      <c r="AL4500">
        <v>81.410142731631396</v>
      </c>
      <c r="AM4500">
        <v>87.686439302248203</v>
      </c>
      <c r="AN4500">
        <v>0.99999995025066901</v>
      </c>
    </row>
    <row r="4501" spans="1:40" x14ac:dyDescent="0.25">
      <c r="A4501" t="str">
        <f>"20190312164117762"</f>
        <v>20190312164117762</v>
      </c>
      <c r="B4501" t="str">
        <f>"1552380077750381"</f>
        <v>1552380077750381</v>
      </c>
      <c r="C4501" t="s">
        <v>40</v>
      </c>
      <c r="D4501">
        <v>5.3540080000000003</v>
      </c>
      <c r="E4501">
        <v>0.49228430000000001</v>
      </c>
      <c r="F4501" t="s">
        <v>42</v>
      </c>
      <c r="G4501">
        <v>-261.95460000000003</v>
      </c>
      <c r="H4501">
        <v>1.0408729999999999</v>
      </c>
      <c r="I4501">
        <v>141.4631</v>
      </c>
      <c r="J4501">
        <v>-261.29899999999998</v>
      </c>
      <c r="K4501">
        <v>1.109354</v>
      </c>
      <c r="L4501">
        <v>141.45650000000001</v>
      </c>
      <c r="M4501">
        <v>-0.99996969999999996</v>
      </c>
      <c r="N4501">
        <v>0</v>
      </c>
      <c r="O4501">
        <v>-3.104117E-3</v>
      </c>
      <c r="P4501">
        <v>-0.98909130000000001</v>
      </c>
      <c r="Q4501">
        <v>0.14252119999999999</v>
      </c>
      <c r="R4501">
        <v>3.7233750000000003E-2</v>
      </c>
      <c r="S4501">
        <v>-3.06012</v>
      </c>
      <c r="T4501">
        <v>-0.1924235</v>
      </c>
      <c r="U4501">
        <v>1.4236449999999999E-2</v>
      </c>
      <c r="V4501">
        <v>4.0182019999999999E-2</v>
      </c>
      <c r="W4501">
        <v>0.14960590000000001</v>
      </c>
      <c r="X4501">
        <v>0.9879289</v>
      </c>
      <c r="Y4501">
        <v>7.7349350000000001E-3</v>
      </c>
      <c r="Z4501">
        <v>4.3795059999999998E-4</v>
      </c>
      <c r="AA4501">
        <v>0.99997000000000003</v>
      </c>
      <c r="AB4501">
        <v>44</v>
      </c>
      <c r="AC4501">
        <v>-0.65559999999999197</v>
      </c>
      <c r="AD4501">
        <v>-6.8481000000000194E-2</v>
      </c>
      <c r="AE4501">
        <v>6.5999999999917201E-3</v>
      </c>
      <c r="AF4501">
        <v>8.5418885483885595E-3</v>
      </c>
      <c r="AG4501">
        <v>-6.8481000000000194E-2</v>
      </c>
      <c r="AH4501">
        <v>0.64850130964643204</v>
      </c>
      <c r="AI4501">
        <v>96.027509907365399</v>
      </c>
      <c r="AJ4501">
        <v>89.245358714037096</v>
      </c>
      <c r="AK4501">
        <v>0.65216298563634401</v>
      </c>
      <c r="AL4501">
        <v>81.3959115513439</v>
      </c>
      <c r="AM4501">
        <v>87.670893239245501</v>
      </c>
      <c r="AN4501">
        <v>1.0000000157506499</v>
      </c>
    </row>
    <row r="4502" spans="1:40" x14ac:dyDescent="0.25">
      <c r="A4502" t="str">
        <f>"20190312164117784"</f>
        <v>20190312164117784</v>
      </c>
      <c r="B4502" t="str">
        <f>"1552380077780637"</f>
        <v>1552380077780637</v>
      </c>
      <c r="C4502" t="s">
        <v>40</v>
      </c>
      <c r="D4502">
        <v>5.1847620000000001</v>
      </c>
      <c r="E4502">
        <v>0.4928362</v>
      </c>
      <c r="F4502" t="s">
        <v>42</v>
      </c>
      <c r="G4502">
        <v>-262.35070000000002</v>
      </c>
      <c r="H4502">
        <v>1.0436190000000001</v>
      </c>
      <c r="I4502">
        <v>141.46289999999999</v>
      </c>
      <c r="J4502">
        <v>-261.74349999999998</v>
      </c>
      <c r="K4502">
        <v>1.10937</v>
      </c>
      <c r="L4502">
        <v>141.45490000000001</v>
      </c>
      <c r="M4502">
        <v>-0.99996839999999998</v>
      </c>
      <c r="N4502">
        <v>0</v>
      </c>
      <c r="O4502">
        <v>-3.477244E-3</v>
      </c>
      <c r="P4502">
        <v>-0.98904530000000002</v>
      </c>
      <c r="Q4502">
        <v>0.1428082</v>
      </c>
      <c r="R4502">
        <v>3.7355480000000003E-2</v>
      </c>
      <c r="S4502">
        <v>-3.0599980000000002</v>
      </c>
      <c r="T4502">
        <v>-0.19131139999999999</v>
      </c>
      <c r="U4502">
        <v>1.7807010000000002E-2</v>
      </c>
      <c r="V4502">
        <v>4.0666290000000001E-2</v>
      </c>
      <c r="W4502">
        <v>0.1499161</v>
      </c>
      <c r="X4502">
        <v>0.98786209999999997</v>
      </c>
      <c r="Y4502">
        <v>9.2715369999999998E-3</v>
      </c>
      <c r="Z4502">
        <v>5.0673319999999995E-4</v>
      </c>
      <c r="AA4502">
        <v>0.99995690000000004</v>
      </c>
      <c r="AB4502">
        <v>44</v>
      </c>
      <c r="AC4502">
        <v>-0.60720000000003405</v>
      </c>
      <c r="AD4502">
        <v>-6.5750999999999796E-2</v>
      </c>
      <c r="AE4502">
        <v>7.9999999999813502E-3</v>
      </c>
      <c r="AF4502">
        <v>9.9942186220485698E-3</v>
      </c>
      <c r="AG4502">
        <v>-6.5750999999999796E-2</v>
      </c>
      <c r="AH4502">
        <v>0.60013271615616004</v>
      </c>
      <c r="AI4502">
        <v>96.251571951150794</v>
      </c>
      <c r="AJ4502">
        <v>89.045921670822807</v>
      </c>
      <c r="AK4502">
        <v>0.60380655462476995</v>
      </c>
      <c r="AL4502">
        <v>81.377936026019299</v>
      </c>
      <c r="AM4502">
        <v>87.642695320657197</v>
      </c>
      <c r="AN4502">
        <v>1.0000000563989899</v>
      </c>
    </row>
    <row r="4503" spans="1:40" x14ac:dyDescent="0.25">
      <c r="A4503" t="str">
        <f>"20190312164117807"</f>
        <v>20190312164117807</v>
      </c>
      <c r="B4503" t="str">
        <f>"1552380077801135"</f>
        <v>1552380077801135</v>
      </c>
      <c r="C4503" t="s">
        <v>40</v>
      </c>
      <c r="D4503">
        <v>5.2649720000000002</v>
      </c>
      <c r="E4503">
        <v>0.49318129999999999</v>
      </c>
      <c r="F4503" t="s">
        <v>42</v>
      </c>
      <c r="G4503">
        <v>-262.74810000000002</v>
      </c>
      <c r="H4503">
        <v>1.046907</v>
      </c>
      <c r="I4503">
        <v>141.4623</v>
      </c>
      <c r="J4503">
        <v>-262.19600000000003</v>
      </c>
      <c r="K4503">
        <v>1.109389</v>
      </c>
      <c r="L4503">
        <v>141.45310000000001</v>
      </c>
      <c r="M4503">
        <v>-0.99996700000000005</v>
      </c>
      <c r="N4503">
        <v>0</v>
      </c>
      <c r="O4503">
        <v>-3.8568000000000001E-3</v>
      </c>
      <c r="P4503">
        <v>-0.98901349999999999</v>
      </c>
      <c r="Q4503">
        <v>0.1429829</v>
      </c>
      <c r="R4503">
        <v>3.7533219999999999E-2</v>
      </c>
      <c r="S4503">
        <v>-3.0598139999999998</v>
      </c>
      <c r="T4503">
        <v>-0.19018769999999999</v>
      </c>
      <c r="U4503">
        <v>2.29187E-2</v>
      </c>
      <c r="V4503">
        <v>4.1213569999999998E-2</v>
      </c>
      <c r="W4503">
        <v>0.15011459999999999</v>
      </c>
      <c r="X4503">
        <v>0.98780919999999905</v>
      </c>
      <c r="Y4503">
        <v>1.131747E-2</v>
      </c>
      <c r="Z4503">
        <v>5.9088139999999897E-4</v>
      </c>
      <c r="AA4503">
        <v>0.99993580000000004</v>
      </c>
      <c r="AB4503">
        <v>44</v>
      </c>
      <c r="AC4503">
        <v>-0.55210000000005199</v>
      </c>
      <c r="AD4503">
        <v>-6.2481999999999899E-2</v>
      </c>
      <c r="AE4503">
        <v>9.1999999999927695E-3</v>
      </c>
      <c r="AF4503">
        <v>1.1186095838717399E-2</v>
      </c>
      <c r="AG4503">
        <v>-6.2481999999999899E-2</v>
      </c>
      <c r="AH4503">
        <v>0.54508106186912997</v>
      </c>
      <c r="AI4503">
        <v>96.537841533309702</v>
      </c>
      <c r="AJ4503">
        <v>88.824347102098301</v>
      </c>
      <c r="AK4503">
        <v>0.54876451513603797</v>
      </c>
      <c r="AL4503">
        <v>81.366432004469004</v>
      </c>
      <c r="AM4503">
        <v>87.610879839709895</v>
      </c>
      <c r="AN4503">
        <v>0.99999998354497199</v>
      </c>
    </row>
    <row r="4504" spans="1:40" x14ac:dyDescent="0.25">
      <c r="A4504" t="str">
        <f>"20190312164117829"</f>
        <v>20190312164117829</v>
      </c>
      <c r="B4504" t="str">
        <f>"1552380077820653"</f>
        <v>1552380077820653</v>
      </c>
      <c r="C4504" t="s">
        <v>40</v>
      </c>
      <c r="D4504">
        <v>5.2034750000000001</v>
      </c>
      <c r="E4504">
        <v>0.49344490000000002</v>
      </c>
      <c r="F4504" t="s">
        <v>50</v>
      </c>
      <c r="G4504">
        <v>-280.05220000000003</v>
      </c>
      <c r="H4504" s="1">
        <v>-4.2845950000000001E-6</v>
      </c>
      <c r="I4504">
        <v>141.6062</v>
      </c>
      <c r="J4504">
        <v>-262.64249999999998</v>
      </c>
      <c r="K4504">
        <v>1.109397</v>
      </c>
      <c r="L4504">
        <v>141.4511</v>
      </c>
      <c r="M4504">
        <v>-0.99996529999999995</v>
      </c>
      <c r="N4504">
        <v>0</v>
      </c>
      <c r="O4504">
        <v>-4.230976E-3</v>
      </c>
      <c r="P4504">
        <v>-0.98895480000000002</v>
      </c>
      <c r="Q4504">
        <v>0.14336309999999999</v>
      </c>
      <c r="R4504">
        <v>3.7628080000000001E-2</v>
      </c>
      <c r="S4504">
        <v>-3.0597840000000001</v>
      </c>
      <c r="T4504">
        <v>-0.1901014</v>
      </c>
      <c r="U4504">
        <v>2.6229860000000001E-2</v>
      </c>
      <c r="V4504">
        <v>4.167299E-2</v>
      </c>
      <c r="W4504">
        <v>0.15051809999999999</v>
      </c>
      <c r="X4504">
        <v>0.98772850000000001</v>
      </c>
      <c r="Y4504">
        <v>1.2770210000000001E-2</v>
      </c>
      <c r="Z4504">
        <v>6.5892689999999998E-4</v>
      </c>
      <c r="AA4504">
        <v>0.99991819999999998</v>
      </c>
      <c r="AB4504">
        <v>44</v>
      </c>
      <c r="AC4504">
        <v>-17.409700000000001</v>
      </c>
      <c r="AD4504">
        <v>-1.1094012845950001</v>
      </c>
      <c r="AE4504">
        <v>0.15510000000000401</v>
      </c>
      <c r="AF4504">
        <v>0.227835446415423</v>
      </c>
      <c r="AG4504">
        <v>-1.1094012845950001</v>
      </c>
      <c r="AH4504">
        <v>17.338488109161101</v>
      </c>
      <c r="AI4504">
        <v>93.660758285556298</v>
      </c>
      <c r="AJ4504">
        <v>89.247151300168397</v>
      </c>
      <c r="AK4504">
        <v>17.375438127207801</v>
      </c>
      <c r="AL4504">
        <v>81.343047282306003</v>
      </c>
      <c r="AM4504">
        <v>87.584081842554298</v>
      </c>
      <c r="AN4504">
        <v>0.99999996311769901</v>
      </c>
    </row>
    <row r="4505" spans="1:40" x14ac:dyDescent="0.25">
      <c r="A4505" t="str">
        <f>"20190312164117850"</f>
        <v>20190312164117850</v>
      </c>
      <c r="B4505" t="str">
        <f>"1552380077841153"</f>
        <v>1552380077841153</v>
      </c>
      <c r="C4505" t="s">
        <v>40</v>
      </c>
      <c r="D4505">
        <v>5.2096629999999999</v>
      </c>
      <c r="E4505">
        <v>0.49369449999999998</v>
      </c>
      <c r="F4505" t="s">
        <v>50</v>
      </c>
      <c r="G4505">
        <v>-280.4495</v>
      </c>
      <c r="H4505" s="1">
        <v>-4.4648120000000003E-6</v>
      </c>
      <c r="I4505">
        <v>141.61859999999999</v>
      </c>
      <c r="J4505">
        <v>-263.06700000000001</v>
      </c>
      <c r="K4505">
        <v>1.1094079999999999</v>
      </c>
      <c r="L4505">
        <v>141.44909999999999</v>
      </c>
      <c r="M4505">
        <v>-0.99996350000000001</v>
      </c>
      <c r="N4505">
        <v>0</v>
      </c>
      <c r="O4505">
        <v>-4.5867659999999999E-3</v>
      </c>
      <c r="P4505">
        <v>-0.98891010000000001</v>
      </c>
      <c r="Q4505">
        <v>0.14367679999999999</v>
      </c>
      <c r="R4505">
        <v>3.7600599999999998E-2</v>
      </c>
      <c r="S4505">
        <v>-3.060028</v>
      </c>
      <c r="T4505">
        <v>-0.19064320000000001</v>
      </c>
      <c r="U4505">
        <v>2.8778080000000001E-2</v>
      </c>
      <c r="V4505">
        <v>4.1992939999999999E-2</v>
      </c>
      <c r="W4505">
        <v>0.15085419999999999</v>
      </c>
      <c r="X4505">
        <v>0.98766370000000003</v>
      </c>
      <c r="Y4505">
        <v>1.395474E-2</v>
      </c>
      <c r="Z4505">
        <v>7.1975320000000002E-4</v>
      </c>
      <c r="AA4505">
        <v>0.99990239999999997</v>
      </c>
      <c r="AB4505">
        <v>44</v>
      </c>
      <c r="AC4505">
        <v>-17.382499999999901</v>
      </c>
      <c r="AD4505">
        <v>-1.1094124648119901</v>
      </c>
      <c r="AE4505">
        <v>0.16949999999999901</v>
      </c>
      <c r="AF4505">
        <v>0.24821873968066999</v>
      </c>
      <c r="AG4505">
        <v>-1.1094124648119901</v>
      </c>
      <c r="AH4505">
        <v>17.311030875234302</v>
      </c>
      <c r="AI4505">
        <v>93.666525489762407</v>
      </c>
      <c r="AJ4505">
        <v>89.178505790391895</v>
      </c>
      <c r="AK4505">
        <v>17.348319760804699</v>
      </c>
      <c r="AL4505">
        <v>81.323567985136194</v>
      </c>
      <c r="AM4505">
        <v>87.565396006065399</v>
      </c>
      <c r="AN4505">
        <v>0.99999999048258603</v>
      </c>
    </row>
    <row r="4506" spans="1:40" x14ac:dyDescent="0.25">
      <c r="A4506" t="str">
        <f>"20190312164117873"</f>
        <v>20190312164117873</v>
      </c>
      <c r="B4506" t="str">
        <f>"1552380077860669"</f>
        <v>1552380077860669</v>
      </c>
      <c r="C4506" t="s">
        <v>40</v>
      </c>
      <c r="D4506">
        <v>5.2246569999999997</v>
      </c>
      <c r="E4506">
        <v>0.49394359999999998</v>
      </c>
      <c r="F4506" t="s">
        <v>50</v>
      </c>
      <c r="G4506">
        <v>-280.79989999999998</v>
      </c>
      <c r="H4506" s="1">
        <v>-4.6226999999999998E-6</v>
      </c>
      <c r="I4506">
        <v>141.62639999999999</v>
      </c>
      <c r="J4506">
        <v>-263.49680000000001</v>
      </c>
      <c r="K4506">
        <v>1.1094200000000001</v>
      </c>
      <c r="L4506">
        <v>141.4469</v>
      </c>
      <c r="M4506">
        <v>-0.99996160000000001</v>
      </c>
      <c r="N4506">
        <v>0</v>
      </c>
      <c r="O4506">
        <v>-4.9476679999999997E-3</v>
      </c>
      <c r="P4506">
        <v>-0.98881640000000004</v>
      </c>
      <c r="Q4506">
        <v>0.14439540000000001</v>
      </c>
      <c r="R4506">
        <v>3.7311070000000002E-2</v>
      </c>
      <c r="S4506">
        <v>-3.0603030000000002</v>
      </c>
      <c r="T4506">
        <v>-0.1914594</v>
      </c>
      <c r="U4506">
        <v>3.0593869999999999E-2</v>
      </c>
      <c r="V4506">
        <v>4.2055639999999998E-2</v>
      </c>
      <c r="W4506">
        <v>0.15159429999999999</v>
      </c>
      <c r="X4506">
        <v>0.98754770000000003</v>
      </c>
      <c r="Y4506">
        <v>1.4905130000000001E-2</v>
      </c>
      <c r="Z4506">
        <v>7.7501860000000003E-4</v>
      </c>
      <c r="AA4506">
        <v>0.99988860000000002</v>
      </c>
      <c r="AB4506">
        <v>44</v>
      </c>
      <c r="AC4506">
        <v>-17.303099999999901</v>
      </c>
      <c r="AD4506">
        <v>-1.1094246227</v>
      </c>
      <c r="AE4506">
        <v>0.17949999999999</v>
      </c>
      <c r="AF4506">
        <v>0.26402474696114098</v>
      </c>
      <c r="AG4506">
        <v>-1.1094246227</v>
      </c>
      <c r="AH4506">
        <v>17.231170307342499</v>
      </c>
      <c r="AI4506">
        <v>93.683458577369706</v>
      </c>
      <c r="AJ4506">
        <v>89.122153648873294</v>
      </c>
      <c r="AK4506">
        <v>17.268866848207001</v>
      </c>
      <c r="AL4506">
        <v>81.280669973426697</v>
      </c>
      <c r="AM4506">
        <v>87.5614792070037</v>
      </c>
      <c r="AN4506">
        <v>0.99999998421179404</v>
      </c>
    </row>
    <row r="4507" spans="1:40" x14ac:dyDescent="0.25">
      <c r="A4507" t="str">
        <f>"20190312164117896"</f>
        <v>20190312164117896</v>
      </c>
      <c r="B4507" t="str">
        <f>"1552380077890926"</f>
        <v>1552380077890926</v>
      </c>
      <c r="C4507" t="s">
        <v>40</v>
      </c>
      <c r="D4507">
        <v>5.2113519999999998</v>
      </c>
      <c r="E4507">
        <v>0.49425229999999998</v>
      </c>
      <c r="F4507" t="s">
        <v>50</v>
      </c>
      <c r="G4507">
        <v>-281.27629999999999</v>
      </c>
      <c r="H4507" s="1">
        <v>-4.8357129999999999E-6</v>
      </c>
      <c r="I4507">
        <v>141.6317</v>
      </c>
      <c r="J4507">
        <v>-263.9751</v>
      </c>
      <c r="K4507">
        <v>1.109432</v>
      </c>
      <c r="L4507">
        <v>141.4443</v>
      </c>
      <c r="M4507">
        <v>-0.99995919999999905</v>
      </c>
      <c r="N4507">
        <v>0</v>
      </c>
      <c r="O4507">
        <v>-5.3495829999999998E-3</v>
      </c>
      <c r="P4507">
        <v>-0.9887975</v>
      </c>
      <c r="Q4507">
        <v>0.14450879999999999</v>
      </c>
      <c r="R4507">
        <v>3.7374730000000002E-2</v>
      </c>
      <c r="S4507">
        <v>-3.060638</v>
      </c>
      <c r="T4507">
        <v>-0.19098039999999999</v>
      </c>
      <c r="U4507">
        <v>3.1814580000000002E-2</v>
      </c>
      <c r="V4507">
        <v>4.2513339999999997E-2</v>
      </c>
      <c r="W4507">
        <v>0.15173239999999999</v>
      </c>
      <c r="X4507">
        <v>0.98750689999999997</v>
      </c>
      <c r="Y4507">
        <v>1.5702540000000001E-2</v>
      </c>
      <c r="Z4507">
        <v>8.2290610000000002E-4</v>
      </c>
      <c r="AA4507">
        <v>0.9998764</v>
      </c>
      <c r="AB4507">
        <v>44</v>
      </c>
      <c r="AC4507">
        <v>-17.301199999999898</v>
      </c>
      <c r="AD4507">
        <v>-1.109436835713</v>
      </c>
      <c r="AE4507">
        <v>0.18739999999999599</v>
      </c>
      <c r="AF4507">
        <v>0.27880765406437003</v>
      </c>
      <c r="AG4507">
        <v>-1.109436835713</v>
      </c>
      <c r="AH4507">
        <v>17.229112149980899</v>
      </c>
      <c r="AI4507">
        <v>93.683888079194205</v>
      </c>
      <c r="AJ4507">
        <v>89.072900127034899</v>
      </c>
      <c r="AK4507">
        <v>17.267046339111399</v>
      </c>
      <c r="AL4507">
        <v>81.272664887613104</v>
      </c>
      <c r="AM4507">
        <v>87.534871134663504</v>
      </c>
      <c r="AN4507">
        <v>0.99999999141766205</v>
      </c>
    </row>
    <row r="4508" spans="1:40" x14ac:dyDescent="0.25">
      <c r="A4508" t="str">
        <f>"20190312164117921"</f>
        <v>20190312164117921</v>
      </c>
      <c r="B4508" t="str">
        <f>"1552380077910445"</f>
        <v>1552380077910445</v>
      </c>
      <c r="C4508" t="s">
        <v>40</v>
      </c>
      <c r="D4508">
        <v>5.3866110000000003</v>
      </c>
      <c r="E4508">
        <v>0.49433369999999999</v>
      </c>
      <c r="F4508" t="s">
        <v>50</v>
      </c>
      <c r="G4508">
        <v>-281.8648</v>
      </c>
      <c r="H4508" s="1">
        <v>-5.1014349999999999E-6</v>
      </c>
      <c r="I4508">
        <v>141.6465</v>
      </c>
      <c r="J4508">
        <v>-264.4393</v>
      </c>
      <c r="K4508">
        <v>1.1094389999999901</v>
      </c>
      <c r="L4508">
        <v>141.44149999999999</v>
      </c>
      <c r="M4508">
        <v>-0.99995699999999998</v>
      </c>
      <c r="N4508">
        <v>0</v>
      </c>
      <c r="O4508">
        <v>-5.7373969999999896E-3</v>
      </c>
      <c r="P4508">
        <v>-0.98879810000000001</v>
      </c>
      <c r="Q4508">
        <v>0.14443879999999901</v>
      </c>
      <c r="R4508">
        <v>3.7627840000000003E-2</v>
      </c>
      <c r="S4508">
        <v>-3.0604550000000001</v>
      </c>
      <c r="T4508">
        <v>-0.18979560000000001</v>
      </c>
      <c r="U4508">
        <v>3.4591669999999998E-2</v>
      </c>
      <c r="V4508">
        <v>4.3147789999999998E-2</v>
      </c>
      <c r="W4508">
        <v>0.15168670000000001</v>
      </c>
      <c r="X4508">
        <v>0.98748639999999999</v>
      </c>
      <c r="Y4508">
        <v>1.6995400000000001E-2</v>
      </c>
      <c r="Z4508">
        <v>8.8193189999999995E-4</v>
      </c>
      <c r="AA4508">
        <v>0.99985520000000006</v>
      </c>
      <c r="AB4508">
        <v>44</v>
      </c>
      <c r="AC4508">
        <v>-17.4255</v>
      </c>
      <c r="AD4508">
        <v>-1.1094441014349901</v>
      </c>
      <c r="AE4508">
        <v>0.20500000000001201</v>
      </c>
      <c r="AF4508">
        <v>0.30374520102588498</v>
      </c>
      <c r="AG4508">
        <v>-1.1094441014349901</v>
      </c>
      <c r="AH4508">
        <v>17.353701836554698</v>
      </c>
      <c r="AI4508">
        <v>93.657454678861995</v>
      </c>
      <c r="AJ4508">
        <v>88.997243278727098</v>
      </c>
      <c r="AK4508">
        <v>17.391782392653099</v>
      </c>
      <c r="AL4508">
        <v>81.275313941560199</v>
      </c>
      <c r="AM4508">
        <v>87.498077188369706</v>
      </c>
      <c r="AN4508">
        <v>0.999999988461867</v>
      </c>
    </row>
    <row r="4509" spans="1:40" x14ac:dyDescent="0.25">
      <c r="A4509" t="str">
        <f>"20190312164117941"</f>
        <v>20190312164117941</v>
      </c>
      <c r="B4509" t="str">
        <f>"1552380077930945"</f>
        <v>1552380077930945</v>
      </c>
      <c r="C4509" t="s">
        <v>40</v>
      </c>
      <c r="D4509">
        <v>5.3186200000000001</v>
      </c>
      <c r="E4509">
        <v>0.49429719999999999</v>
      </c>
      <c r="F4509" t="s">
        <v>42</v>
      </c>
      <c r="G4509">
        <v>-265.5265</v>
      </c>
      <c r="H4509">
        <v>1.041865</v>
      </c>
      <c r="I4509">
        <v>141.4545</v>
      </c>
      <c r="J4509">
        <v>-264.85969999999998</v>
      </c>
      <c r="K4509">
        <v>1.1094329999999999</v>
      </c>
      <c r="L4509">
        <v>141.43889999999999</v>
      </c>
      <c r="M4509">
        <v>-0.99995489999999998</v>
      </c>
      <c r="N4509">
        <v>0</v>
      </c>
      <c r="O4509">
        <v>-6.0835610000000004E-3</v>
      </c>
      <c r="P4509">
        <v>-0.98877349999999997</v>
      </c>
      <c r="Q4509">
        <v>0.14465729999999999</v>
      </c>
      <c r="R4509">
        <v>3.7433010000000003E-2</v>
      </c>
      <c r="S4509">
        <v>-3.060425</v>
      </c>
      <c r="T4509">
        <v>-0.19033040000000001</v>
      </c>
      <c r="U4509">
        <v>3.575134E-2</v>
      </c>
      <c r="V4509">
        <v>4.3294300000000001E-2</v>
      </c>
      <c r="W4509">
        <v>0.15192610000000001</v>
      </c>
      <c r="X4509">
        <v>0.98744319999999997</v>
      </c>
      <c r="Y4509">
        <v>1.771814E-2</v>
      </c>
      <c r="Z4509">
        <v>9.2837810000000003E-4</v>
      </c>
      <c r="AA4509">
        <v>0.99984260000000003</v>
      </c>
      <c r="AB4509">
        <v>45</v>
      </c>
      <c r="AC4509">
        <v>-0.66680000000002304</v>
      </c>
      <c r="AD4509">
        <v>-6.7567999999999795E-2</v>
      </c>
      <c r="AE4509">
        <v>1.5600000000006199E-2</v>
      </c>
      <c r="AF4509">
        <v>1.9456663593341601E-2</v>
      </c>
      <c r="AG4509">
        <v>-6.7567999999999795E-2</v>
      </c>
      <c r="AH4509">
        <v>0.65992031975098497</v>
      </c>
      <c r="AI4509">
        <v>95.843513580958799</v>
      </c>
      <c r="AJ4509">
        <v>88.311217541382703</v>
      </c>
      <c r="AK4509">
        <v>0.66365565227942303</v>
      </c>
      <c r="AL4509">
        <v>81.261436639028105</v>
      </c>
      <c r="AM4509">
        <v>87.489482974027098</v>
      </c>
      <c r="AN4509">
        <v>1.00000000474997</v>
      </c>
    </row>
    <row r="4510" spans="1:40" x14ac:dyDescent="0.25">
      <c r="A4510" t="str">
        <f>"20190312164117963"</f>
        <v>20190312164117963</v>
      </c>
      <c r="B4510" t="str">
        <f>"1552380077950461"</f>
        <v>1552380077950461</v>
      </c>
      <c r="C4510" t="s">
        <v>40</v>
      </c>
      <c r="D4510">
        <v>5.3049429999999997</v>
      </c>
      <c r="E4510">
        <v>0.49426880000000001</v>
      </c>
      <c r="F4510" t="s">
        <v>42</v>
      </c>
      <c r="G4510">
        <v>-265.928</v>
      </c>
      <c r="H4510">
        <v>1.042724</v>
      </c>
      <c r="I4510">
        <v>141.45099999999999</v>
      </c>
      <c r="J4510">
        <v>-265.30029999999999</v>
      </c>
      <c r="K4510">
        <v>1.1094349999999999</v>
      </c>
      <c r="L4510">
        <v>141.43600000000001</v>
      </c>
      <c r="M4510">
        <v>-0.99995239999999996</v>
      </c>
      <c r="N4510">
        <v>0</v>
      </c>
      <c r="O4510">
        <v>-6.439246E-3</v>
      </c>
      <c r="P4510">
        <v>-0.98869280000000004</v>
      </c>
      <c r="Q4510">
        <v>0.14503250000000001</v>
      </c>
      <c r="R4510">
        <v>3.8108959999999997E-2</v>
      </c>
      <c r="S4510">
        <v>-3.0606990000000001</v>
      </c>
      <c r="T4510">
        <v>-0.19110289999999999</v>
      </c>
      <c r="U4510">
        <v>3.456116E-2</v>
      </c>
      <c r="V4510">
        <v>4.4321230000000003E-2</v>
      </c>
      <c r="W4510">
        <v>0.1523243</v>
      </c>
      <c r="X4510">
        <v>0.98733629999999994</v>
      </c>
      <c r="Y4510">
        <v>1.7683000000000001E-2</v>
      </c>
      <c r="Z4510">
        <v>9.5314789999999998E-4</v>
      </c>
      <c r="AA4510">
        <v>0.99984320000000004</v>
      </c>
      <c r="AB4510">
        <v>45</v>
      </c>
      <c r="AC4510">
        <v>-0.62770000000000403</v>
      </c>
      <c r="AD4510">
        <v>-6.6710999999999895E-2</v>
      </c>
      <c r="AE4510">
        <v>1.49999999999863E-2</v>
      </c>
      <c r="AF4510">
        <v>1.8829156216000401E-2</v>
      </c>
      <c r="AG4510">
        <v>-6.6710999999999895E-2</v>
      </c>
      <c r="AH4510">
        <v>0.62058481832642098</v>
      </c>
      <c r="AI4510">
        <v>96.132762184186902</v>
      </c>
      <c r="AJ4510">
        <v>88.262122621555406</v>
      </c>
      <c r="AK4510">
        <v>0.62444408186966105</v>
      </c>
      <c r="AL4510">
        <v>81.238352896202898</v>
      </c>
      <c r="AM4510">
        <v>87.4297351715758</v>
      </c>
      <c r="AN4510">
        <v>1.00000001654844</v>
      </c>
    </row>
    <row r="4511" spans="1:40" x14ac:dyDescent="0.25">
      <c r="A4511" t="str">
        <f>"20190312164117987"</f>
        <v>20190312164117987</v>
      </c>
      <c r="B4511" t="str">
        <f>"1552380077980718"</f>
        <v>1552380077980718</v>
      </c>
      <c r="C4511" t="s">
        <v>40</v>
      </c>
      <c r="D4511">
        <v>5.2029899999999998</v>
      </c>
      <c r="E4511">
        <v>0.49434549999999999</v>
      </c>
      <c r="F4511" t="s">
        <v>42</v>
      </c>
      <c r="G4511">
        <v>-266.3313</v>
      </c>
      <c r="H4511">
        <v>1.0449170000000001</v>
      </c>
      <c r="I4511">
        <v>141.44839999999999</v>
      </c>
      <c r="J4511">
        <v>-265.78550000000001</v>
      </c>
      <c r="K4511">
        <v>1.1094310000000001</v>
      </c>
      <c r="L4511">
        <v>141.43260000000001</v>
      </c>
      <c r="M4511">
        <v>-0.99994970000000005</v>
      </c>
      <c r="N4511">
        <v>0</v>
      </c>
      <c r="O4511">
        <v>-6.8162589999999999E-3</v>
      </c>
      <c r="P4511">
        <v>-0.98861529999999997</v>
      </c>
      <c r="Q4511">
        <v>0.1454869</v>
      </c>
      <c r="R4511">
        <v>3.8388390000000001E-2</v>
      </c>
      <c r="S4511">
        <v>-3.061035</v>
      </c>
      <c r="T4511">
        <v>-0.1916554</v>
      </c>
      <c r="U4511">
        <v>3.5797120000000002E-2</v>
      </c>
      <c r="V4511">
        <v>4.4974430000000003E-2</v>
      </c>
      <c r="W4511">
        <v>0.15281110000000001</v>
      </c>
      <c r="X4511">
        <v>0.98723150000000004</v>
      </c>
      <c r="Y4511">
        <v>1.845987E-2</v>
      </c>
      <c r="Z4511">
        <v>1.003669E-3</v>
      </c>
      <c r="AA4511">
        <v>0.99982910000000003</v>
      </c>
      <c r="AB4511">
        <v>45</v>
      </c>
      <c r="AC4511">
        <v>-0.54579999999998496</v>
      </c>
      <c r="AD4511">
        <v>-6.4513999999999905E-2</v>
      </c>
      <c r="AE4511">
        <v>1.5799999999984399E-2</v>
      </c>
      <c r="AF4511">
        <v>1.9251304739425001E-2</v>
      </c>
      <c r="AG4511">
        <v>-6.4513999999999905E-2</v>
      </c>
      <c r="AH4511">
        <v>0.53816695347697896</v>
      </c>
      <c r="AI4511">
        <v>96.831514584987104</v>
      </c>
      <c r="AJ4511">
        <v>87.951289319705296</v>
      </c>
      <c r="AK4511">
        <v>0.54236181534549699</v>
      </c>
      <c r="AL4511">
        <v>81.2101306206023</v>
      </c>
      <c r="AM4511">
        <v>87.391630418077696</v>
      </c>
      <c r="AN4511">
        <v>0.999999983114642</v>
      </c>
    </row>
    <row r="4512" spans="1:40" x14ac:dyDescent="0.25">
      <c r="A4512" t="str">
        <f>"20190312164118010"</f>
        <v>20190312164118010</v>
      </c>
      <c r="B4512" t="str">
        <f>"1552380078000237"</f>
        <v>1552380078000237</v>
      </c>
      <c r="C4512" t="s">
        <v>40</v>
      </c>
      <c r="D4512">
        <v>5.2283229999999996</v>
      </c>
      <c r="E4512">
        <v>0.49432720000000002</v>
      </c>
      <c r="F4512" t="s">
        <v>42</v>
      </c>
      <c r="G4512">
        <v>-266.7373</v>
      </c>
      <c r="H4512">
        <v>1.0491330000000001</v>
      </c>
      <c r="I4512">
        <v>141.4443</v>
      </c>
      <c r="J4512">
        <v>-266.2552</v>
      </c>
      <c r="K4512">
        <v>1.1094219999999999</v>
      </c>
      <c r="L4512">
        <v>141.42920000000001</v>
      </c>
      <c r="M4512">
        <v>-0.99994689999999997</v>
      </c>
      <c r="N4512">
        <v>0</v>
      </c>
      <c r="O4512">
        <v>-7.1586690000000003E-3</v>
      </c>
      <c r="P4512">
        <v>-0.98852850000000003</v>
      </c>
      <c r="Q4512">
        <v>0.1459077</v>
      </c>
      <c r="R4512">
        <v>3.9017219999999998E-2</v>
      </c>
      <c r="S4512">
        <v>-3.0616759999999998</v>
      </c>
      <c r="T4512">
        <v>-0.19402910000000001</v>
      </c>
      <c r="U4512">
        <v>3.7033080000000003E-2</v>
      </c>
      <c r="V4512">
        <v>4.5944970000000002E-2</v>
      </c>
      <c r="W4512">
        <v>0.15326960000000001</v>
      </c>
      <c r="X4512">
        <v>0.98711570000000004</v>
      </c>
      <c r="Y4512">
        <v>1.919997E-2</v>
      </c>
      <c r="Z4512">
        <v>1.060966E-3</v>
      </c>
      <c r="AA4512">
        <v>0.99981509999999996</v>
      </c>
      <c r="AB4512">
        <v>45</v>
      </c>
      <c r="AC4512">
        <v>-0.48210000000000203</v>
      </c>
      <c r="AD4512">
        <v>-6.0288999999999801E-2</v>
      </c>
      <c r="AE4512">
        <v>1.5099999999989599E-2</v>
      </c>
      <c r="AF4512">
        <v>1.8265532169130402E-2</v>
      </c>
      <c r="AG4512">
        <v>-6.0288999999999801E-2</v>
      </c>
      <c r="AH4512">
        <v>0.47456521654864098</v>
      </c>
      <c r="AI4512">
        <v>97.234800381199307</v>
      </c>
      <c r="AJ4512">
        <v>87.7958317525203</v>
      </c>
      <c r="AK4512">
        <v>0.47872804173589001</v>
      </c>
      <c r="AL4512">
        <v>81.183547128168996</v>
      </c>
      <c r="AM4512">
        <v>87.335110412186296</v>
      </c>
      <c r="AN4512">
        <v>0.99999995786947404</v>
      </c>
    </row>
    <row r="4513" spans="1:40" x14ac:dyDescent="0.25">
      <c r="A4513" t="str">
        <f>"20190312164118032"</f>
        <v>20190312164118032</v>
      </c>
      <c r="B4513" t="str">
        <f>"1552380078020733"</f>
        <v>1552380078020733</v>
      </c>
      <c r="C4513" t="s">
        <v>40</v>
      </c>
      <c r="D4513">
        <v>5.2820640000000001</v>
      </c>
      <c r="E4513">
        <v>0.49429070000000003</v>
      </c>
      <c r="F4513" t="s">
        <v>50</v>
      </c>
      <c r="G4513">
        <v>-283.74529999999999</v>
      </c>
      <c r="H4513" s="1">
        <v>-5.9371789999999997E-6</v>
      </c>
      <c r="I4513">
        <v>141.65199999999999</v>
      </c>
      <c r="J4513">
        <v>-266.68380000000002</v>
      </c>
      <c r="K4513">
        <v>1.1094109999999999</v>
      </c>
      <c r="L4513">
        <v>141.42599999999999</v>
      </c>
      <c r="M4513">
        <v>-0.99994459999999996</v>
      </c>
      <c r="N4513">
        <v>0</v>
      </c>
      <c r="O4513">
        <v>-7.444885E-3</v>
      </c>
      <c r="P4513">
        <v>-0.9884657</v>
      </c>
      <c r="Q4513">
        <v>0.14625679999999999</v>
      </c>
      <c r="R4513">
        <v>3.9304800000000001E-2</v>
      </c>
      <c r="S4513">
        <v>-3.0619510000000001</v>
      </c>
      <c r="T4513">
        <v>-0.19422510000000001</v>
      </c>
      <c r="U4513">
        <v>3.9001460000000002E-2</v>
      </c>
      <c r="V4513">
        <v>4.6520859999999997E-2</v>
      </c>
      <c r="W4513">
        <v>0.1536565</v>
      </c>
      <c r="X4513">
        <v>0.98702860000000003</v>
      </c>
      <c r="Y4513">
        <v>2.012516E-2</v>
      </c>
      <c r="Z4513">
        <v>1.109386E-3</v>
      </c>
      <c r="AA4513">
        <v>0.99979689999999999</v>
      </c>
      <c r="AB4513">
        <v>45</v>
      </c>
      <c r="AC4513">
        <v>-17.061499999999899</v>
      </c>
      <c r="AD4513">
        <v>-1.1094169371789999</v>
      </c>
      <c r="AE4513">
        <v>0.22599999999999901</v>
      </c>
      <c r="AF4513">
        <v>0.35153207265041198</v>
      </c>
      <c r="AG4513">
        <v>-1.1094169371789999</v>
      </c>
      <c r="AH4513">
        <v>16.9875305320686</v>
      </c>
      <c r="AI4513">
        <v>93.735753153746202</v>
      </c>
      <c r="AJ4513">
        <v>88.814516928122998</v>
      </c>
      <c r="AK4513">
        <v>17.027347835660301</v>
      </c>
      <c r="AL4513">
        <v>81.161113882829</v>
      </c>
      <c r="AM4513">
        <v>87.301519078747006</v>
      </c>
      <c r="AN4513">
        <v>0.99999998381267396</v>
      </c>
    </row>
    <row r="4514" spans="1:40" x14ac:dyDescent="0.25">
      <c r="A4514" t="str">
        <f>"20190312164118053"</f>
        <v>20190312164118053</v>
      </c>
      <c r="B4514" t="str">
        <f>"1552380078040254"</f>
        <v>1552380078040254</v>
      </c>
      <c r="C4514" t="s">
        <v>40</v>
      </c>
      <c r="D4514">
        <v>5.2580720000000003</v>
      </c>
      <c r="E4514">
        <v>0.49424079999999898</v>
      </c>
      <c r="F4514" t="s">
        <v>50</v>
      </c>
      <c r="G4514">
        <v>-284.14010000000002</v>
      </c>
      <c r="H4514" s="1">
        <v>-6.1127949999999998E-6</v>
      </c>
      <c r="I4514">
        <v>141.65369999999999</v>
      </c>
      <c r="J4514">
        <v>-267.11900000000003</v>
      </c>
      <c r="K4514">
        <v>1.1093949999999999</v>
      </c>
      <c r="L4514">
        <v>141.42259999999999</v>
      </c>
      <c r="M4514">
        <v>-0.9999422</v>
      </c>
      <c r="N4514">
        <v>0</v>
      </c>
      <c r="O4514">
        <v>-7.7029179999999996E-3</v>
      </c>
      <c r="P4514">
        <v>-0.9883459</v>
      </c>
      <c r="Q4514">
        <v>0.14681559999999999</v>
      </c>
      <c r="R4514">
        <v>4.0219980000000002E-2</v>
      </c>
      <c r="S4514">
        <v>-3.0622560000000001</v>
      </c>
      <c r="T4514">
        <v>-0.19461870000000001</v>
      </c>
      <c r="U4514">
        <v>3.9947509999999999E-2</v>
      </c>
      <c r="V4514">
        <v>4.7698209999999998E-2</v>
      </c>
      <c r="W4514">
        <v>0.1542567</v>
      </c>
      <c r="X4514">
        <v>0.98687879999999994</v>
      </c>
      <c r="Y4514">
        <v>2.068884E-2</v>
      </c>
      <c r="Z4514">
        <v>1.145793E-3</v>
      </c>
      <c r="AA4514">
        <v>0.99978529999999999</v>
      </c>
      <c r="AB4514">
        <v>45</v>
      </c>
      <c r="AC4514">
        <v>-17.021099999999901</v>
      </c>
      <c r="AD4514">
        <v>-1.1094011127949901</v>
      </c>
      <c r="AE4514">
        <v>0.231099999999997</v>
      </c>
      <c r="AF4514">
        <v>0.36067703421316</v>
      </c>
      <c r="AG4514">
        <v>-1.1094011127949901</v>
      </c>
      <c r="AH4514">
        <v>16.946835019448802</v>
      </c>
      <c r="AI4514">
        <v>93.744599135569004</v>
      </c>
      <c r="AJ4514">
        <v>88.780766292246</v>
      </c>
      <c r="AK4514">
        <v>16.986938391849598</v>
      </c>
      <c r="AL4514">
        <v>81.126310219708799</v>
      </c>
      <c r="AM4514">
        <v>87.232911417196405</v>
      </c>
      <c r="AN4514">
        <v>1.00000000731076</v>
      </c>
    </row>
    <row r="4515" spans="1:40" x14ac:dyDescent="0.25">
      <c r="A4515" t="str">
        <f>"20190312164118075"</f>
        <v>20190312164118075</v>
      </c>
      <c r="B4515" t="str">
        <f>"1552380078070509"</f>
        <v>1552380078070509</v>
      </c>
      <c r="C4515" t="s">
        <v>40</v>
      </c>
      <c r="D4515">
        <v>5.3172569999999997</v>
      </c>
      <c r="E4515">
        <v>0.49422090000000002</v>
      </c>
      <c r="F4515" t="s">
        <v>50</v>
      </c>
      <c r="G4515">
        <v>-284.65069999999997</v>
      </c>
      <c r="H4515" s="1">
        <v>-6.3412950000000002E-6</v>
      </c>
      <c r="I4515">
        <v>141.6601</v>
      </c>
      <c r="J4515">
        <v>-267.56450000000001</v>
      </c>
      <c r="K4515">
        <v>1.1093729999999999</v>
      </c>
      <c r="L4515">
        <v>141.41909999999999</v>
      </c>
      <c r="M4515">
        <v>-0.99994019999999995</v>
      </c>
      <c r="N4515">
        <v>0</v>
      </c>
      <c r="O4515">
        <v>-7.9268080000000005E-3</v>
      </c>
      <c r="P4515">
        <v>-0.98829739999999999</v>
      </c>
      <c r="Q4515">
        <v>0.14688979999999999</v>
      </c>
      <c r="R4515">
        <v>4.1129539999999999E-2</v>
      </c>
      <c r="S4515">
        <v>-3.0624389999999999</v>
      </c>
      <c r="T4515">
        <v>-0.19379060000000001</v>
      </c>
      <c r="U4515">
        <v>4.1488650000000002E-2</v>
      </c>
      <c r="V4515">
        <v>4.8839840000000002E-2</v>
      </c>
      <c r="W4515">
        <v>0.15437779999999901</v>
      </c>
      <c r="X4515">
        <v>0.98680400000000001</v>
      </c>
      <c r="Y4515">
        <v>2.141355E-2</v>
      </c>
      <c r="Z4515">
        <v>1.1779150000000001E-3</v>
      </c>
      <c r="AA4515">
        <v>0.99977000000000005</v>
      </c>
      <c r="AB4515">
        <v>45</v>
      </c>
      <c r="AC4515">
        <v>-17.086199999999899</v>
      </c>
      <c r="AD4515">
        <v>-1.1093793412949999</v>
      </c>
      <c r="AE4515">
        <v>0.24100000000001301</v>
      </c>
      <c r="AF4515">
        <v>0.37485533741850802</v>
      </c>
      <c r="AG4515">
        <v>-1.1093793412949999</v>
      </c>
      <c r="AH4515">
        <v>17.012049401220601</v>
      </c>
      <c r="AI4515">
        <v>93.730151569494893</v>
      </c>
      <c r="AJ4515">
        <v>88.737709180572494</v>
      </c>
      <c r="AK4515">
        <v>17.052303770354701</v>
      </c>
      <c r="AL4515">
        <v>81.119287377211094</v>
      </c>
      <c r="AM4515">
        <v>87.166574940625495</v>
      </c>
      <c r="AN4515">
        <v>0.99999998476003205</v>
      </c>
    </row>
    <row r="4516" spans="1:40" x14ac:dyDescent="0.25">
      <c r="A4516" t="str">
        <f>"20190312164118097"</f>
        <v>20190312164118097</v>
      </c>
      <c r="B4516" t="str">
        <f>"1552380078091006"</f>
        <v>1552380078091006</v>
      </c>
      <c r="C4516" t="s">
        <v>40</v>
      </c>
      <c r="D4516">
        <v>5.2697050000000001</v>
      </c>
      <c r="E4516">
        <v>0.49417440000000001</v>
      </c>
      <c r="F4516" t="s">
        <v>50</v>
      </c>
      <c r="G4516">
        <v>-284.84879999999998</v>
      </c>
      <c r="H4516" s="1">
        <v>-6.4320009999999998E-6</v>
      </c>
      <c r="I4516">
        <v>141.66899999999899</v>
      </c>
      <c r="J4516">
        <v>-268.01799999999997</v>
      </c>
      <c r="K4516">
        <v>1.109337</v>
      </c>
      <c r="L4516">
        <v>141.41540000000001</v>
      </c>
      <c r="M4516">
        <v>-0.9999382</v>
      </c>
      <c r="N4516">
        <v>0</v>
      </c>
      <c r="O4516">
        <v>-8.1065310000000002E-3</v>
      </c>
      <c r="P4516">
        <v>-0.98823329999999998</v>
      </c>
      <c r="Q4516">
        <v>0.14708760000000001</v>
      </c>
      <c r="R4516">
        <v>4.1951519999999999E-2</v>
      </c>
      <c r="S4516">
        <v>-3.062897</v>
      </c>
      <c r="T4516">
        <v>-0.19658970000000001</v>
      </c>
      <c r="U4516">
        <v>4.4296259999999997E-2</v>
      </c>
      <c r="V4516">
        <v>4.9853090000000003E-2</v>
      </c>
      <c r="W4516">
        <v>0.15462600000000001</v>
      </c>
      <c r="X4516">
        <v>0.98671450000000005</v>
      </c>
      <c r="Y4516">
        <v>2.2503169999999999E-2</v>
      </c>
      <c r="Z4516">
        <v>1.241163E-3</v>
      </c>
      <c r="AA4516">
        <v>0.99974600000000002</v>
      </c>
      <c r="AB4516">
        <v>45</v>
      </c>
      <c r="AC4516">
        <v>-16.8308</v>
      </c>
      <c r="AD4516">
        <v>-1.1093434320010001</v>
      </c>
      <c r="AE4516">
        <v>0.25359999999997701</v>
      </c>
      <c r="AF4516">
        <v>0.38834828827951401</v>
      </c>
      <c r="AG4516">
        <v>-1.1093434320010001</v>
      </c>
      <c r="AH4516">
        <v>16.755416570485199</v>
      </c>
      <c r="AI4516">
        <v>93.786899365056698</v>
      </c>
      <c r="AJ4516">
        <v>88.672266084134904</v>
      </c>
      <c r="AK4516">
        <v>16.796590180558201</v>
      </c>
      <c r="AL4516">
        <v>81.104894026110003</v>
      </c>
      <c r="AM4516">
        <v>87.107628524523605</v>
      </c>
      <c r="AN4516">
        <v>1.0000000174843899</v>
      </c>
    </row>
    <row r="4517" spans="1:40" x14ac:dyDescent="0.25">
      <c r="A4517" t="str">
        <f>"20190312164118120"</f>
        <v>20190312164118120</v>
      </c>
      <c r="B4517" t="str">
        <f>"1552380078110525"</f>
        <v>1552380078110525</v>
      </c>
      <c r="C4517" t="s">
        <v>40</v>
      </c>
      <c r="D4517">
        <v>5.2467689999999996</v>
      </c>
      <c r="E4517">
        <v>0.49409229999999998</v>
      </c>
      <c r="F4517" t="s">
        <v>50</v>
      </c>
      <c r="G4517">
        <v>-285.31110000000001</v>
      </c>
      <c r="H4517" s="1">
        <v>-6.7031140000000002E-6</v>
      </c>
      <c r="I4517">
        <v>141.67769999999999</v>
      </c>
      <c r="J4517">
        <v>-268.46510000000001</v>
      </c>
      <c r="K4517">
        <v>1.1092959999999901</v>
      </c>
      <c r="L4517">
        <v>141.4117</v>
      </c>
      <c r="M4517">
        <v>-0.99993690000000002</v>
      </c>
      <c r="N4517">
        <v>0</v>
      </c>
      <c r="O4517">
        <v>-8.2342630000000003E-3</v>
      </c>
      <c r="P4517">
        <v>-0.98821029999999999</v>
      </c>
      <c r="Q4517">
        <v>0.14707319999999999</v>
      </c>
      <c r="R4517">
        <v>4.2547620000000001E-2</v>
      </c>
      <c r="S4517">
        <v>-3.0629879999999998</v>
      </c>
      <c r="T4517">
        <v>-0.19648959999999999</v>
      </c>
      <c r="U4517">
        <v>4.6463009999999999E-2</v>
      </c>
      <c r="V4517">
        <v>5.0591070000000002E-2</v>
      </c>
      <c r="W4517">
        <v>0.1546652</v>
      </c>
      <c r="X4517">
        <v>0.98667079999999996</v>
      </c>
      <c r="Y4517">
        <v>2.3335600000000001E-2</v>
      </c>
      <c r="Z4517">
        <v>1.275345E-3</v>
      </c>
      <c r="AA4517">
        <v>0.99972689999999997</v>
      </c>
      <c r="AB4517">
        <v>45</v>
      </c>
      <c r="AC4517">
        <v>-16.846</v>
      </c>
      <c r="AD4517">
        <v>-1.1093027031139999</v>
      </c>
      <c r="AE4517">
        <v>0.26599999999999102</v>
      </c>
      <c r="AF4517">
        <v>0.40296254659089498</v>
      </c>
      <c r="AG4517">
        <v>-1.1093027031139999</v>
      </c>
      <c r="AH4517">
        <v>16.7705366604837</v>
      </c>
      <c r="AI4517">
        <v>93.783280876691805</v>
      </c>
      <c r="AJ4517">
        <v>88.623561549063993</v>
      </c>
      <c r="AK4517">
        <v>16.812014489100299</v>
      </c>
      <c r="AL4517">
        <v>81.102620741864598</v>
      </c>
      <c r="AM4517">
        <v>87.0647570291965</v>
      </c>
      <c r="AN4517">
        <v>1.0000000240137099</v>
      </c>
    </row>
    <row r="4518" spans="1:40" x14ac:dyDescent="0.25">
      <c r="A4518" t="str">
        <f>"20190312164118141"</f>
        <v>20190312164118141</v>
      </c>
      <c r="B4518" t="str">
        <f>"1552380078131025"</f>
        <v>1552380078131025</v>
      </c>
      <c r="C4518" t="s">
        <v>40</v>
      </c>
      <c r="D4518">
        <v>5.241066</v>
      </c>
      <c r="E4518">
        <v>0.49399969999999999</v>
      </c>
      <c r="F4518" t="s">
        <v>42</v>
      </c>
      <c r="G4518">
        <v>-269.56319999999999</v>
      </c>
      <c r="H4518">
        <v>1.038459</v>
      </c>
      <c r="I4518">
        <v>141.4289</v>
      </c>
      <c r="J4518">
        <v>-268.9162</v>
      </c>
      <c r="K4518">
        <v>1.109262</v>
      </c>
      <c r="L4518">
        <v>141.40799999999999</v>
      </c>
      <c r="M4518">
        <v>-0.99993560000000004</v>
      </c>
      <c r="N4518">
        <v>0</v>
      </c>
      <c r="O4518">
        <v>-8.3251869999999995E-3</v>
      </c>
      <c r="P4518">
        <v>-0.98811939999999998</v>
      </c>
      <c r="Q4518">
        <v>0.14729349999999999</v>
      </c>
      <c r="R4518">
        <v>4.3872500000000002E-2</v>
      </c>
      <c r="S4518">
        <v>-3.0631710000000001</v>
      </c>
      <c r="T4518">
        <v>-0.19767419999999999</v>
      </c>
      <c r="U4518">
        <v>4.7409060000000003E-2</v>
      </c>
      <c r="V4518">
        <v>5.2019650000000001E-2</v>
      </c>
      <c r="W4518">
        <v>0.15493979999999999</v>
      </c>
      <c r="X4518">
        <v>0.98655340000000002</v>
      </c>
      <c r="Y4518">
        <v>2.37325E-2</v>
      </c>
      <c r="Z4518">
        <v>1.301593E-3</v>
      </c>
      <c r="AA4518">
        <v>0.99971750000000004</v>
      </c>
      <c r="AB4518">
        <v>45</v>
      </c>
      <c r="AC4518">
        <v>-0.64699999999999103</v>
      </c>
      <c r="AD4518">
        <v>-7.0802999999999894E-2</v>
      </c>
      <c r="AE4518">
        <v>2.09000000000116E-2</v>
      </c>
      <c r="AF4518">
        <v>2.5975090639128E-2</v>
      </c>
      <c r="AG4518">
        <v>-7.0802999999999894E-2</v>
      </c>
      <c r="AH4518">
        <v>0.63915730628587297</v>
      </c>
      <c r="AI4518">
        <v>96.316027724862806</v>
      </c>
      <c r="AJ4518">
        <v>87.672803649786005</v>
      </c>
      <c r="AK4518">
        <v>0.64359135507037701</v>
      </c>
      <c r="AL4518">
        <v>81.086695116685107</v>
      </c>
      <c r="AM4518">
        <v>86.981664906446596</v>
      </c>
      <c r="AN4518">
        <v>0.99999999833086095</v>
      </c>
    </row>
    <row r="4519" spans="1:40" x14ac:dyDescent="0.25">
      <c r="A4519" t="str">
        <f>"20190312164118164"</f>
        <v>20190312164118164</v>
      </c>
      <c r="B4519" t="str">
        <f>"1552380078160301"</f>
        <v>1552380078160301</v>
      </c>
      <c r="C4519" t="s">
        <v>40</v>
      </c>
      <c r="D4519">
        <v>5.3427740000000004</v>
      </c>
      <c r="E4519">
        <v>0.49396289999999998</v>
      </c>
      <c r="F4519" t="s">
        <v>42</v>
      </c>
      <c r="G4519">
        <v>-269.97190000000001</v>
      </c>
      <c r="H4519">
        <v>1.0410079999999999</v>
      </c>
      <c r="I4519">
        <v>141.4255</v>
      </c>
      <c r="J4519">
        <v>-269.36160000000001</v>
      </c>
      <c r="K4519">
        <v>1.1092249999999999</v>
      </c>
      <c r="L4519">
        <v>141.40430000000001</v>
      </c>
      <c r="M4519">
        <v>-0.99993460000000001</v>
      </c>
      <c r="N4519">
        <v>0</v>
      </c>
      <c r="O4519">
        <v>-8.3865950000000002E-3</v>
      </c>
      <c r="P4519">
        <v>-0.98798359999999996</v>
      </c>
      <c r="Q4519">
        <v>0.14759649999999999</v>
      </c>
      <c r="R4519">
        <v>4.5864580000000002E-2</v>
      </c>
      <c r="S4519">
        <v>-3.0633240000000002</v>
      </c>
      <c r="T4519">
        <v>-0.1980306</v>
      </c>
      <c r="U4519">
        <v>5.1010130000000001E-2</v>
      </c>
      <c r="V4519">
        <v>5.4083829999999999E-2</v>
      </c>
      <c r="W4519">
        <v>0.15529599999999999</v>
      </c>
      <c r="X4519">
        <v>0.9863864</v>
      </c>
      <c r="Y4519">
        <v>2.4965080000000001E-2</v>
      </c>
      <c r="Z4519">
        <v>1.347621E-3</v>
      </c>
      <c r="AA4519">
        <v>0.9996874</v>
      </c>
      <c r="AB4519">
        <v>46</v>
      </c>
      <c r="AC4519">
        <v>-0.61029999999999496</v>
      </c>
      <c r="AD4519">
        <v>-6.8216999999999903E-2</v>
      </c>
      <c r="AE4519">
        <v>2.11999999999932E-2</v>
      </c>
      <c r="AF4519">
        <v>2.5993380412424199E-2</v>
      </c>
      <c r="AG4519">
        <v>-6.8216999999999903E-2</v>
      </c>
      <c r="AH4519">
        <v>0.60258121044228397</v>
      </c>
      <c r="AI4519">
        <v>96.452890492811704</v>
      </c>
      <c r="AJ4519">
        <v>87.529978966331598</v>
      </c>
      <c r="AK4519">
        <v>0.60698709219583402</v>
      </c>
      <c r="AL4519">
        <v>81.066036492799796</v>
      </c>
      <c r="AM4519">
        <v>86.861599627075705</v>
      </c>
      <c r="AN4519">
        <v>1.00000001919421</v>
      </c>
    </row>
    <row r="4520" spans="1:40" x14ac:dyDescent="0.25">
      <c r="A4520" t="str">
        <f>"20190312164118187"</f>
        <v>20190312164118187</v>
      </c>
      <c r="B4520" t="str">
        <f>"1552380078180799"</f>
        <v>1552380078180799</v>
      </c>
      <c r="C4520" t="s">
        <v>40</v>
      </c>
      <c r="D4520">
        <v>5.3120279999999998</v>
      </c>
      <c r="E4520">
        <v>0.51714300000000002</v>
      </c>
      <c r="F4520" t="s">
        <v>42</v>
      </c>
      <c r="G4520">
        <v>-270.38130000000001</v>
      </c>
      <c r="H4520">
        <v>1.0431330000000001</v>
      </c>
      <c r="I4520">
        <v>141.42339999999999</v>
      </c>
      <c r="J4520">
        <v>-269.84390000000002</v>
      </c>
      <c r="K4520">
        <v>1.1092010000000001</v>
      </c>
      <c r="L4520">
        <v>141.40020000000001</v>
      </c>
      <c r="M4520">
        <v>-0.99993379999999998</v>
      </c>
      <c r="N4520">
        <v>0</v>
      </c>
      <c r="O4520">
        <v>-8.4249219999999996E-3</v>
      </c>
      <c r="P4520">
        <v>-0.98778469999999996</v>
      </c>
      <c r="Q4520">
        <v>0.14823430000000001</v>
      </c>
      <c r="R4520">
        <v>4.8043420000000003E-2</v>
      </c>
      <c r="S4520">
        <v>-3.063507</v>
      </c>
      <c r="T4520">
        <v>-0.19861380000000001</v>
      </c>
      <c r="U4520">
        <v>5.6945799999999998E-2</v>
      </c>
      <c r="V4520">
        <v>5.6310930000000002E-2</v>
      </c>
      <c r="W4520">
        <v>0.15599260000000001</v>
      </c>
      <c r="X4520">
        <v>0.98615180000000002</v>
      </c>
      <c r="Y4520">
        <v>2.6934079999999999E-2</v>
      </c>
      <c r="Z4520">
        <v>1.4177149999999999E-3</v>
      </c>
      <c r="AA4520">
        <v>0.99963619999999997</v>
      </c>
      <c r="AB4520">
        <v>46</v>
      </c>
      <c r="AC4520">
        <v>-0.537399999999991</v>
      </c>
      <c r="AD4520">
        <v>-6.6068000000000002E-2</v>
      </c>
      <c r="AE4520">
        <v>2.31999999999743E-2</v>
      </c>
      <c r="AF4520">
        <v>2.7314793693517001E-2</v>
      </c>
      <c r="AG4520">
        <v>-6.6068000000000002E-2</v>
      </c>
      <c r="AH4520">
        <v>0.52920184512799195</v>
      </c>
      <c r="AI4520">
        <v>97.1068866196687</v>
      </c>
      <c r="AJ4520">
        <v>87.045295990223906</v>
      </c>
      <c r="AK4520">
        <v>0.53400905560242196</v>
      </c>
      <c r="AL4520">
        <v>81.025631605268998</v>
      </c>
      <c r="AM4520">
        <v>86.731863362498302</v>
      </c>
      <c r="AN4520">
        <v>0.99999999236773196</v>
      </c>
    </row>
    <row r="4521" spans="1:40" x14ac:dyDescent="0.25">
      <c r="A4521" t="str">
        <f>"20190312164118211"</f>
        <v>20190312164118211</v>
      </c>
      <c r="B4521" t="str">
        <f>"1552380078200318"</f>
        <v>1552380078200318</v>
      </c>
      <c r="C4521" t="s">
        <v>40</v>
      </c>
      <c r="D4521">
        <v>5.4947319999999999</v>
      </c>
      <c r="E4521">
        <v>0.52753819999999996</v>
      </c>
      <c r="F4521" t="s">
        <v>42</v>
      </c>
      <c r="G4521">
        <v>-270.79689999999999</v>
      </c>
      <c r="H4521">
        <v>1.0519099999999999</v>
      </c>
      <c r="I4521">
        <v>141.47799999999901</v>
      </c>
      <c r="J4521">
        <v>-270.31959999999998</v>
      </c>
      <c r="K4521">
        <v>1.1091799999999901</v>
      </c>
      <c r="L4521">
        <v>141.39619999999999</v>
      </c>
      <c r="M4521">
        <v>-0.99993319999999997</v>
      </c>
      <c r="N4521">
        <v>0</v>
      </c>
      <c r="O4521">
        <v>-8.431549E-3</v>
      </c>
      <c r="P4521">
        <v>-0.98750930000000003</v>
      </c>
      <c r="Q4521">
        <v>0.14894549999999901</v>
      </c>
      <c r="R4521">
        <v>5.1386580000000001E-2</v>
      </c>
      <c r="S4521">
        <v>-3.052521</v>
      </c>
      <c r="T4521">
        <v>-0.183531</v>
      </c>
      <c r="U4521">
        <v>0.24882509999999999</v>
      </c>
      <c r="V4521">
        <v>5.9669970000000003E-2</v>
      </c>
      <c r="W4521">
        <v>0.15676399999999999</v>
      </c>
      <c r="X4521">
        <v>0.98583189999999998</v>
      </c>
      <c r="Y4521">
        <v>8.9470549999999996E-2</v>
      </c>
      <c r="Z4521">
        <v>3.188523E-3</v>
      </c>
      <c r="AA4521">
        <v>0.99598439999999999</v>
      </c>
      <c r="AB4521">
        <v>46</v>
      </c>
      <c r="AC4521">
        <v>-0.47730000000001299</v>
      </c>
      <c r="AD4521">
        <v>-5.7269999999999703E-2</v>
      </c>
      <c r="AE4521">
        <v>8.1799999999986994E-2</v>
      </c>
      <c r="AF4521">
        <v>8.4637835405753897E-2</v>
      </c>
      <c r="AG4521">
        <v>-5.7269999999999703E-2</v>
      </c>
      <c r="AH4521">
        <v>0.47001952804900698</v>
      </c>
      <c r="AI4521">
        <v>96.838100889274799</v>
      </c>
      <c r="AJ4521">
        <v>79.791973946440095</v>
      </c>
      <c r="AK4521">
        <v>0.48100080335648399</v>
      </c>
      <c r="AL4521">
        <v>80.980883142517499</v>
      </c>
      <c r="AM4521">
        <v>86.536253762454905</v>
      </c>
      <c r="AN4521">
        <v>0.99999999603670497</v>
      </c>
    </row>
    <row r="4522" spans="1:40" x14ac:dyDescent="0.25">
      <c r="A4522" t="str">
        <f>"20190312164118233"</f>
        <v>20190312164118233</v>
      </c>
      <c r="B4522" t="str">
        <f>"1552380078220814"</f>
        <v>1552380078220814</v>
      </c>
      <c r="C4522" t="s">
        <v>40</v>
      </c>
      <c r="D4522">
        <v>5.3482250000000002</v>
      </c>
      <c r="E4522">
        <v>0.53304469999999904</v>
      </c>
      <c r="F4522" t="s">
        <v>50</v>
      </c>
      <c r="G4522">
        <v>-291.92329999999998</v>
      </c>
      <c r="H4522" s="1">
        <v>-9.8894360000000007E-6</v>
      </c>
      <c r="I4522">
        <v>143.828</v>
      </c>
      <c r="J4522">
        <v>-270.77879999999999</v>
      </c>
      <c r="K4522">
        <v>1.1091530000000001</v>
      </c>
      <c r="L4522">
        <v>141.39240000000001</v>
      </c>
      <c r="M4522">
        <v>-0.99993290000000001</v>
      </c>
      <c r="N4522">
        <v>0</v>
      </c>
      <c r="O4522">
        <v>-8.4065679999999997E-3</v>
      </c>
      <c r="P4522">
        <v>-0.98721760000000003</v>
      </c>
      <c r="Q4522">
        <v>0.1495503</v>
      </c>
      <c r="R4522">
        <v>5.5102940000000003E-2</v>
      </c>
      <c r="S4522">
        <v>-3.0437319999999999</v>
      </c>
      <c r="T4522">
        <v>-0.1562731</v>
      </c>
      <c r="U4522">
        <v>0.34260559999999901</v>
      </c>
      <c r="V4522">
        <v>6.3371930000000007E-2</v>
      </c>
      <c r="W4522">
        <v>0.1574276</v>
      </c>
      <c r="X4522">
        <v>0.98549509999999996</v>
      </c>
      <c r="Y4522">
        <v>0.1200377</v>
      </c>
      <c r="Z4522">
        <v>3.4998590000000001E-3</v>
      </c>
      <c r="AA4522">
        <v>0.99276319999999996</v>
      </c>
      <c r="AB4522">
        <v>46</v>
      </c>
      <c r="AC4522">
        <v>-21.144499999999901</v>
      </c>
      <c r="AD4522">
        <v>-1.1091628894359999</v>
      </c>
      <c r="AE4522">
        <v>2.4355999999999902</v>
      </c>
      <c r="AF4522">
        <v>2.6061947809892199</v>
      </c>
      <c r="AG4522">
        <v>-1.1091628894359999</v>
      </c>
      <c r="AH4522">
        <v>21.0660693590706</v>
      </c>
      <c r="AI4522">
        <v>92.991171334490005</v>
      </c>
      <c r="AJ4522">
        <v>82.9474713620599</v>
      </c>
      <c r="AK4522">
        <v>21.2556291789477</v>
      </c>
      <c r="AL4522">
        <v>80.942383860040707</v>
      </c>
      <c r="AM4522">
        <v>86.320680083243403</v>
      </c>
      <c r="AN4522">
        <v>1.00000002143884</v>
      </c>
    </row>
    <row r="4523" spans="1:40" x14ac:dyDescent="0.25">
      <c r="A4523" t="str">
        <f>"20190312164118254"</f>
        <v>20190312164118254</v>
      </c>
      <c r="B4523" t="str">
        <f>"1552380078251070"</f>
        <v>1552380078251070</v>
      </c>
      <c r="C4523" t="s">
        <v>40</v>
      </c>
      <c r="D4523">
        <v>5.3142800000000001</v>
      </c>
      <c r="E4523">
        <v>0.5354797</v>
      </c>
      <c r="F4523" t="s">
        <v>50</v>
      </c>
      <c r="G4523">
        <v>-288.3809</v>
      </c>
      <c r="H4523" s="1">
        <v>-9.2162470000000002E-6</v>
      </c>
      <c r="I4523">
        <v>143.678</v>
      </c>
      <c r="J4523">
        <v>-271.20170000000002</v>
      </c>
      <c r="K4523">
        <v>1.1091260000000001</v>
      </c>
      <c r="L4523">
        <v>141.38890000000001</v>
      </c>
      <c r="M4523">
        <v>-0.99993279999999995</v>
      </c>
      <c r="N4523">
        <v>0</v>
      </c>
      <c r="O4523">
        <v>-8.3575000000000003E-3</v>
      </c>
      <c r="P4523">
        <v>-0.98691799999999996</v>
      </c>
      <c r="Q4523">
        <v>0.15021389999999901</v>
      </c>
      <c r="R4523">
        <v>5.8555379999999997E-2</v>
      </c>
      <c r="S4523">
        <v>-3.0458370000000001</v>
      </c>
      <c r="T4523">
        <v>-0.1919276</v>
      </c>
      <c r="U4523">
        <v>0.39550780000000002</v>
      </c>
      <c r="V4523">
        <v>6.6786330000000005E-2</v>
      </c>
      <c r="W4523">
        <v>0.1581466</v>
      </c>
      <c r="X4523">
        <v>0.98515439999999999</v>
      </c>
      <c r="Y4523">
        <v>0.13677139999999999</v>
      </c>
      <c r="Z4523">
        <v>4.8109809999999998E-3</v>
      </c>
      <c r="AA4523">
        <v>0.99059090000000005</v>
      </c>
      <c r="AB4523">
        <v>46</v>
      </c>
      <c r="AC4523">
        <v>-17.179199999999899</v>
      </c>
      <c r="AD4523">
        <v>-1.1091352162469901</v>
      </c>
      <c r="AE4523">
        <v>2.2890999999999901</v>
      </c>
      <c r="AF4523">
        <v>2.4226774769538801</v>
      </c>
      <c r="AG4523">
        <v>-1.1091352162469901</v>
      </c>
      <c r="AH4523">
        <v>17.089476188086</v>
      </c>
      <c r="AI4523">
        <v>93.676723025340294</v>
      </c>
      <c r="AJ4523">
        <v>81.931270490220996</v>
      </c>
      <c r="AK4523">
        <v>17.2959458679893</v>
      </c>
      <c r="AL4523">
        <v>80.900665182978798</v>
      </c>
      <c r="AM4523">
        <v>86.121695422260601</v>
      </c>
      <c r="AN4523">
        <v>0.99999997640289395</v>
      </c>
    </row>
    <row r="4524" spans="1:40" x14ac:dyDescent="0.25">
      <c r="A4524" t="str">
        <f>"20190312164118276"</f>
        <v>20190312164118276</v>
      </c>
      <c r="B4524" t="str">
        <f>"1552380078270592"</f>
        <v>1552380078270592</v>
      </c>
      <c r="C4524" t="s">
        <v>40</v>
      </c>
      <c r="D4524">
        <v>5.2452899999999998</v>
      </c>
      <c r="E4524">
        <v>0.53632930000000001</v>
      </c>
      <c r="F4524" t="s">
        <v>50</v>
      </c>
      <c r="G4524">
        <v>-291.21370000000002</v>
      </c>
      <c r="H4524" s="1">
        <v>-1.005941E-5</v>
      </c>
      <c r="I4524">
        <v>144.19499999999999</v>
      </c>
      <c r="J4524">
        <v>-271.65690000000001</v>
      </c>
      <c r="K4524">
        <v>1.1091009999999999</v>
      </c>
      <c r="L4524">
        <v>141.38509999999999</v>
      </c>
      <c r="M4524">
        <v>-0.99993279999999995</v>
      </c>
      <c r="N4524">
        <v>0</v>
      </c>
      <c r="O4524">
        <v>-8.2818430000000005E-3</v>
      </c>
      <c r="P4524">
        <v>-0.9865661</v>
      </c>
      <c r="Q4524">
        <v>0.1509585</v>
      </c>
      <c r="R4524">
        <v>6.2440919999999997E-2</v>
      </c>
      <c r="S4524">
        <v>-3.0401310000000001</v>
      </c>
      <c r="T4524">
        <v>-0.1684947</v>
      </c>
      <c r="U4524">
        <v>0.42630000000000001</v>
      </c>
      <c r="V4524">
        <v>7.0608030000000002E-2</v>
      </c>
      <c r="W4524">
        <v>0.1589507</v>
      </c>
      <c r="X4524">
        <v>0.98475840000000003</v>
      </c>
      <c r="Y4524">
        <v>0.1468293</v>
      </c>
      <c r="Z4524">
        <v>4.5025359999999997E-3</v>
      </c>
      <c r="AA4524">
        <v>0.98915160000000002</v>
      </c>
      <c r="AB4524">
        <v>46</v>
      </c>
      <c r="AC4524">
        <v>-19.556799999999999</v>
      </c>
      <c r="AD4524">
        <v>-1.10911105941</v>
      </c>
      <c r="AE4524">
        <v>2.8098999999999901</v>
      </c>
      <c r="AF4524">
        <v>2.9624399695960002</v>
      </c>
      <c r="AG4524">
        <v>-1.10911105941</v>
      </c>
      <c r="AH4524">
        <v>19.4714981337174</v>
      </c>
      <c r="AI4524">
        <v>93.223077746483796</v>
      </c>
      <c r="AJ4524">
        <v>81.3492243202368</v>
      </c>
      <c r="AK4524">
        <v>19.726769058488198</v>
      </c>
      <c r="AL4524">
        <v>80.854003300542502</v>
      </c>
      <c r="AM4524">
        <v>85.898861390281596</v>
      </c>
      <c r="AN4524">
        <v>0.99999996265076396</v>
      </c>
    </row>
    <row r="4525" spans="1:40" x14ac:dyDescent="0.25">
      <c r="A4525" t="str">
        <f>"20190312164118299"</f>
        <v>20190312164118299</v>
      </c>
      <c r="B4525" t="str">
        <f>"1552380078291089"</f>
        <v>1552380078291089</v>
      </c>
      <c r="C4525" t="s">
        <v>40</v>
      </c>
      <c r="D4525">
        <v>5.3184969999999998</v>
      </c>
      <c r="E4525">
        <v>0.53674880000000003</v>
      </c>
      <c r="F4525" t="s">
        <v>50</v>
      </c>
      <c r="G4525">
        <v>-292.76769999999999</v>
      </c>
      <c r="H4525" s="1">
        <v>-9.9855650000000007E-6</v>
      </c>
      <c r="I4525">
        <v>144.48099999999999</v>
      </c>
      <c r="J4525">
        <v>-272.1395</v>
      </c>
      <c r="K4525">
        <v>1.109078</v>
      </c>
      <c r="L4525">
        <v>141.38120000000001</v>
      </c>
      <c r="M4525">
        <v>-0.99993319999999997</v>
      </c>
      <c r="N4525">
        <v>0</v>
      </c>
      <c r="O4525">
        <v>-8.1795099999999992E-3</v>
      </c>
      <c r="P4525">
        <v>-0.986178</v>
      </c>
      <c r="Q4525">
        <v>0.15188219999999999</v>
      </c>
      <c r="R4525">
        <v>6.6219719999999996E-2</v>
      </c>
      <c r="S4525">
        <v>-3.0370789999999999</v>
      </c>
      <c r="T4525">
        <v>-0.15956039999999999</v>
      </c>
      <c r="U4525">
        <v>0.44538879999999997</v>
      </c>
      <c r="V4525">
        <v>7.429674E-2</v>
      </c>
      <c r="W4525">
        <v>0.15993879999999999</v>
      </c>
      <c r="X4525">
        <v>0.98432699999999995</v>
      </c>
      <c r="Y4525">
        <v>0.1529692</v>
      </c>
      <c r="Z4525">
        <v>4.421449E-3</v>
      </c>
      <c r="AA4525">
        <v>0.98822100000000002</v>
      </c>
      <c r="AB4525">
        <v>46</v>
      </c>
      <c r="AC4525">
        <v>-20.6282</v>
      </c>
      <c r="AD4525">
        <v>-1.109087985565</v>
      </c>
      <c r="AE4525">
        <v>3.0997999999999801</v>
      </c>
      <c r="AF4525">
        <v>3.25921698645416</v>
      </c>
      <c r="AG4525">
        <v>-1.109087985565</v>
      </c>
      <c r="AH4525">
        <v>20.5440779873</v>
      </c>
      <c r="AI4525">
        <v>93.052062016641202</v>
      </c>
      <c r="AJ4525">
        <v>80.985432237086599</v>
      </c>
      <c r="AK4525">
        <v>20.8305475653613</v>
      </c>
      <c r="AL4525">
        <v>80.796656343088301</v>
      </c>
      <c r="AM4525">
        <v>85.683514673182003</v>
      </c>
      <c r="AN4525">
        <v>1.0000000341245301</v>
      </c>
    </row>
    <row r="4526" spans="1:40" x14ac:dyDescent="0.25">
      <c r="A4526" t="str">
        <f>"20190312164118320"</f>
        <v>20190312164118320</v>
      </c>
      <c r="B4526" t="str">
        <f>"1552380078310610"</f>
        <v>1552380078310610</v>
      </c>
      <c r="C4526" t="s">
        <v>40</v>
      </c>
      <c r="D4526">
        <v>5.294835</v>
      </c>
      <c r="E4526">
        <v>0.53664889999999998</v>
      </c>
      <c r="F4526" t="s">
        <v>50</v>
      </c>
      <c r="G4526">
        <v>-294.25369999999998</v>
      </c>
      <c r="H4526" s="1">
        <v>-9.9089359999999994E-6</v>
      </c>
      <c r="I4526">
        <v>144.73259999999999</v>
      </c>
      <c r="J4526">
        <v>-272.57209999999998</v>
      </c>
      <c r="K4526">
        <v>1.109059</v>
      </c>
      <c r="L4526">
        <v>141.37780000000001</v>
      </c>
      <c r="M4526">
        <v>-0.99993330000000002</v>
      </c>
      <c r="N4526">
        <v>0</v>
      </c>
      <c r="O4526">
        <v>-8.0718679999999994E-3</v>
      </c>
      <c r="P4526">
        <v>-0.98576459999999999</v>
      </c>
      <c r="Q4526">
        <v>0.15281610000000001</v>
      </c>
      <c r="R4526">
        <v>7.0111399999999893E-2</v>
      </c>
      <c r="S4526">
        <v>-3.0345759999999999</v>
      </c>
      <c r="T4526">
        <v>-0.15219269999999999</v>
      </c>
      <c r="U4526">
        <v>0.45988459999999998</v>
      </c>
      <c r="V4526">
        <v>7.8089999999999896E-2</v>
      </c>
      <c r="W4526">
        <v>0.16093189999999999</v>
      </c>
      <c r="X4526">
        <v>0.98387139999999995</v>
      </c>
      <c r="Y4526">
        <v>0.15760979999999999</v>
      </c>
      <c r="Z4526">
        <v>4.3297819999999999E-3</v>
      </c>
      <c r="AA4526">
        <v>0.98749200000000004</v>
      </c>
      <c r="AB4526">
        <v>46</v>
      </c>
      <c r="AC4526">
        <v>-21.6816</v>
      </c>
      <c r="AD4526">
        <v>-1.109068908936</v>
      </c>
      <c r="AE4526">
        <v>3.35479999999998</v>
      </c>
      <c r="AF4526">
        <v>3.5207108520950201</v>
      </c>
      <c r="AG4526">
        <v>-1.109068908936</v>
      </c>
      <c r="AH4526">
        <v>21.5986200178091</v>
      </c>
      <c r="AI4526">
        <v>92.901277303404299</v>
      </c>
      <c r="AJ4526">
        <v>80.741854207504105</v>
      </c>
      <c r="AK4526">
        <v>21.911773671305799</v>
      </c>
      <c r="AL4526">
        <v>80.739009106566201</v>
      </c>
      <c r="AM4526">
        <v>85.461939976800494</v>
      </c>
      <c r="AN4526">
        <v>1.0000000281377801</v>
      </c>
    </row>
    <row r="4527" spans="1:40" x14ac:dyDescent="0.25">
      <c r="A4527" t="str">
        <f>"20190312164118342"</f>
        <v>20190312164118342</v>
      </c>
      <c r="B4527" t="str">
        <f>"1552380078331107"</f>
        <v>1552380078331107</v>
      </c>
      <c r="C4527" t="s">
        <v>40</v>
      </c>
      <c r="D4527">
        <v>5.3340649999999998</v>
      </c>
      <c r="E4527">
        <v>0.53635200000000005</v>
      </c>
      <c r="F4527" t="s">
        <v>50</v>
      </c>
      <c r="G4527">
        <v>-294.71600000000001</v>
      </c>
      <c r="H4527" s="1">
        <v>-9.884921E-6</v>
      </c>
      <c r="I4527">
        <v>144.81020000000001</v>
      </c>
      <c r="J4527">
        <v>-273.0308</v>
      </c>
      <c r="K4527">
        <v>1.1090420000000001</v>
      </c>
      <c r="L4527">
        <v>141.3741</v>
      </c>
      <c r="M4527">
        <v>-0.99993390000000004</v>
      </c>
      <c r="N4527">
        <v>0</v>
      </c>
      <c r="O4527">
        <v>-7.9454419999999901E-3</v>
      </c>
      <c r="P4527">
        <v>-0.98539410000000005</v>
      </c>
      <c r="Q4527">
        <v>0.15355469999999999</v>
      </c>
      <c r="R4527">
        <v>7.3619370000000003E-2</v>
      </c>
      <c r="S4527">
        <v>-3.033417</v>
      </c>
      <c r="T4527">
        <v>-0.15192749999999999</v>
      </c>
      <c r="U4527">
        <v>0.4701996</v>
      </c>
      <c r="V4527">
        <v>8.148031E-2</v>
      </c>
      <c r="W4527">
        <v>0.16173609999999999</v>
      </c>
      <c r="X4527">
        <v>0.98346449999999996</v>
      </c>
      <c r="Y4527">
        <v>0.16081779999999901</v>
      </c>
      <c r="Z4527">
        <v>4.3962899999999997E-3</v>
      </c>
      <c r="AA4527">
        <v>0.98697429999999997</v>
      </c>
      <c r="AB4527">
        <v>46</v>
      </c>
      <c r="AC4527">
        <v>-21.685199999999998</v>
      </c>
      <c r="AD4527">
        <v>-1.109051884921</v>
      </c>
      <c r="AE4527">
        <v>3.4361000000000099</v>
      </c>
      <c r="AF4527">
        <v>3.5991125929723098</v>
      </c>
      <c r="AG4527">
        <v>-1.109051884921</v>
      </c>
      <c r="AH4527">
        <v>21.6020939253211</v>
      </c>
      <c r="AI4527">
        <v>92.899093433160203</v>
      </c>
      <c r="AJ4527">
        <v>80.540868511885407</v>
      </c>
      <c r="AK4527">
        <v>21.927928983347599</v>
      </c>
      <c r="AL4527">
        <v>80.692320085032193</v>
      </c>
      <c r="AM4527">
        <v>85.263845401426494</v>
      </c>
      <c r="AN4527">
        <v>1.0000000148605701</v>
      </c>
    </row>
    <row r="4528" spans="1:40" x14ac:dyDescent="0.25">
      <c r="A4528" t="str">
        <f>"20190312164118365"</f>
        <v>20190312164118365</v>
      </c>
      <c r="B4528" t="str">
        <f>"1552380078360382"</f>
        <v>1552380078360382</v>
      </c>
      <c r="C4528" t="s">
        <v>40</v>
      </c>
      <c r="D4528">
        <v>5.5530889999999999</v>
      </c>
      <c r="E4528">
        <v>0.53630710000000004</v>
      </c>
      <c r="F4528" t="s">
        <v>50</v>
      </c>
      <c r="G4528">
        <v>-295.3734</v>
      </c>
      <c r="H4528" s="1">
        <v>-9.8471779999999993E-6</v>
      </c>
      <c r="I4528">
        <v>144.90270000000001</v>
      </c>
      <c r="J4528">
        <v>-273.49290000000002</v>
      </c>
      <c r="K4528">
        <v>1.1090340000000001</v>
      </c>
      <c r="L4528">
        <v>141.3706</v>
      </c>
      <c r="M4528">
        <v>-0.99993430000000005</v>
      </c>
      <c r="N4528">
        <v>0</v>
      </c>
      <c r="O4528">
        <v>-7.8064319999999899E-3</v>
      </c>
      <c r="P4528">
        <v>-0.98505620000000005</v>
      </c>
      <c r="Q4528">
        <v>0.1538707</v>
      </c>
      <c r="R4528">
        <v>7.7384069999999999E-2</v>
      </c>
      <c r="S4528">
        <v>-3.0321660000000001</v>
      </c>
      <c r="T4528">
        <v>-0.15051210000000001</v>
      </c>
      <c r="U4528">
        <v>0.47886659999999998</v>
      </c>
      <c r="V4528">
        <v>8.5114120000000001E-2</v>
      </c>
      <c r="W4528">
        <v>0.16212199999999999</v>
      </c>
      <c r="X4528">
        <v>0.98309310000000005</v>
      </c>
      <c r="Y4528">
        <v>0.163496</v>
      </c>
      <c r="Z4528">
        <v>4.4153710000000004E-3</v>
      </c>
      <c r="AA4528">
        <v>0.98653409999999997</v>
      </c>
      <c r="AB4528">
        <v>46</v>
      </c>
      <c r="AC4528">
        <v>-21.880499999999898</v>
      </c>
      <c r="AD4528">
        <v>-1.109043847178</v>
      </c>
      <c r="AE4528">
        <v>3.53210000000001</v>
      </c>
      <c r="AF4528">
        <v>3.6935588500515601</v>
      </c>
      <c r="AG4528">
        <v>-1.109043847178</v>
      </c>
      <c r="AH4528">
        <v>21.7976807371465</v>
      </c>
      <c r="AI4528">
        <v>92.871773492487506</v>
      </c>
      <c r="AJ4528">
        <v>80.382733591996598</v>
      </c>
      <c r="AK4528">
        <v>22.1361975224365</v>
      </c>
      <c r="AL4528">
        <v>80.669913794698502</v>
      </c>
      <c r="AM4528">
        <v>85.051791531159694</v>
      </c>
      <c r="AN4528">
        <v>0.99999999978749199</v>
      </c>
    </row>
    <row r="4529" spans="1:40" x14ac:dyDescent="0.25">
      <c r="A4529" t="str">
        <f>"20190312164118388"</f>
        <v>20190312164118388</v>
      </c>
      <c r="B4529" t="str">
        <f>"1552380078380878"</f>
        <v>1552380078380878</v>
      </c>
      <c r="C4529" t="s">
        <v>40</v>
      </c>
      <c r="D4529">
        <v>5.4732989999999999</v>
      </c>
      <c r="E4529">
        <v>0.53623999999999905</v>
      </c>
      <c r="F4529" t="s">
        <v>50</v>
      </c>
      <c r="G4529">
        <v>-296.28379999999999</v>
      </c>
      <c r="H4529" s="1">
        <v>-9.8083969999999993E-6</v>
      </c>
      <c r="I4529">
        <v>145.05889999999999</v>
      </c>
      <c r="J4529">
        <v>-273.97210000000001</v>
      </c>
      <c r="K4529">
        <v>1.109022</v>
      </c>
      <c r="L4529">
        <v>141.36689999999999</v>
      </c>
      <c r="M4529">
        <v>-0.99993460000000001</v>
      </c>
      <c r="N4529">
        <v>0</v>
      </c>
      <c r="O4529">
        <v>-7.65258E-3</v>
      </c>
      <c r="P4529">
        <v>-0.98480710000000005</v>
      </c>
      <c r="Q4529">
        <v>0.1540214</v>
      </c>
      <c r="R4529">
        <v>8.0202049999999997E-2</v>
      </c>
      <c r="S4529">
        <v>-3.0300289999999999</v>
      </c>
      <c r="T4529">
        <v>-0.14744679999999999</v>
      </c>
      <c r="U4529">
        <v>0.49035640000000003</v>
      </c>
      <c r="V4529">
        <v>8.7786669999999997E-2</v>
      </c>
      <c r="W4529">
        <v>0.162353</v>
      </c>
      <c r="X4529">
        <v>0.98281989999999997</v>
      </c>
      <c r="Y4529">
        <v>0.1671021</v>
      </c>
      <c r="Z4529">
        <v>4.4069629999999999E-3</v>
      </c>
      <c r="AA4529">
        <v>0.98592970000000002</v>
      </c>
      <c r="AB4529">
        <v>46</v>
      </c>
      <c r="AC4529">
        <v>-22.311699999999899</v>
      </c>
      <c r="AD4529">
        <v>-1.1090318083970001</v>
      </c>
      <c r="AE4529">
        <v>3.6920000000000002</v>
      </c>
      <c r="AF4529">
        <v>3.8533732742461799</v>
      </c>
      <c r="AG4529">
        <v>-1.1090318083970001</v>
      </c>
      <c r="AH4529">
        <v>22.229333715479601</v>
      </c>
      <c r="AI4529">
        <v>92.814244376641696</v>
      </c>
      <c r="AJ4529">
        <v>80.165713462899802</v>
      </c>
      <c r="AK4529">
        <v>22.588087891117901</v>
      </c>
      <c r="AL4529">
        <v>80.656500545501899</v>
      </c>
      <c r="AM4529">
        <v>84.895816660753695</v>
      </c>
      <c r="AN4529">
        <v>0.99999997593734902</v>
      </c>
    </row>
    <row r="4530" spans="1:40" x14ac:dyDescent="0.25">
      <c r="A4530" t="str">
        <f>"20190312164118411"</f>
        <v>20190312164118411</v>
      </c>
      <c r="B4530" t="str">
        <f>"1552380078400398"</f>
        <v>1552380078400398</v>
      </c>
      <c r="C4530" t="s">
        <v>40</v>
      </c>
      <c r="D4530">
        <v>5.3338299999999998</v>
      </c>
      <c r="E4530">
        <v>0.53601259999999995</v>
      </c>
      <c r="F4530" t="s">
        <v>50</v>
      </c>
      <c r="G4530">
        <v>-296.87419999999997</v>
      </c>
      <c r="H4530" s="1">
        <v>-9.7768379999999999E-6</v>
      </c>
      <c r="I4530">
        <v>145.13589999999999</v>
      </c>
      <c r="J4530">
        <v>-274.44810000000001</v>
      </c>
      <c r="K4530">
        <v>1.109016</v>
      </c>
      <c r="L4530">
        <v>141.36340000000001</v>
      </c>
      <c r="M4530">
        <v>-0.99993520000000002</v>
      </c>
      <c r="N4530">
        <v>0</v>
      </c>
      <c r="O4530">
        <v>-7.4917469999999896E-3</v>
      </c>
      <c r="P4530">
        <v>-0.98447180000000001</v>
      </c>
      <c r="Q4530">
        <v>0.15435650000000001</v>
      </c>
      <c r="R4530">
        <v>8.3604220000000007E-2</v>
      </c>
      <c r="S4530">
        <v>-3.0286249999999999</v>
      </c>
      <c r="T4530">
        <v>-0.1466607</v>
      </c>
      <c r="U4530">
        <v>0.4984131</v>
      </c>
      <c r="V4530">
        <v>9.1035240000000003E-2</v>
      </c>
      <c r="W4530">
        <v>0.1627769</v>
      </c>
      <c r="X4530">
        <v>0.98245420000000006</v>
      </c>
      <c r="Y4530">
        <v>0.1695692</v>
      </c>
      <c r="Z4530">
        <v>4.4361340000000004E-3</v>
      </c>
      <c r="AA4530">
        <v>0.9855083</v>
      </c>
      <c r="AB4530">
        <v>46</v>
      </c>
      <c r="AC4530">
        <v>-22.426099999999899</v>
      </c>
      <c r="AD4530">
        <v>-1.1090257768380001</v>
      </c>
      <c r="AE4530">
        <v>3.77249999999998</v>
      </c>
      <c r="AF4530">
        <v>3.9310619268709099</v>
      </c>
      <c r="AG4530">
        <v>-1.1090257768380001</v>
      </c>
      <c r="AH4530">
        <v>22.344067239094901</v>
      </c>
      <c r="AI4530">
        <v>92.798576308059907</v>
      </c>
      <c r="AJ4530">
        <v>80.021886410422198</v>
      </c>
      <c r="AK4530">
        <v>22.7143242653569</v>
      </c>
      <c r="AL4530">
        <v>80.631885606050304</v>
      </c>
      <c r="AM4530">
        <v>84.706029710116098</v>
      </c>
      <c r="AN4530">
        <v>0.99999999459655298</v>
      </c>
    </row>
    <row r="4531" spans="1:40" x14ac:dyDescent="0.25">
      <c r="A4531" t="str">
        <f>"20190312164118433"</f>
        <v>20190312164118433</v>
      </c>
      <c r="B4531" t="str">
        <f>"1552380078420894"</f>
        <v>1552380078420894</v>
      </c>
      <c r="C4531" t="s">
        <v>40</v>
      </c>
      <c r="D4531">
        <v>5.2861399999999996</v>
      </c>
      <c r="E4531">
        <v>0.53577869999999905</v>
      </c>
      <c r="F4531" t="s">
        <v>50</v>
      </c>
      <c r="G4531">
        <v>-297.53019999999998</v>
      </c>
      <c r="H4531" s="1">
        <v>-9.7434890000000007E-6</v>
      </c>
      <c r="I4531">
        <v>145.22790000000001</v>
      </c>
      <c r="J4531">
        <v>-274.89780000000002</v>
      </c>
      <c r="K4531">
        <v>1.109016</v>
      </c>
      <c r="L4531">
        <v>141.36009999999999</v>
      </c>
      <c r="M4531">
        <v>-0.99993529999999997</v>
      </c>
      <c r="N4531">
        <v>0</v>
      </c>
      <c r="O4531">
        <v>-7.3309419999999896E-3</v>
      </c>
      <c r="P4531">
        <v>-0.98409619999999998</v>
      </c>
      <c r="Q4531">
        <v>0.15541199999999999</v>
      </c>
      <c r="R4531">
        <v>8.6033719999999994E-2</v>
      </c>
      <c r="S4531">
        <v>-3.027069</v>
      </c>
      <c r="T4531">
        <v>-0.14544190000000001</v>
      </c>
      <c r="U4531">
        <v>0.50680539999999996</v>
      </c>
      <c r="V4531">
        <v>9.3310939999999995E-2</v>
      </c>
      <c r="W4531">
        <v>0.16392329999999999</v>
      </c>
      <c r="X4531">
        <v>0.98204999999999998</v>
      </c>
      <c r="Y4531">
        <v>0.17215079999999999</v>
      </c>
      <c r="Z4531">
        <v>4.4544349999999996E-3</v>
      </c>
      <c r="AA4531">
        <v>0.98506050000000001</v>
      </c>
      <c r="AB4531">
        <v>46</v>
      </c>
      <c r="AC4531">
        <v>-22.632399999999901</v>
      </c>
      <c r="AD4531">
        <v>-1.1090257434890001</v>
      </c>
      <c r="AE4531">
        <v>3.8678000000000101</v>
      </c>
      <c r="AF4531">
        <v>4.0242305050446099</v>
      </c>
      <c r="AG4531">
        <v>-1.1090257434890001</v>
      </c>
      <c r="AH4531">
        <v>22.5508243969254</v>
      </c>
      <c r="AI4531">
        <v>92.771760088527003</v>
      </c>
      <c r="AJ4531">
        <v>79.881982456193896</v>
      </c>
      <c r="AK4531">
        <v>22.933906126920899</v>
      </c>
      <c r="AL4531">
        <v>80.565307420528896</v>
      </c>
      <c r="AM4531">
        <v>84.572251377640995</v>
      </c>
      <c r="AN4531">
        <v>0.99999999115328597</v>
      </c>
    </row>
    <row r="4532" spans="1:40" x14ac:dyDescent="0.25">
      <c r="A4532" t="str">
        <f>"20190312164118454"</f>
        <v>20190312164118454</v>
      </c>
      <c r="B4532" t="str">
        <f>"1552380078451149"</f>
        <v>1552380078451149</v>
      </c>
      <c r="C4532" t="s">
        <v>40</v>
      </c>
      <c r="D4532">
        <v>5.2544309999999896</v>
      </c>
      <c r="E4532">
        <v>0.53541490000000003</v>
      </c>
      <c r="F4532" t="s">
        <v>50</v>
      </c>
      <c r="G4532">
        <v>-298.6037</v>
      </c>
      <c r="H4532" s="1">
        <v>-9.6875399999999994E-6</v>
      </c>
      <c r="I4532">
        <v>145.3734</v>
      </c>
      <c r="J4532">
        <v>-275.33890000000002</v>
      </c>
      <c r="K4532">
        <v>1.1090169999999999</v>
      </c>
      <c r="L4532">
        <v>141.357</v>
      </c>
      <c r="M4532">
        <v>-0.99993569999999998</v>
      </c>
      <c r="N4532">
        <v>0</v>
      </c>
      <c r="O4532">
        <v>-7.1642059999999898E-3</v>
      </c>
      <c r="P4532">
        <v>-0.98383929999999997</v>
      </c>
      <c r="Q4532">
        <v>0.15579789999999999</v>
      </c>
      <c r="R4532">
        <v>8.8247899999999893E-2</v>
      </c>
      <c r="S4532">
        <v>-3.0260310000000001</v>
      </c>
      <c r="T4532">
        <v>-0.14156579999999999</v>
      </c>
      <c r="U4532">
        <v>0.5122833</v>
      </c>
      <c r="V4532">
        <v>9.5366430000000002E-2</v>
      </c>
      <c r="W4532">
        <v>0.16440879999999999</v>
      </c>
      <c r="X4532">
        <v>0.98177130000000001</v>
      </c>
      <c r="Y4532">
        <v>0.17378440000000001</v>
      </c>
      <c r="Z4532">
        <v>4.3668480000000004E-3</v>
      </c>
      <c r="AA4532">
        <v>0.98477409999999999</v>
      </c>
      <c r="AB4532">
        <v>46</v>
      </c>
      <c r="AC4532">
        <v>-23.264799999999902</v>
      </c>
      <c r="AD4532">
        <v>-1.1090266875399999</v>
      </c>
      <c r="AE4532">
        <v>4.0164</v>
      </c>
      <c r="AF4532">
        <v>4.1737671916434698</v>
      </c>
      <c r="AG4532">
        <v>-1.1090266875399999</v>
      </c>
      <c r="AH4532">
        <v>23.184268227505399</v>
      </c>
      <c r="AI4532">
        <v>92.695409382725799</v>
      </c>
      <c r="AJ4532">
        <v>79.7945926341594</v>
      </c>
      <c r="AK4532">
        <v>23.583056757100699</v>
      </c>
      <c r="AL4532">
        <v>80.537107308898896</v>
      </c>
      <c r="AM4532">
        <v>84.451859728000002</v>
      </c>
      <c r="AN4532">
        <v>0.99999994749603605</v>
      </c>
    </row>
    <row r="4533" spans="1:40" x14ac:dyDescent="0.25">
      <c r="A4533" t="str">
        <f>"20190312164118477"</f>
        <v>20190312164118477</v>
      </c>
      <c r="B4533" t="str">
        <f>"1552380078470670"</f>
        <v>1552380078470670</v>
      </c>
      <c r="C4533" t="s">
        <v>40</v>
      </c>
      <c r="D4533">
        <v>4.9090199999999999</v>
      </c>
      <c r="E4533">
        <v>0.53522879999999995</v>
      </c>
      <c r="F4533" t="s">
        <v>50</v>
      </c>
      <c r="G4533">
        <v>-298.60789999999997</v>
      </c>
      <c r="H4533" s="1">
        <v>-9.6742710000000005E-6</v>
      </c>
      <c r="I4533">
        <v>145.3244</v>
      </c>
      <c r="J4533">
        <v>-275.8288</v>
      </c>
      <c r="K4533">
        <v>1.1090120000000001</v>
      </c>
      <c r="L4533">
        <v>141.3536</v>
      </c>
      <c r="M4533">
        <v>-0.99993580000000004</v>
      </c>
      <c r="N4533">
        <v>0</v>
      </c>
      <c r="O4533">
        <v>-6.9651289999999996E-3</v>
      </c>
      <c r="P4533">
        <v>-0.98363299999999998</v>
      </c>
      <c r="Q4533">
        <v>0.15638589999999999</v>
      </c>
      <c r="R4533">
        <v>8.9495959999999999E-2</v>
      </c>
      <c r="S4533">
        <v>-3.0258479999999999</v>
      </c>
      <c r="T4533">
        <v>-0.14421510000000001</v>
      </c>
      <c r="U4533">
        <v>0.51591489999999995</v>
      </c>
      <c r="V4533">
        <v>9.6425640000000007E-2</v>
      </c>
      <c r="W4533">
        <v>0.16512270000000001</v>
      </c>
      <c r="X4533">
        <v>0.98154810000000003</v>
      </c>
      <c r="Y4533">
        <v>0.1747387</v>
      </c>
      <c r="Z4533">
        <v>4.4614520000000003E-3</v>
      </c>
      <c r="AA4533">
        <v>0.9846047</v>
      </c>
      <c r="AB4533">
        <v>46</v>
      </c>
      <c r="AC4533">
        <v>-22.7790999999999</v>
      </c>
      <c r="AD4533">
        <v>-1.109021674271</v>
      </c>
      <c r="AE4533">
        <v>3.9707999999999899</v>
      </c>
      <c r="AF4533">
        <v>4.1198919081568501</v>
      </c>
      <c r="AG4533">
        <v>-1.109021674271</v>
      </c>
      <c r="AH4533">
        <v>22.6986727378323</v>
      </c>
      <c r="AI4533">
        <v>92.752261435149194</v>
      </c>
      <c r="AJ4533">
        <v>79.712599266399806</v>
      </c>
      <c r="AK4533">
        <v>23.096172463594701</v>
      </c>
      <c r="AL4533">
        <v>80.495637963932495</v>
      </c>
      <c r="AM4533">
        <v>84.389361438498</v>
      </c>
      <c r="AN4533">
        <v>1.0000000413591501</v>
      </c>
    </row>
    <row r="4534" spans="1:40" x14ac:dyDescent="0.25">
      <c r="A4534" t="str">
        <f>"20190312164118499"</f>
        <v>20190312164118499</v>
      </c>
      <c r="B4534" t="str">
        <f>"1552380078491169"</f>
        <v>1552380078491169</v>
      </c>
      <c r="C4534" t="s">
        <v>40</v>
      </c>
      <c r="D4534">
        <v>5.1350300000000004</v>
      </c>
      <c r="E4534">
        <v>0.53504560000000001</v>
      </c>
      <c r="F4534" t="s">
        <v>50</v>
      </c>
      <c r="G4534">
        <v>-299.05160000000001</v>
      </c>
      <c r="H4534" s="1">
        <v>-9.6368879999999997E-6</v>
      </c>
      <c r="I4534">
        <v>145.3305</v>
      </c>
      <c r="J4534">
        <v>-276.29309999999998</v>
      </c>
      <c r="K4534">
        <v>1.109013</v>
      </c>
      <c r="L4534">
        <v>141.35050000000001</v>
      </c>
      <c r="M4534">
        <v>-0.99993589999999999</v>
      </c>
      <c r="N4534">
        <v>0</v>
      </c>
      <c r="O4534">
        <v>-6.7614579999999997E-3</v>
      </c>
      <c r="P4534">
        <v>-0.98336279999999998</v>
      </c>
      <c r="Q4534">
        <v>0.15733949999999999</v>
      </c>
      <c r="R4534">
        <v>9.0786839999999994E-2</v>
      </c>
      <c r="S4534">
        <v>-3.0257869999999998</v>
      </c>
      <c r="T4534">
        <v>-0.1444986</v>
      </c>
      <c r="U4534">
        <v>0.51815800000000001</v>
      </c>
      <c r="V4534">
        <v>9.7523260000000001E-2</v>
      </c>
      <c r="W4534">
        <v>0.16621269999999999</v>
      </c>
      <c r="X4534">
        <v>0.98125560000000001</v>
      </c>
      <c r="Y4534">
        <v>0.1752495</v>
      </c>
      <c r="Z4534">
        <v>4.4724739999999997E-3</v>
      </c>
      <c r="AA4534">
        <v>0.98451390000000005</v>
      </c>
      <c r="AB4534">
        <v>46</v>
      </c>
      <c r="AC4534">
        <v>-22.758500000000002</v>
      </c>
      <c r="AD4534">
        <v>-1.1090226368880001</v>
      </c>
      <c r="AE4534">
        <v>3.97999999999998</v>
      </c>
      <c r="AF4534">
        <v>4.1242930153939303</v>
      </c>
      <c r="AG4534">
        <v>-1.1090226368880001</v>
      </c>
      <c r="AH4534">
        <v>22.678812639685699</v>
      </c>
      <c r="AI4534">
        <v>92.754499543462899</v>
      </c>
      <c r="AJ4534">
        <v>79.693019711058994</v>
      </c>
      <c r="AK4534">
        <v>23.077440647349199</v>
      </c>
      <c r="AL4534">
        <v>80.432310083635201</v>
      </c>
      <c r="AM4534">
        <v>84.324229231571593</v>
      </c>
      <c r="AN4534">
        <v>1.0000000002068301</v>
      </c>
    </row>
    <row r="4535" spans="1:40" x14ac:dyDescent="0.25">
      <c r="A4535" t="str">
        <f>"20190312164118521"</f>
        <v>20190312164118521</v>
      </c>
      <c r="B4535" t="str">
        <f>"1552380078510685"</f>
        <v>1552380078510685</v>
      </c>
      <c r="C4535" t="s">
        <v>40</v>
      </c>
      <c r="D4535">
        <v>5.3450369999999996</v>
      </c>
      <c r="E4535">
        <v>0.53465019999999996</v>
      </c>
      <c r="F4535" t="s">
        <v>50</v>
      </c>
      <c r="G4535">
        <v>-300.02890000000002</v>
      </c>
      <c r="H4535" s="1">
        <v>-9.5975090000000005E-6</v>
      </c>
      <c r="I4535">
        <v>145.43520000000001</v>
      </c>
      <c r="J4535">
        <v>-276.74720000000002</v>
      </c>
      <c r="K4535">
        <v>1.109016</v>
      </c>
      <c r="L4535">
        <v>141.3476</v>
      </c>
      <c r="M4535">
        <v>-0.99993569999999998</v>
      </c>
      <c r="N4535">
        <v>0</v>
      </c>
      <c r="O4535">
        <v>-6.5479589999999999E-3</v>
      </c>
      <c r="P4535">
        <v>-0.98316020000000004</v>
      </c>
      <c r="Q4535">
        <v>0.15822839999999999</v>
      </c>
      <c r="R4535">
        <v>9.1431219999999994E-2</v>
      </c>
      <c r="S4535">
        <v>-3.025299</v>
      </c>
      <c r="T4535">
        <v>-0.1413529</v>
      </c>
      <c r="U4535">
        <v>0.52061459999999904</v>
      </c>
      <c r="V4535">
        <v>9.7964860000000001E-2</v>
      </c>
      <c r="W4535">
        <v>0.16725129999999999</v>
      </c>
      <c r="X4535">
        <v>0.98103510000000005</v>
      </c>
      <c r="Y4535">
        <v>0.1758506</v>
      </c>
      <c r="Z4535">
        <v>4.3796429999999999E-3</v>
      </c>
      <c r="AA4535">
        <v>0.98440709999999998</v>
      </c>
      <c r="AB4535">
        <v>47</v>
      </c>
      <c r="AC4535">
        <v>-23.281700000000001</v>
      </c>
      <c r="AD4535">
        <v>-1.109025597509</v>
      </c>
      <c r="AE4535">
        <v>4.0876000000000001</v>
      </c>
      <c r="AF4535">
        <v>4.2306538012931103</v>
      </c>
      <c r="AG4535">
        <v>-1.109025597509</v>
      </c>
      <c r="AH4535">
        <v>23.2033579450795</v>
      </c>
      <c r="AI4535">
        <v>92.692105995737904</v>
      </c>
      <c r="AJ4535">
        <v>79.666804009351495</v>
      </c>
      <c r="AK4535">
        <v>23.611950137373501</v>
      </c>
      <c r="AL4535">
        <v>80.371957783110602</v>
      </c>
      <c r="AM4535">
        <v>84.297424430662105</v>
      </c>
      <c r="AN4535">
        <v>0.99999998928925904</v>
      </c>
    </row>
    <row r="4536" spans="1:40" x14ac:dyDescent="0.25">
      <c r="A4536" t="str">
        <f>"20190312164118543"</f>
        <v>20190312164118543</v>
      </c>
      <c r="B4536" t="str">
        <f>"1552380078540942"</f>
        <v>1552380078540942</v>
      </c>
      <c r="C4536" t="s">
        <v>40</v>
      </c>
      <c r="D4536">
        <v>5.2310489999999996</v>
      </c>
      <c r="E4536">
        <v>0.53442419999999902</v>
      </c>
      <c r="F4536" t="s">
        <v>50</v>
      </c>
      <c r="G4536">
        <v>-300.0455</v>
      </c>
      <c r="H4536" s="1">
        <v>-9.5770410000000005E-6</v>
      </c>
      <c r="I4536">
        <v>145.34639999999999</v>
      </c>
      <c r="J4536">
        <v>-277.21069999999997</v>
      </c>
      <c r="K4536">
        <v>1.109029</v>
      </c>
      <c r="L4536">
        <v>141.34469999999999</v>
      </c>
      <c r="M4536">
        <v>-0.99993569999999998</v>
      </c>
      <c r="N4536">
        <v>0</v>
      </c>
      <c r="O4536">
        <v>-6.3171119999999997E-3</v>
      </c>
      <c r="P4536">
        <v>-0.98297409999999996</v>
      </c>
      <c r="Q4536">
        <v>0.15944120000000001</v>
      </c>
      <c r="R4536">
        <v>9.1325619999999996E-2</v>
      </c>
      <c r="S4536">
        <v>-3.0262760000000002</v>
      </c>
      <c r="T4536">
        <v>-0.14405390000000001</v>
      </c>
      <c r="U4536">
        <v>0.51940920000000002</v>
      </c>
      <c r="V4536">
        <v>9.7639920000000005E-2</v>
      </c>
      <c r="W4536">
        <v>0.16862439999999901</v>
      </c>
      <c r="X4536">
        <v>0.9808325</v>
      </c>
      <c r="Y4536">
        <v>0.17518300000000001</v>
      </c>
      <c r="Z4536">
        <v>4.4352999999999997E-3</v>
      </c>
      <c r="AA4536">
        <v>0.98452589999999995</v>
      </c>
      <c r="AB4536">
        <v>47</v>
      </c>
      <c r="AC4536">
        <v>-22.834800000000001</v>
      </c>
      <c r="AD4536">
        <v>-1.1090385770410001</v>
      </c>
      <c r="AE4536">
        <v>4.0016999999999996</v>
      </c>
      <c r="AF4536">
        <v>4.1364101176191399</v>
      </c>
      <c r="AG4536">
        <v>-1.1090385770410001</v>
      </c>
      <c r="AH4536">
        <v>22.7569833456424</v>
      </c>
      <c r="AI4536">
        <v>92.745136160393699</v>
      </c>
      <c r="AJ4536">
        <v>79.698134732194205</v>
      </c>
      <c r="AK4536">
        <v>23.156427751714102</v>
      </c>
      <c r="AL4536">
        <v>80.292152266628193</v>
      </c>
      <c r="AM4536">
        <v>84.315048924067099</v>
      </c>
      <c r="AN4536">
        <v>1.0000000676545999</v>
      </c>
    </row>
    <row r="4537" spans="1:40" x14ac:dyDescent="0.25">
      <c r="A4537" t="str">
        <f>"20190312164118566"</f>
        <v>20190312164118566</v>
      </c>
      <c r="B4537" t="str">
        <f>"1552380078560462"</f>
        <v>1552380078560462</v>
      </c>
      <c r="C4537" t="s">
        <v>40</v>
      </c>
      <c r="D4537">
        <v>5.3626589999999998</v>
      </c>
      <c r="E4537">
        <v>0.49822889999999997</v>
      </c>
      <c r="F4537" t="s">
        <v>50</v>
      </c>
      <c r="G4537">
        <v>-300.25400000000002</v>
      </c>
      <c r="H4537" s="1">
        <v>-9.5966480000000002E-6</v>
      </c>
      <c r="I4537">
        <v>145.28049999999999</v>
      </c>
      <c r="J4537">
        <v>-277.68639999999999</v>
      </c>
      <c r="K4537">
        <v>1.1090450000000001</v>
      </c>
      <c r="L4537">
        <v>141.34190000000001</v>
      </c>
      <c r="M4537">
        <v>-0.99993569999999998</v>
      </c>
      <c r="N4537">
        <v>0</v>
      </c>
      <c r="O4537">
        <v>-6.0672399999999998E-3</v>
      </c>
      <c r="P4537">
        <v>-0.98269470000000003</v>
      </c>
      <c r="Q4537">
        <v>0.16112509999999999</v>
      </c>
      <c r="R4537">
        <v>9.1379569999999993E-2</v>
      </c>
      <c r="S4537">
        <v>-3.0275880000000002</v>
      </c>
      <c r="T4537">
        <v>-0.14571310000000001</v>
      </c>
      <c r="U4537">
        <v>0.51710509999999998</v>
      </c>
      <c r="V4537">
        <v>9.7455550000000002E-2</v>
      </c>
      <c r="W4537">
        <v>0.1704745</v>
      </c>
      <c r="X4537">
        <v>0.98053089999999998</v>
      </c>
      <c r="Y4537">
        <v>0.17413480000000001</v>
      </c>
      <c r="Z4537">
        <v>4.4477340000000001E-3</v>
      </c>
      <c r="AA4537">
        <v>0.98471180000000003</v>
      </c>
      <c r="AB4537">
        <v>47</v>
      </c>
      <c r="AC4537">
        <v>-22.567599999999999</v>
      </c>
      <c r="AD4537">
        <v>-1.1090545966480001</v>
      </c>
      <c r="AE4537">
        <v>3.9385999999999801</v>
      </c>
      <c r="AF4537">
        <v>4.0659274617610501</v>
      </c>
      <c r="AG4537">
        <v>-1.1090545966480001</v>
      </c>
      <c r="AH4537">
        <v>22.490575598876699</v>
      </c>
      <c r="AI4537">
        <v>92.778120008118904</v>
      </c>
      <c r="AJ4537">
        <v>79.7525436749563</v>
      </c>
      <c r="AK4537">
        <v>22.882040096797201</v>
      </c>
      <c r="AL4537">
        <v>80.1845913003596</v>
      </c>
      <c r="AM4537">
        <v>84.323979547493707</v>
      </c>
      <c r="AN4537">
        <v>0.99999999261543104</v>
      </c>
    </row>
    <row r="4538" spans="1:40" x14ac:dyDescent="0.25">
      <c r="A4538" t="str">
        <f>"20190312164118600"</f>
        <v>20190312164118600</v>
      </c>
      <c r="B4538" t="str">
        <f>"1552380078590718"</f>
        <v>1552380078590718</v>
      </c>
      <c r="C4538" t="s">
        <v>40</v>
      </c>
      <c r="D4538">
        <v>5.8200349999999998</v>
      </c>
      <c r="E4538">
        <v>0.49015829999999999</v>
      </c>
      <c r="F4538" t="s">
        <v>42</v>
      </c>
      <c r="G4538">
        <v>-278.66379999999998</v>
      </c>
      <c r="H4538">
        <v>1.0532520000000001</v>
      </c>
      <c r="I4538">
        <v>141.41489999999999</v>
      </c>
      <c r="J4538">
        <v>-278.38369999999998</v>
      </c>
      <c r="K4538">
        <v>1.109062</v>
      </c>
      <c r="L4538">
        <v>141.33799999999999</v>
      </c>
      <c r="M4538">
        <v>-0.99993540000000003</v>
      </c>
      <c r="N4538">
        <v>0</v>
      </c>
      <c r="O4538">
        <v>-5.6824170000000004E-3</v>
      </c>
      <c r="P4538">
        <v>-0.98245280000000001</v>
      </c>
      <c r="Q4538">
        <v>0.16330459999999999</v>
      </c>
      <c r="R4538">
        <v>9.0101470000000003E-2</v>
      </c>
      <c r="S4538">
        <v>-3.0603030000000002</v>
      </c>
      <c r="T4538">
        <v>-0.17480589999999999</v>
      </c>
      <c r="U4538">
        <v>0.22779849999999999</v>
      </c>
      <c r="V4538">
        <v>9.5809140000000001E-2</v>
      </c>
      <c r="W4538">
        <v>0.17290549999999999</v>
      </c>
      <c r="X4538">
        <v>0.98026749999999996</v>
      </c>
      <c r="Y4538">
        <v>7.9758510000000005E-2</v>
      </c>
      <c r="Z4538">
        <v>2.5968319999999999E-3</v>
      </c>
      <c r="AA4538">
        <v>0.99681090000000006</v>
      </c>
      <c r="AB4538">
        <v>47</v>
      </c>
      <c r="AC4538">
        <v>-0.28010000000000401</v>
      </c>
      <c r="AD4538">
        <v>-5.5809999999999901E-2</v>
      </c>
      <c r="AE4538">
        <v>7.6899999999994806E-2</v>
      </c>
      <c r="AF4538">
        <v>7.5695939144093102E-2</v>
      </c>
      <c r="AG4538">
        <v>-5.5809999999999901E-2</v>
      </c>
      <c r="AH4538">
        <v>0.26970163810716302</v>
      </c>
      <c r="AI4538">
        <v>101.267723888071</v>
      </c>
      <c r="AJ4538">
        <v>74.322402576631205</v>
      </c>
      <c r="AK4538">
        <v>0.28562843853614001</v>
      </c>
      <c r="AL4538">
        <v>80.043206241406196</v>
      </c>
      <c r="AM4538">
        <v>84.417769427142503</v>
      </c>
      <c r="AN4538">
        <v>1.0000000373970099</v>
      </c>
    </row>
    <row r="4539" spans="1:40" x14ac:dyDescent="0.25">
      <c r="A4539" t="str">
        <f>"20190312164118622"</f>
        <v>20190312164118622</v>
      </c>
      <c r="B4539" t="str">
        <f>"1552380078610238"</f>
        <v>1552380078610238</v>
      </c>
      <c r="C4539" t="s">
        <v>40</v>
      </c>
      <c r="D4539">
        <v>5.0719260000000004</v>
      </c>
      <c r="E4539">
        <v>0.48846410000000001</v>
      </c>
      <c r="F4539" t="s">
        <v>42</v>
      </c>
      <c r="G4539">
        <v>-279.48719999999997</v>
      </c>
      <c r="H4539">
        <v>1.0358989999999999</v>
      </c>
      <c r="I4539">
        <v>141.3947</v>
      </c>
      <c r="J4539">
        <v>-278.84559999999999</v>
      </c>
      <c r="K4539">
        <v>1.109073</v>
      </c>
      <c r="L4539">
        <v>141.3355</v>
      </c>
      <c r="M4539">
        <v>-0.99993500000000002</v>
      </c>
      <c r="N4539">
        <v>0</v>
      </c>
      <c r="O4539">
        <v>-5.4178580000000002E-3</v>
      </c>
      <c r="P4539">
        <v>-0.98243659999999999</v>
      </c>
      <c r="Q4539">
        <v>0.16414179999999901</v>
      </c>
      <c r="R4539">
        <v>8.8746549999999993E-2</v>
      </c>
      <c r="S4539">
        <v>-3.0729980000000001</v>
      </c>
      <c r="T4539">
        <v>-0.20380190000000001</v>
      </c>
      <c r="U4539">
        <v>0.15734860000000001</v>
      </c>
      <c r="V4539">
        <v>9.4200279999999997E-2</v>
      </c>
      <c r="W4539">
        <v>0.1739156</v>
      </c>
      <c r="X4539">
        <v>0.98024469999999997</v>
      </c>
      <c r="Y4539">
        <v>5.6411450000000002E-2</v>
      </c>
      <c r="Z4539">
        <v>2.226053E-3</v>
      </c>
      <c r="AA4539">
        <v>0.99840510000000005</v>
      </c>
      <c r="AB4539">
        <v>47</v>
      </c>
      <c r="AC4539">
        <v>-0.64159999999998196</v>
      </c>
      <c r="AD4539">
        <v>-7.3174000000000003E-2</v>
      </c>
      <c r="AE4539">
        <v>5.9200000000004097E-2</v>
      </c>
      <c r="AF4539">
        <v>6.1877345080326003E-2</v>
      </c>
      <c r="AG4539">
        <v>-7.3174000000000003E-2</v>
      </c>
      <c r="AH4539">
        <v>0.63310441063174605</v>
      </c>
      <c r="AI4539">
        <v>96.561981254473395</v>
      </c>
      <c r="AJ4539">
        <v>84.417846128552895</v>
      </c>
      <c r="AK4539">
        <v>0.64031588678679596</v>
      </c>
      <c r="AL4539">
        <v>79.984441089892499</v>
      </c>
      <c r="AM4539">
        <v>84.510803917807806</v>
      </c>
      <c r="AN4539">
        <v>1.0000000002767599</v>
      </c>
    </row>
    <row r="4540" spans="1:40" x14ac:dyDescent="0.25">
      <c r="A4540" t="str">
        <f>"20190312164118644"</f>
        <v>20190312164118644</v>
      </c>
      <c r="B4540" t="str">
        <f>"1552380078640494"</f>
        <v>1552380078640494</v>
      </c>
      <c r="C4540" t="s">
        <v>40</v>
      </c>
      <c r="D4540">
        <v>5.3072369999999998</v>
      </c>
      <c r="E4540">
        <v>0.48733029999999999</v>
      </c>
      <c r="F4540" t="s">
        <v>42</v>
      </c>
      <c r="G4540">
        <v>-279.90949999999998</v>
      </c>
      <c r="H4540">
        <v>1.045051</v>
      </c>
      <c r="I4540">
        <v>141.3844</v>
      </c>
      <c r="J4540">
        <v>-279.31139999999999</v>
      </c>
      <c r="K4540">
        <v>1.109075</v>
      </c>
      <c r="L4540">
        <v>141.33320000000001</v>
      </c>
      <c r="M4540">
        <v>-0.99993469999999995</v>
      </c>
      <c r="N4540">
        <v>0</v>
      </c>
      <c r="O4540">
        <v>-5.146528E-3</v>
      </c>
      <c r="P4540">
        <v>-0.98235850000000002</v>
      </c>
      <c r="Q4540">
        <v>0.16496520000000001</v>
      </c>
      <c r="R4540">
        <v>8.8083359999999999E-2</v>
      </c>
      <c r="S4540">
        <v>-3.0718079999999999</v>
      </c>
      <c r="T4540">
        <v>-0.18487239999999999</v>
      </c>
      <c r="U4540">
        <v>0.140640299999999</v>
      </c>
      <c r="V4540">
        <v>9.3275720000000006E-2</v>
      </c>
      <c r="W4540">
        <v>0.1749096</v>
      </c>
      <c r="X4540">
        <v>0.98015620000000003</v>
      </c>
      <c r="Y4540">
        <v>5.0776120000000001E-2</v>
      </c>
      <c r="Z4540">
        <v>1.835085E-3</v>
      </c>
      <c r="AA4540">
        <v>0.99870840000000005</v>
      </c>
      <c r="AB4540">
        <v>47</v>
      </c>
      <c r="AC4540">
        <v>-0.59809999999998797</v>
      </c>
      <c r="AD4540">
        <v>-6.4023999999999998E-2</v>
      </c>
      <c r="AE4540">
        <v>5.1199999999994299E-2</v>
      </c>
      <c r="AF4540">
        <v>5.3667134858067803E-2</v>
      </c>
      <c r="AG4540">
        <v>-6.4023999999999998E-2</v>
      </c>
      <c r="AH4540">
        <v>0.59110450637523604</v>
      </c>
      <c r="AI4540">
        <v>96.156622734899599</v>
      </c>
      <c r="AJ4540">
        <v>84.812265892172803</v>
      </c>
      <c r="AK4540">
        <v>0.59697887014280904</v>
      </c>
      <c r="AL4540">
        <v>79.926602082945493</v>
      </c>
      <c r="AM4540">
        <v>84.563867339533104</v>
      </c>
      <c r="AN4540">
        <v>0.99999995225605798</v>
      </c>
    </row>
    <row r="4541" spans="1:40" x14ac:dyDescent="0.25">
      <c r="A4541" t="str">
        <f>"20190312164118666"</f>
        <v>20190312164118666</v>
      </c>
      <c r="B4541" t="str">
        <f>"1552380078660990"</f>
        <v>1552380078660990</v>
      </c>
      <c r="C4541" t="s">
        <v>40</v>
      </c>
      <c r="D4541">
        <v>5.1434179999999996</v>
      </c>
      <c r="E4541">
        <v>0.4868207</v>
      </c>
      <c r="F4541" t="s">
        <v>42</v>
      </c>
      <c r="G4541">
        <v>-280.33350000000002</v>
      </c>
      <c r="H4541">
        <v>1.05152</v>
      </c>
      <c r="I4541">
        <v>141.37710000000001</v>
      </c>
      <c r="J4541">
        <v>-279.7713</v>
      </c>
      <c r="K4541">
        <v>1.109092</v>
      </c>
      <c r="L4541">
        <v>141.33099999999999</v>
      </c>
      <c r="M4541">
        <v>-0.9999344</v>
      </c>
      <c r="N4541">
        <v>0</v>
      </c>
      <c r="O4541">
        <v>-4.8765070000000004E-3</v>
      </c>
      <c r="P4541">
        <v>-0.98238329999999996</v>
      </c>
      <c r="Q4541">
        <v>0.1652604</v>
      </c>
      <c r="R4541">
        <v>8.7249649999999998E-2</v>
      </c>
      <c r="S4541">
        <v>-3.071167</v>
      </c>
      <c r="T4541">
        <v>-0.1729918</v>
      </c>
      <c r="U4541">
        <v>0.13124079999999999</v>
      </c>
      <c r="V4541">
        <v>9.2181100000000002E-2</v>
      </c>
      <c r="W4541">
        <v>0.17537059999999999</v>
      </c>
      <c r="X4541">
        <v>0.98017739999999998</v>
      </c>
      <c r="Y4541">
        <v>4.748322E-2</v>
      </c>
      <c r="Z4541">
        <v>1.6100039999999999E-3</v>
      </c>
      <c r="AA4541">
        <v>0.9988707</v>
      </c>
      <c r="AB4541">
        <v>47</v>
      </c>
      <c r="AC4541">
        <v>-0.56220000000001802</v>
      </c>
      <c r="AD4541">
        <v>-5.7571999999999901E-2</v>
      </c>
      <c r="AE4541">
        <v>4.6099999999995499E-2</v>
      </c>
      <c r="AF4541">
        <v>4.8337651983150903E-2</v>
      </c>
      <c r="AG4541">
        <v>-5.7571999999999901E-2</v>
      </c>
      <c r="AH4541">
        <v>0.55617498197760096</v>
      </c>
      <c r="AI4541">
        <v>95.887839160452799</v>
      </c>
      <c r="AJ4541">
        <v>85.032855260753706</v>
      </c>
      <c r="AK4541">
        <v>0.56123228200187203</v>
      </c>
      <c r="AL4541">
        <v>79.899774231218501</v>
      </c>
      <c r="AM4541">
        <v>84.627402088844406</v>
      </c>
      <c r="AN4541">
        <v>0.99999996900616395</v>
      </c>
    </row>
    <row r="4542" spans="1:40" x14ac:dyDescent="0.25">
      <c r="A4542" t="str">
        <f>"20190312164118689"</f>
        <v>20190312164118689</v>
      </c>
      <c r="B4542" t="str">
        <f>"1552380078680510"</f>
        <v>1552380078680510</v>
      </c>
      <c r="C4542" t="s">
        <v>40</v>
      </c>
      <c r="D4542">
        <v>5.2772249999999996</v>
      </c>
      <c r="E4542">
        <v>0.4864986</v>
      </c>
      <c r="F4542" t="s">
        <v>42</v>
      </c>
      <c r="G4542">
        <v>-280.762</v>
      </c>
      <c r="H4542">
        <v>1.053299</v>
      </c>
      <c r="I4542">
        <v>141.37119999999999</v>
      </c>
      <c r="J4542">
        <v>-280.2432</v>
      </c>
      <c r="K4542">
        <v>1.1091040000000001</v>
      </c>
      <c r="L4542">
        <v>141.3289</v>
      </c>
      <c r="M4542">
        <v>-0.99993399999999999</v>
      </c>
      <c r="N4542">
        <v>0</v>
      </c>
      <c r="O4542">
        <v>-4.5974379999999997E-3</v>
      </c>
      <c r="P4542">
        <v>-0.98242010000000002</v>
      </c>
      <c r="Q4542">
        <v>0.1655847</v>
      </c>
      <c r="R4542">
        <v>8.6213949999999998E-2</v>
      </c>
      <c r="S4542">
        <v>-3.071777</v>
      </c>
      <c r="T4542">
        <v>-0.1729542</v>
      </c>
      <c r="U4542">
        <v>0.12504580000000001</v>
      </c>
      <c r="V4542">
        <v>9.0875300000000006E-2</v>
      </c>
      <c r="W4542">
        <v>0.17585789999999901</v>
      </c>
      <c r="X4542">
        <v>0.98021199999999997</v>
      </c>
      <c r="Y4542">
        <v>4.5189010000000002E-2</v>
      </c>
      <c r="Z4542">
        <v>1.529199E-3</v>
      </c>
      <c r="AA4542">
        <v>0.99897729999999996</v>
      </c>
      <c r="AB4542">
        <v>47</v>
      </c>
      <c r="AC4542">
        <v>-0.51879999999999804</v>
      </c>
      <c r="AD4542">
        <v>-5.5805000000000098E-2</v>
      </c>
      <c r="AE4542">
        <v>4.2299999999983101E-2</v>
      </c>
      <c r="AF4542">
        <v>4.4177067638550199E-2</v>
      </c>
      <c r="AG4542">
        <v>-5.5805000000000098E-2</v>
      </c>
      <c r="AH4542">
        <v>0.51270701327287305</v>
      </c>
      <c r="AI4542">
        <v>96.189085786662503</v>
      </c>
      <c r="AJ4542">
        <v>85.075309694323593</v>
      </c>
      <c r="AK4542">
        <v>0.51762369805615704</v>
      </c>
      <c r="AL4542">
        <v>79.871412974373001</v>
      </c>
      <c r="AM4542">
        <v>84.7032580552181</v>
      </c>
      <c r="AN4542">
        <v>0.99999994304324802</v>
      </c>
    </row>
    <row r="4543" spans="1:40" x14ac:dyDescent="0.25">
      <c r="A4543" t="str">
        <f>"20190312164118711"</f>
        <v>20190312164118711</v>
      </c>
      <c r="B4543" t="str">
        <f>"1552380078701009"</f>
        <v>1552380078701009</v>
      </c>
      <c r="C4543" t="s">
        <v>40</v>
      </c>
      <c r="D4543">
        <v>5.2914050000000001</v>
      </c>
      <c r="E4543">
        <v>0.48632710000000001</v>
      </c>
      <c r="F4543" t="s">
        <v>50</v>
      </c>
      <c r="G4543">
        <v>-299.56299999999999</v>
      </c>
      <c r="H4543" s="1">
        <v>-8.7345379999999998E-6</v>
      </c>
      <c r="I4543">
        <v>142.07919999999999</v>
      </c>
      <c r="J4543">
        <v>-280.70940000000002</v>
      </c>
      <c r="K4543">
        <v>1.109111</v>
      </c>
      <c r="L4543">
        <v>141.32689999999999</v>
      </c>
      <c r="M4543">
        <v>-0.99993350000000003</v>
      </c>
      <c r="N4543">
        <v>0</v>
      </c>
      <c r="O4543">
        <v>-4.3209600000000004E-3</v>
      </c>
      <c r="P4543">
        <v>-0.98242479999999999</v>
      </c>
      <c r="Q4543">
        <v>0.1659919</v>
      </c>
      <c r="R4543">
        <v>8.5370550000000003E-2</v>
      </c>
      <c r="S4543">
        <v>-3.072937</v>
      </c>
      <c r="T4543">
        <v>-0.17641099999999901</v>
      </c>
      <c r="U4543">
        <v>0.119339</v>
      </c>
      <c r="V4543">
        <v>8.9763540000000003E-2</v>
      </c>
      <c r="W4543">
        <v>0.17641599999999999</v>
      </c>
      <c r="X4543">
        <v>0.98021420000000004</v>
      </c>
      <c r="Y4543">
        <v>4.3045939999999998E-2</v>
      </c>
      <c r="Z4543">
        <v>1.4818889999999999E-3</v>
      </c>
      <c r="AA4543">
        <v>0.99907199999999996</v>
      </c>
      <c r="AB4543">
        <v>47</v>
      </c>
      <c r="AC4543">
        <v>-18.853599999999901</v>
      </c>
      <c r="AD4543">
        <v>-1.1091197345379999</v>
      </c>
      <c r="AE4543">
        <v>0.75229999999999098</v>
      </c>
      <c r="AF4543">
        <v>0.83089235797474603</v>
      </c>
      <c r="AG4543">
        <v>-1.1091197345379999</v>
      </c>
      <c r="AH4543">
        <v>18.785265657046899</v>
      </c>
      <c r="AI4543">
        <v>93.375642249312605</v>
      </c>
      <c r="AJ4543">
        <v>87.467397217843299</v>
      </c>
      <c r="AK4543">
        <v>18.836314249393599</v>
      </c>
      <c r="AL4543">
        <v>79.838928783661501</v>
      </c>
      <c r="AM4543">
        <v>84.7677077106231</v>
      </c>
      <c r="AN4543">
        <v>0.99999998802548495</v>
      </c>
    </row>
    <row r="4544" spans="1:40" x14ac:dyDescent="0.25">
      <c r="A4544" t="str">
        <f>"20190312164118733"</f>
        <v>20190312164118733</v>
      </c>
      <c r="B4544" t="str">
        <f>"1552380078720526"</f>
        <v>1552380078720526</v>
      </c>
      <c r="C4544" t="s">
        <v>40</v>
      </c>
      <c r="D4544">
        <v>5.3130860000000002</v>
      </c>
      <c r="E4544">
        <v>0.48613420000000002</v>
      </c>
      <c r="F4544" t="s">
        <v>50</v>
      </c>
      <c r="G4544">
        <v>-299.76350000000002</v>
      </c>
      <c r="H4544" s="1">
        <v>-8.7080289999999996E-6</v>
      </c>
      <c r="I4544">
        <v>142.0454</v>
      </c>
      <c r="J4544">
        <v>-281.1694</v>
      </c>
      <c r="K4544">
        <v>1.109127</v>
      </c>
      <c r="L4544">
        <v>141.32509999999999</v>
      </c>
      <c r="M4544">
        <v>-0.99993319999999997</v>
      </c>
      <c r="N4544">
        <v>0</v>
      </c>
      <c r="O4544">
        <v>-4.0478939999999998E-3</v>
      </c>
      <c r="P4544">
        <v>-0.9823615</v>
      </c>
      <c r="Q4544">
        <v>0.16679369999999999</v>
      </c>
      <c r="R4544">
        <v>8.4535399999999997E-2</v>
      </c>
      <c r="S4544">
        <v>-3.0738219999999998</v>
      </c>
      <c r="T4544">
        <v>-0.17892479999999999</v>
      </c>
      <c r="U4544">
        <v>0.1159058</v>
      </c>
      <c r="V4544">
        <v>8.8663099999999995E-2</v>
      </c>
      <c r="W4544">
        <v>0.17735509999999999</v>
      </c>
      <c r="X4544">
        <v>0.98014489999999999</v>
      </c>
      <c r="Y4544">
        <v>4.1648310000000001E-2</v>
      </c>
      <c r="Z4544">
        <v>1.4460629999999901E-3</v>
      </c>
      <c r="AA4544">
        <v>0.99913129999999994</v>
      </c>
      <c r="AB4544">
        <v>47</v>
      </c>
      <c r="AC4544">
        <v>-18.594100000000001</v>
      </c>
      <c r="AD4544">
        <v>-1.1091357080290001</v>
      </c>
      <c r="AE4544">
        <v>0.72030000000000804</v>
      </c>
      <c r="AF4544">
        <v>0.79274899574312396</v>
      </c>
      <c r="AG4544">
        <v>-1.1091357080290001</v>
      </c>
      <c r="AH4544">
        <v>18.5252158351663</v>
      </c>
      <c r="AI4544">
        <v>93.423178784507002</v>
      </c>
      <c r="AJ4544">
        <v>87.549638458482605</v>
      </c>
      <c r="AK4544">
        <v>18.5753130452376</v>
      </c>
      <c r="AL4544">
        <v>79.784260402674704</v>
      </c>
      <c r="AM4544">
        <v>84.831139057108402</v>
      </c>
      <c r="AN4544">
        <v>1.00000000089681</v>
      </c>
    </row>
    <row r="4545" spans="1:40" x14ac:dyDescent="0.25">
      <c r="A4545" t="str">
        <f>"20190312164118755"</f>
        <v>20190312164118755</v>
      </c>
      <c r="B4545" t="str">
        <f>"1552380078750782"</f>
        <v>1552380078750782</v>
      </c>
      <c r="C4545" t="s">
        <v>40</v>
      </c>
      <c r="D4545">
        <v>5.285107</v>
      </c>
      <c r="E4545">
        <v>0.4859118</v>
      </c>
      <c r="F4545" t="s">
        <v>50</v>
      </c>
      <c r="G4545">
        <v>-299.9316</v>
      </c>
      <c r="H4545" s="1">
        <v>-8.6833009999999998E-6</v>
      </c>
      <c r="I4545">
        <v>142.0077</v>
      </c>
      <c r="J4545">
        <v>-281.63510000000002</v>
      </c>
      <c r="K4545">
        <v>1.1091390000000001</v>
      </c>
      <c r="L4545">
        <v>141.3235</v>
      </c>
      <c r="M4545">
        <v>-0.99993270000000001</v>
      </c>
      <c r="N4545">
        <v>0</v>
      </c>
      <c r="O4545">
        <v>-3.770748E-3</v>
      </c>
      <c r="P4545">
        <v>-0.98219990000000001</v>
      </c>
      <c r="Q4545">
        <v>0.1676559</v>
      </c>
      <c r="R4545">
        <v>8.4705459999999996E-2</v>
      </c>
      <c r="S4545">
        <v>-3.0751040000000001</v>
      </c>
      <c r="T4545">
        <v>-0.18178530000000001</v>
      </c>
      <c r="U4545">
        <v>0.11186219999999999</v>
      </c>
      <c r="V4545">
        <v>8.8562870000000002E-2</v>
      </c>
      <c r="W4545">
        <v>0.1783429</v>
      </c>
      <c r="X4545">
        <v>0.97997469999999998</v>
      </c>
      <c r="Y4545">
        <v>4.0044509999999998E-2</v>
      </c>
      <c r="Z4545">
        <v>1.4048540000000001E-3</v>
      </c>
      <c r="AA4545">
        <v>0.99919690000000005</v>
      </c>
      <c r="AB4545">
        <v>47</v>
      </c>
      <c r="AC4545">
        <v>-18.296499999999899</v>
      </c>
      <c r="AD4545">
        <v>-1.1091476833010001</v>
      </c>
      <c r="AE4545">
        <v>0.68420000000000403</v>
      </c>
      <c r="AF4545">
        <v>0.75043686735942094</v>
      </c>
      <c r="AG4545">
        <v>-1.1091476833010001</v>
      </c>
      <c r="AH4545">
        <v>18.2269017366737</v>
      </c>
      <c r="AI4545">
        <v>93.479341642007896</v>
      </c>
      <c r="AJ4545">
        <v>87.642353290680006</v>
      </c>
      <c r="AK4545">
        <v>18.2760310514516</v>
      </c>
      <c r="AL4545">
        <v>79.7267466446404</v>
      </c>
      <c r="AM4545">
        <v>84.836058784041001</v>
      </c>
      <c r="AN4545">
        <v>0.999999992281568</v>
      </c>
    </row>
    <row r="4546" spans="1:40" x14ac:dyDescent="0.25">
      <c r="A4546" t="str">
        <f>"20190312164118779"</f>
        <v>20190312164118779</v>
      </c>
      <c r="B4546" t="str">
        <f>"1552380078770302"</f>
        <v>1552380078770302</v>
      </c>
      <c r="C4546" t="s">
        <v>40</v>
      </c>
      <c r="D4546">
        <v>5.313205</v>
      </c>
      <c r="E4546">
        <v>0.4859175</v>
      </c>
      <c r="F4546" t="s">
        <v>50</v>
      </c>
      <c r="G4546">
        <v>-300.83699999999999</v>
      </c>
      <c r="H4546" s="1">
        <v>-8.8373650000000004E-6</v>
      </c>
      <c r="I4546">
        <v>142.00919999999999</v>
      </c>
      <c r="J4546">
        <v>-282.12020000000001</v>
      </c>
      <c r="K4546">
        <v>1.109154</v>
      </c>
      <c r="L4546">
        <v>141.3218</v>
      </c>
      <c r="M4546">
        <v>-0.9999325</v>
      </c>
      <c r="N4546">
        <v>0</v>
      </c>
      <c r="O4546">
        <v>-3.4816679999999998E-3</v>
      </c>
      <c r="P4546">
        <v>-0.98214360000000001</v>
      </c>
      <c r="Q4546">
        <v>0.16847770000000001</v>
      </c>
      <c r="R4546">
        <v>8.3723240000000004E-2</v>
      </c>
      <c r="S4546">
        <v>-3.075256</v>
      </c>
      <c r="T4546">
        <v>-0.17763409999999999</v>
      </c>
      <c r="U4546">
        <v>0.1098175</v>
      </c>
      <c r="V4546">
        <v>8.7299059999999998E-2</v>
      </c>
      <c r="W4546">
        <v>0.17928729999999901</v>
      </c>
      <c r="X4546">
        <v>0.9799158</v>
      </c>
      <c r="Y4546">
        <v>3.9095860000000003E-2</v>
      </c>
      <c r="Z4546">
        <v>1.3287289999999901E-3</v>
      </c>
      <c r="AA4546">
        <v>0.99923459999999997</v>
      </c>
      <c r="AB4546">
        <v>47</v>
      </c>
      <c r="AC4546">
        <v>-18.7167999999999</v>
      </c>
      <c r="AD4546">
        <v>-1.109162837365</v>
      </c>
      <c r="AE4546">
        <v>0.68739999999999601</v>
      </c>
      <c r="AF4546">
        <v>0.74993545911970305</v>
      </c>
      <c r="AG4546">
        <v>-1.109162837365</v>
      </c>
      <c r="AH4546">
        <v>18.6488904954589</v>
      </c>
      <c r="AI4546">
        <v>93.400976181516796</v>
      </c>
      <c r="AJ4546">
        <v>87.697182164653995</v>
      </c>
      <c r="AK4546">
        <v>18.6968917765562</v>
      </c>
      <c r="AL4546">
        <v>79.671750385212604</v>
      </c>
      <c r="AM4546">
        <v>84.909054911739702</v>
      </c>
      <c r="AN4546">
        <v>1.0000000184539</v>
      </c>
    </row>
    <row r="4547" spans="1:40" x14ac:dyDescent="0.25">
      <c r="A4547" t="str">
        <f>"20190312164118800"</f>
        <v>20190312164118800</v>
      </c>
      <c r="B4547" t="str">
        <f>"1552380078790798"</f>
        <v>1552380078790798</v>
      </c>
      <c r="C4547" t="s">
        <v>40</v>
      </c>
      <c r="D4547">
        <v>5.2534989999999997</v>
      </c>
      <c r="E4547">
        <v>0.48562109999999897</v>
      </c>
      <c r="F4547" t="s">
        <v>42</v>
      </c>
      <c r="G4547">
        <v>-283.25560000000002</v>
      </c>
      <c r="H4547">
        <v>1.0443559999999901</v>
      </c>
      <c r="I4547">
        <v>141.36160000000001</v>
      </c>
      <c r="J4547">
        <v>-282.57119999999998</v>
      </c>
      <c r="K4547">
        <v>1.1091610000000001</v>
      </c>
      <c r="L4547">
        <v>141.32040000000001</v>
      </c>
      <c r="M4547">
        <v>-0.99993209999999999</v>
      </c>
      <c r="N4547">
        <v>0</v>
      </c>
      <c r="O4547">
        <v>-3.2121900000000002E-3</v>
      </c>
      <c r="P4547">
        <v>-0.9821107</v>
      </c>
      <c r="Q4547">
        <v>0.16879549999999999</v>
      </c>
      <c r="R4547">
        <v>8.3466600000000002E-2</v>
      </c>
      <c r="S4547">
        <v>-3.0755309999999998</v>
      </c>
      <c r="T4547">
        <v>-0.17550689999999999</v>
      </c>
      <c r="U4547">
        <v>0.1074982</v>
      </c>
      <c r="V4547">
        <v>8.6779079999999995E-2</v>
      </c>
      <c r="W4547">
        <v>0.17971089999999901</v>
      </c>
      <c r="X4547">
        <v>0.97988439999999999</v>
      </c>
      <c r="Y4547">
        <v>3.8074549999999999E-2</v>
      </c>
      <c r="Z4547">
        <v>1.268274E-3</v>
      </c>
      <c r="AA4547">
        <v>0.99927410000000005</v>
      </c>
      <c r="AB4547">
        <v>47</v>
      </c>
      <c r="AC4547">
        <v>-0.68440000000003898</v>
      </c>
      <c r="AD4547">
        <v>-6.4805000000000196E-2</v>
      </c>
      <c r="AE4547">
        <v>4.1200000000003401E-2</v>
      </c>
      <c r="AF4547">
        <v>4.3014078036117301E-2</v>
      </c>
      <c r="AG4547">
        <v>-6.4805000000000196E-2</v>
      </c>
      <c r="AH4547">
        <v>0.67820530965177095</v>
      </c>
      <c r="AI4547">
        <v>95.447370475533702</v>
      </c>
      <c r="AJ4547">
        <v>86.370968333708106</v>
      </c>
      <c r="AK4547">
        <v>0.68265096570220496</v>
      </c>
      <c r="AL4547">
        <v>79.647079274773503</v>
      </c>
      <c r="AM4547">
        <v>84.939058877791595</v>
      </c>
      <c r="AN4547">
        <v>1.0000000268339</v>
      </c>
    </row>
    <row r="4548" spans="1:40" x14ac:dyDescent="0.25">
      <c r="A4548" t="str">
        <f>"20190312164118823"</f>
        <v>20190312164118823</v>
      </c>
      <c r="B4548" t="str">
        <f>"1552380078821054"</f>
        <v>1552380078821054</v>
      </c>
      <c r="C4548" t="s">
        <v>40</v>
      </c>
      <c r="D4548">
        <v>5.4844030000000004</v>
      </c>
      <c r="E4548">
        <v>0.48545440000000001</v>
      </c>
      <c r="F4548" t="s">
        <v>42</v>
      </c>
      <c r="G4548">
        <v>-283.6764</v>
      </c>
      <c r="H4548">
        <v>1.0466169999999999</v>
      </c>
      <c r="I4548">
        <v>141.35820000000001</v>
      </c>
      <c r="J4548">
        <v>-283.05279999999999</v>
      </c>
      <c r="K4548">
        <v>1.109167</v>
      </c>
      <c r="L4548">
        <v>141.31909999999999</v>
      </c>
      <c r="M4548">
        <v>-0.99993180000000004</v>
      </c>
      <c r="N4548">
        <v>0</v>
      </c>
      <c r="O4548">
        <v>-2.9240020000000002E-3</v>
      </c>
      <c r="P4548">
        <v>-0.98218309999999998</v>
      </c>
      <c r="Q4548">
        <v>0.1687023</v>
      </c>
      <c r="R4548">
        <v>8.2801360000000004E-2</v>
      </c>
      <c r="S4548">
        <v>-3.075653</v>
      </c>
      <c r="T4548">
        <v>-0.17403479999999999</v>
      </c>
      <c r="U4548">
        <v>0.10505680000000001</v>
      </c>
      <c r="V4548">
        <v>8.5832119999999998E-2</v>
      </c>
      <c r="W4548">
        <v>0.17972449999999901</v>
      </c>
      <c r="X4548">
        <v>0.97996530000000004</v>
      </c>
      <c r="Y4548">
        <v>3.6996189999999998E-2</v>
      </c>
      <c r="Z4548">
        <v>1.2108539999999999E-3</v>
      </c>
      <c r="AA4548">
        <v>0.9993147</v>
      </c>
      <c r="AB4548">
        <v>47</v>
      </c>
      <c r="AC4548">
        <v>-0.62360000000001004</v>
      </c>
      <c r="AD4548">
        <v>-6.2550000000000106E-2</v>
      </c>
      <c r="AE4548">
        <v>3.9100000000019002E-2</v>
      </c>
      <c r="AF4548">
        <v>4.05173075472278E-2</v>
      </c>
      <c r="AG4548">
        <v>-6.2550000000000106E-2</v>
      </c>
      <c r="AH4548">
        <v>0.61729667861818904</v>
      </c>
      <c r="AI4548">
        <v>95.773630939706706</v>
      </c>
      <c r="AJ4548">
        <v>86.244681651272003</v>
      </c>
      <c r="AK4548">
        <v>0.62177917635115798</v>
      </c>
      <c r="AL4548">
        <v>79.646287072698698</v>
      </c>
      <c r="AM4548">
        <v>84.994414426016206</v>
      </c>
      <c r="AN4548">
        <v>1.0000000189640099</v>
      </c>
    </row>
    <row r="4549" spans="1:40" x14ac:dyDescent="0.25">
      <c r="A4549" t="str">
        <f>"20190312164118847"</f>
        <v>20190312164118847</v>
      </c>
      <c r="B4549" t="str">
        <f>"1552380078840574"</f>
        <v>1552380078840574</v>
      </c>
      <c r="C4549" t="s">
        <v>40</v>
      </c>
      <c r="D4549">
        <v>5.3092290000000002</v>
      </c>
      <c r="E4549">
        <v>0.4853652</v>
      </c>
      <c r="F4549" t="s">
        <v>42</v>
      </c>
      <c r="G4549">
        <v>-284.09879999999998</v>
      </c>
      <c r="H4549">
        <v>1.050494</v>
      </c>
      <c r="I4549">
        <v>141.3537</v>
      </c>
      <c r="J4549">
        <v>-283.54360000000003</v>
      </c>
      <c r="K4549">
        <v>1.1091740000000001</v>
      </c>
      <c r="L4549">
        <v>141.31790000000001</v>
      </c>
      <c r="M4549">
        <v>-0.99993120000000002</v>
      </c>
      <c r="N4549">
        <v>0</v>
      </c>
      <c r="O4549">
        <v>-2.6296259999999999E-3</v>
      </c>
      <c r="P4549">
        <v>-0.98215929999999996</v>
      </c>
      <c r="Q4549">
        <v>0.169011299999999</v>
      </c>
      <c r="R4549">
        <v>8.2453449999999998E-2</v>
      </c>
      <c r="S4549">
        <v>-3.0754389999999998</v>
      </c>
      <c r="T4549">
        <v>-0.17251469999999999</v>
      </c>
      <c r="U4549">
        <v>0.1016541</v>
      </c>
      <c r="V4549">
        <v>8.5196380000000002E-2</v>
      </c>
      <c r="W4549">
        <v>0.18013959999999901</v>
      </c>
      <c r="X4549">
        <v>0.9799445</v>
      </c>
      <c r="Y4549">
        <v>3.5603669999999997E-2</v>
      </c>
      <c r="Z4549">
        <v>1.1448879999999999E-3</v>
      </c>
      <c r="AA4549">
        <v>0.99936530000000001</v>
      </c>
      <c r="AB4549">
        <v>47</v>
      </c>
      <c r="AC4549">
        <v>-0.55519999999995595</v>
      </c>
      <c r="AD4549">
        <v>-5.8679999999999802E-2</v>
      </c>
      <c r="AE4549">
        <v>3.5799999999994697E-2</v>
      </c>
      <c r="AF4549">
        <v>3.6850003223735502E-2</v>
      </c>
      <c r="AG4549">
        <v>-5.8679999999999802E-2</v>
      </c>
      <c r="AH4549">
        <v>0.548996636983206</v>
      </c>
      <c r="AI4549">
        <v>96.087353284915906</v>
      </c>
      <c r="AJ4549">
        <v>86.159926637315294</v>
      </c>
      <c r="AK4549">
        <v>0.55335212347695895</v>
      </c>
      <c r="AL4549">
        <v>79.622108375734697</v>
      </c>
      <c r="AM4549">
        <v>85.031198495003196</v>
      </c>
      <c r="AN4549">
        <v>0.99999996086675602</v>
      </c>
    </row>
    <row r="4550" spans="1:40" x14ac:dyDescent="0.25">
      <c r="A4550" t="str">
        <f>"20190312164118867"</f>
        <v>20190312164118867</v>
      </c>
      <c r="B4550" t="str">
        <f>"1552380078861070"</f>
        <v>1552380078861070</v>
      </c>
      <c r="C4550" t="s">
        <v>40</v>
      </c>
      <c r="D4550">
        <v>5.3120940000000001</v>
      </c>
      <c r="E4550">
        <v>0.48550850000000001</v>
      </c>
      <c r="F4550" t="s">
        <v>50</v>
      </c>
      <c r="G4550">
        <v>-303.52010000000001</v>
      </c>
      <c r="H4550" s="1">
        <v>-9.2618940000000005E-6</v>
      </c>
      <c r="I4550">
        <v>141.9692</v>
      </c>
      <c r="J4550">
        <v>-283.99619999999999</v>
      </c>
      <c r="K4550">
        <v>1.1091899999999999</v>
      </c>
      <c r="L4550">
        <v>141.3169</v>
      </c>
      <c r="M4550">
        <v>-0.99993080000000001</v>
      </c>
      <c r="N4550">
        <v>0</v>
      </c>
      <c r="O4550">
        <v>-2.3576410000000002E-3</v>
      </c>
      <c r="P4550">
        <v>-0.98205699999999996</v>
      </c>
      <c r="Q4550">
        <v>0.16994189999999901</v>
      </c>
      <c r="R4550">
        <v>8.1754229999999997E-2</v>
      </c>
      <c r="S4550">
        <v>-3.0754700000000001</v>
      </c>
      <c r="T4550">
        <v>-0.170764</v>
      </c>
      <c r="U4550">
        <v>0.10026549999999999</v>
      </c>
      <c r="V4550">
        <v>8.4231899999999998E-2</v>
      </c>
      <c r="W4550">
        <v>0.18117179999999999</v>
      </c>
      <c r="X4550">
        <v>0.97983759999999998</v>
      </c>
      <c r="Y4550">
        <v>3.4883530000000003E-2</v>
      </c>
      <c r="Z4550">
        <v>1.098225E-3</v>
      </c>
      <c r="AA4550">
        <v>0.99939080000000002</v>
      </c>
      <c r="AB4550">
        <v>47</v>
      </c>
      <c r="AC4550">
        <v>-19.523900000000001</v>
      </c>
      <c r="AD4550">
        <v>-1.1091992618940001</v>
      </c>
      <c r="AE4550">
        <v>0.65229999999999599</v>
      </c>
      <c r="AF4550">
        <v>0.69608737252439101</v>
      </c>
      <c r="AG4550">
        <v>-1.1091992618940001</v>
      </c>
      <c r="AH4550">
        <v>19.459569157012002</v>
      </c>
      <c r="AI4550">
        <v>93.260259914395405</v>
      </c>
      <c r="AJ4550">
        <v>87.951348743288506</v>
      </c>
      <c r="AK4550">
        <v>19.5035815277427</v>
      </c>
      <c r="AL4550">
        <v>79.561978493916996</v>
      </c>
      <c r="AM4550">
        <v>85.086638419484601</v>
      </c>
      <c r="AN4550">
        <v>0.999999978233304</v>
      </c>
    </row>
    <row r="4551" spans="1:40" x14ac:dyDescent="0.25">
      <c r="A4551" t="str">
        <f>"20190312164118890"</f>
        <v>20190312164118890</v>
      </c>
      <c r="B4551" t="str">
        <f>"1552380078880594"</f>
        <v>1552380078880594</v>
      </c>
      <c r="C4551" t="s">
        <v>40</v>
      </c>
      <c r="D4551">
        <v>5.2732950000000001</v>
      </c>
      <c r="E4551">
        <v>0.4854</v>
      </c>
      <c r="F4551" t="s">
        <v>50</v>
      </c>
      <c r="G4551">
        <v>-304.1918</v>
      </c>
      <c r="H4551" s="1">
        <v>-9.3582949999999995E-6</v>
      </c>
      <c r="I4551">
        <v>141.96899999999999</v>
      </c>
      <c r="J4551">
        <v>-284.447</v>
      </c>
      <c r="K4551">
        <v>1.1092059999999999</v>
      </c>
      <c r="L4551">
        <v>141.31610000000001</v>
      </c>
      <c r="M4551">
        <v>-0.99992999999999999</v>
      </c>
      <c r="N4551">
        <v>0</v>
      </c>
      <c r="O4551">
        <v>-2.0849779999999999E-3</v>
      </c>
      <c r="P4551">
        <v>-0.9818209</v>
      </c>
      <c r="Q4551">
        <v>0.171378799999999</v>
      </c>
      <c r="R4551">
        <v>8.1590399999999993E-2</v>
      </c>
      <c r="S4551">
        <v>-3.0757750000000001</v>
      </c>
      <c r="T4551">
        <v>-0.16893050000000001</v>
      </c>
      <c r="U4551">
        <v>9.9304199999999995E-2</v>
      </c>
      <c r="V4551">
        <v>8.3803020000000006E-2</v>
      </c>
      <c r="W4551">
        <v>0.1827172</v>
      </c>
      <c r="X4551">
        <v>0.9795874</v>
      </c>
      <c r="Y4551">
        <v>3.429828E-2</v>
      </c>
      <c r="Z4551">
        <v>1.0553330000000001E-3</v>
      </c>
      <c r="AA4551">
        <v>0.9994111</v>
      </c>
      <c r="AB4551">
        <v>47</v>
      </c>
      <c r="AC4551">
        <v>-19.744800000000001</v>
      </c>
      <c r="AD4551">
        <v>-1.109215358295</v>
      </c>
      <c r="AE4551">
        <v>0.65289999999998805</v>
      </c>
      <c r="AF4551">
        <v>0.69188768802790601</v>
      </c>
      <c r="AG4551">
        <v>-1.109215358295</v>
      </c>
      <c r="AH4551">
        <v>19.681350735222399</v>
      </c>
      <c r="AI4551">
        <v>93.223716138855806</v>
      </c>
      <c r="AJ4551">
        <v>87.986625684697003</v>
      </c>
      <c r="AK4551">
        <v>19.7247213933876</v>
      </c>
      <c r="AL4551">
        <v>79.4719307847637</v>
      </c>
      <c r="AM4551">
        <v>85.110291507576605</v>
      </c>
      <c r="AN4551">
        <v>0.99999999778785997</v>
      </c>
    </row>
    <row r="4552" spans="1:40" x14ac:dyDescent="0.25">
      <c r="A4552" t="str">
        <f>"20190312164118911"</f>
        <v>20190312164118911</v>
      </c>
      <c r="B4552" t="str">
        <f>"1552380078901090"</f>
        <v>1552380078901090</v>
      </c>
      <c r="C4552" t="s">
        <v>40</v>
      </c>
      <c r="D4552">
        <v>5.2979390000000004</v>
      </c>
      <c r="E4552">
        <v>0.48539480000000002</v>
      </c>
      <c r="F4552" t="s">
        <v>50</v>
      </c>
      <c r="G4552">
        <v>-304.90280000000001</v>
      </c>
      <c r="H4552" s="1">
        <v>-9.4604369999999996E-6</v>
      </c>
      <c r="I4552">
        <v>141.96899999999999</v>
      </c>
      <c r="J4552">
        <v>-284.89510000000001</v>
      </c>
      <c r="K4552">
        <v>1.1092200000000001</v>
      </c>
      <c r="L4552">
        <v>141.31530000000001</v>
      </c>
      <c r="M4552">
        <v>-0.99992910000000002</v>
      </c>
      <c r="N4552">
        <v>0</v>
      </c>
      <c r="O4552">
        <v>-1.8147840000000001E-3</v>
      </c>
      <c r="P4552">
        <v>-0.98170579999999996</v>
      </c>
      <c r="Q4552">
        <v>0.17231469999999999</v>
      </c>
      <c r="R4552">
        <v>8.1002469999999993E-2</v>
      </c>
      <c r="S4552">
        <v>-3.076508</v>
      </c>
      <c r="T4552">
        <v>-0.16682350000000001</v>
      </c>
      <c r="U4552">
        <v>9.8205570000000006E-2</v>
      </c>
      <c r="V4552">
        <v>8.2952609999999996E-2</v>
      </c>
      <c r="W4552">
        <v>0.18378040000000001</v>
      </c>
      <c r="X4552">
        <v>0.97946089999999997</v>
      </c>
      <c r="Y4552">
        <v>3.3666729999999999E-2</v>
      </c>
      <c r="Z4552">
        <v>1.010204E-3</v>
      </c>
      <c r="AA4552">
        <v>0.9994326</v>
      </c>
      <c r="AB4552">
        <v>47</v>
      </c>
      <c r="AC4552">
        <v>-20.0077</v>
      </c>
      <c r="AD4552">
        <v>-1.1092294604369899</v>
      </c>
      <c r="AE4552">
        <v>0.65369999999998596</v>
      </c>
      <c r="AF4552">
        <v>0.68789901475737203</v>
      </c>
      <c r="AG4552">
        <v>-1.1092294604369899</v>
      </c>
      <c r="AH4552">
        <v>19.945242160150102</v>
      </c>
      <c r="AI4552">
        <v>93.1812657933948</v>
      </c>
      <c r="AJ4552">
        <v>88.024687123785498</v>
      </c>
      <c r="AK4552">
        <v>19.9879033387055</v>
      </c>
      <c r="AL4552">
        <v>79.409964769135698</v>
      </c>
      <c r="AM4552">
        <v>85.159051809016503</v>
      </c>
      <c r="AN4552">
        <v>1.00000001277939</v>
      </c>
    </row>
    <row r="4553" spans="1:40" x14ac:dyDescent="0.25">
      <c r="A4553" t="str">
        <f>"20190312164118934"</f>
        <v>20190312164118934</v>
      </c>
      <c r="B4553" t="str">
        <f>"1552380078920617"</f>
        <v>1552380078920617</v>
      </c>
      <c r="C4553" t="s">
        <v>40</v>
      </c>
      <c r="D4553">
        <v>5.2576419999999997</v>
      </c>
      <c r="E4553">
        <v>0.4853751</v>
      </c>
      <c r="F4553" t="s">
        <v>50</v>
      </c>
      <c r="G4553">
        <v>-305.4359</v>
      </c>
      <c r="H4553" s="1">
        <v>-9.5342909999999999E-6</v>
      </c>
      <c r="I4553">
        <v>141.96</v>
      </c>
      <c r="J4553">
        <v>-285.36340000000001</v>
      </c>
      <c r="K4553">
        <v>1.1092489999999999</v>
      </c>
      <c r="L4553">
        <v>141.31469999999999</v>
      </c>
      <c r="M4553">
        <v>-0.99992780000000003</v>
      </c>
      <c r="N4553">
        <v>0</v>
      </c>
      <c r="O4553">
        <v>-1.543467E-3</v>
      </c>
      <c r="P4553">
        <v>-0.98165360000000002</v>
      </c>
      <c r="Q4553">
        <v>0.17303370000000001</v>
      </c>
      <c r="R4553">
        <v>8.0099710000000005E-2</v>
      </c>
      <c r="S4553">
        <v>-3.0770870000000001</v>
      </c>
      <c r="T4553">
        <v>-0.16616739999999999</v>
      </c>
      <c r="U4553">
        <v>9.657288E-2</v>
      </c>
      <c r="V4553">
        <v>8.1785800000000006E-2</v>
      </c>
      <c r="W4553">
        <v>0.1846554</v>
      </c>
      <c r="X4553">
        <v>0.9793944</v>
      </c>
      <c r="Y4553">
        <v>3.2861769999999998E-2</v>
      </c>
      <c r="Z4553">
        <v>9.6970369999999995E-4</v>
      </c>
      <c r="AA4553">
        <v>0.9994594</v>
      </c>
      <c r="AB4553">
        <v>47</v>
      </c>
      <c r="AC4553">
        <v>-20.072499999999899</v>
      </c>
      <c r="AD4553">
        <v>-1.109258534291</v>
      </c>
      <c r="AE4553">
        <v>0.64530000000001997</v>
      </c>
      <c r="AF4553">
        <v>0.67422574354556997</v>
      </c>
      <c r="AG4553">
        <v>-1.109258534291</v>
      </c>
      <c r="AH4553">
        <v>20.0104321537118</v>
      </c>
      <c r="AI4553">
        <v>93.171091732181594</v>
      </c>
      <c r="AJ4553">
        <v>88.070222539798493</v>
      </c>
      <c r="AK4553">
        <v>20.052491860800298</v>
      </c>
      <c r="AL4553">
        <v>79.358957458412704</v>
      </c>
      <c r="AM4553">
        <v>85.226505067814898</v>
      </c>
      <c r="AN4553">
        <v>0.99999996229107901</v>
      </c>
    </row>
    <row r="4554" spans="1:40" x14ac:dyDescent="0.25">
      <c r="A4554" t="str">
        <f>"20190312164118956"</f>
        <v>20190312164118956</v>
      </c>
      <c r="B4554" t="str">
        <f>"1552380078950863"</f>
        <v>1552380078950863</v>
      </c>
      <c r="C4554" t="s">
        <v>40</v>
      </c>
      <c r="D4554">
        <v>5.1050409999999999</v>
      </c>
      <c r="E4554">
        <v>0.48489840000000001</v>
      </c>
      <c r="F4554" t="s">
        <v>50</v>
      </c>
      <c r="G4554">
        <v>-306.28699999999998</v>
      </c>
      <c r="H4554" s="1">
        <v>-9.6546299999999994E-6</v>
      </c>
      <c r="I4554">
        <v>141.9537</v>
      </c>
      <c r="J4554">
        <v>-285.84870000000001</v>
      </c>
      <c r="K4554">
        <v>1.1092879999999901</v>
      </c>
      <c r="L4554">
        <v>141.3142</v>
      </c>
      <c r="M4554">
        <v>-0.99992579999999998</v>
      </c>
      <c r="N4554">
        <v>0</v>
      </c>
      <c r="O4554">
        <v>-1.2739559999999999E-3</v>
      </c>
      <c r="P4554">
        <v>-0.98159640000000004</v>
      </c>
      <c r="Q4554">
        <v>0.1738122</v>
      </c>
      <c r="R4554">
        <v>7.9107810000000001E-2</v>
      </c>
      <c r="S4554">
        <v>-3.077118</v>
      </c>
      <c r="T4554">
        <v>-0.1631329</v>
      </c>
      <c r="U4554">
        <v>9.3963619999999998E-2</v>
      </c>
      <c r="V4554">
        <v>8.0529119999999996E-2</v>
      </c>
      <c r="W4554">
        <v>0.18562119999999999</v>
      </c>
      <c r="X4554">
        <v>0.97931599999999996</v>
      </c>
      <c r="Y4554">
        <v>3.1749109999999997E-2</v>
      </c>
      <c r="Z4554">
        <v>9.0828179999999999E-4</v>
      </c>
      <c r="AA4554">
        <v>0.99949540000000003</v>
      </c>
      <c r="AB4554">
        <v>47</v>
      </c>
      <c r="AC4554">
        <v>-20.438300000000002</v>
      </c>
      <c r="AD4554">
        <v>-1.10929765462999</v>
      </c>
      <c r="AE4554">
        <v>0.63949999999999796</v>
      </c>
      <c r="AF4554">
        <v>0.66358599192558299</v>
      </c>
      <c r="AG4554">
        <v>-1.10929765462999</v>
      </c>
      <c r="AH4554">
        <v>20.377498864145601</v>
      </c>
      <c r="AI4554">
        <v>93.114308990382796</v>
      </c>
      <c r="AJ4554">
        <v>88.134842468758094</v>
      </c>
      <c r="AK4554">
        <v>20.418456053617401</v>
      </c>
      <c r="AL4554">
        <v>79.302648125643302</v>
      </c>
      <c r="AM4554">
        <v>85.299146401134394</v>
      </c>
      <c r="AN4554">
        <v>0.99999999845670695</v>
      </c>
    </row>
    <row r="4555" spans="1:40" x14ac:dyDescent="0.25">
      <c r="A4555" t="str">
        <f>"20190312164118980"</f>
        <v>20190312164118980</v>
      </c>
      <c r="B4555" t="str">
        <f>"1552380078971362"</f>
        <v>1552380078971362</v>
      </c>
      <c r="C4555" t="s">
        <v>40</v>
      </c>
      <c r="D4555">
        <v>5.1486650000000003</v>
      </c>
      <c r="E4555">
        <v>0.48443340000000001</v>
      </c>
      <c r="F4555" t="s">
        <v>50</v>
      </c>
      <c r="G4555">
        <v>-307.52449999999999</v>
      </c>
      <c r="H4555" s="1">
        <v>-9.8258240000000007E-6</v>
      </c>
      <c r="I4555">
        <v>141.93170000000001</v>
      </c>
      <c r="J4555">
        <v>-286.32459999999998</v>
      </c>
      <c r="K4555">
        <v>1.1093280000000001</v>
      </c>
      <c r="L4555">
        <v>141.31379999999999</v>
      </c>
      <c r="M4555">
        <v>-0.99992360000000002</v>
      </c>
      <c r="N4555">
        <v>0</v>
      </c>
      <c r="O4555">
        <v>-1.0135179999999999E-3</v>
      </c>
      <c r="P4555">
        <v>-0.98149260000000005</v>
      </c>
      <c r="Q4555">
        <v>0.17475470000000001</v>
      </c>
      <c r="R4555">
        <v>7.8315699999999905E-2</v>
      </c>
      <c r="S4555">
        <v>-3.0770569999999999</v>
      </c>
      <c r="T4555">
        <v>-0.1574739</v>
      </c>
      <c r="U4555">
        <v>8.7661740000000002E-2</v>
      </c>
      <c r="V4555">
        <v>7.9477370000000006E-2</v>
      </c>
      <c r="W4555">
        <v>0.18677179999999999</v>
      </c>
      <c r="X4555">
        <v>0.97918309999999997</v>
      </c>
      <c r="Y4555">
        <v>2.9450609999999999E-2</v>
      </c>
      <c r="Z4555">
        <v>8.0477700000000001E-4</v>
      </c>
      <c r="AA4555">
        <v>0.99956590000000001</v>
      </c>
      <c r="AB4555">
        <v>47</v>
      </c>
      <c r="AC4555">
        <v>-21.1999</v>
      </c>
      <c r="AD4555">
        <v>-1.1093378258239901</v>
      </c>
      <c r="AE4555">
        <v>0.61790000000001999</v>
      </c>
      <c r="AF4555">
        <v>0.63764330126651703</v>
      </c>
      <c r="AG4555">
        <v>-1.1093378258239901</v>
      </c>
      <c r="AH4555">
        <v>21.141423186114501</v>
      </c>
      <c r="AI4555">
        <v>93.002320422563699</v>
      </c>
      <c r="AJ4555">
        <v>88.272434282624999</v>
      </c>
      <c r="AK4555">
        <v>21.1801084446193</v>
      </c>
      <c r="AL4555">
        <v>79.235549701946695</v>
      </c>
      <c r="AM4555">
        <v>85.3596450765816</v>
      </c>
      <c r="AN4555">
        <v>0.99999995047148205</v>
      </c>
    </row>
    <row r="4556" spans="1:40" x14ac:dyDescent="0.25">
      <c r="A4556" t="str">
        <f>"20190312164119000"</f>
        <v>20190312164119000</v>
      </c>
      <c r="B4556" t="str">
        <f>"1552380078990879"</f>
        <v>1552380078990879</v>
      </c>
      <c r="C4556" t="s">
        <v>40</v>
      </c>
      <c r="D4556">
        <v>5.1130040000000001</v>
      </c>
      <c r="E4556">
        <v>0.4840372</v>
      </c>
      <c r="F4556" t="s">
        <v>50</v>
      </c>
      <c r="G4556">
        <v>-308.55329999999998</v>
      </c>
      <c r="H4556" s="1">
        <v>-9.9657280000000001E-6</v>
      </c>
      <c r="I4556">
        <v>141.90539999999999</v>
      </c>
      <c r="J4556">
        <v>-286.76319999999998</v>
      </c>
      <c r="K4556">
        <v>1.1093839999999999</v>
      </c>
      <c r="L4556">
        <v>141.31360000000001</v>
      </c>
      <c r="M4556">
        <v>-0.99992099999999995</v>
      </c>
      <c r="N4556">
        <v>0</v>
      </c>
      <c r="O4556">
        <v>-7.736803E-4</v>
      </c>
      <c r="P4556">
        <v>-0.98139299999999996</v>
      </c>
      <c r="Q4556">
        <v>0.17574989999999999</v>
      </c>
      <c r="R4556">
        <v>7.7329079999999994E-2</v>
      </c>
      <c r="S4556">
        <v>-3.077423</v>
      </c>
      <c r="T4556">
        <v>-0.153581</v>
      </c>
      <c r="U4556">
        <v>8.1893919999999995E-2</v>
      </c>
      <c r="V4556">
        <v>7.824942E-2</v>
      </c>
      <c r="W4556">
        <v>0.18797700000000001</v>
      </c>
      <c r="X4556">
        <v>0.97905140000000002</v>
      </c>
      <c r="Y4556">
        <v>2.7340280000000002E-2</v>
      </c>
      <c r="Z4556">
        <v>7.2025679999999904E-4</v>
      </c>
      <c r="AA4556">
        <v>0.99962589999999996</v>
      </c>
      <c r="AB4556">
        <v>47</v>
      </c>
      <c r="AC4556">
        <v>-21.790099999999899</v>
      </c>
      <c r="AD4556">
        <v>-1.1093939657280001</v>
      </c>
      <c r="AE4556">
        <v>0.59179999999997701</v>
      </c>
      <c r="AF4556">
        <v>0.60708724480930698</v>
      </c>
      <c r="AG4556">
        <v>-1.1093939657280001</v>
      </c>
      <c r="AH4556">
        <v>21.733341923382</v>
      </c>
      <c r="AI4556">
        <v>92.921030286903601</v>
      </c>
      <c r="AJ4556">
        <v>88.399947217496702</v>
      </c>
      <c r="AK4556">
        <v>21.770104755205899</v>
      </c>
      <c r="AL4556">
        <v>79.165252110947705</v>
      </c>
      <c r="AM4556">
        <v>85.430422074152403</v>
      </c>
      <c r="AN4556">
        <v>0.99999998405064805</v>
      </c>
    </row>
    <row r="4557" spans="1:40" x14ac:dyDescent="0.25">
      <c r="A4557" t="str">
        <f>"20190312164119025"</f>
        <v>20190312164119025</v>
      </c>
      <c r="B4557" t="str">
        <f>"1552380079021135"</f>
        <v>1552380079021135</v>
      </c>
      <c r="C4557" t="s">
        <v>40</v>
      </c>
      <c r="D4557">
        <v>5.1277900000000001</v>
      </c>
      <c r="E4557">
        <v>0.483657</v>
      </c>
      <c r="F4557" t="s">
        <v>50</v>
      </c>
      <c r="G4557">
        <v>-309.5376</v>
      </c>
      <c r="H4557" s="1">
        <v>-1.009777E-5</v>
      </c>
      <c r="I4557">
        <v>141.8741</v>
      </c>
      <c r="J4557">
        <v>-287.2586</v>
      </c>
      <c r="K4557">
        <v>1.1094409999999999</v>
      </c>
      <c r="L4557">
        <v>141.3134</v>
      </c>
      <c r="M4557">
        <v>-0.99991819999999998</v>
      </c>
      <c r="N4557">
        <v>0</v>
      </c>
      <c r="O4557">
        <v>-5.0669699999999996E-4</v>
      </c>
      <c r="P4557">
        <v>-0.98131959999999996</v>
      </c>
      <c r="Q4557">
        <v>0.17673059999999999</v>
      </c>
      <c r="R4557">
        <v>7.6013650000000002E-2</v>
      </c>
      <c r="S4557">
        <v>-3.077728</v>
      </c>
      <c r="T4557">
        <v>-0.14992369999999999</v>
      </c>
      <c r="U4557">
        <v>7.5744629999999993E-2</v>
      </c>
      <c r="V4557">
        <v>7.6665300000000006E-2</v>
      </c>
      <c r="W4557">
        <v>0.18920390000000001</v>
      </c>
      <c r="X4557">
        <v>0.97894040000000004</v>
      </c>
      <c r="Y4557">
        <v>2.5079379999999998E-2</v>
      </c>
      <c r="Z4557">
        <v>6.3505110000000001E-4</v>
      </c>
      <c r="AA4557">
        <v>0.9996853</v>
      </c>
      <c r="AB4557">
        <v>47</v>
      </c>
      <c r="AC4557">
        <v>-22.279</v>
      </c>
      <c r="AD4557">
        <v>-1.1094510977699901</v>
      </c>
      <c r="AE4557">
        <v>0.56069999999999698</v>
      </c>
      <c r="AF4557">
        <v>0.57057550801439105</v>
      </c>
      <c r="AG4557">
        <v>-1.1094510977699901</v>
      </c>
      <c r="AH4557">
        <v>22.223636670371398</v>
      </c>
      <c r="AI4557">
        <v>92.857014336604394</v>
      </c>
      <c r="AJ4557">
        <v>88.529296138588094</v>
      </c>
      <c r="AK4557">
        <v>22.258626754707201</v>
      </c>
      <c r="AL4557">
        <v>79.093671582025394</v>
      </c>
      <c r="AM4557">
        <v>85.522045223596905</v>
      </c>
      <c r="AN4557">
        <v>0.99999999537573003</v>
      </c>
    </row>
    <row r="4558" spans="1:40" x14ac:dyDescent="0.25">
      <c r="A4558" t="str">
        <f>"20190312164119047"</f>
        <v>20190312164119047</v>
      </c>
      <c r="B4558" t="str">
        <f>"1552380079040654"</f>
        <v>1552380079040654</v>
      </c>
      <c r="C4558" t="s">
        <v>40</v>
      </c>
      <c r="D4558">
        <v>5.3593890000000002</v>
      </c>
      <c r="E4558">
        <v>0.48353600000000002</v>
      </c>
      <c r="F4558" t="s">
        <v>50</v>
      </c>
      <c r="G4558">
        <v>-310.29399999999998</v>
      </c>
      <c r="H4558" s="1">
        <v>-9.9940850000000004E-6</v>
      </c>
      <c r="I4558">
        <v>141.82390000000001</v>
      </c>
      <c r="J4558">
        <v>-287.7269</v>
      </c>
      <c r="K4558">
        <v>1.1095029999999999</v>
      </c>
      <c r="L4558">
        <v>141.3134</v>
      </c>
      <c r="M4558">
        <v>-0.99991509999999995</v>
      </c>
      <c r="N4558">
        <v>0</v>
      </c>
      <c r="O4558">
        <v>-2.6602629999999998E-4</v>
      </c>
      <c r="P4558">
        <v>-0.98133009999999998</v>
      </c>
      <c r="Q4558">
        <v>0.17716270000000001</v>
      </c>
      <c r="R4558">
        <v>7.4865070000000006E-2</v>
      </c>
      <c r="S4558">
        <v>-3.0784910000000001</v>
      </c>
      <c r="T4558">
        <v>-0.14826919999999999</v>
      </c>
      <c r="U4558">
        <v>6.8222050000000006E-2</v>
      </c>
      <c r="V4558">
        <v>7.5274629999999995E-2</v>
      </c>
      <c r="W4558">
        <v>0.18987580000000001</v>
      </c>
      <c r="X4558">
        <v>0.97891830000000002</v>
      </c>
      <c r="Y4558">
        <v>2.2395160000000001E-2</v>
      </c>
      <c r="Z4558">
        <v>5.517346E-4</v>
      </c>
      <c r="AA4558">
        <v>0.99974909999999995</v>
      </c>
      <c r="AB4558">
        <v>47</v>
      </c>
      <c r="AC4558">
        <v>-22.5671</v>
      </c>
      <c r="AD4558">
        <v>-1.1095129940849999</v>
      </c>
      <c r="AE4558">
        <v>0.51050000000000695</v>
      </c>
      <c r="AF4558">
        <v>0.51525908434883605</v>
      </c>
      <c r="AG4558">
        <v>-1.1095129940849999</v>
      </c>
      <c r="AH4558">
        <v>22.512573736016002</v>
      </c>
      <c r="AI4558">
        <v>92.820753175735803</v>
      </c>
      <c r="AJ4558">
        <v>88.688865259830493</v>
      </c>
      <c r="AK4558">
        <v>22.5457864628317</v>
      </c>
      <c r="AL4558">
        <v>79.054464586152307</v>
      </c>
      <c r="AM4558">
        <v>85.602852718800506</v>
      </c>
      <c r="AN4558">
        <v>1.00000006371108</v>
      </c>
    </row>
    <row r="4559" spans="1:40" x14ac:dyDescent="0.25">
      <c r="A4559" t="str">
        <f>"20190312164119068"</f>
        <v>20190312164119068</v>
      </c>
      <c r="B4559" t="str">
        <f>"1552380079061153"</f>
        <v>1552380079061153</v>
      </c>
      <c r="C4559" t="s">
        <v>40</v>
      </c>
      <c r="D4559">
        <v>5.1603490000000001</v>
      </c>
      <c r="E4559">
        <v>0.48354140000000001</v>
      </c>
      <c r="F4559" t="s">
        <v>50</v>
      </c>
      <c r="G4559">
        <v>-311.16539999999998</v>
      </c>
      <c r="H4559" s="1">
        <v>-9.6087179999999992E-6</v>
      </c>
      <c r="I4559">
        <v>141.80170000000001</v>
      </c>
      <c r="J4559">
        <v>-288.18099999999998</v>
      </c>
      <c r="K4559">
        <v>1.109556</v>
      </c>
      <c r="L4559">
        <v>141.3134</v>
      </c>
      <c r="M4559">
        <v>-0.99991200000000002</v>
      </c>
      <c r="N4559">
        <v>0</v>
      </c>
      <c r="O4559" s="1">
        <v>-4.9935690000000003E-5</v>
      </c>
      <c r="P4559">
        <v>-0.98124979999999995</v>
      </c>
      <c r="Q4559">
        <v>0.17797760000000001</v>
      </c>
      <c r="R4559">
        <v>7.397832E-2</v>
      </c>
      <c r="S4559">
        <v>-3.0784910000000001</v>
      </c>
      <c r="T4559">
        <v>-0.14572660000000001</v>
      </c>
      <c r="U4559">
        <v>6.4132690000000006E-2</v>
      </c>
      <c r="V4559">
        <v>7.4170689999999997E-2</v>
      </c>
      <c r="W4559">
        <v>0.1909313</v>
      </c>
      <c r="X4559">
        <v>0.97879720000000003</v>
      </c>
      <c r="Y4559">
        <v>2.0854520000000001E-2</v>
      </c>
      <c r="Z4559">
        <v>4.9562800000000002E-4</v>
      </c>
      <c r="AA4559">
        <v>0.99978239999999996</v>
      </c>
      <c r="AB4559">
        <v>47</v>
      </c>
      <c r="AC4559">
        <v>-22.984399999999901</v>
      </c>
      <c r="AD4559">
        <v>-1.1095656087179999</v>
      </c>
      <c r="AE4559">
        <v>0.488300000000009</v>
      </c>
      <c r="AF4559">
        <v>0.488310373165527</v>
      </c>
      <c r="AG4559">
        <v>-1.1095656087179999</v>
      </c>
      <c r="AH4559">
        <v>22.930960257286401</v>
      </c>
      <c r="AI4559">
        <v>92.769596400858603</v>
      </c>
      <c r="AJ4559">
        <v>88.780081808938206</v>
      </c>
      <c r="AK4559">
        <v>22.962981539465702</v>
      </c>
      <c r="AL4559">
        <v>78.992861279812402</v>
      </c>
      <c r="AM4559">
        <v>85.666557640876107</v>
      </c>
      <c r="AN4559">
        <v>1.0000000056513001</v>
      </c>
    </row>
    <row r="4560" spans="1:40" x14ac:dyDescent="0.25">
      <c r="A4560" t="str">
        <f>"20190312164119090"</f>
        <v>20190312164119090</v>
      </c>
      <c r="B4560" t="str">
        <f>"1552380079080689"</f>
        <v>1552380079080689</v>
      </c>
      <c r="C4560" t="s">
        <v>40</v>
      </c>
      <c r="D4560">
        <v>5.2097020000000001</v>
      </c>
      <c r="E4560">
        <v>0.4834637</v>
      </c>
      <c r="F4560" t="s">
        <v>50</v>
      </c>
      <c r="G4560">
        <v>-311.99759999999998</v>
      </c>
      <c r="H4560" s="1">
        <v>-9.2919419999999998E-6</v>
      </c>
      <c r="I4560">
        <v>141.78829999999999</v>
      </c>
      <c r="J4560">
        <v>-288.62529999999998</v>
      </c>
      <c r="K4560">
        <v>1.109602</v>
      </c>
      <c r="L4560">
        <v>141.3135</v>
      </c>
      <c r="M4560">
        <v>-0.99990869999999998</v>
      </c>
      <c r="N4560">
        <v>0</v>
      </c>
      <c r="O4560">
        <v>1.4354029999999999E-4</v>
      </c>
      <c r="P4560">
        <v>-0.98126449999999998</v>
      </c>
      <c r="Q4560">
        <v>0.17806569999999999</v>
      </c>
      <c r="R4560">
        <v>7.3570819999999995E-2</v>
      </c>
      <c r="S4560">
        <v>-3.078735</v>
      </c>
      <c r="T4560">
        <v>-0.1434318</v>
      </c>
      <c r="U4560">
        <v>6.1386110000000001E-2</v>
      </c>
      <c r="V4560">
        <v>7.3567899999999894E-2</v>
      </c>
      <c r="W4560">
        <v>0.19125990000000001</v>
      </c>
      <c r="X4560">
        <v>0.9787785</v>
      </c>
      <c r="Y4560">
        <v>1.9769970000000001E-2</v>
      </c>
      <c r="Z4560">
        <v>4.5354180000000002E-4</v>
      </c>
      <c r="AA4560">
        <v>0.99980440000000004</v>
      </c>
      <c r="AB4560">
        <v>47</v>
      </c>
      <c r="AC4560">
        <v>-23.372299999999999</v>
      </c>
      <c r="AD4560">
        <v>-1.109611291942</v>
      </c>
      <c r="AE4560">
        <v>0.47479999999998701</v>
      </c>
      <c r="AF4560">
        <v>0.470385048131301</v>
      </c>
      <c r="AG4560">
        <v>-1.109611291942</v>
      </c>
      <c r="AH4560">
        <v>23.319828532217901</v>
      </c>
      <c r="AI4560">
        <v>92.723657599564802</v>
      </c>
      <c r="AJ4560">
        <v>88.844441602202807</v>
      </c>
      <c r="AK4560">
        <v>23.350950774749101</v>
      </c>
      <c r="AL4560">
        <v>78.973679997697005</v>
      </c>
      <c r="AM4560">
        <v>85.701561464199798</v>
      </c>
      <c r="AN4560">
        <v>0.99999996866033403</v>
      </c>
    </row>
    <row r="4561" spans="1:40" x14ac:dyDescent="0.25">
      <c r="A4561" t="str">
        <f>"20190312164119112"</f>
        <v>20190312164119112</v>
      </c>
      <c r="B4561" t="str">
        <f>"1552380079101166"</f>
        <v>1552380079101166</v>
      </c>
      <c r="C4561" t="s">
        <v>40</v>
      </c>
      <c r="D4561">
        <v>5.2443249999999999</v>
      </c>
      <c r="E4561">
        <v>0.483491</v>
      </c>
      <c r="F4561" t="s">
        <v>50</v>
      </c>
      <c r="G4561">
        <v>-312.42219999999998</v>
      </c>
      <c r="H4561" s="1">
        <v>-9.1278950000000008E-6</v>
      </c>
      <c r="I4561">
        <v>141.7724</v>
      </c>
      <c r="J4561">
        <v>-289.0917</v>
      </c>
      <c r="K4561">
        <v>1.1096469999999901</v>
      </c>
      <c r="L4561">
        <v>141.31370000000001</v>
      </c>
      <c r="M4561">
        <v>-0.9999053</v>
      </c>
      <c r="N4561">
        <v>0</v>
      </c>
      <c r="O4561">
        <v>3.2827289999999999E-4</v>
      </c>
      <c r="P4561">
        <v>-0.98126190000000002</v>
      </c>
      <c r="Q4561">
        <v>0.1783988</v>
      </c>
      <c r="R4561">
        <v>7.279468E-2</v>
      </c>
      <c r="S4561">
        <v>-3.0789179999999998</v>
      </c>
      <c r="T4561">
        <v>-0.14356469999999999</v>
      </c>
      <c r="U4561">
        <v>5.937195E-2</v>
      </c>
      <c r="V4561">
        <v>7.260469E-2</v>
      </c>
      <c r="W4561">
        <v>0.19183929999999999</v>
      </c>
      <c r="X4561">
        <v>0.97873710000000003</v>
      </c>
      <c r="Y4561">
        <v>1.8931340000000001E-2</v>
      </c>
      <c r="Z4561">
        <v>4.2578910000000002E-4</v>
      </c>
      <c r="AA4561">
        <v>0.99982070000000001</v>
      </c>
      <c r="AB4561">
        <v>47</v>
      </c>
      <c r="AC4561">
        <v>-23.330499999999901</v>
      </c>
      <c r="AD4561">
        <v>-1.1096561278949999</v>
      </c>
      <c r="AE4561">
        <v>0.458699999999993</v>
      </c>
      <c r="AF4561">
        <v>0.450022836453084</v>
      </c>
      <c r="AG4561">
        <v>-1.1096561278949999</v>
      </c>
      <c r="AH4561">
        <v>23.2780104421464</v>
      </c>
      <c r="AI4561">
        <v>92.728698354212796</v>
      </c>
      <c r="AJ4561">
        <v>88.892465586006296</v>
      </c>
      <c r="AK4561">
        <v>23.308788630475501</v>
      </c>
      <c r="AL4561">
        <v>78.939857246790496</v>
      </c>
      <c r="AM4561">
        <v>85.757454453264899</v>
      </c>
      <c r="AN4561">
        <v>1.0000000344754401</v>
      </c>
    </row>
    <row r="4562" spans="1:40" x14ac:dyDescent="0.25">
      <c r="A4562" t="str">
        <f>"20190312164119135"</f>
        <v>20190312164119135</v>
      </c>
      <c r="B4562" t="str">
        <f>"1552380079130447"</f>
        <v>1552380079130447</v>
      </c>
      <c r="C4562" t="s">
        <v>40</v>
      </c>
      <c r="D4562">
        <v>5.2225650000000003</v>
      </c>
      <c r="E4562">
        <v>0.48348479999999999</v>
      </c>
      <c r="F4562" t="s">
        <v>50</v>
      </c>
      <c r="G4562">
        <v>-313.09840000000003</v>
      </c>
      <c r="H4562" s="1">
        <v>-8.8704849999999998E-6</v>
      </c>
      <c r="I4562">
        <v>141.76140000000001</v>
      </c>
      <c r="J4562">
        <v>-289.55689999999998</v>
      </c>
      <c r="K4562">
        <v>1.109685</v>
      </c>
      <c r="L4562">
        <v>141.31399999999999</v>
      </c>
      <c r="M4562">
        <v>-0.99990190000000001</v>
      </c>
      <c r="N4562">
        <v>0</v>
      </c>
      <c r="O4562">
        <v>4.9775269999999998E-4</v>
      </c>
      <c r="P4562">
        <v>-0.98125390000000001</v>
      </c>
      <c r="Q4562">
        <v>0.17878039999999901</v>
      </c>
      <c r="R4562">
        <v>7.1960419999999997E-2</v>
      </c>
      <c r="S4562">
        <v>-3.0788570000000002</v>
      </c>
      <c r="T4562">
        <v>-0.14231359999999901</v>
      </c>
      <c r="U4562">
        <v>5.7418820000000002E-2</v>
      </c>
      <c r="V4562">
        <v>7.1598159999999994E-2</v>
      </c>
      <c r="W4562">
        <v>0.19245139999999999</v>
      </c>
      <c r="X4562">
        <v>0.97869099999999998</v>
      </c>
      <c r="Y4562">
        <v>1.8129619999999999E-2</v>
      </c>
      <c r="Z4562">
        <v>3.9574590000000001E-4</v>
      </c>
      <c r="AA4562">
        <v>0.99983560000000005</v>
      </c>
      <c r="AB4562">
        <v>46</v>
      </c>
      <c r="AC4562">
        <v>-23.541499999999999</v>
      </c>
      <c r="AD4562">
        <v>-1.1096938704849999</v>
      </c>
      <c r="AE4562">
        <v>0.44740000000001601</v>
      </c>
      <c r="AF4562">
        <v>0.43471537559774598</v>
      </c>
      <c r="AG4562">
        <v>-1.1096938704849999</v>
      </c>
      <c r="AH4562">
        <v>23.489545587746001</v>
      </c>
      <c r="AI4562">
        <v>92.704295708428901</v>
      </c>
      <c r="AJ4562">
        <v>88.939761809727202</v>
      </c>
      <c r="AK4562">
        <v>23.519760837703501</v>
      </c>
      <c r="AL4562">
        <v>78.904119715795801</v>
      </c>
      <c r="AM4562">
        <v>85.815862814411403</v>
      </c>
      <c r="AN4562">
        <v>0.99999995567917099</v>
      </c>
    </row>
    <row r="4563" spans="1:40" x14ac:dyDescent="0.25">
      <c r="A4563" t="str">
        <f>"20190312164119158"</f>
        <v>20190312164119158</v>
      </c>
      <c r="B4563" t="str">
        <f>"1552380079150473"</f>
        <v>1552380079150473</v>
      </c>
      <c r="C4563" t="s">
        <v>40</v>
      </c>
      <c r="D4563">
        <v>5.071091</v>
      </c>
      <c r="E4563">
        <v>0.48346410000000001</v>
      </c>
      <c r="F4563" t="s">
        <v>50</v>
      </c>
      <c r="G4563">
        <v>-313.83240000000001</v>
      </c>
      <c r="H4563" s="1">
        <v>-8.5908309999999905E-6</v>
      </c>
      <c r="I4563">
        <v>141.74879999999999</v>
      </c>
      <c r="J4563">
        <v>-290.03960000000001</v>
      </c>
      <c r="K4563">
        <v>1.1097220000000001</v>
      </c>
      <c r="L4563">
        <v>141.31440000000001</v>
      </c>
      <c r="M4563">
        <v>-0.99989890000000003</v>
      </c>
      <c r="N4563">
        <v>0</v>
      </c>
      <c r="O4563">
        <v>6.6222380000000003E-4</v>
      </c>
      <c r="P4563">
        <v>-0.98121270000000005</v>
      </c>
      <c r="Q4563">
        <v>0.17923220000000001</v>
      </c>
      <c r="R4563">
        <v>7.1398530000000002E-2</v>
      </c>
      <c r="S4563">
        <v>-3.0789179999999998</v>
      </c>
      <c r="T4563">
        <v>-0.14074519999999999</v>
      </c>
      <c r="U4563">
        <v>5.5145260000000001E-2</v>
      </c>
      <c r="V4563">
        <v>7.0868630000000002E-2</v>
      </c>
      <c r="W4563">
        <v>0.1931195</v>
      </c>
      <c r="X4563">
        <v>0.9786125</v>
      </c>
      <c r="Y4563">
        <v>1.7228239999999999E-2</v>
      </c>
      <c r="Z4563">
        <v>3.6327970000000001E-4</v>
      </c>
      <c r="AA4563">
        <v>0.9998515</v>
      </c>
      <c r="AB4563">
        <v>46</v>
      </c>
      <c r="AC4563">
        <v>-23.7928</v>
      </c>
      <c r="AD4563">
        <v>-1.10973059083099</v>
      </c>
      <c r="AE4563">
        <v>0.43439999999998202</v>
      </c>
      <c r="AF4563">
        <v>0.41773371133555498</v>
      </c>
      <c r="AG4563">
        <v>-1.10973059083099</v>
      </c>
      <c r="AH4563">
        <v>23.741451956122798</v>
      </c>
      <c r="AI4563">
        <v>92.675776326384806</v>
      </c>
      <c r="AJ4563">
        <v>88.9919778626641</v>
      </c>
      <c r="AK4563">
        <v>23.7710442434214</v>
      </c>
      <c r="AL4563">
        <v>78.865108690984798</v>
      </c>
      <c r="AM4563">
        <v>85.858015759509598</v>
      </c>
      <c r="AN4563">
        <v>0.99999996457728701</v>
      </c>
    </row>
    <row r="4564" spans="1:40" x14ac:dyDescent="0.25">
      <c r="A4564" t="str">
        <f>"20190312164119180"</f>
        <v>20190312164119180</v>
      </c>
      <c r="B4564" t="str">
        <f>"1552380079170970"</f>
        <v>1552380079170970</v>
      </c>
      <c r="C4564" t="s">
        <v>40</v>
      </c>
      <c r="D4564">
        <v>5.1072050000000004</v>
      </c>
      <c r="E4564">
        <v>0.48339579999999999</v>
      </c>
      <c r="F4564" t="s">
        <v>50</v>
      </c>
      <c r="G4564">
        <v>-314.70069999999998</v>
      </c>
      <c r="H4564" s="1">
        <v>-8.2626469999999997E-6</v>
      </c>
      <c r="I4564">
        <v>141.74379999999999</v>
      </c>
      <c r="J4564">
        <v>-290.50240000000002</v>
      </c>
      <c r="K4564">
        <v>1.1097520000000001</v>
      </c>
      <c r="L4564">
        <v>141.31479999999999</v>
      </c>
      <c r="M4564">
        <v>-0.99989600000000001</v>
      </c>
      <c r="N4564">
        <v>0</v>
      </c>
      <c r="O4564">
        <v>8.1244879999999996E-4</v>
      </c>
      <c r="P4564">
        <v>-0.9812149</v>
      </c>
      <c r="Q4564">
        <v>0.1794965</v>
      </c>
      <c r="R4564">
        <v>7.0696960000000003E-2</v>
      </c>
      <c r="S4564">
        <v>-3.0788880000000001</v>
      </c>
      <c r="T4564">
        <v>-0.13854749999999999</v>
      </c>
      <c r="U4564">
        <v>5.360413E-2</v>
      </c>
      <c r="V4564">
        <v>7.0014339999999994E-2</v>
      </c>
      <c r="W4564">
        <v>0.19356680000000001</v>
      </c>
      <c r="X4564">
        <v>0.9785857</v>
      </c>
      <c r="Y4564">
        <v>1.6579219999999999E-2</v>
      </c>
      <c r="Z4564">
        <v>3.3626709999999999E-4</v>
      </c>
      <c r="AA4564">
        <v>0.99986249999999999</v>
      </c>
      <c r="AB4564">
        <v>46</v>
      </c>
      <c r="AC4564">
        <v>-24.1982999999999</v>
      </c>
      <c r="AD4564">
        <v>-1.109760262647</v>
      </c>
      <c r="AE4564">
        <v>0.42900000000000199</v>
      </c>
      <c r="AF4564">
        <v>0.40847908104335101</v>
      </c>
      <c r="AG4564">
        <v>-1.109760262647</v>
      </c>
      <c r="AH4564">
        <v>24.147867809209199</v>
      </c>
      <c r="AI4564">
        <v>92.630907052052095</v>
      </c>
      <c r="AJ4564">
        <v>89.030891852330797</v>
      </c>
      <c r="AK4564">
        <v>24.176805883557901</v>
      </c>
      <c r="AL4564">
        <v>78.838988297480697</v>
      </c>
      <c r="AM4564">
        <v>85.907663199530504</v>
      </c>
      <c r="AN4564">
        <v>1.00000004305618</v>
      </c>
    </row>
    <row r="4565" spans="1:40" x14ac:dyDescent="0.25">
      <c r="A4565" t="str">
        <f>"20190312164119202"</f>
        <v>20190312164119202</v>
      </c>
      <c r="B4565" t="str">
        <f>"1552380079190491"</f>
        <v>1552380079190491</v>
      </c>
      <c r="C4565" t="s">
        <v>40</v>
      </c>
      <c r="D4565">
        <v>5.1083829999999999</v>
      </c>
      <c r="E4565">
        <v>0.4647925</v>
      </c>
      <c r="F4565" t="s">
        <v>50</v>
      </c>
      <c r="G4565">
        <v>-315.04180000000002</v>
      </c>
      <c r="H4565" s="1">
        <v>-8.122264E-6</v>
      </c>
      <c r="I4565">
        <v>141.71969999999999</v>
      </c>
      <c r="J4565">
        <v>-290.94880000000001</v>
      </c>
      <c r="K4565">
        <v>1.1097779999999999</v>
      </c>
      <c r="L4565">
        <v>141.31530000000001</v>
      </c>
      <c r="M4565">
        <v>-0.99989360000000005</v>
      </c>
      <c r="N4565">
        <v>0</v>
      </c>
      <c r="O4565">
        <v>9.5273470000000002E-4</v>
      </c>
      <c r="P4565">
        <v>-0.98111029999999999</v>
      </c>
      <c r="Q4565">
        <v>0.18024480000000001</v>
      </c>
      <c r="R4565">
        <v>7.0246199999999995E-2</v>
      </c>
      <c r="S4565">
        <v>-3.0792540000000002</v>
      </c>
      <c r="T4565">
        <v>-0.13925499999999999</v>
      </c>
      <c r="U4565">
        <v>5.0811769999999999E-2</v>
      </c>
      <c r="V4565">
        <v>6.942197E-2</v>
      </c>
      <c r="W4565">
        <v>0.194471</v>
      </c>
      <c r="X4565">
        <v>0.9784486</v>
      </c>
      <c r="Y4565">
        <v>1.553147E-2</v>
      </c>
      <c r="Z4565">
        <v>3.0792580000000002E-4</v>
      </c>
      <c r="AA4565">
        <v>0.99987939999999997</v>
      </c>
      <c r="AB4565">
        <v>46</v>
      </c>
      <c r="AC4565">
        <v>-24.093</v>
      </c>
      <c r="AD4565">
        <v>-1.109786122264</v>
      </c>
      <c r="AE4565">
        <v>0.404399999999981</v>
      </c>
      <c r="AF4565">
        <v>0.38063575583343601</v>
      </c>
      <c r="AG4565">
        <v>-1.109786122264</v>
      </c>
      <c r="AH4565">
        <v>24.042376538960902</v>
      </c>
      <c r="AI4565">
        <v>92.642542720000705</v>
      </c>
      <c r="AJ4565">
        <v>89.092976500615606</v>
      </c>
      <c r="AK4565">
        <v>24.070986237729599</v>
      </c>
      <c r="AL4565">
        <v>78.786177693361907</v>
      </c>
      <c r="AM4565">
        <v>85.941604378751606</v>
      </c>
      <c r="AN4565">
        <v>1.00000002130082</v>
      </c>
    </row>
    <row r="4566" spans="1:40" x14ac:dyDescent="0.25">
      <c r="A4566" t="str">
        <f>"20190312164119225"</f>
        <v>20190312164119225</v>
      </c>
      <c r="B4566" t="str">
        <f>"1552380079220747"</f>
        <v>1552380079220747</v>
      </c>
      <c r="C4566" t="s">
        <v>40</v>
      </c>
      <c r="D4566">
        <v>5.2005150000000002</v>
      </c>
      <c r="E4566">
        <v>0.46392280000000002</v>
      </c>
      <c r="F4566" t="s">
        <v>50</v>
      </c>
      <c r="G4566">
        <v>-308.87799999999999</v>
      </c>
      <c r="H4566" s="1">
        <v>-9.6622629999999994E-6</v>
      </c>
      <c r="I4566">
        <v>140.7286</v>
      </c>
      <c r="J4566">
        <v>-291.43</v>
      </c>
      <c r="K4566">
        <v>1.109802</v>
      </c>
      <c r="L4566">
        <v>141.3159</v>
      </c>
      <c r="M4566">
        <v>-0.99989139999999999</v>
      </c>
      <c r="N4566">
        <v>0</v>
      </c>
      <c r="O4566">
        <v>1.100113E-3</v>
      </c>
      <c r="P4566">
        <v>-0.98106300000000002</v>
      </c>
      <c r="Q4566">
        <v>0.1806268</v>
      </c>
      <c r="R4566">
        <v>6.9926249999999995E-2</v>
      </c>
      <c r="S4566">
        <v>-3.10025</v>
      </c>
      <c r="T4566">
        <v>-0.19190070000000001</v>
      </c>
      <c r="U4566">
        <v>-0.1014557</v>
      </c>
      <c r="V4566">
        <v>6.8953449999999999E-2</v>
      </c>
      <c r="W4566">
        <v>0.19500000000000001</v>
      </c>
      <c r="X4566">
        <v>0.97837640000000003</v>
      </c>
      <c r="Y4566">
        <v>-3.3740510000000001E-2</v>
      </c>
      <c r="Z4566">
        <v>-1.110986E-3</v>
      </c>
      <c r="AA4566">
        <v>0.99943000000000004</v>
      </c>
      <c r="AB4566">
        <v>46</v>
      </c>
      <c r="AC4566">
        <v>-17.447999999999901</v>
      </c>
      <c r="AD4566">
        <v>-1.1098116622630001</v>
      </c>
      <c r="AE4566">
        <v>-0.58729999999999905</v>
      </c>
      <c r="AF4566">
        <v>-0.60405535191951798</v>
      </c>
      <c r="AG4566">
        <v>-1.1098116622630001</v>
      </c>
      <c r="AH4566">
        <v>17.377118032314701</v>
      </c>
      <c r="AI4566">
        <v>93.652104543352905</v>
      </c>
      <c r="AJ4566">
        <v>91.990887779206005</v>
      </c>
      <c r="AK4566">
        <v>17.422996180418401</v>
      </c>
      <c r="AL4566">
        <v>78.755276170363601</v>
      </c>
      <c r="AM4566">
        <v>85.968606874509803</v>
      </c>
      <c r="AN4566">
        <v>0.99999997917193095</v>
      </c>
    </row>
    <row r="4567" spans="1:40" x14ac:dyDescent="0.25">
      <c r="A4567" t="str">
        <f>"20190312164119248"</f>
        <v>20190312164119248</v>
      </c>
      <c r="B4567" t="str">
        <f>"1552380079240775"</f>
        <v>1552380079240775</v>
      </c>
      <c r="C4567" t="s">
        <v>40</v>
      </c>
      <c r="D4567">
        <v>5.1827709999999998</v>
      </c>
      <c r="E4567">
        <v>0.46498590000000001</v>
      </c>
      <c r="F4567" t="s">
        <v>50</v>
      </c>
      <c r="G4567">
        <v>-311.29349999999999</v>
      </c>
      <c r="H4567" s="1">
        <v>-9.2485279999999996E-6</v>
      </c>
      <c r="I4567">
        <v>140.6198</v>
      </c>
      <c r="J4567">
        <v>-291.89609999999999</v>
      </c>
      <c r="K4567">
        <v>1.10982</v>
      </c>
      <c r="L4567">
        <v>141.31649999999999</v>
      </c>
      <c r="M4567">
        <v>-0.99988929999999998</v>
      </c>
      <c r="N4567">
        <v>0</v>
      </c>
      <c r="O4567">
        <v>1.2407550000000001E-3</v>
      </c>
      <c r="P4567">
        <v>-0.98089800000000005</v>
      </c>
      <c r="Q4567">
        <v>0.1817752</v>
      </c>
      <c r="R4567">
        <v>6.9260169999999996E-2</v>
      </c>
      <c r="S4567">
        <v>-3.0975039999999998</v>
      </c>
      <c r="T4567">
        <v>-0.173064</v>
      </c>
      <c r="U4567">
        <v>-0.10855099999999999</v>
      </c>
      <c r="V4567">
        <v>6.8146680000000001E-2</v>
      </c>
      <c r="W4567">
        <v>0.1962719</v>
      </c>
      <c r="X4567">
        <v>0.97817860000000001</v>
      </c>
      <c r="Y4567">
        <v>-3.6204960000000001E-2</v>
      </c>
      <c r="Z4567">
        <v>-1.0795819999999999E-3</v>
      </c>
      <c r="AA4567">
        <v>0.9993438</v>
      </c>
      <c r="AB4567">
        <v>46</v>
      </c>
      <c r="AC4567">
        <v>-19.397400000000001</v>
      </c>
      <c r="AD4567">
        <v>-1.1098292485279999</v>
      </c>
      <c r="AE4567">
        <v>-0.69669999999999199</v>
      </c>
      <c r="AF4567">
        <v>-0.71842074032784897</v>
      </c>
      <c r="AG4567">
        <v>-1.1098292485279999</v>
      </c>
      <c r="AH4567">
        <v>19.333312592804599</v>
      </c>
      <c r="AI4567">
        <v>93.283198740303803</v>
      </c>
      <c r="AJ4567">
        <v>92.128116714388298</v>
      </c>
      <c r="AK4567">
        <v>19.378462919749801</v>
      </c>
      <c r="AL4567">
        <v>78.680965981647603</v>
      </c>
      <c r="AM4567">
        <v>86.0148191202249</v>
      </c>
      <c r="AN4567">
        <v>1.0000000011112899</v>
      </c>
    </row>
    <row r="4568" spans="1:40" x14ac:dyDescent="0.25">
      <c r="A4568" t="str">
        <f>"20190312164119271"</f>
        <v>20190312164119271</v>
      </c>
      <c r="B4568" t="str">
        <f>"1552380079260295"</f>
        <v>1552380079260295</v>
      </c>
      <c r="C4568" t="s">
        <v>40</v>
      </c>
      <c r="D4568">
        <v>5.1727359999999996</v>
      </c>
      <c r="E4568">
        <v>0.46557110000000002</v>
      </c>
      <c r="F4568" t="s">
        <v>50</v>
      </c>
      <c r="G4568">
        <v>-314.02940000000001</v>
      </c>
      <c r="H4568" s="1">
        <v>-8.2108490000000001E-6</v>
      </c>
      <c r="I4568">
        <v>140.59039999999999</v>
      </c>
      <c r="J4568">
        <v>-292.358</v>
      </c>
      <c r="K4568">
        <v>1.1098399999999999</v>
      </c>
      <c r="L4568">
        <v>141.31720000000001</v>
      </c>
      <c r="M4568">
        <v>-0.99988750000000004</v>
      </c>
      <c r="N4568">
        <v>0</v>
      </c>
      <c r="O4568">
        <v>1.378673E-3</v>
      </c>
      <c r="P4568">
        <v>-0.98073889999999997</v>
      </c>
      <c r="Q4568">
        <v>0.18264250000000001</v>
      </c>
      <c r="R4568">
        <v>6.9231929999999997E-2</v>
      </c>
      <c r="S4568">
        <v>-3.0943299999999998</v>
      </c>
      <c r="T4568">
        <v>-0.15515880000000001</v>
      </c>
      <c r="U4568">
        <v>-0.1015167</v>
      </c>
      <c r="V4568">
        <v>6.7981020000000003E-2</v>
      </c>
      <c r="W4568">
        <v>0.19724530000000001</v>
      </c>
      <c r="X4568">
        <v>0.97799429999999998</v>
      </c>
      <c r="Y4568">
        <v>-3.4123189999999998E-2</v>
      </c>
      <c r="Z4568">
        <v>-9.2382860000000001E-4</v>
      </c>
      <c r="AA4568">
        <v>0.99941720000000001</v>
      </c>
      <c r="AB4568">
        <v>46</v>
      </c>
      <c r="AC4568">
        <v>-21.671399999999998</v>
      </c>
      <c r="AD4568">
        <v>-1.109848210849</v>
      </c>
      <c r="AE4568">
        <v>-0.72680000000002498</v>
      </c>
      <c r="AF4568">
        <v>-0.75470325890677403</v>
      </c>
      <c r="AG4568">
        <v>-1.109848210849</v>
      </c>
      <c r="AH4568">
        <v>21.613753959757901</v>
      </c>
      <c r="AI4568">
        <v>92.937721439193396</v>
      </c>
      <c r="AJ4568">
        <v>91.999826151675705</v>
      </c>
      <c r="AK4568">
        <v>21.655385018352298</v>
      </c>
      <c r="AL4568">
        <v>78.624082165185897</v>
      </c>
      <c r="AM4568">
        <v>86.023728953342797</v>
      </c>
      <c r="AN4568">
        <v>0.99999998914240995</v>
      </c>
    </row>
    <row r="4569" spans="1:40" x14ac:dyDescent="0.25">
      <c r="A4569" t="str">
        <f>"20190312164119291"</f>
        <v>20190312164119291</v>
      </c>
      <c r="B4569" t="str">
        <f>"1552380079280790"</f>
        <v>1552380079280790</v>
      </c>
      <c r="C4569" t="s">
        <v>40</v>
      </c>
      <c r="D4569">
        <v>5.0895820000000001</v>
      </c>
      <c r="E4569">
        <v>0.46611710000000001</v>
      </c>
      <c r="F4569" t="s">
        <v>50</v>
      </c>
      <c r="G4569">
        <v>-314.57</v>
      </c>
      <c r="H4569" s="1">
        <v>-8.0164319999999992E-6</v>
      </c>
      <c r="I4569">
        <v>140.62479999999999</v>
      </c>
      <c r="J4569">
        <v>-292.78320000000002</v>
      </c>
      <c r="K4569">
        <v>1.1098539999999999</v>
      </c>
      <c r="L4569">
        <v>141.31790000000001</v>
      </c>
      <c r="M4569">
        <v>-0.99988600000000005</v>
      </c>
      <c r="N4569">
        <v>0</v>
      </c>
      <c r="O4569">
        <v>1.5053179999999901E-3</v>
      </c>
      <c r="P4569">
        <v>-0.98069329999999999</v>
      </c>
      <c r="Q4569">
        <v>0.18321000000000001</v>
      </c>
      <c r="R4569">
        <v>6.8374939999999995E-2</v>
      </c>
      <c r="S4569">
        <v>-3.0945130000000001</v>
      </c>
      <c r="T4569">
        <v>-0.15462100000000001</v>
      </c>
      <c r="U4569">
        <v>-9.6466060000000006E-2</v>
      </c>
      <c r="V4569">
        <v>6.6997829999999994E-2</v>
      </c>
      <c r="W4569">
        <v>0.1978992</v>
      </c>
      <c r="X4569">
        <v>0.97793010000000002</v>
      </c>
      <c r="Y4569">
        <v>-3.2620320000000001E-2</v>
      </c>
      <c r="Z4569">
        <v>-8.8940989999999995E-4</v>
      </c>
      <c r="AA4569">
        <v>0.99946740000000001</v>
      </c>
      <c r="AB4569">
        <v>46</v>
      </c>
      <c r="AC4569">
        <v>-21.7867999999999</v>
      </c>
      <c r="AD4569">
        <v>-1.1098620164319899</v>
      </c>
      <c r="AE4569">
        <v>-0.69310000000001504</v>
      </c>
      <c r="AF4569">
        <v>-0.72402198197719703</v>
      </c>
      <c r="AG4569">
        <v>-1.1098620164319899</v>
      </c>
      <c r="AH4569">
        <v>21.729399295472401</v>
      </c>
      <c r="AI4569">
        <v>92.922308986572105</v>
      </c>
      <c r="AJ4569">
        <v>91.908385115924901</v>
      </c>
      <c r="AK4569">
        <v>21.769767919479101</v>
      </c>
      <c r="AL4569">
        <v>78.585863697986397</v>
      </c>
      <c r="AM4569">
        <v>86.080799647754901</v>
      </c>
      <c r="AN4569">
        <v>1.00000004153567</v>
      </c>
    </row>
    <row r="4570" spans="1:40" x14ac:dyDescent="0.25">
      <c r="A4570" t="str">
        <f>"20190312164119313"</f>
        <v>20190312164119313</v>
      </c>
      <c r="B4570" t="str">
        <f>"1552380079311046"</f>
        <v>1552380079311046</v>
      </c>
      <c r="C4570" t="s">
        <v>40</v>
      </c>
      <c r="D4570">
        <v>5.009684</v>
      </c>
      <c r="E4570">
        <v>0.4660743</v>
      </c>
      <c r="F4570" t="s">
        <v>50</v>
      </c>
      <c r="G4570">
        <v>-315.3818</v>
      </c>
      <c r="H4570" s="1">
        <v>-7.6829719999999992E-6</v>
      </c>
      <c r="I4570">
        <v>140.62690000000001</v>
      </c>
      <c r="J4570">
        <v>-293.23739999999998</v>
      </c>
      <c r="K4570">
        <v>1.1098699999999999</v>
      </c>
      <c r="L4570">
        <v>141.31870000000001</v>
      </c>
      <c r="M4570">
        <v>-0.99988440000000001</v>
      </c>
      <c r="N4570">
        <v>0</v>
      </c>
      <c r="O4570">
        <v>1.6405910000000001E-3</v>
      </c>
      <c r="P4570">
        <v>-0.98062039999999995</v>
      </c>
      <c r="Q4570">
        <v>0.18371009999999999</v>
      </c>
      <c r="R4570">
        <v>6.8076510000000007E-2</v>
      </c>
      <c r="S4570">
        <v>-3.0940249999999998</v>
      </c>
      <c r="T4570">
        <v>-0.1519537</v>
      </c>
      <c r="U4570">
        <v>-9.4604489999999999E-2</v>
      </c>
      <c r="V4570">
        <v>6.6564990000000004E-2</v>
      </c>
      <c r="W4570">
        <v>0.1984793</v>
      </c>
      <c r="X4570">
        <v>0.97784199999999999</v>
      </c>
      <c r="Y4570">
        <v>-3.2161509999999997E-2</v>
      </c>
      <c r="Z4570">
        <v>-8.6961320000000005E-4</v>
      </c>
      <c r="AA4570">
        <v>0.99948230000000005</v>
      </c>
      <c r="AB4570">
        <v>46</v>
      </c>
      <c r="AC4570">
        <v>-22.144400000000001</v>
      </c>
      <c r="AD4570">
        <v>-1.1098776829719901</v>
      </c>
      <c r="AE4570">
        <v>-0.69179999999999997</v>
      </c>
      <c r="AF4570">
        <v>-0.72631039900064198</v>
      </c>
      <c r="AG4570">
        <v>-1.1098776829719901</v>
      </c>
      <c r="AH4570">
        <v>22.087804281878</v>
      </c>
      <c r="AI4570">
        <v>92.875052706674097</v>
      </c>
      <c r="AJ4570">
        <v>91.883371051517102</v>
      </c>
      <c r="AK4570">
        <v>22.127594836796099</v>
      </c>
      <c r="AL4570">
        <v>78.551952752959494</v>
      </c>
      <c r="AM4570">
        <v>86.105691773087699</v>
      </c>
      <c r="AN4570">
        <v>0.99999995369309302</v>
      </c>
    </row>
    <row r="4571" spans="1:40" x14ac:dyDescent="0.25">
      <c r="A4571" t="str">
        <f>"20190312164119336"</f>
        <v>20190312164119336</v>
      </c>
      <c r="B4571" t="str">
        <f>"1552380079330566"</f>
        <v>1552380079330566</v>
      </c>
      <c r="C4571" t="s">
        <v>40</v>
      </c>
      <c r="D4571">
        <v>5.0890360000000001</v>
      </c>
      <c r="E4571">
        <v>0.46651179999999898</v>
      </c>
      <c r="F4571" t="s">
        <v>50</v>
      </c>
      <c r="G4571">
        <v>-315.5394</v>
      </c>
      <c r="H4571" s="1">
        <v>-7.6127809999999999E-6</v>
      </c>
      <c r="I4571">
        <v>140.62569999999999</v>
      </c>
      <c r="J4571">
        <v>-293.7054</v>
      </c>
      <c r="K4571">
        <v>1.109877</v>
      </c>
      <c r="L4571">
        <v>141.31950000000001</v>
      </c>
      <c r="M4571">
        <v>-0.99988319999999997</v>
      </c>
      <c r="N4571">
        <v>0</v>
      </c>
      <c r="O4571">
        <v>1.7797500000000001E-3</v>
      </c>
      <c r="P4571">
        <v>-0.98048029999999997</v>
      </c>
      <c r="Q4571">
        <v>0.184669</v>
      </c>
      <c r="R4571">
        <v>6.7496899999999999E-2</v>
      </c>
      <c r="S4571">
        <v>-3.0948180000000001</v>
      </c>
      <c r="T4571">
        <v>-0.15401589999999901</v>
      </c>
      <c r="U4571">
        <v>-9.6160889999999999E-2</v>
      </c>
      <c r="V4571">
        <v>6.584748E-2</v>
      </c>
      <c r="W4571">
        <v>0.1995073</v>
      </c>
      <c r="X4571">
        <v>0.97768140000000003</v>
      </c>
      <c r="Y4571">
        <v>-3.27929E-2</v>
      </c>
      <c r="Z4571">
        <v>-9.037858E-4</v>
      </c>
      <c r="AA4571">
        <v>0.99946179999999996</v>
      </c>
      <c r="AB4571">
        <v>46</v>
      </c>
      <c r="AC4571">
        <v>-21.834</v>
      </c>
      <c r="AD4571">
        <v>-1.109884612781</v>
      </c>
      <c r="AE4571">
        <v>-0.69380000000000996</v>
      </c>
      <c r="AF4571">
        <v>-0.73077603465840002</v>
      </c>
      <c r="AG4571">
        <v>-1.109884612781</v>
      </c>
      <c r="AH4571">
        <v>21.776517167285601</v>
      </c>
      <c r="AI4571">
        <v>92.916033027349101</v>
      </c>
      <c r="AJ4571">
        <v>91.922009638358205</v>
      </c>
      <c r="AK4571">
        <v>21.817024943919499</v>
      </c>
      <c r="AL4571">
        <v>78.491851080053905</v>
      </c>
      <c r="AM4571">
        <v>86.146910859510797</v>
      </c>
      <c r="AN4571">
        <v>0.99999998664080003</v>
      </c>
    </row>
    <row r="4572" spans="1:40" x14ac:dyDescent="0.25">
      <c r="A4572" t="str">
        <f>"20190312164119359"</f>
        <v>20190312164119359</v>
      </c>
      <c r="B4572" t="str">
        <f>"1552380079350593"</f>
        <v>1552380079350593</v>
      </c>
      <c r="C4572" t="s">
        <v>40</v>
      </c>
      <c r="D4572">
        <v>5.136978</v>
      </c>
      <c r="E4572">
        <v>0.46693380000000001</v>
      </c>
      <c r="F4572" t="s">
        <v>50</v>
      </c>
      <c r="G4572">
        <v>-317.1789</v>
      </c>
      <c r="H4572" s="1">
        <v>-6.8802450000000004E-6</v>
      </c>
      <c r="I4572">
        <v>140.60489999999999</v>
      </c>
      <c r="J4572">
        <v>-294.17489999999998</v>
      </c>
      <c r="K4572">
        <v>1.10989</v>
      </c>
      <c r="L4572">
        <v>141.32050000000001</v>
      </c>
      <c r="M4572">
        <v>-0.99988189999999999</v>
      </c>
      <c r="N4572">
        <v>0</v>
      </c>
      <c r="O4572">
        <v>1.9197120000000001E-3</v>
      </c>
      <c r="P4572">
        <v>-0.98032339999999996</v>
      </c>
      <c r="Q4572">
        <v>0.18556610000000001</v>
      </c>
      <c r="R4572">
        <v>6.7316089999999995E-2</v>
      </c>
      <c r="S4572">
        <v>-3.09375</v>
      </c>
      <c r="T4572">
        <v>-0.1462802</v>
      </c>
      <c r="U4572">
        <v>-9.4192499999999998E-2</v>
      </c>
      <c r="V4572">
        <v>6.5528649999999994E-2</v>
      </c>
      <c r="W4572">
        <v>0.20046320000000001</v>
      </c>
      <c r="X4572">
        <v>0.97750729999999997</v>
      </c>
      <c r="Y4572">
        <v>-3.231274E-2</v>
      </c>
      <c r="Z4572">
        <v>-8.540186E-4</v>
      </c>
      <c r="AA4572">
        <v>0.99947739999999996</v>
      </c>
      <c r="AB4572">
        <v>46</v>
      </c>
      <c r="AC4572">
        <v>-23.004000000000001</v>
      </c>
      <c r="AD4572">
        <v>-1.109896880245</v>
      </c>
      <c r="AE4572">
        <v>-0.715600000000023</v>
      </c>
      <c r="AF4572">
        <v>-0.75800204694068896</v>
      </c>
      <c r="AG4572">
        <v>-1.109896880245</v>
      </c>
      <c r="AH4572">
        <v>22.9492125812856</v>
      </c>
      <c r="AI4572">
        <v>92.767341862060405</v>
      </c>
      <c r="AJ4572">
        <v>91.891765779797296</v>
      </c>
      <c r="AK4572">
        <v>22.988536192828398</v>
      </c>
      <c r="AL4572">
        <v>78.435953109938595</v>
      </c>
      <c r="AM4572">
        <v>86.1648306130636</v>
      </c>
      <c r="AN4572">
        <v>1.0000000100391699</v>
      </c>
    </row>
    <row r="4573" spans="1:40" x14ac:dyDescent="0.25">
      <c r="A4573" t="str">
        <f>"20190312164119379"</f>
        <v>20190312164119379</v>
      </c>
      <c r="B4573" t="str">
        <f>"1552380079371093"</f>
        <v>1552380079371093</v>
      </c>
      <c r="C4573" t="s">
        <v>40</v>
      </c>
      <c r="D4573">
        <v>5.186375</v>
      </c>
      <c r="E4573">
        <v>0.46699770000000002</v>
      </c>
      <c r="F4573" t="s">
        <v>50</v>
      </c>
      <c r="G4573">
        <v>-318.7509</v>
      </c>
      <c r="H4573" s="1">
        <v>-6.1803620000000004E-6</v>
      </c>
      <c r="I4573">
        <v>140.5943</v>
      </c>
      <c r="J4573">
        <v>-294.59870000000001</v>
      </c>
      <c r="K4573">
        <v>1.109899</v>
      </c>
      <c r="L4573">
        <v>141.32140000000001</v>
      </c>
      <c r="M4573">
        <v>-0.99988100000000002</v>
      </c>
      <c r="N4573">
        <v>0</v>
      </c>
      <c r="O4573">
        <v>2.0452510000000001E-3</v>
      </c>
      <c r="P4573">
        <v>-0.98025620000000002</v>
      </c>
      <c r="Q4573">
        <v>0.1860327</v>
      </c>
      <c r="R4573">
        <v>6.7005930000000005E-2</v>
      </c>
      <c r="S4573">
        <v>-3.0929570000000002</v>
      </c>
      <c r="T4573">
        <v>-0.139684</v>
      </c>
      <c r="U4573">
        <v>-9.1384889999999996E-2</v>
      </c>
      <c r="V4573">
        <v>6.5094479999999996E-2</v>
      </c>
      <c r="W4573">
        <v>0.20097609999999999</v>
      </c>
      <c r="X4573">
        <v>0.97743100000000005</v>
      </c>
      <c r="Y4573">
        <v>-3.154357E-2</v>
      </c>
      <c r="Z4573">
        <v>-8.0407869999999998E-4</v>
      </c>
      <c r="AA4573">
        <v>0.99950209999999995</v>
      </c>
      <c r="AB4573">
        <v>46</v>
      </c>
      <c r="AC4573">
        <v>-24.152200000000001</v>
      </c>
      <c r="AD4573">
        <v>-1.1099051803619999</v>
      </c>
      <c r="AE4573">
        <v>-0.72710000000000696</v>
      </c>
      <c r="AF4573">
        <v>-0.77486666300759999</v>
      </c>
      <c r="AG4573">
        <v>-1.1099051803619999</v>
      </c>
      <c r="AH4573">
        <v>24.0998136414652</v>
      </c>
      <c r="AI4573">
        <v>92.635506006548994</v>
      </c>
      <c r="AJ4573">
        <v>91.841561968228504</v>
      </c>
      <c r="AK4573">
        <v>24.1377986860481</v>
      </c>
      <c r="AL4573">
        <v>78.405955757066806</v>
      </c>
      <c r="AM4573">
        <v>86.189869499160807</v>
      </c>
      <c r="AN4573">
        <v>1.0000000219293399</v>
      </c>
    </row>
    <row r="4574" spans="1:40" x14ac:dyDescent="0.25">
      <c r="A4574" t="str">
        <f>"20190312164119402"</f>
        <v>20190312164119402</v>
      </c>
      <c r="B4574" t="str">
        <f>"1552380079390610"</f>
        <v>1552380079390610</v>
      </c>
      <c r="C4574" t="s">
        <v>40</v>
      </c>
      <c r="D4574">
        <v>5.1693689999999997</v>
      </c>
      <c r="E4574">
        <v>0.4673274</v>
      </c>
      <c r="F4574" t="s">
        <v>50</v>
      </c>
      <c r="G4574">
        <v>-318.79259999999999</v>
      </c>
      <c r="H4574" s="1">
        <v>-6.1642570000000003E-6</v>
      </c>
      <c r="I4574">
        <v>140.6035</v>
      </c>
      <c r="J4574">
        <v>-295.05040000000002</v>
      </c>
      <c r="K4574">
        <v>1.1099139999999901</v>
      </c>
      <c r="L4574">
        <v>141.32239999999999</v>
      </c>
      <c r="M4574">
        <v>-0.99987999999999999</v>
      </c>
      <c r="N4574">
        <v>0</v>
      </c>
      <c r="O4574">
        <v>2.1791100000000002E-3</v>
      </c>
      <c r="P4574">
        <v>-0.98014710000000005</v>
      </c>
      <c r="Q4574">
        <v>0.18684239999999999</v>
      </c>
      <c r="R4574">
        <v>6.6346790000000003E-2</v>
      </c>
      <c r="S4574">
        <v>-3.0936279999999998</v>
      </c>
      <c r="T4574">
        <v>-0.1419214</v>
      </c>
      <c r="U4574">
        <v>-9.1796879999999997E-2</v>
      </c>
      <c r="V4574">
        <v>6.4303799999999994E-2</v>
      </c>
      <c r="W4574">
        <v>0.2018276</v>
      </c>
      <c r="X4574">
        <v>0.97730790000000001</v>
      </c>
      <c r="Y4574">
        <v>-3.1802459999999998E-2</v>
      </c>
      <c r="Z4574">
        <v>-8.2883710000000005E-4</v>
      </c>
      <c r="AA4574">
        <v>0.99949379999999999</v>
      </c>
      <c r="AB4574">
        <v>46</v>
      </c>
      <c r="AC4574">
        <v>-23.742199999999901</v>
      </c>
      <c r="AD4574">
        <v>-1.10992016425699</v>
      </c>
      <c r="AE4574">
        <v>-0.71889999999998999</v>
      </c>
      <c r="AF4574">
        <v>-0.76896225261909901</v>
      </c>
      <c r="AG4574">
        <v>-1.10992016425699</v>
      </c>
      <c r="AH4574">
        <v>23.688853405442899</v>
      </c>
      <c r="AI4574">
        <v>92.681170767636999</v>
      </c>
      <c r="AJ4574">
        <v>91.859221541215305</v>
      </c>
      <c r="AK4574">
        <v>23.7273049751029</v>
      </c>
      <c r="AL4574">
        <v>78.3561480435053</v>
      </c>
      <c r="AM4574">
        <v>86.235543233332905</v>
      </c>
      <c r="AN4574">
        <v>1.0000000451093001</v>
      </c>
    </row>
    <row r="4575" spans="1:40" x14ac:dyDescent="0.25">
      <c r="A4575" t="str">
        <f>"20190312164119426"</f>
        <v>20190312164119426</v>
      </c>
      <c r="B4575" t="str">
        <f>"1552380079420865"</f>
        <v>1552380079420865</v>
      </c>
      <c r="C4575" t="s">
        <v>40</v>
      </c>
      <c r="D4575">
        <v>5.1926860000000001</v>
      </c>
      <c r="E4575">
        <v>0.46762939999999997</v>
      </c>
      <c r="F4575" t="s">
        <v>41</v>
      </c>
      <c r="G4575">
        <v>-320.15269999999998</v>
      </c>
      <c r="H4575" s="1">
        <v>-4.3960680000000001E-6</v>
      </c>
      <c r="I4575">
        <v>140.58600000000001</v>
      </c>
      <c r="J4575">
        <v>-295.54199999999997</v>
      </c>
      <c r="K4575">
        <v>1.109931</v>
      </c>
      <c r="L4575">
        <v>141.3236</v>
      </c>
      <c r="M4575">
        <v>-0.99987910000000002</v>
      </c>
      <c r="N4575">
        <v>0</v>
      </c>
      <c r="O4575">
        <v>2.3246199999999999E-3</v>
      </c>
      <c r="P4575">
        <v>-0.98009749999999995</v>
      </c>
      <c r="Q4575">
        <v>0.18733079999999999</v>
      </c>
      <c r="R4575">
        <v>6.5699270000000004E-2</v>
      </c>
      <c r="S4575">
        <v>-3.093048</v>
      </c>
      <c r="T4575">
        <v>-0.13676240000000001</v>
      </c>
      <c r="U4575">
        <v>-9.0728760000000006E-2</v>
      </c>
      <c r="V4575">
        <v>6.3513040000000007E-2</v>
      </c>
      <c r="W4575">
        <v>0.20235529999999999</v>
      </c>
      <c r="X4575">
        <v>0.97725050000000002</v>
      </c>
      <c r="Y4575">
        <v>-3.1611199999999999E-2</v>
      </c>
      <c r="Z4575">
        <v>-8.0109599999999995E-4</v>
      </c>
      <c r="AA4575">
        <v>0.9994999</v>
      </c>
      <c r="AB4575">
        <v>46</v>
      </c>
      <c r="AC4575">
        <v>-24.610699999999898</v>
      </c>
      <c r="AD4575">
        <v>-1.1099353960680001</v>
      </c>
      <c r="AE4575">
        <v>-0.73759999999998604</v>
      </c>
      <c r="AF4575">
        <v>-0.79320338011164104</v>
      </c>
      <c r="AG4575">
        <v>-1.1099353960680001</v>
      </c>
      <c r="AH4575">
        <v>24.559010846829501</v>
      </c>
      <c r="AI4575">
        <v>92.586353850555298</v>
      </c>
      <c r="AJ4575">
        <v>91.849887740577202</v>
      </c>
      <c r="AK4575">
        <v>24.5968726052796</v>
      </c>
      <c r="AL4575">
        <v>78.325276207041199</v>
      </c>
      <c r="AM4575">
        <v>86.281487248200804</v>
      </c>
      <c r="AN4575">
        <v>1.00000005671918</v>
      </c>
    </row>
    <row r="4576" spans="1:40" x14ac:dyDescent="0.25">
      <c r="A4576" t="str">
        <f>"20190312164119448"</f>
        <v>20190312164119448</v>
      </c>
      <c r="B4576" t="str">
        <f>"1552380079440892"</f>
        <v>1552380079440892</v>
      </c>
      <c r="C4576" t="s">
        <v>40</v>
      </c>
      <c r="D4576">
        <v>5.1059080000000003</v>
      </c>
      <c r="E4576">
        <v>0.46763569999999999</v>
      </c>
      <c r="F4576" t="s">
        <v>41</v>
      </c>
      <c r="G4576">
        <v>-321.60120000000001</v>
      </c>
      <c r="H4576" s="1">
        <v>-3.8377989999999997E-6</v>
      </c>
      <c r="I4576">
        <v>140.5651</v>
      </c>
      <c r="J4576">
        <v>-295.99970000000002</v>
      </c>
      <c r="K4576">
        <v>1.1099410000000001</v>
      </c>
      <c r="L4576">
        <v>141.32480000000001</v>
      </c>
      <c r="M4576">
        <v>-0.9998783</v>
      </c>
      <c r="N4576">
        <v>0</v>
      </c>
      <c r="O4576">
        <v>2.4600709999999999E-3</v>
      </c>
      <c r="P4576">
        <v>-0.98008300000000004</v>
      </c>
      <c r="Q4576">
        <v>0.18755759999999999</v>
      </c>
      <c r="R4576">
        <v>6.5268640000000003E-2</v>
      </c>
      <c r="S4576">
        <v>-3.0921940000000001</v>
      </c>
      <c r="T4576">
        <v>-0.131705399999999</v>
      </c>
      <c r="U4576">
        <v>-8.9996339999999994E-2</v>
      </c>
      <c r="V4576">
        <v>6.2949030000000003E-2</v>
      </c>
      <c r="W4576">
        <v>0.20261309999999999</v>
      </c>
      <c r="X4576">
        <v>0.97723349999999998</v>
      </c>
      <c r="Y4576">
        <v>-3.15205E-2</v>
      </c>
      <c r="Z4576">
        <v>-7.7555359999999999E-4</v>
      </c>
      <c r="AA4576">
        <v>0.99950280000000002</v>
      </c>
      <c r="AB4576">
        <v>46</v>
      </c>
      <c r="AC4576">
        <v>-25.601499999999898</v>
      </c>
      <c r="AD4576">
        <v>-1.109944837799</v>
      </c>
      <c r="AE4576">
        <v>-0.75970000000000903</v>
      </c>
      <c r="AF4576">
        <v>-0.82114459474760004</v>
      </c>
      <c r="AG4576">
        <v>-1.109944837799</v>
      </c>
      <c r="AH4576">
        <v>25.551568177653799</v>
      </c>
      <c r="AI4576">
        <v>92.486048843755896</v>
      </c>
      <c r="AJ4576">
        <v>91.840667183396903</v>
      </c>
      <c r="AK4576">
        <v>25.5888431220665</v>
      </c>
      <c r="AL4576">
        <v>78.310192016976401</v>
      </c>
      <c r="AM4576">
        <v>86.314353115013702</v>
      </c>
      <c r="AN4576">
        <v>0.99999998109590005</v>
      </c>
    </row>
    <row r="4577" spans="1:40" x14ac:dyDescent="0.25">
      <c r="A4577" t="str">
        <f>"20190312164119471"</f>
        <v>20190312164119471</v>
      </c>
      <c r="B4577" t="str">
        <f>"1552380079460413"</f>
        <v>1552380079460413</v>
      </c>
      <c r="C4577" t="s">
        <v>40</v>
      </c>
      <c r="D4577">
        <v>5.1120159999999997</v>
      </c>
      <c r="E4577">
        <v>0.4675069</v>
      </c>
      <c r="F4577" t="s">
        <v>41</v>
      </c>
      <c r="G4577">
        <v>-322.12830000000002</v>
      </c>
      <c r="H4577" s="1">
        <v>-3.6082480000000001E-6</v>
      </c>
      <c r="I4577">
        <v>140.5523</v>
      </c>
      <c r="J4577">
        <v>-296.45389999999998</v>
      </c>
      <c r="K4577">
        <v>1.109947</v>
      </c>
      <c r="L4577">
        <v>141.32599999999999</v>
      </c>
      <c r="M4577">
        <v>-0.99987760000000003</v>
      </c>
      <c r="N4577">
        <v>0</v>
      </c>
      <c r="O4577">
        <v>2.5943709999999998E-3</v>
      </c>
      <c r="P4577">
        <v>-0.98005059999999999</v>
      </c>
      <c r="Q4577">
        <v>0.1880529</v>
      </c>
      <c r="R4577">
        <v>6.4320240000000001E-2</v>
      </c>
      <c r="S4577">
        <v>-3.0921630000000002</v>
      </c>
      <c r="T4577">
        <v>-0.13135520000000001</v>
      </c>
      <c r="U4577">
        <v>-9.1415410000000002E-2</v>
      </c>
      <c r="V4577">
        <v>6.1868399999999997E-2</v>
      </c>
      <c r="W4577">
        <v>0.2031336</v>
      </c>
      <c r="X4577">
        <v>0.97719449999999997</v>
      </c>
      <c r="Y4577">
        <v>-3.2112839999999997E-2</v>
      </c>
      <c r="Z4577">
        <v>-7.9177030000000001E-4</v>
      </c>
      <c r="AA4577">
        <v>0.99948389999999998</v>
      </c>
      <c r="AB4577">
        <v>46</v>
      </c>
      <c r="AC4577">
        <v>-25.674399999999999</v>
      </c>
      <c r="AD4577">
        <v>-1.109950608248</v>
      </c>
      <c r="AE4577">
        <v>-0.77369999999999095</v>
      </c>
      <c r="AF4577">
        <v>-0.83874805562965105</v>
      </c>
      <c r="AG4577">
        <v>-1.109950608248</v>
      </c>
      <c r="AH4577">
        <v>25.624457698888602</v>
      </c>
      <c r="AI4577">
        <v>92.4789511353069</v>
      </c>
      <c r="AJ4577">
        <v>91.874754678233003</v>
      </c>
      <c r="AK4577">
        <v>25.662196340447998</v>
      </c>
      <c r="AL4577">
        <v>78.279736751416294</v>
      </c>
      <c r="AM4577">
        <v>86.377309542945696</v>
      </c>
      <c r="AN4577">
        <v>1.00000002459888</v>
      </c>
    </row>
    <row r="4578" spans="1:40" x14ac:dyDescent="0.25">
      <c r="A4578" t="str">
        <f>"20190312164119492"</f>
        <v>20190312164119492</v>
      </c>
      <c r="B4578" t="str">
        <f>"1552380079480909"</f>
        <v>1552380079480909</v>
      </c>
      <c r="C4578" t="s">
        <v>40</v>
      </c>
      <c r="D4578">
        <v>5.2005749999999997</v>
      </c>
      <c r="E4578">
        <v>0.46747280000000002</v>
      </c>
      <c r="F4578" t="s">
        <v>41</v>
      </c>
      <c r="G4578">
        <v>-322.32760000000002</v>
      </c>
      <c r="H4578" s="1">
        <v>-3.5162630000000002E-6</v>
      </c>
      <c r="I4578">
        <v>140.52780000000001</v>
      </c>
      <c r="J4578">
        <v>-296.89</v>
      </c>
      <c r="K4578">
        <v>1.109958</v>
      </c>
      <c r="L4578">
        <v>141.32730000000001</v>
      </c>
      <c r="M4578">
        <v>-0.99987689999999996</v>
      </c>
      <c r="N4578">
        <v>0</v>
      </c>
      <c r="O4578">
        <v>2.7232910000000001E-3</v>
      </c>
      <c r="P4578">
        <v>-0.97987230000000003</v>
      </c>
      <c r="Q4578">
        <v>0.18917990000000001</v>
      </c>
      <c r="R4578">
        <v>6.372941E-2</v>
      </c>
      <c r="S4578">
        <v>-3.092743</v>
      </c>
      <c r="T4578">
        <v>-0.1326753</v>
      </c>
      <c r="U4578">
        <v>-9.5397949999999995E-2</v>
      </c>
      <c r="V4578">
        <v>6.1151810000000001E-2</v>
      </c>
      <c r="W4578">
        <v>0.20427880000000001</v>
      </c>
      <c r="X4578">
        <v>0.9770008</v>
      </c>
      <c r="Y4578">
        <v>-3.3519979999999998E-2</v>
      </c>
      <c r="Z4578">
        <v>-8.3524399999999996E-4</v>
      </c>
      <c r="AA4578">
        <v>0.99943769999999998</v>
      </c>
      <c r="AB4578">
        <v>46</v>
      </c>
      <c r="AC4578">
        <v>-25.4376</v>
      </c>
      <c r="AD4578">
        <v>-1.1099615162630001</v>
      </c>
      <c r="AE4578">
        <v>-0.79949999999999399</v>
      </c>
      <c r="AF4578">
        <v>-0.86712992021008095</v>
      </c>
      <c r="AG4578">
        <v>-1.1099615162630001</v>
      </c>
      <c r="AH4578">
        <v>25.3870392731551</v>
      </c>
      <c r="AI4578">
        <v>92.5020105211551</v>
      </c>
      <c r="AJ4578">
        <v>91.956257155016203</v>
      </c>
      <c r="AK4578">
        <v>25.426082905607601</v>
      </c>
      <c r="AL4578">
        <v>78.212715661066298</v>
      </c>
      <c r="AM4578">
        <v>86.418451409624296</v>
      </c>
      <c r="AN4578">
        <v>0.999999967598177</v>
      </c>
    </row>
    <row r="4579" spans="1:40" x14ac:dyDescent="0.25">
      <c r="A4579" t="str">
        <f>"20190312164119515"</f>
        <v>20190312164119515</v>
      </c>
      <c r="B4579" t="str">
        <f>"1552380079511165"</f>
        <v>1552380079511165</v>
      </c>
      <c r="C4579" t="s">
        <v>40</v>
      </c>
      <c r="D4579">
        <v>5.9860980000000001</v>
      </c>
      <c r="E4579">
        <v>0.46754600000000002</v>
      </c>
      <c r="F4579" t="s">
        <v>41</v>
      </c>
      <c r="G4579">
        <v>-322.98559999999998</v>
      </c>
      <c r="H4579" s="1">
        <v>-3.22767E-6</v>
      </c>
      <c r="I4579">
        <v>140.50409999999999</v>
      </c>
      <c r="J4579">
        <v>-297.35289999999998</v>
      </c>
      <c r="K4579">
        <v>1.1099589999999999</v>
      </c>
      <c r="L4579">
        <v>141.32859999999999</v>
      </c>
      <c r="M4579">
        <v>-0.99987630000000005</v>
      </c>
      <c r="N4579">
        <v>0</v>
      </c>
      <c r="O4579">
        <v>2.8603349999999999E-3</v>
      </c>
      <c r="P4579">
        <v>-0.97983200000000004</v>
      </c>
      <c r="Q4579">
        <v>0.1896217</v>
      </c>
      <c r="R4579">
        <v>6.303214E-2</v>
      </c>
      <c r="S4579">
        <v>-3.0933229999999998</v>
      </c>
      <c r="T4579">
        <v>-0.13157269999999999</v>
      </c>
      <c r="U4579">
        <v>-9.7564700000000004E-2</v>
      </c>
      <c r="V4579">
        <v>6.0320060000000002E-2</v>
      </c>
      <c r="W4579">
        <v>0.204739</v>
      </c>
      <c r="X4579">
        <v>0.97695620000000005</v>
      </c>
      <c r="Y4579">
        <v>-3.4350260000000001E-2</v>
      </c>
      <c r="Z4579">
        <v>-8.5161639999999995E-4</v>
      </c>
      <c r="AA4579">
        <v>0.99940949999999995</v>
      </c>
      <c r="AB4579">
        <v>46</v>
      </c>
      <c r="AC4579">
        <v>-25.6327</v>
      </c>
      <c r="AD4579">
        <v>-1.1099622276700001</v>
      </c>
      <c r="AE4579">
        <v>-0.82450000000000001</v>
      </c>
      <c r="AF4579">
        <v>-0.89614486880094302</v>
      </c>
      <c r="AG4579">
        <v>-1.1099622276700001</v>
      </c>
      <c r="AH4579">
        <v>25.582316308701301</v>
      </c>
      <c r="AI4579">
        <v>92.482862713527197</v>
      </c>
      <c r="AJ4579">
        <v>92.006242587816104</v>
      </c>
      <c r="AK4579">
        <v>25.6220607971173</v>
      </c>
      <c r="AL4579">
        <v>78.185779119470098</v>
      </c>
      <c r="AM4579">
        <v>86.466880360314605</v>
      </c>
      <c r="AN4579">
        <v>0.999999992238921</v>
      </c>
    </row>
    <row r="4580" spans="1:40" x14ac:dyDescent="0.25">
      <c r="A4580" t="str">
        <f>"20190312164119538"</f>
        <v>20190312164119538</v>
      </c>
      <c r="B4580" t="str">
        <f>"1552380079530685"</f>
        <v>1552380079530685</v>
      </c>
      <c r="C4580" t="s">
        <v>40</v>
      </c>
      <c r="D4580">
        <v>5.1091170000000004</v>
      </c>
      <c r="E4580">
        <v>0.46772010000000003</v>
      </c>
      <c r="F4580" t="s">
        <v>41</v>
      </c>
      <c r="G4580">
        <v>-323.24369999999999</v>
      </c>
      <c r="H4580" s="1">
        <v>-3.1127400000000001E-6</v>
      </c>
      <c r="I4580">
        <v>140.48830000000001</v>
      </c>
      <c r="J4580">
        <v>-297.81849999999997</v>
      </c>
      <c r="K4580">
        <v>1.1099669999999999</v>
      </c>
      <c r="L4580">
        <v>141.33009999999999</v>
      </c>
      <c r="M4580">
        <v>-0.99987550000000003</v>
      </c>
      <c r="N4580">
        <v>0</v>
      </c>
      <c r="O4580">
        <v>2.998241E-3</v>
      </c>
      <c r="P4580">
        <v>-0.97984669999999896</v>
      </c>
      <c r="Q4580">
        <v>0.18972910000000001</v>
      </c>
      <c r="R4580">
        <v>6.247668E-2</v>
      </c>
      <c r="S4580">
        <v>-3.0938720000000002</v>
      </c>
      <c r="T4580">
        <v>-0.13263730000000001</v>
      </c>
      <c r="U4580">
        <v>-0.1004028</v>
      </c>
      <c r="V4580">
        <v>5.9629050000000003E-2</v>
      </c>
      <c r="W4580">
        <v>0.20486180000000001</v>
      </c>
      <c r="X4580">
        <v>0.97697290000000003</v>
      </c>
      <c r="Y4580">
        <v>-3.5396740000000003E-2</v>
      </c>
      <c r="Z4580">
        <v>-8.8666000000000005E-4</v>
      </c>
      <c r="AA4580">
        <v>0.99937299999999996</v>
      </c>
      <c r="AB4580">
        <v>45</v>
      </c>
      <c r="AC4580">
        <v>-25.4252</v>
      </c>
      <c r="AD4580">
        <v>-1.1099701127399999</v>
      </c>
      <c r="AE4580">
        <v>-0.84179999999997701</v>
      </c>
      <c r="AF4580">
        <v>-0.916291818632611</v>
      </c>
      <c r="AG4580">
        <v>-1.1099701127399999</v>
      </c>
      <c r="AH4580">
        <v>25.374254334755101</v>
      </c>
      <c r="AI4580">
        <v>92.503117452876893</v>
      </c>
      <c r="AJ4580">
        <v>92.068114046812298</v>
      </c>
      <c r="AK4580">
        <v>25.415042935098601</v>
      </c>
      <c r="AL4580">
        <v>78.178591094207903</v>
      </c>
      <c r="AM4580">
        <v>86.507313586582796</v>
      </c>
      <c r="AN4580">
        <v>1.0000000140187699</v>
      </c>
    </row>
    <row r="4581" spans="1:40" x14ac:dyDescent="0.25">
      <c r="A4581" t="str">
        <f>"20190312164119560"</f>
        <v>20190312164119560</v>
      </c>
      <c r="B4581" t="str">
        <f>"1552380079550711"</f>
        <v>1552380079550711</v>
      </c>
      <c r="C4581" t="s">
        <v>40</v>
      </c>
      <c r="D4581">
        <v>5.101858</v>
      </c>
      <c r="E4581">
        <v>0.46814060000000002</v>
      </c>
      <c r="F4581" t="s">
        <v>41</v>
      </c>
      <c r="G4581">
        <v>-323.88409999999999</v>
      </c>
      <c r="H4581" s="1">
        <v>-2.837111E-6</v>
      </c>
      <c r="I4581">
        <v>140.48480000000001</v>
      </c>
      <c r="J4581">
        <v>-298.25869999999998</v>
      </c>
      <c r="K4581">
        <v>1.1099760000000001</v>
      </c>
      <c r="L4581">
        <v>141.33150000000001</v>
      </c>
      <c r="M4581">
        <v>-0.99987510000000002</v>
      </c>
      <c r="N4581">
        <v>0</v>
      </c>
      <c r="O4581">
        <v>3.1286080000000002E-3</v>
      </c>
      <c r="P4581">
        <v>-0.97991170000000005</v>
      </c>
      <c r="Q4581">
        <v>0.1896593</v>
      </c>
      <c r="R4581">
        <v>6.1666459999999999E-2</v>
      </c>
      <c r="S4581">
        <v>-3.0935969999999999</v>
      </c>
      <c r="T4581">
        <v>-0.13173750000000001</v>
      </c>
      <c r="U4581">
        <v>-0.10031130000000001</v>
      </c>
      <c r="V4581">
        <v>5.8690579999999999E-2</v>
      </c>
      <c r="W4581">
        <v>0.20480490000000001</v>
      </c>
      <c r="X4581">
        <v>0.97704170000000001</v>
      </c>
      <c r="Y4581">
        <v>-3.5500629999999998E-2</v>
      </c>
      <c r="Z4581">
        <v>-8.8848780000000004E-4</v>
      </c>
      <c r="AA4581">
        <v>0.99936930000000002</v>
      </c>
      <c r="AB4581">
        <v>45</v>
      </c>
      <c r="AC4581">
        <v>-25.625399999999999</v>
      </c>
      <c r="AD4581">
        <v>-1.109978837111</v>
      </c>
      <c r="AE4581">
        <v>-0.84669999999999801</v>
      </c>
      <c r="AF4581">
        <v>-0.92514341189062199</v>
      </c>
      <c r="AG4581">
        <v>-1.109978837111</v>
      </c>
      <c r="AH4581">
        <v>25.5746933456353</v>
      </c>
      <c r="AI4581">
        <v>92.483538036767101</v>
      </c>
      <c r="AJ4581">
        <v>92.071724157499105</v>
      </c>
      <c r="AK4581">
        <v>25.615481316475002</v>
      </c>
      <c r="AL4581">
        <v>78.181922366391902</v>
      </c>
      <c r="AM4581">
        <v>86.562391737572398</v>
      </c>
      <c r="AN4581">
        <v>1.00000005739181</v>
      </c>
    </row>
    <row r="4582" spans="1:40" x14ac:dyDescent="0.25">
      <c r="A4582" t="str">
        <f>"20190312164119581"</f>
        <v>20190312164119581</v>
      </c>
      <c r="B4582" t="str">
        <f>"1552380079571211"</f>
        <v>1552380079571211</v>
      </c>
      <c r="C4582" t="s">
        <v>40</v>
      </c>
      <c r="D4582">
        <v>5.3708519999999904</v>
      </c>
      <c r="E4582">
        <v>0.49258570000000002</v>
      </c>
      <c r="F4582" t="s">
        <v>41</v>
      </c>
      <c r="G4582">
        <v>-324.35500000000002</v>
      </c>
      <c r="H4582" s="1">
        <v>-2.6364759999999998E-6</v>
      </c>
      <c r="I4582">
        <v>140.49019999999999</v>
      </c>
      <c r="J4582">
        <v>-298.6986</v>
      </c>
      <c r="K4582">
        <v>1.1099779999999999</v>
      </c>
      <c r="L4582">
        <v>141.333</v>
      </c>
      <c r="M4582">
        <v>-0.99987440000000005</v>
      </c>
      <c r="N4582">
        <v>0</v>
      </c>
      <c r="O4582">
        <v>3.2587549999999999E-3</v>
      </c>
      <c r="P4582">
        <v>-0.97983620000000005</v>
      </c>
      <c r="Q4582">
        <v>0.19008249999999999</v>
      </c>
      <c r="R4582">
        <v>6.156267E-2</v>
      </c>
      <c r="S4582">
        <v>-3.0932309999999998</v>
      </c>
      <c r="T4582">
        <v>-0.1315675</v>
      </c>
      <c r="U4582">
        <v>-9.9716189999999996E-2</v>
      </c>
      <c r="V4582">
        <v>5.8459289999999997E-2</v>
      </c>
      <c r="W4582">
        <v>0.20523659999999999</v>
      </c>
      <c r="X4582">
        <v>0.97696499999999997</v>
      </c>
      <c r="Y4582">
        <v>-3.5442479999999998E-2</v>
      </c>
      <c r="Z4582">
        <v>-8.9174679999999996E-4</v>
      </c>
      <c r="AA4582">
        <v>0.99937129999999996</v>
      </c>
      <c r="AB4582">
        <v>45</v>
      </c>
      <c r="AC4582">
        <v>-25.656400000000001</v>
      </c>
      <c r="AD4582">
        <v>-1.1099806364759901</v>
      </c>
      <c r="AE4582">
        <v>-0.84280000000001098</v>
      </c>
      <c r="AF4582">
        <v>-0.92468462494998505</v>
      </c>
      <c r="AG4582">
        <v>-1.1099806364759901</v>
      </c>
      <c r="AH4582">
        <v>25.605642164293201</v>
      </c>
      <c r="AI4582">
        <v>92.480549534421897</v>
      </c>
      <c r="AJ4582">
        <v>92.068197046295197</v>
      </c>
      <c r="AK4582">
        <v>25.646364446345999</v>
      </c>
      <c r="AL4582">
        <v>78.156651237277998</v>
      </c>
      <c r="AM4582">
        <v>86.575638314618203</v>
      </c>
      <c r="AN4582">
        <v>1.00000008089592</v>
      </c>
    </row>
    <row r="4583" spans="1:40" x14ac:dyDescent="0.25">
      <c r="A4583" t="str">
        <f>"20190312164119604"</f>
        <v>20190312164119604</v>
      </c>
      <c r="B4583" t="str">
        <f>"1552380079600488"</f>
        <v>1552380079600488</v>
      </c>
      <c r="C4583" t="s">
        <v>40</v>
      </c>
      <c r="D4583">
        <v>5.2605719999999998</v>
      </c>
      <c r="E4583">
        <v>0.49368450000000003</v>
      </c>
      <c r="F4583" t="s">
        <v>41</v>
      </c>
      <c r="G4583">
        <v>-330.2928</v>
      </c>
      <c r="H4583" s="1">
        <v>-5.0774739999999998E-6</v>
      </c>
      <c r="I4583">
        <v>142.31450000000001</v>
      </c>
      <c r="J4583">
        <v>-299.14370000000002</v>
      </c>
      <c r="K4583">
        <v>1.109982</v>
      </c>
      <c r="L4583">
        <v>141.33449999999999</v>
      </c>
      <c r="M4583">
        <v>-0.99987380000000003</v>
      </c>
      <c r="N4583">
        <v>0</v>
      </c>
      <c r="O4583">
        <v>3.3904669999999999E-3</v>
      </c>
      <c r="P4583">
        <v>-0.97975380000000001</v>
      </c>
      <c r="Q4583">
        <v>0.19067419999999999</v>
      </c>
      <c r="R4583">
        <v>6.1041560000000002E-2</v>
      </c>
      <c r="S4583">
        <v>-3.07666</v>
      </c>
      <c r="T4583">
        <v>-0.10809100000000001</v>
      </c>
      <c r="U4583">
        <v>9.5581050000000001E-2</v>
      </c>
      <c r="V4583">
        <v>5.7809520000000003E-2</v>
      </c>
      <c r="W4583">
        <v>0.20583480000000001</v>
      </c>
      <c r="X4583">
        <v>0.97687769999999996</v>
      </c>
      <c r="Y4583">
        <v>2.7647149999999999E-2</v>
      </c>
      <c r="Z4583">
        <v>3.663281E-4</v>
      </c>
      <c r="AA4583">
        <v>0.99961770000000005</v>
      </c>
      <c r="AB4583">
        <v>45</v>
      </c>
      <c r="AC4583">
        <v>-31.149099999999901</v>
      </c>
      <c r="AD4583">
        <v>-1.1099870774739999</v>
      </c>
      <c r="AE4583">
        <v>0.98000000000001797</v>
      </c>
      <c r="AF4583">
        <v>0.87326384968263404</v>
      </c>
      <c r="AG4583">
        <v>-1.1099870774739999</v>
      </c>
      <c r="AH4583">
        <v>31.112775180465299</v>
      </c>
      <c r="AI4583">
        <v>92.042428183231607</v>
      </c>
      <c r="AJ4583">
        <v>88.392261700693197</v>
      </c>
      <c r="AK4583">
        <v>31.144814022458</v>
      </c>
      <c r="AL4583">
        <v>78.121627870967501</v>
      </c>
      <c r="AM4583">
        <v>86.613308803848895</v>
      </c>
      <c r="AN4583">
        <v>0.99999997312547895</v>
      </c>
    </row>
    <row r="4584" spans="1:40" x14ac:dyDescent="0.25">
      <c r="A4584" t="str">
        <f>"20190312164119640"</f>
        <v>20190312164119640</v>
      </c>
      <c r="B4584" t="str">
        <f>"1552380079630744"</f>
        <v>1552380079630744</v>
      </c>
      <c r="C4584" t="s">
        <v>40</v>
      </c>
      <c r="D4584">
        <v>5.335026</v>
      </c>
      <c r="E4584">
        <v>0.49303010000000003</v>
      </c>
      <c r="F4584" t="s">
        <v>41</v>
      </c>
      <c r="G4584">
        <v>-325.2722</v>
      </c>
      <c r="H4584" s="1">
        <v>-2.6967930000000002E-6</v>
      </c>
      <c r="I4584">
        <v>142.19560000000001</v>
      </c>
      <c r="J4584">
        <v>-299.86340000000001</v>
      </c>
      <c r="K4584">
        <v>1.10999</v>
      </c>
      <c r="L4584">
        <v>141.3372</v>
      </c>
      <c r="M4584">
        <v>-0.99987289999999995</v>
      </c>
      <c r="N4584">
        <v>0</v>
      </c>
      <c r="O4584">
        <v>3.6037579999999999E-3</v>
      </c>
      <c r="P4584">
        <v>-0.979661</v>
      </c>
      <c r="Q4584">
        <v>0.19100790000000001</v>
      </c>
      <c r="R4584">
        <v>6.1485280000000003E-2</v>
      </c>
      <c r="S4584">
        <v>-3.0811459999999999</v>
      </c>
      <c r="T4584">
        <v>-0.1308926</v>
      </c>
      <c r="U4584">
        <v>0.1015472</v>
      </c>
      <c r="V4584">
        <v>5.8044230000000002E-2</v>
      </c>
      <c r="W4584">
        <v>0.2061759</v>
      </c>
      <c r="X4584">
        <v>0.97679190000000005</v>
      </c>
      <c r="Y4584">
        <v>2.9314119999999999E-2</v>
      </c>
      <c r="Z4584">
        <v>4.6920939999999997E-4</v>
      </c>
      <c r="AA4584">
        <v>0.99957010000000002</v>
      </c>
      <c r="AB4584">
        <v>45</v>
      </c>
      <c r="AC4584">
        <v>-25.4087999999999</v>
      </c>
      <c r="AD4584">
        <v>-1.1099926967930001</v>
      </c>
      <c r="AE4584">
        <v>0.85840000000001704</v>
      </c>
      <c r="AF4584">
        <v>0.76535726231698997</v>
      </c>
      <c r="AG4584">
        <v>-1.1099926967930001</v>
      </c>
      <c r="AH4584">
        <v>25.363380231090101</v>
      </c>
      <c r="AI4584">
        <v>92.504731650576602</v>
      </c>
      <c r="AJ4584">
        <v>88.271585342068903</v>
      </c>
      <c r="AK4584">
        <v>25.399191173593898</v>
      </c>
      <c r="AL4584">
        <v>78.101656526338303</v>
      </c>
      <c r="AM4584">
        <v>86.599292855019499</v>
      </c>
      <c r="AN4584">
        <v>1.0000000251413499</v>
      </c>
    </row>
    <row r="4585" spans="1:40" x14ac:dyDescent="0.25">
      <c r="A4585" t="str">
        <f>"20190312164119661"</f>
        <v>20190312164119661</v>
      </c>
      <c r="B4585" t="str">
        <f>"1552380079650770"</f>
        <v>1552380079650770</v>
      </c>
      <c r="C4585" t="s">
        <v>40</v>
      </c>
      <c r="D4585">
        <v>5.1909910000000004</v>
      </c>
      <c r="E4585">
        <v>0.49278359999999899</v>
      </c>
      <c r="F4585" t="s">
        <v>41</v>
      </c>
      <c r="G4585">
        <v>-327.61590000000001</v>
      </c>
      <c r="H4585" s="1">
        <v>-1.697776E-6</v>
      </c>
      <c r="I4585">
        <v>142.21979999999999</v>
      </c>
      <c r="J4585">
        <v>-300.30220000000003</v>
      </c>
      <c r="K4585">
        <v>1.109998</v>
      </c>
      <c r="L4585">
        <v>141.3389</v>
      </c>
      <c r="M4585">
        <v>-0.99987250000000005</v>
      </c>
      <c r="N4585">
        <v>0</v>
      </c>
      <c r="O4585">
        <v>3.7334759999999999E-3</v>
      </c>
      <c r="P4585">
        <v>-0.97962079999999996</v>
      </c>
      <c r="Q4585">
        <v>0.19104280000000001</v>
      </c>
      <c r="R4585">
        <v>6.2014140000000002E-2</v>
      </c>
      <c r="S4585">
        <v>-3.0801699999999999</v>
      </c>
      <c r="T4585">
        <v>-0.1231951</v>
      </c>
      <c r="U4585">
        <v>9.7961430000000002E-2</v>
      </c>
      <c r="V4585">
        <v>5.8445730000000001E-2</v>
      </c>
      <c r="W4585">
        <v>0.2062137</v>
      </c>
      <c r="X4585">
        <v>0.97675999999999996</v>
      </c>
      <c r="Y4585">
        <v>2.8036169999999999E-2</v>
      </c>
      <c r="Z4585">
        <v>4.1106150000000001E-4</v>
      </c>
      <c r="AA4585">
        <v>0.99960680000000002</v>
      </c>
      <c r="AB4585">
        <v>45</v>
      </c>
      <c r="AC4585">
        <v>-27.313699999999901</v>
      </c>
      <c r="AD4585">
        <v>-1.109999697776</v>
      </c>
      <c r="AE4585">
        <v>0.88089999999999602</v>
      </c>
      <c r="AF4585">
        <v>0.77762359431155903</v>
      </c>
      <c r="AG4585">
        <v>-1.109999697776</v>
      </c>
      <c r="AH4585">
        <v>27.271805590740598</v>
      </c>
      <c r="AI4585">
        <v>92.329784074423301</v>
      </c>
      <c r="AJ4585">
        <v>88.366720498618207</v>
      </c>
      <c r="AK4585">
        <v>27.305460588729201</v>
      </c>
      <c r="AL4585">
        <v>78.099443429281905</v>
      </c>
      <c r="AM4585">
        <v>86.575713906594004</v>
      </c>
      <c r="AN4585">
        <v>1.0000000455114599</v>
      </c>
    </row>
    <row r="4586" spans="1:40" x14ac:dyDescent="0.25">
      <c r="A4586" t="str">
        <f>"20190312164119682"</f>
        <v>20190312164119682</v>
      </c>
      <c r="B4586" t="str">
        <f>"1552380079670291"</f>
        <v>1552380079670291</v>
      </c>
      <c r="C4586" t="s">
        <v>40</v>
      </c>
      <c r="D4586">
        <v>5.209333</v>
      </c>
      <c r="E4586">
        <v>0.49199779999999999</v>
      </c>
      <c r="F4586" t="s">
        <v>41</v>
      </c>
      <c r="G4586">
        <v>-326.89690000000002</v>
      </c>
      <c r="H4586" s="1">
        <v>-1.994087E-6</v>
      </c>
      <c r="I4586">
        <v>142.17400000000001</v>
      </c>
      <c r="J4586">
        <v>-300.72149999999999</v>
      </c>
      <c r="K4586">
        <v>1.1100049999999999</v>
      </c>
      <c r="L4586">
        <v>141.34059999999999</v>
      </c>
      <c r="M4586">
        <v>-0.99987190000000004</v>
      </c>
      <c r="N4586">
        <v>0</v>
      </c>
      <c r="O4586">
        <v>3.8567639999999999E-3</v>
      </c>
      <c r="P4586">
        <v>-0.97959490000000005</v>
      </c>
      <c r="Q4586">
        <v>0.1910367</v>
      </c>
      <c r="R4586">
        <v>6.2441330000000003E-2</v>
      </c>
      <c r="S4586">
        <v>-3.0813600000000001</v>
      </c>
      <c r="T4586">
        <v>-0.1286091</v>
      </c>
      <c r="U4586">
        <v>9.6771239999999994E-2</v>
      </c>
      <c r="V4586">
        <v>5.8752070000000003E-2</v>
      </c>
      <c r="W4586">
        <v>0.20620949999999999</v>
      </c>
      <c r="X4586">
        <v>0.97674240000000001</v>
      </c>
      <c r="Y4586">
        <v>2.751375E-2</v>
      </c>
      <c r="Z4586">
        <v>4.1291039999999998E-4</v>
      </c>
      <c r="AA4586">
        <v>0.99962130000000005</v>
      </c>
      <c r="AB4586">
        <v>45</v>
      </c>
      <c r="AC4586">
        <v>-26.1754</v>
      </c>
      <c r="AD4586">
        <v>-1.1100069940870001</v>
      </c>
      <c r="AE4586">
        <v>0.83340000000001102</v>
      </c>
      <c r="AF4586">
        <v>0.73111583515552803</v>
      </c>
      <c r="AG4586">
        <v>-1.1100069940870001</v>
      </c>
      <c r="AH4586">
        <v>26.131474965645001</v>
      </c>
      <c r="AI4586">
        <v>92.4313848703936</v>
      </c>
      <c r="AJ4586">
        <v>88.397376092433703</v>
      </c>
      <c r="AK4586">
        <v>26.165256157191902</v>
      </c>
      <c r="AL4586">
        <v>78.099688080624802</v>
      </c>
      <c r="AM4586">
        <v>86.557746871930902</v>
      </c>
      <c r="AN4586">
        <v>0.99999993978864499</v>
      </c>
    </row>
    <row r="4587" spans="1:40" x14ac:dyDescent="0.25">
      <c r="A4587" t="str">
        <f>"20190312164119704"</f>
        <v>20190312164119704</v>
      </c>
      <c r="B4587" t="str">
        <f>"1552380079700547"</f>
        <v>1552380079700547</v>
      </c>
      <c r="C4587" t="s">
        <v>40</v>
      </c>
      <c r="D4587">
        <v>5.2437069999999997</v>
      </c>
      <c r="E4587">
        <v>0.49151729999999999</v>
      </c>
      <c r="F4587" t="s">
        <v>41</v>
      </c>
      <c r="G4587">
        <v>-327.96839999999997</v>
      </c>
      <c r="H4587" s="1">
        <v>-1.5273819999999999E-6</v>
      </c>
      <c r="I4587">
        <v>142.14769999999999</v>
      </c>
      <c r="J4587">
        <v>-301.17610000000002</v>
      </c>
      <c r="K4587">
        <v>1.11002</v>
      </c>
      <c r="L4587">
        <v>141.3424</v>
      </c>
      <c r="M4587">
        <v>-0.99987139999999997</v>
      </c>
      <c r="N4587">
        <v>0</v>
      </c>
      <c r="O4587">
        <v>3.9832210000000003E-3</v>
      </c>
      <c r="P4587">
        <v>-0.97953270000000003</v>
      </c>
      <c r="Q4587">
        <v>0.19135379999999999</v>
      </c>
      <c r="R4587">
        <v>6.2447259999999997E-2</v>
      </c>
      <c r="S4587">
        <v>-3.0811459999999999</v>
      </c>
      <c r="T4587">
        <v>-0.12552260000000001</v>
      </c>
      <c r="U4587">
        <v>9.1278079999999998E-2</v>
      </c>
      <c r="V4587">
        <v>5.8632690000000001E-2</v>
      </c>
      <c r="W4587">
        <v>0.20652770000000001</v>
      </c>
      <c r="X4587">
        <v>0.97668239999999995</v>
      </c>
      <c r="Y4587">
        <v>2.561161E-2</v>
      </c>
      <c r="Z4587">
        <v>3.591782E-4</v>
      </c>
      <c r="AA4587">
        <v>0.99967189999999995</v>
      </c>
      <c r="AB4587">
        <v>45</v>
      </c>
      <c r="AC4587">
        <v>-26.792299999999901</v>
      </c>
      <c r="AD4587">
        <v>-1.110021527382</v>
      </c>
      <c r="AE4587">
        <v>0.80529999999998803</v>
      </c>
      <c r="AF4587">
        <v>0.69736513493895103</v>
      </c>
      <c r="AG4587">
        <v>-1.110021527382</v>
      </c>
      <c r="AH4587">
        <v>26.749421646182999</v>
      </c>
      <c r="AI4587">
        <v>92.375435106119994</v>
      </c>
      <c r="AJ4587">
        <v>88.506620776792602</v>
      </c>
      <c r="AK4587">
        <v>26.7815239358772</v>
      </c>
      <c r="AL4587">
        <v>78.081056173006303</v>
      </c>
      <c r="AM4587">
        <v>86.564513984473393</v>
      </c>
      <c r="AN4587">
        <v>0.99999999683684204</v>
      </c>
    </row>
    <row r="4588" spans="1:40" x14ac:dyDescent="0.25">
      <c r="A4588" t="str">
        <f>"20190312164119727"</f>
        <v>20190312164119727</v>
      </c>
      <c r="B4588" t="str">
        <f>"1552380079721043"</f>
        <v>1552380079721043</v>
      </c>
      <c r="C4588" t="s">
        <v>40</v>
      </c>
      <c r="D4588">
        <v>5.3564800000000004</v>
      </c>
      <c r="E4588">
        <v>0.4912512</v>
      </c>
      <c r="F4588" t="s">
        <v>41</v>
      </c>
      <c r="G4588">
        <v>-327.61169999999998</v>
      </c>
      <c r="H4588" s="1">
        <v>-1.664211E-6</v>
      </c>
      <c r="I4588">
        <v>142.08680000000001</v>
      </c>
      <c r="J4588">
        <v>-301.63159999999999</v>
      </c>
      <c r="K4588">
        <v>1.110034</v>
      </c>
      <c r="L4588">
        <v>141.3443</v>
      </c>
      <c r="M4588">
        <v>-0.99987099999999995</v>
      </c>
      <c r="N4588">
        <v>0</v>
      </c>
      <c r="O4588">
        <v>4.0966070000000004E-3</v>
      </c>
      <c r="P4588">
        <v>-0.97939039999999999</v>
      </c>
      <c r="Q4588">
        <v>0.1918464</v>
      </c>
      <c r="R4588">
        <v>6.316331E-2</v>
      </c>
      <c r="S4588">
        <v>-3.0824280000000002</v>
      </c>
      <c r="T4588">
        <v>-0.129430399999999</v>
      </c>
      <c r="U4588">
        <v>8.6807250000000002E-2</v>
      </c>
      <c r="V4588">
        <v>5.923428E-2</v>
      </c>
      <c r="W4588">
        <v>0.20701990000000001</v>
      </c>
      <c r="X4588">
        <v>0.97654189999999996</v>
      </c>
      <c r="Y4588">
        <v>2.403754E-2</v>
      </c>
      <c r="Z4588">
        <v>3.3241960000000002E-4</v>
      </c>
      <c r="AA4588">
        <v>0.99971100000000002</v>
      </c>
      <c r="AB4588">
        <v>45</v>
      </c>
      <c r="AC4588">
        <v>-25.9801</v>
      </c>
      <c r="AD4588">
        <v>-1.1100356642110001</v>
      </c>
      <c r="AE4588">
        <v>0.74250000000000604</v>
      </c>
      <c r="AF4588">
        <v>0.63489259243946505</v>
      </c>
      <c r="AG4588">
        <v>-1.1100356642110001</v>
      </c>
      <c r="AH4588">
        <v>25.935616083416701</v>
      </c>
      <c r="AI4588">
        <v>92.4500113520388</v>
      </c>
      <c r="AJ4588">
        <v>88.597704320676499</v>
      </c>
      <c r="AK4588">
        <v>25.967122470657699</v>
      </c>
      <c r="AL4588">
        <v>78.052232438004395</v>
      </c>
      <c r="AM4588">
        <v>86.528852415154404</v>
      </c>
      <c r="AN4588">
        <v>1.0000000106893601</v>
      </c>
    </row>
    <row r="4589" spans="1:40" x14ac:dyDescent="0.25">
      <c r="A4589" t="str">
        <f>"20190312164119749"</f>
        <v>20190312164119749</v>
      </c>
      <c r="B4589" t="str">
        <f>"1552380079741070"</f>
        <v>1552380079741070</v>
      </c>
      <c r="C4589" t="s">
        <v>40</v>
      </c>
      <c r="D4589">
        <v>5.3095759999999999</v>
      </c>
      <c r="E4589">
        <v>0.49111860000000002</v>
      </c>
      <c r="F4589" t="s">
        <v>41</v>
      </c>
      <c r="G4589">
        <v>-329.50439999999998</v>
      </c>
      <c r="H4589" s="1">
        <v>-8.6390349999999999E-7</v>
      </c>
      <c r="I4589">
        <v>142.13050000000001</v>
      </c>
      <c r="J4589">
        <v>-302.07650000000001</v>
      </c>
      <c r="K4589">
        <v>1.1100490000000001</v>
      </c>
      <c r="L4589">
        <v>141.34630000000001</v>
      </c>
      <c r="M4589">
        <v>-0.9998705</v>
      </c>
      <c r="N4589">
        <v>0</v>
      </c>
      <c r="O4589">
        <v>4.1893950000000003E-3</v>
      </c>
      <c r="P4589">
        <v>-0.97932509999999995</v>
      </c>
      <c r="Q4589">
        <v>0.19202330000000001</v>
      </c>
      <c r="R4589">
        <v>6.3634940000000001E-2</v>
      </c>
      <c r="S4589">
        <v>-3.0815730000000001</v>
      </c>
      <c r="T4589">
        <v>-0.1227241</v>
      </c>
      <c r="U4589">
        <v>8.6929320000000004E-2</v>
      </c>
      <c r="V4589">
        <v>5.9608469999999997E-2</v>
      </c>
      <c r="W4589">
        <v>0.20719670000000001</v>
      </c>
      <c r="X4589">
        <v>0.97648159999999895</v>
      </c>
      <c r="Y4589">
        <v>2.399401E-2</v>
      </c>
      <c r="Z4589">
        <v>3.1073679999999999E-4</v>
      </c>
      <c r="AA4589">
        <v>0.99971200000000005</v>
      </c>
      <c r="AB4589">
        <v>45</v>
      </c>
      <c r="AC4589">
        <v>-27.427899999999902</v>
      </c>
      <c r="AD4589">
        <v>-1.1100498639034999</v>
      </c>
      <c r="AE4589">
        <v>0.78419999999999801</v>
      </c>
      <c r="AF4589">
        <v>0.66817938734778104</v>
      </c>
      <c r="AG4589">
        <v>-1.1100498639034999</v>
      </c>
      <c r="AH4589">
        <v>27.386124583861601</v>
      </c>
      <c r="AI4589">
        <v>92.320426326585505</v>
      </c>
      <c r="AJ4589">
        <v>88.602348249588303</v>
      </c>
      <c r="AK4589">
        <v>27.4167557182979</v>
      </c>
      <c r="AL4589">
        <v>78.041877651824294</v>
      </c>
      <c r="AM4589">
        <v>86.506763716698202</v>
      </c>
      <c r="AN4589">
        <v>0.99999997866259505</v>
      </c>
    </row>
    <row r="4590" spans="1:40" x14ac:dyDescent="0.25">
      <c r="A4590" t="str">
        <f>"20190312164119771"</f>
        <v>20190312164119771</v>
      </c>
      <c r="B4590" t="str">
        <f>"1552380079760590"</f>
        <v>1552380079760590</v>
      </c>
      <c r="C4590" t="s">
        <v>40</v>
      </c>
      <c r="D4590">
        <v>5.2398280000000002</v>
      </c>
      <c r="E4590">
        <v>0.49101549999999999</v>
      </c>
      <c r="F4590" t="s">
        <v>41</v>
      </c>
      <c r="G4590">
        <v>-330.69459999999998</v>
      </c>
      <c r="H4590" s="1">
        <v>-4.8950450000000003E-6</v>
      </c>
      <c r="I4590">
        <v>142.15610000000001</v>
      </c>
      <c r="J4590">
        <v>-302.50990000000002</v>
      </c>
      <c r="K4590">
        <v>1.110074</v>
      </c>
      <c r="L4590">
        <v>141.34809999999999</v>
      </c>
      <c r="M4590">
        <v>-0.99987040000000005</v>
      </c>
      <c r="N4590">
        <v>0</v>
      </c>
      <c r="O4590">
        <v>4.259522E-3</v>
      </c>
      <c r="P4590">
        <v>-0.97918490000000002</v>
      </c>
      <c r="Q4590">
        <v>0.19267139999999999</v>
      </c>
      <c r="R4590">
        <v>6.3834089999999996E-2</v>
      </c>
      <c r="S4590">
        <v>-3.0810550000000001</v>
      </c>
      <c r="T4590">
        <v>-0.1195093</v>
      </c>
      <c r="U4590">
        <v>8.7188719999999997E-2</v>
      </c>
      <c r="V4590">
        <v>5.9730640000000002E-2</v>
      </c>
      <c r="W4590">
        <v>0.20784459999999999</v>
      </c>
      <c r="X4590">
        <v>0.97633650000000005</v>
      </c>
      <c r="Y4590">
        <v>2.4013590000000001E-2</v>
      </c>
      <c r="Z4590">
        <v>3.0031470000000001E-4</v>
      </c>
      <c r="AA4590">
        <v>0.99971160000000003</v>
      </c>
      <c r="AB4590">
        <v>45</v>
      </c>
      <c r="AC4590">
        <v>-28.1846999999999</v>
      </c>
      <c r="AD4590">
        <v>-1.110078895045</v>
      </c>
      <c r="AE4590">
        <v>0.80800000000002103</v>
      </c>
      <c r="AF4590">
        <v>0.68686023239512595</v>
      </c>
      <c r="AG4590">
        <v>-1.110078895045</v>
      </c>
      <c r="AH4590">
        <v>28.144263517896</v>
      </c>
      <c r="AI4590">
        <v>92.258043835098505</v>
      </c>
      <c r="AJ4590">
        <v>88.601975069003601</v>
      </c>
      <c r="AK4590">
        <v>28.174520778477099</v>
      </c>
      <c r="AL4590">
        <v>78.003930407490998</v>
      </c>
      <c r="AM4590">
        <v>86.499103047936899</v>
      </c>
      <c r="AN4590">
        <v>1.0000000441681001</v>
      </c>
    </row>
    <row r="4591" spans="1:40" x14ac:dyDescent="0.25">
      <c r="A4591" t="str">
        <f>"20190312164119793"</f>
        <v>20190312164119793</v>
      </c>
      <c r="B4591" t="str">
        <f>"1552380079781086"</f>
        <v>1552380079781086</v>
      </c>
      <c r="C4591" t="s">
        <v>40</v>
      </c>
      <c r="D4591">
        <v>5.3122530000000001</v>
      </c>
      <c r="E4591">
        <v>0.49090830000000002</v>
      </c>
      <c r="F4591" t="s">
        <v>41</v>
      </c>
      <c r="G4591">
        <v>-332.24279999999999</v>
      </c>
      <c r="H4591" s="1">
        <v>-4.3056680000000001E-6</v>
      </c>
      <c r="I4591">
        <v>142.185</v>
      </c>
      <c r="J4591">
        <v>-302.95760000000001</v>
      </c>
      <c r="K4591">
        <v>1.110096</v>
      </c>
      <c r="L4591">
        <v>141.3501</v>
      </c>
      <c r="M4591">
        <v>-0.99987000000000004</v>
      </c>
      <c r="N4591">
        <v>0</v>
      </c>
      <c r="O4591">
        <v>4.3131630000000001E-3</v>
      </c>
      <c r="P4591">
        <v>-0.97910260000000005</v>
      </c>
      <c r="Q4591">
        <v>0.19290779999999999</v>
      </c>
      <c r="R4591">
        <v>6.4378249999999998E-2</v>
      </c>
      <c r="S4591">
        <v>-3.0807500000000001</v>
      </c>
      <c r="T4591">
        <v>-0.11502</v>
      </c>
      <c r="U4591">
        <v>8.6715699999999896E-2</v>
      </c>
      <c r="V4591">
        <v>6.021261E-2</v>
      </c>
      <c r="W4591">
        <v>0.20808109999999999</v>
      </c>
      <c r="X4591">
        <v>0.97625649999999997</v>
      </c>
      <c r="Y4591">
        <v>2.3810649999999999E-2</v>
      </c>
      <c r="Z4591">
        <v>2.832825E-4</v>
      </c>
      <c r="AA4591">
        <v>0.99971650000000001</v>
      </c>
      <c r="AB4591">
        <v>45</v>
      </c>
      <c r="AC4591">
        <v>-29.2851999999999</v>
      </c>
      <c r="AD4591">
        <v>-1.1101003056680001</v>
      </c>
      <c r="AE4591">
        <v>0.83490000000000397</v>
      </c>
      <c r="AF4591">
        <v>0.70754928825977903</v>
      </c>
      <c r="AG4591">
        <v>-1.1101003056680001</v>
      </c>
      <c r="AH4591">
        <v>29.246538656948701</v>
      </c>
      <c r="AI4591">
        <v>92.173076491019401</v>
      </c>
      <c r="AJ4591">
        <v>88.614137479680593</v>
      </c>
      <c r="AK4591">
        <v>29.276150226700899</v>
      </c>
      <c r="AL4591">
        <v>77.990076882250193</v>
      </c>
      <c r="AM4591">
        <v>86.470636754607796</v>
      </c>
      <c r="AN4591">
        <v>1.00000002818623</v>
      </c>
    </row>
    <row r="4592" spans="1:40" x14ac:dyDescent="0.25">
      <c r="A4592" t="str">
        <f>"20190312164119817"</f>
        <v>20190312164119817</v>
      </c>
      <c r="B4592" t="str">
        <f>"1552380079810366"</f>
        <v>1552380079810366</v>
      </c>
      <c r="C4592" t="s">
        <v>40</v>
      </c>
      <c r="D4592">
        <v>5.317787</v>
      </c>
      <c r="E4592">
        <v>0.49089090000000002</v>
      </c>
      <c r="F4592" t="s">
        <v>41</v>
      </c>
      <c r="G4592">
        <v>-333.23970000000003</v>
      </c>
      <c r="H4592" s="1">
        <v>-3.8656220000000001E-6</v>
      </c>
      <c r="I4592">
        <v>142.20779999999999</v>
      </c>
      <c r="J4592">
        <v>-303.42450000000002</v>
      </c>
      <c r="K4592">
        <v>1.110123</v>
      </c>
      <c r="L4592">
        <v>141.35210000000001</v>
      </c>
      <c r="M4592">
        <v>-0.99986989999999998</v>
      </c>
      <c r="N4592">
        <v>0</v>
      </c>
      <c r="O4592">
        <v>4.3516839999999998E-3</v>
      </c>
      <c r="P4592">
        <v>-0.97901150000000003</v>
      </c>
      <c r="Q4592">
        <v>0.1931332</v>
      </c>
      <c r="R4592">
        <v>6.5084929999999999E-2</v>
      </c>
      <c r="S4592">
        <v>-3.0805359999999999</v>
      </c>
      <c r="T4592">
        <v>-0.112928</v>
      </c>
      <c r="U4592">
        <v>8.7249759999999996E-2</v>
      </c>
      <c r="V4592">
        <v>6.0872429999999998E-2</v>
      </c>
      <c r="W4592">
        <v>0.2083054</v>
      </c>
      <c r="X4592">
        <v>0.97616769999999997</v>
      </c>
      <c r="Y4592">
        <v>2.3947670000000001E-2</v>
      </c>
      <c r="Z4592">
        <v>2.79251E-4</v>
      </c>
      <c r="AA4592">
        <v>0.99971319999999997</v>
      </c>
      <c r="AB4592">
        <v>45</v>
      </c>
      <c r="AC4592">
        <v>-29.815200000000001</v>
      </c>
      <c r="AD4592">
        <v>-1.110126865622</v>
      </c>
      <c r="AE4592">
        <v>0.85569999999998403</v>
      </c>
      <c r="AF4592">
        <v>0.72492574725731695</v>
      </c>
      <c r="AG4592">
        <v>-1.110126865622</v>
      </c>
      <c r="AH4592">
        <v>29.777394189466701</v>
      </c>
      <c r="AI4592">
        <v>92.134415339353296</v>
      </c>
      <c r="AJ4592">
        <v>88.6054191691818</v>
      </c>
      <c r="AK4592">
        <v>29.806896915172199</v>
      </c>
      <c r="AL4592">
        <v>77.976937004544197</v>
      </c>
      <c r="AM4592">
        <v>86.431737031224401</v>
      </c>
      <c r="AN4592">
        <v>0.99999998546327695</v>
      </c>
    </row>
    <row r="4593" spans="1:40" x14ac:dyDescent="0.25">
      <c r="A4593" t="str">
        <f>"20190312164119840"</f>
        <v>20190312164119840</v>
      </c>
      <c r="B4593" t="str">
        <f>"1552380079830862"</f>
        <v>1552380079830862</v>
      </c>
      <c r="C4593" t="s">
        <v>40</v>
      </c>
      <c r="D4593">
        <v>5.3127789999999999</v>
      </c>
      <c r="E4593">
        <v>0.49080190000000001</v>
      </c>
      <c r="F4593" t="s">
        <v>41</v>
      </c>
      <c r="G4593">
        <v>-333.00880000000001</v>
      </c>
      <c r="H4593" s="1">
        <v>-3.9743799999999999E-6</v>
      </c>
      <c r="I4593">
        <v>142.2063</v>
      </c>
      <c r="J4593">
        <v>-303.87779999999998</v>
      </c>
      <c r="K4593">
        <v>1.110142</v>
      </c>
      <c r="L4593">
        <v>141.35409999999999</v>
      </c>
      <c r="M4593">
        <v>-0.99986980000000003</v>
      </c>
      <c r="N4593">
        <v>0</v>
      </c>
      <c r="O4593">
        <v>4.3732880000000003E-3</v>
      </c>
      <c r="P4593">
        <v>-0.9789428</v>
      </c>
      <c r="Q4593">
        <v>0.1932797</v>
      </c>
      <c r="R4593">
        <v>6.5682710000000005E-2</v>
      </c>
      <c r="S4593">
        <v>-3.0812379999999999</v>
      </c>
      <c r="T4593">
        <v>-0.115621</v>
      </c>
      <c r="U4593">
        <v>8.8958739999999994E-2</v>
      </c>
      <c r="V4593">
        <v>6.1441570000000001E-2</v>
      </c>
      <c r="W4593">
        <v>0.20845089999999999</v>
      </c>
      <c r="X4593">
        <v>0.976101</v>
      </c>
      <c r="Y4593">
        <v>2.447268E-2</v>
      </c>
      <c r="Z4593">
        <v>2.9487270000000003E-4</v>
      </c>
      <c r="AA4593">
        <v>0.99970040000000004</v>
      </c>
      <c r="AB4593">
        <v>45</v>
      </c>
      <c r="AC4593">
        <v>-29.131</v>
      </c>
      <c r="AD4593">
        <v>-1.11014597438</v>
      </c>
      <c r="AE4593">
        <v>0.85220000000000995</v>
      </c>
      <c r="AF4593">
        <v>0.72372807041939102</v>
      </c>
      <c r="AG4593">
        <v>-1.11014597438</v>
      </c>
      <c r="AH4593">
        <v>29.092234872245101</v>
      </c>
      <c r="AI4593">
        <v>92.184644401014694</v>
      </c>
      <c r="AJ4593">
        <v>88.574945746721198</v>
      </c>
      <c r="AK4593">
        <v>29.122402652704</v>
      </c>
      <c r="AL4593">
        <v>77.968413577124295</v>
      </c>
      <c r="AM4593">
        <v>86.398216732044503</v>
      </c>
      <c r="AN4593">
        <v>1.0000000032179299</v>
      </c>
    </row>
    <row r="4594" spans="1:40" x14ac:dyDescent="0.25">
      <c r="A4594" t="str">
        <f>"20190312164119862"</f>
        <v>20190312164119862</v>
      </c>
      <c r="B4594" t="str">
        <f>"1552380079850888"</f>
        <v>1552380079850888</v>
      </c>
      <c r="C4594" t="s">
        <v>40</v>
      </c>
      <c r="D4594">
        <v>5.2755000000000001</v>
      </c>
      <c r="E4594">
        <v>0.4906741</v>
      </c>
      <c r="F4594" t="s">
        <v>41</v>
      </c>
      <c r="G4594">
        <v>-333.9932</v>
      </c>
      <c r="H4594" s="1">
        <v>-3.515374E-6</v>
      </c>
      <c r="I4594">
        <v>142.22989999999999</v>
      </c>
      <c r="J4594">
        <v>-304.32299999999998</v>
      </c>
      <c r="K4594">
        <v>1.110158</v>
      </c>
      <c r="L4594">
        <v>141.3561</v>
      </c>
      <c r="M4594">
        <v>-0.99987000000000004</v>
      </c>
      <c r="N4594">
        <v>0</v>
      </c>
      <c r="O4594">
        <v>4.3752259999999899E-3</v>
      </c>
      <c r="P4594">
        <v>-0.97889139999999997</v>
      </c>
      <c r="Q4594">
        <v>0.19344210000000001</v>
      </c>
      <c r="R4594">
        <v>6.5972429999999999E-2</v>
      </c>
      <c r="S4594">
        <v>-3.0809329999999999</v>
      </c>
      <c r="T4594">
        <v>-0.1135726</v>
      </c>
      <c r="U4594">
        <v>8.9599609999999996E-2</v>
      </c>
      <c r="V4594">
        <v>6.1721860000000003E-2</v>
      </c>
      <c r="W4594">
        <v>0.20861179999999999</v>
      </c>
      <c r="X4594">
        <v>0.9760489</v>
      </c>
      <c r="Y4594">
        <v>2.4681729999999999E-2</v>
      </c>
      <c r="Z4594">
        <v>2.9345970000000001E-4</v>
      </c>
      <c r="AA4594">
        <v>0.99969529999999995</v>
      </c>
      <c r="AB4594">
        <v>45</v>
      </c>
      <c r="AC4594">
        <v>-29.670200000000001</v>
      </c>
      <c r="AD4594">
        <v>-1.1101615153740001</v>
      </c>
      <c r="AE4594">
        <v>0.87379999999998803</v>
      </c>
      <c r="AF4594">
        <v>0.74292297017662901</v>
      </c>
      <c r="AG4594">
        <v>-1.1101615153740001</v>
      </c>
      <c r="AH4594">
        <v>29.632289904953801</v>
      </c>
      <c r="AI4594">
        <v>92.144885907892501</v>
      </c>
      <c r="AJ4594">
        <v>88.563815504045706</v>
      </c>
      <c r="AK4594">
        <v>29.662383554614401</v>
      </c>
      <c r="AL4594">
        <v>77.958986969724506</v>
      </c>
      <c r="AM4594">
        <v>86.381636703770496</v>
      </c>
      <c r="AN4594">
        <v>0.99999996314615403</v>
      </c>
    </row>
    <row r="4595" spans="1:40" x14ac:dyDescent="0.25">
      <c r="A4595" t="str">
        <f>"20190312164119883"</f>
        <v>20190312164119883</v>
      </c>
      <c r="B4595" t="str">
        <f>"1552380079870408"</f>
        <v>1552380079870408</v>
      </c>
      <c r="C4595" t="s">
        <v>40</v>
      </c>
      <c r="D4595">
        <v>5.3758290000000004</v>
      </c>
      <c r="E4595">
        <v>0.49070279999999999</v>
      </c>
      <c r="F4595" t="s">
        <v>41</v>
      </c>
      <c r="G4595">
        <v>-334.84249999999997</v>
      </c>
      <c r="H4595" s="1">
        <v>-3.115997E-6</v>
      </c>
      <c r="I4595">
        <v>142.2379</v>
      </c>
      <c r="J4595">
        <v>-304.73020000000002</v>
      </c>
      <c r="K4595">
        <v>1.1101749999999999</v>
      </c>
      <c r="L4595">
        <v>141.3579</v>
      </c>
      <c r="M4595">
        <v>-0.99987009999999998</v>
      </c>
      <c r="N4595">
        <v>0</v>
      </c>
      <c r="O4595">
        <v>4.3626949999999998E-3</v>
      </c>
      <c r="P4595">
        <v>-0.97885160000000004</v>
      </c>
      <c r="Q4595">
        <v>0.19335250000000001</v>
      </c>
      <c r="R4595">
        <v>6.6818630000000004E-2</v>
      </c>
      <c r="S4595">
        <v>-3.0808409999999999</v>
      </c>
      <c r="T4595">
        <v>-0.112067</v>
      </c>
      <c r="U4595">
        <v>8.9019780000000007E-2</v>
      </c>
      <c r="V4595">
        <v>6.2572989999999995E-2</v>
      </c>
      <c r="W4595">
        <v>0.20852129999999999</v>
      </c>
      <c r="X4595">
        <v>0.9760141</v>
      </c>
      <c r="Y4595">
        <v>2.4507589999999999E-2</v>
      </c>
      <c r="Z4595">
        <v>2.8687139999999999E-4</v>
      </c>
      <c r="AA4595">
        <v>0.99969960000000002</v>
      </c>
      <c r="AB4595">
        <v>45</v>
      </c>
      <c r="AC4595">
        <v>-30.112299999999902</v>
      </c>
      <c r="AD4595">
        <v>-1.1101781159969999</v>
      </c>
      <c r="AE4595">
        <v>0.87999999999999501</v>
      </c>
      <c r="AF4595">
        <v>0.74758973624593394</v>
      </c>
      <c r="AG4595">
        <v>-1.1101781159969999</v>
      </c>
      <c r="AH4595">
        <v>30.075008601801599</v>
      </c>
      <c r="AI4595">
        <v>92.113383831473001</v>
      </c>
      <c r="AJ4595">
        <v>88.576062994009604</v>
      </c>
      <c r="AK4595">
        <v>30.104775838086201</v>
      </c>
      <c r="AL4595">
        <v>77.9642894998358</v>
      </c>
      <c r="AM4595">
        <v>86.3317451952434</v>
      </c>
      <c r="AN4595">
        <v>1.0000000175150101</v>
      </c>
    </row>
    <row r="4596" spans="1:40" x14ac:dyDescent="0.25">
      <c r="A4596" t="str">
        <f>"20190312164119905"</f>
        <v>20190312164119905</v>
      </c>
      <c r="B4596" t="str">
        <f>"1552380079900664"</f>
        <v>1552380079900664</v>
      </c>
      <c r="C4596" t="s">
        <v>40</v>
      </c>
      <c r="D4596">
        <v>5.3327359999999997</v>
      </c>
      <c r="E4596">
        <v>0.49075800000000003</v>
      </c>
      <c r="F4596" t="s">
        <v>41</v>
      </c>
      <c r="G4596">
        <v>-335.26889999999997</v>
      </c>
      <c r="H4596" s="1">
        <v>-2.922914E-6</v>
      </c>
      <c r="I4596">
        <v>142.2698</v>
      </c>
      <c r="J4596">
        <v>-305.19220000000001</v>
      </c>
      <c r="K4596">
        <v>1.1101909999999999</v>
      </c>
      <c r="L4596">
        <v>141.35990000000001</v>
      </c>
      <c r="M4596">
        <v>-0.99987040000000005</v>
      </c>
      <c r="N4596">
        <v>0</v>
      </c>
      <c r="O4596">
        <v>4.3305449999999999E-3</v>
      </c>
      <c r="P4596">
        <v>-0.97872000000000003</v>
      </c>
      <c r="Q4596">
        <v>0.1940443</v>
      </c>
      <c r="R4596">
        <v>6.6739980000000004E-2</v>
      </c>
      <c r="S4596">
        <v>-3.0806580000000001</v>
      </c>
      <c r="T4596">
        <v>-0.1119914</v>
      </c>
      <c r="U4596">
        <v>9.1995240000000006E-2</v>
      </c>
      <c r="V4596">
        <v>6.2516890000000006E-2</v>
      </c>
      <c r="W4596">
        <v>0.20921010000000001</v>
      </c>
      <c r="X4596">
        <v>0.97587029999999997</v>
      </c>
      <c r="Y4596">
        <v>2.5505509999999999E-2</v>
      </c>
      <c r="Z4596">
        <v>3.0598810000000002E-4</v>
      </c>
      <c r="AA4596">
        <v>0.99967459999999997</v>
      </c>
      <c r="AB4596">
        <v>45</v>
      </c>
      <c r="AC4596">
        <v>-30.076699999999899</v>
      </c>
      <c r="AD4596">
        <v>-1.1101939229140001</v>
      </c>
      <c r="AE4596">
        <v>0.90989999999999305</v>
      </c>
      <c r="AF4596">
        <v>0.77856747234179202</v>
      </c>
      <c r="AG4596">
        <v>-1.1101939229140001</v>
      </c>
      <c r="AH4596">
        <v>30.039467318002501</v>
      </c>
      <c r="AI4596">
        <v>92.115855228367494</v>
      </c>
      <c r="AJ4596">
        <v>88.515331674871106</v>
      </c>
      <c r="AK4596">
        <v>30.070056444988602</v>
      </c>
      <c r="AL4596">
        <v>77.923934315210204</v>
      </c>
      <c r="AM4596">
        <v>86.334486429807995</v>
      </c>
      <c r="AN4596">
        <v>1.00000003494968</v>
      </c>
    </row>
    <row r="4597" spans="1:40" x14ac:dyDescent="0.25">
      <c r="A4597" t="str">
        <f>"20190312164119929"</f>
        <v>20190312164119929</v>
      </c>
      <c r="B4597" t="str">
        <f>"1552380079921160"</f>
        <v>1552380079921160</v>
      </c>
      <c r="C4597" t="s">
        <v>40</v>
      </c>
      <c r="D4597">
        <v>5.3017560000000001</v>
      </c>
      <c r="E4597">
        <v>0.50321050000000001</v>
      </c>
      <c r="F4597" t="s">
        <v>41</v>
      </c>
      <c r="G4597">
        <v>-336.61720000000003</v>
      </c>
      <c r="H4597" s="1">
        <v>-2.2935839999999999E-6</v>
      </c>
      <c r="I4597">
        <v>142.29990000000001</v>
      </c>
      <c r="J4597">
        <v>-305.66480000000001</v>
      </c>
      <c r="K4597">
        <v>1.110217</v>
      </c>
      <c r="L4597">
        <v>141.36189999999999</v>
      </c>
      <c r="M4597">
        <v>-0.99987060000000005</v>
      </c>
      <c r="N4597">
        <v>0</v>
      </c>
      <c r="O4597">
        <v>4.2797529999999999E-3</v>
      </c>
      <c r="P4597">
        <v>-0.9786397</v>
      </c>
      <c r="Q4597">
        <v>0.19436800000000001</v>
      </c>
      <c r="R4597">
        <v>6.6976320000000006E-2</v>
      </c>
      <c r="S4597">
        <v>-3.0805660000000001</v>
      </c>
      <c r="T4597">
        <v>-0.1088315</v>
      </c>
      <c r="U4597">
        <v>9.214783E-2</v>
      </c>
      <c r="V4597">
        <v>6.2792570000000006E-2</v>
      </c>
      <c r="W4597">
        <v>0.20953179999999999</v>
      </c>
      <c r="X4597">
        <v>0.97578350000000003</v>
      </c>
      <c r="Y4597">
        <v>2.5607330000000001E-2</v>
      </c>
      <c r="Z4597">
        <v>3.009598E-4</v>
      </c>
      <c r="AA4597">
        <v>0.99967209999999995</v>
      </c>
      <c r="AB4597">
        <v>44</v>
      </c>
      <c r="AC4597">
        <v>-30.952400000000001</v>
      </c>
      <c r="AD4597">
        <v>-1.1102192935840001</v>
      </c>
      <c r="AE4597">
        <v>0.93800000000001604</v>
      </c>
      <c r="AF4597">
        <v>0.80447280064474602</v>
      </c>
      <c r="AG4597">
        <v>-1.1102192935840001</v>
      </c>
      <c r="AH4597">
        <v>30.9163921632795</v>
      </c>
      <c r="AI4597">
        <v>92.055933983851205</v>
      </c>
      <c r="AJ4597">
        <v>88.509447764520104</v>
      </c>
      <c r="AK4597">
        <v>30.946777986739001</v>
      </c>
      <c r="AL4597">
        <v>77.905083566713898</v>
      </c>
      <c r="AM4597">
        <v>86.318040420342797</v>
      </c>
      <c r="AN4597">
        <v>0.99999996046534601</v>
      </c>
    </row>
    <row r="4598" spans="1:40" x14ac:dyDescent="0.25">
      <c r="A4598" t="str">
        <f>"20190312164119950"</f>
        <v>20190312164119950</v>
      </c>
      <c r="B4598" t="str">
        <f>"1552380079941190"</f>
        <v>1552380079941190</v>
      </c>
      <c r="C4598" t="s">
        <v>40</v>
      </c>
      <c r="D4598">
        <v>5.3072480000000004</v>
      </c>
      <c r="E4598">
        <v>0.50461389999999995</v>
      </c>
      <c r="F4598" t="s">
        <v>41</v>
      </c>
      <c r="G4598">
        <v>-346.05500000000001</v>
      </c>
      <c r="H4598" s="1">
        <v>-2.818823E-6</v>
      </c>
      <c r="I4598">
        <v>143.9162</v>
      </c>
      <c r="J4598">
        <v>-306.08940000000001</v>
      </c>
      <c r="K4598">
        <v>1.110241</v>
      </c>
      <c r="L4598">
        <v>141.36359999999999</v>
      </c>
      <c r="M4598">
        <v>-0.99987090000000001</v>
      </c>
      <c r="N4598">
        <v>0</v>
      </c>
      <c r="O4598">
        <v>4.2196969999999997E-3</v>
      </c>
      <c r="P4598">
        <v>-0.97851710000000003</v>
      </c>
      <c r="Q4598">
        <v>0.19489490000000001</v>
      </c>
      <c r="R4598">
        <v>6.723461E-2</v>
      </c>
      <c r="S4598">
        <v>-3.0689389999999999</v>
      </c>
      <c r="T4598">
        <v>-8.4357260000000003E-2</v>
      </c>
      <c r="U4598">
        <v>0.19409180000000001</v>
      </c>
      <c r="V4598">
        <v>6.3100320000000001E-2</v>
      </c>
      <c r="W4598">
        <v>0.2100563</v>
      </c>
      <c r="X4598">
        <v>0.97565089999999999</v>
      </c>
      <c r="Y4598">
        <v>5.888492E-2</v>
      </c>
      <c r="Z4598">
        <v>6.9247690000000001E-4</v>
      </c>
      <c r="AA4598">
        <v>0.99826459999999995</v>
      </c>
      <c r="AB4598">
        <v>44</v>
      </c>
      <c r="AC4598">
        <v>-39.965600000000002</v>
      </c>
      <c r="AD4598">
        <v>-1.1102438188229999</v>
      </c>
      <c r="AE4598">
        <v>2.5526000000000102</v>
      </c>
      <c r="AF4598">
        <v>2.3820834229063998</v>
      </c>
      <c r="AG4598">
        <v>-1.1102438188229999</v>
      </c>
      <c r="AH4598">
        <v>39.945314935518802</v>
      </c>
      <c r="AI4598">
        <v>91.589252508283806</v>
      </c>
      <c r="AJ4598">
        <v>86.587287263539906</v>
      </c>
      <c r="AK4598">
        <v>40.031676808106603</v>
      </c>
      <c r="AL4598">
        <v>77.874348278067103</v>
      </c>
      <c r="AM4598">
        <v>86.299543467714599</v>
      </c>
      <c r="AN4598">
        <v>0.99999998911230104</v>
      </c>
    </row>
    <row r="4599" spans="1:40" x14ac:dyDescent="0.25">
      <c r="A4599" t="str">
        <f>"20190312164119973"</f>
        <v>20190312164119973</v>
      </c>
      <c r="B4599" t="str">
        <f>"1552380079960706"</f>
        <v>1552380079960706</v>
      </c>
      <c r="C4599" t="s">
        <v>40</v>
      </c>
      <c r="D4599">
        <v>5.3030220000000003</v>
      </c>
      <c r="E4599">
        <v>0.50488999999999995</v>
      </c>
      <c r="F4599" t="s">
        <v>41</v>
      </c>
      <c r="G4599">
        <v>-333.37270000000001</v>
      </c>
      <c r="H4599" s="1">
        <v>-4.0474889999999997E-6</v>
      </c>
      <c r="I4599">
        <v>143.17570000000001</v>
      </c>
      <c r="J4599">
        <v>-306.51710000000003</v>
      </c>
      <c r="K4599">
        <v>1.110269</v>
      </c>
      <c r="L4599">
        <v>141.36539999999999</v>
      </c>
      <c r="M4599">
        <v>-0.99987119999999996</v>
      </c>
      <c r="N4599">
        <v>0</v>
      </c>
      <c r="O4599">
        <v>4.147871E-3</v>
      </c>
      <c r="P4599">
        <v>-0.97832909999999995</v>
      </c>
      <c r="Q4599">
        <v>0.1958135</v>
      </c>
      <c r="R4599">
        <v>6.7301440000000004E-2</v>
      </c>
      <c r="S4599">
        <v>-3.076721</v>
      </c>
      <c r="T4599">
        <v>-0.1252018</v>
      </c>
      <c r="U4599">
        <v>0.20434569999999999</v>
      </c>
      <c r="V4599">
        <v>6.3229049999999995E-2</v>
      </c>
      <c r="W4599">
        <v>0.2109704</v>
      </c>
      <c r="X4599">
        <v>0.97544529999999996</v>
      </c>
      <c r="Y4599">
        <v>6.2083149999999997E-2</v>
      </c>
      <c r="Z4599">
        <v>1.0927230000000001E-3</v>
      </c>
      <c r="AA4599">
        <v>0.99807040000000002</v>
      </c>
      <c r="AB4599">
        <v>44</v>
      </c>
      <c r="AC4599">
        <v>-26.8555999999999</v>
      </c>
      <c r="AD4599">
        <v>-1.1102730474889999</v>
      </c>
      <c r="AE4599">
        <v>1.81030000000001</v>
      </c>
      <c r="AF4599">
        <v>1.6959918111752701</v>
      </c>
      <c r="AG4599">
        <v>-1.1102730474889999</v>
      </c>
      <c r="AH4599">
        <v>26.817250319369201</v>
      </c>
      <c r="AI4599">
        <v>92.366052852786794</v>
      </c>
      <c r="AJ4599">
        <v>86.381287055222799</v>
      </c>
      <c r="AK4599">
        <v>26.893754091893999</v>
      </c>
      <c r="AL4599">
        <v>77.820773509371094</v>
      </c>
      <c r="AM4599">
        <v>86.291235891094402</v>
      </c>
      <c r="AN4599">
        <v>0.99999997786607597</v>
      </c>
    </row>
    <row r="4600" spans="1:40" x14ac:dyDescent="0.25">
      <c r="A4600" t="str">
        <f>"20190312164119996"</f>
        <v>20190312164119996</v>
      </c>
      <c r="B4600" t="str">
        <f>"1552380079990962"</f>
        <v>1552380079990962</v>
      </c>
      <c r="C4600" t="s">
        <v>40</v>
      </c>
      <c r="D4600">
        <v>5.3067830000000002</v>
      </c>
      <c r="E4600">
        <v>0.50492440000000005</v>
      </c>
      <c r="F4600" t="s">
        <v>41</v>
      </c>
      <c r="G4600">
        <v>-331.13709999999998</v>
      </c>
      <c r="H4600" s="1">
        <v>-4.87626E-6</v>
      </c>
      <c r="I4600">
        <v>143.00790000000001</v>
      </c>
      <c r="J4600">
        <v>-306.98660000000001</v>
      </c>
      <c r="K4600">
        <v>1.11029</v>
      </c>
      <c r="L4600">
        <v>141.3673</v>
      </c>
      <c r="M4600">
        <v>-0.99987159999999997</v>
      </c>
      <c r="N4600">
        <v>0</v>
      </c>
      <c r="O4600">
        <v>4.0593259999999898E-3</v>
      </c>
      <c r="P4600">
        <v>-0.97818059999999996</v>
      </c>
      <c r="Q4600">
        <v>0.19643650000000001</v>
      </c>
      <c r="R4600">
        <v>6.7644469999999998E-2</v>
      </c>
      <c r="S4600">
        <v>-3.0801090000000002</v>
      </c>
      <c r="T4600">
        <v>-0.13890189999999999</v>
      </c>
      <c r="U4600">
        <v>0.20549010000000001</v>
      </c>
      <c r="V4600">
        <v>6.3651020000000003E-2</v>
      </c>
      <c r="W4600">
        <v>0.21158940000000001</v>
      </c>
      <c r="X4600">
        <v>0.97528380000000003</v>
      </c>
      <c r="Y4600">
        <v>6.2456810000000001E-2</v>
      </c>
      <c r="Z4600">
        <v>1.2232339999999999E-3</v>
      </c>
      <c r="AA4600">
        <v>0.99804689999999996</v>
      </c>
      <c r="AB4600">
        <v>44</v>
      </c>
      <c r="AC4600">
        <v>-24.150499999999901</v>
      </c>
      <c r="AD4600">
        <v>-1.11029487626</v>
      </c>
      <c r="AE4600">
        <v>1.6406000000000001</v>
      </c>
      <c r="AF4600">
        <v>1.5393014114761701</v>
      </c>
      <c r="AG4600">
        <v>-1.11029487626</v>
      </c>
      <c r="AH4600">
        <v>24.106244405842901</v>
      </c>
      <c r="AI4600">
        <v>92.631735464129093</v>
      </c>
      <c r="AJ4600">
        <v>86.346345185966996</v>
      </c>
      <c r="AK4600">
        <v>24.1808441312923</v>
      </c>
      <c r="AL4600">
        <v>77.784488684103707</v>
      </c>
      <c r="AM4600">
        <v>86.265938100256804</v>
      </c>
      <c r="AN4600">
        <v>1.00000000854092</v>
      </c>
    </row>
    <row r="4601" spans="1:40" x14ac:dyDescent="0.25">
      <c r="A4601" t="str">
        <f>"20190312164120018"</f>
        <v>20190312164120018</v>
      </c>
      <c r="B4601" t="str">
        <f>"1552380080010482"</f>
        <v>1552380080010482</v>
      </c>
      <c r="C4601" t="s">
        <v>40</v>
      </c>
      <c r="D4601">
        <v>5.3179349999999896</v>
      </c>
      <c r="E4601">
        <v>0.50450810000000001</v>
      </c>
      <c r="F4601" t="s">
        <v>41</v>
      </c>
      <c r="G4601">
        <v>-331.58089999999999</v>
      </c>
      <c r="H4601" s="1">
        <v>-4.707446E-6</v>
      </c>
      <c r="I4601">
        <v>143.0171</v>
      </c>
      <c r="J4601">
        <v>-307.41840000000002</v>
      </c>
      <c r="K4601">
        <v>1.1103069999999999</v>
      </c>
      <c r="L4601">
        <v>141.369</v>
      </c>
      <c r="M4601">
        <v>-0.99987199999999998</v>
      </c>
      <c r="N4601">
        <v>0</v>
      </c>
      <c r="O4601">
        <v>3.9702649999999997E-3</v>
      </c>
      <c r="P4601">
        <v>-0.97798280000000004</v>
      </c>
      <c r="Q4601">
        <v>0.197462</v>
      </c>
      <c r="R4601">
        <v>6.7516599999999996E-2</v>
      </c>
      <c r="S4601">
        <v>-3.0805660000000001</v>
      </c>
      <c r="T4601">
        <v>-0.13907059999999999</v>
      </c>
      <c r="U4601">
        <v>0.20664979999999999</v>
      </c>
      <c r="V4601">
        <v>6.3604670000000002E-2</v>
      </c>
      <c r="W4601">
        <v>0.2126094</v>
      </c>
      <c r="X4601">
        <v>0.97506490000000001</v>
      </c>
      <c r="Y4601">
        <v>6.2909220000000002E-2</v>
      </c>
      <c r="Z4601">
        <v>1.2387310000000001E-3</v>
      </c>
      <c r="AA4601">
        <v>0.99801850000000003</v>
      </c>
      <c r="AB4601">
        <v>44</v>
      </c>
      <c r="AC4601">
        <v>-24.162499999999898</v>
      </c>
      <c r="AD4601">
        <v>-1.1103117074459901</v>
      </c>
      <c r="AE4601">
        <v>1.6480999999999899</v>
      </c>
      <c r="AF4601">
        <v>1.5488885094876199</v>
      </c>
      <c r="AG4601">
        <v>-1.1103117074459901</v>
      </c>
      <c r="AH4601">
        <v>24.1181622759714</v>
      </c>
      <c r="AI4601">
        <v>92.630415345544606</v>
      </c>
      <c r="AJ4601">
        <v>86.325463328442197</v>
      </c>
      <c r="AK4601">
        <v>24.193337910933302</v>
      </c>
      <c r="AL4601">
        <v>77.724685454692903</v>
      </c>
      <c r="AM4601">
        <v>86.267814207281802</v>
      </c>
      <c r="AN4601">
        <v>0.99999993511308705</v>
      </c>
    </row>
    <row r="4602" spans="1:40" x14ac:dyDescent="0.25">
      <c r="A4602" t="str">
        <f>"20190312164120040"</f>
        <v>20190312164120040</v>
      </c>
      <c r="B4602" t="str">
        <f>"1552380080030981"</f>
        <v>1552380080030981</v>
      </c>
      <c r="C4602" t="s">
        <v>40</v>
      </c>
      <c r="D4602">
        <v>6.1051890000000002</v>
      </c>
      <c r="E4602">
        <v>0.50453559999999997</v>
      </c>
      <c r="F4602" t="s">
        <v>41</v>
      </c>
      <c r="G4602">
        <v>-332.96660000000003</v>
      </c>
      <c r="H4602" s="1">
        <v>-4.1814009999999997E-6</v>
      </c>
      <c r="I4602">
        <v>143.0514</v>
      </c>
      <c r="J4602">
        <v>-307.84449999999998</v>
      </c>
      <c r="K4602">
        <v>1.1103240000000001</v>
      </c>
      <c r="L4602">
        <v>141.3706</v>
      </c>
      <c r="M4602">
        <v>-0.9998726</v>
      </c>
      <c r="N4602">
        <v>0</v>
      </c>
      <c r="O4602">
        <v>3.8764329999999999E-3</v>
      </c>
      <c r="P4602">
        <v>-0.9777728</v>
      </c>
      <c r="Q4602">
        <v>0.19864280000000001</v>
      </c>
      <c r="R4602">
        <v>6.7093589999999995E-2</v>
      </c>
      <c r="S4602">
        <v>-3.0805359999999999</v>
      </c>
      <c r="T4602">
        <v>-0.1338782</v>
      </c>
      <c r="U4602">
        <v>0.20286560000000001</v>
      </c>
      <c r="V4602">
        <v>6.3269249999999999E-2</v>
      </c>
      <c r="W4602">
        <v>0.2137839</v>
      </c>
      <c r="X4602">
        <v>0.97482999999999997</v>
      </c>
      <c r="Y4602">
        <v>6.1788219999999998E-2</v>
      </c>
      <c r="Z4602">
        <v>1.172336E-3</v>
      </c>
      <c r="AA4602">
        <v>0.99808859999999999</v>
      </c>
      <c r="AB4602">
        <v>44</v>
      </c>
      <c r="AC4602">
        <v>-25.1221</v>
      </c>
      <c r="AD4602">
        <v>-1.110328181401</v>
      </c>
      <c r="AE4602">
        <v>1.6808000000000001</v>
      </c>
      <c r="AF4602">
        <v>1.58031831996941</v>
      </c>
      <c r="AG4602">
        <v>-1.110328181401</v>
      </c>
      <c r="AH4602">
        <v>25.079655251498401</v>
      </c>
      <c r="AI4602">
        <v>92.529936232771405</v>
      </c>
      <c r="AJ4602">
        <v>86.394447351568999</v>
      </c>
      <c r="AK4602">
        <v>25.1539130593404</v>
      </c>
      <c r="AL4602">
        <v>77.655809345083696</v>
      </c>
      <c r="AM4602">
        <v>86.286548650944994</v>
      </c>
      <c r="AN4602">
        <v>1.00000004139738</v>
      </c>
    </row>
    <row r="4603" spans="1:40" x14ac:dyDescent="0.25">
      <c r="A4603" t="str">
        <f>"20190312164120063"</f>
        <v>20190312164120063</v>
      </c>
      <c r="B4603" t="str">
        <f>"1552380080051006"</f>
        <v>1552380080051006</v>
      </c>
      <c r="C4603" t="s">
        <v>40</v>
      </c>
      <c r="D4603">
        <v>5.2890579999999998</v>
      </c>
      <c r="E4603">
        <v>0.50464699999999996</v>
      </c>
      <c r="F4603" t="s">
        <v>41</v>
      </c>
      <c r="G4603">
        <v>-334.8485</v>
      </c>
      <c r="H4603" s="1">
        <v>-3.3537140000000001E-6</v>
      </c>
      <c r="I4603">
        <v>143.14189999999999</v>
      </c>
      <c r="J4603">
        <v>-308.30410000000001</v>
      </c>
      <c r="K4603">
        <v>1.1103379999999901</v>
      </c>
      <c r="L4603">
        <v>141.3723</v>
      </c>
      <c r="M4603">
        <v>-0.99987300000000001</v>
      </c>
      <c r="N4603">
        <v>0</v>
      </c>
      <c r="O4603">
        <v>3.772849E-3</v>
      </c>
      <c r="P4603">
        <v>-0.97758619999999996</v>
      </c>
      <c r="Q4603">
        <v>0.19955149999999999</v>
      </c>
      <c r="R4603">
        <v>6.7117940000000001E-2</v>
      </c>
      <c r="S4603">
        <v>-3.0801090000000002</v>
      </c>
      <c r="T4603">
        <v>-0.12664529999999999</v>
      </c>
      <c r="U4603">
        <v>0.20204159999999999</v>
      </c>
      <c r="V4603">
        <v>6.3391340000000004E-2</v>
      </c>
      <c r="W4603">
        <v>0.2146856</v>
      </c>
      <c r="X4603">
        <v>0.97462389999999999</v>
      </c>
      <c r="Y4603">
        <v>6.1640590000000002E-2</v>
      </c>
      <c r="Z4603">
        <v>1.110439E-3</v>
      </c>
      <c r="AA4603">
        <v>0.99809780000000003</v>
      </c>
      <c r="AB4603">
        <v>44</v>
      </c>
      <c r="AC4603">
        <v>-26.5444</v>
      </c>
      <c r="AD4603">
        <v>-1.1103413537139999</v>
      </c>
      <c r="AE4603">
        <v>1.7695999999999901</v>
      </c>
      <c r="AF4603">
        <v>1.6665243420931199</v>
      </c>
      <c r="AG4603">
        <v>-1.1103413537139999</v>
      </c>
      <c r="AH4603">
        <v>26.5047177720568</v>
      </c>
      <c r="AI4603">
        <v>92.394122176406597</v>
      </c>
      <c r="AJ4603">
        <v>86.402177225962802</v>
      </c>
      <c r="AK4603">
        <v>26.580260071732599</v>
      </c>
      <c r="AL4603">
        <v>77.602917918270805</v>
      </c>
      <c r="AM4603">
        <v>86.278618381548696</v>
      </c>
      <c r="AN4603">
        <v>1.0000000576427801</v>
      </c>
    </row>
    <row r="4604" spans="1:40" x14ac:dyDescent="0.25">
      <c r="A4604" t="str">
        <f>"20190312164120085"</f>
        <v>20190312164120085</v>
      </c>
      <c r="B4604" t="str">
        <f>"1552380080080285"</f>
        <v>1552380080080285</v>
      </c>
      <c r="C4604" t="s">
        <v>40</v>
      </c>
      <c r="D4604">
        <v>5.3359360000000002</v>
      </c>
      <c r="E4604">
        <v>0.50467770000000001</v>
      </c>
      <c r="F4604" t="s">
        <v>41</v>
      </c>
      <c r="G4604">
        <v>-337.4778</v>
      </c>
      <c r="H4604" s="1">
        <v>-2.1539919999999998E-6</v>
      </c>
      <c r="I4604">
        <v>143.30420000000001</v>
      </c>
      <c r="J4604">
        <v>-308.7303</v>
      </c>
      <c r="K4604">
        <v>1.110349</v>
      </c>
      <c r="L4604">
        <v>141.37379999999999</v>
      </c>
      <c r="M4604">
        <v>-0.99987329999999996</v>
      </c>
      <c r="N4604">
        <v>0</v>
      </c>
      <c r="O4604">
        <v>3.675495E-3</v>
      </c>
      <c r="P4604">
        <v>-0.97738020000000003</v>
      </c>
      <c r="Q4604">
        <v>0.2007022</v>
      </c>
      <c r="R4604">
        <v>6.6685079999999994E-2</v>
      </c>
      <c r="S4604">
        <v>-3.0787049999999998</v>
      </c>
      <c r="T4604">
        <v>-0.1171745</v>
      </c>
      <c r="U4604">
        <v>0.20387269999999999</v>
      </c>
      <c r="V4604">
        <v>6.3051010000000005E-2</v>
      </c>
      <c r="W4604">
        <v>0.21582970000000001</v>
      </c>
      <c r="X4604">
        <v>0.97439319999999896</v>
      </c>
      <c r="Y4604">
        <v>6.2364910000000003E-2</v>
      </c>
      <c r="Z4604">
        <v>1.045371E-3</v>
      </c>
      <c r="AA4604">
        <v>0.99805290000000002</v>
      </c>
      <c r="AB4604">
        <v>44</v>
      </c>
      <c r="AC4604">
        <v>-28.747499999999999</v>
      </c>
      <c r="AD4604">
        <v>-1.1103511539919999</v>
      </c>
      <c r="AE4604">
        <v>1.9304000000000101</v>
      </c>
      <c r="AF4604">
        <v>1.8220070593306901</v>
      </c>
      <c r="AG4604">
        <v>-1.1103511539919999</v>
      </c>
      <c r="AH4604">
        <v>28.711760890715698</v>
      </c>
      <c r="AI4604">
        <v>92.210217243595693</v>
      </c>
      <c r="AJ4604">
        <v>86.368961050359502</v>
      </c>
      <c r="AK4604">
        <v>28.790932649969101</v>
      </c>
      <c r="AL4604">
        <v>77.535791462117501</v>
      </c>
      <c r="AM4604">
        <v>86.297667795235995</v>
      </c>
      <c r="AN4604">
        <v>0.99999999873517398</v>
      </c>
    </row>
    <row r="4605" spans="1:40" x14ac:dyDescent="0.25">
      <c r="A4605" t="str">
        <f>"20190312164120107"</f>
        <v>20190312164120107</v>
      </c>
      <c r="B4605" t="str">
        <f>"1552380080100780"</f>
        <v>1552380080100780</v>
      </c>
      <c r="C4605" t="s">
        <v>40</v>
      </c>
      <c r="D4605">
        <v>5.2944380000000004</v>
      </c>
      <c r="E4605">
        <v>0.5047874</v>
      </c>
      <c r="F4605" t="s">
        <v>41</v>
      </c>
      <c r="G4605">
        <v>-340.97329999999999</v>
      </c>
      <c r="H4605" s="1">
        <v>-4.6347529999999998E-6</v>
      </c>
      <c r="I4605">
        <v>143.506</v>
      </c>
      <c r="J4605">
        <v>-309.17489999999998</v>
      </c>
      <c r="K4605">
        <v>1.1103559999999999</v>
      </c>
      <c r="L4605">
        <v>141.37540000000001</v>
      </c>
      <c r="M4605">
        <v>-0.99987380000000003</v>
      </c>
      <c r="N4605">
        <v>0</v>
      </c>
      <c r="O4605">
        <v>3.5734450000000002E-3</v>
      </c>
      <c r="P4605">
        <v>-0.97704570000000002</v>
      </c>
      <c r="Q4605">
        <v>0.20235929999999999</v>
      </c>
      <c r="R4605">
        <v>6.6578910000000005E-2</v>
      </c>
      <c r="S4605">
        <v>-3.0773009999999998</v>
      </c>
      <c r="T4605">
        <v>-0.1059734</v>
      </c>
      <c r="U4605">
        <v>0.20350650000000001</v>
      </c>
      <c r="V4605">
        <v>6.3042520000000005E-2</v>
      </c>
      <c r="W4605">
        <v>0.2174777</v>
      </c>
      <c r="X4605">
        <v>0.97402730000000004</v>
      </c>
      <c r="Y4605">
        <v>6.2386129999999998E-2</v>
      </c>
      <c r="Z4605">
        <v>9.4981069999999996E-4</v>
      </c>
      <c r="AA4605">
        <v>0.99805160000000004</v>
      </c>
      <c r="AB4605">
        <v>44</v>
      </c>
      <c r="AC4605">
        <v>-31.798400000000001</v>
      </c>
      <c r="AD4605">
        <v>-1.110360634753</v>
      </c>
      <c r="AE4605">
        <v>2.1305999999999798</v>
      </c>
      <c r="AF4605">
        <v>2.0144976054124499</v>
      </c>
      <c r="AG4605">
        <v>-1.110360634753</v>
      </c>
      <c r="AH4605">
        <v>31.767250106479199</v>
      </c>
      <c r="AI4605">
        <v>91.9978345898828</v>
      </c>
      <c r="AJ4605">
        <v>86.371487493316593</v>
      </c>
      <c r="AK4605">
        <v>31.8504204158913</v>
      </c>
      <c r="AL4605">
        <v>77.439071337991606</v>
      </c>
      <c r="AM4605">
        <v>86.296778187934805</v>
      </c>
      <c r="AN4605">
        <v>1.00000004523526</v>
      </c>
    </row>
    <row r="4606" spans="1:40" x14ac:dyDescent="0.25">
      <c r="A4606" t="str">
        <f>"20190312164120130"</f>
        <v>20190312164120130</v>
      </c>
      <c r="B4606" t="str">
        <f>"1552380080120303"</f>
        <v>1552380080120303</v>
      </c>
      <c r="C4606" t="s">
        <v>40</v>
      </c>
      <c r="D4606">
        <v>5.4117879999999996</v>
      </c>
      <c r="E4606">
        <v>0.50484560000000001</v>
      </c>
      <c r="F4606" t="s">
        <v>41</v>
      </c>
      <c r="G4606">
        <v>-343.74299999999999</v>
      </c>
      <c r="H4606" s="1">
        <v>-3.7214239999999999E-6</v>
      </c>
      <c r="I4606">
        <v>143.67060000000001</v>
      </c>
      <c r="J4606">
        <v>-309.61770000000001</v>
      </c>
      <c r="K4606">
        <v>1.110371</v>
      </c>
      <c r="L4606">
        <v>141.3768</v>
      </c>
      <c r="M4606">
        <v>-0.99987429999999999</v>
      </c>
      <c r="N4606">
        <v>0</v>
      </c>
      <c r="O4606">
        <v>3.4702090000000001E-3</v>
      </c>
      <c r="P4606">
        <v>-0.97687469999999998</v>
      </c>
      <c r="Q4606">
        <v>0.2032157</v>
      </c>
      <c r="R4606">
        <v>6.6478709999999996E-2</v>
      </c>
      <c r="S4606">
        <v>-3.077026</v>
      </c>
      <c r="T4606">
        <v>-9.8837019999999998E-2</v>
      </c>
      <c r="U4606">
        <v>0.2043152</v>
      </c>
      <c r="V4606">
        <v>6.3040540000000006E-2</v>
      </c>
      <c r="W4606">
        <v>0.21832750000000001</v>
      </c>
      <c r="X4606">
        <v>0.97383730000000002</v>
      </c>
      <c r="Y4606">
        <v>6.2760460000000004E-2</v>
      </c>
      <c r="Z4606">
        <v>8.9527059999999997E-4</v>
      </c>
      <c r="AA4606">
        <v>0.99802820000000003</v>
      </c>
      <c r="AB4606">
        <v>44</v>
      </c>
      <c r="AC4606">
        <v>-34.125300000000003</v>
      </c>
      <c r="AD4606">
        <v>-1.1103747214240001</v>
      </c>
      <c r="AE4606">
        <v>2.2938000000000001</v>
      </c>
      <c r="AF4606">
        <v>2.1730597473138502</v>
      </c>
      <c r="AG4606">
        <v>-1.1103747214240001</v>
      </c>
      <c r="AH4606">
        <v>34.097118042011502</v>
      </c>
      <c r="AI4606">
        <v>91.861407651915499</v>
      </c>
      <c r="AJ4606">
        <v>86.353387071330602</v>
      </c>
      <c r="AK4606">
        <v>34.184332368180598</v>
      </c>
      <c r="AL4606">
        <v>77.389182605732799</v>
      </c>
      <c r="AM4606">
        <v>86.296173691225803</v>
      </c>
      <c r="AN4606">
        <v>1.0000000469055099</v>
      </c>
    </row>
    <row r="4607" spans="1:40" x14ac:dyDescent="0.25">
      <c r="A4607" t="str">
        <f>"20190312164120151"</f>
        <v>20190312164120151</v>
      </c>
      <c r="B4607" t="str">
        <f>"1552380080140328"</f>
        <v>1552380080140328</v>
      </c>
      <c r="C4607" t="s">
        <v>40</v>
      </c>
      <c r="D4607">
        <v>5.2921610000000001</v>
      </c>
      <c r="E4607">
        <v>0.50487799999999905</v>
      </c>
      <c r="F4607" t="s">
        <v>41</v>
      </c>
      <c r="G4607">
        <v>-346.15300000000002</v>
      </c>
      <c r="H4607" s="1">
        <v>-2.7464929999999999E-6</v>
      </c>
      <c r="I4607">
        <v>143.80250000000001</v>
      </c>
      <c r="J4607">
        <v>-310.03410000000002</v>
      </c>
      <c r="K4607">
        <v>1.110387</v>
      </c>
      <c r="L4607">
        <v>141.37819999999999</v>
      </c>
      <c r="M4607">
        <v>-0.99987470000000001</v>
      </c>
      <c r="N4607">
        <v>0</v>
      </c>
      <c r="O4607">
        <v>3.3705499999999999E-3</v>
      </c>
      <c r="P4607">
        <v>-0.976607</v>
      </c>
      <c r="Q4607">
        <v>0.2046113</v>
      </c>
      <c r="R4607">
        <v>6.6128430000000002E-2</v>
      </c>
      <c r="S4607">
        <v>-3.0765690000000001</v>
      </c>
      <c r="T4607">
        <v>-9.3502399999999999E-2</v>
      </c>
      <c r="U4607">
        <v>0.20426939999999999</v>
      </c>
      <c r="V4607">
        <v>6.2785369999999993E-2</v>
      </c>
      <c r="W4607">
        <v>0.21971489999999999</v>
      </c>
      <c r="X4607">
        <v>0.97354169999999995</v>
      </c>
      <c r="Y4607">
        <v>6.2858070000000002E-2</v>
      </c>
      <c r="Z4607">
        <v>8.5160439999999997E-4</v>
      </c>
      <c r="AA4607">
        <v>0.99802210000000002</v>
      </c>
      <c r="AB4607">
        <v>44</v>
      </c>
      <c r="AC4607">
        <v>-36.118899999999996</v>
      </c>
      <c r="AD4607">
        <v>-1.1103897464929999</v>
      </c>
      <c r="AE4607">
        <v>2.4243000000000099</v>
      </c>
      <c r="AF4607">
        <v>2.3003667567610799</v>
      </c>
      <c r="AG4607">
        <v>-1.1103897464929999</v>
      </c>
      <c r="AH4607">
        <v>36.092908244232397</v>
      </c>
      <c r="AI4607">
        <v>91.758569373588998</v>
      </c>
      <c r="AJ4607">
        <v>86.353209444171</v>
      </c>
      <c r="AK4607">
        <v>36.183182255452699</v>
      </c>
      <c r="AL4607">
        <v>77.307712269002593</v>
      </c>
      <c r="AM4607">
        <v>86.310007264577393</v>
      </c>
      <c r="AN4607">
        <v>1.0000000408034599</v>
      </c>
    </row>
    <row r="4608" spans="1:40" x14ac:dyDescent="0.25">
      <c r="A4608" t="str">
        <f>"20190312164120173"</f>
        <v>20190312164120173</v>
      </c>
      <c r="B4608" t="str">
        <f>"1552380080160824"</f>
        <v>1552380080160824</v>
      </c>
      <c r="C4608" t="s">
        <v>40</v>
      </c>
      <c r="D4608">
        <v>5.4285920000000001</v>
      </c>
      <c r="E4608">
        <v>0.50353389999999998</v>
      </c>
      <c r="F4608" t="s">
        <v>41</v>
      </c>
      <c r="G4608">
        <v>-346.93540000000002</v>
      </c>
      <c r="H4608" s="1">
        <v>-2.4142250000000002E-6</v>
      </c>
      <c r="I4608">
        <v>143.8152</v>
      </c>
      <c r="J4608">
        <v>-310.47239999999999</v>
      </c>
      <c r="K4608">
        <v>1.110401</v>
      </c>
      <c r="L4608">
        <v>141.37960000000001</v>
      </c>
      <c r="M4608">
        <v>-0.99987519999999996</v>
      </c>
      <c r="N4608">
        <v>0</v>
      </c>
      <c r="O4608">
        <v>3.2627849999999998E-3</v>
      </c>
      <c r="P4608">
        <v>-0.97629509999999997</v>
      </c>
      <c r="Q4608">
        <v>0.20620240000000001</v>
      </c>
      <c r="R4608">
        <v>6.5795690000000004E-2</v>
      </c>
      <c r="S4608">
        <v>-3.0774840000000001</v>
      </c>
      <c r="T4608">
        <v>-9.2604160000000005E-2</v>
      </c>
      <c r="U4608">
        <v>0.20324710000000001</v>
      </c>
      <c r="V4608">
        <v>6.2555799999999995E-2</v>
      </c>
      <c r="W4608">
        <v>0.2212971</v>
      </c>
      <c r="X4608">
        <v>0.97319800000000001</v>
      </c>
      <c r="Y4608">
        <v>6.261651E-2</v>
      </c>
      <c r="Z4608">
        <v>8.4279519999999998E-4</v>
      </c>
      <c r="AA4608">
        <v>0.99803730000000002</v>
      </c>
      <c r="AB4608">
        <v>44</v>
      </c>
      <c r="AC4608">
        <v>-36.463000000000001</v>
      </c>
      <c r="AD4608">
        <v>-1.1104034142250001</v>
      </c>
      <c r="AE4608">
        <v>2.4355999999999902</v>
      </c>
      <c r="AF4608">
        <v>2.3144650372819102</v>
      </c>
      <c r="AG4608">
        <v>-1.1104034142250001</v>
      </c>
      <c r="AH4608">
        <v>36.437112775152499</v>
      </c>
      <c r="AI4608">
        <v>91.742012431695201</v>
      </c>
      <c r="AJ4608">
        <v>86.365486942271403</v>
      </c>
      <c r="AK4608">
        <v>36.527427113612902</v>
      </c>
      <c r="AL4608">
        <v>77.2147705429919</v>
      </c>
      <c r="AM4608">
        <v>86.3221675101003</v>
      </c>
      <c r="AN4608">
        <v>0.99999999089302505</v>
      </c>
    </row>
    <row r="4609" spans="1:40" x14ac:dyDescent="0.25">
      <c r="A4609" t="str">
        <f>"20190312164120196"</f>
        <v>20190312164120196</v>
      </c>
      <c r="B4609" t="str">
        <f>"1552380080191081"</f>
        <v>1552380080191081</v>
      </c>
      <c r="C4609" t="s">
        <v>40</v>
      </c>
      <c r="D4609">
        <v>5.3721079999999999</v>
      </c>
      <c r="E4609">
        <v>0.50189989999999995</v>
      </c>
      <c r="F4609" t="s">
        <v>41</v>
      </c>
      <c r="G4609">
        <v>-349.00299999999999</v>
      </c>
      <c r="H4609" s="1">
        <v>-1.5177859999999999E-6</v>
      </c>
      <c r="I4609">
        <v>143.77959999999999</v>
      </c>
      <c r="J4609">
        <v>-310.92779999999999</v>
      </c>
      <c r="K4609">
        <v>1.1104160000000001</v>
      </c>
      <c r="L4609">
        <v>141.381</v>
      </c>
      <c r="M4609">
        <v>-0.99987550000000003</v>
      </c>
      <c r="N4609">
        <v>0</v>
      </c>
      <c r="O4609">
        <v>3.1485939999999998E-3</v>
      </c>
      <c r="P4609">
        <v>-0.97616809999999998</v>
      </c>
      <c r="Q4609">
        <v>0.2068779</v>
      </c>
      <c r="R4609">
        <v>6.5552230000000003E-2</v>
      </c>
      <c r="S4609">
        <v>-3.0786440000000002</v>
      </c>
      <c r="T4609">
        <v>-8.8722590000000004E-2</v>
      </c>
      <c r="U4609">
        <v>0.19177250000000001</v>
      </c>
      <c r="V4609">
        <v>6.2421129999999998E-2</v>
      </c>
      <c r="W4609">
        <v>0.22196579999999999</v>
      </c>
      <c r="X4609">
        <v>0.97305430000000004</v>
      </c>
      <c r="Y4609">
        <v>5.9004429999999997E-2</v>
      </c>
      <c r="Z4609">
        <v>7.5857699999999997E-4</v>
      </c>
      <c r="AA4609">
        <v>0.99825750000000002</v>
      </c>
      <c r="AB4609">
        <v>44</v>
      </c>
      <c r="AC4609">
        <v>-38.075200000000002</v>
      </c>
      <c r="AD4609">
        <v>-1.1104175177860001</v>
      </c>
      <c r="AE4609">
        <v>2.3985999999999801</v>
      </c>
      <c r="AF4609">
        <v>2.2767616352821798</v>
      </c>
      <c r="AG4609">
        <v>-1.1104175177860001</v>
      </c>
      <c r="AH4609">
        <v>38.050329427291999</v>
      </c>
      <c r="AI4609">
        <v>91.668597742116205</v>
      </c>
      <c r="AJ4609">
        <v>86.575759352974799</v>
      </c>
      <c r="AK4609">
        <v>38.134554411099899</v>
      </c>
      <c r="AL4609">
        <v>77.175479076938103</v>
      </c>
      <c r="AM4609">
        <v>86.329522986856404</v>
      </c>
      <c r="AN4609">
        <v>0.999999942294301</v>
      </c>
    </row>
    <row r="4610" spans="1:40" x14ac:dyDescent="0.25">
      <c r="A4610" t="str">
        <f>"20190312164120220"</f>
        <v>20190312164120220</v>
      </c>
      <c r="B4610" t="str">
        <f>"1552380080210601"</f>
        <v>1552380080210601</v>
      </c>
      <c r="C4610" t="s">
        <v>40</v>
      </c>
      <c r="D4610">
        <v>5.3490120000000001</v>
      </c>
      <c r="E4610">
        <v>0.50103809999999904</v>
      </c>
      <c r="F4610" t="s">
        <v>41</v>
      </c>
      <c r="G4610">
        <v>-352.38229999999999</v>
      </c>
      <c r="H4610" s="1">
        <v>-4.2040059999999996E-6</v>
      </c>
      <c r="I4610">
        <v>143.7807</v>
      </c>
      <c r="J4610">
        <v>-311.37099999999998</v>
      </c>
      <c r="K4610">
        <v>1.1104240000000001</v>
      </c>
      <c r="L4610">
        <v>141.38229999999999</v>
      </c>
      <c r="M4610">
        <v>-0.99987599999999999</v>
      </c>
      <c r="N4610">
        <v>0</v>
      </c>
      <c r="O4610">
        <v>3.0347830000000001E-3</v>
      </c>
      <c r="P4610">
        <v>-0.97589389999999998</v>
      </c>
      <c r="Q4610">
        <v>0.2083314</v>
      </c>
      <c r="R4610">
        <v>6.5033300000000002E-2</v>
      </c>
      <c r="S4610">
        <v>-3.0787049999999998</v>
      </c>
      <c r="T4610">
        <v>-8.2467680000000002E-2</v>
      </c>
      <c r="U4610">
        <v>0.17822270000000001</v>
      </c>
      <c r="V4610">
        <v>6.2011980000000001E-2</v>
      </c>
      <c r="W4610">
        <v>0.22341050000000001</v>
      </c>
      <c r="X4610">
        <v>0.9727498</v>
      </c>
      <c r="Y4610">
        <v>5.4743269999999997E-2</v>
      </c>
      <c r="Z4610">
        <v>6.5122909999999995E-4</v>
      </c>
      <c r="AA4610">
        <v>0.99850019999999995</v>
      </c>
      <c r="AB4610">
        <v>44</v>
      </c>
      <c r="AC4610">
        <v>-41.011299999999999</v>
      </c>
      <c r="AD4610">
        <v>-1.1104282040060001</v>
      </c>
      <c r="AE4610">
        <v>2.3984000000000001</v>
      </c>
      <c r="AF4610">
        <v>2.2722535429363102</v>
      </c>
      <c r="AG4610">
        <v>-1.1104282040060001</v>
      </c>
      <c r="AH4610">
        <v>40.988443646174296</v>
      </c>
      <c r="AI4610">
        <v>91.549456848019304</v>
      </c>
      <c r="AJ4610">
        <v>86.826973540622504</v>
      </c>
      <c r="AK4610">
        <v>41.066393797060499</v>
      </c>
      <c r="AL4610">
        <v>77.090571976713505</v>
      </c>
      <c r="AM4610">
        <v>86.352378253372393</v>
      </c>
      <c r="AN4610">
        <v>0.999999955286904</v>
      </c>
    </row>
    <row r="4611" spans="1:40" x14ac:dyDescent="0.25">
      <c r="A4611" t="str">
        <f>"20190312164120241"</f>
        <v>20190312164120241</v>
      </c>
      <c r="B4611" t="str">
        <f>"1552380080231096"</f>
        <v>1552380080231096</v>
      </c>
      <c r="C4611" t="s">
        <v>40</v>
      </c>
      <c r="D4611">
        <v>5.27745</v>
      </c>
      <c r="E4611">
        <v>0.50031479999999995</v>
      </c>
      <c r="F4611" t="s">
        <v>41</v>
      </c>
      <c r="G4611">
        <v>-356.2022</v>
      </c>
      <c r="H4611" s="1">
        <v>-2.7408239999999999E-6</v>
      </c>
      <c r="I4611">
        <v>143.8605</v>
      </c>
      <c r="J4611">
        <v>-311.79469999999998</v>
      </c>
      <c r="K4611">
        <v>1.1104369999999999</v>
      </c>
      <c r="L4611">
        <v>141.3835</v>
      </c>
      <c r="M4611">
        <v>-0.9998764</v>
      </c>
      <c r="N4611">
        <v>0</v>
      </c>
      <c r="O4611">
        <v>2.9243870000000001E-3</v>
      </c>
      <c r="P4611">
        <v>-0.97560939999999996</v>
      </c>
      <c r="Q4611">
        <v>0.20976429999999999</v>
      </c>
      <c r="R4611">
        <v>6.4694829999999995E-2</v>
      </c>
      <c r="S4611">
        <v>-3.0791019999999998</v>
      </c>
      <c r="T4611">
        <v>-7.6266410000000007E-2</v>
      </c>
      <c r="U4611">
        <v>0.1702118</v>
      </c>
      <c r="V4611">
        <v>6.17802E-2</v>
      </c>
      <c r="W4611">
        <v>0.22483439999999999</v>
      </c>
      <c r="X4611">
        <v>0.97243650000000004</v>
      </c>
      <c r="Y4611">
        <v>5.2259819999999998E-2</v>
      </c>
      <c r="Z4611">
        <v>5.7424530000000002E-4</v>
      </c>
      <c r="AA4611">
        <v>0.9986334</v>
      </c>
      <c r="AB4611">
        <v>44</v>
      </c>
      <c r="AC4611">
        <v>-44.407499999999999</v>
      </c>
      <c r="AD4611">
        <v>-1.1104397408239901</v>
      </c>
      <c r="AE4611">
        <v>2.4769999999999999</v>
      </c>
      <c r="AF4611">
        <v>2.3456470457799301</v>
      </c>
      <c r="AG4611">
        <v>-1.1104397408239901</v>
      </c>
      <c r="AH4611">
        <v>44.386886310377101</v>
      </c>
      <c r="AI4611">
        <v>91.431090342201699</v>
      </c>
      <c r="AJ4611">
        <v>86.974989917443594</v>
      </c>
      <c r="AK4611">
        <v>44.462690121176003</v>
      </c>
      <c r="AL4611">
        <v>77.006859829350702</v>
      </c>
      <c r="AM4611">
        <v>86.364807565951807</v>
      </c>
      <c r="AN4611">
        <v>1.00000002353382</v>
      </c>
    </row>
    <row r="4612" spans="1:40" x14ac:dyDescent="0.25">
      <c r="A4612" t="str">
        <f>"20190312164120264"</f>
        <v>20190312164120264</v>
      </c>
      <c r="B4612" t="str">
        <f>"1552380080250617"</f>
        <v>1552380080250617</v>
      </c>
      <c r="C4612" t="s">
        <v>40</v>
      </c>
      <c r="D4612">
        <v>5.2797999999999998</v>
      </c>
      <c r="E4612">
        <v>0.49971559999999998</v>
      </c>
      <c r="F4612" t="s">
        <v>41</v>
      </c>
      <c r="G4612">
        <v>-358.58229999999998</v>
      </c>
      <c r="H4612" s="1">
        <v>-1.72156299999999E-6</v>
      </c>
      <c r="I4612">
        <v>143.8672</v>
      </c>
      <c r="J4612">
        <v>-312.23020000000002</v>
      </c>
      <c r="K4612">
        <v>1.1104499999999999</v>
      </c>
      <c r="L4612">
        <v>141.38470000000001</v>
      </c>
      <c r="M4612">
        <v>-0.99987669999999995</v>
      </c>
      <c r="N4612">
        <v>0</v>
      </c>
      <c r="O4612">
        <v>2.8095329999999999E-3</v>
      </c>
      <c r="P4612">
        <v>-0.97535539999999998</v>
      </c>
      <c r="Q4612">
        <v>0.2111451</v>
      </c>
      <c r="R4612">
        <v>6.4026340000000001E-2</v>
      </c>
      <c r="S4612">
        <v>-3.079834</v>
      </c>
      <c r="T4612">
        <v>-7.3095679999999996E-2</v>
      </c>
      <c r="U4612">
        <v>0.1634979</v>
      </c>
      <c r="V4612">
        <v>6.1222930000000002E-2</v>
      </c>
      <c r="W4612">
        <v>0.2262062</v>
      </c>
      <c r="X4612">
        <v>0.9721535</v>
      </c>
      <c r="Y4612">
        <v>5.0192529999999999E-2</v>
      </c>
      <c r="Z4612">
        <v>5.2849240000000001E-4</v>
      </c>
      <c r="AA4612">
        <v>0.99873940000000005</v>
      </c>
      <c r="AB4612">
        <v>44</v>
      </c>
      <c r="AC4612">
        <v>-46.352099999999901</v>
      </c>
      <c r="AD4612">
        <v>-1.1104517215630001</v>
      </c>
      <c r="AE4612">
        <v>2.4824999999999799</v>
      </c>
      <c r="AF4612">
        <v>2.3509015016439099</v>
      </c>
      <c r="AG4612">
        <v>-1.1104517215630001</v>
      </c>
      <c r="AH4612">
        <v>46.332376932368902</v>
      </c>
      <c r="AI4612">
        <v>91.371186332077102</v>
      </c>
      <c r="AJ4612">
        <v>87.095307273674806</v>
      </c>
      <c r="AK4612">
        <v>46.405269023026499</v>
      </c>
      <c r="AL4612">
        <v>76.926182270055904</v>
      </c>
      <c r="AM4612">
        <v>86.396465055887404</v>
      </c>
      <c r="AN4612">
        <v>0.99999995981923595</v>
      </c>
    </row>
    <row r="4613" spans="1:40" x14ac:dyDescent="0.25">
      <c r="A4613" t="str">
        <f>"20190312164120286"</f>
        <v>20190312164120286</v>
      </c>
      <c r="B4613" t="str">
        <f>"1552380080280874"</f>
        <v>1552380080280874</v>
      </c>
      <c r="C4613" t="s">
        <v>40</v>
      </c>
      <c r="D4613">
        <v>5.3228549999999997</v>
      </c>
      <c r="E4613">
        <v>0.49912420000000002</v>
      </c>
      <c r="F4613" t="s">
        <v>41</v>
      </c>
      <c r="G4613">
        <v>-358.97739999999999</v>
      </c>
      <c r="H4613" s="1">
        <v>-1.5207060000000001E-6</v>
      </c>
      <c r="I4613">
        <v>143.7492</v>
      </c>
      <c r="J4613">
        <v>-312.67970000000003</v>
      </c>
      <c r="K4613">
        <v>1.110455</v>
      </c>
      <c r="L4613">
        <v>141.38579999999999</v>
      </c>
      <c r="M4613">
        <v>-0.99987720000000002</v>
      </c>
      <c r="N4613">
        <v>0</v>
      </c>
      <c r="O4613">
        <v>2.6898650000000001E-3</v>
      </c>
      <c r="P4613">
        <v>-0.97510569999999996</v>
      </c>
      <c r="Q4613">
        <v>0.21228520000000001</v>
      </c>
      <c r="R4613">
        <v>6.4064040000000003E-2</v>
      </c>
      <c r="S4613">
        <v>-3.0814210000000002</v>
      </c>
      <c r="T4613">
        <v>-7.3197479999999995E-2</v>
      </c>
      <c r="U4613">
        <v>0.15586849999999999</v>
      </c>
      <c r="V4613">
        <v>6.1377019999999997E-2</v>
      </c>
      <c r="W4613">
        <v>0.22733709999999999</v>
      </c>
      <c r="X4613">
        <v>0.97187999999999997</v>
      </c>
      <c r="Y4613">
        <v>4.781912E-2</v>
      </c>
      <c r="Z4613">
        <v>5.0366289999999997E-4</v>
      </c>
      <c r="AA4613">
        <v>0.99885590000000002</v>
      </c>
      <c r="AB4613">
        <v>44</v>
      </c>
      <c r="AC4613">
        <v>-46.297699999999899</v>
      </c>
      <c r="AD4613">
        <v>-1.110456520706</v>
      </c>
      <c r="AE4613">
        <v>2.3634000000000102</v>
      </c>
      <c r="AF4613">
        <v>2.2375581494418402</v>
      </c>
      <c r="AG4613">
        <v>-1.110456520706</v>
      </c>
      <c r="AH4613">
        <v>46.2773369159938</v>
      </c>
      <c r="AI4613">
        <v>91.372984495233396</v>
      </c>
      <c r="AJ4613">
        <v>87.231844316902198</v>
      </c>
      <c r="AK4613">
        <v>46.344705114963404</v>
      </c>
      <c r="AL4613">
        <v>76.859653987184004</v>
      </c>
      <c r="AM4613">
        <v>86.3864054893521</v>
      </c>
      <c r="AN4613">
        <v>1.0000000150102399</v>
      </c>
    </row>
    <row r="4614" spans="1:40" x14ac:dyDescent="0.25">
      <c r="A4614" t="str">
        <f>"20190312164120309"</f>
        <v>20190312164120309</v>
      </c>
      <c r="B4614" t="str">
        <f>"1552380080300392"</f>
        <v>1552380080300392</v>
      </c>
      <c r="C4614" t="s">
        <v>40</v>
      </c>
      <c r="D4614">
        <v>5.4116299999999997</v>
      </c>
      <c r="E4614">
        <v>0.49895699999999998</v>
      </c>
      <c r="F4614" t="s">
        <v>41</v>
      </c>
      <c r="G4614">
        <v>-358.4006</v>
      </c>
      <c r="H4614" s="1">
        <v>-1.7377220000000001E-6</v>
      </c>
      <c r="I4614">
        <v>143.63489999999999</v>
      </c>
      <c r="J4614">
        <v>-313.1046</v>
      </c>
      <c r="K4614">
        <v>1.110457</v>
      </c>
      <c r="L4614">
        <v>141.38679999999999</v>
      </c>
      <c r="M4614">
        <v>-0.99987760000000003</v>
      </c>
      <c r="N4614">
        <v>0</v>
      </c>
      <c r="O4614">
        <v>2.5765760000000001E-3</v>
      </c>
      <c r="P4614">
        <v>-0.97493569999999996</v>
      </c>
      <c r="Q4614">
        <v>0.21318999999999999</v>
      </c>
      <c r="R4614">
        <v>6.3644619999999999E-2</v>
      </c>
      <c r="S4614">
        <v>-3.082916</v>
      </c>
      <c r="T4614">
        <v>-7.4877139999999995E-2</v>
      </c>
      <c r="U4614">
        <v>0.15165709999999999</v>
      </c>
      <c r="V4614">
        <v>6.106731E-2</v>
      </c>
      <c r="W4614">
        <v>0.22823499999999999</v>
      </c>
      <c r="X4614">
        <v>0.97168900000000002</v>
      </c>
      <c r="Y4614">
        <v>4.6546459999999998E-2</v>
      </c>
      <c r="Z4614">
        <v>5.0229129999999997E-4</v>
      </c>
      <c r="AA4614">
        <v>0.99891600000000003</v>
      </c>
      <c r="AB4614">
        <v>44</v>
      </c>
      <c r="AC4614">
        <v>-45.2959999999999</v>
      </c>
      <c r="AD4614">
        <v>-1.1104587377220001</v>
      </c>
      <c r="AE4614">
        <v>2.2480999999999902</v>
      </c>
      <c r="AF4614">
        <v>2.1300929785137899</v>
      </c>
      <c r="AG4614">
        <v>-1.1104587377220001</v>
      </c>
      <c r="AH4614">
        <v>45.274498919690998</v>
      </c>
      <c r="AI4614">
        <v>91.403474081013002</v>
      </c>
      <c r="AJ4614">
        <v>87.306311307503293</v>
      </c>
      <c r="AK4614">
        <v>45.338181118505297</v>
      </c>
      <c r="AL4614">
        <v>76.806818565446093</v>
      </c>
      <c r="AM4614">
        <v>86.403886950609206</v>
      </c>
      <c r="AN4614">
        <v>0.99999997214831704</v>
      </c>
    </row>
    <row r="4615" spans="1:40" x14ac:dyDescent="0.25">
      <c r="A4615" t="str">
        <f>"20190312164120330"</f>
        <v>20190312164120330</v>
      </c>
      <c r="B4615" t="str">
        <f>"1552380080320892"</f>
        <v>1552380080320892</v>
      </c>
      <c r="C4615" t="s">
        <v>40</v>
      </c>
      <c r="D4615">
        <v>5.1472340000000001</v>
      </c>
      <c r="E4615">
        <v>0.49862830000000002</v>
      </c>
      <c r="F4615" t="s">
        <v>41</v>
      </c>
      <c r="G4615">
        <v>-359.37369999999999</v>
      </c>
      <c r="H4615" s="1">
        <v>-1.318066E-6</v>
      </c>
      <c r="I4615">
        <v>143.6267</v>
      </c>
      <c r="J4615">
        <v>-313.52390000000003</v>
      </c>
      <c r="K4615">
        <v>1.110463</v>
      </c>
      <c r="L4615">
        <v>141.3878</v>
      </c>
      <c r="M4615">
        <v>-0.99987789999999999</v>
      </c>
      <c r="N4615">
        <v>0</v>
      </c>
      <c r="O4615">
        <v>2.4646630000000002E-3</v>
      </c>
      <c r="P4615">
        <v>-0.97472979999999998</v>
      </c>
      <c r="Q4615">
        <v>0.2141285</v>
      </c>
      <c r="R4615">
        <v>6.3646530000000007E-2</v>
      </c>
      <c r="S4615">
        <v>-3.0835569999999999</v>
      </c>
      <c r="T4615">
        <v>-7.4005479999999998E-2</v>
      </c>
      <c r="U4615">
        <v>0.14927670000000001</v>
      </c>
      <c r="V4615">
        <v>6.1178139999999999E-2</v>
      </c>
      <c r="W4615">
        <v>0.22916529999999999</v>
      </c>
      <c r="X4615">
        <v>0.97146310000000002</v>
      </c>
      <c r="Y4615">
        <v>4.5879240000000002E-2</v>
      </c>
      <c r="Z4615">
        <v>4.9103540000000005E-4</v>
      </c>
      <c r="AA4615">
        <v>0.99894680000000002</v>
      </c>
      <c r="AB4615">
        <v>43</v>
      </c>
      <c r="AC4615">
        <v>-45.849799999999902</v>
      </c>
      <c r="AD4615">
        <v>-1.1104643180660001</v>
      </c>
      <c r="AE4615">
        <v>2.2389000000000001</v>
      </c>
      <c r="AF4615">
        <v>2.1246321140993398</v>
      </c>
      <c r="AG4615">
        <v>-1.1104643180660001</v>
      </c>
      <c r="AH4615">
        <v>45.828361009331601</v>
      </c>
      <c r="AI4615">
        <v>91.386570340552495</v>
      </c>
      <c r="AJ4615">
        <v>87.345631630145405</v>
      </c>
      <c r="AK4615">
        <v>45.891021621048999</v>
      </c>
      <c r="AL4615">
        <v>76.752065904965093</v>
      </c>
      <c r="AM4615">
        <v>86.396542068769804</v>
      </c>
      <c r="AN4615">
        <v>1.00000002709977</v>
      </c>
    </row>
    <row r="4616" spans="1:40" x14ac:dyDescent="0.25">
      <c r="A4616" t="str">
        <f>"20190312164120352"</f>
        <v>20190312164120352</v>
      </c>
      <c r="B4616" t="str">
        <f>"1552380080340409"</f>
        <v>1552380080340409</v>
      </c>
      <c r="C4616" t="s">
        <v>40</v>
      </c>
      <c r="D4616">
        <v>5.5428819999999996</v>
      </c>
      <c r="E4616">
        <v>0.49818519999999999</v>
      </c>
      <c r="F4616" t="s">
        <v>41</v>
      </c>
      <c r="G4616">
        <v>-359.8449</v>
      </c>
      <c r="H4616" s="1">
        <v>-1.104472E-6</v>
      </c>
      <c r="I4616">
        <v>143.58369999999999</v>
      </c>
      <c r="J4616">
        <v>-313.94540000000001</v>
      </c>
      <c r="K4616">
        <v>1.110466</v>
      </c>
      <c r="L4616">
        <v>141.3888</v>
      </c>
      <c r="M4616">
        <v>-0.9998783</v>
      </c>
      <c r="N4616">
        <v>0</v>
      </c>
      <c r="O4616">
        <v>2.3522180000000001E-3</v>
      </c>
      <c r="P4616">
        <v>-0.9744081</v>
      </c>
      <c r="Q4616">
        <v>0.21574109999999999</v>
      </c>
      <c r="R4616">
        <v>6.3125940000000005E-2</v>
      </c>
      <c r="S4616">
        <v>-3.084473</v>
      </c>
      <c r="T4616">
        <v>-7.3944689999999993E-2</v>
      </c>
      <c r="U4616">
        <v>0.14622499999999999</v>
      </c>
      <c r="V4616">
        <v>6.0767170000000002E-2</v>
      </c>
      <c r="W4616">
        <v>0.2307681</v>
      </c>
      <c r="X4616">
        <v>0.97110940000000001</v>
      </c>
      <c r="Y4616">
        <v>4.4991400000000001E-2</v>
      </c>
      <c r="Z4616">
        <v>4.8255770000000002E-4</v>
      </c>
      <c r="AA4616">
        <v>0.99898730000000002</v>
      </c>
      <c r="AB4616">
        <v>43</v>
      </c>
      <c r="AC4616">
        <v>-45.899499999999897</v>
      </c>
      <c r="AD4616">
        <v>-1.110467104472</v>
      </c>
      <c r="AE4616">
        <v>2.1948999999999899</v>
      </c>
      <c r="AF4616">
        <v>2.0856974330057398</v>
      </c>
      <c r="AG4616">
        <v>-1.110467104472</v>
      </c>
      <c r="AH4616">
        <v>45.877744460976402</v>
      </c>
      <c r="AI4616">
        <v>91.385138871897894</v>
      </c>
      <c r="AJ4616">
        <v>87.397007309018093</v>
      </c>
      <c r="AK4616">
        <v>45.938553610217298</v>
      </c>
      <c r="AL4616">
        <v>76.657703003804201</v>
      </c>
      <c r="AM4616">
        <v>86.419385223524799</v>
      </c>
      <c r="AN4616">
        <v>1.0000000158478799</v>
      </c>
    </row>
    <row r="4617" spans="1:40" x14ac:dyDescent="0.25">
      <c r="A4617" t="str">
        <f>"20190312164120374"</f>
        <v>20190312164120374</v>
      </c>
      <c r="B4617" t="str">
        <f>"1552380080370664"</f>
        <v>1552380080370664</v>
      </c>
      <c r="C4617" t="s">
        <v>40</v>
      </c>
      <c r="D4617">
        <v>5.157057</v>
      </c>
      <c r="E4617">
        <v>0.49784020000000001</v>
      </c>
      <c r="F4617" t="s">
        <v>41</v>
      </c>
      <c r="G4617">
        <v>-363.47230000000002</v>
      </c>
      <c r="H4617" s="1">
        <v>-3.8102069999999999E-6</v>
      </c>
      <c r="I4617">
        <v>143.65170000000001</v>
      </c>
      <c r="J4617">
        <v>-314.37860000000001</v>
      </c>
      <c r="K4617">
        <v>1.1104750000000001</v>
      </c>
      <c r="L4617">
        <v>141.3897</v>
      </c>
      <c r="M4617">
        <v>-0.99987859999999995</v>
      </c>
      <c r="N4617">
        <v>0</v>
      </c>
      <c r="O4617">
        <v>2.2369130000000001E-3</v>
      </c>
      <c r="P4617">
        <v>-0.97420419999999996</v>
      </c>
      <c r="Q4617">
        <v>0.21666540000000001</v>
      </c>
      <c r="R4617">
        <v>6.3105540000000002E-2</v>
      </c>
      <c r="S4617">
        <v>-3.0849609999999998</v>
      </c>
      <c r="T4617">
        <v>-6.9169640000000004E-2</v>
      </c>
      <c r="U4617">
        <v>0.14096069999999999</v>
      </c>
      <c r="V4617">
        <v>6.0858870000000002E-2</v>
      </c>
      <c r="W4617">
        <v>0.2316839</v>
      </c>
      <c r="X4617">
        <v>0.97088560000000002</v>
      </c>
      <c r="Y4617">
        <v>4.339995E-2</v>
      </c>
      <c r="Z4617">
        <v>4.3610460000000003E-4</v>
      </c>
      <c r="AA4617">
        <v>0.99905770000000005</v>
      </c>
      <c r="AB4617">
        <v>43</v>
      </c>
      <c r="AC4617">
        <v>-49.093699999999998</v>
      </c>
      <c r="AD4617">
        <v>-1.110478810207</v>
      </c>
      <c r="AE4617">
        <v>2.262</v>
      </c>
      <c r="AF4617">
        <v>2.1510646941835501</v>
      </c>
      <c r="AG4617">
        <v>-1.110478810207</v>
      </c>
      <c r="AH4617">
        <v>49.073582562590602</v>
      </c>
      <c r="AI4617">
        <v>91.295073310288402</v>
      </c>
      <c r="AJ4617">
        <v>87.490134640967398</v>
      </c>
      <c r="AK4617">
        <v>49.133255011589398</v>
      </c>
      <c r="AL4617">
        <v>76.603770273816707</v>
      </c>
      <c r="AM4617">
        <v>86.413171570475996</v>
      </c>
      <c r="AN4617">
        <v>1.0000000399321201</v>
      </c>
    </row>
    <row r="4618" spans="1:40" x14ac:dyDescent="0.25">
      <c r="A4618" t="str">
        <f>"20190312164120397"</f>
        <v>20190312164120397</v>
      </c>
      <c r="B4618" t="str">
        <f>"1552380080391160"</f>
        <v>1552380080391160</v>
      </c>
      <c r="C4618" t="s">
        <v>40</v>
      </c>
      <c r="D4618">
        <v>5.311439</v>
      </c>
      <c r="E4618">
        <v>0.49755579999999999</v>
      </c>
      <c r="F4618" t="s">
        <v>41</v>
      </c>
      <c r="G4618">
        <v>-364.23419999999999</v>
      </c>
      <c r="H4618" s="1">
        <v>-3.5239939999999999E-6</v>
      </c>
      <c r="I4618">
        <v>143.63079999999999</v>
      </c>
      <c r="J4618">
        <v>-314.81979999999999</v>
      </c>
      <c r="K4618">
        <v>1.110474</v>
      </c>
      <c r="L4618">
        <v>141.39060000000001</v>
      </c>
      <c r="M4618">
        <v>-0.99987890000000001</v>
      </c>
      <c r="N4618">
        <v>0</v>
      </c>
      <c r="O4618">
        <v>2.118876E-3</v>
      </c>
      <c r="P4618">
        <v>-0.97396680000000002</v>
      </c>
      <c r="Q4618">
        <v>0.2177491</v>
      </c>
      <c r="R4618">
        <v>6.3040289999999999E-2</v>
      </c>
      <c r="S4618">
        <v>-3.0857239999999999</v>
      </c>
      <c r="T4618">
        <v>-6.8731070000000005E-2</v>
      </c>
      <c r="U4618">
        <v>0.1387177</v>
      </c>
      <c r="V4618">
        <v>6.0908440000000001E-2</v>
      </c>
      <c r="W4618">
        <v>0.23275899999999999</v>
      </c>
      <c r="X4618">
        <v>0.97062530000000002</v>
      </c>
      <c r="Y4618">
        <v>4.2782149999999998E-2</v>
      </c>
      <c r="Z4618">
        <v>4.2899209999999998E-4</v>
      </c>
      <c r="AA4618">
        <v>0.99908439999999998</v>
      </c>
      <c r="AB4618">
        <v>43</v>
      </c>
      <c r="AC4618">
        <v>-49.414400000000001</v>
      </c>
      <c r="AD4618">
        <v>-1.1104775239939999</v>
      </c>
      <c r="AE4618">
        <v>2.2401999999999802</v>
      </c>
      <c r="AF4618">
        <v>2.1344038223375801</v>
      </c>
      <c r="AG4618">
        <v>-1.1104775239939999</v>
      </c>
      <c r="AH4618">
        <v>49.394142226636298</v>
      </c>
      <c r="AI4618">
        <v>91.286704589391405</v>
      </c>
      <c r="AJ4618">
        <v>87.525692446547296</v>
      </c>
      <c r="AK4618">
        <v>49.452705955420498</v>
      </c>
      <c r="AL4618">
        <v>76.540440211068798</v>
      </c>
      <c r="AM4618">
        <v>86.409297538101598</v>
      </c>
      <c r="AN4618">
        <v>1.00000003157216</v>
      </c>
    </row>
    <row r="4619" spans="1:40" x14ac:dyDescent="0.25">
      <c r="A4619" t="str">
        <f>"20190312164120419"</f>
        <v>20190312164120419</v>
      </c>
      <c r="B4619" t="str">
        <f>"1552380080410680"</f>
        <v>1552380080410680</v>
      </c>
      <c r="C4619" t="s">
        <v>40</v>
      </c>
      <c r="D4619">
        <v>5.3213489999999997</v>
      </c>
      <c r="E4619">
        <v>0.49724869999999999</v>
      </c>
      <c r="F4619" t="s">
        <v>41</v>
      </c>
      <c r="G4619">
        <v>-366.13479999999998</v>
      </c>
      <c r="H4619" s="1">
        <v>-2.7175210000000002E-6</v>
      </c>
      <c r="I4619">
        <v>143.66419999999999</v>
      </c>
      <c r="J4619">
        <v>-315.25310000000002</v>
      </c>
      <c r="K4619">
        <v>1.1104799999999999</v>
      </c>
      <c r="L4619">
        <v>141.3914</v>
      </c>
      <c r="M4619">
        <v>-0.99987930000000003</v>
      </c>
      <c r="N4619">
        <v>0</v>
      </c>
      <c r="O4619">
        <v>2.0032209999999999E-3</v>
      </c>
      <c r="P4619">
        <v>-0.97377619999999998</v>
      </c>
      <c r="Q4619">
        <v>0.21868870000000001</v>
      </c>
      <c r="R4619">
        <v>6.2731759999999998E-2</v>
      </c>
      <c r="S4619">
        <v>-3.0863339999999999</v>
      </c>
      <c r="T4619">
        <v>-6.6789509999999996E-2</v>
      </c>
      <c r="U4619">
        <v>0.13674929999999999</v>
      </c>
      <c r="V4619">
        <v>6.071232E-2</v>
      </c>
      <c r="W4619">
        <v>0.23369100000000001</v>
      </c>
      <c r="X4619">
        <v>0.97041359999999999</v>
      </c>
      <c r="Y4619">
        <v>4.2253579999999999E-2</v>
      </c>
      <c r="Z4619">
        <v>4.1358589999999999E-4</v>
      </c>
      <c r="AA4619">
        <v>0.99910679999999996</v>
      </c>
      <c r="AB4619">
        <v>43</v>
      </c>
      <c r="AC4619">
        <v>-50.881699999999903</v>
      </c>
      <c r="AD4619">
        <v>-1.1104827175209999</v>
      </c>
      <c r="AE4619">
        <v>2.2727999999999802</v>
      </c>
      <c r="AF4619">
        <v>2.1698245726784502</v>
      </c>
      <c r="AG4619">
        <v>-1.1104827175209999</v>
      </c>
      <c r="AH4619">
        <v>50.861972925345697</v>
      </c>
      <c r="AI4619">
        <v>91.249618725490606</v>
      </c>
      <c r="AJ4619">
        <v>87.557183785826595</v>
      </c>
      <c r="AK4619">
        <v>50.920345642981502</v>
      </c>
      <c r="AL4619">
        <v>76.485525901192901</v>
      </c>
      <c r="AM4619">
        <v>86.420050410255698</v>
      </c>
      <c r="AN4619">
        <v>1.00000001217287</v>
      </c>
    </row>
    <row r="4620" spans="1:40" x14ac:dyDescent="0.25">
      <c r="A4620" t="str">
        <f>"20190312164120441"</f>
        <v>20190312164120441</v>
      </c>
      <c r="B4620" t="str">
        <f>"1552380080431193"</f>
        <v>1552380080431193</v>
      </c>
      <c r="C4620" t="s">
        <v>40</v>
      </c>
      <c r="D4620">
        <v>5.2540389999999997</v>
      </c>
      <c r="E4620">
        <v>0.49692989999999998</v>
      </c>
      <c r="F4620" t="s">
        <v>41</v>
      </c>
      <c r="G4620">
        <v>-369.19529999999997</v>
      </c>
      <c r="H4620" s="1">
        <v>-1.420069E-6</v>
      </c>
      <c r="I4620">
        <v>143.72239999999999</v>
      </c>
      <c r="J4620">
        <v>-315.67910000000001</v>
      </c>
      <c r="K4620">
        <v>1.11049</v>
      </c>
      <c r="L4620">
        <v>141.3922</v>
      </c>
      <c r="M4620">
        <v>-0.99987959999999998</v>
      </c>
      <c r="N4620">
        <v>0</v>
      </c>
      <c r="O4620">
        <v>1.8892410000000001E-3</v>
      </c>
      <c r="P4620">
        <v>-0.9736089</v>
      </c>
      <c r="Q4620">
        <v>0.2195684</v>
      </c>
      <c r="R4620">
        <v>6.2255690000000002E-2</v>
      </c>
      <c r="S4620">
        <v>-3.0864560000000001</v>
      </c>
      <c r="T4620">
        <v>-6.3539390000000001E-2</v>
      </c>
      <c r="U4620">
        <v>0.1333771</v>
      </c>
      <c r="V4620">
        <v>6.0347400000000002E-2</v>
      </c>
      <c r="W4620">
        <v>0.2345631</v>
      </c>
      <c r="X4620">
        <v>0.97022589999999997</v>
      </c>
      <c r="Y4620">
        <v>4.1277260000000003E-2</v>
      </c>
      <c r="Z4620">
        <v>3.8575959999999999E-4</v>
      </c>
      <c r="AA4620">
        <v>0.99914769999999997</v>
      </c>
      <c r="AB4620">
        <v>43</v>
      </c>
      <c r="AC4620">
        <v>-53.516199999999898</v>
      </c>
      <c r="AD4620">
        <v>-1.1104914200689999</v>
      </c>
      <c r="AE4620">
        <v>2.3301999999999898</v>
      </c>
      <c r="AF4620">
        <v>2.2281212650018301</v>
      </c>
      <c r="AG4620">
        <v>-1.1104914200689999</v>
      </c>
      <c r="AH4620">
        <v>53.4975156131554</v>
      </c>
      <c r="AI4620">
        <v>91.188134539478199</v>
      </c>
      <c r="AJ4620">
        <v>87.615062980435994</v>
      </c>
      <c r="AK4620">
        <v>53.555409552587697</v>
      </c>
      <c r="AL4620">
        <v>76.434129257261503</v>
      </c>
      <c r="AM4620">
        <v>86.440826090763096</v>
      </c>
      <c r="AN4620">
        <v>0.99999997679958896</v>
      </c>
    </row>
    <row r="4621" spans="1:40" x14ac:dyDescent="0.25">
      <c r="A4621" t="str">
        <f>"20190312164120464"</f>
        <v>20190312164120464</v>
      </c>
      <c r="B4621" t="str">
        <f>"1552380080460456"</f>
        <v>1552380080460456</v>
      </c>
      <c r="C4621" t="s">
        <v>40</v>
      </c>
      <c r="D4621">
        <v>5.2930989999999998</v>
      </c>
      <c r="E4621">
        <v>0.49651390000000001</v>
      </c>
      <c r="F4621" t="s">
        <v>41</v>
      </c>
      <c r="G4621">
        <v>-372.40679999999998</v>
      </c>
      <c r="H4621" s="1">
        <v>-4.195122E-6</v>
      </c>
      <c r="I4621">
        <v>143.7774</v>
      </c>
      <c r="J4621">
        <v>-316.11340000000001</v>
      </c>
      <c r="K4621">
        <v>1.110501</v>
      </c>
      <c r="L4621">
        <v>141.3929</v>
      </c>
      <c r="M4621">
        <v>-0.99987979999999999</v>
      </c>
      <c r="N4621">
        <v>0</v>
      </c>
      <c r="O4621">
        <v>1.7727589999999901E-3</v>
      </c>
      <c r="P4621">
        <v>-0.97339160000000002</v>
      </c>
      <c r="Q4621">
        <v>0.22067639999999999</v>
      </c>
      <c r="R4621">
        <v>6.1731630000000003E-2</v>
      </c>
      <c r="S4621">
        <v>-3.0866389999999999</v>
      </c>
      <c r="T4621">
        <v>-6.0423730000000002E-2</v>
      </c>
      <c r="U4621">
        <v>0.1297913</v>
      </c>
      <c r="V4621">
        <v>5.9936870000000003E-2</v>
      </c>
      <c r="W4621">
        <v>0.23566239999999999</v>
      </c>
      <c r="X4621">
        <v>0.96998490000000004</v>
      </c>
      <c r="Y4621">
        <v>4.0233430000000001E-2</v>
      </c>
      <c r="Z4621">
        <v>3.589027E-4</v>
      </c>
      <c r="AA4621">
        <v>0.99919029999999998</v>
      </c>
      <c r="AB4621">
        <v>43</v>
      </c>
      <c r="AC4621">
        <v>-56.293399999999899</v>
      </c>
      <c r="AD4621">
        <v>-1.110505195122</v>
      </c>
      <c r="AE4621">
        <v>2.3845000000000001</v>
      </c>
      <c r="AF4621">
        <v>2.2838026120623498</v>
      </c>
      <c r="AG4621">
        <v>-1.110505195122</v>
      </c>
      <c r="AH4621">
        <v>56.275678248200101</v>
      </c>
      <c r="AI4621">
        <v>91.129558912901203</v>
      </c>
      <c r="AJ4621">
        <v>87.676074443409107</v>
      </c>
      <c r="AK4621">
        <v>56.332947184167402</v>
      </c>
      <c r="AL4621">
        <v>76.369327122078403</v>
      </c>
      <c r="AM4621">
        <v>86.464100680652194</v>
      </c>
      <c r="AN4621">
        <v>0.99999995069358205</v>
      </c>
    </row>
    <row r="4622" spans="1:40" x14ac:dyDescent="0.25">
      <c r="A4622" t="str">
        <f>"20190312164120487"</f>
        <v>20190312164120487</v>
      </c>
      <c r="B4622" t="str">
        <f>"1552380080480952"</f>
        <v>1552380080480952</v>
      </c>
      <c r="C4622" t="s">
        <v>40</v>
      </c>
      <c r="D4622">
        <v>5.0830419999999998</v>
      </c>
      <c r="E4622">
        <v>0.49625360000000002</v>
      </c>
      <c r="F4622" t="s">
        <v>41</v>
      </c>
      <c r="G4622">
        <v>-376.54759999999999</v>
      </c>
      <c r="H4622" s="1">
        <v>-2.5873050000000001E-6</v>
      </c>
      <c r="I4622">
        <v>143.84030000000001</v>
      </c>
      <c r="J4622">
        <v>-316.5634</v>
      </c>
      <c r="K4622">
        <v>1.1105039999999999</v>
      </c>
      <c r="L4622">
        <v>141.39359999999999</v>
      </c>
      <c r="M4622">
        <v>-0.9998802</v>
      </c>
      <c r="N4622">
        <v>0</v>
      </c>
      <c r="O4622">
        <v>1.6518660000000001E-3</v>
      </c>
      <c r="P4622">
        <v>-0.97319880000000003</v>
      </c>
      <c r="Q4622">
        <v>0.2216892</v>
      </c>
      <c r="R4622">
        <v>6.1139369999999998E-2</v>
      </c>
      <c r="S4622">
        <v>-3.0869450000000001</v>
      </c>
      <c r="T4622">
        <v>-5.6723950000000002E-2</v>
      </c>
      <c r="U4622">
        <v>0.1250153</v>
      </c>
      <c r="V4622">
        <v>5.9462139999999997E-2</v>
      </c>
      <c r="W4622">
        <v>0.2366665</v>
      </c>
      <c r="X4622">
        <v>0.96976969999999996</v>
      </c>
      <c r="Y4622">
        <v>3.880786E-2</v>
      </c>
      <c r="Z4622">
        <v>3.2603740000000002E-4</v>
      </c>
      <c r="AA4622">
        <v>0.99924669999999904</v>
      </c>
      <c r="AB4622">
        <v>43</v>
      </c>
      <c r="AC4622">
        <v>-59.984199999999902</v>
      </c>
      <c r="AD4622">
        <v>-1.110506587305</v>
      </c>
      <c r="AE4622">
        <v>2.4467000000000199</v>
      </c>
      <c r="AF4622">
        <v>2.3467960521054598</v>
      </c>
      <c r="AG4622">
        <v>-1.110506587305</v>
      </c>
      <c r="AH4622">
        <v>59.967640894175901</v>
      </c>
      <c r="AI4622">
        <v>91.060095374546194</v>
      </c>
      <c r="AJ4622">
        <v>87.758909178307505</v>
      </c>
      <c r="AK4622">
        <v>60.023817197871203</v>
      </c>
      <c r="AL4622">
        <v>76.310122718257404</v>
      </c>
      <c r="AM4622">
        <v>86.491260056611594</v>
      </c>
      <c r="AN4622">
        <v>1.0000000246768499</v>
      </c>
    </row>
    <row r="4623" spans="1:40" x14ac:dyDescent="0.25">
      <c r="A4623" t="str">
        <f>"20190312164120509"</f>
        <v>20190312164120509</v>
      </c>
      <c r="B4623" t="str">
        <f>"1552380080500472"</f>
        <v>1552380080500472</v>
      </c>
      <c r="C4623" t="s">
        <v>40</v>
      </c>
      <c r="D4623">
        <v>5.0715430000000001</v>
      </c>
      <c r="E4623">
        <v>0.4960135</v>
      </c>
      <c r="F4623" t="s">
        <v>41</v>
      </c>
      <c r="G4623">
        <v>-379.4359</v>
      </c>
      <c r="H4623" s="1">
        <v>-1.3533039999999999E-6</v>
      </c>
      <c r="I4623">
        <v>143.85939999999999</v>
      </c>
      <c r="J4623">
        <v>-316.98110000000003</v>
      </c>
      <c r="K4623">
        <v>1.1105119999999999</v>
      </c>
      <c r="L4623">
        <v>141.39420000000001</v>
      </c>
      <c r="M4623">
        <v>-0.9998804</v>
      </c>
      <c r="N4623">
        <v>0</v>
      </c>
      <c r="O4623">
        <v>1.539735E-3</v>
      </c>
      <c r="P4623">
        <v>-0.97302359999999999</v>
      </c>
      <c r="Q4623">
        <v>0.22258410000000001</v>
      </c>
      <c r="R4623">
        <v>6.0678339999999997E-2</v>
      </c>
      <c r="S4623">
        <v>-3.0874630000000001</v>
      </c>
      <c r="T4623">
        <v>-5.4533239999999997E-2</v>
      </c>
      <c r="U4623">
        <v>0.1210938</v>
      </c>
      <c r="V4623">
        <v>5.9110580000000003E-2</v>
      </c>
      <c r="W4623">
        <v>0.23755399999999999</v>
      </c>
      <c r="X4623">
        <v>0.96957420000000005</v>
      </c>
      <c r="Y4623">
        <v>3.7646569999999997E-2</v>
      </c>
      <c r="Z4623">
        <v>3.0513179999999999E-4</v>
      </c>
      <c r="AA4623">
        <v>0.99929109999999999</v>
      </c>
      <c r="AB4623">
        <v>43</v>
      </c>
      <c r="AC4623">
        <v>-62.454799999999899</v>
      </c>
      <c r="AD4623">
        <v>-1.1105133533039999</v>
      </c>
      <c r="AE4623">
        <v>2.4651999999999799</v>
      </c>
      <c r="AF4623">
        <v>2.3682742427357</v>
      </c>
      <c r="AG4623">
        <v>-1.1105133533039999</v>
      </c>
      <c r="AH4623">
        <v>62.438811798368597</v>
      </c>
      <c r="AI4623">
        <v>91.018201874655006</v>
      </c>
      <c r="AJ4623">
        <v>87.827839769026895</v>
      </c>
      <c r="AK4623">
        <v>62.493577122683298</v>
      </c>
      <c r="AL4623">
        <v>76.257780348953503</v>
      </c>
      <c r="AM4623">
        <v>86.511251953269493</v>
      </c>
      <c r="AN4623">
        <v>1.00000004644478</v>
      </c>
    </row>
    <row r="4624" spans="1:40" x14ac:dyDescent="0.25">
      <c r="A4624" t="str">
        <f>"20190312164120530"</f>
        <v>20190312164120530</v>
      </c>
      <c r="B4624" t="str">
        <f>"1552380080520968"</f>
        <v>1552380080520968</v>
      </c>
      <c r="C4624" t="s">
        <v>40</v>
      </c>
      <c r="D4624">
        <v>5.1940089999999897</v>
      </c>
      <c r="E4624">
        <v>0.4957857</v>
      </c>
      <c r="F4624" t="s">
        <v>41</v>
      </c>
      <c r="G4624">
        <v>-380.4984</v>
      </c>
      <c r="H4624" s="1">
        <v>-4.8526949999999998E-6</v>
      </c>
      <c r="I4624">
        <v>143.82320000000001</v>
      </c>
      <c r="J4624">
        <v>-317.38650000000001</v>
      </c>
      <c r="K4624">
        <v>1.110514</v>
      </c>
      <c r="L4624">
        <v>141.3947</v>
      </c>
      <c r="M4624">
        <v>-0.99988069999999896</v>
      </c>
      <c r="N4624">
        <v>0</v>
      </c>
      <c r="O4624">
        <v>1.4307619999999999E-3</v>
      </c>
      <c r="P4624">
        <v>-0.97280820000000001</v>
      </c>
      <c r="Q4624">
        <v>0.22353629999999999</v>
      </c>
      <c r="R4624">
        <v>6.0630370000000003E-2</v>
      </c>
      <c r="S4624">
        <v>-3.0881349999999999</v>
      </c>
      <c r="T4624">
        <v>-5.3992150000000003E-2</v>
      </c>
      <c r="U4624">
        <v>0.118103</v>
      </c>
      <c r="V4624">
        <v>5.9168610000000003E-2</v>
      </c>
      <c r="W4624">
        <v>0.23849880000000001</v>
      </c>
      <c r="X4624">
        <v>0.9693387</v>
      </c>
      <c r="Y4624">
        <v>3.6780880000000002E-2</v>
      </c>
      <c r="Z4624">
        <v>2.963849E-4</v>
      </c>
      <c r="AA4624">
        <v>0.99932330000000003</v>
      </c>
      <c r="AB4624">
        <v>43</v>
      </c>
      <c r="AC4624">
        <v>-63.111899999999899</v>
      </c>
      <c r="AD4624">
        <v>-1.1105188526950001</v>
      </c>
      <c r="AE4624">
        <v>2.4285000000000099</v>
      </c>
      <c r="AF4624">
        <v>2.33746606725225</v>
      </c>
      <c r="AG4624">
        <v>-1.1105188526950001</v>
      </c>
      <c r="AH4624">
        <v>63.0958035478955</v>
      </c>
      <c r="AI4624">
        <v>91.007640234454001</v>
      </c>
      <c r="AJ4624">
        <v>87.878373601611997</v>
      </c>
      <c r="AK4624">
        <v>63.148851336286199</v>
      </c>
      <c r="AL4624">
        <v>76.202045572849499</v>
      </c>
      <c r="AM4624">
        <v>86.506989135621296</v>
      </c>
      <c r="AN4624">
        <v>1.0000000586642199</v>
      </c>
    </row>
    <row r="4625" spans="1:40" x14ac:dyDescent="0.25">
      <c r="A4625" t="str">
        <f>"20190312164120552"</f>
        <v>20190312164120552</v>
      </c>
      <c r="B4625" t="str">
        <f>"1552380080540489"</f>
        <v>1552380080540489</v>
      </c>
      <c r="C4625" t="s">
        <v>40</v>
      </c>
      <c r="D4625">
        <v>5.0488999999999997</v>
      </c>
      <c r="E4625">
        <v>0.495558</v>
      </c>
      <c r="F4625" t="s">
        <v>41</v>
      </c>
      <c r="G4625">
        <v>-384.6003</v>
      </c>
      <c r="H4625" s="1">
        <v>-3.4428560000000002E-6</v>
      </c>
      <c r="I4625">
        <v>143.9161</v>
      </c>
      <c r="J4625">
        <v>-317.79790000000003</v>
      </c>
      <c r="K4625">
        <v>1.1105210000000001</v>
      </c>
      <c r="L4625">
        <v>141.39519999999999</v>
      </c>
      <c r="M4625">
        <v>-0.99988100000000002</v>
      </c>
      <c r="N4625">
        <v>0</v>
      </c>
      <c r="O4625">
        <v>1.3203010000000001E-3</v>
      </c>
      <c r="P4625">
        <v>-0.97263840000000001</v>
      </c>
      <c r="Q4625">
        <v>0.22440270000000001</v>
      </c>
      <c r="R4625">
        <v>6.0152360000000002E-2</v>
      </c>
      <c r="S4625">
        <v>-3.0883479999999999</v>
      </c>
      <c r="T4625">
        <v>-5.1026229999999999E-2</v>
      </c>
      <c r="U4625">
        <v>0.11586</v>
      </c>
      <c r="V4625">
        <v>5.8798160000000002E-2</v>
      </c>
      <c r="W4625">
        <v>0.2393573</v>
      </c>
      <c r="X4625">
        <v>0.96914960000000006</v>
      </c>
      <c r="Y4625">
        <v>3.6164509999999997E-2</v>
      </c>
      <c r="Z4625">
        <v>2.7682519999999998E-4</v>
      </c>
      <c r="AA4625">
        <v>0.99934579999999995</v>
      </c>
      <c r="AB4625">
        <v>43</v>
      </c>
      <c r="AC4625">
        <v>-66.802399999999906</v>
      </c>
      <c r="AD4625">
        <v>-1.1105244428559999</v>
      </c>
      <c r="AE4625">
        <v>2.5209000000000099</v>
      </c>
      <c r="AF4625">
        <v>2.4320169549916</v>
      </c>
      <c r="AG4625">
        <v>-1.1105244428559999</v>
      </c>
      <c r="AH4625">
        <v>66.787239557137397</v>
      </c>
      <c r="AI4625">
        <v>90.9519837716647</v>
      </c>
      <c r="AJ4625">
        <v>87.9145302824368</v>
      </c>
      <c r="AK4625">
        <v>66.840731135064701</v>
      </c>
      <c r="AL4625">
        <v>76.151389816426104</v>
      </c>
      <c r="AM4625">
        <v>86.528129318222398</v>
      </c>
      <c r="AN4625">
        <v>1.0000000439314101</v>
      </c>
    </row>
    <row r="4626" spans="1:40" x14ac:dyDescent="0.25">
      <c r="A4626" t="str">
        <f>"20190312164120575"</f>
        <v>20190312164120575</v>
      </c>
      <c r="B4626" t="str">
        <f>"1552380080570745"</f>
        <v>1552380080570745</v>
      </c>
      <c r="C4626" t="s">
        <v>40</v>
      </c>
      <c r="D4626">
        <v>5.0287410000000001</v>
      </c>
      <c r="E4626">
        <v>0.49522389999999999</v>
      </c>
      <c r="F4626" t="s">
        <v>41</v>
      </c>
      <c r="G4626">
        <v>-388.63310000000001</v>
      </c>
      <c r="H4626" s="1">
        <v>-1.7317329999999999E-6</v>
      </c>
      <c r="I4626">
        <v>143.9872</v>
      </c>
      <c r="J4626">
        <v>-318.24700000000001</v>
      </c>
      <c r="K4626">
        <v>1.1105210000000001</v>
      </c>
      <c r="L4626">
        <v>141.39570000000001</v>
      </c>
      <c r="M4626">
        <v>-0.99988100000000002</v>
      </c>
      <c r="N4626">
        <v>0</v>
      </c>
      <c r="O4626">
        <v>1.1997100000000001E-3</v>
      </c>
      <c r="P4626">
        <v>-0.97248330000000005</v>
      </c>
      <c r="Q4626">
        <v>0.2251997</v>
      </c>
      <c r="R4626">
        <v>5.9677029999999999E-2</v>
      </c>
      <c r="S4626">
        <v>-3.088562</v>
      </c>
      <c r="T4626">
        <v>-4.8421140000000001E-2</v>
      </c>
      <c r="U4626">
        <v>0.11302189999999999</v>
      </c>
      <c r="V4626">
        <v>5.8440110000000003E-2</v>
      </c>
      <c r="W4626">
        <v>0.240147</v>
      </c>
      <c r="X4626">
        <v>0.96897580000000005</v>
      </c>
      <c r="Y4626">
        <v>3.5365939999999998E-2</v>
      </c>
      <c r="Z4626">
        <v>2.5831299999999998E-4</v>
      </c>
      <c r="AA4626">
        <v>0.9993744</v>
      </c>
      <c r="AB4626">
        <v>43</v>
      </c>
      <c r="AC4626">
        <v>-70.386099999999999</v>
      </c>
      <c r="AD4626">
        <v>-1.110522731733</v>
      </c>
      <c r="AE4626">
        <v>2.5914999999999901</v>
      </c>
      <c r="AF4626">
        <v>2.5064221528709099</v>
      </c>
      <c r="AG4626">
        <v>-1.110522731733</v>
      </c>
      <c r="AH4626">
        <v>70.371664691263405</v>
      </c>
      <c r="AI4626">
        <v>90.903526651856694</v>
      </c>
      <c r="AJ4626">
        <v>87.960162904704404</v>
      </c>
      <c r="AK4626">
        <v>70.425042450578005</v>
      </c>
      <c r="AL4626">
        <v>76.104782916473894</v>
      </c>
      <c r="AM4626">
        <v>86.548602495703093</v>
      </c>
      <c r="AN4626">
        <v>0.99999996452572504</v>
      </c>
    </row>
    <row r="4627" spans="1:40" x14ac:dyDescent="0.25">
      <c r="A4627" t="str">
        <f>"20190312164120599"</f>
        <v>20190312164120599</v>
      </c>
      <c r="B4627" t="str">
        <f>"1552380080591244"</f>
        <v>1552380080591244</v>
      </c>
      <c r="C4627" t="s">
        <v>40</v>
      </c>
      <c r="D4627">
        <v>5.3299329999999996</v>
      </c>
      <c r="E4627">
        <v>0.49531160000000002</v>
      </c>
      <c r="F4627" t="s">
        <v>41</v>
      </c>
      <c r="G4627">
        <v>-392.44560000000001</v>
      </c>
      <c r="H4627" s="1">
        <v>-4.2249440000000004E-6</v>
      </c>
      <c r="I4627">
        <v>144.01990000000001</v>
      </c>
      <c r="J4627">
        <v>-318.6995</v>
      </c>
      <c r="K4627">
        <v>1.110517</v>
      </c>
      <c r="L4627">
        <v>141.39609999999999</v>
      </c>
      <c r="M4627">
        <v>-0.99988129999999997</v>
      </c>
      <c r="N4627">
        <v>0</v>
      </c>
      <c r="O4627">
        <v>1.0777510000000001E-3</v>
      </c>
      <c r="P4627">
        <v>-0.972333</v>
      </c>
      <c r="Q4627">
        <v>0.22592419999999999</v>
      </c>
      <c r="R4627">
        <v>5.9389770000000001E-2</v>
      </c>
      <c r="S4627">
        <v>-3.0888979999999999</v>
      </c>
      <c r="T4627">
        <v>-4.6231389999999997E-2</v>
      </c>
      <c r="U4627">
        <v>0.1092529</v>
      </c>
      <c r="V4627">
        <v>5.8271589999999998E-2</v>
      </c>
      <c r="W4627">
        <v>0.24086399999999999</v>
      </c>
      <c r="X4627">
        <v>0.968808</v>
      </c>
      <c r="Y4627">
        <v>3.426651E-2</v>
      </c>
      <c r="Z4627">
        <v>2.4021160000000001E-4</v>
      </c>
      <c r="AA4627">
        <v>0.99941270000000004</v>
      </c>
      <c r="AB4627">
        <v>43</v>
      </c>
      <c r="AC4627">
        <v>-73.746099999999998</v>
      </c>
      <c r="AD4627">
        <v>-1.110521224944</v>
      </c>
      <c r="AE4627">
        <v>2.6238000000000099</v>
      </c>
      <c r="AF4627">
        <v>2.54373305375365</v>
      </c>
      <c r="AG4627">
        <v>-1.110521224944</v>
      </c>
      <c r="AH4627">
        <v>73.732186571968299</v>
      </c>
      <c r="AI4627">
        <v>90.862385179929404</v>
      </c>
      <c r="AJ4627">
        <v>88.024100558123294</v>
      </c>
      <c r="AK4627">
        <v>73.7844100872491</v>
      </c>
      <c r="AL4627">
        <v>76.062459956873298</v>
      </c>
      <c r="AM4627">
        <v>86.557936476258604</v>
      </c>
      <c r="AN4627">
        <v>0.99999999278056395</v>
      </c>
    </row>
    <row r="4628" spans="1:40" x14ac:dyDescent="0.25">
      <c r="A4628" t="str">
        <f>"20190312164120619"</f>
        <v>20190312164120619</v>
      </c>
      <c r="B4628" t="str">
        <f>"1552380080610760"</f>
        <v>1552380080610760</v>
      </c>
      <c r="C4628" t="s">
        <v>40</v>
      </c>
      <c r="D4628">
        <v>5.2032179999999997</v>
      </c>
      <c r="E4628">
        <v>0.49541249999999998</v>
      </c>
      <c r="F4628" t="s">
        <v>41</v>
      </c>
      <c r="G4628">
        <v>-396.44940000000003</v>
      </c>
      <c r="H4628" s="1">
        <v>-2.7092490000000001E-6</v>
      </c>
      <c r="I4628">
        <v>144.14019999999999</v>
      </c>
      <c r="J4628">
        <v>-319.09629999999999</v>
      </c>
      <c r="K4628">
        <v>1.11052</v>
      </c>
      <c r="L4628">
        <v>141.3964</v>
      </c>
      <c r="M4628">
        <v>-0.99988140000000003</v>
      </c>
      <c r="N4628">
        <v>0</v>
      </c>
      <c r="O4628">
        <v>9.7098409999999997E-4</v>
      </c>
      <c r="P4628">
        <v>-0.97213919999999998</v>
      </c>
      <c r="Q4628">
        <v>0.22681299999999999</v>
      </c>
      <c r="R4628">
        <v>5.9172450000000001E-2</v>
      </c>
      <c r="S4628">
        <v>-3.088959</v>
      </c>
      <c r="T4628">
        <v>-4.4120310000000003E-2</v>
      </c>
      <c r="U4628">
        <v>0.109024</v>
      </c>
      <c r="V4628">
        <v>5.8158090000000003E-2</v>
      </c>
      <c r="W4628">
        <v>0.24174499999999999</v>
      </c>
      <c r="X4628">
        <v>0.9685954</v>
      </c>
      <c r="Y4628">
        <v>3.4298889999999999E-2</v>
      </c>
      <c r="Z4628">
        <v>2.3099540000000001E-4</v>
      </c>
      <c r="AA4628">
        <v>0.99941159999999996</v>
      </c>
      <c r="AB4628">
        <v>43</v>
      </c>
      <c r="AC4628">
        <v>-77.353099999999998</v>
      </c>
      <c r="AD4628">
        <v>-1.110522709249</v>
      </c>
      <c r="AE4628">
        <v>2.74379999999999</v>
      </c>
      <c r="AF4628">
        <v>2.66813196443902</v>
      </c>
      <c r="AG4628">
        <v>-1.110522709249</v>
      </c>
      <c r="AH4628">
        <v>77.339807537194801</v>
      </c>
      <c r="AI4628">
        <v>90.822164823791496</v>
      </c>
      <c r="AJ4628">
        <v>88.024146932924694</v>
      </c>
      <c r="AK4628">
        <v>77.393785401398702</v>
      </c>
      <c r="AL4628">
        <v>76.010445823817093</v>
      </c>
      <c r="AM4628">
        <v>86.5638725377285</v>
      </c>
      <c r="AN4628">
        <v>1.0000000286793</v>
      </c>
    </row>
    <row r="4629" spans="1:40" x14ac:dyDescent="0.25">
      <c r="A4629" t="str">
        <f>"20190312164120635"</f>
        <v>20190312164120635</v>
      </c>
      <c r="B4629" t="str">
        <f>"1552380080631257"</f>
        <v>1552380080631257</v>
      </c>
      <c r="C4629" t="s">
        <v>40</v>
      </c>
      <c r="D4629">
        <v>5.019971</v>
      </c>
      <c r="E4629">
        <v>0.50470059999999894</v>
      </c>
      <c r="F4629" t="s">
        <v>41</v>
      </c>
      <c r="G4629">
        <v>-399.87729999999999</v>
      </c>
      <c r="H4629" s="1">
        <v>-1.2675890000000001E-6</v>
      </c>
      <c r="I4629">
        <v>144.24879999999999</v>
      </c>
      <c r="J4629">
        <v>-319.39769999999999</v>
      </c>
      <c r="K4629">
        <v>1.110527</v>
      </c>
      <c r="L4629">
        <v>141.39670000000001</v>
      </c>
      <c r="M4629">
        <v>-0.99988169999999998</v>
      </c>
      <c r="N4629">
        <v>0</v>
      </c>
      <c r="O4629">
        <v>8.8983689999999995E-4</v>
      </c>
      <c r="P4629">
        <v>-0.97206990000000004</v>
      </c>
      <c r="Q4629">
        <v>0.2272315</v>
      </c>
      <c r="R4629">
        <v>5.8703239999999997E-2</v>
      </c>
      <c r="S4629">
        <v>-3.0892330000000001</v>
      </c>
      <c r="T4629">
        <v>-4.246867E-2</v>
      </c>
      <c r="U4629">
        <v>0.1090851</v>
      </c>
      <c r="V4629">
        <v>5.7767810000000003E-2</v>
      </c>
      <c r="W4629">
        <v>0.24215909999999999</v>
      </c>
      <c r="X4629">
        <v>0.96851529999999997</v>
      </c>
      <c r="Y4629">
        <v>3.4396820000000002E-2</v>
      </c>
      <c r="Z4629">
        <v>2.2411729999999999E-4</v>
      </c>
      <c r="AA4629">
        <v>0.99940819999999997</v>
      </c>
      <c r="AB4629">
        <v>43</v>
      </c>
      <c r="AC4629">
        <v>-80.479600000000005</v>
      </c>
      <c r="AD4629">
        <v>-1.110528267589</v>
      </c>
      <c r="AE4629">
        <v>2.8520999999999699</v>
      </c>
      <c r="AF4629">
        <v>2.77994804490202</v>
      </c>
      <c r="AG4629">
        <v>-1.110528267589</v>
      </c>
      <c r="AH4629">
        <v>80.466803942921004</v>
      </c>
      <c r="AI4629">
        <v>90.790221676946601</v>
      </c>
      <c r="AJ4629">
        <v>88.0213459634994</v>
      </c>
      <c r="AK4629">
        <v>80.522468423129894</v>
      </c>
      <c r="AL4629">
        <v>75.985992954714405</v>
      </c>
      <c r="AM4629">
        <v>86.586594962988499</v>
      </c>
      <c r="AN4629">
        <v>1.0000000179595401</v>
      </c>
    </row>
    <row r="4630" spans="1:40" x14ac:dyDescent="0.25">
      <c r="A4630" t="str">
        <f>"20190312164120654"</f>
        <v>20190312164120654</v>
      </c>
      <c r="B4630" t="str">
        <f>"1552380080641017"</f>
        <v>1552380080641017</v>
      </c>
      <c r="C4630" t="s">
        <v>40</v>
      </c>
      <c r="D4630">
        <v>5.0256559999999997</v>
      </c>
      <c r="E4630">
        <v>0.50446930000000001</v>
      </c>
      <c r="F4630" t="s">
        <v>41</v>
      </c>
      <c r="G4630">
        <v>-345.92809999999997</v>
      </c>
      <c r="H4630" s="1">
        <v>-2.6062799999999998E-6</v>
      </c>
      <c r="I4630">
        <v>142.9128</v>
      </c>
      <c r="J4630">
        <v>-319.76029999999997</v>
      </c>
      <c r="K4630">
        <v>1.1105309999999999</v>
      </c>
      <c r="L4630">
        <v>141.39689999999999</v>
      </c>
      <c r="M4630">
        <v>-0.99988169999999998</v>
      </c>
      <c r="N4630">
        <v>0</v>
      </c>
      <c r="O4630">
        <v>7.9242500000000003E-4</v>
      </c>
      <c r="P4630">
        <v>-0.97179649999999995</v>
      </c>
      <c r="Q4630">
        <v>0.22845789999999999</v>
      </c>
      <c r="R4630">
        <v>5.8468930000000002E-2</v>
      </c>
      <c r="S4630">
        <v>-3.1058349999999999</v>
      </c>
      <c r="T4630">
        <v>-0.13000680000000001</v>
      </c>
      <c r="U4630">
        <v>0.17750550000000001</v>
      </c>
      <c r="V4630">
        <v>5.7628359999999997E-2</v>
      </c>
      <c r="W4630">
        <v>0.24337710000000001</v>
      </c>
      <c r="X4630">
        <v>0.96821829999999998</v>
      </c>
      <c r="Y4630">
        <v>5.6219520000000002E-2</v>
      </c>
      <c r="Z4630">
        <v>1.142038E-3</v>
      </c>
      <c r="AA4630">
        <v>0.99841780000000002</v>
      </c>
      <c r="AB4630">
        <v>43</v>
      </c>
      <c r="AC4630">
        <v>-26.1678</v>
      </c>
      <c r="AD4630">
        <v>-1.11053360628</v>
      </c>
      <c r="AE4630">
        <v>1.51590000000001</v>
      </c>
      <c r="AF4630">
        <v>1.49248199419122</v>
      </c>
      <c r="AG4630">
        <v>-1.11053360628</v>
      </c>
      <c r="AH4630">
        <v>26.122102956897901</v>
      </c>
      <c r="AI4630">
        <v>92.430400878067204</v>
      </c>
      <c r="AJ4630">
        <v>86.729970321157595</v>
      </c>
      <c r="AK4630">
        <v>26.188261688864198</v>
      </c>
      <c r="AL4630">
        <v>75.914055192724604</v>
      </c>
      <c r="AM4630">
        <v>86.593773344037103</v>
      </c>
      <c r="AN4630">
        <v>1.00000005856779</v>
      </c>
    </row>
    <row r="4631" spans="1:40" x14ac:dyDescent="0.25">
      <c r="A4631" t="str">
        <f>"20190312164120678"</f>
        <v>20190312164120678</v>
      </c>
      <c r="B4631" t="str">
        <f>"1552380080670297"</f>
        <v>1552380080670297</v>
      </c>
      <c r="C4631" t="s">
        <v>40</v>
      </c>
      <c r="D4631">
        <v>5.0563000000000002</v>
      </c>
      <c r="E4631">
        <v>0.50452269999999999</v>
      </c>
      <c r="F4631" t="s">
        <v>41</v>
      </c>
      <c r="G4631">
        <v>-346.72410000000002</v>
      </c>
      <c r="H4631" s="1">
        <v>-2.2657219999999999E-6</v>
      </c>
      <c r="I4631">
        <v>142.91630000000001</v>
      </c>
      <c r="J4631">
        <v>-320.19189999999998</v>
      </c>
      <c r="K4631">
        <v>1.110536</v>
      </c>
      <c r="L4631">
        <v>141.39709999999999</v>
      </c>
      <c r="M4631">
        <v>-0.99988180000000004</v>
      </c>
      <c r="N4631">
        <v>0</v>
      </c>
      <c r="O4631">
        <v>6.7624649999999998E-4</v>
      </c>
      <c r="P4631">
        <v>-0.97157249999999995</v>
      </c>
      <c r="Q4631">
        <v>0.22943050000000001</v>
      </c>
      <c r="R4631">
        <v>5.8382660000000003E-2</v>
      </c>
      <c r="S4631">
        <v>-3.106598</v>
      </c>
      <c r="T4631">
        <v>-0.12794900000000001</v>
      </c>
      <c r="U4631">
        <v>0.1750641</v>
      </c>
      <c r="V4631">
        <v>5.7654959999999998E-2</v>
      </c>
      <c r="W4631">
        <v>0.2443408</v>
      </c>
      <c r="X4631">
        <v>0.96797390000000005</v>
      </c>
      <c r="Y4631">
        <v>5.5541449999999999E-2</v>
      </c>
      <c r="Z4631">
        <v>1.1145599999999999E-3</v>
      </c>
      <c r="AA4631">
        <v>0.9984558</v>
      </c>
      <c r="AB4631">
        <v>43</v>
      </c>
      <c r="AC4631">
        <v>-26.5322</v>
      </c>
      <c r="AD4631">
        <v>-1.110538265722</v>
      </c>
      <c r="AE4631">
        <v>1.5192000000000101</v>
      </c>
      <c r="AF4631">
        <v>1.4986382758590999</v>
      </c>
      <c r="AG4631">
        <v>-1.110538265722</v>
      </c>
      <c r="AH4631">
        <v>26.486969326897199</v>
      </c>
      <c r="AI4631">
        <v>92.3970459618305</v>
      </c>
      <c r="AJ4631">
        <v>86.761645511330599</v>
      </c>
      <c r="AK4631">
        <v>26.552565903232299</v>
      </c>
      <c r="AL4631">
        <v>75.857119527647399</v>
      </c>
      <c r="AM4631">
        <v>86.591346415629999</v>
      </c>
      <c r="AN4631">
        <v>0.99999999601922496</v>
      </c>
    </row>
    <row r="4632" spans="1:40" x14ac:dyDescent="0.25">
      <c r="A4632" t="str">
        <f>"20190312164120699"</f>
        <v>20190312164120699</v>
      </c>
      <c r="B4632" t="str">
        <f>"1552380080690792"</f>
        <v>1552380080690792</v>
      </c>
      <c r="C4632" t="s">
        <v>40</v>
      </c>
      <c r="D4632">
        <v>5.0480239999999998</v>
      </c>
      <c r="E4632">
        <v>0.50445399999999996</v>
      </c>
      <c r="F4632" t="s">
        <v>41</v>
      </c>
      <c r="G4632">
        <v>-348.23340000000002</v>
      </c>
      <c r="H4632" s="1">
        <v>-1.635453E-6</v>
      </c>
      <c r="I4632">
        <v>142.98099999999999</v>
      </c>
      <c r="J4632">
        <v>-320.60489999999999</v>
      </c>
      <c r="K4632">
        <v>1.1105400000000001</v>
      </c>
      <c r="L4632">
        <v>141.3973</v>
      </c>
      <c r="M4632">
        <v>-0.9998821</v>
      </c>
      <c r="N4632">
        <v>0</v>
      </c>
      <c r="O4632">
        <v>5.6489419999999999E-4</v>
      </c>
      <c r="P4632">
        <v>-0.97146299999999997</v>
      </c>
      <c r="Q4632">
        <v>0.22985349999999999</v>
      </c>
      <c r="R4632">
        <v>5.854359E-2</v>
      </c>
      <c r="S4632">
        <v>-3.106293</v>
      </c>
      <c r="T4632">
        <v>-0.1230198</v>
      </c>
      <c r="U4632">
        <v>0.1754608</v>
      </c>
      <c r="V4632">
        <v>5.7924290000000003E-2</v>
      </c>
      <c r="W4632">
        <v>0.2447579</v>
      </c>
      <c r="X4632">
        <v>0.9678525</v>
      </c>
      <c r="Y4632">
        <v>5.5788480000000001E-2</v>
      </c>
      <c r="Z4632">
        <v>1.0810489999999999E-3</v>
      </c>
      <c r="AA4632">
        <v>0.9984421</v>
      </c>
      <c r="AB4632">
        <v>43</v>
      </c>
      <c r="AC4632">
        <v>-27.628499999999999</v>
      </c>
      <c r="AD4632">
        <v>-1.11054163545299</v>
      </c>
      <c r="AE4632">
        <v>1.5836999999999899</v>
      </c>
      <c r="AF4632">
        <v>1.5655695560888201</v>
      </c>
      <c r="AG4632">
        <v>-1.11054163545299</v>
      </c>
      <c r="AH4632">
        <v>27.5849678262576</v>
      </c>
      <c r="AI4632">
        <v>92.301722477732497</v>
      </c>
      <c r="AJ4632">
        <v>86.751694477385101</v>
      </c>
      <c r="AK4632">
        <v>27.651668317385301</v>
      </c>
      <c r="AL4632">
        <v>75.832474002247693</v>
      </c>
      <c r="AM4632">
        <v>86.575032476965404</v>
      </c>
      <c r="AN4632">
        <v>1.00000005737033</v>
      </c>
    </row>
    <row r="4633" spans="1:40" x14ac:dyDescent="0.25">
      <c r="A4633" t="str">
        <f>"20190312164120719"</f>
        <v>20190312164120719</v>
      </c>
      <c r="B4633" t="str">
        <f>"1552380080711292"</f>
        <v>1552380080711292</v>
      </c>
      <c r="C4633" t="s">
        <v>40</v>
      </c>
      <c r="D4633">
        <v>5.0543550000000002</v>
      </c>
      <c r="E4633">
        <v>0.50416000000000005</v>
      </c>
      <c r="F4633" t="s">
        <v>41</v>
      </c>
      <c r="G4633">
        <v>-348.56659999999999</v>
      </c>
      <c r="H4633" s="1">
        <v>-1.4910129999999999E-6</v>
      </c>
      <c r="I4633">
        <v>142.9753</v>
      </c>
      <c r="J4633">
        <v>-320.99610000000001</v>
      </c>
      <c r="K4633">
        <v>1.110544</v>
      </c>
      <c r="L4633">
        <v>141.3974</v>
      </c>
      <c r="M4633">
        <v>-0.99988200000000005</v>
      </c>
      <c r="N4633">
        <v>0</v>
      </c>
      <c r="O4633">
        <v>4.5955969999999998E-4</v>
      </c>
      <c r="P4633">
        <v>-0.97126480000000004</v>
      </c>
      <c r="Q4633">
        <v>0.23077339999999999</v>
      </c>
      <c r="R4633">
        <v>5.8208240000000001E-2</v>
      </c>
      <c r="S4633">
        <v>-3.1068120000000001</v>
      </c>
      <c r="T4633">
        <v>-0.1233921</v>
      </c>
      <c r="U4633">
        <v>0.17533869999999999</v>
      </c>
      <c r="V4633">
        <v>5.7691220000000001E-2</v>
      </c>
      <c r="W4633">
        <v>0.24567</v>
      </c>
      <c r="X4633">
        <v>0.96763529999999998</v>
      </c>
      <c r="Y4633">
        <v>5.5844789999999998E-2</v>
      </c>
      <c r="Z4633">
        <v>1.089434E-3</v>
      </c>
      <c r="AA4633">
        <v>0.99843890000000002</v>
      </c>
      <c r="AB4633">
        <v>43</v>
      </c>
      <c r="AC4633">
        <v>-27.5704999999999</v>
      </c>
      <c r="AD4633">
        <v>-1.1105454910129999</v>
      </c>
      <c r="AE4633">
        <v>1.5778999999999901</v>
      </c>
      <c r="AF4633">
        <v>1.5627008517418</v>
      </c>
      <c r="AG4633">
        <v>-1.1105454910129999</v>
      </c>
      <c r="AH4633">
        <v>27.526706173877301</v>
      </c>
      <c r="AI4633">
        <v>92.306594857685596</v>
      </c>
      <c r="AJ4633">
        <v>86.750785925567001</v>
      </c>
      <c r="AK4633">
        <v>27.5933850410315</v>
      </c>
      <c r="AL4633">
        <v>75.778568630315505</v>
      </c>
      <c r="AM4633">
        <v>86.588017022744907</v>
      </c>
      <c r="AN4633">
        <v>1.0000000497855801</v>
      </c>
    </row>
    <row r="4634" spans="1:40" x14ac:dyDescent="0.25">
      <c r="A4634" t="str">
        <f>"20190312164120742"</f>
        <v>20190312164120742</v>
      </c>
      <c r="B4634" t="str">
        <f>"1552380080730809"</f>
        <v>1552380080730809</v>
      </c>
      <c r="C4634" t="s">
        <v>40</v>
      </c>
      <c r="D4634">
        <v>5.0191800000000004</v>
      </c>
      <c r="E4634">
        <v>0.50412420000000002</v>
      </c>
      <c r="F4634" t="s">
        <v>41</v>
      </c>
      <c r="G4634">
        <v>-349.20010000000002</v>
      </c>
      <c r="H4634" s="1">
        <v>-1.2137929999999999E-6</v>
      </c>
      <c r="I4634">
        <v>142.95490000000001</v>
      </c>
      <c r="J4634">
        <v>-321.43290000000002</v>
      </c>
      <c r="K4634">
        <v>1.1105560000000001</v>
      </c>
      <c r="L4634">
        <v>141.39760000000001</v>
      </c>
      <c r="M4634">
        <v>-0.9998823</v>
      </c>
      <c r="N4634">
        <v>0</v>
      </c>
      <c r="O4634">
        <v>3.4147479999999998E-4</v>
      </c>
      <c r="P4634">
        <v>-0.97118459999999995</v>
      </c>
      <c r="Q4634">
        <v>0.23112060000000001</v>
      </c>
      <c r="R4634">
        <v>5.8167980000000001E-2</v>
      </c>
      <c r="S4634">
        <v>-3.107513</v>
      </c>
      <c r="T4634">
        <v>-0.12236</v>
      </c>
      <c r="U4634">
        <v>0.17161560000000001</v>
      </c>
      <c r="V4634">
        <v>5.7765509999999999E-2</v>
      </c>
      <c r="W4634">
        <v>0.24601100000000001</v>
      </c>
      <c r="X4634">
        <v>0.96754419999999997</v>
      </c>
      <c r="Y4634">
        <v>5.4758960000000002E-2</v>
      </c>
      <c r="Z4634">
        <v>1.063413E-3</v>
      </c>
      <c r="AA4634">
        <v>0.99849900000000003</v>
      </c>
      <c r="AB4634">
        <v>42</v>
      </c>
      <c r="AC4634">
        <v>-27.767199999999999</v>
      </c>
      <c r="AD4634">
        <v>-1.110557213793</v>
      </c>
      <c r="AE4634">
        <v>1.5572999999999899</v>
      </c>
      <c r="AF4634">
        <v>1.5453527634494599</v>
      </c>
      <c r="AG4634">
        <v>-1.110557213793</v>
      </c>
      <c r="AH4634">
        <v>27.7235220861931</v>
      </c>
      <c r="AI4634">
        <v>92.290393431852607</v>
      </c>
      <c r="AJ4634">
        <v>86.809544700596106</v>
      </c>
      <c r="AK4634">
        <v>27.7887590466405</v>
      </c>
      <c r="AL4634">
        <v>75.758411779552702</v>
      </c>
      <c r="AM4634">
        <v>86.583312843107194</v>
      </c>
      <c r="AN4634">
        <v>1.00000002261009</v>
      </c>
    </row>
    <row r="4635" spans="1:40" x14ac:dyDescent="0.25">
      <c r="A4635" t="str">
        <f>"20190312164120766"</f>
        <v>20190312164120766</v>
      </c>
      <c r="B4635" t="str">
        <f>"1552380080761065"</f>
        <v>1552380080761065</v>
      </c>
      <c r="C4635" t="s">
        <v>40</v>
      </c>
      <c r="D4635">
        <v>5.083075</v>
      </c>
      <c r="E4635">
        <v>0.50398699999999996</v>
      </c>
      <c r="F4635" t="s">
        <v>41</v>
      </c>
      <c r="G4635">
        <v>-349.53190000000001</v>
      </c>
      <c r="H4635" s="1">
        <v>-1.0694779999999999E-6</v>
      </c>
      <c r="I4635">
        <v>142.94749999999999</v>
      </c>
      <c r="J4635">
        <v>-321.88819999999998</v>
      </c>
      <c r="K4635">
        <v>1.11056</v>
      </c>
      <c r="L4635">
        <v>141.39760000000001</v>
      </c>
      <c r="M4635">
        <v>-0.9998823</v>
      </c>
      <c r="N4635">
        <v>0</v>
      </c>
      <c r="O4635">
        <v>2.188019E-4</v>
      </c>
      <c r="P4635">
        <v>-0.97112430000000005</v>
      </c>
      <c r="Q4635">
        <v>0.2314049</v>
      </c>
      <c r="R4635">
        <v>5.8047809999999998E-2</v>
      </c>
      <c r="S4635">
        <v>-3.1079409999999998</v>
      </c>
      <c r="T4635">
        <v>-0.1228354</v>
      </c>
      <c r="U4635">
        <v>0.17144779999999901</v>
      </c>
      <c r="V4635">
        <v>5.776485E-2</v>
      </c>
      <c r="W4635">
        <v>0.24628920000000001</v>
      </c>
      <c r="X4635">
        <v>0.96747340000000004</v>
      </c>
      <c r="Y4635">
        <v>5.4819689999999997E-2</v>
      </c>
      <c r="Z4635">
        <v>1.0734379999999999E-3</v>
      </c>
      <c r="AA4635">
        <v>0.99849569999999999</v>
      </c>
      <c r="AB4635">
        <v>42</v>
      </c>
      <c r="AC4635">
        <v>-27.643699999999999</v>
      </c>
      <c r="AD4635">
        <v>-1.1105610694779999</v>
      </c>
      <c r="AE4635">
        <v>1.5498999999999701</v>
      </c>
      <c r="AF4635">
        <v>1.54137084296684</v>
      </c>
      <c r="AG4635">
        <v>-1.1105610694779999</v>
      </c>
      <c r="AH4635">
        <v>27.599633405139599</v>
      </c>
      <c r="AI4635">
        <v>92.300657918156901</v>
      </c>
      <c r="AJ4635">
        <v>86.80349377924</v>
      </c>
      <c r="AK4635">
        <v>27.664940521582299</v>
      </c>
      <c r="AL4635">
        <v>75.7419652324146</v>
      </c>
      <c r="AM4635">
        <v>86.583102349010204</v>
      </c>
      <c r="AN4635">
        <v>0.99999996381986</v>
      </c>
    </row>
    <row r="4636" spans="1:40" x14ac:dyDescent="0.25">
      <c r="A4636" t="str">
        <f>"20190312164120788"</f>
        <v>20190312164120788</v>
      </c>
      <c r="B4636" t="str">
        <f>"1552380080780584"</f>
        <v>1552380080780584</v>
      </c>
      <c r="C4636" t="s">
        <v>40</v>
      </c>
      <c r="D4636">
        <v>5.0998299999999999</v>
      </c>
      <c r="E4636">
        <v>0.50379070000000004</v>
      </c>
      <c r="F4636" t="s">
        <v>41</v>
      </c>
      <c r="G4636">
        <v>-350.28050000000002</v>
      </c>
      <c r="H4636" s="1">
        <v>-4.7729700000000003E-6</v>
      </c>
      <c r="I4636">
        <v>142.95590000000001</v>
      </c>
      <c r="J4636">
        <v>-322.29579999999999</v>
      </c>
      <c r="K4636">
        <v>1.11056</v>
      </c>
      <c r="L4636">
        <v>141.39760000000001</v>
      </c>
      <c r="M4636">
        <v>-0.99988250000000001</v>
      </c>
      <c r="N4636">
        <v>0</v>
      </c>
      <c r="O4636">
        <v>1.088198E-4</v>
      </c>
      <c r="P4636">
        <v>-0.97096939999999998</v>
      </c>
      <c r="Q4636">
        <v>0.23206760000000001</v>
      </c>
      <c r="R4636">
        <v>5.799178E-2</v>
      </c>
      <c r="S4636">
        <v>-3.107971</v>
      </c>
      <c r="T4636">
        <v>-0.1215687</v>
      </c>
      <c r="U4636">
        <v>0.1705933</v>
      </c>
      <c r="V4636">
        <v>5.781563E-2</v>
      </c>
      <c r="W4636">
        <v>0.24694450000000001</v>
      </c>
      <c r="X4636">
        <v>0.96730329999999998</v>
      </c>
      <c r="Y4636">
        <v>5.4656200000000002E-2</v>
      </c>
      <c r="Z4636">
        <v>1.063479E-3</v>
      </c>
      <c r="AA4636">
        <v>0.99850459999999996</v>
      </c>
      <c r="AB4636">
        <v>42</v>
      </c>
      <c r="AC4636">
        <v>-27.9847</v>
      </c>
      <c r="AD4636">
        <v>-1.1105647729699999</v>
      </c>
      <c r="AE4636">
        <v>1.5583</v>
      </c>
      <c r="AF4636">
        <v>1.5528164088699601</v>
      </c>
      <c r="AG4636">
        <v>-1.1105647729699999</v>
      </c>
      <c r="AH4636">
        <v>27.941001824240299</v>
      </c>
      <c r="AI4636">
        <v>92.272621298538098</v>
      </c>
      <c r="AJ4636">
        <v>86.819068970835104</v>
      </c>
      <c r="AK4636">
        <v>28.006145323068299</v>
      </c>
      <c r="AL4636">
        <v>75.703222518444605</v>
      </c>
      <c r="AM4636">
        <v>86.579505784561803</v>
      </c>
      <c r="AN4636">
        <v>0.99999995367171701</v>
      </c>
    </row>
    <row r="4637" spans="1:40" x14ac:dyDescent="0.25">
      <c r="A4637" t="str">
        <f>"20190312164120809"</f>
        <v>20190312164120809</v>
      </c>
      <c r="B4637" t="str">
        <f>"1552380080801084"</f>
        <v>1552380080801084</v>
      </c>
      <c r="C4637" t="s">
        <v>40</v>
      </c>
      <c r="D4637">
        <v>5.0881689999999997</v>
      </c>
      <c r="E4637">
        <v>0.50366909999999998</v>
      </c>
      <c r="F4637" t="s">
        <v>41</v>
      </c>
      <c r="G4637">
        <v>-350.9742</v>
      </c>
      <c r="H4637" s="1">
        <v>-4.5361300000000001E-6</v>
      </c>
      <c r="I4637">
        <v>142.95169999999999</v>
      </c>
      <c r="J4637">
        <v>-322.6918</v>
      </c>
      <c r="K4637">
        <v>1.110555</v>
      </c>
      <c r="L4637">
        <v>141.39750000000001</v>
      </c>
      <c r="M4637">
        <v>-0.99988250000000001</v>
      </c>
      <c r="N4637">
        <v>0</v>
      </c>
      <c r="O4637" s="1">
        <v>1.6396520000000001E-6</v>
      </c>
      <c r="P4637">
        <v>-0.97097129999999998</v>
      </c>
      <c r="Q4637">
        <v>0.23208619999999999</v>
      </c>
      <c r="R4637">
        <v>5.7884409999999997E-2</v>
      </c>
      <c r="S4637">
        <v>-3.1083980000000002</v>
      </c>
      <c r="T4637">
        <v>-0.1203718</v>
      </c>
      <c r="U4637">
        <v>0.168457</v>
      </c>
      <c r="V4637">
        <v>5.7812479999999999E-2</v>
      </c>
      <c r="W4637">
        <v>0.24695839999999999</v>
      </c>
      <c r="X4637">
        <v>0.96730000000000005</v>
      </c>
      <c r="Y4637">
        <v>5.4072710000000003E-2</v>
      </c>
      <c r="Z4637">
        <v>1.045753E-3</v>
      </c>
      <c r="AA4637">
        <v>0.99853650000000005</v>
      </c>
      <c r="AB4637">
        <v>42</v>
      </c>
      <c r="AC4637">
        <v>-28.282399999999999</v>
      </c>
      <c r="AD4637">
        <v>-1.11055953612999</v>
      </c>
      <c r="AE4637">
        <v>1.55419999999998</v>
      </c>
      <c r="AF4637">
        <v>1.5517681812528601</v>
      </c>
      <c r="AG4637">
        <v>-1.11055953612999</v>
      </c>
      <c r="AH4637">
        <v>28.238992441998899</v>
      </c>
      <c r="AI4637">
        <v>92.248730903336707</v>
      </c>
      <c r="AJ4637">
        <v>86.854688151963501</v>
      </c>
      <c r="AK4637">
        <v>28.303392395804899</v>
      </c>
      <c r="AL4637">
        <v>75.702401505085106</v>
      </c>
      <c r="AM4637">
        <v>86.579680061869695</v>
      </c>
      <c r="AN4637">
        <v>1.0000000120871499</v>
      </c>
    </row>
    <row r="4638" spans="1:40" x14ac:dyDescent="0.25">
      <c r="A4638" t="str">
        <f>"20190312164120832"</f>
        <v>20190312164120832</v>
      </c>
      <c r="B4638" t="str">
        <f>"1552380080820601"</f>
        <v>1552380080820601</v>
      </c>
      <c r="C4638" t="s">
        <v>40</v>
      </c>
      <c r="D4638">
        <v>5.134938</v>
      </c>
      <c r="E4638">
        <v>0.50389390000000001</v>
      </c>
      <c r="F4638" t="s">
        <v>41</v>
      </c>
      <c r="G4638">
        <v>-351.39960000000002</v>
      </c>
      <c r="H4638" s="1">
        <v>-4.3890849999999998E-6</v>
      </c>
      <c r="I4638">
        <v>142.93870000000001</v>
      </c>
      <c r="J4638">
        <v>-323.1259</v>
      </c>
      <c r="K4638">
        <v>1.1105529999999999</v>
      </c>
      <c r="L4638">
        <v>141.3974</v>
      </c>
      <c r="M4638">
        <v>-0.99988270000000001</v>
      </c>
      <c r="N4638">
        <v>0</v>
      </c>
      <c r="O4638">
        <v>-1.158494E-4</v>
      </c>
      <c r="P4638">
        <v>-0.97098989999999996</v>
      </c>
      <c r="Q4638">
        <v>0.2320459</v>
      </c>
      <c r="R4638">
        <v>5.7738449999999997E-2</v>
      </c>
      <c r="S4638">
        <v>-3.1084589999999999</v>
      </c>
      <c r="T4638">
        <v>-0.1202507</v>
      </c>
      <c r="U4638">
        <v>0.16688539999999999</v>
      </c>
      <c r="V4638">
        <v>5.7780829999999998E-2</v>
      </c>
      <c r="W4638">
        <v>0.24691360000000001</v>
      </c>
      <c r="X4638">
        <v>0.96731330000000004</v>
      </c>
      <c r="Y4638">
        <v>5.3685860000000002E-2</v>
      </c>
      <c r="Z4638">
        <v>1.041761E-3</v>
      </c>
      <c r="AA4638">
        <v>0.99855729999999998</v>
      </c>
      <c r="AB4638">
        <v>42</v>
      </c>
      <c r="AC4638">
        <v>-28.273700000000002</v>
      </c>
      <c r="AD4638">
        <v>-1.110557389085</v>
      </c>
      <c r="AE4638">
        <v>1.5412999999999999</v>
      </c>
      <c r="AF4638">
        <v>1.5422035643995999</v>
      </c>
      <c r="AG4638">
        <v>-1.110557389085</v>
      </c>
      <c r="AH4638">
        <v>28.2300961745749</v>
      </c>
      <c r="AI4638">
        <v>92.249473947353806</v>
      </c>
      <c r="AJ4638">
        <v>86.873053166305397</v>
      </c>
      <c r="AK4638">
        <v>28.293993347957201</v>
      </c>
      <c r="AL4638">
        <v>75.705049995580097</v>
      </c>
      <c r="AM4638">
        <v>86.581594997590599</v>
      </c>
      <c r="AN4638">
        <v>0.99999998526866896</v>
      </c>
    </row>
    <row r="4639" spans="1:40" x14ac:dyDescent="0.25">
      <c r="A4639" t="str">
        <f>"20190312164120854"</f>
        <v>20190312164120854</v>
      </c>
      <c r="B4639" t="str">
        <f>"1552380080850856"</f>
        <v>1552380080850856</v>
      </c>
      <c r="C4639" t="s">
        <v>40</v>
      </c>
      <c r="D4639">
        <v>5.0762780000000003</v>
      </c>
      <c r="E4639">
        <v>0.51281390000000004</v>
      </c>
      <c r="F4639" t="s">
        <v>41</v>
      </c>
      <c r="G4639">
        <v>-351.92599999999999</v>
      </c>
      <c r="H4639" s="1">
        <v>-4.2133939999999996E-6</v>
      </c>
      <c r="I4639">
        <v>142.95830000000001</v>
      </c>
      <c r="J4639">
        <v>-323.54469999999998</v>
      </c>
      <c r="K4639">
        <v>1.110554</v>
      </c>
      <c r="L4639">
        <v>141.3973</v>
      </c>
      <c r="M4639">
        <v>-0.99988259999999995</v>
      </c>
      <c r="N4639">
        <v>0</v>
      </c>
      <c r="O4639">
        <v>-2.2904739999999999E-4</v>
      </c>
      <c r="P4639">
        <v>-0.97087469999999998</v>
      </c>
      <c r="Q4639">
        <v>0.23251289999999999</v>
      </c>
      <c r="R4639">
        <v>5.7794089999999999E-2</v>
      </c>
      <c r="S4639">
        <v>-3.108215</v>
      </c>
      <c r="T4639">
        <v>-0.1198553</v>
      </c>
      <c r="U4639">
        <v>0.168457</v>
      </c>
      <c r="V4639">
        <v>5.7946499999999998E-2</v>
      </c>
      <c r="W4639">
        <v>0.24737419999999999</v>
      </c>
      <c r="X4639">
        <v>0.96718570000000004</v>
      </c>
      <c r="Y4639">
        <v>5.4306260000000002E-2</v>
      </c>
      <c r="Z4639">
        <v>1.0547149999999999E-3</v>
      </c>
      <c r="AA4639">
        <v>0.99852379999999996</v>
      </c>
      <c r="AB4639">
        <v>42</v>
      </c>
      <c r="AC4639">
        <v>-28.3813</v>
      </c>
      <c r="AD4639">
        <v>-1.110558213394</v>
      </c>
      <c r="AE4639">
        <v>1.5609999999999999</v>
      </c>
      <c r="AF4639">
        <v>1.5651121892387301</v>
      </c>
      <c r="AG4639">
        <v>-1.110558213394</v>
      </c>
      <c r="AH4639">
        <v>28.337683253253999</v>
      </c>
      <c r="AI4639">
        <v>92.2408702790012</v>
      </c>
      <c r="AJ4639">
        <v>86.838721548577894</v>
      </c>
      <c r="AK4639">
        <v>28.402591569643601</v>
      </c>
      <c r="AL4639">
        <v>75.677814682413199</v>
      </c>
      <c r="AM4639">
        <v>86.571365843138096</v>
      </c>
      <c r="AN4639">
        <v>0.99999998498618903</v>
      </c>
    </row>
    <row r="4640" spans="1:40" x14ac:dyDescent="0.25">
      <c r="A4640" t="str">
        <f>"20190312164120878"</f>
        <v>20190312164120878</v>
      </c>
      <c r="B4640" t="str">
        <f>"1552380080870377"</f>
        <v>1552380080870377</v>
      </c>
      <c r="C4640" t="s">
        <v>40</v>
      </c>
      <c r="D4640">
        <v>5.1175129999999998</v>
      </c>
      <c r="E4640">
        <v>0.51294419999999996</v>
      </c>
      <c r="F4640" t="s">
        <v>41</v>
      </c>
      <c r="G4640">
        <v>-354.50119999999998</v>
      </c>
      <c r="H4640" s="1">
        <v>-3.4533570000000001E-6</v>
      </c>
      <c r="I4640">
        <v>143.79589999999999</v>
      </c>
      <c r="J4640">
        <v>-323.98719999999997</v>
      </c>
      <c r="K4640">
        <v>1.110555</v>
      </c>
      <c r="L4640">
        <v>141.39709999999999</v>
      </c>
      <c r="M4640">
        <v>-0.99988279999999996</v>
      </c>
      <c r="N4640">
        <v>0</v>
      </c>
      <c r="O4640">
        <v>-3.4868099999999999E-4</v>
      </c>
      <c r="P4640">
        <v>-0.97085759999999999</v>
      </c>
      <c r="Q4640">
        <v>0.23259759999999999</v>
      </c>
      <c r="R4640">
        <v>5.7742870000000002E-2</v>
      </c>
      <c r="S4640">
        <v>-3.1023559999999999</v>
      </c>
      <c r="T4640">
        <v>-0.1112963</v>
      </c>
      <c r="U4640">
        <v>0.24038699999999999</v>
      </c>
      <c r="V4640">
        <v>5.8011630000000002E-2</v>
      </c>
      <c r="W4640">
        <v>0.2474537</v>
      </c>
      <c r="X4640">
        <v>0.96716150000000001</v>
      </c>
      <c r="Y4640">
        <v>7.7551590000000004E-2</v>
      </c>
      <c r="Z4640">
        <v>1.401034E-3</v>
      </c>
      <c r="AA4640">
        <v>0.99698730000000002</v>
      </c>
      <c r="AB4640">
        <v>42</v>
      </c>
      <c r="AC4640">
        <v>-30.513999999999999</v>
      </c>
      <c r="AD4640">
        <v>-1.1105584533570001</v>
      </c>
      <c r="AE4640">
        <v>2.3987999999999898</v>
      </c>
      <c r="AF4640">
        <v>2.4062729817319801</v>
      </c>
      <c r="AG4640">
        <v>-1.1105584533570001</v>
      </c>
      <c r="AH4640">
        <v>30.473044974650001</v>
      </c>
      <c r="AI4640">
        <v>92.080690358661499</v>
      </c>
      <c r="AJ4640">
        <v>85.4850655385126</v>
      </c>
      <c r="AK4640">
        <v>30.588068912044399</v>
      </c>
      <c r="AL4640">
        <v>75.6731140928363</v>
      </c>
      <c r="AM4640">
        <v>86.567435696474405</v>
      </c>
      <c r="AN4640">
        <v>1.00000002497059</v>
      </c>
    </row>
    <row r="4641" spans="1:40" x14ac:dyDescent="0.25">
      <c r="A4641" t="str">
        <f>"20190312164120900"</f>
        <v>20190312164120900</v>
      </c>
      <c r="B4641" t="str">
        <f>"1552380080890873"</f>
        <v>1552380080890873</v>
      </c>
      <c r="C4641" t="s">
        <v>40</v>
      </c>
      <c r="D4641">
        <v>5.0843420000000004</v>
      </c>
      <c r="E4641">
        <v>0.51319890000000001</v>
      </c>
      <c r="F4641" t="s">
        <v>41</v>
      </c>
      <c r="G4641">
        <v>-354.87290000000002</v>
      </c>
      <c r="H4641" s="1">
        <v>-3.2937919999999999E-6</v>
      </c>
      <c r="I4641">
        <v>143.7954</v>
      </c>
      <c r="J4641">
        <v>-324.39920000000001</v>
      </c>
      <c r="K4641">
        <v>1.1105499999999999</v>
      </c>
      <c r="L4641">
        <v>141.39689999999999</v>
      </c>
      <c r="M4641">
        <v>-0.99988259999999995</v>
      </c>
      <c r="N4641">
        <v>0</v>
      </c>
      <c r="O4641">
        <v>-4.5744950000000003E-4</v>
      </c>
      <c r="P4641">
        <v>-0.97081110000000004</v>
      </c>
      <c r="Q4641">
        <v>0.2326674</v>
      </c>
      <c r="R4641">
        <v>5.8238440000000002E-2</v>
      </c>
      <c r="S4641">
        <v>-3.1024780000000001</v>
      </c>
      <c r="T4641">
        <v>-0.11155610000000001</v>
      </c>
      <c r="U4641">
        <v>0.240921</v>
      </c>
      <c r="V4641">
        <v>5.8613440000000003E-2</v>
      </c>
      <c r="W4641">
        <v>0.2475174</v>
      </c>
      <c r="X4641">
        <v>0.96710890000000005</v>
      </c>
      <c r="Y4641">
        <v>7.7827129999999994E-2</v>
      </c>
      <c r="Z4641">
        <v>1.4130869999999999E-3</v>
      </c>
      <c r="AA4641">
        <v>0.99696589999999996</v>
      </c>
      <c r="AB4641">
        <v>42</v>
      </c>
      <c r="AC4641">
        <v>-30.473700000000001</v>
      </c>
      <c r="AD4641">
        <v>-1.110553293792</v>
      </c>
      <c r="AE4641">
        <v>2.3985000000000101</v>
      </c>
      <c r="AF4641">
        <v>2.4092615398264399</v>
      </c>
      <c r="AG4641">
        <v>-1.110553293792</v>
      </c>
      <c r="AH4641">
        <v>30.432431230952599</v>
      </c>
      <c r="AI4641">
        <v>92.0834217385664</v>
      </c>
      <c r="AJ4641">
        <v>85.473473454318196</v>
      </c>
      <c r="AK4641">
        <v>30.5478434658209</v>
      </c>
      <c r="AL4641">
        <v>75.669346972375806</v>
      </c>
      <c r="AM4641">
        <v>86.531724735347794</v>
      </c>
      <c r="AN4641">
        <v>1.0000000115553001</v>
      </c>
    </row>
    <row r="4642" spans="1:40" x14ac:dyDescent="0.25">
      <c r="A4642" t="str">
        <f>"20190312164120921"</f>
        <v>20190312164120921</v>
      </c>
      <c r="B4642" t="str">
        <f>"1552380080910393"</f>
        <v>1552380080910393</v>
      </c>
      <c r="C4642" t="s">
        <v>40</v>
      </c>
      <c r="D4642">
        <v>5.0785780000000003</v>
      </c>
      <c r="E4642">
        <v>0.51310349999999905</v>
      </c>
      <c r="F4642" t="s">
        <v>41</v>
      </c>
      <c r="G4642">
        <v>-355.5883</v>
      </c>
      <c r="H4642" s="1">
        <v>-3.0006900000000001E-6</v>
      </c>
      <c r="I4642">
        <v>143.84729999999999</v>
      </c>
      <c r="J4642">
        <v>-324.80630000000002</v>
      </c>
      <c r="K4642">
        <v>1.1105480000000001</v>
      </c>
      <c r="L4642">
        <v>141.39660000000001</v>
      </c>
      <c r="M4642">
        <v>-0.99988279999999996</v>
      </c>
      <c r="N4642">
        <v>0</v>
      </c>
      <c r="O4642">
        <v>-5.5999130000000002E-4</v>
      </c>
      <c r="P4642">
        <v>-0.97089179999999997</v>
      </c>
      <c r="Q4642">
        <v>0.23229320000000001</v>
      </c>
      <c r="R4642">
        <v>5.8388080000000002E-2</v>
      </c>
      <c r="S4642">
        <v>-3.10202</v>
      </c>
      <c r="T4642">
        <v>-0.1104541</v>
      </c>
      <c r="U4642">
        <v>0.24372859999999999</v>
      </c>
      <c r="V4642">
        <v>5.8864510000000002E-2</v>
      </c>
      <c r="W4642">
        <v>0.24714</v>
      </c>
      <c r="X4642">
        <v>0.96719010000000005</v>
      </c>
      <c r="Y4642">
        <v>7.8837850000000001E-2</v>
      </c>
      <c r="Z4642">
        <v>1.420899E-3</v>
      </c>
      <c r="AA4642">
        <v>0.99688639999999995</v>
      </c>
      <c r="AB4642">
        <v>42</v>
      </c>
      <c r="AC4642">
        <v>-30.781999999999901</v>
      </c>
      <c r="AD4642">
        <v>-1.1105510006899999</v>
      </c>
      <c r="AE4642">
        <v>2.4506999999999799</v>
      </c>
      <c r="AF4642">
        <v>2.46475132926895</v>
      </c>
      <c r="AG4642">
        <v>-1.1105510006899999</v>
      </c>
      <c r="AH4642">
        <v>30.7408618242453</v>
      </c>
      <c r="AI4642">
        <v>92.062367246625797</v>
      </c>
      <c r="AJ4642">
        <v>85.415925627505203</v>
      </c>
      <c r="AK4642">
        <v>30.8595027234336</v>
      </c>
      <c r="AL4642">
        <v>75.691662843189505</v>
      </c>
      <c r="AM4642">
        <v>86.517196617033093</v>
      </c>
      <c r="AN4642">
        <v>0.99999994983777296</v>
      </c>
    </row>
    <row r="4643" spans="1:40" x14ac:dyDescent="0.25">
      <c r="A4643" t="str">
        <f>"20190312164120943"</f>
        <v>20190312164120943</v>
      </c>
      <c r="B4643" t="str">
        <f>"1552380080930893"</f>
        <v>1552380080930893</v>
      </c>
      <c r="C4643" t="s">
        <v>40</v>
      </c>
      <c r="D4643">
        <v>5.0783389999999997</v>
      </c>
      <c r="E4643">
        <v>0.51316519999999999</v>
      </c>
      <c r="F4643" t="s">
        <v>41</v>
      </c>
      <c r="G4643">
        <v>-355.5419</v>
      </c>
      <c r="H4643" s="1">
        <v>-3.01178E-6</v>
      </c>
      <c r="I4643">
        <v>143.8142</v>
      </c>
      <c r="J4643">
        <v>-325.2199</v>
      </c>
      <c r="K4643">
        <v>1.11054599999999</v>
      </c>
      <c r="L4643">
        <v>141.39619999999999</v>
      </c>
      <c r="M4643">
        <v>-0.99988279999999996</v>
      </c>
      <c r="N4643">
        <v>0</v>
      </c>
      <c r="O4643">
        <v>-6.58692E-4</v>
      </c>
      <c r="P4643">
        <v>-0.97091369999999999</v>
      </c>
      <c r="Q4643">
        <v>0.2320856</v>
      </c>
      <c r="R4643">
        <v>5.8845630000000003E-2</v>
      </c>
      <c r="S4643">
        <v>-3.1020810000000001</v>
      </c>
      <c r="T4643">
        <v>-0.11208559999999999</v>
      </c>
      <c r="U4643">
        <v>0.2440186</v>
      </c>
      <c r="V4643">
        <v>5.9420439999999998E-2</v>
      </c>
      <c r="W4643">
        <v>0.24692739999999999</v>
      </c>
      <c r="X4643">
        <v>0.96721049999999997</v>
      </c>
      <c r="Y4643">
        <v>7.9025639999999994E-2</v>
      </c>
      <c r="Z4643">
        <v>1.4487860000000001E-3</v>
      </c>
      <c r="AA4643">
        <v>0.99687150000000002</v>
      </c>
      <c r="AB4643">
        <v>42</v>
      </c>
      <c r="AC4643">
        <v>-30.321999999999999</v>
      </c>
      <c r="AD4643">
        <v>-1.1105490117800001</v>
      </c>
      <c r="AE4643">
        <v>2.4180000000000001</v>
      </c>
      <c r="AF4643">
        <v>2.4347293512616499</v>
      </c>
      <c r="AG4643">
        <v>-1.1105490117800001</v>
      </c>
      <c r="AH4643">
        <v>30.280039395588901</v>
      </c>
      <c r="AI4643">
        <v>92.093684124677694</v>
      </c>
      <c r="AJ4643">
        <v>85.4029042232644</v>
      </c>
      <c r="AK4643">
        <v>30.398059344633801</v>
      </c>
      <c r="AL4643">
        <v>75.704234854051407</v>
      </c>
      <c r="AM4643">
        <v>86.484460294913106</v>
      </c>
      <c r="AN4643">
        <v>1.0000000404353999</v>
      </c>
    </row>
    <row r="4644" spans="1:40" x14ac:dyDescent="0.25">
      <c r="A4644" t="str">
        <f>"20190312164120966"</f>
        <v>20190312164120966</v>
      </c>
      <c r="B4644" t="str">
        <f>"1552380080961145"</f>
        <v>1552380080961145</v>
      </c>
      <c r="C4644" t="s">
        <v>40</v>
      </c>
      <c r="D4644">
        <v>5.0744879999999997</v>
      </c>
      <c r="E4644">
        <v>0.51340620000000003</v>
      </c>
      <c r="F4644" t="s">
        <v>41</v>
      </c>
      <c r="G4644">
        <v>-355.74180000000001</v>
      </c>
      <c r="H4644" s="1">
        <v>-2.9260870000000001E-6</v>
      </c>
      <c r="I4644">
        <v>143.81450000000001</v>
      </c>
      <c r="J4644">
        <v>-325.64530000000002</v>
      </c>
      <c r="K4644">
        <v>1.1105389999999999</v>
      </c>
      <c r="L4644">
        <v>141.39590000000001</v>
      </c>
      <c r="M4644">
        <v>-0.99988290000000002</v>
      </c>
      <c r="N4644">
        <v>0</v>
      </c>
      <c r="O4644">
        <v>-7.5210580000000004E-4</v>
      </c>
      <c r="P4644">
        <v>-0.97100299999999995</v>
      </c>
      <c r="Q4644">
        <v>0.2316029</v>
      </c>
      <c r="R4644">
        <v>5.927731E-2</v>
      </c>
      <c r="S4644">
        <v>-3.1019589999999999</v>
      </c>
      <c r="T4644">
        <v>-0.1128657</v>
      </c>
      <c r="U4644">
        <v>0.2457733</v>
      </c>
      <c r="V4644">
        <v>5.9947140000000003E-2</v>
      </c>
      <c r="W4644">
        <v>0.2464404</v>
      </c>
      <c r="X4644">
        <v>0.96730210000000005</v>
      </c>
      <c r="Y4644">
        <v>7.968103E-2</v>
      </c>
      <c r="Z4644">
        <v>1.4741820000000001E-3</v>
      </c>
      <c r="AA4644">
        <v>0.99681929999999996</v>
      </c>
      <c r="AB4644">
        <v>42</v>
      </c>
      <c r="AC4644">
        <v>-30.096499999999899</v>
      </c>
      <c r="AD4644">
        <v>-1.110541926087</v>
      </c>
      <c r="AE4644">
        <v>2.4185999999999899</v>
      </c>
      <c r="AF4644">
        <v>2.43793960183713</v>
      </c>
      <c r="AG4644">
        <v>-1.110541926087</v>
      </c>
      <c r="AH4644">
        <v>30.054014345740001</v>
      </c>
      <c r="AI4644">
        <v>92.109282006176898</v>
      </c>
      <c r="AJ4644">
        <v>85.362400879933702</v>
      </c>
      <c r="AK4644">
        <v>30.173177346208501</v>
      </c>
      <c r="AL4644">
        <v>75.733026271027001</v>
      </c>
      <c r="AM4644">
        <v>86.453712901531702</v>
      </c>
      <c r="AN4644">
        <v>0.99999994150537297</v>
      </c>
    </row>
    <row r="4645" spans="1:40" x14ac:dyDescent="0.25">
      <c r="A4645" t="str">
        <f>"20190312164120990"</f>
        <v>20190312164120990</v>
      </c>
      <c r="B4645" t="str">
        <f>"1552380080980665"</f>
        <v>1552380080980665</v>
      </c>
      <c r="C4645" t="s">
        <v>40</v>
      </c>
      <c r="D4645">
        <v>5.0668699999999998</v>
      </c>
      <c r="E4645">
        <v>0.51346859999999905</v>
      </c>
      <c r="F4645" t="s">
        <v>41</v>
      </c>
      <c r="G4645">
        <v>-354.6583</v>
      </c>
      <c r="H4645" s="1">
        <v>-3.3686709999999999E-6</v>
      </c>
      <c r="I4645">
        <v>143.73089999999999</v>
      </c>
      <c r="J4645">
        <v>-326.08710000000002</v>
      </c>
      <c r="K4645">
        <v>1.110528</v>
      </c>
      <c r="L4645">
        <v>141.3955</v>
      </c>
      <c r="M4645">
        <v>-0.99988290000000002</v>
      </c>
      <c r="N4645">
        <v>0</v>
      </c>
      <c r="O4645">
        <v>-8.3507850000000001E-4</v>
      </c>
      <c r="P4645">
        <v>-0.9711263</v>
      </c>
      <c r="Q4645">
        <v>0.23114979999999999</v>
      </c>
      <c r="R4645">
        <v>5.9021030000000002E-2</v>
      </c>
      <c r="S4645">
        <v>-3.1026310000000001</v>
      </c>
      <c r="T4645">
        <v>-0.1187608</v>
      </c>
      <c r="U4645">
        <v>0.24971009999999999</v>
      </c>
      <c r="V4645">
        <v>5.9777450000000003E-2</v>
      </c>
      <c r="W4645">
        <v>0.24598239999999999</v>
      </c>
      <c r="X4645">
        <v>0.96742919999999999</v>
      </c>
      <c r="Y4645">
        <v>8.0996840000000001E-2</v>
      </c>
      <c r="Z4645">
        <v>1.5790159999999999E-3</v>
      </c>
      <c r="AA4645">
        <v>0.99671310000000002</v>
      </c>
      <c r="AB4645">
        <v>42</v>
      </c>
      <c r="AC4645">
        <v>-28.571199999999902</v>
      </c>
      <c r="AD4645">
        <v>-1.1105313686710001</v>
      </c>
      <c r="AE4645">
        <v>2.3353999999999902</v>
      </c>
      <c r="AF4645">
        <v>2.3557257756850398</v>
      </c>
      <c r="AG4645">
        <v>-1.1105313686710001</v>
      </c>
      <c r="AH4645">
        <v>28.526428103213501</v>
      </c>
      <c r="AI4645">
        <v>92.221838471157795</v>
      </c>
      <c r="AJ4645">
        <v>85.279199501856496</v>
      </c>
      <c r="AK4645">
        <v>28.6450663147921</v>
      </c>
      <c r="AL4645">
        <v>75.760101637169498</v>
      </c>
      <c r="AM4645">
        <v>86.464189140794204</v>
      </c>
      <c r="AN4645">
        <v>0.99999997082545</v>
      </c>
    </row>
    <row r="4646" spans="1:40" x14ac:dyDescent="0.25">
      <c r="A4646" t="str">
        <f>"20190312164121010"</f>
        <v>20190312164121010</v>
      </c>
      <c r="B4646" t="str">
        <f>"1552380081001164"</f>
        <v>1552380081001164</v>
      </c>
      <c r="C4646" t="s">
        <v>40</v>
      </c>
      <c r="D4646">
        <v>5.0512059999999996</v>
      </c>
      <c r="E4646">
        <v>0.51350309999999999</v>
      </c>
      <c r="F4646" t="s">
        <v>41</v>
      </c>
      <c r="G4646">
        <v>-354.60199999999998</v>
      </c>
      <c r="H4646" s="1">
        <v>-3.3832219999999998E-6</v>
      </c>
      <c r="I4646">
        <v>143.69479999999999</v>
      </c>
      <c r="J4646">
        <v>-326.47739999999999</v>
      </c>
      <c r="K4646">
        <v>1.11052</v>
      </c>
      <c r="L4646">
        <v>141.39510000000001</v>
      </c>
      <c r="M4646">
        <v>-0.99988290000000002</v>
      </c>
      <c r="N4646">
        <v>0</v>
      </c>
      <c r="O4646">
        <v>-8.9273919999999999E-4</v>
      </c>
      <c r="P4646">
        <v>-0.97112489999999996</v>
      </c>
      <c r="Q4646">
        <v>0.23128370000000001</v>
      </c>
      <c r="R4646">
        <v>5.852036E-2</v>
      </c>
      <c r="S4646">
        <v>-3.1027529999999999</v>
      </c>
      <c r="T4646">
        <v>-0.1208389</v>
      </c>
      <c r="U4646">
        <v>0.25019839999999999</v>
      </c>
      <c r="V4646">
        <v>5.934043E-2</v>
      </c>
      <c r="W4646">
        <v>0.24610989999999999</v>
      </c>
      <c r="X4646">
        <v>0.9674237</v>
      </c>
      <c r="Y4646">
        <v>8.1204750000000006E-2</v>
      </c>
      <c r="Z4646">
        <v>1.6128339999999901E-3</v>
      </c>
      <c r="AA4646">
        <v>0.99669609999999997</v>
      </c>
      <c r="AB4646">
        <v>42</v>
      </c>
      <c r="AC4646">
        <v>-28.124599999999901</v>
      </c>
      <c r="AD4646">
        <v>-1.1105233832220001</v>
      </c>
      <c r="AE4646">
        <v>2.2996999999999699</v>
      </c>
      <c r="AF4646">
        <v>2.32121490444427</v>
      </c>
      <c r="AG4646">
        <v>-1.1105233832220001</v>
      </c>
      <c r="AH4646">
        <v>28.079047358825399</v>
      </c>
      <c r="AI4646">
        <v>92.257170224382705</v>
      </c>
      <c r="AJ4646">
        <v>85.274266477811807</v>
      </c>
      <c r="AK4646">
        <v>28.1967055060774</v>
      </c>
      <c r="AL4646">
        <v>75.752565040305498</v>
      </c>
      <c r="AM4646">
        <v>86.489953919856305</v>
      </c>
      <c r="AN4646">
        <v>0.99999999241614201</v>
      </c>
    </row>
    <row r="4647" spans="1:40" x14ac:dyDescent="0.25">
      <c r="A4647" t="str">
        <f>"20190312164121033"</f>
        <v>20190312164121033</v>
      </c>
      <c r="B4647" t="str">
        <f>"1552380081020681"</f>
        <v>1552380081020681</v>
      </c>
      <c r="C4647" t="s">
        <v>40</v>
      </c>
      <c r="D4647">
        <v>5.0617660000000004</v>
      </c>
      <c r="E4647">
        <v>0.5135767</v>
      </c>
      <c r="F4647" t="s">
        <v>41</v>
      </c>
      <c r="G4647">
        <v>-355.12959999999998</v>
      </c>
      <c r="H4647" s="1">
        <v>-3.1562049999999999E-6</v>
      </c>
      <c r="I4647">
        <v>143.69229999999999</v>
      </c>
      <c r="J4647">
        <v>-326.88780000000003</v>
      </c>
      <c r="K4647">
        <v>1.1105100000000001</v>
      </c>
      <c r="L4647">
        <v>141.3947</v>
      </c>
      <c r="M4647">
        <v>-0.99988290000000002</v>
      </c>
      <c r="N4647">
        <v>0</v>
      </c>
      <c r="O4647">
        <v>-9.3735170000000003E-4</v>
      </c>
      <c r="P4647">
        <v>-0.97126679999999999</v>
      </c>
      <c r="Q4647">
        <v>0.2307332</v>
      </c>
      <c r="R4647">
        <v>5.833555E-2</v>
      </c>
      <c r="S4647">
        <v>-3.1028440000000002</v>
      </c>
      <c r="T4647">
        <v>-0.12026249999999999</v>
      </c>
      <c r="U4647">
        <v>0.24877929999999901</v>
      </c>
      <c r="V4647">
        <v>5.920831E-2</v>
      </c>
      <c r="W4647">
        <v>0.24555479999999999</v>
      </c>
      <c r="X4647">
        <v>0.96757289999999996</v>
      </c>
      <c r="Y4647">
        <v>8.07948E-2</v>
      </c>
      <c r="Z4647">
        <v>1.5989260000000001E-3</v>
      </c>
      <c r="AA4647">
        <v>0.99672950000000005</v>
      </c>
      <c r="AB4647">
        <v>42</v>
      </c>
      <c r="AC4647">
        <v>-28.241799999999898</v>
      </c>
      <c r="AD4647">
        <v>-1.1105131562049999</v>
      </c>
      <c r="AE4647">
        <v>2.2975999999999801</v>
      </c>
      <c r="AF4647">
        <v>2.3205102211148199</v>
      </c>
      <c r="AG4647">
        <v>-1.1105131562049999</v>
      </c>
      <c r="AH4647">
        <v>28.196323476827299</v>
      </c>
      <c r="AI4647">
        <v>92.247838865896298</v>
      </c>
      <c r="AJ4647">
        <v>85.2952559099665</v>
      </c>
      <c r="AK4647">
        <v>28.313436117262199</v>
      </c>
      <c r="AL4647">
        <v>75.785377685100798</v>
      </c>
      <c r="AM4647">
        <v>86.498288181120998</v>
      </c>
      <c r="AN4647">
        <v>1.00000005029525</v>
      </c>
    </row>
    <row r="4648" spans="1:40" x14ac:dyDescent="0.25">
      <c r="A4648" t="str">
        <f>"20190312164121055"</f>
        <v>20190312164121055</v>
      </c>
      <c r="B4648" t="str">
        <f>"1552380081050937"</f>
        <v>1552380081050937</v>
      </c>
      <c r="C4648" t="s">
        <v>40</v>
      </c>
      <c r="D4648">
        <v>5.0666669999999998</v>
      </c>
      <c r="E4648">
        <v>0.51327100000000003</v>
      </c>
      <c r="F4648" t="s">
        <v>41</v>
      </c>
      <c r="G4648">
        <v>-354.86439999999999</v>
      </c>
      <c r="H4648" s="1">
        <v>-3.25122E-6</v>
      </c>
      <c r="I4648">
        <v>143.62180000000001</v>
      </c>
      <c r="J4648">
        <v>-327.31020000000001</v>
      </c>
      <c r="K4648">
        <v>1.1104969999999901</v>
      </c>
      <c r="L4648">
        <v>141.39429999999999</v>
      </c>
      <c r="M4648">
        <v>-0.99988290000000002</v>
      </c>
      <c r="N4648">
        <v>0</v>
      </c>
      <c r="O4648">
        <v>-9.6908930000000001E-4</v>
      </c>
      <c r="P4648">
        <v>-0.97153350000000005</v>
      </c>
      <c r="Q4648">
        <v>0.22975300000000001</v>
      </c>
      <c r="R4648">
        <v>5.776299E-2</v>
      </c>
      <c r="S4648">
        <v>-3.10318</v>
      </c>
      <c r="T4648">
        <v>-0.1231787</v>
      </c>
      <c r="U4648">
        <v>0.2470398</v>
      </c>
      <c r="V4648">
        <v>5.8676220000000001E-2</v>
      </c>
      <c r="W4648">
        <v>0.2445725</v>
      </c>
      <c r="X4648">
        <v>0.96785399999999999</v>
      </c>
      <c r="Y4648">
        <v>8.0260070000000003E-2</v>
      </c>
      <c r="Z4648">
        <v>1.62819299999999E-3</v>
      </c>
      <c r="AA4648">
        <v>0.99677260000000001</v>
      </c>
      <c r="AB4648">
        <v>42</v>
      </c>
      <c r="AC4648">
        <v>-27.554199999999899</v>
      </c>
      <c r="AD4648">
        <v>-1.11050025121999</v>
      </c>
      <c r="AE4648">
        <v>2.22750000000002</v>
      </c>
      <c r="AF4648">
        <v>2.25057271657727</v>
      </c>
      <c r="AG4648">
        <v>-1.11050025121999</v>
      </c>
      <c r="AH4648">
        <v>27.507638068997</v>
      </c>
      <c r="AI4648">
        <v>92.304119874101701</v>
      </c>
      <c r="AJ4648">
        <v>85.322690179546598</v>
      </c>
      <c r="AK4648">
        <v>27.6218833625713</v>
      </c>
      <c r="AL4648">
        <v>75.8434285735907</v>
      </c>
      <c r="AM4648">
        <v>86.530685363774595</v>
      </c>
      <c r="AN4648">
        <v>0.99999998593286898</v>
      </c>
    </row>
    <row r="4649" spans="1:40" x14ac:dyDescent="0.25">
      <c r="A4649" t="str">
        <f>"20190312164121080"</f>
        <v>20190312164121080</v>
      </c>
      <c r="B4649" t="str">
        <f>"1552380081070457"</f>
        <v>1552380081070457</v>
      </c>
      <c r="C4649" t="s">
        <v>40</v>
      </c>
      <c r="D4649">
        <v>5.0665019999999998</v>
      </c>
      <c r="E4649">
        <v>0.50797669999999995</v>
      </c>
      <c r="F4649" t="s">
        <v>41</v>
      </c>
      <c r="G4649">
        <v>-354.46749999999997</v>
      </c>
      <c r="H4649" s="1">
        <v>-3.3933920000000002E-6</v>
      </c>
      <c r="I4649">
        <v>143.51609999999999</v>
      </c>
      <c r="J4649">
        <v>-327.7586</v>
      </c>
      <c r="K4649">
        <v>1.1104830000000001</v>
      </c>
      <c r="L4649">
        <v>141.3938</v>
      </c>
      <c r="M4649">
        <v>-0.99988299999999997</v>
      </c>
      <c r="N4649">
        <v>0</v>
      </c>
      <c r="O4649">
        <v>-9.9012560000000011E-4</v>
      </c>
      <c r="P4649">
        <v>-0.97174419999999995</v>
      </c>
      <c r="Q4649">
        <v>0.2288723</v>
      </c>
      <c r="R4649">
        <v>5.7716570000000002E-2</v>
      </c>
      <c r="S4649">
        <v>-3.103485</v>
      </c>
      <c r="T4649">
        <v>-0.12690589999999999</v>
      </c>
      <c r="U4649">
        <v>0.24249270000000001</v>
      </c>
      <c r="V4649">
        <v>5.8659019999999999E-2</v>
      </c>
      <c r="W4649">
        <v>0.2436874</v>
      </c>
      <c r="X4649">
        <v>0.96807829999999995</v>
      </c>
      <c r="Y4649">
        <v>7.8819089999999994E-2</v>
      </c>
      <c r="Z4649">
        <v>1.6488060000000001E-3</v>
      </c>
      <c r="AA4649">
        <v>0.99688759999999998</v>
      </c>
      <c r="AB4649">
        <v>42</v>
      </c>
      <c r="AC4649">
        <v>-26.7088999999999</v>
      </c>
      <c r="AD4649">
        <v>-1.1104863933919999</v>
      </c>
      <c r="AE4649">
        <v>2.1222999999999899</v>
      </c>
      <c r="AF4649">
        <v>2.1450623473339698</v>
      </c>
      <c r="AG4649">
        <v>-1.1104863933919999</v>
      </c>
      <c r="AH4649">
        <v>26.660986190196901</v>
      </c>
      <c r="AI4649">
        <v>92.377437883559196</v>
      </c>
      <c r="AJ4649">
        <v>85.400063349573799</v>
      </c>
      <c r="AK4649">
        <v>26.770182239531501</v>
      </c>
      <c r="AL4649">
        <v>75.895723758306005</v>
      </c>
      <c r="AM4649">
        <v>86.532501486084399</v>
      </c>
      <c r="AN4649">
        <v>1.0000000122385</v>
      </c>
    </row>
    <row r="4650" spans="1:40" x14ac:dyDescent="0.25">
      <c r="A4650" t="str">
        <f>"20190312164121100"</f>
        <v>20190312164121100</v>
      </c>
      <c r="B4650" t="str">
        <f>"1552380081090953"</f>
        <v>1552380081090953</v>
      </c>
      <c r="C4650" t="s">
        <v>40</v>
      </c>
      <c r="D4650">
        <v>4.9645950000000001</v>
      </c>
      <c r="E4650">
        <v>0.50798699999999997</v>
      </c>
      <c r="F4650" t="s">
        <v>41</v>
      </c>
      <c r="G4650">
        <v>-355.47149999999999</v>
      </c>
      <c r="H4650" s="1">
        <v>-2.8746599999999999E-6</v>
      </c>
      <c r="I4650">
        <v>143.18539999999999</v>
      </c>
      <c r="J4650">
        <v>-328.15089999999998</v>
      </c>
      <c r="K4650">
        <v>1.1104719999999999</v>
      </c>
      <c r="L4650">
        <v>141.39340000000001</v>
      </c>
      <c r="M4650">
        <v>-0.99988319999999997</v>
      </c>
      <c r="N4650">
        <v>0</v>
      </c>
      <c r="O4650">
        <v>-1.0002889999999999E-3</v>
      </c>
      <c r="P4650">
        <v>-0.9718291</v>
      </c>
      <c r="Q4650">
        <v>0.22843260000000001</v>
      </c>
      <c r="R4650">
        <v>5.8027820000000001E-2</v>
      </c>
      <c r="S4650">
        <v>-3.1046140000000002</v>
      </c>
      <c r="T4650">
        <v>-0.1244053</v>
      </c>
      <c r="U4650">
        <v>0.20071410000000001</v>
      </c>
      <c r="V4650">
        <v>5.8985570000000001E-2</v>
      </c>
      <c r="W4650">
        <v>0.24324390000000001</v>
      </c>
      <c r="X4650">
        <v>0.96816999999999998</v>
      </c>
      <c r="Y4650">
        <v>6.5460760000000007E-2</v>
      </c>
      <c r="Z4650">
        <v>1.3496809999999999E-3</v>
      </c>
      <c r="AA4650">
        <v>0.99785420000000002</v>
      </c>
      <c r="AB4650">
        <v>42</v>
      </c>
      <c r="AC4650">
        <v>-27.320599999999999</v>
      </c>
      <c r="AD4650">
        <v>-1.1104748746599999</v>
      </c>
      <c r="AE4650">
        <v>1.7919999999999701</v>
      </c>
      <c r="AF4650">
        <v>1.8163428477155099</v>
      </c>
      <c r="AG4650">
        <v>-1.1104748746599999</v>
      </c>
      <c r="AH4650">
        <v>27.2739273027357</v>
      </c>
      <c r="AI4650">
        <v>92.326397925261503</v>
      </c>
      <c r="AJ4650">
        <v>86.189938633701701</v>
      </c>
      <c r="AK4650">
        <v>27.356888827178601</v>
      </c>
      <c r="AL4650">
        <v>75.921922898051903</v>
      </c>
      <c r="AM4650">
        <v>86.513575127568998</v>
      </c>
      <c r="AN4650">
        <v>1.00000002062771</v>
      </c>
    </row>
    <row r="4651" spans="1:40" x14ac:dyDescent="0.25">
      <c r="A4651" t="str">
        <f>"20190312164121122"</f>
        <v>20190312164121122</v>
      </c>
      <c r="B4651" t="str">
        <f>"1552380081110473"</f>
        <v>1552380081110473</v>
      </c>
      <c r="C4651" t="s">
        <v>40</v>
      </c>
      <c r="D4651">
        <v>5.0752569999999997</v>
      </c>
      <c r="E4651">
        <v>0.50811419999999996</v>
      </c>
      <c r="F4651" t="s">
        <v>41</v>
      </c>
      <c r="G4651">
        <v>-353.86840000000001</v>
      </c>
      <c r="H4651" s="1">
        <v>-3.5252799999999998E-6</v>
      </c>
      <c r="I4651">
        <v>143.04599999999999</v>
      </c>
      <c r="J4651">
        <v>-328.54899999999998</v>
      </c>
      <c r="K4651">
        <v>1.1104670000000001</v>
      </c>
      <c r="L4651">
        <v>141.3931</v>
      </c>
      <c r="M4651">
        <v>-0.99988319999999997</v>
      </c>
      <c r="N4651">
        <v>0</v>
      </c>
      <c r="O4651">
        <v>-1.0046499999999999E-3</v>
      </c>
      <c r="P4651">
        <v>-0.97206009999999998</v>
      </c>
      <c r="Q4651">
        <v>0.22747110000000001</v>
      </c>
      <c r="R4651">
        <v>5.7933739999999997E-2</v>
      </c>
      <c r="S4651">
        <v>-3.106598</v>
      </c>
      <c r="T4651">
        <v>-0.13414229999999899</v>
      </c>
      <c r="U4651">
        <v>0.19963069999999999</v>
      </c>
      <c r="V4651">
        <v>5.890012E-2</v>
      </c>
      <c r="W4651">
        <v>0.24227979999999999</v>
      </c>
      <c r="X4651">
        <v>0.96841690000000002</v>
      </c>
      <c r="Y4651">
        <v>6.5069329999999995E-2</v>
      </c>
      <c r="Z4651">
        <v>1.4460629999999901E-3</v>
      </c>
      <c r="AA4651">
        <v>0.99787969999999904</v>
      </c>
      <c r="AB4651">
        <v>42</v>
      </c>
      <c r="AC4651">
        <v>-25.319399999999899</v>
      </c>
      <c r="AD4651">
        <v>-1.11047052528</v>
      </c>
      <c r="AE4651">
        <v>1.6528999999999801</v>
      </c>
      <c r="AF4651">
        <v>1.6751307077589701</v>
      </c>
      <c r="AG4651">
        <v>-1.11047052528</v>
      </c>
      <c r="AH4651">
        <v>25.269325479009499</v>
      </c>
      <c r="AI4651">
        <v>92.510763114455798</v>
      </c>
      <c r="AJ4651">
        <v>86.207350392251598</v>
      </c>
      <c r="AK4651">
        <v>25.349122624653301</v>
      </c>
      <c r="AL4651">
        <v>75.978864967862904</v>
      </c>
      <c r="AM4651">
        <v>86.519498743591896</v>
      </c>
      <c r="AN4651">
        <v>1.00000000891483</v>
      </c>
    </row>
    <row r="4652" spans="1:40" x14ac:dyDescent="0.25">
      <c r="A4652" t="str">
        <f>"20190312164121144"</f>
        <v>20190312164121144</v>
      </c>
      <c r="B4652" t="str">
        <f>"1552380081140730"</f>
        <v>1552380081140730</v>
      </c>
      <c r="C4652" t="s">
        <v>40</v>
      </c>
      <c r="D4652">
        <v>5.09422</v>
      </c>
      <c r="E4652">
        <v>0.5086465</v>
      </c>
      <c r="F4652" t="s">
        <v>41</v>
      </c>
      <c r="G4652">
        <v>-353.48950000000002</v>
      </c>
      <c r="H4652" s="1">
        <v>-3.6745569999999998E-6</v>
      </c>
      <c r="I4652">
        <v>142.99600000000001</v>
      </c>
      <c r="J4652">
        <v>-328.97480000000002</v>
      </c>
      <c r="K4652">
        <v>1.1104579999999999</v>
      </c>
      <c r="L4652">
        <v>141.39259999999999</v>
      </c>
      <c r="M4652">
        <v>-0.99988310000000002</v>
      </c>
      <c r="N4652">
        <v>0</v>
      </c>
      <c r="O4652">
        <v>-1.005693E-3</v>
      </c>
      <c r="P4652">
        <v>-0.97217489999999995</v>
      </c>
      <c r="Q4652">
        <v>0.22692909999999999</v>
      </c>
      <c r="R4652">
        <v>5.8130950000000001E-2</v>
      </c>
      <c r="S4652">
        <v>-3.1067200000000001</v>
      </c>
      <c r="T4652">
        <v>-0.13832649999999999</v>
      </c>
      <c r="U4652">
        <v>0.19967650000000001</v>
      </c>
      <c r="V4652">
        <v>5.9102040000000002E-2</v>
      </c>
      <c r="W4652">
        <v>0.24173439999999999</v>
      </c>
      <c r="X4652">
        <v>0.96854090000000004</v>
      </c>
      <c r="Y4652">
        <v>6.5078629999999998E-2</v>
      </c>
      <c r="Z4652">
        <v>1.49132E-3</v>
      </c>
      <c r="AA4652">
        <v>0.99787899999999996</v>
      </c>
      <c r="AB4652">
        <v>42</v>
      </c>
      <c r="AC4652">
        <v>-24.514700000000001</v>
      </c>
      <c r="AD4652">
        <v>-1.110461674557</v>
      </c>
      <c r="AE4652">
        <v>1.6034000000000199</v>
      </c>
      <c r="AF4652">
        <v>1.6247367415546901</v>
      </c>
      <c r="AG4652">
        <v>-1.110461674557</v>
      </c>
      <c r="AH4652">
        <v>24.463093135314001</v>
      </c>
      <c r="AI4652">
        <v>92.593357395560702</v>
      </c>
      <c r="AJ4652">
        <v>86.200233444986793</v>
      </c>
      <c r="AK4652">
        <v>24.542123387292001</v>
      </c>
      <c r="AL4652">
        <v>76.011071643214194</v>
      </c>
      <c r="AM4652">
        <v>86.508042470976406</v>
      </c>
      <c r="AN4652">
        <v>1.0000000231241599</v>
      </c>
    </row>
    <row r="4653" spans="1:40" x14ac:dyDescent="0.25">
      <c r="A4653" t="str">
        <f>"20190312164121168"</f>
        <v>20190312164121168</v>
      </c>
      <c r="B4653" t="str">
        <f>"1552380081161228"</f>
        <v>1552380081161228</v>
      </c>
      <c r="C4653" t="s">
        <v>40</v>
      </c>
      <c r="D4653">
        <v>5.0854089999999896</v>
      </c>
      <c r="E4653">
        <v>0.50891830000000005</v>
      </c>
      <c r="F4653" t="s">
        <v>41</v>
      </c>
      <c r="G4653">
        <v>-353.26740000000001</v>
      </c>
      <c r="H4653" s="1">
        <v>-3.7641640000000002E-6</v>
      </c>
      <c r="I4653">
        <v>142.9991</v>
      </c>
      <c r="J4653">
        <v>-329.39879999999999</v>
      </c>
      <c r="K4653">
        <v>1.1104499999999999</v>
      </c>
      <c r="L4653">
        <v>141.3922</v>
      </c>
      <c r="M4653">
        <v>-0.99988319999999997</v>
      </c>
      <c r="N4653">
        <v>0</v>
      </c>
      <c r="O4653">
        <v>-1.0056780000000001E-3</v>
      </c>
      <c r="P4653">
        <v>-0.97231540000000005</v>
      </c>
      <c r="Q4653">
        <v>0.22633159999999999</v>
      </c>
      <c r="R4653">
        <v>5.8113779999999997E-2</v>
      </c>
      <c r="S4653">
        <v>-3.1067200000000001</v>
      </c>
      <c r="T4653">
        <v>-0.14201449999999999</v>
      </c>
      <c r="U4653">
        <v>0.20545959999999999</v>
      </c>
      <c r="V4653">
        <v>5.9088170000000002E-2</v>
      </c>
      <c r="W4653">
        <v>0.24113329999999999</v>
      </c>
      <c r="X4653">
        <v>0.96869150000000004</v>
      </c>
      <c r="Y4653">
        <v>6.6922720000000005E-2</v>
      </c>
      <c r="Z4653">
        <v>1.5730270000000001E-3</v>
      </c>
      <c r="AA4653">
        <v>0.99775689999999995</v>
      </c>
      <c r="AB4653">
        <v>42</v>
      </c>
      <c r="AC4653">
        <v>-23.868600000000001</v>
      </c>
      <c r="AD4653">
        <v>-1.110453764164</v>
      </c>
      <c r="AE4653">
        <v>1.60689999999999</v>
      </c>
      <c r="AF4653">
        <v>1.62739957677118</v>
      </c>
      <c r="AG4653">
        <v>-1.110453764164</v>
      </c>
      <c r="AH4653">
        <v>23.8156565537878</v>
      </c>
      <c r="AI4653">
        <v>92.663397497595199</v>
      </c>
      <c r="AJ4653">
        <v>86.090874008895298</v>
      </c>
      <c r="AK4653">
        <v>23.8970088930141</v>
      </c>
      <c r="AL4653">
        <v>76.046561014447505</v>
      </c>
      <c r="AM4653">
        <v>86.509401349117894</v>
      </c>
      <c r="AN4653">
        <v>0.99999995118754303</v>
      </c>
    </row>
    <row r="4654" spans="1:40" x14ac:dyDescent="0.25">
      <c r="A4654" t="str">
        <f>"20190312164121190"</f>
        <v>20190312164121190</v>
      </c>
      <c r="B4654" t="str">
        <f>"1552380081180745"</f>
        <v>1552380081180745</v>
      </c>
      <c r="C4654" t="s">
        <v>40</v>
      </c>
      <c r="D4654">
        <v>5.1086419999999997</v>
      </c>
      <c r="E4654">
        <v>0.50920429999999905</v>
      </c>
      <c r="F4654" t="s">
        <v>41</v>
      </c>
      <c r="G4654">
        <v>-353.50389999999999</v>
      </c>
      <c r="H4654" s="1">
        <v>-3.6715509999999998E-6</v>
      </c>
      <c r="I4654">
        <v>143.00790000000001</v>
      </c>
      <c r="J4654">
        <v>-329.80590000000001</v>
      </c>
      <c r="K4654">
        <v>1.1104459999999901</v>
      </c>
      <c r="L4654">
        <v>141.39179999999999</v>
      </c>
      <c r="M4654">
        <v>-0.99988339999999998</v>
      </c>
      <c r="N4654">
        <v>0</v>
      </c>
      <c r="O4654">
        <v>-1.005918E-3</v>
      </c>
      <c r="P4654">
        <v>-0.97246679999999996</v>
      </c>
      <c r="Q4654">
        <v>0.22572819999999999</v>
      </c>
      <c r="R4654">
        <v>5.7924539999999997E-2</v>
      </c>
      <c r="S4654">
        <v>-3.106293</v>
      </c>
      <c r="T4654">
        <v>-0.14309839999999999</v>
      </c>
      <c r="U4654">
        <v>0.2082214</v>
      </c>
      <c r="V4654">
        <v>5.8901780000000001E-2</v>
      </c>
      <c r="W4654">
        <v>0.24052699999999999</v>
      </c>
      <c r="X4654">
        <v>0.96885359999999998</v>
      </c>
      <c r="Y4654">
        <v>6.7813129999999999E-2</v>
      </c>
      <c r="Z4654">
        <v>1.6056759999999999E-3</v>
      </c>
      <c r="AA4654">
        <v>0.99769680000000005</v>
      </c>
      <c r="AB4654">
        <v>41</v>
      </c>
      <c r="AC4654">
        <v>-23.697999999999901</v>
      </c>
      <c r="AD4654">
        <v>-1.1104496715509899</v>
      </c>
      <c r="AE4654">
        <v>1.6161000000000101</v>
      </c>
      <c r="AF4654">
        <v>1.63636385160292</v>
      </c>
      <c r="AG4654">
        <v>-1.1104496715509899</v>
      </c>
      <c r="AH4654">
        <v>23.644685683709898</v>
      </c>
      <c r="AI4654">
        <v>92.682458087149797</v>
      </c>
      <c r="AJ4654">
        <v>86.041077099421003</v>
      </c>
      <c r="AK4654">
        <v>23.727240594079099</v>
      </c>
      <c r="AL4654">
        <v>76.082353278908201</v>
      </c>
      <c r="AM4654">
        <v>86.520965879877096</v>
      </c>
      <c r="AN4654">
        <v>0.99999997782456396</v>
      </c>
    </row>
    <row r="4655" spans="1:40" x14ac:dyDescent="0.25">
      <c r="A4655" t="str">
        <f>"20190312164121211"</f>
        <v>20190312164121211</v>
      </c>
      <c r="B4655" t="str">
        <f>"1552380081201241"</f>
        <v>1552380081201241</v>
      </c>
      <c r="C4655" t="s">
        <v>40</v>
      </c>
      <c r="D4655">
        <v>5.1870599999999998</v>
      </c>
      <c r="E4655">
        <v>0.49010239999999999</v>
      </c>
      <c r="F4655" t="s">
        <v>41</v>
      </c>
      <c r="G4655">
        <v>-353.61160000000001</v>
      </c>
      <c r="H4655" s="1">
        <v>-3.6230400000000001E-6</v>
      </c>
      <c r="I4655">
        <v>142.9992</v>
      </c>
      <c r="J4655">
        <v>-330.20679999999999</v>
      </c>
      <c r="K4655">
        <v>1.1104430000000001</v>
      </c>
      <c r="L4655">
        <v>141.3914</v>
      </c>
      <c r="M4655">
        <v>-0.99988339999999998</v>
      </c>
      <c r="N4655">
        <v>0</v>
      </c>
      <c r="O4655">
        <v>-1.0066470000000001E-3</v>
      </c>
      <c r="P4655">
        <v>-0.97250990000000004</v>
      </c>
      <c r="Q4655">
        <v>0.2257227</v>
      </c>
      <c r="R4655">
        <v>5.7216900000000001E-2</v>
      </c>
      <c r="S4655">
        <v>-3.1060490000000001</v>
      </c>
      <c r="T4655">
        <v>-0.1448863</v>
      </c>
      <c r="U4655">
        <v>0.2097473</v>
      </c>
      <c r="V4655">
        <v>5.8197190000000003E-2</v>
      </c>
      <c r="W4655">
        <v>0.24051729999999999</v>
      </c>
      <c r="X4655">
        <v>0.96889860000000005</v>
      </c>
      <c r="Y4655">
        <v>6.830464E-2</v>
      </c>
      <c r="Z4655">
        <v>1.6372960000000001E-3</v>
      </c>
      <c r="AA4655">
        <v>0.99766310000000002</v>
      </c>
      <c r="AB4655">
        <v>41</v>
      </c>
      <c r="AC4655">
        <v>-23.404800000000002</v>
      </c>
      <c r="AD4655">
        <v>-1.1104466230399901</v>
      </c>
      <c r="AE4655">
        <v>1.6077999999999899</v>
      </c>
      <c r="AF4655">
        <v>1.6277154302208201</v>
      </c>
      <c r="AG4655">
        <v>-1.1104466230399901</v>
      </c>
      <c r="AH4655">
        <v>23.350852370116801</v>
      </c>
      <c r="AI4655">
        <v>92.716061048835201</v>
      </c>
      <c r="AJ4655">
        <v>86.012539152891605</v>
      </c>
      <c r="AK4655">
        <v>23.4338399677771</v>
      </c>
      <c r="AL4655">
        <v>76.082926041032906</v>
      </c>
      <c r="AM4655">
        <v>86.562641368501602</v>
      </c>
      <c r="AN4655">
        <v>0.99999999080257296</v>
      </c>
    </row>
    <row r="4656" spans="1:40" x14ac:dyDescent="0.25">
      <c r="A4656" t="str">
        <f>"20190312164121235"</f>
        <v>20190312164121235</v>
      </c>
      <c r="B4656" t="str">
        <f>"1552380081230522"</f>
        <v>1552380081230522</v>
      </c>
      <c r="C4656" t="s">
        <v>40</v>
      </c>
      <c r="D4656">
        <v>5.014424</v>
      </c>
      <c r="E4656">
        <v>0.46597909999999998</v>
      </c>
      <c r="F4656" t="s">
        <v>41</v>
      </c>
      <c r="G4656">
        <v>-364.35480000000001</v>
      </c>
      <c r="H4656" s="1">
        <v>-3.0433440000000001E-6</v>
      </c>
      <c r="I4656">
        <v>142.0187</v>
      </c>
      <c r="J4656">
        <v>-330.63940000000002</v>
      </c>
      <c r="K4656">
        <v>1.11043799999999</v>
      </c>
      <c r="L4656">
        <v>141.39089999999999</v>
      </c>
      <c r="M4656">
        <v>-0.99988339999999998</v>
      </c>
      <c r="N4656">
        <v>0</v>
      </c>
      <c r="O4656">
        <v>-1.00786E-3</v>
      </c>
      <c r="P4656">
        <v>-0.97263350000000004</v>
      </c>
      <c r="Q4656">
        <v>0.22532350000000001</v>
      </c>
      <c r="R4656">
        <v>5.6687939999999999E-2</v>
      </c>
      <c r="S4656">
        <v>-3.1049190000000002</v>
      </c>
      <c r="T4656">
        <v>-0.100968</v>
      </c>
      <c r="U4656">
        <v>5.7052609999999997E-2</v>
      </c>
      <c r="V4656">
        <v>5.7671550000000002E-2</v>
      </c>
      <c r="W4656">
        <v>0.2401151</v>
      </c>
      <c r="X4656">
        <v>0.96902980000000005</v>
      </c>
      <c r="Y4656">
        <v>1.9368839999999998E-2</v>
      </c>
      <c r="Z4656">
        <v>3.4758199999999998E-4</v>
      </c>
      <c r="AA4656">
        <v>0.99981240000000005</v>
      </c>
      <c r="AB4656">
        <v>41</v>
      </c>
      <c r="AC4656">
        <v>-33.715399999999903</v>
      </c>
      <c r="AD4656">
        <v>-1.11044104334399</v>
      </c>
      <c r="AE4656">
        <v>0.62780000000000702</v>
      </c>
      <c r="AF4656">
        <v>0.66106717756657296</v>
      </c>
      <c r="AG4656">
        <v>-1.11044104334399</v>
      </c>
      <c r="AH4656">
        <v>33.678229869966799</v>
      </c>
      <c r="AI4656">
        <v>91.888113006758303</v>
      </c>
      <c r="AJ4656">
        <v>88.875490309213504</v>
      </c>
      <c r="AK4656">
        <v>33.703015537164099</v>
      </c>
      <c r="AL4656">
        <v>76.106666402664899</v>
      </c>
      <c r="AM4656">
        <v>86.594074444889699</v>
      </c>
      <c r="AN4656">
        <v>1.0000000111077201</v>
      </c>
    </row>
    <row r="4657" spans="1:40" x14ac:dyDescent="0.25">
      <c r="A4657" t="str">
        <f>"20190312164121256"</f>
        <v>20190312164121256</v>
      </c>
      <c r="B4657" t="str">
        <f>"1552380081251020"</f>
        <v>1552380081251020</v>
      </c>
      <c r="C4657" t="s">
        <v>40</v>
      </c>
      <c r="D4657">
        <v>5.0003520000000004</v>
      </c>
      <c r="E4657">
        <v>0.46009309999999998</v>
      </c>
      <c r="F4657" t="s">
        <v>41</v>
      </c>
      <c r="G4657">
        <v>-367.75909999999999</v>
      </c>
      <c r="H4657" s="1">
        <v>-9.8147110000000003E-7</v>
      </c>
      <c r="I4657">
        <v>139.75839999999999</v>
      </c>
      <c r="J4657">
        <v>-331.04480000000001</v>
      </c>
      <c r="K4657">
        <v>1.1104339999999999</v>
      </c>
      <c r="L4657">
        <v>141.3905</v>
      </c>
      <c r="M4657">
        <v>-0.99988370000000004</v>
      </c>
      <c r="N4657">
        <v>0</v>
      </c>
      <c r="O4657">
        <v>-1.009331E-3</v>
      </c>
      <c r="P4657">
        <v>-0.97276640000000003</v>
      </c>
      <c r="Q4657">
        <v>0.22487950000000001</v>
      </c>
      <c r="R4657">
        <v>5.6171869999999999E-2</v>
      </c>
      <c r="S4657">
        <v>-3.1139830000000002</v>
      </c>
      <c r="T4657">
        <v>-9.3155150000000006E-2</v>
      </c>
      <c r="U4657">
        <v>-0.1369476</v>
      </c>
      <c r="V4657">
        <v>5.7158500000000001E-2</v>
      </c>
      <c r="W4657">
        <v>0.2396684</v>
      </c>
      <c r="X4657">
        <v>0.96917070000000005</v>
      </c>
      <c r="Y4657">
        <v>-4.290861E-2</v>
      </c>
      <c r="Z4657">
        <v>-6.1117820000000005E-4</v>
      </c>
      <c r="AA4657">
        <v>0.99907880000000004</v>
      </c>
      <c r="AB4657">
        <v>41</v>
      </c>
      <c r="AC4657">
        <v>-36.714299999999902</v>
      </c>
      <c r="AD4657">
        <v>-1.1104349814711001</v>
      </c>
      <c r="AE4657">
        <v>-1.6321000000000001</v>
      </c>
      <c r="AF4657">
        <v>-1.59358309617409</v>
      </c>
      <c r="AG4657">
        <v>-1.1104349814711001</v>
      </c>
      <c r="AH4657">
        <v>36.682438704152098</v>
      </c>
      <c r="AI4657">
        <v>91.732270792097395</v>
      </c>
      <c r="AJ4657">
        <v>92.487517585920699</v>
      </c>
      <c r="AK4657">
        <v>36.733824769772703</v>
      </c>
      <c r="AL4657">
        <v>76.133029268509205</v>
      </c>
      <c r="AM4657">
        <v>86.624793037717197</v>
      </c>
      <c r="AN4657">
        <v>0.99999994090964806</v>
      </c>
    </row>
    <row r="4658" spans="1:40" x14ac:dyDescent="0.25">
      <c r="A4658" t="str">
        <f>"20190312164121280"</f>
        <v>20190312164121280</v>
      </c>
      <c r="B4658" t="str">
        <f>"1552380081270537"</f>
        <v>1552380081270537</v>
      </c>
      <c r="C4658" t="s">
        <v>40</v>
      </c>
      <c r="D4658">
        <v>5.0150059999999996</v>
      </c>
      <c r="E4658">
        <v>0.4569182</v>
      </c>
      <c r="F4658" t="s">
        <v>41</v>
      </c>
      <c r="G4658">
        <v>-365.8005</v>
      </c>
      <c r="H4658" s="1">
        <v>-1.8379260000000001E-6</v>
      </c>
      <c r="I4658">
        <v>139.3115</v>
      </c>
      <c r="J4658">
        <v>-331.46890000000002</v>
      </c>
      <c r="K4658">
        <v>1.1104350000000001</v>
      </c>
      <c r="L4658">
        <v>141.39009999999999</v>
      </c>
      <c r="M4658">
        <v>-0.99988350000000004</v>
      </c>
      <c r="N4658">
        <v>0</v>
      </c>
      <c r="O4658">
        <v>-1.0103340000000001E-3</v>
      </c>
      <c r="P4658">
        <v>-0.97284939999999998</v>
      </c>
      <c r="Q4658">
        <v>0.22464239999999999</v>
      </c>
      <c r="R4658">
        <v>5.5679529999999998E-2</v>
      </c>
      <c r="S4658">
        <v>-3.1178279999999998</v>
      </c>
      <c r="T4658">
        <v>-9.9613789999999994E-2</v>
      </c>
      <c r="U4658">
        <v>-0.18649289999999999</v>
      </c>
      <c r="V4658">
        <v>5.6668160000000002E-2</v>
      </c>
      <c r="W4658">
        <v>0.2394281</v>
      </c>
      <c r="X4658">
        <v>0.96925899999999998</v>
      </c>
      <c r="Y4658">
        <v>-5.8670300000000002E-2</v>
      </c>
      <c r="Z4658">
        <v>-9.039289E-4</v>
      </c>
      <c r="AA4658">
        <v>0.99827699999999997</v>
      </c>
      <c r="AB4658">
        <v>41</v>
      </c>
      <c r="AC4658">
        <v>-34.331599999999902</v>
      </c>
      <c r="AD4658">
        <v>-1.1104368379259999</v>
      </c>
      <c r="AE4658">
        <v>-2.07859999999999</v>
      </c>
      <c r="AF4658">
        <v>-2.0417802974305799</v>
      </c>
      <c r="AG4658">
        <v>-1.1104368379259999</v>
      </c>
      <c r="AH4658">
        <v>34.297932594952101</v>
      </c>
      <c r="AI4658">
        <v>91.851097186990998</v>
      </c>
      <c r="AJ4658">
        <v>93.406837757949503</v>
      </c>
      <c r="AK4658">
        <v>34.376592574626599</v>
      </c>
      <c r="AL4658">
        <v>76.147211907826403</v>
      </c>
      <c r="AM4658">
        <v>86.653985669740194</v>
      </c>
      <c r="AN4658">
        <v>1.0000000522541901</v>
      </c>
    </row>
    <row r="4659" spans="1:40" x14ac:dyDescent="0.25">
      <c r="A4659" t="str">
        <f>"20190312164121301"</f>
        <v>20190312164121301</v>
      </c>
      <c r="B4659" t="str">
        <f>"1552380081291033"</f>
        <v>1552380081291033</v>
      </c>
      <c r="C4659" t="s">
        <v>40</v>
      </c>
      <c r="D4659">
        <v>4.9727940000000004</v>
      </c>
      <c r="E4659">
        <v>0.45558989999999999</v>
      </c>
      <c r="F4659" t="s">
        <v>41</v>
      </c>
      <c r="G4659">
        <v>-365.34320000000002</v>
      </c>
      <c r="H4659" s="1">
        <v>-2.075858E-6</v>
      </c>
      <c r="I4659">
        <v>139.0763</v>
      </c>
      <c r="J4659">
        <v>-331.86649999999997</v>
      </c>
      <c r="K4659">
        <v>1.11043</v>
      </c>
      <c r="L4659">
        <v>141.3897</v>
      </c>
      <c r="M4659">
        <v>-0.99988359999999998</v>
      </c>
      <c r="N4659">
        <v>0</v>
      </c>
      <c r="O4659">
        <v>-1.0105139999999999E-3</v>
      </c>
      <c r="P4659">
        <v>-0.97292049999999997</v>
      </c>
      <c r="Q4659">
        <v>0.22456880000000001</v>
      </c>
      <c r="R4659">
        <v>5.4724759999999997E-2</v>
      </c>
      <c r="S4659">
        <v>-3.119507</v>
      </c>
      <c r="T4659">
        <v>-0.10226109999999999</v>
      </c>
      <c r="U4659">
        <v>-0.2130737</v>
      </c>
      <c r="V4659">
        <v>5.5714470000000002E-2</v>
      </c>
      <c r="W4659">
        <v>0.2393508</v>
      </c>
      <c r="X4659">
        <v>0.96933340000000001</v>
      </c>
      <c r="Y4659">
        <v>-6.7101250000000001E-2</v>
      </c>
      <c r="Z4659">
        <v>-1.065173E-3</v>
      </c>
      <c r="AA4659">
        <v>0.99774560000000001</v>
      </c>
      <c r="AB4659">
        <v>41</v>
      </c>
      <c r="AC4659">
        <v>-33.476700000000001</v>
      </c>
      <c r="AD4659">
        <v>-1.110432075858</v>
      </c>
      <c r="AE4659">
        <v>-2.3134000000000001</v>
      </c>
      <c r="AF4659">
        <v>-2.2770727396564201</v>
      </c>
      <c r="AG4659">
        <v>-1.110432075858</v>
      </c>
      <c r="AH4659">
        <v>33.442400156646499</v>
      </c>
      <c r="AI4659">
        <v>91.897378575901399</v>
      </c>
      <c r="AJ4659">
        <v>93.895222661793994</v>
      </c>
      <c r="AK4659">
        <v>33.538220702566299</v>
      </c>
      <c r="AL4659">
        <v>76.151773813095502</v>
      </c>
      <c r="AM4659">
        <v>86.710424228157393</v>
      </c>
      <c r="AN4659">
        <v>1.00000007399178</v>
      </c>
    </row>
    <row r="4660" spans="1:40" x14ac:dyDescent="0.25">
      <c r="A4660" t="str">
        <f>"20190312164121323"</f>
        <v>20190312164121323</v>
      </c>
      <c r="B4660" t="str">
        <f>"1552380081310553"</f>
        <v>1552380081310553</v>
      </c>
      <c r="C4660" t="s">
        <v>40</v>
      </c>
      <c r="D4660">
        <v>5.0764329999999998</v>
      </c>
      <c r="E4660">
        <v>0.4548297</v>
      </c>
      <c r="F4660" t="s">
        <v>41</v>
      </c>
      <c r="G4660">
        <v>-365.54329999999999</v>
      </c>
      <c r="H4660" s="1">
        <v>-2.013858E-6</v>
      </c>
      <c r="I4660">
        <v>138.9419</v>
      </c>
      <c r="J4660">
        <v>-332.26900000000001</v>
      </c>
      <c r="K4660">
        <v>1.1104320000000001</v>
      </c>
      <c r="L4660">
        <v>141.38929999999999</v>
      </c>
      <c r="M4660">
        <v>-0.99988379999999999</v>
      </c>
      <c r="N4660">
        <v>0</v>
      </c>
      <c r="O4660">
        <v>-1.0108199999999999E-3</v>
      </c>
      <c r="P4660">
        <v>-0.97302650000000002</v>
      </c>
      <c r="Q4660">
        <v>0.2243415</v>
      </c>
      <c r="R4660">
        <v>5.3761099999999999E-2</v>
      </c>
      <c r="S4660">
        <v>-3.1200260000000002</v>
      </c>
      <c r="T4660">
        <v>-0.1028776</v>
      </c>
      <c r="U4660">
        <v>-0.22677610000000001</v>
      </c>
      <c r="V4660">
        <v>5.4751689999999999E-2</v>
      </c>
      <c r="W4660">
        <v>0.23912059999999999</v>
      </c>
      <c r="X4660">
        <v>0.969445</v>
      </c>
      <c r="Y4660">
        <v>-7.1446430000000005E-2</v>
      </c>
      <c r="Z4660">
        <v>-1.142763E-3</v>
      </c>
      <c r="AA4660">
        <v>0.99744379999999999</v>
      </c>
      <c r="AB4660">
        <v>41</v>
      </c>
      <c r="AC4660">
        <v>-33.274299999999897</v>
      </c>
      <c r="AD4660">
        <v>-1.11043401385799</v>
      </c>
      <c r="AE4660">
        <v>-2.44739999999998</v>
      </c>
      <c r="AF4660">
        <v>-2.4110897514484702</v>
      </c>
      <c r="AG4660">
        <v>-1.11043401385799</v>
      </c>
      <c r="AH4660">
        <v>33.239937088306398</v>
      </c>
      <c r="AI4660">
        <v>91.908336881742997</v>
      </c>
      <c r="AJ4660">
        <v>94.148736696637599</v>
      </c>
      <c r="AK4660">
        <v>33.345761876485</v>
      </c>
      <c r="AL4660">
        <v>76.165356832997801</v>
      </c>
      <c r="AM4660">
        <v>86.767519839272097</v>
      </c>
      <c r="AN4660">
        <v>1.0000000084636</v>
      </c>
    </row>
    <row r="4661" spans="1:40" x14ac:dyDescent="0.25">
      <c r="A4661" t="str">
        <f>"20190312164121345"</f>
        <v>20190312164121345</v>
      </c>
      <c r="B4661" t="str">
        <f>"1552380081340809"</f>
        <v>1552380081340809</v>
      </c>
      <c r="C4661" t="s">
        <v>40</v>
      </c>
      <c r="D4661">
        <v>5.1197850000000003</v>
      </c>
      <c r="E4661">
        <v>0.45386070000000001</v>
      </c>
      <c r="F4661" t="s">
        <v>41</v>
      </c>
      <c r="G4661">
        <v>-365.39269999999999</v>
      </c>
      <c r="H4661" s="1">
        <v>-2.0883489999999998E-6</v>
      </c>
      <c r="I4661">
        <v>138.886</v>
      </c>
      <c r="J4661">
        <v>-332.67759999999998</v>
      </c>
      <c r="K4661">
        <v>1.110436</v>
      </c>
      <c r="L4661">
        <v>141.38890000000001</v>
      </c>
      <c r="M4661">
        <v>-0.99988379999999999</v>
      </c>
      <c r="N4661">
        <v>0</v>
      </c>
      <c r="O4661">
        <v>-1.0111269999999999E-3</v>
      </c>
      <c r="P4661">
        <v>-0.97303810000000002</v>
      </c>
      <c r="Q4661">
        <v>0.22437850000000001</v>
      </c>
      <c r="R4661">
        <v>5.3396079999999999E-2</v>
      </c>
      <c r="S4661">
        <v>-3.1202999999999999</v>
      </c>
      <c r="T4661">
        <v>-0.1046045</v>
      </c>
      <c r="U4661">
        <v>-0.2358093</v>
      </c>
      <c r="V4661">
        <v>5.4387390000000001E-2</v>
      </c>
      <c r="W4661">
        <v>0.23915349999999999</v>
      </c>
      <c r="X4661">
        <v>0.96945740000000002</v>
      </c>
      <c r="Y4661">
        <v>-7.4308410000000005E-2</v>
      </c>
      <c r="Z4661">
        <v>-1.2095879999999999E-3</v>
      </c>
      <c r="AA4661">
        <v>0.99723459999999997</v>
      </c>
      <c r="AB4661">
        <v>41</v>
      </c>
      <c r="AC4661">
        <v>-32.7151</v>
      </c>
      <c r="AD4661">
        <v>-1.1104380883489999</v>
      </c>
      <c r="AE4661">
        <v>-2.5029000000000101</v>
      </c>
      <c r="AF4661">
        <v>-2.4669900787636001</v>
      </c>
      <c r="AG4661">
        <v>-1.1104380883489999</v>
      </c>
      <c r="AH4661">
        <v>32.680182397017198</v>
      </c>
      <c r="AI4661">
        <v>91.940584163619704</v>
      </c>
      <c r="AJ4661">
        <v>94.317005889472298</v>
      </c>
      <c r="AK4661">
        <v>32.791972101401399</v>
      </c>
      <c r="AL4661">
        <v>76.163415603672902</v>
      </c>
      <c r="AM4661">
        <v>86.789023543147593</v>
      </c>
      <c r="AN4661">
        <v>1.00000001758401</v>
      </c>
    </row>
    <row r="4662" spans="1:40" x14ac:dyDescent="0.25">
      <c r="A4662" t="str">
        <f>"20190312164121368"</f>
        <v>20190312164121368</v>
      </c>
      <c r="B4662" t="str">
        <f>"1552380081361305"</f>
        <v>1552380081361305</v>
      </c>
      <c r="C4662" t="s">
        <v>40</v>
      </c>
      <c r="D4662">
        <v>5.2102950000000003</v>
      </c>
      <c r="E4662">
        <v>0.45349420000000001</v>
      </c>
      <c r="F4662" t="s">
        <v>41</v>
      </c>
      <c r="G4662">
        <v>-365.8707</v>
      </c>
      <c r="H4662" s="1">
        <v>-1.900919E-6</v>
      </c>
      <c r="I4662">
        <v>138.7868</v>
      </c>
      <c r="J4662">
        <v>-333.09589999999997</v>
      </c>
      <c r="K4662">
        <v>1.1104369999999999</v>
      </c>
      <c r="L4662">
        <v>141.38849999999999</v>
      </c>
      <c r="M4662">
        <v>-0.99988390000000005</v>
      </c>
      <c r="N4662">
        <v>0</v>
      </c>
      <c r="O4662">
        <v>-1.0114360000000001E-3</v>
      </c>
      <c r="P4662">
        <v>-0.97308499999999998</v>
      </c>
      <c r="Q4662">
        <v>0.22439010000000001</v>
      </c>
      <c r="R4662">
        <v>5.2485259999999999E-2</v>
      </c>
      <c r="S4662">
        <v>-3.1206360000000002</v>
      </c>
      <c r="T4662">
        <v>-0.1043978</v>
      </c>
      <c r="U4662">
        <v>-0.24462890000000001</v>
      </c>
      <c r="V4662">
        <v>5.3477289999999997E-2</v>
      </c>
      <c r="W4662">
        <v>0.2391605</v>
      </c>
      <c r="X4662">
        <v>0.96950630000000004</v>
      </c>
      <c r="Y4662">
        <v>-7.7100169999999996E-2</v>
      </c>
      <c r="Z4662">
        <v>-1.2535420000000001E-3</v>
      </c>
      <c r="AA4662">
        <v>0.99702259999999998</v>
      </c>
      <c r="AB4662">
        <v>41</v>
      </c>
      <c r="AC4662">
        <v>-32.774799999999999</v>
      </c>
      <c r="AD4662">
        <v>-1.1104389009190001</v>
      </c>
      <c r="AE4662">
        <v>-2.6016999999999899</v>
      </c>
      <c r="AF4662">
        <v>-2.5656185574712298</v>
      </c>
      <c r="AG4662">
        <v>-1.1104389009190001</v>
      </c>
      <c r="AH4662">
        <v>32.7400675569274</v>
      </c>
      <c r="AI4662">
        <v>91.936613327872394</v>
      </c>
      <c r="AJ4662">
        <v>94.480727515133495</v>
      </c>
      <c r="AK4662">
        <v>32.859207184095098</v>
      </c>
      <c r="AL4662">
        <v>76.163002517598201</v>
      </c>
      <c r="AM4662">
        <v>86.842804221343798</v>
      </c>
      <c r="AN4662">
        <v>1.0000000155228399</v>
      </c>
    </row>
    <row r="4663" spans="1:40" x14ac:dyDescent="0.25">
      <c r="A4663" t="str">
        <f>"20190312164121391"</f>
        <v>20190312164121391</v>
      </c>
      <c r="B4663" t="str">
        <f>"1552380081381334"</f>
        <v>1552380081381334</v>
      </c>
      <c r="C4663" t="s">
        <v>40</v>
      </c>
      <c r="D4663">
        <v>5.0371730000000001</v>
      </c>
      <c r="E4663">
        <v>0.45315060000000001</v>
      </c>
      <c r="F4663" t="s">
        <v>41</v>
      </c>
      <c r="G4663">
        <v>-367.59350000000001</v>
      </c>
      <c r="H4663" s="1">
        <v>-1.191394E-6</v>
      </c>
      <c r="I4663">
        <v>138.62010000000001</v>
      </c>
      <c r="J4663">
        <v>-333.50369999999998</v>
      </c>
      <c r="K4663">
        <v>1.11043799999999</v>
      </c>
      <c r="L4663">
        <v>141.38810000000001</v>
      </c>
      <c r="M4663">
        <v>-0.99988410000000005</v>
      </c>
      <c r="N4663">
        <v>0</v>
      </c>
      <c r="O4663">
        <v>-1.011868E-3</v>
      </c>
      <c r="P4663">
        <v>-0.97315339999999995</v>
      </c>
      <c r="Q4663">
        <v>0.22420699999999999</v>
      </c>
      <c r="R4663">
        <v>5.2001840000000001E-2</v>
      </c>
      <c r="S4663">
        <v>-3.1196290000000002</v>
      </c>
      <c r="T4663">
        <v>-0.1004174</v>
      </c>
      <c r="U4663">
        <v>-0.25033569999999999</v>
      </c>
      <c r="V4663">
        <v>5.2994659999999999E-2</v>
      </c>
      <c r="W4663">
        <v>0.2389744</v>
      </c>
      <c r="X4663">
        <v>0.96957870000000002</v>
      </c>
      <c r="Y4663">
        <v>-7.8939339999999997E-2</v>
      </c>
      <c r="Z4663">
        <v>-1.2356050000000001E-3</v>
      </c>
      <c r="AA4663">
        <v>0.99687870000000001</v>
      </c>
      <c r="AB4663">
        <v>41</v>
      </c>
      <c r="AC4663">
        <v>-34.089799999999997</v>
      </c>
      <c r="AD4663">
        <v>-1.1104391913939899</v>
      </c>
      <c r="AE4663">
        <v>-2.7679999999999998</v>
      </c>
      <c r="AF4663">
        <v>-2.7306218429895601</v>
      </c>
      <c r="AG4663">
        <v>-1.1104391913939899</v>
      </c>
      <c r="AH4663">
        <v>34.056684159203002</v>
      </c>
      <c r="AI4663">
        <v>91.861532875117604</v>
      </c>
      <c r="AJ4663">
        <v>94.584096733590599</v>
      </c>
      <c r="AK4663">
        <v>34.184018294619797</v>
      </c>
      <c r="AL4663">
        <v>76.173983840442204</v>
      </c>
      <c r="AM4663">
        <v>86.871474061297704</v>
      </c>
      <c r="AN4663">
        <v>1.0000000266687801</v>
      </c>
    </row>
    <row r="4664" spans="1:40" x14ac:dyDescent="0.25">
      <c r="A4664" t="str">
        <f>"20190312164121405"</f>
        <v>20190312164121405</v>
      </c>
      <c r="B4664" t="str">
        <f>"1552380081400850"</f>
        <v>1552380081400850</v>
      </c>
      <c r="C4664" t="s">
        <v>40</v>
      </c>
      <c r="D4664">
        <v>5.0631680000000001</v>
      </c>
      <c r="E4664">
        <v>0.45277519999999999</v>
      </c>
      <c r="F4664" t="s">
        <v>41</v>
      </c>
      <c r="G4664">
        <v>-367.95659999999998</v>
      </c>
      <c r="H4664" s="1">
        <v>-1.043267E-6</v>
      </c>
      <c r="I4664">
        <v>138.577</v>
      </c>
      <c r="J4664">
        <v>-333.7663</v>
      </c>
      <c r="K4664">
        <v>1.1104369999999999</v>
      </c>
      <c r="L4664">
        <v>141.3878</v>
      </c>
      <c r="M4664">
        <v>-0.99988390000000005</v>
      </c>
      <c r="N4664">
        <v>0</v>
      </c>
      <c r="O4664">
        <v>-1.01184E-3</v>
      </c>
      <c r="P4664">
        <v>-0.97317770000000003</v>
      </c>
      <c r="Q4664">
        <v>0.22421869999999999</v>
      </c>
      <c r="R4664">
        <v>5.149198E-2</v>
      </c>
      <c r="S4664">
        <v>-3.1195369999999998</v>
      </c>
      <c r="T4664">
        <v>-0.10054490000000001</v>
      </c>
      <c r="U4664">
        <v>-0.25451659999999998</v>
      </c>
      <c r="V4664">
        <v>5.2485110000000001E-2</v>
      </c>
      <c r="W4664">
        <v>0.23898320000000001</v>
      </c>
      <c r="X4664">
        <v>0.96960429999999997</v>
      </c>
      <c r="Y4664">
        <v>-8.0268210000000006E-2</v>
      </c>
      <c r="Z4664">
        <v>-1.258519E-3</v>
      </c>
      <c r="AA4664">
        <v>0.99677249999999995</v>
      </c>
      <c r="AB4664">
        <v>41</v>
      </c>
      <c r="AC4664">
        <v>-34.190299999999901</v>
      </c>
      <c r="AD4664">
        <v>-1.110438043267</v>
      </c>
      <c r="AE4664">
        <v>-2.8108</v>
      </c>
      <c r="AF4664">
        <v>-2.7732937309476799</v>
      </c>
      <c r="AG4664">
        <v>-1.110438043267</v>
      </c>
      <c r="AH4664">
        <v>34.157338563809603</v>
      </c>
      <c r="AI4664">
        <v>91.855898648313399</v>
      </c>
      <c r="AJ4664">
        <v>94.641762215335405</v>
      </c>
      <c r="AK4664">
        <v>34.2877238750076</v>
      </c>
      <c r="AL4664">
        <v>76.173465310696002</v>
      </c>
      <c r="AM4664">
        <v>86.901577963110796</v>
      </c>
      <c r="AN4664">
        <v>1.0000000776162099</v>
      </c>
    </row>
    <row r="4665" spans="1:40" x14ac:dyDescent="0.25">
      <c r="A4665" t="str">
        <f>"20190312164121424"</f>
        <v>20190312164121424</v>
      </c>
      <c r="B4665" t="str">
        <f>"1552380081421347"</f>
        <v>1552380081421347</v>
      </c>
      <c r="C4665" t="s">
        <v>40</v>
      </c>
      <c r="D4665">
        <v>5.1194870000000003</v>
      </c>
      <c r="E4665">
        <v>0.45232729999999999</v>
      </c>
      <c r="F4665" t="s">
        <v>41</v>
      </c>
      <c r="G4665">
        <v>-368.63830000000002</v>
      </c>
      <c r="H4665" s="1">
        <v>-7.6679589999999996E-7</v>
      </c>
      <c r="I4665">
        <v>138.48689999999999</v>
      </c>
      <c r="J4665">
        <v>-334.10489999999999</v>
      </c>
      <c r="K4665">
        <v>1.110439</v>
      </c>
      <c r="L4665">
        <v>141.38749999999999</v>
      </c>
      <c r="M4665">
        <v>-0.99988410000000005</v>
      </c>
      <c r="N4665">
        <v>0</v>
      </c>
      <c r="O4665">
        <v>-1.0122810000000001E-3</v>
      </c>
      <c r="P4665">
        <v>-0.9732613</v>
      </c>
      <c r="Q4665">
        <v>0.2239371</v>
      </c>
      <c r="R4665">
        <v>5.1135659999999999E-2</v>
      </c>
      <c r="S4665">
        <v>-3.1192630000000001</v>
      </c>
      <c r="T4665">
        <v>-9.9327559999999995E-2</v>
      </c>
      <c r="U4665">
        <v>-0.25947569999999998</v>
      </c>
      <c r="V4665">
        <v>5.2129380000000003E-2</v>
      </c>
      <c r="W4665">
        <v>0.2386993</v>
      </c>
      <c r="X4665">
        <v>0.96969340000000004</v>
      </c>
      <c r="Y4665">
        <v>-8.1848980000000002E-2</v>
      </c>
      <c r="Z4665">
        <v>-1.268422E-3</v>
      </c>
      <c r="AA4665">
        <v>0.99664399999999997</v>
      </c>
      <c r="AB4665">
        <v>41</v>
      </c>
      <c r="AC4665">
        <v>-34.5334</v>
      </c>
      <c r="AD4665">
        <v>-1.1104397667958901</v>
      </c>
      <c r="AE4665">
        <v>-2.9005999999999901</v>
      </c>
      <c r="AF4665">
        <v>-2.8626977442399801</v>
      </c>
      <c r="AG4665">
        <v>-1.1104397667958901</v>
      </c>
      <c r="AH4665">
        <v>34.500895604712198</v>
      </c>
      <c r="AI4665">
        <v>91.837166454461695</v>
      </c>
      <c r="AJ4665">
        <v>94.743228488315197</v>
      </c>
      <c r="AK4665">
        <v>34.637261906475899</v>
      </c>
      <c r="AL4665">
        <v>76.190216118580693</v>
      </c>
      <c r="AM4665">
        <v>86.922819960992996</v>
      </c>
      <c r="AN4665">
        <v>1.00000005904161</v>
      </c>
    </row>
    <row r="4666" spans="1:40" x14ac:dyDescent="0.25">
      <c r="A4666" t="str">
        <f>"20190312164121446"</f>
        <v>20190312164121446</v>
      </c>
      <c r="B4666" t="str">
        <f>"1552380081440866"</f>
        <v>1552380081440866</v>
      </c>
      <c r="C4666" t="s">
        <v>40</v>
      </c>
      <c r="D4666">
        <v>5.088381</v>
      </c>
      <c r="E4666">
        <v>0.45205699999999999</v>
      </c>
      <c r="F4666" t="s">
        <v>41</v>
      </c>
      <c r="G4666">
        <v>-367.84269999999998</v>
      </c>
      <c r="H4666" s="1">
        <v>-1.101088E-6</v>
      </c>
      <c r="I4666">
        <v>138.5264</v>
      </c>
      <c r="J4666">
        <v>-334.51639999999998</v>
      </c>
      <c r="K4666">
        <v>1.1104320000000001</v>
      </c>
      <c r="L4666">
        <v>141.387</v>
      </c>
      <c r="M4666">
        <v>-0.999884</v>
      </c>
      <c r="N4666">
        <v>0</v>
      </c>
      <c r="O4666">
        <v>-1.0121209999999999E-3</v>
      </c>
      <c r="P4666">
        <v>-0.97336619999999996</v>
      </c>
      <c r="Q4666">
        <v>0.2236728</v>
      </c>
      <c r="R4666">
        <v>5.0283960000000003E-2</v>
      </c>
      <c r="S4666">
        <v>-3.1199650000000001</v>
      </c>
      <c r="T4666">
        <v>-0.10269</v>
      </c>
      <c r="U4666">
        <v>-0.26457209999999998</v>
      </c>
      <c r="V4666">
        <v>5.1277690000000001E-2</v>
      </c>
      <c r="W4666">
        <v>0.23843210000000001</v>
      </c>
      <c r="X4666">
        <v>0.96980449999999996</v>
      </c>
      <c r="Y4666">
        <v>-8.3443499999999907E-2</v>
      </c>
      <c r="Z4666">
        <v>-1.337146E-3</v>
      </c>
      <c r="AA4666">
        <v>0.99651160000000005</v>
      </c>
      <c r="AB4666">
        <v>41</v>
      </c>
      <c r="AC4666">
        <v>-33.326300000000003</v>
      </c>
      <c r="AD4666">
        <v>-1.110433101088</v>
      </c>
      <c r="AE4666">
        <v>-2.8605999999999998</v>
      </c>
      <c r="AF4666">
        <v>-2.8237523222171301</v>
      </c>
      <c r="AG4666">
        <v>-1.110433101088</v>
      </c>
      <c r="AH4666">
        <v>33.292486756507103</v>
      </c>
      <c r="AI4666">
        <v>91.903498085859297</v>
      </c>
      <c r="AJ4666">
        <v>94.848024602835295</v>
      </c>
      <c r="AK4666">
        <v>33.430469833393197</v>
      </c>
      <c r="AL4666">
        <v>76.205980154563704</v>
      </c>
      <c r="AM4666">
        <v>86.973346794317294</v>
      </c>
      <c r="AN4666">
        <v>1.0000000180111901</v>
      </c>
    </row>
    <row r="4667" spans="1:40" x14ac:dyDescent="0.25">
      <c r="A4667" t="str">
        <f>"20190312164121469"</f>
        <v>20190312164121469</v>
      </c>
      <c r="B4667" t="str">
        <f>"1552380081461367"</f>
        <v>1552380081461367</v>
      </c>
      <c r="C4667" t="s">
        <v>40</v>
      </c>
      <c r="D4667">
        <v>5.0402050000000003</v>
      </c>
      <c r="E4667">
        <v>0.45197540000000003</v>
      </c>
      <c r="F4667" t="s">
        <v>41</v>
      </c>
      <c r="G4667">
        <v>-367.45089999999999</v>
      </c>
      <c r="H4667" s="1">
        <v>-1.2662099999999999E-6</v>
      </c>
      <c r="I4667">
        <v>138.54310000000001</v>
      </c>
      <c r="J4667">
        <v>-334.93369999999999</v>
      </c>
      <c r="K4667">
        <v>1.1104369999999999</v>
      </c>
      <c r="L4667">
        <v>141.38659999999999</v>
      </c>
      <c r="M4667">
        <v>-0.9998842</v>
      </c>
      <c r="N4667">
        <v>0</v>
      </c>
      <c r="O4667">
        <v>-1.012556E-3</v>
      </c>
      <c r="P4667">
        <v>-0.97355860000000005</v>
      </c>
      <c r="Q4667">
        <v>0.2229112</v>
      </c>
      <c r="R4667">
        <v>4.9944130000000003E-2</v>
      </c>
      <c r="S4667">
        <v>-3.1201780000000001</v>
      </c>
      <c r="T4667">
        <v>-0.10520110000000001</v>
      </c>
      <c r="U4667">
        <v>-0.26942440000000001</v>
      </c>
      <c r="V4667">
        <v>5.0938690000000002E-2</v>
      </c>
      <c r="W4667">
        <v>0.2376685</v>
      </c>
      <c r="X4667">
        <v>0.97000980000000003</v>
      </c>
      <c r="Y4667">
        <v>-8.4972619999999999E-2</v>
      </c>
      <c r="Z4667">
        <v>-1.3953500000000001E-3</v>
      </c>
      <c r="AA4667">
        <v>0.99638230000000005</v>
      </c>
      <c r="AB4667">
        <v>41</v>
      </c>
      <c r="AC4667">
        <v>-32.517200000000003</v>
      </c>
      <c r="AD4667">
        <v>-1.1104382662100001</v>
      </c>
      <c r="AE4667">
        <v>-2.8434999999999699</v>
      </c>
      <c r="AF4667">
        <v>-2.80732028607683</v>
      </c>
      <c r="AG4667">
        <v>-1.1104382662100001</v>
      </c>
      <c r="AH4667">
        <v>32.482470183264397</v>
      </c>
      <c r="AI4667">
        <v>91.950671898841193</v>
      </c>
      <c r="AJ4667">
        <v>94.939553859025096</v>
      </c>
      <c r="AK4667">
        <v>32.622461426727803</v>
      </c>
      <c r="AL4667">
        <v>76.251026452653505</v>
      </c>
      <c r="AM4667">
        <v>86.993954539870501</v>
      </c>
      <c r="AN4667">
        <v>1.0000000390635999</v>
      </c>
    </row>
    <row r="4668" spans="1:40" x14ac:dyDescent="0.25">
      <c r="A4668" t="str">
        <f>"20190312164121491"</f>
        <v>20190312164121491</v>
      </c>
      <c r="B4668" t="str">
        <f>"1552380081480883"</f>
        <v>1552380081480883</v>
      </c>
      <c r="C4668" t="s">
        <v>40</v>
      </c>
      <c r="D4668">
        <v>5.0450589999999904</v>
      </c>
      <c r="E4668">
        <v>0.45164409999999999</v>
      </c>
      <c r="F4668" t="s">
        <v>41</v>
      </c>
      <c r="G4668">
        <v>-366.7636</v>
      </c>
      <c r="H4668" s="1">
        <v>-1.5476199999999999E-6</v>
      </c>
      <c r="I4668">
        <v>138.6189</v>
      </c>
      <c r="J4668">
        <v>-335.33850000000001</v>
      </c>
      <c r="K4668">
        <v>1.1104369999999999</v>
      </c>
      <c r="L4668">
        <v>141.3862</v>
      </c>
      <c r="M4668">
        <v>-0.9998842</v>
      </c>
      <c r="N4668">
        <v>0</v>
      </c>
      <c r="O4668">
        <v>-1.0127549999999999E-3</v>
      </c>
      <c r="P4668">
        <v>-0.97369030000000001</v>
      </c>
      <c r="Q4668">
        <v>0.2224621</v>
      </c>
      <c r="R4668">
        <v>4.9376759999999999E-2</v>
      </c>
      <c r="S4668">
        <v>-3.1203609999999999</v>
      </c>
      <c r="T4668">
        <v>-0.10885930000000001</v>
      </c>
      <c r="U4668">
        <v>-0.27131650000000002</v>
      </c>
      <c r="V4668">
        <v>5.0371699999999998E-2</v>
      </c>
      <c r="W4668">
        <v>0.23721680000000001</v>
      </c>
      <c r="X4668">
        <v>0.97014990000000001</v>
      </c>
      <c r="Y4668">
        <v>-8.5563349999999996E-2</v>
      </c>
      <c r="Z4668">
        <v>-1.453995E-3</v>
      </c>
      <c r="AA4668">
        <v>0.99633170000000004</v>
      </c>
      <c r="AB4668">
        <v>41</v>
      </c>
      <c r="AC4668">
        <v>-31.425099999999901</v>
      </c>
      <c r="AD4668">
        <v>-1.11043854762</v>
      </c>
      <c r="AE4668">
        <v>-2.7673000000000001</v>
      </c>
      <c r="AF4668">
        <v>-2.7320838568605499</v>
      </c>
      <c r="AG4668">
        <v>-1.11043854762</v>
      </c>
      <c r="AH4668">
        <v>31.388994973390201</v>
      </c>
      <c r="AI4668">
        <v>92.018464677920207</v>
      </c>
      <c r="AJ4668">
        <v>94.974461907445601</v>
      </c>
      <c r="AK4668">
        <v>31.527232060688</v>
      </c>
      <c r="AL4668">
        <v>76.277667969119406</v>
      </c>
      <c r="AM4668">
        <v>87.027782489938204</v>
      </c>
      <c r="AN4668">
        <v>0.99999997341656899</v>
      </c>
    </row>
    <row r="4669" spans="1:40" x14ac:dyDescent="0.25">
      <c r="A4669" t="str">
        <f>"20190312164121514"</f>
        <v>20190312164121514</v>
      </c>
      <c r="B4669" t="str">
        <f>"1552380081511138"</f>
        <v>1552380081511138</v>
      </c>
      <c r="C4669" t="s">
        <v>40</v>
      </c>
      <c r="D4669">
        <v>5.1198119999999996</v>
      </c>
      <c r="E4669">
        <v>0.45142280000000001</v>
      </c>
      <c r="F4669" t="s">
        <v>41</v>
      </c>
      <c r="G4669">
        <v>-366.37990000000002</v>
      </c>
      <c r="H4669" s="1">
        <v>-1.7085630000000001E-6</v>
      </c>
      <c r="I4669">
        <v>138.6396</v>
      </c>
      <c r="J4669">
        <v>-335.74310000000003</v>
      </c>
      <c r="K4669">
        <v>1.11043799999999</v>
      </c>
      <c r="L4669">
        <v>141.38579999999999</v>
      </c>
      <c r="M4669">
        <v>-0.99988449999999995</v>
      </c>
      <c r="N4669">
        <v>0</v>
      </c>
      <c r="O4669">
        <v>-1.012956E-3</v>
      </c>
      <c r="P4669">
        <v>-0.9738116</v>
      </c>
      <c r="Q4669">
        <v>0.2220752</v>
      </c>
      <c r="R4669">
        <v>4.8723629999999997E-2</v>
      </c>
      <c r="S4669">
        <v>-3.1206049999999999</v>
      </c>
      <c r="T4669">
        <v>-0.1116333</v>
      </c>
      <c r="U4669">
        <v>-0.27610780000000001</v>
      </c>
      <c r="V4669">
        <v>4.9719020000000003E-2</v>
      </c>
      <c r="W4669">
        <v>0.23682719999999999</v>
      </c>
      <c r="X4669">
        <v>0.97027870000000005</v>
      </c>
      <c r="Y4669">
        <v>-8.7070819999999993E-2</v>
      </c>
      <c r="Z4669">
        <v>-1.5177019999999999E-3</v>
      </c>
      <c r="AA4669">
        <v>0.996201</v>
      </c>
      <c r="AB4669">
        <v>41</v>
      </c>
      <c r="AC4669">
        <v>-30.636799999999901</v>
      </c>
      <c r="AD4669">
        <v>-1.11043970856299</v>
      </c>
      <c r="AE4669">
        <v>-2.74619999999998</v>
      </c>
      <c r="AF4669">
        <v>-2.7116273640711301</v>
      </c>
      <c r="AG4669">
        <v>-1.11043970856299</v>
      </c>
      <c r="AH4669">
        <v>30.599687346131301</v>
      </c>
      <c r="AI4669">
        <v>92.070203401497594</v>
      </c>
      <c r="AJ4669">
        <v>95.064104838567999</v>
      </c>
      <c r="AK4669">
        <v>30.739662733818701</v>
      </c>
      <c r="AL4669">
        <v>76.300644545688996</v>
      </c>
      <c r="AM4669">
        <v>87.066615376084101</v>
      </c>
      <c r="AN4669">
        <v>0.99999992964164197</v>
      </c>
    </row>
    <row r="4670" spans="1:40" x14ac:dyDescent="0.25">
      <c r="A4670" t="str">
        <f>"20190312164121536"</f>
        <v>20190312164121536</v>
      </c>
      <c r="B4670" t="str">
        <f>"1552380081530659"</f>
        <v>1552380081530659</v>
      </c>
      <c r="C4670" t="s">
        <v>40</v>
      </c>
      <c r="D4670">
        <v>4.9783419999999996</v>
      </c>
      <c r="E4670">
        <v>0.45118059999999899</v>
      </c>
      <c r="F4670" t="s">
        <v>41</v>
      </c>
      <c r="G4670">
        <v>-365.38720000000001</v>
      </c>
      <c r="H4670" s="1">
        <v>-2.118795E-6</v>
      </c>
      <c r="I4670">
        <v>138.7278</v>
      </c>
      <c r="J4670">
        <v>-336.14400000000001</v>
      </c>
      <c r="K4670">
        <v>1.1104350000000001</v>
      </c>
      <c r="L4670">
        <v>141.3854</v>
      </c>
      <c r="M4670">
        <v>-0.99988440000000001</v>
      </c>
      <c r="N4670">
        <v>0</v>
      </c>
      <c r="O4670">
        <v>-1.012918E-3</v>
      </c>
      <c r="P4670">
        <v>-0.97383609999999998</v>
      </c>
      <c r="Q4670">
        <v>0.22206780000000001</v>
      </c>
      <c r="R4670">
        <v>4.826221E-2</v>
      </c>
      <c r="S4670">
        <v>-3.1213380000000002</v>
      </c>
      <c r="T4670">
        <v>-0.1169226</v>
      </c>
      <c r="U4670">
        <v>-0.27986149999999999</v>
      </c>
      <c r="V4670">
        <v>4.925761E-2</v>
      </c>
      <c r="W4670">
        <v>0.23681559999999999</v>
      </c>
      <c r="X4670">
        <v>0.97030510000000003</v>
      </c>
      <c r="Y4670">
        <v>-8.82328E-2</v>
      </c>
      <c r="Z4670">
        <v>-1.610822E-3</v>
      </c>
      <c r="AA4670">
        <v>0.99609859999999995</v>
      </c>
      <c r="AB4670">
        <v>41</v>
      </c>
      <c r="AC4670">
        <v>-29.243200000000002</v>
      </c>
      <c r="AD4670">
        <v>-1.110437118795</v>
      </c>
      <c r="AE4670">
        <v>-2.6576</v>
      </c>
      <c r="AF4670">
        <v>-2.6242213675853199</v>
      </c>
      <c r="AG4670">
        <v>-1.110437118795</v>
      </c>
      <c r="AH4670">
        <v>29.2041124705591</v>
      </c>
      <c r="AI4670">
        <v>92.168796458659401</v>
      </c>
      <c r="AJ4670">
        <v>95.134690380715099</v>
      </c>
      <c r="AK4670">
        <v>29.342797984751801</v>
      </c>
      <c r="AL4670">
        <v>76.301329114262003</v>
      </c>
      <c r="AM4670">
        <v>87.093870267123904</v>
      </c>
      <c r="AN4670">
        <v>0.99999996381613998</v>
      </c>
    </row>
    <row r="4671" spans="1:40" x14ac:dyDescent="0.25">
      <c r="A4671" t="str">
        <f>"20190312164121558"</f>
        <v>20190312164121558</v>
      </c>
      <c r="B4671" t="str">
        <f>"1552380081551154"</f>
        <v>1552380081551154</v>
      </c>
      <c r="C4671" t="s">
        <v>40</v>
      </c>
      <c r="D4671">
        <v>4.9787330000000001</v>
      </c>
      <c r="E4671">
        <v>0.45113920000000002</v>
      </c>
      <c r="F4671" t="s">
        <v>41</v>
      </c>
      <c r="G4671">
        <v>-365.55610000000001</v>
      </c>
      <c r="H4671" s="1">
        <v>-2.0486350000000001E-6</v>
      </c>
      <c r="I4671">
        <v>138.7149</v>
      </c>
      <c r="J4671">
        <v>-336.56349999999998</v>
      </c>
      <c r="K4671">
        <v>1.1104369999999999</v>
      </c>
      <c r="L4671">
        <v>141.38499999999999</v>
      </c>
      <c r="M4671">
        <v>-0.99988449999999995</v>
      </c>
      <c r="N4671">
        <v>0</v>
      </c>
      <c r="O4671">
        <v>-1.0128789999999999E-3</v>
      </c>
      <c r="P4671">
        <v>-0.97377930000000001</v>
      </c>
      <c r="Q4671">
        <v>0.22248329999999999</v>
      </c>
      <c r="R4671">
        <v>4.7490619999999997E-2</v>
      </c>
      <c r="S4671">
        <v>-3.121521</v>
      </c>
      <c r="T4671">
        <v>-0.1178519</v>
      </c>
      <c r="U4671">
        <v>-0.28341670000000002</v>
      </c>
      <c r="V4671">
        <v>4.8486080000000001E-2</v>
      </c>
      <c r="W4671">
        <v>0.23722560000000001</v>
      </c>
      <c r="X4671">
        <v>0.97024390000000005</v>
      </c>
      <c r="Y4671">
        <v>-8.9351199999999895E-2</v>
      </c>
      <c r="Z4671">
        <v>-1.6444999999999999E-3</v>
      </c>
      <c r="AA4671">
        <v>0.99599879999999996</v>
      </c>
      <c r="AB4671">
        <v>41</v>
      </c>
      <c r="AC4671">
        <v>-28.992599999999999</v>
      </c>
      <c r="AD4671">
        <v>-1.110439048635</v>
      </c>
      <c r="AE4671">
        <v>-2.6700999999999899</v>
      </c>
      <c r="AF4671">
        <v>-2.6368936005696901</v>
      </c>
      <c r="AG4671">
        <v>-1.110439048635</v>
      </c>
      <c r="AH4671">
        <v>28.953174293443201</v>
      </c>
      <c r="AI4671">
        <v>92.187340563111803</v>
      </c>
      <c r="AJ4671">
        <v>95.203823869599503</v>
      </c>
      <c r="AK4671">
        <v>29.094201903608901</v>
      </c>
      <c r="AL4671">
        <v>76.277150097841897</v>
      </c>
      <c r="AM4671">
        <v>87.139133098339897</v>
      </c>
      <c r="AN4671">
        <v>1.0000000553681601</v>
      </c>
    </row>
    <row r="4672" spans="1:40" x14ac:dyDescent="0.25">
      <c r="A4672" t="str">
        <f>"20190312164121573"</f>
        <v>20190312164121573</v>
      </c>
      <c r="B4672" t="str">
        <f>"1552380081570676"</f>
        <v>1552380081570676</v>
      </c>
      <c r="C4672" t="s">
        <v>40</v>
      </c>
      <c r="D4672">
        <v>5.1480160000000001</v>
      </c>
      <c r="E4672">
        <v>0.45118950000000002</v>
      </c>
      <c r="F4672" t="s">
        <v>41</v>
      </c>
      <c r="G4672">
        <v>-366.56209999999999</v>
      </c>
      <c r="H4672" s="1">
        <v>-1.6321879999999999E-6</v>
      </c>
      <c r="I4672">
        <v>138.62950000000001</v>
      </c>
      <c r="J4672">
        <v>-336.82760000000002</v>
      </c>
      <c r="K4672">
        <v>1.110439</v>
      </c>
      <c r="L4672">
        <v>141.38470000000001</v>
      </c>
      <c r="M4672">
        <v>-0.99988449999999995</v>
      </c>
      <c r="N4672">
        <v>0</v>
      </c>
      <c r="O4672">
        <v>-1.0130930000000001E-3</v>
      </c>
      <c r="P4672">
        <v>-0.97371410000000003</v>
      </c>
      <c r="Q4672">
        <v>0.22284970000000001</v>
      </c>
      <c r="R4672">
        <v>4.7106080000000002E-2</v>
      </c>
      <c r="S4672">
        <v>-3.1211850000000001</v>
      </c>
      <c r="T4672">
        <v>-0.11553529999999999</v>
      </c>
      <c r="U4672">
        <v>-0.2866821</v>
      </c>
      <c r="V4672">
        <v>4.8101579999999998E-2</v>
      </c>
      <c r="W4672">
        <v>0.2375883</v>
      </c>
      <c r="X4672">
        <v>0.97017430000000004</v>
      </c>
      <c r="Y4672">
        <v>-9.0395669999999997E-2</v>
      </c>
      <c r="Z4672">
        <v>-1.631569E-3</v>
      </c>
      <c r="AA4672">
        <v>0.99590460000000003</v>
      </c>
      <c r="AB4672">
        <v>41</v>
      </c>
      <c r="AC4672">
        <v>-29.734499999999901</v>
      </c>
      <c r="AD4672">
        <v>-1.110440632188</v>
      </c>
      <c r="AE4672">
        <v>-2.7551999999999999</v>
      </c>
      <c r="AF4672">
        <v>-2.7213083072568001</v>
      </c>
      <c r="AG4672">
        <v>-1.110440632188</v>
      </c>
      <c r="AH4672">
        <v>29.6962126784824</v>
      </c>
      <c r="AI4672">
        <v>92.132555807290004</v>
      </c>
      <c r="AJ4672">
        <v>95.235860222846696</v>
      </c>
      <c r="AK4672">
        <v>29.841307691628099</v>
      </c>
      <c r="AL4672">
        <v>76.255757473589696</v>
      </c>
      <c r="AM4672">
        <v>87.161579567657398</v>
      </c>
      <c r="AN4672">
        <v>1.0000000673379299</v>
      </c>
    </row>
    <row r="4673" spans="1:40" x14ac:dyDescent="0.25">
      <c r="A4673" t="str">
        <f>"20190312164121586"</f>
        <v>20190312164121586</v>
      </c>
      <c r="B4673" t="str">
        <f>"1552380081580435"</f>
        <v>1552380081580435</v>
      </c>
      <c r="C4673" t="s">
        <v>40</v>
      </c>
      <c r="D4673">
        <v>4.9686430000000001</v>
      </c>
      <c r="E4673">
        <v>0.45116830000000002</v>
      </c>
      <c r="F4673" t="s">
        <v>41</v>
      </c>
      <c r="G4673">
        <v>-367.19400000000002</v>
      </c>
      <c r="H4673" s="1">
        <v>-1.369216E-6</v>
      </c>
      <c r="I4673">
        <v>138.58369999999999</v>
      </c>
      <c r="J4673">
        <v>-337.05689999999998</v>
      </c>
      <c r="K4673">
        <v>1.110444</v>
      </c>
      <c r="L4673">
        <v>141.3845</v>
      </c>
      <c r="M4673">
        <v>-0.99988469999999996</v>
      </c>
      <c r="N4673">
        <v>0</v>
      </c>
      <c r="O4673">
        <v>-1.0131910000000001E-3</v>
      </c>
      <c r="P4673">
        <v>-0.97370979999999996</v>
      </c>
      <c r="Q4673">
        <v>0.2228338</v>
      </c>
      <c r="R4673">
        <v>4.7270649999999997E-2</v>
      </c>
      <c r="S4673">
        <v>-3.1210019999999998</v>
      </c>
      <c r="T4673">
        <v>-0.1141292</v>
      </c>
      <c r="U4673">
        <v>-0.28787230000000003</v>
      </c>
      <c r="V4673">
        <v>4.826631E-2</v>
      </c>
      <c r="W4673">
        <v>0.23756930000000001</v>
      </c>
      <c r="X4673">
        <v>0.97017070000000005</v>
      </c>
      <c r="Y4673">
        <v>-9.0778719999999993E-2</v>
      </c>
      <c r="Z4673">
        <v>-1.618775E-3</v>
      </c>
      <c r="AA4673">
        <v>0.99586980000000003</v>
      </c>
      <c r="AB4673">
        <v>41</v>
      </c>
      <c r="AC4673">
        <v>-30.1371</v>
      </c>
      <c r="AD4673">
        <v>-1.1104453692159999</v>
      </c>
      <c r="AE4673">
        <v>-2.8008000000000002</v>
      </c>
      <c r="AF4673">
        <v>-2.7665365611051098</v>
      </c>
      <c r="AG4673">
        <v>-1.1104453692159999</v>
      </c>
      <c r="AH4673">
        <v>30.099407719984399</v>
      </c>
      <c r="AI4673">
        <v>92.103971454919403</v>
      </c>
      <c r="AJ4673">
        <v>95.251490314602606</v>
      </c>
      <c r="AK4673">
        <v>30.246671859161602</v>
      </c>
      <c r="AL4673">
        <v>76.256877210348804</v>
      </c>
      <c r="AM4673">
        <v>87.151864461323399</v>
      </c>
      <c r="AN4673">
        <v>0.99999999806099804</v>
      </c>
    </row>
    <row r="4674" spans="1:40" x14ac:dyDescent="0.25">
      <c r="A4674" t="str">
        <f>"20190312164121602"</f>
        <v>20190312164121602</v>
      </c>
      <c r="B4674" t="str">
        <f>"1552380081591171"</f>
        <v>1552380081591171</v>
      </c>
      <c r="C4674" t="s">
        <v>40</v>
      </c>
      <c r="D4674">
        <v>5.0566110000000002</v>
      </c>
      <c r="E4674">
        <v>0.45115460000000002</v>
      </c>
      <c r="F4674" t="s">
        <v>41</v>
      </c>
      <c r="G4674">
        <v>-367.58359999999999</v>
      </c>
      <c r="H4674" s="1">
        <v>-1.2040959999999999E-6</v>
      </c>
      <c r="I4674">
        <v>138.57249999999999</v>
      </c>
      <c r="J4674">
        <v>-337.35169999999999</v>
      </c>
      <c r="K4674">
        <v>1.110447</v>
      </c>
      <c r="L4674">
        <v>141.38419999999999</v>
      </c>
      <c r="M4674">
        <v>-0.99988460000000001</v>
      </c>
      <c r="N4674">
        <v>0</v>
      </c>
      <c r="O4674">
        <v>-1.013045E-3</v>
      </c>
      <c r="P4674">
        <v>-0.97371770000000002</v>
      </c>
      <c r="Q4674">
        <v>0.22294459999999999</v>
      </c>
      <c r="R4674">
        <v>4.6578609999999999E-2</v>
      </c>
      <c r="S4674">
        <v>-3.1209410000000002</v>
      </c>
      <c r="T4674">
        <v>-0.1135284</v>
      </c>
      <c r="U4674">
        <v>-0.2874756</v>
      </c>
      <c r="V4674">
        <v>4.7574100000000001E-2</v>
      </c>
      <c r="W4674">
        <v>0.23767720000000001</v>
      </c>
      <c r="X4674">
        <v>0.97017850000000005</v>
      </c>
      <c r="Y4674">
        <v>-9.0655799999999995E-2</v>
      </c>
      <c r="Z4674">
        <v>-1.6080739999999999E-3</v>
      </c>
      <c r="AA4674">
        <v>0.99588100000000002</v>
      </c>
      <c r="AB4674">
        <v>41</v>
      </c>
      <c r="AC4674">
        <v>-30.2319</v>
      </c>
      <c r="AD4674">
        <v>-1.110448204096</v>
      </c>
      <c r="AE4674">
        <v>-2.8117000000000001</v>
      </c>
      <c r="AF4674">
        <v>-2.7773537824961601</v>
      </c>
      <c r="AG4674">
        <v>-1.110448204096</v>
      </c>
      <c r="AH4674">
        <v>30.194345321308901</v>
      </c>
      <c r="AI4674">
        <v>92.097354144782003</v>
      </c>
      <c r="AJ4674">
        <v>95.255425221393693</v>
      </c>
      <c r="AK4674">
        <v>30.3421370148771</v>
      </c>
      <c r="AL4674">
        <v>76.250513205186493</v>
      </c>
      <c r="AM4674">
        <v>87.192667637790294</v>
      </c>
      <c r="AN4674">
        <v>1.0000000341264399</v>
      </c>
    </row>
    <row r="4675" spans="1:40" x14ac:dyDescent="0.25">
      <c r="A4675" t="str">
        <f>"20190312164121625"</f>
        <v>20190312164121625</v>
      </c>
      <c r="B4675" t="str">
        <f>"1552380081620451"</f>
        <v>1552380081620451</v>
      </c>
      <c r="C4675" t="s">
        <v>40</v>
      </c>
      <c r="D4675">
        <v>4.9012840000000004</v>
      </c>
      <c r="E4675">
        <v>0.45112449999999998</v>
      </c>
      <c r="F4675" t="s">
        <v>41</v>
      </c>
      <c r="G4675">
        <v>-368.24110000000002</v>
      </c>
      <c r="H4675" s="1">
        <v>-9.3375429999999999E-7</v>
      </c>
      <c r="I4675">
        <v>138.50630000000001</v>
      </c>
      <c r="J4675">
        <v>-337.76330000000002</v>
      </c>
      <c r="K4675">
        <v>1.1104459999999901</v>
      </c>
      <c r="L4675">
        <v>141.38380000000001</v>
      </c>
      <c r="M4675">
        <v>-0.99988469999999996</v>
      </c>
      <c r="N4675">
        <v>0</v>
      </c>
      <c r="O4675">
        <v>-1.013365E-3</v>
      </c>
      <c r="P4675">
        <v>-0.97377460000000005</v>
      </c>
      <c r="Q4675">
        <v>0.22267419999999999</v>
      </c>
      <c r="R4675">
        <v>4.6683410000000002E-2</v>
      </c>
      <c r="S4675">
        <v>-3.1205750000000001</v>
      </c>
      <c r="T4675">
        <v>-0.11218210000000001</v>
      </c>
      <c r="U4675">
        <v>-0.29072569999999998</v>
      </c>
      <c r="V4675">
        <v>4.7679340000000001E-2</v>
      </c>
      <c r="W4675">
        <v>0.237403</v>
      </c>
      <c r="X4675">
        <v>0.9702404</v>
      </c>
      <c r="Y4675">
        <v>-9.1695209999999999E-2</v>
      </c>
      <c r="Z4675">
        <v>-1.607753E-3</v>
      </c>
      <c r="AA4675">
        <v>0.99578580000000005</v>
      </c>
      <c r="AB4675">
        <v>40</v>
      </c>
      <c r="AC4675">
        <v>-30.477799999999998</v>
      </c>
      <c r="AD4675">
        <v>-1.1104469337542999</v>
      </c>
      <c r="AE4675">
        <v>-2.8774999999999902</v>
      </c>
      <c r="AF4675">
        <v>-2.8428693273569099</v>
      </c>
      <c r="AG4675">
        <v>-1.1104469337542999</v>
      </c>
      <c r="AH4675">
        <v>30.440648270064699</v>
      </c>
      <c r="AI4675">
        <v>92.080127591151694</v>
      </c>
      <c r="AJ4675">
        <v>95.335409653902701</v>
      </c>
      <c r="AK4675">
        <v>30.5932683037773</v>
      </c>
      <c r="AL4675">
        <v>76.266685713140106</v>
      </c>
      <c r="AM4675">
        <v>87.186646637740097</v>
      </c>
      <c r="AN4675">
        <v>0.99999996883199704</v>
      </c>
    </row>
    <row r="4676" spans="1:40" x14ac:dyDescent="0.25">
      <c r="A4676" t="str">
        <f>"20190312164121640"</f>
        <v>20190312164121640</v>
      </c>
      <c r="B4676" t="str">
        <f>"1552380081631187"</f>
        <v>1552380081631187</v>
      </c>
      <c r="C4676" t="s">
        <v>40</v>
      </c>
      <c r="D4676">
        <v>4.8801509999999997</v>
      </c>
      <c r="E4676">
        <v>0.45111570000000001</v>
      </c>
      <c r="F4676" t="s">
        <v>41</v>
      </c>
      <c r="G4676">
        <v>-368.834</v>
      </c>
      <c r="H4676" s="1">
        <v>-6.8286559999999905E-7</v>
      </c>
      <c r="I4676">
        <v>138.48869999999999</v>
      </c>
      <c r="J4676">
        <v>-338.0378</v>
      </c>
      <c r="K4676">
        <v>1.1104400000000001</v>
      </c>
      <c r="L4676">
        <v>141.3835</v>
      </c>
      <c r="M4676">
        <v>-0.99988480000000002</v>
      </c>
      <c r="N4676">
        <v>0</v>
      </c>
      <c r="O4676">
        <v>-1.013459E-3</v>
      </c>
      <c r="P4676">
        <v>-0.9738038</v>
      </c>
      <c r="Q4676">
        <v>0.22266810000000001</v>
      </c>
      <c r="R4676">
        <v>4.6101059999999999E-2</v>
      </c>
      <c r="S4676">
        <v>-3.1202390000000002</v>
      </c>
      <c r="T4676">
        <v>-0.1115158</v>
      </c>
      <c r="U4676">
        <v>-0.29072569999999998</v>
      </c>
      <c r="V4676">
        <v>4.7097170000000001E-2</v>
      </c>
      <c r="W4676">
        <v>0.2373942</v>
      </c>
      <c r="X4676">
        <v>0.97027099999999999</v>
      </c>
      <c r="Y4676">
        <v>-9.1705679999999998E-2</v>
      </c>
      <c r="Z4676">
        <v>-1.5985629999999999E-3</v>
      </c>
      <c r="AA4676">
        <v>0.99578489999999997</v>
      </c>
      <c r="AB4676">
        <v>40</v>
      </c>
      <c r="AC4676">
        <v>-30.796199999999999</v>
      </c>
      <c r="AD4676">
        <v>-1.1104406828655999</v>
      </c>
      <c r="AE4676">
        <v>-2.8948</v>
      </c>
      <c r="AF4676">
        <v>-2.8598984907499401</v>
      </c>
      <c r="AG4676">
        <v>-1.1104406828655999</v>
      </c>
      <c r="AH4676">
        <v>30.759476334512801</v>
      </c>
      <c r="AI4676">
        <v>92.058652465489601</v>
      </c>
      <c r="AJ4676">
        <v>95.311871335549199</v>
      </c>
      <c r="AK4676">
        <v>30.912092815935502</v>
      </c>
      <c r="AL4676">
        <v>76.267204931966901</v>
      </c>
      <c r="AM4676">
        <v>87.221031316431606</v>
      </c>
      <c r="AN4676">
        <v>0.99999998152832403</v>
      </c>
    </row>
    <row r="4677" spans="1:40" x14ac:dyDescent="0.25">
      <c r="A4677" t="str">
        <f>"20190312164121652"</f>
        <v>20190312164121652</v>
      </c>
      <c r="B4677" t="str">
        <f>"1552380081640947"</f>
        <v>1552380081640947</v>
      </c>
      <c r="C4677" t="s">
        <v>40</v>
      </c>
      <c r="D4677">
        <v>5.0413500000000004</v>
      </c>
      <c r="E4677">
        <v>0.45108749999999997</v>
      </c>
      <c r="F4677" t="s">
        <v>41</v>
      </c>
      <c r="G4677">
        <v>-369.26100000000002</v>
      </c>
      <c r="H4677" s="1">
        <v>-5.4703380000000002E-7</v>
      </c>
      <c r="I4677">
        <v>138.45310000000001</v>
      </c>
      <c r="J4677">
        <v>-338.27210000000002</v>
      </c>
      <c r="K4677">
        <v>1.1104449999999999</v>
      </c>
      <c r="L4677">
        <v>141.38329999999999</v>
      </c>
      <c r="M4677">
        <v>-0.99988469999999996</v>
      </c>
      <c r="N4677">
        <v>0</v>
      </c>
      <c r="O4677">
        <v>-1.013557E-3</v>
      </c>
      <c r="P4677">
        <v>-0.97387210000000002</v>
      </c>
      <c r="Q4677">
        <v>0.22240599999999999</v>
      </c>
      <c r="R4677">
        <v>4.5922360000000002E-2</v>
      </c>
      <c r="S4677">
        <v>-3.1199949999999999</v>
      </c>
      <c r="T4677">
        <v>-0.1109614</v>
      </c>
      <c r="U4677">
        <v>-0.29281620000000003</v>
      </c>
      <c r="V4677">
        <v>4.6918769999999999E-2</v>
      </c>
      <c r="W4677">
        <v>0.2371307</v>
      </c>
      <c r="X4677">
        <v>0.97034410000000004</v>
      </c>
      <c r="Y4677">
        <v>-9.2374330000000004E-2</v>
      </c>
      <c r="Z4677">
        <v>-1.6025529999999901E-3</v>
      </c>
      <c r="AA4677">
        <v>0.99572309999999997</v>
      </c>
      <c r="AB4677">
        <v>40</v>
      </c>
      <c r="AC4677">
        <v>-30.988899999999902</v>
      </c>
      <c r="AD4677">
        <v>-1.1104455470337999</v>
      </c>
      <c r="AE4677">
        <v>-2.9301999999999802</v>
      </c>
      <c r="AF4677">
        <v>-2.89510135797783</v>
      </c>
      <c r="AG4677">
        <v>-1.1104455470337999</v>
      </c>
      <c r="AH4677">
        <v>30.952462014023101</v>
      </c>
      <c r="AI4677">
        <v>92.045731480479105</v>
      </c>
      <c r="AJ4677">
        <v>95.343545311838497</v>
      </c>
      <c r="AK4677">
        <v>31.107388285027</v>
      </c>
      <c r="AL4677">
        <v>76.282746484394707</v>
      </c>
      <c r="AM4677">
        <v>87.231749636445997</v>
      </c>
      <c r="AN4677">
        <v>1.0000000061328</v>
      </c>
    </row>
    <row r="4678" spans="1:40" x14ac:dyDescent="0.25">
      <c r="A4678" t="str">
        <f>"20190312164121669"</f>
        <v>20190312164121669</v>
      </c>
      <c r="B4678" t="str">
        <f>"1552380081660470"</f>
        <v>1552380081660470</v>
      </c>
      <c r="C4678" t="s">
        <v>40</v>
      </c>
      <c r="D4678">
        <v>4.8898250000000001</v>
      </c>
      <c r="E4678">
        <v>0.45108860000000001</v>
      </c>
      <c r="F4678" t="s">
        <v>41</v>
      </c>
      <c r="G4678">
        <v>-369.37650000000002</v>
      </c>
      <c r="H4678" s="1">
        <v>-5.0755809999999996E-7</v>
      </c>
      <c r="I4678">
        <v>138.4538</v>
      </c>
      <c r="J4678">
        <v>-338.56110000000001</v>
      </c>
      <c r="K4678">
        <v>1.110444</v>
      </c>
      <c r="L4678">
        <v>141.38299999999899</v>
      </c>
      <c r="M4678">
        <v>-0.99988480000000002</v>
      </c>
      <c r="N4678">
        <v>0</v>
      </c>
      <c r="O4678">
        <v>-1.013531E-3</v>
      </c>
      <c r="P4678">
        <v>-0.97390810000000005</v>
      </c>
      <c r="Q4678">
        <v>0.22236909999999999</v>
      </c>
      <c r="R4678">
        <v>4.5335029999999998E-2</v>
      </c>
      <c r="S4678">
        <v>-3.1197810000000001</v>
      </c>
      <c r="T4678">
        <v>-0.1113784</v>
      </c>
      <c r="U4678">
        <v>-0.29382320000000001</v>
      </c>
      <c r="V4678">
        <v>4.6331530000000003E-2</v>
      </c>
      <c r="W4678">
        <v>0.23709079999999999</v>
      </c>
      <c r="X4678">
        <v>0.97038199999999997</v>
      </c>
      <c r="Y4678">
        <v>-9.2698660000000002E-2</v>
      </c>
      <c r="Z4678">
        <v>-1.6144320000000001E-3</v>
      </c>
      <c r="AA4678">
        <v>0.99569289999999999</v>
      </c>
      <c r="AB4678">
        <v>40</v>
      </c>
      <c r="AC4678">
        <v>-30.8154</v>
      </c>
      <c r="AD4678">
        <v>-1.1104445075581</v>
      </c>
      <c r="AE4678">
        <v>-2.9291999999999798</v>
      </c>
      <c r="AF4678">
        <v>-2.8942378968852598</v>
      </c>
      <c r="AG4678">
        <v>-1.1104445075581</v>
      </c>
      <c r="AH4678">
        <v>30.778743562481299</v>
      </c>
      <c r="AI4678">
        <v>92.057170468396905</v>
      </c>
      <c r="AJ4678">
        <v>95.371935519292606</v>
      </c>
      <c r="AK4678">
        <v>30.934459026999502</v>
      </c>
      <c r="AL4678">
        <v>76.285098796838696</v>
      </c>
      <c r="AM4678">
        <v>87.266451050748302</v>
      </c>
      <c r="AN4678">
        <v>0.999999942020388</v>
      </c>
    </row>
    <row r="4679" spans="1:40" x14ac:dyDescent="0.25">
      <c r="A4679" t="str">
        <f>"20190312164121692"</f>
        <v>20190312164121692</v>
      </c>
      <c r="B4679" t="str">
        <f>"1552380081680963"</f>
        <v>1552380081680963</v>
      </c>
      <c r="C4679" t="s">
        <v>40</v>
      </c>
      <c r="D4679">
        <v>4.8275810000000003</v>
      </c>
      <c r="E4679">
        <v>0.45107039999999998</v>
      </c>
      <c r="F4679" t="s">
        <v>41</v>
      </c>
      <c r="G4679">
        <v>-369.99560000000002</v>
      </c>
      <c r="H4679" s="1">
        <v>-4.4892010000000004E-6</v>
      </c>
      <c r="I4679">
        <v>138.40389999999999</v>
      </c>
      <c r="J4679">
        <v>-338.9753</v>
      </c>
      <c r="K4679">
        <v>1.1104480000000001</v>
      </c>
      <c r="L4679">
        <v>141.3826</v>
      </c>
      <c r="M4679">
        <v>-0.99988500000000002</v>
      </c>
      <c r="N4679">
        <v>0</v>
      </c>
      <c r="O4679">
        <v>-1.013732E-3</v>
      </c>
      <c r="P4679">
        <v>-0.97380860000000002</v>
      </c>
      <c r="Q4679">
        <v>0.22289539999999999</v>
      </c>
      <c r="R4679">
        <v>4.4885559999999998E-2</v>
      </c>
      <c r="S4679">
        <v>-3.1192929999999999</v>
      </c>
      <c r="T4679">
        <v>-0.1101917</v>
      </c>
      <c r="U4679">
        <v>-0.2956085</v>
      </c>
      <c r="V4679">
        <v>4.5882029999999997E-2</v>
      </c>
      <c r="W4679">
        <v>0.23761099999999999</v>
      </c>
      <c r="X4679">
        <v>0.97027620000000003</v>
      </c>
      <c r="Y4679">
        <v>-9.3278669999999994E-2</v>
      </c>
      <c r="Z4679">
        <v>-1.607659E-3</v>
      </c>
      <c r="AA4679">
        <v>0.99563869999999999</v>
      </c>
      <c r="AB4679">
        <v>40</v>
      </c>
      <c r="AC4679">
        <v>-31.020299999999999</v>
      </c>
      <c r="AD4679">
        <v>-1.1104524892009999</v>
      </c>
      <c r="AE4679">
        <v>-2.9786999999999999</v>
      </c>
      <c r="AF4679">
        <v>-2.9435110434203802</v>
      </c>
      <c r="AG4679">
        <v>-1.1104524892009999</v>
      </c>
      <c r="AH4679">
        <v>30.983961792502299</v>
      </c>
      <c r="AI4679">
        <v>92.043386287588504</v>
      </c>
      <c r="AJ4679">
        <v>95.426876042901</v>
      </c>
      <c r="AK4679">
        <v>31.1432697440836</v>
      </c>
      <c r="AL4679">
        <v>76.254417938605798</v>
      </c>
      <c r="AM4679">
        <v>87.292637055484605</v>
      </c>
      <c r="AN4679">
        <v>1.00000002614218</v>
      </c>
    </row>
    <row r="4680" spans="1:40" x14ac:dyDescent="0.25">
      <c r="A4680" t="str">
        <f>"20190312164121715"</f>
        <v>20190312164121715</v>
      </c>
      <c r="B4680" t="str">
        <f>"1552380081711219"</f>
        <v>1552380081711219</v>
      </c>
      <c r="C4680" t="s">
        <v>40</v>
      </c>
      <c r="D4680">
        <v>4.9992089999999996</v>
      </c>
      <c r="E4680">
        <v>0.45106800000000002</v>
      </c>
      <c r="F4680" t="s">
        <v>41</v>
      </c>
      <c r="G4680">
        <v>-370.83609999999999</v>
      </c>
      <c r="H4680" s="1">
        <v>-4.1381689999999998E-6</v>
      </c>
      <c r="I4680">
        <v>138.3501</v>
      </c>
      <c r="J4680">
        <v>-339.38069999999999</v>
      </c>
      <c r="K4680">
        <v>1.1104560000000001</v>
      </c>
      <c r="L4680">
        <v>141.38220000000001</v>
      </c>
      <c r="M4680">
        <v>-0.99988509999999997</v>
      </c>
      <c r="N4680">
        <v>0</v>
      </c>
      <c r="O4680">
        <v>-1.0138149999999999E-3</v>
      </c>
      <c r="P4680">
        <v>-0.97383410000000004</v>
      </c>
      <c r="Q4680">
        <v>0.22292509999999999</v>
      </c>
      <c r="R4680">
        <v>4.417923E-2</v>
      </c>
      <c r="S4680">
        <v>-3.1192630000000001</v>
      </c>
      <c r="T4680">
        <v>-0.10871649999999999</v>
      </c>
      <c r="U4680">
        <v>-0.296875</v>
      </c>
      <c r="V4680">
        <v>4.5175760000000002E-2</v>
      </c>
      <c r="W4680">
        <v>0.2376365</v>
      </c>
      <c r="X4680">
        <v>0.97030309999999997</v>
      </c>
      <c r="Y4680">
        <v>-9.3681399999999998E-2</v>
      </c>
      <c r="Z4680">
        <v>-1.5931319999999999E-3</v>
      </c>
      <c r="AA4680">
        <v>0.99560090000000001</v>
      </c>
      <c r="AB4680">
        <v>40</v>
      </c>
      <c r="AC4680">
        <v>-31.455400000000001</v>
      </c>
      <c r="AD4680">
        <v>-1.11046013816899</v>
      </c>
      <c r="AE4680">
        <v>-3.03210000000001</v>
      </c>
      <c r="AF4680">
        <v>-2.9965047342065501</v>
      </c>
      <c r="AG4680">
        <v>-1.11046013816899</v>
      </c>
      <c r="AH4680">
        <v>31.419660978451699</v>
      </c>
      <c r="AI4680">
        <v>92.015017733671598</v>
      </c>
      <c r="AJ4680">
        <v>95.447842673721496</v>
      </c>
      <c r="AK4680">
        <v>31.581755149792201</v>
      </c>
      <c r="AL4680">
        <v>76.2529138771812</v>
      </c>
      <c r="AM4680">
        <v>87.334325172308695</v>
      </c>
      <c r="AN4680">
        <v>1.0000000306467101</v>
      </c>
    </row>
    <row r="4681" spans="1:40" x14ac:dyDescent="0.25">
      <c r="A4681" t="str">
        <f>"20190312164121737"</f>
        <v>20190312164121737</v>
      </c>
      <c r="B4681" t="str">
        <f>"1552380081730739"</f>
        <v>1552380081730739</v>
      </c>
      <c r="C4681" t="s">
        <v>40</v>
      </c>
      <c r="D4681">
        <v>4.8567850000000004</v>
      </c>
      <c r="E4681">
        <v>0.45101720000000001</v>
      </c>
      <c r="F4681" t="s">
        <v>41</v>
      </c>
      <c r="G4681">
        <v>-371.77670000000001</v>
      </c>
      <c r="H4681" s="1">
        <v>-3.7496099999999999E-6</v>
      </c>
      <c r="I4681">
        <v>138.26589999999999</v>
      </c>
      <c r="J4681">
        <v>-339.77330000000001</v>
      </c>
      <c r="K4681">
        <v>1.1104609999999999</v>
      </c>
      <c r="L4681">
        <v>141.3818</v>
      </c>
      <c r="M4681">
        <v>-0.99988509999999997</v>
      </c>
      <c r="N4681">
        <v>0</v>
      </c>
      <c r="O4681">
        <v>-1.013782E-3</v>
      </c>
      <c r="P4681">
        <v>-0.97392900000000004</v>
      </c>
      <c r="Q4681">
        <v>0.22253049999999999</v>
      </c>
      <c r="R4681">
        <v>4.4078390000000002E-2</v>
      </c>
      <c r="S4681">
        <v>-3.1186829999999999</v>
      </c>
      <c r="T4681">
        <v>-0.10690139999999999</v>
      </c>
      <c r="U4681">
        <v>-0.29998780000000003</v>
      </c>
      <c r="V4681">
        <v>4.5075160000000003E-2</v>
      </c>
      <c r="W4681">
        <v>0.23723900000000001</v>
      </c>
      <c r="X4681">
        <v>0.97040499999999996</v>
      </c>
      <c r="Y4681">
        <v>-9.46848E-2</v>
      </c>
      <c r="Z4681">
        <v>-1.583919E-3</v>
      </c>
      <c r="AA4681">
        <v>0.995506</v>
      </c>
      <c r="AB4681">
        <v>40</v>
      </c>
      <c r="AC4681">
        <v>-32.003399999999999</v>
      </c>
      <c r="AD4681">
        <v>-1.11046474961</v>
      </c>
      <c r="AE4681">
        <v>-3.1159000000000101</v>
      </c>
      <c r="AF4681">
        <v>-3.0797770615109301</v>
      </c>
      <c r="AG4681">
        <v>-1.11046474961</v>
      </c>
      <c r="AH4681">
        <v>31.968415019356801</v>
      </c>
      <c r="AI4681">
        <v>91.980283047331199</v>
      </c>
      <c r="AJ4681">
        <v>95.502785870624905</v>
      </c>
      <c r="AK4681">
        <v>32.135614473019999</v>
      </c>
      <c r="AL4681">
        <v>76.276358838727504</v>
      </c>
      <c r="AM4681">
        <v>87.340531610668805</v>
      </c>
      <c r="AN4681">
        <v>0.99999998859751205</v>
      </c>
    </row>
    <row r="4682" spans="1:40" x14ac:dyDescent="0.25">
      <c r="A4682" t="str">
        <f>"20190312164121759"</f>
        <v>20190312164121759</v>
      </c>
      <c r="B4682" t="str">
        <f>"1552380081751238"</f>
        <v>1552380081751238</v>
      </c>
      <c r="C4682" t="s">
        <v>40</v>
      </c>
      <c r="D4682">
        <v>4.8575699999999999</v>
      </c>
      <c r="E4682">
        <v>0.43825249999999999</v>
      </c>
      <c r="F4682" t="s">
        <v>41</v>
      </c>
      <c r="G4682">
        <v>-371.92930000000001</v>
      </c>
      <c r="H4682" s="1">
        <v>-3.6819970000000002E-6</v>
      </c>
      <c r="I4682">
        <v>138.27809999999999</v>
      </c>
      <c r="J4682">
        <v>-340.1669</v>
      </c>
      <c r="K4682">
        <v>1.1104620000000001</v>
      </c>
      <c r="L4682">
        <v>141.38130000000001</v>
      </c>
      <c r="M4682">
        <v>-0.99988500000000002</v>
      </c>
      <c r="N4682">
        <v>0</v>
      </c>
      <c r="O4682">
        <v>-1.0136310000000001E-3</v>
      </c>
      <c r="P4682">
        <v>-0.97390239999999995</v>
      </c>
      <c r="Q4682">
        <v>0.22279650000000001</v>
      </c>
      <c r="R4682">
        <v>4.3311479999999999E-2</v>
      </c>
      <c r="S4682">
        <v>-3.1185610000000001</v>
      </c>
      <c r="T4682">
        <v>-0.1076955</v>
      </c>
      <c r="U4682">
        <v>-0.30099490000000001</v>
      </c>
      <c r="V4682">
        <v>4.4308E-2</v>
      </c>
      <c r="W4682">
        <v>0.23750080000000001</v>
      </c>
      <c r="X4682">
        <v>0.97037629999999997</v>
      </c>
      <c r="Y4682">
        <v>-9.5006179999999996E-2</v>
      </c>
      <c r="Z4682">
        <v>-1.601255E-3</v>
      </c>
      <c r="AA4682">
        <v>0.99547540000000001</v>
      </c>
      <c r="AB4682">
        <v>40</v>
      </c>
      <c r="AC4682">
        <v>-31.7624</v>
      </c>
      <c r="AD4682">
        <v>-1.110465681997</v>
      </c>
      <c r="AE4682">
        <v>-3.10320000000001</v>
      </c>
      <c r="AF4682">
        <v>-3.0672856211882902</v>
      </c>
      <c r="AG4682">
        <v>-1.110465681997</v>
      </c>
      <c r="AH4682">
        <v>31.727115638235102</v>
      </c>
      <c r="AI4682">
        <v>91.995268940849201</v>
      </c>
      <c r="AJ4682">
        <v>95.522028826639797</v>
      </c>
      <c r="AK4682">
        <v>31.894376335567099</v>
      </c>
      <c r="AL4682">
        <v>76.260917586104597</v>
      </c>
      <c r="AM4682">
        <v>87.385654078107905</v>
      </c>
      <c r="AN4682">
        <v>0.99999999623316405</v>
      </c>
    </row>
    <row r="4683" spans="1:40" x14ac:dyDescent="0.25">
      <c r="A4683" t="str">
        <f>"20190312164121780"</f>
        <v>20190312164121780</v>
      </c>
      <c r="B4683" t="str">
        <f>"1552380081770755"</f>
        <v>1552380081770755</v>
      </c>
      <c r="C4683" t="s">
        <v>40</v>
      </c>
      <c r="D4683">
        <v>4.8642240000000001</v>
      </c>
      <c r="E4683">
        <v>0.43716300000000002</v>
      </c>
      <c r="F4683" t="s">
        <v>41</v>
      </c>
      <c r="G4683">
        <v>-365.62240000000003</v>
      </c>
      <c r="H4683" s="1">
        <v>-2.133921E-6</v>
      </c>
      <c r="I4683">
        <v>138.0735</v>
      </c>
      <c r="J4683">
        <v>-340.56009999999998</v>
      </c>
      <c r="K4683">
        <v>1.1104579999999999</v>
      </c>
      <c r="L4683">
        <v>141.381</v>
      </c>
      <c r="M4683">
        <v>-0.99988509999999997</v>
      </c>
      <c r="N4683">
        <v>0</v>
      </c>
      <c r="O4683">
        <v>-1.013599E-3</v>
      </c>
      <c r="P4683">
        <v>-0.97408660000000002</v>
      </c>
      <c r="Q4683">
        <v>0.22209470000000001</v>
      </c>
      <c r="R4683">
        <v>4.2769590000000003E-2</v>
      </c>
      <c r="S4683">
        <v>-3.1297000000000001</v>
      </c>
      <c r="T4683">
        <v>-0.1365296</v>
      </c>
      <c r="U4683">
        <v>-0.40667720000000002</v>
      </c>
      <c r="V4683">
        <v>4.3766279999999998E-2</v>
      </c>
      <c r="W4683">
        <v>0.2367976</v>
      </c>
      <c r="X4683">
        <v>0.97057269999999896</v>
      </c>
      <c r="Y4683">
        <v>-0.12773409999999999</v>
      </c>
      <c r="Z4683">
        <v>-2.7291469999999999E-3</v>
      </c>
      <c r="AA4683">
        <v>0.99180469999999998</v>
      </c>
      <c r="AB4683">
        <v>40</v>
      </c>
      <c r="AC4683">
        <v>-25.0623</v>
      </c>
      <c r="AD4683">
        <v>-1.1104601339209901</v>
      </c>
      <c r="AE4683">
        <v>-3.3075000000000001</v>
      </c>
      <c r="AF4683">
        <v>-3.2757713717661701</v>
      </c>
      <c r="AG4683">
        <v>-1.1104601339209901</v>
      </c>
      <c r="AH4683">
        <v>25.017366687647201</v>
      </c>
      <c r="AI4683">
        <v>92.520068466564894</v>
      </c>
      <c r="AJ4683">
        <v>97.459862803910795</v>
      </c>
      <c r="AK4683">
        <v>25.2553446971787</v>
      </c>
      <c r="AL4683">
        <v>76.302390833637702</v>
      </c>
      <c r="AM4683">
        <v>87.418096005082802</v>
      </c>
      <c r="AN4683">
        <v>0.99999997830804299</v>
      </c>
    </row>
    <row r="4684" spans="1:40" x14ac:dyDescent="0.25">
      <c r="A4684" t="str">
        <f>"20190312164121802"</f>
        <v>20190312164121802</v>
      </c>
      <c r="B4684" t="str">
        <f>"1552380081791251"</f>
        <v>1552380081791251</v>
      </c>
      <c r="C4684" t="s">
        <v>40</v>
      </c>
      <c r="D4684">
        <v>4.8727799999999997</v>
      </c>
      <c r="E4684">
        <v>0.43729259999999898</v>
      </c>
      <c r="F4684" t="s">
        <v>41</v>
      </c>
      <c r="G4684">
        <v>-365.56450000000001</v>
      </c>
      <c r="H4684" s="1">
        <v>-2.163333E-6</v>
      </c>
      <c r="I4684">
        <v>138.0479</v>
      </c>
      <c r="J4684">
        <v>-340.95479999999998</v>
      </c>
      <c r="K4684">
        <v>1.1104590000000001</v>
      </c>
      <c r="L4684">
        <v>141.38050000000001</v>
      </c>
      <c r="M4684">
        <v>-0.99988509999999997</v>
      </c>
      <c r="N4684">
        <v>0</v>
      </c>
      <c r="O4684">
        <v>-1.013566E-3</v>
      </c>
      <c r="P4684">
        <v>-0.97418009999999999</v>
      </c>
      <c r="Q4684">
        <v>0.22188540000000001</v>
      </c>
      <c r="R4684">
        <v>4.1714729999999998E-2</v>
      </c>
      <c r="S4684">
        <v>-3.1298520000000001</v>
      </c>
      <c r="T4684">
        <v>-0.13899919999999999</v>
      </c>
      <c r="U4684">
        <v>-0.41719060000000002</v>
      </c>
      <c r="V4684">
        <v>4.2711390000000002E-2</v>
      </c>
      <c r="W4684">
        <v>0.2365854</v>
      </c>
      <c r="X4684">
        <v>0.97067150000000002</v>
      </c>
      <c r="Y4684">
        <v>-0.13099469999999999</v>
      </c>
      <c r="Z4684">
        <v>-2.849776E-3</v>
      </c>
      <c r="AA4684">
        <v>0.99137900000000001</v>
      </c>
      <c r="AB4684">
        <v>40</v>
      </c>
      <c r="AC4684">
        <v>-24.6097</v>
      </c>
      <c r="AD4684">
        <v>-1.1104611633329999</v>
      </c>
      <c r="AE4684">
        <v>-3.33260000000001</v>
      </c>
      <c r="AF4684">
        <v>-3.3010517191868902</v>
      </c>
      <c r="AG4684">
        <v>-1.1104611633329999</v>
      </c>
      <c r="AH4684">
        <v>24.563952110835199</v>
      </c>
      <c r="AI4684">
        <v>92.565374727620295</v>
      </c>
      <c r="AJ4684">
        <v>97.653896058132005</v>
      </c>
      <c r="AK4684">
        <v>24.809631390881702</v>
      </c>
      <c r="AL4684">
        <v>76.314905405696607</v>
      </c>
      <c r="AM4684">
        <v>87.4805020734224</v>
      </c>
      <c r="AN4684">
        <v>1.00000003762057</v>
      </c>
    </row>
    <row r="4685" spans="1:40" x14ac:dyDescent="0.25">
      <c r="A4685" t="str">
        <f>"20190312164121826"</f>
        <v>20190312164121826</v>
      </c>
      <c r="B4685" t="str">
        <f>"1552380081820531"</f>
        <v>1552380081820531</v>
      </c>
      <c r="C4685" t="s">
        <v>40</v>
      </c>
      <c r="D4685">
        <v>4.9984909999999996</v>
      </c>
      <c r="E4685">
        <v>0.43724760000000001</v>
      </c>
      <c r="F4685" t="s">
        <v>41</v>
      </c>
      <c r="G4685">
        <v>-367.5718</v>
      </c>
      <c r="H4685" s="1">
        <v>-1.3425780000000001E-6</v>
      </c>
      <c r="I4685">
        <v>137.8203</v>
      </c>
      <c r="J4685">
        <v>-341.36180000000002</v>
      </c>
      <c r="K4685">
        <v>1.1104579999999999</v>
      </c>
      <c r="L4685">
        <v>141.3801</v>
      </c>
      <c r="M4685">
        <v>-0.99988540000000004</v>
      </c>
      <c r="N4685">
        <v>0</v>
      </c>
      <c r="O4685">
        <v>-1.013889E-3</v>
      </c>
      <c r="P4685">
        <v>-0.97424880000000003</v>
      </c>
      <c r="Q4685">
        <v>0.22181960000000001</v>
      </c>
      <c r="R4685">
        <v>4.0443170000000001E-2</v>
      </c>
      <c r="S4685">
        <v>-3.127167</v>
      </c>
      <c r="T4685">
        <v>-0.13046549999999901</v>
      </c>
      <c r="U4685">
        <v>-0.41827389999999998</v>
      </c>
      <c r="V4685">
        <v>4.1440200000000003E-2</v>
      </c>
      <c r="W4685">
        <v>0.23651639999999999</v>
      </c>
      <c r="X4685">
        <v>0.97074340000000003</v>
      </c>
      <c r="Y4685">
        <v>-0.13145770000000001</v>
      </c>
      <c r="Z4685">
        <v>-2.6867839999999998E-3</v>
      </c>
      <c r="AA4685">
        <v>0.99131820000000004</v>
      </c>
      <c r="AB4685">
        <v>40</v>
      </c>
      <c r="AC4685">
        <v>-26.209999999999901</v>
      </c>
      <c r="AD4685">
        <v>-1.1104593425780001</v>
      </c>
      <c r="AE4685">
        <v>-3.5597999999999899</v>
      </c>
      <c r="AF4685">
        <v>-3.52700470581417</v>
      </c>
      <c r="AG4685">
        <v>-1.1104593425780001</v>
      </c>
      <c r="AH4685">
        <v>26.167475591528401</v>
      </c>
      <c r="AI4685">
        <v>92.4082305288009</v>
      </c>
      <c r="AJ4685">
        <v>97.676395574222198</v>
      </c>
      <c r="AK4685">
        <v>26.427441438391099</v>
      </c>
      <c r="AL4685">
        <v>76.318974091116104</v>
      </c>
      <c r="AM4685">
        <v>87.555576654787203</v>
      </c>
      <c r="AN4685">
        <v>1.0000000231442701</v>
      </c>
    </row>
    <row r="4686" spans="1:40" x14ac:dyDescent="0.25">
      <c r="A4686" t="str">
        <f>"20190312164121848"</f>
        <v>20190312164121848</v>
      </c>
      <c r="B4686" t="str">
        <f>"1552380081841027"</f>
        <v>1552380081841027</v>
      </c>
      <c r="C4686" t="s">
        <v>40</v>
      </c>
      <c r="D4686">
        <v>4.9611530000000004</v>
      </c>
      <c r="E4686">
        <v>0.43742510000000001</v>
      </c>
      <c r="F4686" t="s">
        <v>41</v>
      </c>
      <c r="G4686">
        <v>-369.28930000000003</v>
      </c>
      <c r="H4686" s="1">
        <v>-7.6275869999999897E-7</v>
      </c>
      <c r="I4686">
        <v>137.6062</v>
      </c>
      <c r="J4686">
        <v>-341.76580000000001</v>
      </c>
      <c r="K4686">
        <v>1.1104609999999999</v>
      </c>
      <c r="L4686">
        <v>141.37970000000001</v>
      </c>
      <c r="M4686">
        <v>-0.99988540000000004</v>
      </c>
      <c r="N4686">
        <v>0</v>
      </c>
      <c r="O4686">
        <v>-1.0138530000000001E-3</v>
      </c>
      <c r="P4686">
        <v>-0.97441829999999996</v>
      </c>
      <c r="Q4686">
        <v>0.22111449999999999</v>
      </c>
      <c r="R4686">
        <v>4.021752E-2</v>
      </c>
      <c r="S4686">
        <v>-3.1251220000000002</v>
      </c>
      <c r="T4686">
        <v>-0.1242622</v>
      </c>
      <c r="U4686">
        <v>-0.42230220000000002</v>
      </c>
      <c r="V4686">
        <v>4.1214559999999997E-2</v>
      </c>
      <c r="W4686">
        <v>0.23580970000000001</v>
      </c>
      <c r="X4686">
        <v>0.97092489999999998</v>
      </c>
      <c r="Y4686">
        <v>-0.13280710000000001</v>
      </c>
      <c r="Z4686">
        <v>-2.5872740000000001E-3</v>
      </c>
      <c r="AA4686">
        <v>0.99113850000000003</v>
      </c>
      <c r="AB4686">
        <v>40</v>
      </c>
      <c r="AC4686">
        <v>-27.523499999999999</v>
      </c>
      <c r="AD4686">
        <v>-1.1104617627586999</v>
      </c>
      <c r="AE4686">
        <v>-3.7735000000000101</v>
      </c>
      <c r="AF4686">
        <v>-3.7396150744400201</v>
      </c>
      <c r="AG4686">
        <v>-1.1104617627586999</v>
      </c>
      <c r="AH4686">
        <v>27.483400100812499</v>
      </c>
      <c r="AI4686">
        <v>92.292663337169301</v>
      </c>
      <c r="AJ4686">
        <v>97.748543627412204</v>
      </c>
      <c r="AK4686">
        <v>27.758874749039599</v>
      </c>
      <c r="AL4686">
        <v>76.360643498117796</v>
      </c>
      <c r="AM4686">
        <v>87.569324333710597</v>
      </c>
      <c r="AN4686">
        <v>1.00000000800504</v>
      </c>
    </row>
    <row r="4687" spans="1:40" x14ac:dyDescent="0.25">
      <c r="A4687" t="str">
        <f>"20190312164121870"</f>
        <v>20190312164121870</v>
      </c>
      <c r="B4687" t="str">
        <f>"1552380081860557"</f>
        <v>1552380081860557</v>
      </c>
      <c r="C4687" t="s">
        <v>40</v>
      </c>
      <c r="D4687">
        <v>4.9476019999999998</v>
      </c>
      <c r="E4687">
        <v>0.43729590000000002</v>
      </c>
      <c r="F4687" t="s">
        <v>41</v>
      </c>
      <c r="G4687">
        <v>-370.3494</v>
      </c>
      <c r="H4687" s="1">
        <v>-4.4952219999999999E-6</v>
      </c>
      <c r="I4687">
        <v>137.51439999999999</v>
      </c>
      <c r="J4687">
        <v>-342.15480000000002</v>
      </c>
      <c r="K4687">
        <v>1.1104499999999999</v>
      </c>
      <c r="L4687">
        <v>141.3793</v>
      </c>
      <c r="M4687">
        <v>-0.99988540000000004</v>
      </c>
      <c r="N4687">
        <v>0</v>
      </c>
      <c r="O4687">
        <v>-1.0139389999999999E-3</v>
      </c>
      <c r="P4687">
        <v>-0.97470330000000005</v>
      </c>
      <c r="Q4687">
        <v>0.22004409999999999</v>
      </c>
      <c r="R4687">
        <v>3.9169929999999999E-2</v>
      </c>
      <c r="S4687">
        <v>-3.1237180000000002</v>
      </c>
      <c r="T4687">
        <v>-0.1213559</v>
      </c>
      <c r="U4687">
        <v>-0.42240909999999898</v>
      </c>
      <c r="V4687">
        <v>4.0167349999999998E-2</v>
      </c>
      <c r="W4687">
        <v>0.23473920000000001</v>
      </c>
      <c r="X4687">
        <v>0.97122810000000004</v>
      </c>
      <c r="Y4687">
        <v>-0.13290399999999999</v>
      </c>
      <c r="Z4687">
        <v>-2.529795E-3</v>
      </c>
      <c r="AA4687">
        <v>0.9911257</v>
      </c>
      <c r="AB4687">
        <v>40</v>
      </c>
      <c r="AC4687">
        <v>-28.194599999999902</v>
      </c>
      <c r="AD4687">
        <v>-1.1104544952219999</v>
      </c>
      <c r="AE4687">
        <v>-3.8649</v>
      </c>
      <c r="AF4687">
        <v>-3.8304748811701899</v>
      </c>
      <c r="AG4687">
        <v>-1.1104544952219999</v>
      </c>
      <c r="AH4687">
        <v>28.155635069211701</v>
      </c>
      <c r="AI4687">
        <v>92.237972615354394</v>
      </c>
      <c r="AJ4687">
        <v>97.747324951696996</v>
      </c>
      <c r="AK4687">
        <v>28.436691670302601</v>
      </c>
      <c r="AL4687">
        <v>76.423749506912799</v>
      </c>
      <c r="AM4687">
        <v>87.631752170880503</v>
      </c>
      <c r="AN4687">
        <v>0.99999996512613498</v>
      </c>
    </row>
    <row r="4688" spans="1:40" x14ac:dyDescent="0.25">
      <c r="A4688" t="str">
        <f>"20190312164121893"</f>
        <v>20190312164121893</v>
      </c>
      <c r="B4688" t="str">
        <f>"1552380081881044"</f>
        <v>1552380081881044</v>
      </c>
      <c r="C4688" t="s">
        <v>40</v>
      </c>
      <c r="D4688">
        <v>5.1247089999999904</v>
      </c>
      <c r="E4688">
        <v>0.43735550000000001</v>
      </c>
      <c r="F4688" t="s">
        <v>41</v>
      </c>
      <c r="G4688">
        <v>-369.97640000000001</v>
      </c>
      <c r="H4688" s="1">
        <v>-4.6443389999999997E-6</v>
      </c>
      <c r="I4688">
        <v>137.57579999999999</v>
      </c>
      <c r="J4688">
        <v>-342.55840000000001</v>
      </c>
      <c r="K4688">
        <v>1.1104499999999999</v>
      </c>
      <c r="L4688">
        <v>141.37889999999999</v>
      </c>
      <c r="M4688">
        <v>-0.99988549999999998</v>
      </c>
      <c r="N4688">
        <v>0</v>
      </c>
      <c r="O4688">
        <v>-1.0139039999999999E-3</v>
      </c>
      <c r="P4688">
        <v>-0.97496570000000005</v>
      </c>
      <c r="Q4688">
        <v>0.21907989999999999</v>
      </c>
      <c r="R4688">
        <v>3.8024179999999998E-2</v>
      </c>
      <c r="S4688">
        <v>-3.1231689999999999</v>
      </c>
      <c r="T4688">
        <v>-0.12465660000000001</v>
      </c>
      <c r="U4688">
        <v>-0.42695620000000001</v>
      </c>
      <c r="V4688">
        <v>3.9021859999999998E-2</v>
      </c>
      <c r="W4688">
        <v>0.23377490000000001</v>
      </c>
      <c r="X4688">
        <v>0.97150740000000002</v>
      </c>
      <c r="Y4688">
        <v>-0.13433729999999999</v>
      </c>
      <c r="Z4688">
        <v>-2.62721E-3</v>
      </c>
      <c r="AA4688">
        <v>0.99093220000000004</v>
      </c>
      <c r="AB4688">
        <v>40</v>
      </c>
      <c r="AC4688">
        <v>-27.417999999999999</v>
      </c>
      <c r="AD4688">
        <v>-1.110454644339</v>
      </c>
      <c r="AE4688">
        <v>-3.8031000000000001</v>
      </c>
      <c r="AF4688">
        <v>-3.7692296019635698</v>
      </c>
      <c r="AG4688">
        <v>-1.110454644339</v>
      </c>
      <c r="AH4688">
        <v>27.377781568118198</v>
      </c>
      <c r="AI4688">
        <v>92.300987583376298</v>
      </c>
      <c r="AJ4688">
        <v>97.838903688468093</v>
      </c>
      <c r="AK4688">
        <v>27.658328309951099</v>
      </c>
      <c r="AL4688">
        <v>76.480581930806196</v>
      </c>
      <c r="AM4688">
        <v>87.699876816835001</v>
      </c>
      <c r="AN4688">
        <v>1.0000000188413101</v>
      </c>
    </row>
    <row r="4689" spans="1:40" x14ac:dyDescent="0.25">
      <c r="A4689" t="str">
        <f>"20190312164121916"</f>
        <v>20190312164121916</v>
      </c>
      <c r="B4689" t="str">
        <f>"1552380081911299"</f>
        <v>1552380081911299</v>
      </c>
      <c r="C4689" t="s">
        <v>40</v>
      </c>
      <c r="D4689">
        <v>5.090052</v>
      </c>
      <c r="E4689">
        <v>0.46593459999999998</v>
      </c>
      <c r="F4689" t="s">
        <v>41</v>
      </c>
      <c r="G4689">
        <v>-368.79149999999998</v>
      </c>
      <c r="H4689" s="1">
        <v>-8.887968E-7</v>
      </c>
      <c r="I4689">
        <v>137.76910000000001</v>
      </c>
      <c r="J4689">
        <v>-342.96140000000003</v>
      </c>
      <c r="K4689">
        <v>1.1104449999999999</v>
      </c>
      <c r="L4689">
        <v>141.3785</v>
      </c>
      <c r="M4689">
        <v>-0.99988549999999998</v>
      </c>
      <c r="N4689">
        <v>0</v>
      </c>
      <c r="O4689">
        <v>-1.013871E-3</v>
      </c>
      <c r="P4689">
        <v>-0.97523219999999999</v>
      </c>
      <c r="Q4689">
        <v>0.2180134</v>
      </c>
      <c r="R4689">
        <v>3.7315319999999999E-2</v>
      </c>
      <c r="S4689">
        <v>-3.1234739999999999</v>
      </c>
      <c r="T4689">
        <v>-0.13221759999999999</v>
      </c>
      <c r="U4689">
        <v>-0.42979430000000002</v>
      </c>
      <c r="V4689">
        <v>3.8313350000000003E-2</v>
      </c>
      <c r="W4689">
        <v>0.232708</v>
      </c>
      <c r="X4689">
        <v>0.97179170000000004</v>
      </c>
      <c r="Y4689">
        <v>-0.13519439999999999</v>
      </c>
      <c r="Z4689">
        <v>-2.804034E-3</v>
      </c>
      <c r="AA4689">
        <v>0.99081509999999995</v>
      </c>
      <c r="AB4689">
        <v>40</v>
      </c>
      <c r="AC4689">
        <v>-25.830099999999899</v>
      </c>
      <c r="AD4689">
        <v>-1.1104458887968001</v>
      </c>
      <c r="AE4689">
        <v>-3.6093999999999902</v>
      </c>
      <c r="AF4689">
        <v>-3.5767229707910499</v>
      </c>
      <c r="AG4689">
        <v>-1.1104458887968001</v>
      </c>
      <c r="AH4689">
        <v>25.787000538917098</v>
      </c>
      <c r="AI4689">
        <v>92.442407606155498</v>
      </c>
      <c r="AJ4689">
        <v>97.896688578730405</v>
      </c>
      <c r="AK4689">
        <v>26.057540829399802</v>
      </c>
      <c r="AL4689">
        <v>76.543444601969099</v>
      </c>
      <c r="AM4689">
        <v>87.742255944254794</v>
      </c>
      <c r="AN4689">
        <v>1.0000000171205501</v>
      </c>
    </row>
    <row r="4690" spans="1:40" x14ac:dyDescent="0.25">
      <c r="A4690" t="str">
        <f>"20190312164121938"</f>
        <v>20190312164121938</v>
      </c>
      <c r="B4690" t="str">
        <f>"1552380081930819"</f>
        <v>1552380081930819</v>
      </c>
      <c r="C4690" t="s">
        <v>40</v>
      </c>
      <c r="D4690">
        <v>5.0498529999999997</v>
      </c>
      <c r="E4690">
        <v>0.47044900000000001</v>
      </c>
      <c r="F4690" t="s">
        <v>41</v>
      </c>
      <c r="G4690">
        <v>-358.82440000000003</v>
      </c>
      <c r="H4690" s="1">
        <v>-6.7396729999999999E-7</v>
      </c>
      <c r="I4690">
        <v>140.3203</v>
      </c>
      <c r="J4690">
        <v>-343.36079999999998</v>
      </c>
      <c r="K4690">
        <v>1.11043799999999</v>
      </c>
      <c r="L4690">
        <v>141.37809999999999</v>
      </c>
      <c r="M4690">
        <v>-0.99988560000000004</v>
      </c>
      <c r="N4690">
        <v>0</v>
      </c>
      <c r="O4690">
        <v>-1.0138390000000001E-3</v>
      </c>
      <c r="P4690">
        <v>-0.97556920000000003</v>
      </c>
      <c r="Q4690">
        <v>0.21667259999999999</v>
      </c>
      <c r="R4690">
        <v>3.6299690000000003E-2</v>
      </c>
      <c r="S4690">
        <v>-3.1332089999999999</v>
      </c>
      <c r="T4690">
        <v>-0.21933230000000001</v>
      </c>
      <c r="U4690">
        <v>-0.20899960000000001</v>
      </c>
      <c r="V4690">
        <v>3.7297789999999997E-2</v>
      </c>
      <c r="W4690">
        <v>0.2313685</v>
      </c>
      <c r="X4690">
        <v>0.97215099999999999</v>
      </c>
      <c r="Y4690">
        <v>-6.5388169999999995E-2</v>
      </c>
      <c r="Z4690">
        <v>-2.2125280000000001E-3</v>
      </c>
      <c r="AA4690">
        <v>0.99785749999999995</v>
      </c>
      <c r="AB4690">
        <v>40</v>
      </c>
      <c r="AC4690">
        <v>-15.4636</v>
      </c>
      <c r="AD4690">
        <v>-1.11043867396729</v>
      </c>
      <c r="AE4690">
        <v>-1.0577999999999801</v>
      </c>
      <c r="AF4690">
        <v>-1.0367985601998999</v>
      </c>
      <c r="AG4690">
        <v>-1.11043867396729</v>
      </c>
      <c r="AH4690">
        <v>15.3856954376914</v>
      </c>
      <c r="AI4690">
        <v>94.118767232835495</v>
      </c>
      <c r="AJ4690">
        <v>93.855172318677006</v>
      </c>
      <c r="AK4690">
        <v>15.460519053526999</v>
      </c>
      <c r="AL4690">
        <v>76.622346056741094</v>
      </c>
      <c r="AM4690">
        <v>87.802853320584006</v>
      </c>
      <c r="AN4690">
        <v>1.00000003736606</v>
      </c>
    </row>
    <row r="4691" spans="1:40" x14ac:dyDescent="0.25">
      <c r="A4691" t="str">
        <f>"20190312164121959"</f>
        <v>20190312164121959</v>
      </c>
      <c r="B4691" t="str">
        <f>"1552380081950845"</f>
        <v>1552380081950845</v>
      </c>
      <c r="C4691" t="s">
        <v>40</v>
      </c>
      <c r="D4691">
        <v>5.2912819999999998</v>
      </c>
      <c r="E4691">
        <v>0.47170030000000002</v>
      </c>
      <c r="F4691" t="s">
        <v>41</v>
      </c>
      <c r="G4691">
        <v>-359.44159999999999</v>
      </c>
      <c r="H4691" s="1">
        <v>-4.4931380000000001E-7</v>
      </c>
      <c r="I4691">
        <v>140.47110000000001</v>
      </c>
      <c r="J4691">
        <v>-343.74169999999998</v>
      </c>
      <c r="K4691">
        <v>1.1104369999999999</v>
      </c>
      <c r="L4691">
        <v>141.3777</v>
      </c>
      <c r="M4691">
        <v>-0.99988580000000005</v>
      </c>
      <c r="N4691">
        <v>0</v>
      </c>
      <c r="O4691">
        <v>-1.014165E-3</v>
      </c>
      <c r="P4691">
        <v>-0.97579470000000001</v>
      </c>
      <c r="Q4691">
        <v>0.21581139999999999</v>
      </c>
      <c r="R4691">
        <v>3.5361049999999998E-2</v>
      </c>
      <c r="S4691">
        <v>-3.1297000000000001</v>
      </c>
      <c r="T4691">
        <v>-0.21611749999999999</v>
      </c>
      <c r="U4691">
        <v>-0.1764984</v>
      </c>
      <c r="V4691">
        <v>3.6359679999999998E-2</v>
      </c>
      <c r="W4691">
        <v>0.23050689999999999</v>
      </c>
      <c r="X4691">
        <v>0.97239109999999995</v>
      </c>
      <c r="Y4691">
        <v>-5.5163980000000001E-2</v>
      </c>
      <c r="Z4691">
        <v>-1.830969E-3</v>
      </c>
      <c r="AA4691">
        <v>0.99847560000000002</v>
      </c>
      <c r="AB4691">
        <v>40</v>
      </c>
      <c r="AC4691">
        <v>-15.6999</v>
      </c>
      <c r="AD4691">
        <v>-1.1104374493138001</v>
      </c>
      <c r="AE4691">
        <v>-0.90659999999999696</v>
      </c>
      <c r="AF4691">
        <v>-0.88625659563896497</v>
      </c>
      <c r="AG4691">
        <v>-1.1104374493138001</v>
      </c>
      <c r="AH4691">
        <v>15.622916258832699</v>
      </c>
      <c r="AI4691">
        <v>94.059097978562093</v>
      </c>
      <c r="AJ4691">
        <v>93.246794440176004</v>
      </c>
      <c r="AK4691">
        <v>15.687384565715501</v>
      </c>
      <c r="AL4691">
        <v>76.673082483317899</v>
      </c>
      <c r="AM4691">
        <v>87.858591969048504</v>
      </c>
      <c r="AN4691">
        <v>0.99999995431826005</v>
      </c>
    </row>
    <row r="4692" spans="1:40" x14ac:dyDescent="0.25">
      <c r="A4692" t="str">
        <f>"20190312164121983"</f>
        <v>20190312164121983</v>
      </c>
      <c r="B4692" t="str">
        <f>"1552380081971341"</f>
        <v>1552380081971341</v>
      </c>
      <c r="C4692" t="s">
        <v>40</v>
      </c>
      <c r="D4692">
        <v>5.2131460000000001</v>
      </c>
      <c r="E4692">
        <v>0.4729486</v>
      </c>
      <c r="F4692" t="s">
        <v>41</v>
      </c>
      <c r="G4692">
        <v>-359.13990000000001</v>
      </c>
      <c r="H4692" s="1">
        <v>-5.9863490000000005E-7</v>
      </c>
      <c r="I4692">
        <v>140.54580000000001</v>
      </c>
      <c r="J4692">
        <v>-344.14069999999998</v>
      </c>
      <c r="K4692">
        <v>1.1104350000000001</v>
      </c>
      <c r="L4692">
        <v>141.37719999999999</v>
      </c>
      <c r="M4692">
        <v>-0.99988580000000005</v>
      </c>
      <c r="N4692">
        <v>0</v>
      </c>
      <c r="O4692">
        <v>-1.014013E-3</v>
      </c>
      <c r="P4692">
        <v>-0.97603960000000001</v>
      </c>
      <c r="Q4692">
        <v>0.21494250000000001</v>
      </c>
      <c r="R4692">
        <v>3.3858779999999998E-2</v>
      </c>
      <c r="S4692">
        <v>-3.130493</v>
      </c>
      <c r="T4692">
        <v>-0.22575590000000001</v>
      </c>
      <c r="U4692">
        <v>-0.1690979</v>
      </c>
      <c r="V4692">
        <v>3.4857310000000002E-2</v>
      </c>
      <c r="W4692">
        <v>0.22963729999999999</v>
      </c>
      <c r="X4692">
        <v>0.97265190000000001</v>
      </c>
      <c r="Y4692">
        <v>-5.2790999999999998E-2</v>
      </c>
      <c r="Z4692">
        <v>-1.8266809999999999E-3</v>
      </c>
      <c r="AA4692">
        <v>0.99860389999999999</v>
      </c>
      <c r="AB4692">
        <v>40</v>
      </c>
      <c r="AC4692">
        <v>-14.9992</v>
      </c>
      <c r="AD4692">
        <v>-1.1104355986348999</v>
      </c>
      <c r="AE4692">
        <v>-0.83139999999997305</v>
      </c>
      <c r="AF4692">
        <v>-0.81175296388687901</v>
      </c>
      <c r="AG4692">
        <v>-1.1104355986348999</v>
      </c>
      <c r="AH4692">
        <v>14.9185192233719</v>
      </c>
      <c r="AI4692">
        <v>94.250603156912305</v>
      </c>
      <c r="AJ4692">
        <v>93.114531581103194</v>
      </c>
      <c r="AK4692">
        <v>14.981796484774801</v>
      </c>
      <c r="AL4692">
        <v>76.724281241926704</v>
      </c>
      <c r="AM4692">
        <v>87.947546904997097</v>
      </c>
      <c r="AN4692">
        <v>1.00000002009266</v>
      </c>
    </row>
    <row r="4693" spans="1:40" x14ac:dyDescent="0.25">
      <c r="A4693" t="str">
        <f>"20190312164122004"</f>
        <v>20190312164122004</v>
      </c>
      <c r="B4693" t="str">
        <f>"1552380082000622"</f>
        <v>1552380082000622</v>
      </c>
      <c r="C4693" t="s">
        <v>40</v>
      </c>
      <c r="D4693">
        <v>5.1876680000000004</v>
      </c>
      <c r="E4693">
        <v>0.47458709999999998</v>
      </c>
      <c r="F4693" t="s">
        <v>41</v>
      </c>
      <c r="G4693">
        <v>-359.94479999999999</v>
      </c>
      <c r="H4693" s="1">
        <v>-2.558785E-7</v>
      </c>
      <c r="I4693">
        <v>140.55529999999999</v>
      </c>
      <c r="J4693">
        <v>-344.53980000000001</v>
      </c>
      <c r="K4693">
        <v>1.1104320000000001</v>
      </c>
      <c r="L4693">
        <v>141.3768</v>
      </c>
      <c r="M4693">
        <v>-0.99988589999999999</v>
      </c>
      <c r="N4693">
        <v>0</v>
      </c>
      <c r="O4693">
        <v>-1.01398E-3</v>
      </c>
      <c r="P4693">
        <v>-0.97627640000000004</v>
      </c>
      <c r="Q4693">
        <v>0.21406030000000001</v>
      </c>
      <c r="R4693">
        <v>3.2601099999999897E-2</v>
      </c>
      <c r="S4693">
        <v>-3.1276860000000002</v>
      </c>
      <c r="T4693">
        <v>-0.2197605</v>
      </c>
      <c r="U4693">
        <v>-0.16264339999999999</v>
      </c>
      <c r="V4693">
        <v>3.3600060000000001E-2</v>
      </c>
      <c r="W4693">
        <v>0.2287545</v>
      </c>
      <c r="X4693">
        <v>0.97290410000000005</v>
      </c>
      <c r="Y4693">
        <v>-5.0795890000000003E-2</v>
      </c>
      <c r="Z4693">
        <v>-1.7100220000000001E-3</v>
      </c>
      <c r="AA4693">
        <v>0.99870760000000003</v>
      </c>
      <c r="AB4693">
        <v>40</v>
      </c>
      <c r="AC4693">
        <v>-15.4049999999999</v>
      </c>
      <c r="AD4693">
        <v>-1.11043225587849</v>
      </c>
      <c r="AE4693">
        <v>-0.821500000000014</v>
      </c>
      <c r="AF4693">
        <v>-0.80172357874614797</v>
      </c>
      <c r="AG4693">
        <v>-1.11043225587849</v>
      </c>
      <c r="AH4693">
        <v>15.3264164589333</v>
      </c>
      <c r="AI4693">
        <v>94.138324813428895</v>
      </c>
      <c r="AJ4693">
        <v>92.994408255645894</v>
      </c>
      <c r="AK4693">
        <v>15.387490437504001</v>
      </c>
      <c r="AL4693">
        <v>76.776244770142995</v>
      </c>
      <c r="AM4693">
        <v>88.022028287295001</v>
      </c>
      <c r="AN4693">
        <v>0.99999998654953104</v>
      </c>
    </row>
    <row r="4694" spans="1:40" x14ac:dyDescent="0.25">
      <c r="A4694" t="str">
        <f>"20190312164122027"</f>
        <v>20190312164122027</v>
      </c>
      <c r="B4694" t="str">
        <f>"1552380082021121"</f>
        <v>1552380082021121</v>
      </c>
      <c r="C4694" t="s">
        <v>40</v>
      </c>
      <c r="D4694">
        <v>5.2236719999999996</v>
      </c>
      <c r="E4694">
        <v>0.47536099999999998</v>
      </c>
      <c r="F4694" t="s">
        <v>41</v>
      </c>
      <c r="G4694">
        <v>-361.13040000000001</v>
      </c>
      <c r="H4694" s="1">
        <v>-4.0397649999999999E-6</v>
      </c>
      <c r="I4694">
        <v>140.565</v>
      </c>
      <c r="J4694">
        <v>-344.95010000000002</v>
      </c>
      <c r="K4694">
        <v>1.1104350000000001</v>
      </c>
      <c r="L4694">
        <v>141.37639999999999</v>
      </c>
      <c r="M4694">
        <v>-0.99988589999999999</v>
      </c>
      <c r="N4694">
        <v>0</v>
      </c>
      <c r="O4694">
        <v>-1.0141830000000001E-3</v>
      </c>
      <c r="P4694">
        <v>-0.97651319999999997</v>
      </c>
      <c r="Q4694">
        <v>0.21327499999999999</v>
      </c>
      <c r="R4694">
        <v>3.0594639999999999E-2</v>
      </c>
      <c r="S4694">
        <v>-3.12384</v>
      </c>
      <c r="T4694">
        <v>-0.20908379999999999</v>
      </c>
      <c r="U4694">
        <v>-0.152832</v>
      </c>
      <c r="V4694">
        <v>3.1594160000000003E-2</v>
      </c>
      <c r="W4694">
        <v>0.22796849999999999</v>
      </c>
      <c r="X4694">
        <v>0.97315580000000002</v>
      </c>
      <c r="Y4694">
        <v>-4.7748529999999997E-2</v>
      </c>
      <c r="Z4694">
        <v>-1.5274360000000001E-3</v>
      </c>
      <c r="AA4694">
        <v>0.99885820000000003</v>
      </c>
      <c r="AB4694">
        <v>40</v>
      </c>
      <c r="AC4694">
        <v>-16.1802999999999</v>
      </c>
      <c r="AD4694">
        <v>-1.1104390397649999</v>
      </c>
      <c r="AE4694">
        <v>-0.81139999999999102</v>
      </c>
      <c r="AF4694">
        <v>-0.79127043764442995</v>
      </c>
      <c r="AG4694">
        <v>-1.1104390397649999</v>
      </c>
      <c r="AH4694">
        <v>16.1054490979941</v>
      </c>
      <c r="AI4694">
        <v>93.939452507360002</v>
      </c>
      <c r="AJ4694">
        <v>92.812714568622198</v>
      </c>
      <c r="AK4694">
        <v>16.163065130556198</v>
      </c>
      <c r="AL4694">
        <v>76.822501966539704</v>
      </c>
      <c r="AM4694">
        <v>88.140506969958395</v>
      </c>
      <c r="AN4694">
        <v>1.0000000195059899</v>
      </c>
    </row>
    <row r="4695" spans="1:40" x14ac:dyDescent="0.25">
      <c r="A4695" t="str">
        <f>"20190312164122049"</f>
        <v>20190312164122049</v>
      </c>
      <c r="B4695" t="str">
        <f>"1552380082040637"</f>
        <v>1552380082040637</v>
      </c>
      <c r="C4695" t="s">
        <v>40</v>
      </c>
      <c r="D4695">
        <v>5.197444</v>
      </c>
      <c r="E4695">
        <v>0.47609180000000001</v>
      </c>
      <c r="F4695" t="s">
        <v>41</v>
      </c>
      <c r="G4695">
        <v>-361.46690000000001</v>
      </c>
      <c r="H4695" s="1">
        <v>-3.8952200000000001E-6</v>
      </c>
      <c r="I4695">
        <v>140.5643</v>
      </c>
      <c r="J4695">
        <v>-345.33030000000002</v>
      </c>
      <c r="K4695">
        <v>1.110436</v>
      </c>
      <c r="L4695">
        <v>141.376</v>
      </c>
      <c r="M4695">
        <v>-0.9998861</v>
      </c>
      <c r="N4695">
        <v>0</v>
      </c>
      <c r="O4695">
        <v>-1.014507E-3</v>
      </c>
      <c r="P4695">
        <v>-0.97655329999999996</v>
      </c>
      <c r="Q4695">
        <v>0.21334130000000001</v>
      </c>
      <c r="R4695">
        <v>2.8799430000000001E-2</v>
      </c>
      <c r="S4695">
        <v>-3.1228639999999999</v>
      </c>
      <c r="T4695">
        <v>-0.209954</v>
      </c>
      <c r="U4695">
        <v>-0.1535339</v>
      </c>
      <c r="V4695">
        <v>2.9799240000000001E-2</v>
      </c>
      <c r="W4695">
        <v>0.2280317</v>
      </c>
      <c r="X4695">
        <v>0.9731976</v>
      </c>
      <c r="Y4695">
        <v>-4.7985960000000001E-2</v>
      </c>
      <c r="Z4695">
        <v>-1.542194E-3</v>
      </c>
      <c r="AA4695">
        <v>0.99884680000000003</v>
      </c>
      <c r="AB4695">
        <v>40</v>
      </c>
      <c r="AC4695">
        <v>-16.136599999999898</v>
      </c>
      <c r="AD4695">
        <v>-1.1104398952200001</v>
      </c>
      <c r="AE4695">
        <v>-0.81170000000000098</v>
      </c>
      <c r="AF4695">
        <v>-0.79158792668807998</v>
      </c>
      <c r="AG4695">
        <v>-1.1104398952200001</v>
      </c>
      <c r="AH4695">
        <v>16.061547733015299</v>
      </c>
      <c r="AI4695">
        <v>93.950159507877999</v>
      </c>
      <c r="AJ4695">
        <v>92.821520047842895</v>
      </c>
      <c r="AK4695">
        <v>16.119336332073502</v>
      </c>
      <c r="AL4695">
        <v>76.8187827871823</v>
      </c>
      <c r="AM4695">
        <v>88.246155368833897</v>
      </c>
      <c r="AN4695">
        <v>1.0000000097776101</v>
      </c>
    </row>
    <row r="4696" spans="1:40" x14ac:dyDescent="0.25">
      <c r="A4696" t="str">
        <f>"20190312164122071"</f>
        <v>20190312164122071</v>
      </c>
      <c r="B4696" t="str">
        <f>"1552380082060665"</f>
        <v>1552380082060665</v>
      </c>
      <c r="C4696" t="s">
        <v>40</v>
      </c>
      <c r="D4696">
        <v>5.5060219999999997</v>
      </c>
      <c r="E4696">
        <v>0.47660809999999998</v>
      </c>
      <c r="F4696" t="s">
        <v>41</v>
      </c>
      <c r="G4696">
        <v>-362.00659999999999</v>
      </c>
      <c r="H4696" s="1">
        <v>-3.6620670000000002E-6</v>
      </c>
      <c r="I4696">
        <v>140.5582</v>
      </c>
      <c r="J4696">
        <v>-345.71420000000001</v>
      </c>
      <c r="K4696">
        <v>1.11043799999999</v>
      </c>
      <c r="L4696">
        <v>141.37559999999999</v>
      </c>
      <c r="M4696">
        <v>-0.9998861</v>
      </c>
      <c r="N4696">
        <v>0</v>
      </c>
      <c r="O4696">
        <v>-1.0147139999999999E-3</v>
      </c>
      <c r="P4696">
        <v>-0.97671680000000005</v>
      </c>
      <c r="Q4696">
        <v>0.21288799999999999</v>
      </c>
      <c r="R4696">
        <v>2.6521969999999999E-2</v>
      </c>
      <c r="S4696">
        <v>-3.121918</v>
      </c>
      <c r="T4696">
        <v>-0.20788290000000001</v>
      </c>
      <c r="U4696">
        <v>-0.15309139999999999</v>
      </c>
      <c r="V4696">
        <v>2.7522209999999998E-2</v>
      </c>
      <c r="W4696">
        <v>0.22757669999999999</v>
      </c>
      <c r="X4696">
        <v>0.97337110000000004</v>
      </c>
      <c r="Y4696">
        <v>-4.7861649999999999E-2</v>
      </c>
      <c r="Z4696">
        <v>-1.523335E-3</v>
      </c>
      <c r="AA4696">
        <v>0.99885279999999999</v>
      </c>
      <c r="AB4696">
        <v>39</v>
      </c>
      <c r="AC4696">
        <v>-16.292399999999901</v>
      </c>
      <c r="AD4696">
        <v>-1.1104416620669999</v>
      </c>
      <c r="AE4696">
        <v>-0.81739999999999202</v>
      </c>
      <c r="AF4696">
        <v>-0.79717170926700598</v>
      </c>
      <c r="AG4696">
        <v>-1.1104416620669999</v>
      </c>
      <c r="AH4696">
        <v>16.218071166646801</v>
      </c>
      <c r="AI4696">
        <v>93.912186145212999</v>
      </c>
      <c r="AJ4696">
        <v>92.814011806945899</v>
      </c>
      <c r="AK4696">
        <v>16.2755766652162</v>
      </c>
      <c r="AL4696">
        <v>76.845555689717003</v>
      </c>
      <c r="AM4696">
        <v>88.380384993722302</v>
      </c>
      <c r="AN4696">
        <v>0.999999962370691</v>
      </c>
    </row>
    <row r="4697" spans="1:40" x14ac:dyDescent="0.25">
      <c r="A4697" t="str">
        <f>"20190312164122094"</f>
        <v>20190312164122094</v>
      </c>
      <c r="B4697" t="str">
        <f>"1552380082090921"</f>
        <v>1552380082090921</v>
      </c>
      <c r="C4697" t="s">
        <v>40</v>
      </c>
      <c r="D4697">
        <v>5.3236049999999997</v>
      </c>
      <c r="E4697">
        <v>0.47716940000000002</v>
      </c>
      <c r="F4697" t="s">
        <v>41</v>
      </c>
      <c r="G4697">
        <v>-362.63220000000001</v>
      </c>
      <c r="H4697" s="1">
        <v>-3.386526E-6</v>
      </c>
      <c r="I4697">
        <v>140.53120000000001</v>
      </c>
      <c r="J4697">
        <v>-346.12130000000002</v>
      </c>
      <c r="K4697">
        <v>1.110433</v>
      </c>
      <c r="L4697">
        <v>141.37520000000001</v>
      </c>
      <c r="M4697">
        <v>-0.99988619999999995</v>
      </c>
      <c r="N4697">
        <v>0</v>
      </c>
      <c r="O4697">
        <v>-1.014799E-3</v>
      </c>
      <c r="P4697">
        <v>-0.97690560000000004</v>
      </c>
      <c r="Q4697">
        <v>0.2122357</v>
      </c>
      <c r="R4697">
        <v>2.473697E-2</v>
      </c>
      <c r="S4697">
        <v>-3.1203919999999998</v>
      </c>
      <c r="T4697">
        <v>-0.20481289999999999</v>
      </c>
      <c r="U4697">
        <v>-0.15573119999999999</v>
      </c>
      <c r="V4697">
        <v>2.5737349999999999E-2</v>
      </c>
      <c r="W4697">
        <v>0.22692290000000001</v>
      </c>
      <c r="X4697">
        <v>0.97357260000000001</v>
      </c>
      <c r="Y4697">
        <v>-4.8729450000000001E-2</v>
      </c>
      <c r="Z4697">
        <v>-1.5300139999999999E-3</v>
      </c>
      <c r="AA4697">
        <v>0.9988108</v>
      </c>
      <c r="AB4697">
        <v>39</v>
      </c>
      <c r="AC4697">
        <v>-16.5108999999999</v>
      </c>
      <c r="AD4697">
        <v>-1.1104363865260001</v>
      </c>
      <c r="AE4697">
        <v>-0.84399999999999398</v>
      </c>
      <c r="AF4697">
        <v>-0.82352715154232303</v>
      </c>
      <c r="AG4697">
        <v>-1.1104363865260001</v>
      </c>
      <c r="AH4697">
        <v>16.437591329902698</v>
      </c>
      <c r="AI4697">
        <v>93.859900150547205</v>
      </c>
      <c r="AJ4697">
        <v>92.868133789743894</v>
      </c>
      <c r="AK4697">
        <v>16.4956259252791</v>
      </c>
      <c r="AL4697">
        <v>76.884022732155202</v>
      </c>
      <c r="AM4697">
        <v>88.485682370743504</v>
      </c>
      <c r="AN4697">
        <v>1.0000000106000899</v>
      </c>
    </row>
    <row r="4698" spans="1:40" x14ac:dyDescent="0.25">
      <c r="A4698" t="str">
        <f>"20190312164122117"</f>
        <v>20190312164122117</v>
      </c>
      <c r="B4698" t="str">
        <f>"1552380082110442"</f>
        <v>1552380082110442</v>
      </c>
      <c r="C4698" t="s">
        <v>40</v>
      </c>
      <c r="D4698">
        <v>5.3686470000000002</v>
      </c>
      <c r="E4698">
        <v>0.4775199</v>
      </c>
      <c r="F4698" t="s">
        <v>41</v>
      </c>
      <c r="G4698">
        <v>-363.96339999999998</v>
      </c>
      <c r="H4698" s="1">
        <v>-2.803341E-6</v>
      </c>
      <c r="I4698">
        <v>140.48580000000001</v>
      </c>
      <c r="J4698">
        <v>-346.51819999999998</v>
      </c>
      <c r="K4698">
        <v>1.1104320000000001</v>
      </c>
      <c r="L4698">
        <v>141.37479999999999</v>
      </c>
      <c r="M4698">
        <v>-0.99988630000000001</v>
      </c>
      <c r="N4698">
        <v>0</v>
      </c>
      <c r="O4698">
        <v>-1.014886E-3</v>
      </c>
      <c r="P4698">
        <v>-0.97709760000000001</v>
      </c>
      <c r="Q4698">
        <v>0.2115775</v>
      </c>
      <c r="R4698">
        <v>2.271051E-2</v>
      </c>
      <c r="S4698">
        <v>-3.1169739999999999</v>
      </c>
      <c r="T4698">
        <v>-0.19399079999999999</v>
      </c>
      <c r="U4698">
        <v>-0.155365</v>
      </c>
      <c r="V4698">
        <v>2.371123E-2</v>
      </c>
      <c r="W4698">
        <v>0.2262634</v>
      </c>
      <c r="X4698">
        <v>0.97377749999999996</v>
      </c>
      <c r="Y4698">
        <v>-4.8677249999999998E-2</v>
      </c>
      <c r="Z4698">
        <v>-1.4492909999999999E-3</v>
      </c>
      <c r="AA4698">
        <v>0.99881350000000002</v>
      </c>
      <c r="AB4698">
        <v>39</v>
      </c>
      <c r="AC4698">
        <v>-17.4452</v>
      </c>
      <c r="AD4698">
        <v>-1.1104348033410001</v>
      </c>
      <c r="AE4698">
        <v>-0.88899999999998103</v>
      </c>
      <c r="AF4698">
        <v>-0.86778577272659496</v>
      </c>
      <c r="AG4698">
        <v>-1.1104348033410001</v>
      </c>
      <c r="AH4698">
        <v>17.375874365069802</v>
      </c>
      <c r="AI4698">
        <v>93.652072371042806</v>
      </c>
      <c r="AJ4698">
        <v>92.859089872159103</v>
      </c>
      <c r="AK4698">
        <v>17.432932270576501</v>
      </c>
      <c r="AL4698">
        <v>76.922818040486405</v>
      </c>
      <c r="AM4698">
        <v>88.605138235763206</v>
      </c>
      <c r="AN4698">
        <v>0.999999984056961</v>
      </c>
    </row>
    <row r="4699" spans="1:40" x14ac:dyDescent="0.25">
      <c r="A4699" t="str">
        <f>"20190312164122138"</f>
        <v>20190312164122138</v>
      </c>
      <c r="B4699" t="str">
        <f>"1552380082130938"</f>
        <v>1552380082130938</v>
      </c>
      <c r="C4699" t="s">
        <v>40</v>
      </c>
      <c r="D4699">
        <v>5.2879069999999997</v>
      </c>
      <c r="E4699">
        <v>0.47778359999999898</v>
      </c>
      <c r="F4699" t="s">
        <v>41</v>
      </c>
      <c r="G4699">
        <v>-364.70280000000002</v>
      </c>
      <c r="H4699" s="1">
        <v>-2.4761470000000001E-6</v>
      </c>
      <c r="I4699">
        <v>140.44810000000001</v>
      </c>
      <c r="J4699">
        <v>-346.90089999999998</v>
      </c>
      <c r="K4699">
        <v>1.1104210000000001</v>
      </c>
      <c r="L4699">
        <v>141.37440000000001</v>
      </c>
      <c r="M4699">
        <v>-0.99988630000000001</v>
      </c>
      <c r="N4699">
        <v>0</v>
      </c>
      <c r="O4699">
        <v>-1.0147349999999999E-3</v>
      </c>
      <c r="P4699">
        <v>-0.97735110000000003</v>
      </c>
      <c r="Q4699">
        <v>0.2106179</v>
      </c>
      <c r="R4699">
        <v>2.0624119999999999E-2</v>
      </c>
      <c r="S4699">
        <v>-3.1152340000000001</v>
      </c>
      <c r="T4699">
        <v>-0.19023100000000001</v>
      </c>
      <c r="U4699">
        <v>-0.15873719999999999</v>
      </c>
      <c r="V4699">
        <v>2.162478E-2</v>
      </c>
      <c r="W4699">
        <v>0.22530410000000001</v>
      </c>
      <c r="X4699">
        <v>0.97404849999999998</v>
      </c>
      <c r="Y4699">
        <v>-4.9784950000000001E-2</v>
      </c>
      <c r="Z4699">
        <v>-1.455783E-3</v>
      </c>
      <c r="AA4699">
        <v>0.99875890000000001</v>
      </c>
      <c r="AB4699">
        <v>39</v>
      </c>
      <c r="AC4699">
        <v>-17.8019</v>
      </c>
      <c r="AD4699">
        <v>-1.110423476147</v>
      </c>
      <c r="AE4699">
        <v>-0.92629999999999701</v>
      </c>
      <c r="AF4699">
        <v>-0.90472263166017597</v>
      </c>
      <c r="AG4699">
        <v>-1.110423476147</v>
      </c>
      <c r="AH4699">
        <v>17.7340167933015</v>
      </c>
      <c r="AI4699">
        <v>93.578282119738006</v>
      </c>
      <c r="AJ4699">
        <v>92.920482597039495</v>
      </c>
      <c r="AK4699">
        <v>17.791765369454399</v>
      </c>
      <c r="AL4699">
        <v>76.979239349134005</v>
      </c>
      <c r="AM4699">
        <v>88.728189483651306</v>
      </c>
      <c r="AN4699">
        <v>1.0000000244695499</v>
      </c>
    </row>
    <row r="4700" spans="1:40" x14ac:dyDescent="0.25">
      <c r="A4700" t="str">
        <f>"20190312164122160"</f>
        <v>20190312164122160</v>
      </c>
      <c r="B4700" t="str">
        <f>"1552380082150964"</f>
        <v>1552380082150964</v>
      </c>
      <c r="C4700" t="s">
        <v>40</v>
      </c>
      <c r="D4700">
        <v>5.364179</v>
      </c>
      <c r="E4700">
        <v>0.47798259999999998</v>
      </c>
      <c r="F4700" t="s">
        <v>41</v>
      </c>
      <c r="G4700">
        <v>-365.3082</v>
      </c>
      <c r="H4700" s="1">
        <v>-2.2066019999999998E-6</v>
      </c>
      <c r="I4700">
        <v>140.41120000000001</v>
      </c>
      <c r="J4700">
        <v>-347.28449999999998</v>
      </c>
      <c r="K4700">
        <v>1.1104270000000001</v>
      </c>
      <c r="L4700">
        <v>141.374</v>
      </c>
      <c r="M4700">
        <v>-0.99988630000000001</v>
      </c>
      <c r="N4700">
        <v>0</v>
      </c>
      <c r="O4700">
        <v>-1.014823E-3</v>
      </c>
      <c r="P4700">
        <v>-0.9775296</v>
      </c>
      <c r="Q4700">
        <v>0.21000089999999999</v>
      </c>
      <c r="R4700">
        <v>1.8317409999999999E-2</v>
      </c>
      <c r="S4700">
        <v>-3.1134339999999998</v>
      </c>
      <c r="T4700">
        <v>-0.18781919999999999</v>
      </c>
      <c r="U4700">
        <v>-0.16290279999999999</v>
      </c>
      <c r="V4700">
        <v>1.9318200000000001E-2</v>
      </c>
      <c r="W4700">
        <v>0.2246853</v>
      </c>
      <c r="X4700">
        <v>0.97423990000000005</v>
      </c>
      <c r="Y4700">
        <v>-5.1146629999999998E-2</v>
      </c>
      <c r="Z4700">
        <v>-1.479141E-3</v>
      </c>
      <c r="AA4700">
        <v>0.99869010000000003</v>
      </c>
      <c r="AB4700">
        <v>39</v>
      </c>
      <c r="AC4700">
        <v>-18.023700000000002</v>
      </c>
      <c r="AD4700">
        <v>-1.1104292066020001</v>
      </c>
      <c r="AE4700">
        <v>-0.962799999999987</v>
      </c>
      <c r="AF4700">
        <v>-0.94094516912322801</v>
      </c>
      <c r="AG4700">
        <v>-1.1104292066020001</v>
      </c>
      <c r="AH4700">
        <v>17.9567032708743</v>
      </c>
      <c r="AI4700">
        <v>93.533786436766505</v>
      </c>
      <c r="AJ4700">
        <v>92.999599787308696</v>
      </c>
      <c r="AK4700">
        <v>18.015593889527999</v>
      </c>
      <c r="AL4700">
        <v>77.015627026655295</v>
      </c>
      <c r="AM4700">
        <v>88.864031031059596</v>
      </c>
      <c r="AN4700">
        <v>1.0000000298196601</v>
      </c>
    </row>
    <row r="4701" spans="1:40" x14ac:dyDescent="0.25">
      <c r="A4701" t="str">
        <f>"20190312164122184"</f>
        <v>20190312164122184</v>
      </c>
      <c r="B4701" t="str">
        <f>"1552380082181221"</f>
        <v>1552380082181221</v>
      </c>
      <c r="C4701" t="s">
        <v>40</v>
      </c>
      <c r="D4701">
        <v>5.2648999999999999</v>
      </c>
      <c r="E4701">
        <v>0.4782498</v>
      </c>
      <c r="F4701" t="s">
        <v>41</v>
      </c>
      <c r="G4701">
        <v>-365.8623</v>
      </c>
      <c r="H4701" s="1">
        <v>-1.958893E-6</v>
      </c>
      <c r="I4701">
        <v>140.37370000000001</v>
      </c>
      <c r="J4701">
        <v>-347.69229999999999</v>
      </c>
      <c r="K4701">
        <v>1.110425</v>
      </c>
      <c r="L4701">
        <v>141.37360000000001</v>
      </c>
      <c r="M4701">
        <v>-0.99988639999999995</v>
      </c>
      <c r="N4701">
        <v>0</v>
      </c>
      <c r="O4701">
        <v>-1.0147890000000001E-3</v>
      </c>
      <c r="P4701">
        <v>-0.97770429999999997</v>
      </c>
      <c r="Q4701">
        <v>0.2093605</v>
      </c>
      <c r="R4701">
        <v>1.6204969999999999E-2</v>
      </c>
      <c r="S4701">
        <v>-3.1120610000000002</v>
      </c>
      <c r="T4701">
        <v>-0.18601419999999999</v>
      </c>
      <c r="U4701">
        <v>-0.16755680000000001</v>
      </c>
      <c r="V4701">
        <v>1.7205999999999999E-2</v>
      </c>
      <c r="W4701">
        <v>0.22404350000000001</v>
      </c>
      <c r="X4701">
        <v>0.97442720000000005</v>
      </c>
      <c r="Y4701">
        <v>-5.2657870000000002E-2</v>
      </c>
      <c r="Z4701">
        <v>-1.5106309999999999E-3</v>
      </c>
      <c r="AA4701">
        <v>0.99861149999999999</v>
      </c>
      <c r="AB4701">
        <v>39</v>
      </c>
      <c r="AC4701">
        <v>-18.170000000000002</v>
      </c>
      <c r="AD4701">
        <v>-1.110426958893</v>
      </c>
      <c r="AE4701">
        <v>-0.99989999999999601</v>
      </c>
      <c r="AF4701">
        <v>-0.97781773240929204</v>
      </c>
      <c r="AG4701">
        <v>-1.110426958893</v>
      </c>
      <c r="AH4701">
        <v>18.103595839035201</v>
      </c>
      <c r="AI4701">
        <v>93.504879049997797</v>
      </c>
      <c r="AJ4701">
        <v>93.091675478183205</v>
      </c>
      <c r="AK4701">
        <v>18.163957659386401</v>
      </c>
      <c r="AL4701">
        <v>77.053360463380798</v>
      </c>
      <c r="AM4701">
        <v>88.988401858754202</v>
      </c>
      <c r="AN4701">
        <v>0.99999995221404303</v>
      </c>
    </row>
    <row r="4702" spans="1:40" x14ac:dyDescent="0.25">
      <c r="A4702" t="str">
        <f>"20190312164122206"</f>
        <v>20190312164122206</v>
      </c>
      <c r="B4702" t="str">
        <f>"1552380082200740"</f>
        <v>1552380082200740</v>
      </c>
      <c r="C4702" t="s">
        <v>40</v>
      </c>
      <c r="D4702">
        <v>5.4389320000000003</v>
      </c>
      <c r="E4702">
        <v>0.47869590000000001</v>
      </c>
      <c r="F4702" t="s">
        <v>41</v>
      </c>
      <c r="G4702">
        <v>-365.8954</v>
      </c>
      <c r="H4702" s="1">
        <v>-1.942753E-6</v>
      </c>
      <c r="I4702">
        <v>140.3663</v>
      </c>
      <c r="J4702">
        <v>-348.07850000000002</v>
      </c>
      <c r="K4702">
        <v>1.1104179999999999</v>
      </c>
      <c r="L4702">
        <v>141.3732</v>
      </c>
      <c r="M4702">
        <v>-0.99988650000000001</v>
      </c>
      <c r="N4702">
        <v>0</v>
      </c>
      <c r="O4702">
        <v>-1.0147559999999999E-3</v>
      </c>
      <c r="P4702">
        <v>-0.97793600000000003</v>
      </c>
      <c r="Q4702">
        <v>0.20836089999999999</v>
      </c>
      <c r="R4702">
        <v>1.5081300000000001E-2</v>
      </c>
      <c r="S4702">
        <v>-3.1119379999999999</v>
      </c>
      <c r="T4702">
        <v>-0.18983549999999999</v>
      </c>
      <c r="U4702">
        <v>-0.17218020000000001</v>
      </c>
      <c r="V4702">
        <v>1.6082559999999999E-2</v>
      </c>
      <c r="W4702">
        <v>0.2230434</v>
      </c>
      <c r="X4702">
        <v>0.97467579999999998</v>
      </c>
      <c r="Y4702">
        <v>-5.4132630000000001E-2</v>
      </c>
      <c r="Z4702">
        <v>-1.586514E-3</v>
      </c>
      <c r="AA4702">
        <v>0.99853250000000005</v>
      </c>
      <c r="AB4702">
        <v>39</v>
      </c>
      <c r="AC4702">
        <v>-17.816899999999901</v>
      </c>
      <c r="AD4702">
        <v>-1.1104199427529999</v>
      </c>
      <c r="AE4702">
        <v>-1.0068999999999999</v>
      </c>
      <c r="AF4702">
        <v>-0.98500378520149701</v>
      </c>
      <c r="AG4702">
        <v>-1.1104199427529999</v>
      </c>
      <c r="AH4702">
        <v>17.749189414054399</v>
      </c>
      <c r="AI4702">
        <v>93.574371692675797</v>
      </c>
      <c r="AJ4702">
        <v>93.176411493305096</v>
      </c>
      <c r="AK4702">
        <v>17.811147906917899</v>
      </c>
      <c r="AL4702">
        <v>77.112149816748996</v>
      </c>
      <c r="AM4702">
        <v>89.054681363364395</v>
      </c>
      <c r="AN4702">
        <v>0.99999996106267597</v>
      </c>
    </row>
    <row r="4703" spans="1:40" x14ac:dyDescent="0.25">
      <c r="A4703" t="str">
        <f>"20190312164122229"</f>
        <v>20190312164122229</v>
      </c>
      <c r="B4703" t="str">
        <f>"1552380082221236"</f>
        <v>1552380082221236</v>
      </c>
      <c r="C4703" t="s">
        <v>40</v>
      </c>
      <c r="D4703">
        <v>5.2145089999999996</v>
      </c>
      <c r="E4703">
        <v>0.4791126</v>
      </c>
      <c r="F4703" t="s">
        <v>41</v>
      </c>
      <c r="G4703">
        <v>-365.89210000000003</v>
      </c>
      <c r="H4703" s="1">
        <v>-1.9495889999999998E-6</v>
      </c>
      <c r="I4703">
        <v>140.38669999999999</v>
      </c>
      <c r="J4703">
        <v>-348.4796</v>
      </c>
      <c r="K4703">
        <v>1.1104179999999999</v>
      </c>
      <c r="L4703">
        <v>141.37280000000001</v>
      </c>
      <c r="M4703">
        <v>-0.99988659999999996</v>
      </c>
      <c r="N4703">
        <v>0</v>
      </c>
      <c r="O4703">
        <v>-1.01472E-3</v>
      </c>
      <c r="P4703">
        <v>-0.97822220000000004</v>
      </c>
      <c r="Q4703">
        <v>0.20718049999999999</v>
      </c>
      <c r="R4703">
        <v>1.25661E-2</v>
      </c>
      <c r="S4703">
        <v>-3.1116640000000002</v>
      </c>
      <c r="T4703">
        <v>-0.19396759999999999</v>
      </c>
      <c r="U4703">
        <v>-0.17230219999999999</v>
      </c>
      <c r="V4703">
        <v>1.356766E-2</v>
      </c>
      <c r="W4703">
        <v>0.221863</v>
      </c>
      <c r="X4703">
        <v>0.9749835</v>
      </c>
      <c r="Y4703">
        <v>-5.4172159999999997E-2</v>
      </c>
      <c r="Z4703">
        <v>-1.6223539999999999E-3</v>
      </c>
      <c r="AA4703">
        <v>0.99853029999999998</v>
      </c>
      <c r="AB4703">
        <v>39</v>
      </c>
      <c r="AC4703">
        <v>-17.412500000000001</v>
      </c>
      <c r="AD4703">
        <v>-1.1104199495889999</v>
      </c>
      <c r="AE4703">
        <v>-0.98610000000002096</v>
      </c>
      <c r="AF4703">
        <v>-0.96451872560785401</v>
      </c>
      <c r="AG4703">
        <v>-1.1104199495889999</v>
      </c>
      <c r="AH4703">
        <v>17.343186065259701</v>
      </c>
      <c r="AI4703">
        <v>93.657799201507203</v>
      </c>
      <c r="AJ4703">
        <v>93.183151219825405</v>
      </c>
      <c r="AK4703">
        <v>17.405442589337198</v>
      </c>
      <c r="AL4703">
        <v>77.181521086836199</v>
      </c>
      <c r="AM4703">
        <v>89.202735756315107</v>
      </c>
      <c r="AN4703">
        <v>1.0000000487195599</v>
      </c>
    </row>
    <row r="4704" spans="1:40" x14ac:dyDescent="0.25">
      <c r="A4704" t="str">
        <f>"20190312164122250"</f>
        <v>20190312164122250</v>
      </c>
      <c r="B4704" t="str">
        <f>"1552380082240757"</f>
        <v>1552380082240757</v>
      </c>
      <c r="C4704" t="s">
        <v>40</v>
      </c>
      <c r="D4704">
        <v>5.3025539999999998</v>
      </c>
      <c r="E4704">
        <v>0.47933140000000002</v>
      </c>
      <c r="F4704" t="s">
        <v>41</v>
      </c>
      <c r="G4704">
        <v>-366.11</v>
      </c>
      <c r="H4704" s="1">
        <v>-1.8520969999999999E-6</v>
      </c>
      <c r="I4704">
        <v>140.3716</v>
      </c>
      <c r="J4704">
        <v>-348.84960000000001</v>
      </c>
      <c r="K4704">
        <v>1.1104160000000001</v>
      </c>
      <c r="L4704">
        <v>141.3724</v>
      </c>
      <c r="M4704">
        <v>-0.99988670000000002</v>
      </c>
      <c r="N4704">
        <v>0</v>
      </c>
      <c r="O4704">
        <v>-1.0118029999999999E-3</v>
      </c>
      <c r="P4704">
        <v>-0.97832629999999998</v>
      </c>
      <c r="Q4704">
        <v>0.2068256</v>
      </c>
      <c r="R4704">
        <v>1.005211E-2</v>
      </c>
      <c r="S4704">
        <v>-3.1105960000000001</v>
      </c>
      <c r="T4704">
        <v>-0.19591620000000001</v>
      </c>
      <c r="U4704">
        <v>-0.17663570000000001</v>
      </c>
      <c r="V4704">
        <v>1.1051460000000001E-2</v>
      </c>
      <c r="W4704">
        <v>0.22150590000000001</v>
      </c>
      <c r="X4704">
        <v>0.97509639999999997</v>
      </c>
      <c r="Y4704">
        <v>-5.5575760000000002E-2</v>
      </c>
      <c r="Z4704">
        <v>-1.6834230000000001E-3</v>
      </c>
      <c r="AA4704">
        <v>0.99845309999999998</v>
      </c>
      <c r="AB4704">
        <v>39</v>
      </c>
      <c r="AC4704">
        <v>-17.260400000000001</v>
      </c>
      <c r="AD4704">
        <v>-1.1104178520970001</v>
      </c>
      <c r="AE4704">
        <v>-1.0007999999999899</v>
      </c>
      <c r="AF4704">
        <v>-0.97929390277323503</v>
      </c>
      <c r="AG4704">
        <v>-1.1104178520970001</v>
      </c>
      <c r="AH4704">
        <v>17.190494801019199</v>
      </c>
      <c r="AI4704">
        <v>93.689913093976998</v>
      </c>
      <c r="AJ4704">
        <v>93.260454662605397</v>
      </c>
      <c r="AK4704">
        <v>17.254134456939099</v>
      </c>
      <c r="AL4704">
        <v>77.202502769703003</v>
      </c>
      <c r="AM4704">
        <v>89.350654042700697</v>
      </c>
      <c r="AN4704">
        <v>0.99999999389795002</v>
      </c>
    </row>
    <row r="4705" spans="1:40" x14ac:dyDescent="0.25">
      <c r="A4705" t="str">
        <f>"20190312164122272"</f>
        <v>20190312164122272</v>
      </c>
      <c r="B4705" t="str">
        <f>"1552380082260659"</f>
        <v>1552380082260659</v>
      </c>
      <c r="C4705" t="s">
        <v>40</v>
      </c>
      <c r="D4705">
        <v>5.3594049999999998</v>
      </c>
      <c r="E4705">
        <v>0.4795951</v>
      </c>
      <c r="F4705" t="s">
        <v>41</v>
      </c>
      <c r="G4705">
        <v>-366.69279999999998</v>
      </c>
      <c r="H4705" s="1">
        <v>-1.590107E-6</v>
      </c>
      <c r="I4705">
        <v>140.32660000000001</v>
      </c>
      <c r="J4705">
        <v>-349.23669999999998</v>
      </c>
      <c r="K4705">
        <v>1.1104099999999999</v>
      </c>
      <c r="L4705">
        <v>141.37200000000001</v>
      </c>
      <c r="M4705">
        <v>-0.99988659999999996</v>
      </c>
      <c r="N4705">
        <v>0</v>
      </c>
      <c r="O4705">
        <v>-9.9987660000000001E-4</v>
      </c>
      <c r="P4705">
        <v>-0.97825240000000002</v>
      </c>
      <c r="Q4705">
        <v>0.20728079999999999</v>
      </c>
      <c r="R4705">
        <v>7.5304359999999997E-3</v>
      </c>
      <c r="S4705">
        <v>-3.1092529999999998</v>
      </c>
      <c r="T4705">
        <v>-0.1934959</v>
      </c>
      <c r="U4705">
        <v>-0.18222050000000001</v>
      </c>
      <c r="V4705">
        <v>8.5206480000000005E-3</v>
      </c>
      <c r="W4705">
        <v>0.22195500000000001</v>
      </c>
      <c r="X4705">
        <v>0.97501970000000004</v>
      </c>
      <c r="Y4705">
        <v>-5.7398449999999997E-2</v>
      </c>
      <c r="Z4705">
        <v>-1.7206490000000001E-3</v>
      </c>
      <c r="AA4705">
        <v>0.99834979999999995</v>
      </c>
      <c r="AB4705">
        <v>39</v>
      </c>
      <c r="AC4705">
        <v>-17.4560999999999</v>
      </c>
      <c r="AD4705">
        <v>-1.110411590107</v>
      </c>
      <c r="AE4705">
        <v>-1.0454000000000001</v>
      </c>
      <c r="AF4705">
        <v>-1.0238155534467099</v>
      </c>
      <c r="AG4705">
        <v>-1.110411590107</v>
      </c>
      <c r="AH4705">
        <v>17.387032437426299</v>
      </c>
      <c r="AI4705">
        <v>93.647893646320696</v>
      </c>
      <c r="AJ4705">
        <v>93.369905319832199</v>
      </c>
      <c r="AK4705">
        <v>17.452510110784601</v>
      </c>
      <c r="AL4705">
        <v>77.176114707681407</v>
      </c>
      <c r="AM4705">
        <v>89.499307817127004</v>
      </c>
      <c r="AN4705">
        <v>1.0000000194277101</v>
      </c>
    </row>
    <row r="4706" spans="1:40" x14ac:dyDescent="0.25">
      <c r="A4706" t="str">
        <f>"20190312164122295"</f>
        <v>20190312164122295</v>
      </c>
      <c r="B4706" t="str">
        <f>"1552380082290916"</f>
        <v>1552380082290916</v>
      </c>
      <c r="C4706" t="s">
        <v>40</v>
      </c>
      <c r="D4706">
        <v>5.6029770000000001</v>
      </c>
      <c r="E4706">
        <v>0.47995409999999999</v>
      </c>
      <c r="F4706" t="s">
        <v>41</v>
      </c>
      <c r="G4706">
        <v>-367.54199999999997</v>
      </c>
      <c r="H4706" s="1">
        <v>-1.210511E-6</v>
      </c>
      <c r="I4706">
        <v>140.26910000000001</v>
      </c>
      <c r="J4706">
        <v>-349.63799999999998</v>
      </c>
      <c r="K4706">
        <v>1.1104099999999999</v>
      </c>
      <c r="L4706">
        <v>141.3716</v>
      </c>
      <c r="M4706">
        <v>-0.99988690000000002</v>
      </c>
      <c r="N4706">
        <v>0</v>
      </c>
      <c r="O4706">
        <v>-9.723523E-4</v>
      </c>
      <c r="P4706">
        <v>-0.97822790000000004</v>
      </c>
      <c r="Q4706">
        <v>0.20746390000000001</v>
      </c>
      <c r="R4706">
        <v>5.4144780000000003E-3</v>
      </c>
      <c r="S4706">
        <v>-3.1080930000000002</v>
      </c>
      <c r="T4706">
        <v>-0.1885397</v>
      </c>
      <c r="U4706">
        <v>-0.1872559</v>
      </c>
      <c r="V4706">
        <v>6.3836730000000003E-3</v>
      </c>
      <c r="W4706">
        <v>0.22213359999999999</v>
      </c>
      <c r="X4706">
        <v>0.97499530000000001</v>
      </c>
      <c r="Y4706">
        <v>-5.9061669999999997E-2</v>
      </c>
      <c r="Z4706">
        <v>-1.72922299999999E-3</v>
      </c>
      <c r="AA4706">
        <v>0.99825280000000005</v>
      </c>
      <c r="AB4706">
        <v>39</v>
      </c>
      <c r="AC4706">
        <v>-17.9039999999999</v>
      </c>
      <c r="AD4706">
        <v>-1.110411210511</v>
      </c>
      <c r="AE4706">
        <v>-1.10249999999999</v>
      </c>
      <c r="AF4706">
        <v>-1.08094635149328</v>
      </c>
      <c r="AG4706">
        <v>-1.110411210511</v>
      </c>
      <c r="AH4706">
        <v>17.836713646550798</v>
      </c>
      <c r="AI4706">
        <v>93.555801620998494</v>
      </c>
      <c r="AJ4706">
        <v>93.468016117005902</v>
      </c>
      <c r="AK4706">
        <v>17.903904931055902</v>
      </c>
      <c r="AL4706">
        <v>77.165618931022493</v>
      </c>
      <c r="AM4706">
        <v>89.624867633352807</v>
      </c>
      <c r="AN4706">
        <v>0.99999996127600899</v>
      </c>
    </row>
    <row r="4707" spans="1:40" x14ac:dyDescent="0.25">
      <c r="A4707" t="str">
        <f>"20190312164122319"</f>
        <v>20190312164122319</v>
      </c>
      <c r="B4707" t="str">
        <f>"1552380082310437"</f>
        <v>1552380082310437</v>
      </c>
      <c r="C4707" t="s">
        <v>40</v>
      </c>
      <c r="D4707">
        <v>5.454745</v>
      </c>
      <c r="E4707">
        <v>0.48029139999999998</v>
      </c>
      <c r="F4707" t="s">
        <v>41</v>
      </c>
      <c r="G4707">
        <v>-368.3877</v>
      </c>
      <c r="H4707" s="1">
        <v>-8.3510409999999905E-7</v>
      </c>
      <c r="I4707">
        <v>140.2217</v>
      </c>
      <c r="J4707">
        <v>-350.03140000000002</v>
      </c>
      <c r="K4707">
        <v>1.1103970000000001</v>
      </c>
      <c r="L4707">
        <v>141.37119999999999</v>
      </c>
      <c r="M4707">
        <v>-0.99988679999999996</v>
      </c>
      <c r="N4707">
        <v>0</v>
      </c>
      <c r="O4707">
        <v>-9.2087729999999995E-4</v>
      </c>
      <c r="P4707">
        <v>-0.97824009999999995</v>
      </c>
      <c r="Q4707">
        <v>0.2074568</v>
      </c>
      <c r="R4707">
        <v>2.8590270000000001E-3</v>
      </c>
      <c r="S4707">
        <v>-3.1068419999999999</v>
      </c>
      <c r="T4707">
        <v>-0.1839973</v>
      </c>
      <c r="U4707">
        <v>-0.1905212</v>
      </c>
      <c r="V4707">
        <v>3.787056E-3</v>
      </c>
      <c r="W4707">
        <v>0.22212290000000001</v>
      </c>
      <c r="X4707">
        <v>0.97501130000000003</v>
      </c>
      <c r="Y4707">
        <v>-6.0185420000000003E-2</v>
      </c>
      <c r="Z4707">
        <v>-1.7245170000000001E-3</v>
      </c>
      <c r="AA4707">
        <v>0.99818580000000001</v>
      </c>
      <c r="AB4707">
        <v>39</v>
      </c>
      <c r="AC4707">
        <v>-18.356299999999901</v>
      </c>
      <c r="AD4707">
        <v>-1.1103978351041</v>
      </c>
      <c r="AE4707">
        <v>-1.14949999999998</v>
      </c>
      <c r="AF4707">
        <v>-1.1284804925823899</v>
      </c>
      <c r="AG4707">
        <v>-1.1103978351041</v>
      </c>
      <c r="AH4707">
        <v>18.290682932565201</v>
      </c>
      <c r="AI4707">
        <v>93.467493423311595</v>
      </c>
      <c r="AJ4707">
        <v>93.530503314577601</v>
      </c>
      <c r="AK4707">
        <v>18.359072245458702</v>
      </c>
      <c r="AL4707">
        <v>77.166247946196904</v>
      </c>
      <c r="AM4707">
        <v>89.777457723379598</v>
      </c>
      <c r="AN4707">
        <v>0.99999997981262301</v>
      </c>
    </row>
    <row r="4708" spans="1:40" x14ac:dyDescent="0.25">
      <c r="A4708" t="str">
        <f>"20190312164122340"</f>
        <v>20190312164122340</v>
      </c>
      <c r="B4708" t="str">
        <f>"1552380082330932"</f>
        <v>1552380082330932</v>
      </c>
      <c r="C4708" t="s">
        <v>40</v>
      </c>
      <c r="D4708">
        <v>5.3037369999999999</v>
      </c>
      <c r="E4708">
        <v>0.48049380000000003</v>
      </c>
      <c r="F4708" t="s">
        <v>41</v>
      </c>
      <c r="G4708">
        <v>-368.60910000000001</v>
      </c>
      <c r="H4708" s="1">
        <v>-7.3631969999999898E-7</v>
      </c>
      <c r="I4708">
        <v>140.20750000000001</v>
      </c>
      <c r="J4708">
        <v>-350.4205</v>
      </c>
      <c r="K4708">
        <v>1.110371</v>
      </c>
      <c r="L4708">
        <v>141.37090000000001</v>
      </c>
      <c r="M4708">
        <v>-0.99988719999999998</v>
      </c>
      <c r="N4708">
        <v>0</v>
      </c>
      <c r="O4708">
        <v>-8.3949779999999998E-4</v>
      </c>
      <c r="P4708">
        <v>-0.97817739999999997</v>
      </c>
      <c r="Q4708">
        <v>0.20777139999999999</v>
      </c>
      <c r="R4708">
        <v>5.5631530000000004E-4</v>
      </c>
      <c r="S4708">
        <v>-3.1067200000000001</v>
      </c>
      <c r="T4708">
        <v>-0.18569099999999999</v>
      </c>
      <c r="U4708">
        <v>-0.1945953</v>
      </c>
      <c r="V4708">
        <v>1.416769E-3</v>
      </c>
      <c r="W4708">
        <v>0.22243209999999999</v>
      </c>
      <c r="X4708">
        <v>0.97494720000000001</v>
      </c>
      <c r="Y4708">
        <v>-6.156847E-2</v>
      </c>
      <c r="Z4708">
        <v>-1.78647299999999E-3</v>
      </c>
      <c r="AA4708">
        <v>0.99810120000000002</v>
      </c>
      <c r="AB4708">
        <v>39</v>
      </c>
      <c r="AC4708">
        <v>-18.188600000000001</v>
      </c>
      <c r="AD4708">
        <v>-1.1103717363196901</v>
      </c>
      <c r="AE4708">
        <v>-1.16339999999999</v>
      </c>
      <c r="AF4708">
        <v>-1.14388290924447</v>
      </c>
      <c r="AG4708">
        <v>-1.1103717363196901</v>
      </c>
      <c r="AH4708">
        <v>18.122307013692499</v>
      </c>
      <c r="AI4708">
        <v>93.499239622048606</v>
      </c>
      <c r="AJ4708">
        <v>93.611727267241903</v>
      </c>
      <c r="AK4708">
        <v>18.1922897129913</v>
      </c>
      <c r="AL4708">
        <v>77.148078375885703</v>
      </c>
      <c r="AM4708">
        <v>89.916739258181806</v>
      </c>
      <c r="AN4708">
        <v>1.00000004456632</v>
      </c>
    </row>
    <row r="4709" spans="1:40" x14ac:dyDescent="0.25">
      <c r="A4709" t="str">
        <f>"20190312164122361"</f>
        <v>20190312164122361</v>
      </c>
      <c r="B4709" t="str">
        <f>"1552380082350958"</f>
        <v>1552380082350958</v>
      </c>
      <c r="C4709" t="s">
        <v>40</v>
      </c>
      <c r="D4709">
        <v>5.4581970000000002</v>
      </c>
      <c r="E4709">
        <v>0.48071829999999999</v>
      </c>
      <c r="F4709" t="s">
        <v>41</v>
      </c>
      <c r="G4709">
        <v>-369.2097</v>
      </c>
      <c r="H4709" s="1">
        <v>-4.6803900000000003E-7</v>
      </c>
      <c r="I4709">
        <v>140.16749999999999</v>
      </c>
      <c r="J4709">
        <v>-350.7876</v>
      </c>
      <c r="K4709">
        <v>1.1103499999999999</v>
      </c>
      <c r="L4709">
        <v>141.3707</v>
      </c>
      <c r="M4709">
        <v>-0.99988719999999998</v>
      </c>
      <c r="N4709">
        <v>0</v>
      </c>
      <c r="O4709">
        <v>-7.3989039999999904E-4</v>
      </c>
      <c r="P4709">
        <v>-0.97815529999999995</v>
      </c>
      <c r="Q4709">
        <v>0.20786669999999999</v>
      </c>
      <c r="R4709">
        <v>-1.929165E-3</v>
      </c>
      <c r="S4709">
        <v>-3.1060490000000001</v>
      </c>
      <c r="T4709">
        <v>-0.18355679999999999</v>
      </c>
      <c r="U4709">
        <v>-0.19892879999999999</v>
      </c>
      <c r="V4709">
        <v>-1.153666E-3</v>
      </c>
      <c r="W4709">
        <v>0.2225241</v>
      </c>
      <c r="X4709">
        <v>0.97492650000000003</v>
      </c>
      <c r="Y4709">
        <v>-6.3067899999999996E-2</v>
      </c>
      <c r="Z4709">
        <v>-1.8163770000000001E-3</v>
      </c>
      <c r="AA4709">
        <v>0.99800759999999999</v>
      </c>
      <c r="AB4709">
        <v>39</v>
      </c>
      <c r="AC4709">
        <v>-18.4221</v>
      </c>
      <c r="AD4709">
        <v>-1.1103504680389999</v>
      </c>
      <c r="AE4709">
        <v>-1.2032</v>
      </c>
      <c r="AF4709">
        <v>-1.1852802017347399</v>
      </c>
      <c r="AG4709">
        <v>-1.1103504680389999</v>
      </c>
      <c r="AH4709">
        <v>18.356582695806601</v>
      </c>
      <c r="AI4709">
        <v>93.454305820996098</v>
      </c>
      <c r="AJ4709">
        <v>93.694446261619802</v>
      </c>
      <c r="AK4709">
        <v>18.428290631159602</v>
      </c>
      <c r="AL4709">
        <v>77.142670988041502</v>
      </c>
      <c r="AM4709">
        <v>90.067800148949402</v>
      </c>
      <c r="AN4709">
        <v>0.99999999321414901</v>
      </c>
    </row>
    <row r="4710" spans="1:40" x14ac:dyDescent="0.25">
      <c r="A4710" t="str">
        <f>"20190312164122384"</f>
        <v>20190312164122384</v>
      </c>
      <c r="B4710" t="str">
        <f>"1552380082381214"</f>
        <v>1552380082381214</v>
      </c>
      <c r="C4710" t="s">
        <v>40</v>
      </c>
      <c r="D4710">
        <v>5.8150269999999997</v>
      </c>
      <c r="E4710">
        <v>0.48100890000000002</v>
      </c>
      <c r="F4710" t="s">
        <v>41</v>
      </c>
      <c r="G4710">
        <v>-369.85629999999998</v>
      </c>
      <c r="H4710" s="1">
        <v>-1.76649999999999E-7</v>
      </c>
      <c r="I4710">
        <v>140.11490000000001</v>
      </c>
      <c r="J4710">
        <v>-351.17239999999998</v>
      </c>
      <c r="K4710">
        <v>1.11032999999999</v>
      </c>
      <c r="L4710">
        <v>141.37049999999999</v>
      </c>
      <c r="M4710">
        <v>-0.99988739999999998</v>
      </c>
      <c r="N4710">
        <v>0</v>
      </c>
      <c r="O4710">
        <v>-6.1371389999999998E-4</v>
      </c>
      <c r="P4710">
        <v>-0.97818919999999998</v>
      </c>
      <c r="Q4710">
        <v>0.2076712</v>
      </c>
      <c r="R4710">
        <v>-4.3265049999999996E-3</v>
      </c>
      <c r="S4710">
        <v>-3.1050110000000002</v>
      </c>
      <c r="T4710">
        <v>-0.18080199999999999</v>
      </c>
      <c r="U4710">
        <v>-0.20446780000000001</v>
      </c>
      <c r="V4710">
        <v>-3.6632570000000001E-3</v>
      </c>
      <c r="W4710">
        <v>0.22232560000000001</v>
      </c>
      <c r="X4710">
        <v>0.97496559999999999</v>
      </c>
      <c r="Y4710">
        <v>-6.498756E-2</v>
      </c>
      <c r="Z4710">
        <v>-1.8527719999999999E-3</v>
      </c>
      <c r="AA4710">
        <v>0.99788429999999995</v>
      </c>
      <c r="AB4710">
        <v>39</v>
      </c>
      <c r="AC4710">
        <v>-18.683899999999898</v>
      </c>
      <c r="AD4710">
        <v>-1.11033017664999</v>
      </c>
      <c r="AE4710">
        <v>-1.2555999999999801</v>
      </c>
      <c r="AF4710">
        <v>-1.23977322957743</v>
      </c>
      <c r="AG4710">
        <v>-1.11033017664999</v>
      </c>
      <c r="AH4710">
        <v>18.619207524761201</v>
      </c>
      <c r="AI4710">
        <v>93.405188861547501</v>
      </c>
      <c r="AJ4710">
        <v>93.809457093997594</v>
      </c>
      <c r="AK4710">
        <v>18.693441620313799</v>
      </c>
      <c r="AL4710">
        <v>77.1543365952908</v>
      </c>
      <c r="AM4710">
        <v>90.2152775212585</v>
      </c>
      <c r="AN4710">
        <v>1.0000000065252801</v>
      </c>
    </row>
    <row r="4711" spans="1:40" x14ac:dyDescent="0.25">
      <c r="A4711" t="str">
        <f>"20190312164122407"</f>
        <v>20190312164122407</v>
      </c>
      <c r="B4711" t="str">
        <f>"1552380082400734"</f>
        <v>1552380082400734</v>
      </c>
      <c r="C4711" t="s">
        <v>40</v>
      </c>
      <c r="D4711">
        <v>5.3666229999999997</v>
      </c>
      <c r="E4711">
        <v>0.48123650000000001</v>
      </c>
      <c r="F4711" t="s">
        <v>41</v>
      </c>
      <c r="G4711">
        <v>-370.60520000000002</v>
      </c>
      <c r="H4711" s="1">
        <v>-4.1309590000000003E-6</v>
      </c>
      <c r="I4711">
        <v>140.0608</v>
      </c>
      <c r="J4711">
        <v>-351.56889999999999</v>
      </c>
      <c r="K4711">
        <v>1.1103160000000001</v>
      </c>
      <c r="L4711">
        <v>141.37039999999999</v>
      </c>
      <c r="M4711">
        <v>-0.99988750000000004</v>
      </c>
      <c r="N4711">
        <v>0</v>
      </c>
      <c r="O4711">
        <v>-4.6399709999999999E-4</v>
      </c>
      <c r="P4711">
        <v>-0.97820879999999999</v>
      </c>
      <c r="Q4711">
        <v>0.20749899999999999</v>
      </c>
      <c r="R4711">
        <v>-7.2159440000000002E-3</v>
      </c>
      <c r="S4711">
        <v>-3.1036069999999998</v>
      </c>
      <c r="T4711">
        <v>-0.17733180000000001</v>
      </c>
      <c r="U4711">
        <v>-0.20915220000000001</v>
      </c>
      <c r="V4711">
        <v>-6.6895419999999997E-3</v>
      </c>
      <c r="W4711">
        <v>0.22215080000000001</v>
      </c>
      <c r="X4711">
        <v>0.97498940000000001</v>
      </c>
      <c r="Y4711">
        <v>-6.6667039999999997E-2</v>
      </c>
      <c r="Z4711">
        <v>-1.8744230000000001E-3</v>
      </c>
      <c r="AA4711">
        <v>0.99777349999999998</v>
      </c>
      <c r="AB4711">
        <v>39</v>
      </c>
      <c r="AC4711">
        <v>-19.036300000000001</v>
      </c>
      <c r="AD4711">
        <v>-1.1103201309590001</v>
      </c>
      <c r="AE4711">
        <v>-1.3095999999999799</v>
      </c>
      <c r="AF4711">
        <v>-1.2963766092020801</v>
      </c>
      <c r="AG4711">
        <v>-1.1103201309590001</v>
      </c>
      <c r="AH4711">
        <v>18.972665136146901</v>
      </c>
      <c r="AI4711">
        <v>93.341475505116193</v>
      </c>
      <c r="AJ4711">
        <v>93.908867614753902</v>
      </c>
      <c r="AK4711">
        <v>19.0492893692773</v>
      </c>
      <c r="AL4711">
        <v>77.164609073734994</v>
      </c>
      <c r="AM4711">
        <v>90.393108385862504</v>
      </c>
      <c r="AN4711">
        <v>1.0000000290125799</v>
      </c>
    </row>
    <row r="4712" spans="1:40" x14ac:dyDescent="0.25">
      <c r="A4712" t="str">
        <f>"20190312164122423"</f>
        <v>20190312164122423</v>
      </c>
      <c r="B4712" t="str">
        <f>"1552380082410495"</f>
        <v>1552380082410495</v>
      </c>
      <c r="C4712" t="s">
        <v>40</v>
      </c>
      <c r="D4712">
        <v>5.3636759999999999</v>
      </c>
      <c r="E4712">
        <v>0.48134169999999998</v>
      </c>
      <c r="F4712" t="s">
        <v>41</v>
      </c>
      <c r="G4712">
        <v>-371.17790000000002</v>
      </c>
      <c r="H4712" s="1">
        <v>-3.8703769999999998E-6</v>
      </c>
      <c r="I4712">
        <v>140.00489999999999</v>
      </c>
      <c r="J4712">
        <v>-351.83909999999997</v>
      </c>
      <c r="K4712">
        <v>1.1103050000000001</v>
      </c>
      <c r="L4712">
        <v>141.37039999999999</v>
      </c>
      <c r="M4712">
        <v>-0.99988750000000004</v>
      </c>
      <c r="N4712">
        <v>0</v>
      </c>
      <c r="O4712">
        <v>-3.5389230000000001E-4</v>
      </c>
      <c r="P4712">
        <v>-0.97823570000000004</v>
      </c>
      <c r="Q4712">
        <v>0.2073295</v>
      </c>
      <c r="R4712">
        <v>-8.3477340000000008E-3</v>
      </c>
      <c r="S4712">
        <v>-3.102509</v>
      </c>
      <c r="T4712">
        <v>-0.17567339999999901</v>
      </c>
      <c r="U4712">
        <v>-0.2160339</v>
      </c>
      <c r="V4712">
        <v>-7.9237279999999997E-3</v>
      </c>
      <c r="W4712">
        <v>0.22197919999999999</v>
      </c>
      <c r="X4712">
        <v>0.97501919999999997</v>
      </c>
      <c r="Y4712">
        <v>-6.9001309999999996E-2</v>
      </c>
      <c r="Z4712">
        <v>-1.929612E-3</v>
      </c>
      <c r="AA4712">
        <v>0.99761469999999997</v>
      </c>
      <c r="AB4712">
        <v>39</v>
      </c>
      <c r="AC4712">
        <v>-19.338799999999999</v>
      </c>
      <c r="AD4712">
        <v>-1.1103088703770001</v>
      </c>
      <c r="AE4712">
        <v>-1.3654999999999899</v>
      </c>
      <c r="AF4712">
        <v>-1.3542135247018501</v>
      </c>
      <c r="AG4712">
        <v>-1.1103088703770001</v>
      </c>
      <c r="AH4712">
        <v>19.276057363461401</v>
      </c>
      <c r="AI4712">
        <v>93.288530398001797</v>
      </c>
      <c r="AJ4712">
        <v>94.018635300652406</v>
      </c>
      <c r="AK4712">
        <v>19.355440256878101</v>
      </c>
      <c r="AL4712">
        <v>77.174692364390594</v>
      </c>
      <c r="AM4712">
        <v>90.465617680395098</v>
      </c>
      <c r="AN4712">
        <v>0.99999999553334895</v>
      </c>
    </row>
    <row r="4713" spans="1:40" x14ac:dyDescent="0.25">
      <c r="A4713" t="str">
        <f>"20190312164122440"</f>
        <v>20190312164122440</v>
      </c>
      <c r="B4713" t="str">
        <f>"1552380082430993"</f>
        <v>1552380082430993</v>
      </c>
      <c r="C4713" t="s">
        <v>40</v>
      </c>
      <c r="D4713">
        <v>5.4822089999999903</v>
      </c>
      <c r="E4713">
        <v>0.4815642</v>
      </c>
      <c r="F4713" t="s">
        <v>41</v>
      </c>
      <c r="G4713">
        <v>-371.50470000000001</v>
      </c>
      <c r="H4713" s="1">
        <v>-3.7252400000000002E-6</v>
      </c>
      <c r="I4713">
        <v>139.9864</v>
      </c>
      <c r="J4713">
        <v>-352.14389999999997</v>
      </c>
      <c r="K4713">
        <v>1.1102879999999999</v>
      </c>
      <c r="L4713">
        <v>141.37039999999999</v>
      </c>
      <c r="M4713">
        <v>-0.99988759999999999</v>
      </c>
      <c r="N4713">
        <v>0</v>
      </c>
      <c r="O4713">
        <v>-2.2329859999999999E-4</v>
      </c>
      <c r="P4713">
        <v>-0.97821119999999995</v>
      </c>
      <c r="Q4713">
        <v>0.20730979999999999</v>
      </c>
      <c r="R4713">
        <v>-1.121695E-2</v>
      </c>
      <c r="S4713">
        <v>-3.1019899999999998</v>
      </c>
      <c r="T4713">
        <v>-0.1751364</v>
      </c>
      <c r="U4713">
        <v>-0.21829219999999999</v>
      </c>
      <c r="V4713">
        <v>-1.091554E-2</v>
      </c>
      <c r="W4713">
        <v>0.22195690000000001</v>
      </c>
      <c r="X4713">
        <v>0.97499539999999996</v>
      </c>
      <c r="Y4713">
        <v>-6.986494E-2</v>
      </c>
      <c r="Z4713">
        <v>-1.9556859999999999E-3</v>
      </c>
      <c r="AA4713">
        <v>0.99755450000000001</v>
      </c>
      <c r="AB4713">
        <v>39</v>
      </c>
      <c r="AC4713">
        <v>-19.360800000000001</v>
      </c>
      <c r="AD4713">
        <v>-1.11029172524</v>
      </c>
      <c r="AE4713">
        <v>-1.3839999999999799</v>
      </c>
      <c r="AF4713">
        <v>-1.3751766548453499</v>
      </c>
      <c r="AG4713">
        <v>-1.11029172524</v>
      </c>
      <c r="AH4713">
        <v>19.2979655526809</v>
      </c>
      <c r="AI4713">
        <v>93.284522378113195</v>
      </c>
      <c r="AJ4713">
        <v>94.076017982857806</v>
      </c>
      <c r="AK4713">
        <v>19.3787340406856</v>
      </c>
      <c r="AL4713">
        <v>77.176003097621006</v>
      </c>
      <c r="AM4713">
        <v>90.6414268677797</v>
      </c>
      <c r="AN4713">
        <v>1.00000002224613</v>
      </c>
    </row>
    <row r="4714" spans="1:40" x14ac:dyDescent="0.25">
      <c r="A4714" t="str">
        <f>"20190312164122462"</f>
        <v>20190312164122462</v>
      </c>
      <c r="B4714" t="str">
        <f>"1552380082451017"</f>
        <v>1552380082451017</v>
      </c>
      <c r="C4714" t="s">
        <v>40</v>
      </c>
      <c r="D4714">
        <v>5.4214270000000004</v>
      </c>
      <c r="E4714">
        <v>0.48181839999999998</v>
      </c>
      <c r="F4714" t="s">
        <v>41</v>
      </c>
      <c r="G4714">
        <v>-372.01530000000002</v>
      </c>
      <c r="H4714" s="1">
        <v>-3.490881E-6</v>
      </c>
      <c r="I4714">
        <v>139.9288</v>
      </c>
      <c r="J4714">
        <v>-352.52420000000001</v>
      </c>
      <c r="K4714">
        <v>1.1102799999999999</v>
      </c>
      <c r="L4714">
        <v>141.37039999999999</v>
      </c>
      <c r="M4714">
        <v>-0.99988770000000005</v>
      </c>
      <c r="N4714">
        <v>0</v>
      </c>
      <c r="O4714" s="1">
        <v>-5.444445E-5</v>
      </c>
      <c r="P4714">
        <v>-0.97826919999999995</v>
      </c>
      <c r="Q4714">
        <v>0.2068574</v>
      </c>
      <c r="R4714">
        <v>-1.412746E-2</v>
      </c>
      <c r="S4714">
        <v>-3.1009519999999999</v>
      </c>
      <c r="T4714">
        <v>-0.1732621</v>
      </c>
      <c r="U4714">
        <v>-0.22494510000000001</v>
      </c>
      <c r="V4714">
        <v>-1.398725E-2</v>
      </c>
      <c r="W4714">
        <v>0.2215027</v>
      </c>
      <c r="X4714">
        <v>0.97505940000000002</v>
      </c>
      <c r="Y4714">
        <v>-7.2184319999999996E-2</v>
      </c>
      <c r="Z4714">
        <v>-2.0093630000000001E-3</v>
      </c>
      <c r="AA4714">
        <v>0.99738930000000003</v>
      </c>
      <c r="AB4714">
        <v>39</v>
      </c>
      <c r="AC4714">
        <v>-19.491099999999999</v>
      </c>
      <c r="AD4714">
        <v>-1.110283490881</v>
      </c>
      <c r="AE4714">
        <v>-1.44159999999999</v>
      </c>
      <c r="AF4714">
        <v>-1.4359047456637899</v>
      </c>
      <c r="AG4714">
        <v>-1.110283490881</v>
      </c>
      <c r="AH4714">
        <v>19.428478893459001</v>
      </c>
      <c r="AI4714">
        <v>93.261859718025704</v>
      </c>
      <c r="AJ4714">
        <v>94.226886470760505</v>
      </c>
      <c r="AK4714">
        <v>19.513081355396501</v>
      </c>
      <c r="AL4714">
        <v>77.202690363698807</v>
      </c>
      <c r="AM4714">
        <v>90.821852932704203</v>
      </c>
      <c r="AN4714">
        <v>0.99999996139910496</v>
      </c>
    </row>
    <row r="4715" spans="1:40" x14ac:dyDescent="0.25">
      <c r="A4715" t="str">
        <f>"20190312164122479"</f>
        <v>20190312164122479</v>
      </c>
      <c r="B4715" t="str">
        <f>"1552380082470537"</f>
        <v>1552380082470537</v>
      </c>
      <c r="C4715" t="s">
        <v>40</v>
      </c>
      <c r="D4715">
        <v>5.4254369999999996</v>
      </c>
      <c r="E4715">
        <v>0.48201949999999999</v>
      </c>
      <c r="F4715" t="s">
        <v>41</v>
      </c>
      <c r="G4715">
        <v>-372.41019999999997</v>
      </c>
      <c r="H4715" s="1">
        <v>-3.310433E-6</v>
      </c>
      <c r="I4715">
        <v>139.88740000000001</v>
      </c>
      <c r="J4715">
        <v>-352.81240000000003</v>
      </c>
      <c r="K4715">
        <v>1.1102730000000001</v>
      </c>
      <c r="L4715">
        <v>141.37049999999999</v>
      </c>
      <c r="M4715">
        <v>-0.99988779999999999</v>
      </c>
      <c r="N4715">
        <v>0</v>
      </c>
      <c r="O4715" s="1">
        <v>7.5007539999999897E-5</v>
      </c>
      <c r="P4715">
        <v>-0.97828300000000001</v>
      </c>
      <c r="Q4715">
        <v>0.20667730000000001</v>
      </c>
      <c r="R4715">
        <v>-1.5716890000000001E-2</v>
      </c>
      <c r="S4715">
        <v>-3.0999150000000002</v>
      </c>
      <c r="T4715">
        <v>-0.1730757</v>
      </c>
      <c r="U4715">
        <v>-0.23117070000000001</v>
      </c>
      <c r="V4715">
        <v>-1.5700289999999999E-2</v>
      </c>
      <c r="W4715">
        <v>0.2213203</v>
      </c>
      <c r="X4715">
        <v>0.97507480000000002</v>
      </c>
      <c r="Y4715">
        <v>-7.4326320000000001E-2</v>
      </c>
      <c r="Z4715">
        <v>-2.0746060000000001E-3</v>
      </c>
      <c r="AA4715">
        <v>0.9972318</v>
      </c>
      <c r="AB4715">
        <v>39</v>
      </c>
      <c r="AC4715">
        <v>-19.5977999999999</v>
      </c>
      <c r="AD4715">
        <v>-1.110276310433</v>
      </c>
      <c r="AE4715">
        <v>-1.4830999999999701</v>
      </c>
      <c r="AF4715">
        <v>-1.4798475087063201</v>
      </c>
      <c r="AG4715">
        <v>-1.110276310433</v>
      </c>
      <c r="AH4715">
        <v>19.5353455736299</v>
      </c>
      <c r="AI4715">
        <v>93.243588811918997</v>
      </c>
      <c r="AJ4715">
        <v>94.332013867405905</v>
      </c>
      <c r="AK4715">
        <v>19.622751815575601</v>
      </c>
      <c r="AL4715">
        <v>77.2134078599601</v>
      </c>
      <c r="AM4715">
        <v>90.922475512141702</v>
      </c>
      <c r="AN4715">
        <v>1.0000000199465999</v>
      </c>
    </row>
    <row r="4716" spans="1:40" x14ac:dyDescent="0.25">
      <c r="A4716" t="str">
        <f>"20190312164122495"</f>
        <v>20190312164122495</v>
      </c>
      <c r="B4716" t="str">
        <f>"1552380082491032"</f>
        <v>1552380082491032</v>
      </c>
      <c r="C4716" t="s">
        <v>40</v>
      </c>
      <c r="D4716">
        <v>5.4276879999999998</v>
      </c>
      <c r="E4716">
        <v>0.48225570000000001</v>
      </c>
      <c r="F4716" t="s">
        <v>41</v>
      </c>
      <c r="G4716">
        <v>-372.83929999999998</v>
      </c>
      <c r="H4716" s="1">
        <v>-3.1177919999999998E-6</v>
      </c>
      <c r="I4716">
        <v>139.85509999999999</v>
      </c>
      <c r="J4716">
        <v>-353.11219999999997</v>
      </c>
      <c r="K4716">
        <v>1.110274</v>
      </c>
      <c r="L4716">
        <v>141.3706</v>
      </c>
      <c r="M4716">
        <v>-0.99988770000000005</v>
      </c>
      <c r="N4716">
        <v>0</v>
      </c>
      <c r="O4716">
        <v>2.1028879999999999E-4</v>
      </c>
      <c r="P4716">
        <v>-0.97842510000000005</v>
      </c>
      <c r="Q4716">
        <v>0.20577799999999999</v>
      </c>
      <c r="R4716">
        <v>-1.8433990000000001E-2</v>
      </c>
      <c r="S4716">
        <v>-3.0991520000000001</v>
      </c>
      <c r="T4716">
        <v>-0.17181550000000001</v>
      </c>
      <c r="U4716">
        <v>-0.23449710000000001</v>
      </c>
      <c r="V4716">
        <v>-1.8547729999999998E-2</v>
      </c>
      <c r="W4716">
        <v>0.22042139999999999</v>
      </c>
      <c r="X4716">
        <v>0.9752284</v>
      </c>
      <c r="Y4716">
        <v>-7.5543310000000002E-2</v>
      </c>
      <c r="Z4716">
        <v>-2.1010909999999998E-3</v>
      </c>
      <c r="AA4716">
        <v>0.99714029999999998</v>
      </c>
      <c r="AB4716">
        <v>39</v>
      </c>
      <c r="AC4716">
        <v>-19.7271</v>
      </c>
      <c r="AD4716">
        <v>-1.1102771177919999</v>
      </c>
      <c r="AE4716">
        <v>-1.5155000000000001</v>
      </c>
      <c r="AF4716">
        <v>-1.5148783802142101</v>
      </c>
      <c r="AG4716">
        <v>-1.1102771177919999</v>
      </c>
      <c r="AH4716">
        <v>19.664855060940699</v>
      </c>
      <c r="AI4716">
        <v>93.221961379153697</v>
      </c>
      <c r="AJ4716">
        <v>94.405069496521406</v>
      </c>
      <c r="AK4716">
        <v>19.754343733795299</v>
      </c>
      <c r="AL4716">
        <v>77.266215243878804</v>
      </c>
      <c r="AM4716">
        <v>91.089568908524399</v>
      </c>
      <c r="AN4716">
        <v>1.0000000220163301</v>
      </c>
    </row>
    <row r="4717" spans="1:40" x14ac:dyDescent="0.25">
      <c r="A4717" t="str">
        <f>"20190312164122520"</f>
        <v>20190312164122520</v>
      </c>
      <c r="B4717" t="str">
        <f>"1552380082510553"</f>
        <v>1552380082510553</v>
      </c>
      <c r="C4717" t="s">
        <v>40</v>
      </c>
      <c r="D4717">
        <v>5.506907</v>
      </c>
      <c r="E4717">
        <v>0.48251300000000003</v>
      </c>
      <c r="F4717" t="s">
        <v>41</v>
      </c>
      <c r="G4717">
        <v>-372.94690000000003</v>
      </c>
      <c r="H4717" s="1">
        <v>-3.06554E-6</v>
      </c>
      <c r="I4717">
        <v>139.8323</v>
      </c>
      <c r="J4717">
        <v>-353.5027</v>
      </c>
      <c r="K4717">
        <v>1.110263</v>
      </c>
      <c r="L4717">
        <v>141.3708</v>
      </c>
      <c r="M4717">
        <v>-0.99988779999999999</v>
      </c>
      <c r="N4717">
        <v>0</v>
      </c>
      <c r="O4717">
        <v>3.862343E-4</v>
      </c>
      <c r="P4717">
        <v>-0.97868440000000001</v>
      </c>
      <c r="Q4717">
        <v>0.20429919999999999</v>
      </c>
      <c r="R4717">
        <v>-2.0947E-2</v>
      </c>
      <c r="S4717">
        <v>-3.0980530000000002</v>
      </c>
      <c r="T4717">
        <v>-0.1734183</v>
      </c>
      <c r="U4717">
        <v>-0.2402649</v>
      </c>
      <c r="V4717">
        <v>-2.1231119999999999E-2</v>
      </c>
      <c r="W4717">
        <v>0.218944</v>
      </c>
      <c r="X4717">
        <v>0.9755064</v>
      </c>
      <c r="Y4717">
        <v>-7.7585119999999994E-2</v>
      </c>
      <c r="Z4717">
        <v>-2.1881029999999998E-3</v>
      </c>
      <c r="AA4717">
        <v>0.99698330000000002</v>
      </c>
      <c r="AB4717">
        <v>39</v>
      </c>
      <c r="AC4717">
        <v>-19.444199999999999</v>
      </c>
      <c r="AD4717">
        <v>-1.1102660655399901</v>
      </c>
      <c r="AE4717">
        <v>-1.53849999999999</v>
      </c>
      <c r="AF4717">
        <v>-1.5410176345078099</v>
      </c>
      <c r="AG4717">
        <v>-1.1102660655399901</v>
      </c>
      <c r="AH4717">
        <v>19.3808077689044</v>
      </c>
      <c r="AI4717">
        <v>93.268419936192302</v>
      </c>
      <c r="AJ4717">
        <v>94.546169518347497</v>
      </c>
      <c r="AK4717">
        <v>19.473652350326599</v>
      </c>
      <c r="AL4717">
        <v>77.352983206223698</v>
      </c>
      <c r="AM4717">
        <v>91.246800179648204</v>
      </c>
      <c r="AN4717">
        <v>0.99999998601670703</v>
      </c>
    </row>
    <row r="4718" spans="1:40" x14ac:dyDescent="0.25">
      <c r="A4718" t="str">
        <f>"20190312164122541"</f>
        <v>20190312164122541</v>
      </c>
      <c r="B4718" t="str">
        <f>"1552380082531049"</f>
        <v>1552380082531049</v>
      </c>
      <c r="C4718" t="s">
        <v>40</v>
      </c>
      <c r="D4718">
        <v>5.4279190000000002</v>
      </c>
      <c r="E4718">
        <v>0.4827938</v>
      </c>
      <c r="F4718" t="s">
        <v>41</v>
      </c>
      <c r="G4718">
        <v>-373.01490000000001</v>
      </c>
      <c r="H4718" s="1">
        <v>-3.0341139999999998E-6</v>
      </c>
      <c r="I4718">
        <v>139.82380000000001</v>
      </c>
      <c r="J4718">
        <v>-353.87619999999998</v>
      </c>
      <c r="K4718">
        <v>1.110249</v>
      </c>
      <c r="L4718">
        <v>141.37110000000001</v>
      </c>
      <c r="M4718">
        <v>-0.99988770000000005</v>
      </c>
      <c r="N4718">
        <v>0</v>
      </c>
      <c r="O4718">
        <v>5.5351640000000002E-4</v>
      </c>
      <c r="P4718">
        <v>-0.97882740000000001</v>
      </c>
      <c r="Q4718">
        <v>0.2033365</v>
      </c>
      <c r="R4718">
        <v>-2.3481729999999999E-2</v>
      </c>
      <c r="S4718">
        <v>-3.0968629999999999</v>
      </c>
      <c r="T4718">
        <v>-0.1762155</v>
      </c>
      <c r="U4718">
        <v>-0.2455292</v>
      </c>
      <c r="V4718">
        <v>-2.3927730000000001E-2</v>
      </c>
      <c r="W4718">
        <v>0.2179808</v>
      </c>
      <c r="X4718">
        <v>0.97565970000000002</v>
      </c>
      <c r="Y4718">
        <v>-7.9458409999999993E-2</v>
      </c>
      <c r="Z4718">
        <v>-2.2867109999999999E-3</v>
      </c>
      <c r="AA4718">
        <v>0.99683560000000004</v>
      </c>
      <c r="AB4718">
        <v>38</v>
      </c>
      <c r="AC4718">
        <v>-19.1387</v>
      </c>
      <c r="AD4718">
        <v>-1.1102520341140001</v>
      </c>
      <c r="AE4718">
        <v>-1.5472999999999999</v>
      </c>
      <c r="AF4718">
        <v>-1.5527032208187701</v>
      </c>
      <c r="AG4718">
        <v>-1.1102520341140001</v>
      </c>
      <c r="AH4718">
        <v>19.0740681942919</v>
      </c>
      <c r="AI4718">
        <v>93.320321513715101</v>
      </c>
      <c r="AJ4718">
        <v>94.653837355735803</v>
      </c>
      <c r="AK4718">
        <v>19.169340738577599</v>
      </c>
      <c r="AL4718">
        <v>77.409536808206298</v>
      </c>
      <c r="AM4718">
        <v>91.404878343334403</v>
      </c>
      <c r="AN4718">
        <v>1.0000000078178399</v>
      </c>
    </row>
    <row r="4719" spans="1:40" x14ac:dyDescent="0.25">
      <c r="A4719" t="str">
        <f>"20190312164122562"</f>
        <v>20190312164122562</v>
      </c>
      <c r="B4719" t="str">
        <f>"1552380082551077"</f>
        <v>1552380082551077</v>
      </c>
      <c r="C4719" t="s">
        <v>40</v>
      </c>
      <c r="D4719">
        <v>5.4412830000000003</v>
      </c>
      <c r="E4719">
        <v>0.48305379999999998</v>
      </c>
      <c r="F4719" t="s">
        <v>41</v>
      </c>
      <c r="G4719">
        <v>-373.16019999999997</v>
      </c>
      <c r="H4719" s="1">
        <v>-2.9679110000000001E-6</v>
      </c>
      <c r="I4719">
        <v>139.8092</v>
      </c>
      <c r="J4719">
        <v>-354.2473</v>
      </c>
      <c r="K4719">
        <v>1.1102449999999999</v>
      </c>
      <c r="L4719">
        <v>141.3715</v>
      </c>
      <c r="M4719">
        <v>-0.99988779999999999</v>
      </c>
      <c r="N4719">
        <v>0</v>
      </c>
      <c r="O4719">
        <v>7.1893559999999996E-4</v>
      </c>
      <c r="P4719">
        <v>-0.97884990000000005</v>
      </c>
      <c r="Q4719">
        <v>0.20298250000000001</v>
      </c>
      <c r="R4719">
        <v>-2.5521930000000002E-2</v>
      </c>
      <c r="S4719">
        <v>-3.095917</v>
      </c>
      <c r="T4719">
        <v>-0.17824419999999999</v>
      </c>
      <c r="U4719">
        <v>-0.25074770000000002</v>
      </c>
      <c r="V4719">
        <v>-2.6128470000000001E-2</v>
      </c>
      <c r="W4719">
        <v>0.21762429999999999</v>
      </c>
      <c r="X4719">
        <v>0.97568290000000002</v>
      </c>
      <c r="Y4719">
        <v>-8.1310350000000003E-2</v>
      </c>
      <c r="Z4719">
        <v>-2.376225E-3</v>
      </c>
      <c r="AA4719">
        <v>0.99668599999999996</v>
      </c>
      <c r="AB4719">
        <v>38</v>
      </c>
      <c r="AC4719">
        <v>-18.912899999999901</v>
      </c>
      <c r="AD4719">
        <v>-1.110247967911</v>
      </c>
      <c r="AE4719">
        <v>-1.56229999999999</v>
      </c>
      <c r="AF4719">
        <v>-1.5705228283983601</v>
      </c>
      <c r="AG4719">
        <v>-1.110247967911</v>
      </c>
      <c r="AH4719">
        <v>18.847263041415601</v>
      </c>
      <c r="AI4719">
        <v>93.359646527718596</v>
      </c>
      <c r="AJ4719">
        <v>94.763392846125299</v>
      </c>
      <c r="AK4719">
        <v>18.9451449362912</v>
      </c>
      <c r="AL4719">
        <v>77.430466069554697</v>
      </c>
      <c r="AM4719">
        <v>91.533995665517494</v>
      </c>
      <c r="AN4719">
        <v>1.0000000771237101</v>
      </c>
    </row>
    <row r="4720" spans="1:40" x14ac:dyDescent="0.25">
      <c r="A4720" t="str">
        <f>"20190312164122586"</f>
        <v>20190312164122586</v>
      </c>
      <c r="B4720" t="str">
        <f>"1552380082581332"</f>
        <v>1552380082581332</v>
      </c>
      <c r="C4720" t="s">
        <v>40</v>
      </c>
      <c r="D4720">
        <v>9.5487350000000006</v>
      </c>
      <c r="E4720">
        <v>0.4834503</v>
      </c>
      <c r="F4720" t="s">
        <v>41</v>
      </c>
      <c r="G4720">
        <v>-373.4427</v>
      </c>
      <c r="H4720" s="1">
        <v>-2.8419479999999999E-6</v>
      </c>
      <c r="I4720">
        <v>139.79140000000001</v>
      </c>
      <c r="J4720">
        <v>-354.63650000000001</v>
      </c>
      <c r="K4720">
        <v>1.1102399999999999</v>
      </c>
      <c r="L4720">
        <v>141.37190000000001</v>
      </c>
      <c r="M4720">
        <v>-0.99988779999999999</v>
      </c>
      <c r="N4720">
        <v>0</v>
      </c>
      <c r="O4720">
        <v>8.9221059999999896E-4</v>
      </c>
      <c r="P4720">
        <v>-0.97882760000000002</v>
      </c>
      <c r="Q4720">
        <v>0.2027504</v>
      </c>
      <c r="R4720">
        <v>-2.8089739999999998E-2</v>
      </c>
      <c r="S4720">
        <v>-3.0953369999999998</v>
      </c>
      <c r="T4720">
        <v>-0.17903150000000001</v>
      </c>
      <c r="U4720">
        <v>-0.2547913</v>
      </c>
      <c r="V4720">
        <v>-2.8864609999999999E-2</v>
      </c>
      <c r="W4720">
        <v>0.21738879999999999</v>
      </c>
      <c r="X4720">
        <v>0.97565820000000003</v>
      </c>
      <c r="Y4720">
        <v>-8.2787449999999999E-2</v>
      </c>
      <c r="Z4720">
        <v>-2.439629E-3</v>
      </c>
      <c r="AA4720">
        <v>0.99656429999999996</v>
      </c>
      <c r="AB4720">
        <v>38</v>
      </c>
      <c r="AC4720">
        <v>-18.806199999999901</v>
      </c>
      <c r="AD4720">
        <v>-1.1102428419479999</v>
      </c>
      <c r="AE4720">
        <v>-1.5805</v>
      </c>
      <c r="AF4720">
        <v>-1.59177152567668</v>
      </c>
      <c r="AG4720">
        <v>-1.1102428419479999</v>
      </c>
      <c r="AH4720">
        <v>18.739926967272901</v>
      </c>
      <c r="AI4720">
        <v>93.378375737123406</v>
      </c>
      <c r="AJ4720">
        <v>94.855056277388101</v>
      </c>
      <c r="AK4720">
        <v>18.840149641039801</v>
      </c>
      <c r="AL4720">
        <v>77.444289073554899</v>
      </c>
      <c r="AM4720">
        <v>91.694587384333602</v>
      </c>
      <c r="AN4720">
        <v>0.999999989651566</v>
      </c>
    </row>
    <row r="4721" spans="1:40" x14ac:dyDescent="0.25">
      <c r="A4721" t="str">
        <f>"20190312164122608"</f>
        <v>20190312164122608</v>
      </c>
      <c r="B4721" t="str">
        <f>"1552380082600851"</f>
        <v>1552380082600851</v>
      </c>
      <c r="C4721" t="s">
        <v>40</v>
      </c>
      <c r="D4721">
        <v>5.3586099999999997</v>
      </c>
      <c r="E4721">
        <v>0.48371599999999998</v>
      </c>
      <c r="F4721" t="s">
        <v>41</v>
      </c>
      <c r="G4721">
        <v>-373.83960000000002</v>
      </c>
      <c r="H4721" s="1">
        <v>-2.6634039999999999E-6</v>
      </c>
      <c r="I4721">
        <v>139.7602</v>
      </c>
      <c r="J4721">
        <v>-355.02769999999998</v>
      </c>
      <c r="K4721">
        <v>1.110236</v>
      </c>
      <c r="L4721">
        <v>141.3724</v>
      </c>
      <c r="M4721">
        <v>-0.99988759999999999</v>
      </c>
      <c r="N4721">
        <v>0</v>
      </c>
      <c r="O4721">
        <v>1.066844E-3</v>
      </c>
      <c r="P4721">
        <v>-0.97888699999999995</v>
      </c>
      <c r="Q4721">
        <v>0.20212069999999999</v>
      </c>
      <c r="R4721">
        <v>-3.0457430000000001E-2</v>
      </c>
      <c r="S4721">
        <v>-3.0944820000000002</v>
      </c>
      <c r="T4721">
        <v>-0.17891029999999999</v>
      </c>
      <c r="U4721">
        <v>-0.25970460000000001</v>
      </c>
      <c r="V4721">
        <v>-3.1402680000000002E-2</v>
      </c>
      <c r="W4721">
        <v>0.21675620000000001</v>
      </c>
      <c r="X4721">
        <v>0.97572060000000005</v>
      </c>
      <c r="Y4721">
        <v>-8.4552230000000006E-2</v>
      </c>
      <c r="Z4721">
        <v>-2.4994459999999998E-3</v>
      </c>
      <c r="AA4721">
        <v>0.99641590000000002</v>
      </c>
      <c r="AB4721">
        <v>38</v>
      </c>
      <c r="AC4721">
        <v>-18.811900000000001</v>
      </c>
      <c r="AD4721">
        <v>-1.110238663404</v>
      </c>
      <c r="AE4721">
        <v>-1.6122000000000001</v>
      </c>
      <c r="AF4721">
        <v>-1.62664620951925</v>
      </c>
      <c r="AG4721">
        <v>-1.110238663404</v>
      </c>
      <c r="AH4721">
        <v>18.745353033114299</v>
      </c>
      <c r="AI4721">
        <v>93.376860214175096</v>
      </c>
      <c r="AJ4721">
        <v>94.959473402321507</v>
      </c>
      <c r="AK4721">
        <v>18.8485242954653</v>
      </c>
      <c r="AL4721">
        <v>77.481420310738798</v>
      </c>
      <c r="AM4721">
        <v>91.843376257349405</v>
      </c>
      <c r="AN4721">
        <v>1.0000000339069901</v>
      </c>
    </row>
    <row r="4722" spans="1:40" x14ac:dyDescent="0.25">
      <c r="A4722" t="str">
        <f>"20190312164122630"</f>
        <v>20190312164122630</v>
      </c>
      <c r="B4722" t="str">
        <f>"1552380082621350"</f>
        <v>1552380082621350</v>
      </c>
      <c r="C4722" t="s">
        <v>40</v>
      </c>
      <c r="D4722">
        <v>5.4892830000000004</v>
      </c>
      <c r="E4722">
        <v>0.48371589999999998</v>
      </c>
      <c r="F4722" t="s">
        <v>41</v>
      </c>
      <c r="G4722">
        <v>-374.1114</v>
      </c>
      <c r="H4722" s="1">
        <v>-2.5420649999999999E-6</v>
      </c>
      <c r="I4722">
        <v>139.7424</v>
      </c>
      <c r="J4722">
        <v>-355.39159999999998</v>
      </c>
      <c r="K4722">
        <v>1.1102289999999999</v>
      </c>
      <c r="L4722">
        <v>141.37299999999999</v>
      </c>
      <c r="M4722">
        <v>-0.99988750000000004</v>
      </c>
      <c r="N4722">
        <v>0</v>
      </c>
      <c r="O4722">
        <v>1.229604E-3</v>
      </c>
      <c r="P4722">
        <v>-0.97905889999999995</v>
      </c>
      <c r="Q4722">
        <v>0.2010044</v>
      </c>
      <c r="R4722">
        <v>-3.2265009999999997E-2</v>
      </c>
      <c r="S4722">
        <v>-3.093658</v>
      </c>
      <c r="T4722">
        <v>-0.17998149999999999</v>
      </c>
      <c r="U4722">
        <v>-0.26423649999999999</v>
      </c>
      <c r="V4722">
        <v>-3.336981E-2</v>
      </c>
      <c r="W4722">
        <v>0.21563979999999999</v>
      </c>
      <c r="X4722">
        <v>0.97590259999999995</v>
      </c>
      <c r="Y4722">
        <v>-8.6180919999999994E-2</v>
      </c>
      <c r="Z4722">
        <v>-2.571594E-3</v>
      </c>
      <c r="AA4722">
        <v>0.99627619999999895</v>
      </c>
      <c r="AB4722">
        <v>38</v>
      </c>
      <c r="AC4722">
        <v>-18.719799999999999</v>
      </c>
      <c r="AD4722">
        <v>-1.110231542065</v>
      </c>
      <c r="AE4722">
        <v>-1.6305999999999801</v>
      </c>
      <c r="AF4722">
        <v>-1.6478666819213199</v>
      </c>
      <c r="AG4722">
        <v>-1.110231542065</v>
      </c>
      <c r="AH4722">
        <v>18.652665352535099</v>
      </c>
      <c r="AI4722">
        <v>93.393117945635097</v>
      </c>
      <c r="AJ4722">
        <v>95.048678872758103</v>
      </c>
      <c r="AK4722">
        <v>18.758198299198298</v>
      </c>
      <c r="AL4722">
        <v>77.546934036625501</v>
      </c>
      <c r="AM4722">
        <v>91.958396912053999</v>
      </c>
      <c r="AN4722">
        <v>0.99999997612511704</v>
      </c>
    </row>
    <row r="4723" spans="1:40" x14ac:dyDescent="0.25">
      <c r="A4723" t="str">
        <f>"20190312164122646"</f>
        <v>20190312164122646</v>
      </c>
      <c r="B4723" t="str">
        <f>"1552380082640868"</f>
        <v>1552380082640868</v>
      </c>
      <c r="C4723" t="s">
        <v>40</v>
      </c>
      <c r="D4723">
        <v>5.3456599999999996</v>
      </c>
      <c r="E4723">
        <v>0.48337049999999998</v>
      </c>
      <c r="F4723" t="s">
        <v>41</v>
      </c>
      <c r="G4723">
        <v>-374.29340000000002</v>
      </c>
      <c r="H4723" s="1">
        <v>-2.457832E-6</v>
      </c>
      <c r="I4723">
        <v>139.7192</v>
      </c>
      <c r="J4723">
        <v>-355.67219999999998</v>
      </c>
      <c r="K4723">
        <v>1.1102289999999999</v>
      </c>
      <c r="L4723">
        <v>141.3734</v>
      </c>
      <c r="M4723">
        <v>-0.99988730000000003</v>
      </c>
      <c r="N4723">
        <v>0</v>
      </c>
      <c r="O4723">
        <v>1.3551570000000001E-3</v>
      </c>
      <c r="P4723">
        <v>-0.97919940000000005</v>
      </c>
      <c r="Q4723">
        <v>0.2002131</v>
      </c>
      <c r="R4723">
        <v>-3.2917340000000003E-2</v>
      </c>
      <c r="S4723">
        <v>-3.0924990000000001</v>
      </c>
      <c r="T4723">
        <v>-0.18164359999999999</v>
      </c>
      <c r="U4723">
        <v>-0.27055359999999901</v>
      </c>
      <c r="V4723">
        <v>-3.4145580000000002E-2</v>
      </c>
      <c r="W4723">
        <v>0.2148477</v>
      </c>
      <c r="X4723">
        <v>0.97605050000000004</v>
      </c>
      <c r="Y4723">
        <v>-8.8350799999999993E-2</v>
      </c>
      <c r="Z4723">
        <v>-2.6669480000000001E-3</v>
      </c>
      <c r="AA4723">
        <v>0.99608589999999997</v>
      </c>
      <c r="AB4723">
        <v>38</v>
      </c>
      <c r="AC4723">
        <v>-18.621200000000002</v>
      </c>
      <c r="AD4723">
        <v>-1.1102314578320001</v>
      </c>
      <c r="AE4723">
        <v>-1.6541999999999999</v>
      </c>
      <c r="AF4723">
        <v>-1.6735335009362</v>
      </c>
      <c r="AG4723">
        <v>-1.1102314578320001</v>
      </c>
      <c r="AH4723">
        <v>18.553503871797702</v>
      </c>
      <c r="AI4723">
        <v>93.410650679415994</v>
      </c>
      <c r="AJ4723">
        <v>95.154154263471696</v>
      </c>
      <c r="AK4723">
        <v>18.661881850165301</v>
      </c>
      <c r="AL4723">
        <v>77.593407855220207</v>
      </c>
      <c r="AM4723">
        <v>92.003584961130002</v>
      </c>
      <c r="AN4723">
        <v>1.00000001668953</v>
      </c>
    </row>
    <row r="4724" spans="1:40" x14ac:dyDescent="0.25">
      <c r="A4724" t="str">
        <f>"20190312164122663"</f>
        <v>20190312164122663</v>
      </c>
      <c r="B4724" t="str">
        <f>"1552380082660894"</f>
        <v>1552380082660894</v>
      </c>
      <c r="C4724" t="s">
        <v>40</v>
      </c>
      <c r="D4724">
        <v>5.3860960000000002</v>
      </c>
      <c r="E4724">
        <v>0.48295759999999999</v>
      </c>
      <c r="F4724" t="s">
        <v>41</v>
      </c>
      <c r="G4724">
        <v>-374.18900000000002</v>
      </c>
      <c r="H4724" s="1">
        <v>-2.5022270000000001E-6</v>
      </c>
      <c r="I4724">
        <v>139.71780000000001</v>
      </c>
      <c r="J4724">
        <v>-355.96960000000001</v>
      </c>
      <c r="K4724">
        <v>1.110228</v>
      </c>
      <c r="L4724">
        <v>141.37389999999999</v>
      </c>
      <c r="M4724">
        <v>-0.99988710000000003</v>
      </c>
      <c r="N4724">
        <v>0</v>
      </c>
      <c r="O4724">
        <v>1.48809999999999E-3</v>
      </c>
      <c r="P4724">
        <v>-0.97952709999999998</v>
      </c>
      <c r="Q4724">
        <v>0.19833529999999999</v>
      </c>
      <c r="R4724">
        <v>-3.449729E-2</v>
      </c>
      <c r="S4724">
        <v>-3.0923769999999999</v>
      </c>
      <c r="T4724">
        <v>-0.18541299999999999</v>
      </c>
      <c r="U4724">
        <v>-0.27648929999999999</v>
      </c>
      <c r="V4724">
        <v>-3.5856590000000001E-2</v>
      </c>
      <c r="W4724">
        <v>0.21297240000000001</v>
      </c>
      <c r="X4724">
        <v>0.97640009999999999</v>
      </c>
      <c r="Y4724">
        <v>-9.0373309999999998E-2</v>
      </c>
      <c r="Z4724">
        <v>-2.7904789999999998E-3</v>
      </c>
      <c r="AA4724">
        <v>0.99590400000000001</v>
      </c>
      <c r="AB4724">
        <v>38</v>
      </c>
      <c r="AC4724">
        <v>-18.2194</v>
      </c>
      <c r="AD4724">
        <v>-1.110230502227</v>
      </c>
      <c r="AE4724">
        <v>-1.6560999999999799</v>
      </c>
      <c r="AF4724">
        <v>-1.6770372017048201</v>
      </c>
      <c r="AG4724">
        <v>-1.110230502227</v>
      </c>
      <c r="AH4724">
        <v>18.150071026900601</v>
      </c>
      <c r="AI4724">
        <v>93.485581329590801</v>
      </c>
      <c r="AJ4724">
        <v>95.279048168112794</v>
      </c>
      <c r="AK4724">
        <v>18.261164908775999</v>
      </c>
      <c r="AL4724">
        <v>77.703400985381606</v>
      </c>
      <c r="AM4724">
        <v>92.103142438935905</v>
      </c>
      <c r="AN4724">
        <v>1.0000000467440899</v>
      </c>
    </row>
    <row r="4725" spans="1:40" x14ac:dyDescent="0.25">
      <c r="A4725" t="str">
        <f>"20190312164122687"</f>
        <v>20190312164122687</v>
      </c>
      <c r="B4725" t="str">
        <f>"1552380082681390"</f>
        <v>1552380082681390</v>
      </c>
      <c r="C4725" t="s">
        <v>40</v>
      </c>
      <c r="D4725">
        <v>5.4678100000000001</v>
      </c>
      <c r="E4725">
        <v>0.48259410000000003</v>
      </c>
      <c r="F4725" t="s">
        <v>41</v>
      </c>
      <c r="G4725">
        <v>-373.95679999999999</v>
      </c>
      <c r="H4725" s="1">
        <v>-2.599412E-6</v>
      </c>
      <c r="I4725">
        <v>139.70859999999999</v>
      </c>
      <c r="J4725">
        <v>-356.36900000000003</v>
      </c>
      <c r="K4725">
        <v>1.1102209999999999</v>
      </c>
      <c r="L4725">
        <v>141.37469999999999</v>
      </c>
      <c r="M4725">
        <v>-0.99988699999999997</v>
      </c>
      <c r="N4725">
        <v>0</v>
      </c>
      <c r="O4725">
        <v>1.666882E-3</v>
      </c>
      <c r="P4725">
        <v>-0.97976490000000005</v>
      </c>
      <c r="Q4725">
        <v>0.19655359999999999</v>
      </c>
      <c r="R4725">
        <v>-3.7782459999999997E-2</v>
      </c>
      <c r="S4725">
        <v>-3.0912480000000002</v>
      </c>
      <c r="T4725">
        <v>-0.19080269999999999</v>
      </c>
      <c r="U4725">
        <v>-0.2861938</v>
      </c>
      <c r="V4725">
        <v>-3.9318140000000001E-2</v>
      </c>
      <c r="W4725">
        <v>0.2111914</v>
      </c>
      <c r="X4725">
        <v>0.97665360000000001</v>
      </c>
      <c r="Y4725">
        <v>-9.3667689999999998E-2</v>
      </c>
      <c r="Z4725">
        <v>-2.9844390000000002E-3</v>
      </c>
      <c r="AA4725">
        <v>0.99559900000000001</v>
      </c>
      <c r="AB4725">
        <v>38</v>
      </c>
      <c r="AC4725">
        <v>-17.587799999999898</v>
      </c>
      <c r="AD4725">
        <v>-1.110223599412</v>
      </c>
      <c r="AE4725">
        <v>-1.6660999999999999</v>
      </c>
      <c r="AF4725">
        <v>-1.68874840371418</v>
      </c>
      <c r="AG4725">
        <v>-1.110223599412</v>
      </c>
      <c r="AH4725">
        <v>17.515823163175</v>
      </c>
      <c r="AI4725">
        <v>93.610090879304906</v>
      </c>
      <c r="AJ4725">
        <v>95.507021504401706</v>
      </c>
      <c r="AK4725">
        <v>17.632031326405901</v>
      </c>
      <c r="AL4725">
        <v>77.8078194020176</v>
      </c>
      <c r="AM4725">
        <v>92.305369722026498</v>
      </c>
      <c r="AN4725">
        <v>0.99999998897998899</v>
      </c>
    </row>
    <row r="4726" spans="1:40" x14ac:dyDescent="0.25">
      <c r="A4726" t="str">
        <f>"20190312164122721"</f>
        <v>20190312164122721</v>
      </c>
      <c r="B4726" t="str">
        <f>"1552380082710670"</f>
        <v>1552380082710670</v>
      </c>
      <c r="C4726" t="s">
        <v>40</v>
      </c>
      <c r="D4726">
        <v>5.4401849999999996</v>
      </c>
      <c r="E4726">
        <v>0.48207040000000001</v>
      </c>
      <c r="F4726" t="s">
        <v>41</v>
      </c>
      <c r="G4726">
        <v>-373.8603</v>
      </c>
      <c r="H4726" s="1">
        <v>-2.6329089999999998E-6</v>
      </c>
      <c r="I4726">
        <v>139.6789</v>
      </c>
      <c r="J4726">
        <v>-356.94810000000001</v>
      </c>
      <c r="K4726">
        <v>1.11022</v>
      </c>
      <c r="L4726">
        <v>141.3759</v>
      </c>
      <c r="M4726">
        <v>-0.99988659999999996</v>
      </c>
      <c r="N4726">
        <v>0</v>
      </c>
      <c r="O4726">
        <v>1.9262579999999999E-3</v>
      </c>
      <c r="P4726">
        <v>-0.97946440000000001</v>
      </c>
      <c r="Q4726">
        <v>0.19757069999999999</v>
      </c>
      <c r="R4726">
        <v>-4.0193270000000003E-2</v>
      </c>
      <c r="S4726">
        <v>-3.0897220000000001</v>
      </c>
      <c r="T4726">
        <v>-0.1961147</v>
      </c>
      <c r="U4726">
        <v>-0.29954530000000001</v>
      </c>
      <c r="V4726">
        <v>-4.1981770000000002E-2</v>
      </c>
      <c r="W4726">
        <v>0.21219850000000001</v>
      </c>
      <c r="X4726">
        <v>0.97632439999999998</v>
      </c>
      <c r="Y4726">
        <v>-9.8214170000000003E-2</v>
      </c>
      <c r="Z4726">
        <v>-3.2284670000000001E-3</v>
      </c>
      <c r="AA4726">
        <v>0.99516000000000004</v>
      </c>
      <c r="AB4726">
        <v>38</v>
      </c>
      <c r="AC4726">
        <v>-16.912199999999899</v>
      </c>
      <c r="AD4726">
        <v>-1.1102226329089999</v>
      </c>
      <c r="AE4726">
        <v>-1.6970000000000001</v>
      </c>
      <c r="AF4726">
        <v>-1.7222298962560401</v>
      </c>
      <c r="AG4726">
        <v>-1.1102226329089999</v>
      </c>
      <c r="AH4726">
        <v>16.837064490584201</v>
      </c>
      <c r="AI4726">
        <v>93.753050448040995</v>
      </c>
      <c r="AJ4726">
        <v>95.840359135356707</v>
      </c>
      <c r="AK4726">
        <v>16.9612915419278</v>
      </c>
      <c r="AL4726">
        <v>77.748778885490097</v>
      </c>
      <c r="AM4726">
        <v>92.462191232609698</v>
      </c>
      <c r="AN4726">
        <v>1.0000000032249701</v>
      </c>
    </row>
    <row r="4727" spans="1:40" x14ac:dyDescent="0.25">
      <c r="A4727" t="str">
        <f>"20190312164122741"</f>
        <v>20190312164122741</v>
      </c>
      <c r="B4727" t="str">
        <f>"1552380082731166"</f>
        <v>1552380082731166</v>
      </c>
      <c r="C4727" t="s">
        <v>40</v>
      </c>
      <c r="D4727">
        <v>5.2980119999999999</v>
      </c>
      <c r="E4727">
        <v>0.48180149999999999</v>
      </c>
      <c r="F4727" t="s">
        <v>41</v>
      </c>
      <c r="G4727">
        <v>-374.77730000000003</v>
      </c>
      <c r="H4727" s="1">
        <v>-2.2289529999999999E-6</v>
      </c>
      <c r="I4727">
        <v>139.58179999999999</v>
      </c>
      <c r="J4727">
        <v>-357.28930000000003</v>
      </c>
      <c r="K4727">
        <v>1.1102209999999999</v>
      </c>
      <c r="L4727">
        <v>141.3767</v>
      </c>
      <c r="M4727">
        <v>-0.99988650000000001</v>
      </c>
      <c r="N4727">
        <v>0</v>
      </c>
      <c r="O4727">
        <v>2.0790439999999999E-3</v>
      </c>
      <c r="P4727">
        <v>-0.97931310000000005</v>
      </c>
      <c r="Q4727">
        <v>0.1980384</v>
      </c>
      <c r="R4727">
        <v>-4.1557160000000003E-2</v>
      </c>
      <c r="S4727">
        <v>-3.0889280000000001</v>
      </c>
      <c r="T4727">
        <v>-0.1923482</v>
      </c>
      <c r="U4727">
        <v>-0.31082149999999997</v>
      </c>
      <c r="V4727">
        <v>-4.3495399999999997E-2</v>
      </c>
      <c r="W4727">
        <v>0.21266070000000001</v>
      </c>
      <c r="X4727">
        <v>0.97615750000000001</v>
      </c>
      <c r="Y4727">
        <v>-0.10198790000000001</v>
      </c>
      <c r="Z4727">
        <v>-3.2933939999999998E-3</v>
      </c>
      <c r="AA4727">
        <v>0.9947802</v>
      </c>
      <c r="AB4727">
        <v>38</v>
      </c>
      <c r="AC4727">
        <v>-17.488</v>
      </c>
      <c r="AD4727">
        <v>-1.1102232289530001</v>
      </c>
      <c r="AE4727">
        <v>-1.7949000000000099</v>
      </c>
      <c r="AF4727">
        <v>-1.8239838698247901</v>
      </c>
      <c r="AG4727">
        <v>-1.1102232289530001</v>
      </c>
      <c r="AH4727">
        <v>17.414774518041899</v>
      </c>
      <c r="AI4727">
        <v>93.627980827970703</v>
      </c>
      <c r="AJ4727">
        <v>95.979229180415203</v>
      </c>
      <c r="AK4727">
        <v>17.545195475962299</v>
      </c>
      <c r="AL4727">
        <v>77.721677502198006</v>
      </c>
      <c r="AM4727">
        <v>92.551284542529501</v>
      </c>
      <c r="AN4727">
        <v>0.99999994397594805</v>
      </c>
    </row>
    <row r="4728" spans="1:40" x14ac:dyDescent="0.25">
      <c r="A4728" t="str">
        <f>"20190312164122775"</f>
        <v>20190312164122775</v>
      </c>
      <c r="B4728" t="str">
        <f>"1552380082770714"</f>
        <v>1552380082770714</v>
      </c>
      <c r="C4728" t="s">
        <v>40</v>
      </c>
      <c r="D4728">
        <v>5.4065320000000003</v>
      </c>
      <c r="E4728">
        <v>0.48130689999999998</v>
      </c>
      <c r="F4728" t="s">
        <v>41</v>
      </c>
      <c r="G4728">
        <v>-375.3999</v>
      </c>
      <c r="H4728" s="1">
        <v>-1.974251E-6</v>
      </c>
      <c r="I4728">
        <v>139.5119</v>
      </c>
      <c r="J4728">
        <v>-357.86279999999999</v>
      </c>
      <c r="K4728">
        <v>1.1102339999999999</v>
      </c>
      <c r="L4728">
        <v>141.37819999999999</v>
      </c>
      <c r="M4728">
        <v>-0.99988600000000005</v>
      </c>
      <c r="N4728">
        <v>0</v>
      </c>
      <c r="O4728">
        <v>2.337769E-3</v>
      </c>
      <c r="P4728">
        <v>-0.97923550000000004</v>
      </c>
      <c r="Q4728">
        <v>0.19787959999999999</v>
      </c>
      <c r="R4728">
        <v>-4.4063739999999997E-2</v>
      </c>
      <c r="S4728">
        <v>-3.0881349999999999</v>
      </c>
      <c r="T4728">
        <v>-0.1893107</v>
      </c>
      <c r="U4728">
        <v>-0.31797789999999998</v>
      </c>
      <c r="V4728">
        <v>-4.6254360000000001E-2</v>
      </c>
      <c r="W4728">
        <v>0.2124953</v>
      </c>
      <c r="X4728">
        <v>0.97606680000000001</v>
      </c>
      <c r="Y4728">
        <v>-0.10455299999999999</v>
      </c>
      <c r="Z4728">
        <v>-3.3360809999999999E-3</v>
      </c>
      <c r="AA4728">
        <v>0.9945138</v>
      </c>
      <c r="AB4728">
        <v>38</v>
      </c>
      <c r="AC4728">
        <v>-17.537099999999999</v>
      </c>
      <c r="AD4728">
        <v>-1.110235974251</v>
      </c>
      <c r="AE4728">
        <v>-1.8662999999999901</v>
      </c>
      <c r="AF4728">
        <v>-1.89976836592632</v>
      </c>
      <c r="AG4728">
        <v>-1.110235974251</v>
      </c>
      <c r="AH4728">
        <v>17.463480810965201</v>
      </c>
      <c r="AI4728">
        <v>93.616389285261405</v>
      </c>
      <c r="AJ4728">
        <v>96.208519022246804</v>
      </c>
      <c r="AK4728">
        <v>17.6015597546821</v>
      </c>
      <c r="AL4728">
        <v>77.731377313284</v>
      </c>
      <c r="AM4728">
        <v>92.713132410253706</v>
      </c>
      <c r="AN4728">
        <v>1.0000000582016599</v>
      </c>
    </row>
    <row r="4729" spans="1:40" x14ac:dyDescent="0.25">
      <c r="A4729" t="str">
        <f>"20190312164122799"</f>
        <v>20190312164122799</v>
      </c>
      <c r="B4729" t="str">
        <f>"1552380082791209"</f>
        <v>1552380082791209</v>
      </c>
      <c r="C4729" t="s">
        <v>40</v>
      </c>
      <c r="D4729">
        <v>5.4100210000000004</v>
      </c>
      <c r="E4729">
        <v>0.48102129999999998</v>
      </c>
      <c r="F4729" t="s">
        <v>41</v>
      </c>
      <c r="G4729">
        <v>-376.18189999999998</v>
      </c>
      <c r="H4729" s="1">
        <v>-1.6541059999999999E-6</v>
      </c>
      <c r="I4729">
        <v>139.4254</v>
      </c>
      <c r="J4729">
        <v>-358.25979999999998</v>
      </c>
      <c r="K4729">
        <v>1.1102379999999901</v>
      </c>
      <c r="L4729">
        <v>141.3793</v>
      </c>
      <c r="M4729">
        <v>-0.99988560000000004</v>
      </c>
      <c r="N4729">
        <v>0</v>
      </c>
      <c r="O4729">
        <v>2.5235639999999998E-3</v>
      </c>
      <c r="P4729">
        <v>-0.9791552</v>
      </c>
      <c r="Q4729">
        <v>0.1980761</v>
      </c>
      <c r="R4729">
        <v>-4.49588E-2</v>
      </c>
      <c r="S4729">
        <v>-3.0866389999999999</v>
      </c>
      <c r="T4729">
        <v>-0.18706690000000001</v>
      </c>
      <c r="U4729">
        <v>-0.32902530000000002</v>
      </c>
      <c r="V4729">
        <v>-4.7330240000000003E-2</v>
      </c>
      <c r="W4729">
        <v>0.21268680000000001</v>
      </c>
      <c r="X4729">
        <v>0.97597339999999999</v>
      </c>
      <c r="Y4729">
        <v>-0.10830430000000001</v>
      </c>
      <c r="Z4729">
        <v>-3.4220600000000002E-3</v>
      </c>
      <c r="AA4729">
        <v>0.99411190000000005</v>
      </c>
      <c r="AB4729">
        <v>38</v>
      </c>
      <c r="AC4729">
        <v>-17.9221</v>
      </c>
      <c r="AD4729">
        <v>-1.11023965410599</v>
      </c>
      <c r="AE4729">
        <v>-1.9539</v>
      </c>
      <c r="AF4729">
        <v>-1.99157335626603</v>
      </c>
      <c r="AG4729">
        <v>-1.11023965410599</v>
      </c>
      <c r="AH4729">
        <v>17.849417879950501</v>
      </c>
      <c r="AI4729">
        <v>93.537336647044199</v>
      </c>
      <c r="AJ4729">
        <v>96.366523005611498</v>
      </c>
      <c r="AK4729">
        <v>17.9944634589652</v>
      </c>
      <c r="AL4729">
        <v>77.7201471711941</v>
      </c>
      <c r="AM4729">
        <v>92.776407734546396</v>
      </c>
      <c r="AN4729">
        <v>0.99999995201012704</v>
      </c>
    </row>
    <row r="4730" spans="1:40" x14ac:dyDescent="0.25">
      <c r="A4730" t="str">
        <f>"20190312164122819"</f>
        <v>20190312164122819</v>
      </c>
      <c r="B4730" t="str">
        <f>"1552380082810730"</f>
        <v>1552380082810730</v>
      </c>
      <c r="C4730" t="s">
        <v>40</v>
      </c>
      <c r="D4730">
        <v>5.4170049999999996</v>
      </c>
      <c r="E4730">
        <v>0.4807881</v>
      </c>
      <c r="F4730" t="s">
        <v>41</v>
      </c>
      <c r="G4730">
        <v>-376.66210000000001</v>
      </c>
      <c r="H4730" s="1">
        <v>-1.4547239999999901E-6</v>
      </c>
      <c r="I4730">
        <v>139.38810000000001</v>
      </c>
      <c r="J4730">
        <v>-358.61590000000001</v>
      </c>
      <c r="K4730">
        <v>1.1102369999999999</v>
      </c>
      <c r="L4730">
        <v>141.38040000000001</v>
      </c>
      <c r="M4730">
        <v>-0.99988520000000003</v>
      </c>
      <c r="N4730">
        <v>0</v>
      </c>
      <c r="O4730">
        <v>2.7045010000000002E-3</v>
      </c>
      <c r="P4730">
        <v>-0.97898399999999997</v>
      </c>
      <c r="Q4730">
        <v>0.19856570000000001</v>
      </c>
      <c r="R4730">
        <v>-4.650439E-2</v>
      </c>
      <c r="S4730">
        <v>-3.0862120000000002</v>
      </c>
      <c r="T4730">
        <v>-0.18619669999999999</v>
      </c>
      <c r="U4730">
        <v>-0.33392329999999998</v>
      </c>
      <c r="V4730">
        <v>-4.904816E-2</v>
      </c>
      <c r="W4730">
        <v>0.21317179999999999</v>
      </c>
      <c r="X4730">
        <v>0.97578279999999995</v>
      </c>
      <c r="Y4730">
        <v>-0.11005669999999999</v>
      </c>
      <c r="Z4730">
        <v>-3.4698860000000002E-3</v>
      </c>
      <c r="AA4730">
        <v>0.99391929999999995</v>
      </c>
      <c r="AB4730">
        <v>38</v>
      </c>
      <c r="AC4730">
        <v>-18.046199999999999</v>
      </c>
      <c r="AD4730">
        <v>-1.1102384547239901</v>
      </c>
      <c r="AE4730">
        <v>-1.9923</v>
      </c>
      <c r="AF4730">
        <v>-2.03350007108169</v>
      </c>
      <c r="AG4730">
        <v>-1.1102384547239901</v>
      </c>
      <c r="AH4730">
        <v>17.9735353097245</v>
      </c>
      <c r="AI4730">
        <v>93.512359590078404</v>
      </c>
      <c r="AJ4730">
        <v>96.454914220092306</v>
      </c>
      <c r="AK4730">
        <v>18.122243886874202</v>
      </c>
      <c r="AL4730">
        <v>77.691707173166904</v>
      </c>
      <c r="AM4730">
        <v>92.877576171035102</v>
      </c>
      <c r="AN4730">
        <v>1.0000000055452301</v>
      </c>
    </row>
    <row r="4731" spans="1:40" x14ac:dyDescent="0.25">
      <c r="A4731" t="str">
        <f>"20190312164122841"</f>
        <v>20190312164122841</v>
      </c>
      <c r="B4731" t="str">
        <f>"1552380082831226"</f>
        <v>1552380082831226</v>
      </c>
      <c r="C4731" t="s">
        <v>40</v>
      </c>
      <c r="D4731">
        <v>5.4585710000000001</v>
      </c>
      <c r="E4731">
        <v>0.4805123</v>
      </c>
      <c r="F4731" t="s">
        <v>41</v>
      </c>
      <c r="G4731">
        <v>-377.2475</v>
      </c>
      <c r="H4731" s="1">
        <v>-1.2143589999999999E-6</v>
      </c>
      <c r="I4731">
        <v>139.32730000000001</v>
      </c>
      <c r="J4731">
        <v>-358.99009999999998</v>
      </c>
      <c r="K4731">
        <v>1.1102299999999901</v>
      </c>
      <c r="L4731">
        <v>141.38159999999999</v>
      </c>
      <c r="M4731">
        <v>-0.99988449999999995</v>
      </c>
      <c r="N4731">
        <v>0</v>
      </c>
      <c r="O4731">
        <v>2.911514E-3</v>
      </c>
      <c r="P4731">
        <v>-0.97863489999999997</v>
      </c>
      <c r="Q4731">
        <v>0.20001099999999999</v>
      </c>
      <c r="R4731">
        <v>-4.7639590000000002E-2</v>
      </c>
      <c r="S4731">
        <v>-3.0855410000000001</v>
      </c>
      <c r="T4731">
        <v>-0.18386440000000001</v>
      </c>
      <c r="U4731">
        <v>-0.33998109999999998</v>
      </c>
      <c r="V4731">
        <v>-5.0377489999999997E-2</v>
      </c>
      <c r="W4731">
        <v>0.2146092</v>
      </c>
      <c r="X4731">
        <v>0.97539989999999999</v>
      </c>
      <c r="Y4731">
        <v>-0.11221449999999999</v>
      </c>
      <c r="Z4731">
        <v>-3.503206E-3</v>
      </c>
      <c r="AA4731">
        <v>0.9936779</v>
      </c>
      <c r="AB4731">
        <v>38</v>
      </c>
      <c r="AC4731">
        <v>-18.257400000000001</v>
      </c>
      <c r="AD4731">
        <v>-1.1102312143590001</v>
      </c>
      <c r="AE4731">
        <v>-2.05429999999998</v>
      </c>
      <c r="AF4731">
        <v>-2.0997862676580401</v>
      </c>
      <c r="AG4731">
        <v>-1.1102312143590001</v>
      </c>
      <c r="AH4731">
        <v>18.184936398828501</v>
      </c>
      <c r="AI4731">
        <v>93.470695783998295</v>
      </c>
      <c r="AJ4731">
        <v>96.586684398026705</v>
      </c>
      <c r="AK4731">
        <v>18.339400959372099</v>
      </c>
      <c r="AL4731">
        <v>77.6073988354633</v>
      </c>
      <c r="AM4731">
        <v>92.956587481872404</v>
      </c>
      <c r="AN4731">
        <v>0.999999982571674</v>
      </c>
    </row>
    <row r="4732" spans="1:40" x14ac:dyDescent="0.25">
      <c r="A4732" t="str">
        <f>"20190312164122865"</f>
        <v>20190312164122865</v>
      </c>
      <c r="B4732" t="str">
        <f>"1552380082861010"</f>
        <v>1552380082861010</v>
      </c>
      <c r="C4732" t="s">
        <v>40</v>
      </c>
      <c r="D4732">
        <v>5.4085449999999904</v>
      </c>
      <c r="E4732">
        <v>0.48017910000000003</v>
      </c>
      <c r="F4732" t="s">
        <v>41</v>
      </c>
      <c r="G4732">
        <v>-378.0942</v>
      </c>
      <c r="H4732" s="1">
        <v>-8.6545579999999998E-7</v>
      </c>
      <c r="I4732">
        <v>139.2465</v>
      </c>
      <c r="J4732">
        <v>-359.38130000000001</v>
      </c>
      <c r="K4732">
        <v>1.1102099999999999</v>
      </c>
      <c r="L4732">
        <v>141.38290000000001</v>
      </c>
      <c r="M4732">
        <v>-0.999884</v>
      </c>
      <c r="N4732">
        <v>0</v>
      </c>
      <c r="O4732">
        <v>3.1542240000000002E-3</v>
      </c>
      <c r="P4732">
        <v>-0.97839180000000003</v>
      </c>
      <c r="Q4732">
        <v>0.20084779999999999</v>
      </c>
      <c r="R4732">
        <v>-4.9091179999999998E-2</v>
      </c>
      <c r="S4732">
        <v>-3.0853579999999998</v>
      </c>
      <c r="T4732">
        <v>-0.17930450000000001</v>
      </c>
      <c r="U4732">
        <v>-0.34480290000000002</v>
      </c>
      <c r="V4732">
        <v>-5.2055530000000003E-2</v>
      </c>
      <c r="W4732">
        <v>0.21544089999999999</v>
      </c>
      <c r="X4732">
        <v>0.97512840000000001</v>
      </c>
      <c r="Y4732">
        <v>-0.1140024</v>
      </c>
      <c r="Z4732">
        <v>-3.4821819999999999E-3</v>
      </c>
      <c r="AA4732">
        <v>0.99347439999999998</v>
      </c>
      <c r="AB4732">
        <v>38</v>
      </c>
      <c r="AC4732">
        <v>-18.712899999999902</v>
      </c>
      <c r="AD4732">
        <v>-1.1102108654558001</v>
      </c>
      <c r="AE4732">
        <v>-2.1364000000000001</v>
      </c>
      <c r="AF4732">
        <v>-2.1878188095851598</v>
      </c>
      <c r="AG4732">
        <v>-1.1102108654558001</v>
      </c>
      <c r="AH4732">
        <v>18.6412964321026</v>
      </c>
      <c r="AI4732">
        <v>93.385132038617996</v>
      </c>
      <c r="AJ4732">
        <v>96.693844753304106</v>
      </c>
      <c r="AK4732">
        <v>18.802049143082002</v>
      </c>
      <c r="AL4732">
        <v>77.558604506284496</v>
      </c>
      <c r="AM4732">
        <v>93.055734810266998</v>
      </c>
      <c r="AN4732">
        <v>0.999999978041475</v>
      </c>
    </row>
    <row r="4733" spans="1:40" x14ac:dyDescent="0.25">
      <c r="A4733" t="str">
        <f>"20190312164122899"</f>
        <v>20190312164122899</v>
      </c>
      <c r="B4733" t="str">
        <f>"1552380082891270"</f>
        <v>1552380082891270</v>
      </c>
      <c r="C4733" t="s">
        <v>40</v>
      </c>
      <c r="D4733">
        <v>5.4179639999999996</v>
      </c>
      <c r="E4733">
        <v>0.47987839999999998</v>
      </c>
      <c r="F4733" t="s">
        <v>41</v>
      </c>
      <c r="G4733">
        <v>-378.77859999999998</v>
      </c>
      <c r="H4733" s="1">
        <v>-5.849704E-7</v>
      </c>
      <c r="I4733">
        <v>139.17269999999999</v>
      </c>
      <c r="J4733">
        <v>-359.93770000000001</v>
      </c>
      <c r="K4733">
        <v>1.1101780000000001</v>
      </c>
      <c r="L4733">
        <v>141.38509999999999</v>
      </c>
      <c r="M4733">
        <v>-0.99988259999999995</v>
      </c>
      <c r="N4733">
        <v>0</v>
      </c>
      <c r="O4733">
        <v>3.557288E-3</v>
      </c>
      <c r="P4733">
        <v>-0.97820339999999995</v>
      </c>
      <c r="Q4733">
        <v>0.20112179999999999</v>
      </c>
      <c r="R4733">
        <v>-5.1656399999999998E-2</v>
      </c>
      <c r="S4733">
        <v>-3.0848689999999999</v>
      </c>
      <c r="T4733">
        <v>-0.17656369999999999</v>
      </c>
      <c r="U4733">
        <v>-0.35150150000000002</v>
      </c>
      <c r="V4733">
        <v>-5.4994300000000003E-2</v>
      </c>
      <c r="W4733">
        <v>0.2157124</v>
      </c>
      <c r="X4733">
        <v>0.97490699999999997</v>
      </c>
      <c r="Y4733">
        <v>-0.11655119999999999</v>
      </c>
      <c r="Z4733">
        <v>-3.5247920000000001E-3</v>
      </c>
      <c r="AA4733">
        <v>0.99317840000000002</v>
      </c>
      <c r="AB4733">
        <v>38</v>
      </c>
      <c r="AC4733">
        <v>-18.840899999999898</v>
      </c>
      <c r="AD4733">
        <v>-1.11017858497039</v>
      </c>
      <c r="AE4733">
        <v>-2.2124000000000001</v>
      </c>
      <c r="AF4733">
        <v>-2.2716360569334402</v>
      </c>
      <c r="AG4733">
        <v>-1.11017858497039</v>
      </c>
      <c r="AH4733">
        <v>18.768630978029702</v>
      </c>
      <c r="AI4733">
        <v>93.360674786997393</v>
      </c>
      <c r="AJ4733">
        <v>96.901149754452305</v>
      </c>
      <c r="AK4733">
        <v>18.938171391534699</v>
      </c>
      <c r="AL4733">
        <v>77.5426735923038</v>
      </c>
      <c r="AM4733">
        <v>93.228621281472599</v>
      </c>
      <c r="AN4733">
        <v>0.99999993559762201</v>
      </c>
    </row>
    <row r="4734" spans="1:40" x14ac:dyDescent="0.25">
      <c r="A4734" t="str">
        <f>"20190312164122920"</f>
        <v>20190312164122920</v>
      </c>
      <c r="B4734" t="str">
        <f>"1552380082910787"</f>
        <v>1552380082910787</v>
      </c>
      <c r="C4734" t="s">
        <v>40</v>
      </c>
      <c r="D4734">
        <v>5.6367229999999999</v>
      </c>
      <c r="E4734">
        <v>0.47971950000000002</v>
      </c>
      <c r="F4734" t="s">
        <v>41</v>
      </c>
      <c r="G4734">
        <v>-379.38099999999997</v>
      </c>
      <c r="H4734" s="1">
        <v>-3.3818150000000002E-7</v>
      </c>
      <c r="I4734">
        <v>139.1071</v>
      </c>
      <c r="J4734">
        <v>-360.31389999999999</v>
      </c>
      <c r="K4734">
        <v>1.1101479999999999</v>
      </c>
      <c r="L4734">
        <v>141.38669999999999</v>
      </c>
      <c r="M4734">
        <v>-0.99988149999999998</v>
      </c>
      <c r="N4734">
        <v>0</v>
      </c>
      <c r="O4734">
        <v>3.880592E-3</v>
      </c>
      <c r="P4734">
        <v>-0.97812069999999995</v>
      </c>
      <c r="Q4734">
        <v>0.2011213</v>
      </c>
      <c r="R4734">
        <v>-5.3197250000000001E-2</v>
      </c>
      <c r="S4734">
        <v>-3.0839840000000001</v>
      </c>
      <c r="T4734">
        <v>-0.17609040000000001</v>
      </c>
      <c r="U4734">
        <v>-0.36131289999999999</v>
      </c>
      <c r="V4734">
        <v>-5.6834610000000001E-2</v>
      </c>
      <c r="W4734">
        <v>0.2157124</v>
      </c>
      <c r="X4734">
        <v>0.97480149999999999</v>
      </c>
      <c r="Y4734">
        <v>-0.1200166</v>
      </c>
      <c r="Z4734">
        <v>-3.6326259999999999E-3</v>
      </c>
      <c r="AA4734">
        <v>0.99276520000000001</v>
      </c>
      <c r="AB4734">
        <v>38</v>
      </c>
      <c r="AC4734">
        <v>-19.0670999999999</v>
      </c>
      <c r="AD4734">
        <v>-1.1101483381814901</v>
      </c>
      <c r="AE4734">
        <v>-2.2795999999999799</v>
      </c>
      <c r="AF4734">
        <v>-2.3457428004373901</v>
      </c>
      <c r="AG4734">
        <v>-1.1101483381814901</v>
      </c>
      <c r="AH4734">
        <v>18.994625891535598</v>
      </c>
      <c r="AI4734">
        <v>93.319707510450499</v>
      </c>
      <c r="AJ4734">
        <v>97.040101536162098</v>
      </c>
      <c r="AK4734">
        <v>19.171091554159499</v>
      </c>
      <c r="AL4734">
        <v>77.542674260707301</v>
      </c>
      <c r="AM4734">
        <v>93.3367828730632</v>
      </c>
      <c r="AN4734">
        <v>0.99999998840492998</v>
      </c>
    </row>
    <row r="4735" spans="1:40" x14ac:dyDescent="0.25">
      <c r="A4735" t="str">
        <f>"20190312164122942"</f>
        <v>20190312164122942</v>
      </c>
      <c r="B4735" t="str">
        <f>"1552380082931282"</f>
        <v>1552380082931282</v>
      </c>
      <c r="C4735" t="s">
        <v>40</v>
      </c>
      <c r="D4735">
        <v>5.4723280000000001</v>
      </c>
      <c r="E4735">
        <v>0.47951179999999899</v>
      </c>
      <c r="F4735" t="s">
        <v>41</v>
      </c>
      <c r="G4735">
        <v>-379.77420000000001</v>
      </c>
      <c r="H4735" s="1">
        <v>-2.0946E-7</v>
      </c>
      <c r="I4735">
        <v>139.06540000000001</v>
      </c>
      <c r="J4735">
        <v>-360.69189999999998</v>
      </c>
      <c r="K4735">
        <v>1.1101240000000001</v>
      </c>
      <c r="L4735">
        <v>141.38849999999999</v>
      </c>
      <c r="M4735">
        <v>-0.99987999999999999</v>
      </c>
      <c r="N4735">
        <v>0</v>
      </c>
      <c r="O4735">
        <v>4.2373070000000001E-3</v>
      </c>
      <c r="P4735">
        <v>-0.97813320000000004</v>
      </c>
      <c r="Q4735">
        <v>0.2006916</v>
      </c>
      <c r="R4735">
        <v>-5.4575709999999999E-2</v>
      </c>
      <c r="S4735">
        <v>-3.0832519999999999</v>
      </c>
      <c r="T4735">
        <v>-0.17589070000000001</v>
      </c>
      <c r="U4735">
        <v>-0.36776730000000002</v>
      </c>
      <c r="V4735">
        <v>-5.8546559999999997E-2</v>
      </c>
      <c r="W4735">
        <v>0.215284</v>
      </c>
      <c r="X4735">
        <v>0.97479490000000002</v>
      </c>
      <c r="Y4735">
        <v>-0.1224432</v>
      </c>
      <c r="Z4735">
        <v>-3.7181060000000001E-3</v>
      </c>
      <c r="AA4735">
        <v>0.99246849999999998</v>
      </c>
      <c r="AB4735">
        <v>38</v>
      </c>
      <c r="AC4735">
        <v>-19.0823</v>
      </c>
      <c r="AD4735">
        <v>-1.1101242094599999</v>
      </c>
      <c r="AE4735">
        <v>-2.3230999999999802</v>
      </c>
      <c r="AF4735">
        <v>-2.3959552354275901</v>
      </c>
      <c r="AG4735">
        <v>-1.1101242094599999</v>
      </c>
      <c r="AH4735">
        <v>19.008889739007699</v>
      </c>
      <c r="AI4735">
        <v>93.316113837746897</v>
      </c>
      <c r="AJ4735">
        <v>97.183901549972006</v>
      </c>
      <c r="AK4735">
        <v>19.1914268974549</v>
      </c>
      <c r="AL4735">
        <v>77.567810495214502</v>
      </c>
      <c r="AM4735">
        <v>93.437077921306297</v>
      </c>
      <c r="AN4735">
        <v>0.99999999870492096</v>
      </c>
    </row>
    <row r="4736" spans="1:40" x14ac:dyDescent="0.25">
      <c r="A4736" t="str">
        <f>"20190312164122964"</f>
        <v>20190312164122964</v>
      </c>
      <c r="B4736" t="str">
        <f>"1552380082961072"</f>
        <v>1552380082961072</v>
      </c>
      <c r="C4736" t="s">
        <v>40</v>
      </c>
      <c r="D4736">
        <v>5.325056</v>
      </c>
      <c r="E4736">
        <v>0.45365240000000001</v>
      </c>
      <c r="F4736" t="s">
        <v>41</v>
      </c>
      <c r="G4736">
        <v>-380.08229999999998</v>
      </c>
      <c r="H4736" s="1">
        <v>-4.3396949999999998E-6</v>
      </c>
      <c r="I4736">
        <v>139.03710000000001</v>
      </c>
      <c r="J4736">
        <v>-361.06119999999999</v>
      </c>
      <c r="K4736">
        <v>1.1100969999999999</v>
      </c>
      <c r="L4736">
        <v>141.3905</v>
      </c>
      <c r="M4736">
        <v>-0.99987859999999995</v>
      </c>
      <c r="N4736">
        <v>0</v>
      </c>
      <c r="O4736">
        <v>4.6118219999999998E-3</v>
      </c>
      <c r="P4736">
        <v>-0.97821170000000002</v>
      </c>
      <c r="Q4736">
        <v>0.20001659999999999</v>
      </c>
      <c r="R4736">
        <v>-5.5638220000000002E-2</v>
      </c>
      <c r="S4736">
        <v>-3.0824280000000002</v>
      </c>
      <c r="T4736">
        <v>-0.17647389999999999</v>
      </c>
      <c r="U4736">
        <v>-0.37379459999999998</v>
      </c>
      <c r="V4736">
        <v>-5.9963530000000001E-2</v>
      </c>
      <c r="W4736">
        <v>0.2146111</v>
      </c>
      <c r="X4736">
        <v>0.97485719999999998</v>
      </c>
      <c r="Y4736">
        <v>-0.12475310000000001</v>
      </c>
      <c r="Z4736">
        <v>-3.8181460000000001E-3</v>
      </c>
      <c r="AA4736">
        <v>0.99218050000000002</v>
      </c>
      <c r="AB4736">
        <v>38</v>
      </c>
      <c r="AC4736">
        <v>-19.021099999999901</v>
      </c>
      <c r="AD4736">
        <v>-1.1101013396949999</v>
      </c>
      <c r="AE4736">
        <v>-2.3533999999999899</v>
      </c>
      <c r="AF4736">
        <v>-2.4329447659184198</v>
      </c>
      <c r="AG4736">
        <v>-1.1101013396949999</v>
      </c>
      <c r="AH4736">
        <v>18.9464828830139</v>
      </c>
      <c r="AI4736">
        <v>93.325959949914306</v>
      </c>
      <c r="AJ4736">
        <v>97.3173877318725</v>
      </c>
      <c r="AK4736">
        <v>19.134282292647999</v>
      </c>
      <c r="AL4736">
        <v>77.607288285572295</v>
      </c>
      <c r="AM4736">
        <v>93.519832525833195</v>
      </c>
      <c r="AN4736">
        <v>1.0000000547825501</v>
      </c>
    </row>
    <row r="4737" spans="1:40" x14ac:dyDescent="0.25">
      <c r="A4737" t="str">
        <f>"20190312164122989"</f>
        <v>20190312164122989</v>
      </c>
      <c r="B4737" t="str">
        <f>"1552380082980591"</f>
        <v>1552380082980591</v>
      </c>
      <c r="C4737" t="s">
        <v>40</v>
      </c>
      <c r="D4737">
        <v>5.3496119999999996</v>
      </c>
      <c r="E4737">
        <v>0.45216479999999998</v>
      </c>
      <c r="F4737" t="s">
        <v>41</v>
      </c>
      <c r="G4737">
        <v>-393.67020000000002</v>
      </c>
      <c r="H4737" s="1">
        <v>-3.4807669999999999E-6</v>
      </c>
      <c r="I4737">
        <v>135.202</v>
      </c>
      <c r="J4737">
        <v>-361.46600000000001</v>
      </c>
      <c r="K4737">
        <v>1.110077</v>
      </c>
      <c r="L4737">
        <v>141.39279999999999</v>
      </c>
      <c r="M4737">
        <v>-0.99987649999999995</v>
      </c>
      <c r="N4737">
        <v>0</v>
      </c>
      <c r="O4737">
        <v>5.0452220000000002E-3</v>
      </c>
      <c r="P4737">
        <v>-0.97822180000000003</v>
      </c>
      <c r="Q4737">
        <v>0.19974249999999999</v>
      </c>
      <c r="R4737">
        <v>-5.6439749999999997E-2</v>
      </c>
      <c r="S4737">
        <v>-3.0551149999999998</v>
      </c>
      <c r="T4737">
        <v>-0.1040046</v>
      </c>
      <c r="U4737">
        <v>-0.57978819999999998</v>
      </c>
      <c r="V4737">
        <v>-6.1177719999999998E-2</v>
      </c>
      <c r="W4737">
        <v>0.21433679999999999</v>
      </c>
      <c r="X4737">
        <v>0.97484210000000004</v>
      </c>
      <c r="Y4737">
        <v>-0.19129360000000001</v>
      </c>
      <c r="Z4737">
        <v>-3.3965979999999998E-3</v>
      </c>
      <c r="AA4737">
        <v>0.98152700000000004</v>
      </c>
      <c r="AB4737">
        <v>37</v>
      </c>
      <c r="AC4737">
        <v>-32.2042</v>
      </c>
      <c r="AD4737">
        <v>-1.1100804807669999</v>
      </c>
      <c r="AE4737">
        <v>-6.1907999999999896</v>
      </c>
      <c r="AF4737">
        <v>-6.3459450883313098</v>
      </c>
      <c r="AG4737">
        <v>-1.1100804807669999</v>
      </c>
      <c r="AH4737">
        <v>32.135730198491501</v>
      </c>
      <c r="AI4737">
        <v>91.940956866831499</v>
      </c>
      <c r="AJ4737">
        <v>101.170657697986</v>
      </c>
      <c r="AK4737">
        <v>32.775119422027103</v>
      </c>
      <c r="AL4737">
        <v>77.623378873737593</v>
      </c>
      <c r="AM4737">
        <v>93.5909757683321</v>
      </c>
      <c r="AN4737">
        <v>1.0000000485955201</v>
      </c>
    </row>
    <row r="4738" spans="1:40" x14ac:dyDescent="0.25">
      <c r="A4738" t="str">
        <f>"20190312164123009"</f>
        <v>20190312164123009</v>
      </c>
      <c r="B4738" t="str">
        <f>"1552380083001087"</f>
        <v>1552380083001087</v>
      </c>
      <c r="C4738" t="s">
        <v>40</v>
      </c>
      <c r="D4738">
        <v>5.3130759999999997</v>
      </c>
      <c r="E4738">
        <v>0.45110610000000001</v>
      </c>
      <c r="F4738" t="s">
        <v>41</v>
      </c>
      <c r="G4738">
        <v>-389.42250000000001</v>
      </c>
      <c r="H4738" s="1">
        <v>-1.159307E-6</v>
      </c>
      <c r="I4738">
        <v>135.9453</v>
      </c>
      <c r="J4738">
        <v>-361.81139999999999</v>
      </c>
      <c r="K4738">
        <v>1.110063</v>
      </c>
      <c r="L4738">
        <v>141.39490000000001</v>
      </c>
      <c r="M4738">
        <v>-0.9998745</v>
      </c>
      <c r="N4738">
        <v>0</v>
      </c>
      <c r="O4738">
        <v>5.4280020000000003E-3</v>
      </c>
      <c r="P4738">
        <v>-0.97810010000000003</v>
      </c>
      <c r="Q4738">
        <v>0.20006360000000001</v>
      </c>
      <c r="R4738">
        <v>-5.7401899999999999E-2</v>
      </c>
      <c r="S4738">
        <v>-3.0571899999999999</v>
      </c>
      <c r="T4738">
        <v>-0.1213928</v>
      </c>
      <c r="U4738">
        <v>-0.59570310000000004</v>
      </c>
      <c r="V4738">
        <v>-6.250588E-2</v>
      </c>
      <c r="W4738">
        <v>0.21465529999999999</v>
      </c>
      <c r="X4738">
        <v>0.97468770000000005</v>
      </c>
      <c r="Y4738">
        <v>-0.19642850000000001</v>
      </c>
      <c r="Z4738">
        <v>-4.0755080000000003E-3</v>
      </c>
      <c r="AA4738">
        <v>0.98050970000000004</v>
      </c>
      <c r="AB4738">
        <v>37</v>
      </c>
      <c r="AC4738">
        <v>-27.6111</v>
      </c>
      <c r="AD4738">
        <v>-1.110064159307</v>
      </c>
      <c r="AE4738">
        <v>-5.4496000000000002</v>
      </c>
      <c r="AF4738">
        <v>-5.5907118144218604</v>
      </c>
      <c r="AG4738">
        <v>-1.110064159307</v>
      </c>
      <c r="AH4738">
        <v>27.538267539500399</v>
      </c>
      <c r="AI4738">
        <v>92.262236553072398</v>
      </c>
      <c r="AJ4738">
        <v>101.475999232112</v>
      </c>
      <c r="AK4738">
        <v>28.121957259529299</v>
      </c>
      <c r="AL4738">
        <v>77.604694665077503</v>
      </c>
      <c r="AM4738">
        <v>93.669304276001398</v>
      </c>
      <c r="AN4738">
        <v>0.99999999769197701</v>
      </c>
    </row>
    <row r="4739" spans="1:40" x14ac:dyDescent="0.25">
      <c r="A4739" t="str">
        <f>"20190312164123032"</f>
        <v>20190312164123032</v>
      </c>
      <c r="B4739" t="str">
        <f>"1552380083020608"</f>
        <v>1552380083020608</v>
      </c>
      <c r="C4739" t="s">
        <v>40</v>
      </c>
      <c r="D4739">
        <v>5.4342730000000001</v>
      </c>
      <c r="E4739">
        <v>0.45145269999999998</v>
      </c>
      <c r="F4739" t="s">
        <v>41</v>
      </c>
      <c r="G4739">
        <v>-385.70589999999999</v>
      </c>
      <c r="H4739" s="1">
        <v>-2.3513350000000002E-6</v>
      </c>
      <c r="I4739">
        <v>136.64580000000001</v>
      </c>
      <c r="J4739">
        <v>-362.17540000000002</v>
      </c>
      <c r="K4739">
        <v>1.110053</v>
      </c>
      <c r="L4739">
        <v>141.3972</v>
      </c>
      <c r="M4739">
        <v>-0.99987230000000005</v>
      </c>
      <c r="N4739">
        <v>0</v>
      </c>
      <c r="O4739">
        <v>5.8385679999999997E-3</v>
      </c>
      <c r="P4739">
        <v>-0.97796629999999996</v>
      </c>
      <c r="Q4739">
        <v>0.20049030000000001</v>
      </c>
      <c r="R4739">
        <v>-5.818914E-2</v>
      </c>
      <c r="S4739">
        <v>-3.0605769999999999</v>
      </c>
      <c r="T4739">
        <v>-0.14218520000000001</v>
      </c>
      <c r="U4739">
        <v>-0.60827640000000005</v>
      </c>
      <c r="V4739">
        <v>-6.3688170000000002E-2</v>
      </c>
      <c r="W4739">
        <v>0.2150782</v>
      </c>
      <c r="X4739">
        <v>0.97451790000000005</v>
      </c>
      <c r="Y4739">
        <v>-0.2004428</v>
      </c>
      <c r="Z4739">
        <v>-4.8770200000000001E-3</v>
      </c>
      <c r="AA4739">
        <v>0.97969329999999999</v>
      </c>
      <c r="AB4739">
        <v>37</v>
      </c>
      <c r="AC4739">
        <v>-23.5304999999999</v>
      </c>
      <c r="AD4739">
        <v>-1.110055351335</v>
      </c>
      <c r="AE4739">
        <v>-4.7513999999999896</v>
      </c>
      <c r="AF4739">
        <v>-4.8782873350623497</v>
      </c>
      <c r="AG4739">
        <v>-1.110055351335</v>
      </c>
      <c r="AH4739">
        <v>23.452206319802102</v>
      </c>
      <c r="AI4739">
        <v>92.653230729075005</v>
      </c>
      <c r="AJ4739">
        <v>101.75051847968901</v>
      </c>
      <c r="AK4739">
        <v>23.979905993831999</v>
      </c>
      <c r="AL4739">
        <v>77.579884534669404</v>
      </c>
      <c r="AM4739">
        <v>93.739163199885795</v>
      </c>
      <c r="AN4739">
        <v>0.99999997626679904</v>
      </c>
    </row>
    <row r="4740" spans="1:40" x14ac:dyDescent="0.25">
      <c r="A4740" t="str">
        <f>"20190312164123054"</f>
        <v>20190312164123054</v>
      </c>
      <c r="B4740" t="str">
        <f>"1552380083051177"</f>
        <v>1552380083051177</v>
      </c>
      <c r="C4740" t="s">
        <v>40</v>
      </c>
      <c r="D4740">
        <v>5.3844750000000001</v>
      </c>
      <c r="E4740">
        <v>0.45195760000000001</v>
      </c>
      <c r="F4740" t="s">
        <v>41</v>
      </c>
      <c r="G4740">
        <v>-385.31099999999998</v>
      </c>
      <c r="H4740" s="1">
        <v>-2.492136E-6</v>
      </c>
      <c r="I4740">
        <v>136.80709999999999</v>
      </c>
      <c r="J4740">
        <v>-362.54750000000001</v>
      </c>
      <c r="K4740">
        <v>1.1100449999999999</v>
      </c>
      <c r="L4740">
        <v>141.3998</v>
      </c>
      <c r="M4740">
        <v>-0.99986969999999997</v>
      </c>
      <c r="N4740">
        <v>0</v>
      </c>
      <c r="O4740">
        <v>6.2620879999999999E-3</v>
      </c>
      <c r="P4740">
        <v>-0.97783120000000001</v>
      </c>
      <c r="Q4740">
        <v>0.20086950000000001</v>
      </c>
      <c r="R4740">
        <v>-5.9140249999999998E-2</v>
      </c>
      <c r="S4740">
        <v>-3.0615230000000002</v>
      </c>
      <c r="T4740">
        <v>-0.1468931</v>
      </c>
      <c r="U4740">
        <v>-0.60739140000000003</v>
      </c>
      <c r="V4740">
        <v>-6.5047839999999996E-2</v>
      </c>
      <c r="W4740">
        <v>0.21545349999999999</v>
      </c>
      <c r="X4740">
        <v>0.97434520000000002</v>
      </c>
      <c r="Y4740">
        <v>-0.20051250000000001</v>
      </c>
      <c r="Z4740">
        <v>-5.0587200000000001E-3</v>
      </c>
      <c r="AA4740">
        <v>0.9796781</v>
      </c>
      <c r="AB4740">
        <v>37</v>
      </c>
      <c r="AC4740">
        <v>-22.763499999999901</v>
      </c>
      <c r="AD4740">
        <v>-1.110047492136</v>
      </c>
      <c r="AE4740">
        <v>-4.5926999999999998</v>
      </c>
      <c r="AF4740">
        <v>-4.7243777768471702</v>
      </c>
      <c r="AG4740">
        <v>-1.110047492136</v>
      </c>
      <c r="AH4740">
        <v>22.682462172814599</v>
      </c>
      <c r="AI4740">
        <v>92.742965707926501</v>
      </c>
      <c r="AJ4740">
        <v>101.765540734643</v>
      </c>
      <c r="AK4740">
        <v>23.195819473222599</v>
      </c>
      <c r="AL4740">
        <v>77.557865500979503</v>
      </c>
      <c r="AM4740">
        <v>93.819431204718896</v>
      </c>
      <c r="AN4740">
        <v>1.00000000045697</v>
      </c>
    </row>
    <row r="4741" spans="1:40" x14ac:dyDescent="0.25">
      <c r="A4741" t="str">
        <f>"20190312164123078"</f>
        <v>20190312164123078</v>
      </c>
      <c r="B4741" t="str">
        <f>"1552380083070696"</f>
        <v>1552380083070696</v>
      </c>
      <c r="C4741" t="s">
        <v>40</v>
      </c>
      <c r="D4741">
        <v>5.3341830000000003</v>
      </c>
      <c r="E4741">
        <v>0.452179</v>
      </c>
      <c r="F4741" t="s">
        <v>41</v>
      </c>
      <c r="G4741">
        <v>-386.93130000000002</v>
      </c>
      <c r="H4741" s="1">
        <v>-1.8396449999999999E-6</v>
      </c>
      <c r="I4741">
        <v>136.5746</v>
      </c>
      <c r="J4741">
        <v>-362.95609999999999</v>
      </c>
      <c r="K4741">
        <v>1.1100399999999999</v>
      </c>
      <c r="L4741">
        <v>141.40280000000001</v>
      </c>
      <c r="M4741">
        <v>-0.99986679999999994</v>
      </c>
      <c r="N4741">
        <v>0</v>
      </c>
      <c r="O4741">
        <v>6.7269570000000004E-3</v>
      </c>
      <c r="P4741">
        <v>-0.97775179999999995</v>
      </c>
      <c r="Q4741">
        <v>0.2010971</v>
      </c>
      <c r="R4741">
        <v>-5.9679490000000002E-2</v>
      </c>
      <c r="S4741">
        <v>-3.0599980000000002</v>
      </c>
      <c r="T4741">
        <v>-0.13930390000000001</v>
      </c>
      <c r="U4741">
        <v>-0.60551449999999996</v>
      </c>
      <c r="V4741">
        <v>-6.6036869999999998E-2</v>
      </c>
      <c r="W4741">
        <v>0.21567749999999999</v>
      </c>
      <c r="X4741">
        <v>0.97422909999999996</v>
      </c>
      <c r="Y4741">
        <v>-0.2005055</v>
      </c>
      <c r="Z4741">
        <v>-4.8210570000000001E-3</v>
      </c>
      <c r="AA4741">
        <v>0.97968069999999896</v>
      </c>
      <c r="AB4741">
        <v>37</v>
      </c>
      <c r="AC4741">
        <v>-23.975200000000001</v>
      </c>
      <c r="AD4741">
        <v>-1.11004183964499</v>
      </c>
      <c r="AE4741">
        <v>-4.8282000000000096</v>
      </c>
      <c r="AF4741">
        <v>-4.9791311788905004</v>
      </c>
      <c r="AG4741">
        <v>-1.11004183964499</v>
      </c>
      <c r="AH4741">
        <v>23.8929527619281</v>
      </c>
      <c r="AI4741">
        <v>92.604124654923794</v>
      </c>
      <c r="AJ4741">
        <v>101.771581592003</v>
      </c>
      <c r="AK4741">
        <v>24.431478298827699</v>
      </c>
      <c r="AL4741">
        <v>77.544722180556406</v>
      </c>
      <c r="AM4741">
        <v>93.877789180907499</v>
      </c>
      <c r="AN4741">
        <v>0.999999995746228</v>
      </c>
    </row>
    <row r="4742" spans="1:40" x14ac:dyDescent="0.25">
      <c r="A4742" t="str">
        <f>"20190312164123099"</f>
        <v>20190312164123099</v>
      </c>
      <c r="B4742" t="str">
        <f>"1552380083091192"</f>
        <v>1552380083091192</v>
      </c>
      <c r="C4742" t="s">
        <v>40</v>
      </c>
      <c r="D4742">
        <v>5.3304229999999997</v>
      </c>
      <c r="E4742">
        <v>0.4519455</v>
      </c>
      <c r="F4742" t="s">
        <v>41</v>
      </c>
      <c r="G4742">
        <v>-387.78089999999997</v>
      </c>
      <c r="H4742" s="1">
        <v>-1.5727049999999999E-6</v>
      </c>
      <c r="I4742">
        <v>136.49119999999999</v>
      </c>
      <c r="J4742">
        <v>-363.29739999999998</v>
      </c>
      <c r="K4742">
        <v>1.1100369999999999</v>
      </c>
      <c r="L4742">
        <v>141.40539999999999</v>
      </c>
      <c r="M4742">
        <v>-0.99986419999999998</v>
      </c>
      <c r="N4742">
        <v>0</v>
      </c>
      <c r="O4742">
        <v>7.1153060000000001E-3</v>
      </c>
      <c r="P4742">
        <v>-0.97782440000000004</v>
      </c>
      <c r="Q4742">
        <v>0.20066110000000001</v>
      </c>
      <c r="R4742">
        <v>-5.9957389999999999E-2</v>
      </c>
      <c r="S4742">
        <v>-3.0593870000000001</v>
      </c>
      <c r="T4742">
        <v>-0.13680100000000001</v>
      </c>
      <c r="U4742">
        <v>-0.60528559999999998</v>
      </c>
      <c r="V4742">
        <v>-6.6692890000000005E-2</v>
      </c>
      <c r="W4742">
        <v>0.21523980000000001</v>
      </c>
      <c r="X4742">
        <v>0.97428119999999996</v>
      </c>
      <c r="Y4742">
        <v>-0.20085919999999999</v>
      </c>
      <c r="Z4742">
        <v>-4.7605059999999899E-3</v>
      </c>
      <c r="AA4742">
        <v>0.97960849999999999</v>
      </c>
      <c r="AB4742">
        <v>37</v>
      </c>
      <c r="AC4742">
        <v>-24.4834999999999</v>
      </c>
      <c r="AD4742">
        <v>-1.1100385727049999</v>
      </c>
      <c r="AE4742">
        <v>-4.9141999999999904</v>
      </c>
      <c r="AF4742">
        <v>-5.0782680078483997</v>
      </c>
      <c r="AG4742">
        <v>-1.1100385727049999</v>
      </c>
      <c r="AH4742">
        <v>24.399697573624501</v>
      </c>
      <c r="AI4742">
        <v>92.550240283688296</v>
      </c>
      <c r="AJ4742">
        <v>101.757030563966</v>
      </c>
      <c r="AK4742">
        <v>24.947269054483002</v>
      </c>
      <c r="AL4742">
        <v>77.570403589730603</v>
      </c>
      <c r="AM4742">
        <v>93.915983661510197</v>
      </c>
      <c r="AN4742">
        <v>0.99999998487701502</v>
      </c>
    </row>
    <row r="4743" spans="1:40" x14ac:dyDescent="0.25">
      <c r="A4743" t="str">
        <f>"20190312164123122"</f>
        <v>20190312164123122</v>
      </c>
      <c r="B4743" t="str">
        <f>"1552380083110712"</f>
        <v>1552380083110712</v>
      </c>
      <c r="C4743" t="s">
        <v>40</v>
      </c>
      <c r="D4743">
        <v>5.5610549999999996</v>
      </c>
      <c r="E4743">
        <v>0.45310139999999999</v>
      </c>
      <c r="F4743" t="s">
        <v>41</v>
      </c>
      <c r="G4743">
        <v>-387.20780000000002</v>
      </c>
      <c r="H4743" s="1">
        <v>-1.72289E-6</v>
      </c>
      <c r="I4743">
        <v>136.65969999999999</v>
      </c>
      <c r="J4743">
        <v>-363.66980000000001</v>
      </c>
      <c r="K4743">
        <v>1.110031</v>
      </c>
      <c r="L4743">
        <v>141.4085</v>
      </c>
      <c r="M4743">
        <v>-0.99986120000000001</v>
      </c>
      <c r="N4743">
        <v>0</v>
      </c>
      <c r="O4743">
        <v>7.5377969999999997E-3</v>
      </c>
      <c r="P4743">
        <v>-0.97790630000000001</v>
      </c>
      <c r="Q4743">
        <v>0.20019020000000001</v>
      </c>
      <c r="R4743">
        <v>-6.0193490000000002E-2</v>
      </c>
      <c r="S4743">
        <v>-3.0599669999999999</v>
      </c>
      <c r="T4743">
        <v>-0.14205870000000001</v>
      </c>
      <c r="U4743">
        <v>-0.60733029999999999</v>
      </c>
      <c r="V4743">
        <v>-6.7341150000000002E-2</v>
      </c>
      <c r="W4743">
        <v>0.21476709999999999</v>
      </c>
      <c r="X4743">
        <v>0.97434089999999995</v>
      </c>
      <c r="Y4743">
        <v>-0.20185049999999999</v>
      </c>
      <c r="Z4743">
        <v>-4.9842460000000003E-3</v>
      </c>
      <c r="AA4743">
        <v>0.97940369999999999</v>
      </c>
      <c r="AB4743">
        <v>37</v>
      </c>
      <c r="AC4743">
        <v>-23.538</v>
      </c>
      <c r="AD4743">
        <v>-1.11003272289</v>
      </c>
      <c r="AE4743">
        <v>-4.7488000000000099</v>
      </c>
      <c r="AF4743">
        <v>-4.9156046400493398</v>
      </c>
      <c r="AG4743">
        <v>-1.11003272289</v>
      </c>
      <c r="AH4743">
        <v>23.451415910349699</v>
      </c>
      <c r="AI4743">
        <v>92.6524188755902</v>
      </c>
      <c r="AJ4743">
        <v>101.838266722697</v>
      </c>
      <c r="AK4743">
        <v>23.986751547955901</v>
      </c>
      <c r="AL4743">
        <v>77.598135603851901</v>
      </c>
      <c r="AM4743">
        <v>93.953685672762603</v>
      </c>
      <c r="AN4743">
        <v>0.99999996356927001</v>
      </c>
    </row>
    <row r="4744" spans="1:40" x14ac:dyDescent="0.25">
      <c r="A4744" t="str">
        <f>"20190312164123144"</f>
        <v>20190312164123144</v>
      </c>
      <c r="B4744" t="str">
        <f>"1552380083140969"</f>
        <v>1552380083140969</v>
      </c>
      <c r="C4744" t="s">
        <v>40</v>
      </c>
      <c r="D4744">
        <v>5.6312300000000004</v>
      </c>
      <c r="E4744">
        <v>0.49580740000000001</v>
      </c>
      <c r="F4744" t="s">
        <v>41</v>
      </c>
      <c r="G4744">
        <v>-385.31279999999998</v>
      </c>
      <c r="H4744" s="1">
        <v>-2.4256070000000001E-6</v>
      </c>
      <c r="I4744">
        <v>137.17789999999999</v>
      </c>
      <c r="J4744">
        <v>-364.04590000000002</v>
      </c>
      <c r="K4744">
        <v>1.1100300000000001</v>
      </c>
      <c r="L4744">
        <v>141.4117</v>
      </c>
      <c r="M4744">
        <v>-0.99985800000000002</v>
      </c>
      <c r="N4744">
        <v>0</v>
      </c>
      <c r="O4744">
        <v>7.9640839999999997E-3</v>
      </c>
      <c r="P4744">
        <v>-0.97805240000000004</v>
      </c>
      <c r="Q4744">
        <v>0.19928650000000001</v>
      </c>
      <c r="R4744">
        <v>-6.0818169999999998E-2</v>
      </c>
      <c r="S4744">
        <v>-3.0630489999999999</v>
      </c>
      <c r="T4744">
        <v>-0.1570994</v>
      </c>
      <c r="U4744">
        <v>-0.59872440000000005</v>
      </c>
      <c r="V4744">
        <v>-6.8382730000000003E-2</v>
      </c>
      <c r="W4744">
        <v>0.2138622</v>
      </c>
      <c r="X4744">
        <v>0.97446750000000004</v>
      </c>
      <c r="Y4744">
        <v>-0.1993847</v>
      </c>
      <c r="Z4744">
        <v>-5.4664129999999998E-3</v>
      </c>
      <c r="AA4744">
        <v>0.97990600000000005</v>
      </c>
      <c r="AB4744">
        <v>37</v>
      </c>
      <c r="AC4744">
        <v>-21.2668999999999</v>
      </c>
      <c r="AD4744">
        <v>-1.11003242560699</v>
      </c>
      <c r="AE4744">
        <v>-4.2337999999999996</v>
      </c>
      <c r="AF4744">
        <v>-4.3915477372700602</v>
      </c>
      <c r="AG4744">
        <v>-1.11003242560699</v>
      </c>
      <c r="AH4744">
        <v>21.177009125712399</v>
      </c>
      <c r="AI4744">
        <v>92.938122066872694</v>
      </c>
      <c r="AJ4744">
        <v>101.71556489384101</v>
      </c>
      <c r="AK4744">
        <v>21.6560286993051</v>
      </c>
      <c r="AL4744">
        <v>77.651217275024294</v>
      </c>
      <c r="AM4744">
        <v>94.014119865616195</v>
      </c>
      <c r="AN4744">
        <v>1.00000007345366</v>
      </c>
    </row>
    <row r="4745" spans="1:40" x14ac:dyDescent="0.25">
      <c r="A4745" t="str">
        <f>"20190312164123166"</f>
        <v>20190312164123166</v>
      </c>
      <c r="B4745" t="str">
        <f>"1552380083160998"</f>
        <v>1552380083160998</v>
      </c>
      <c r="C4745" t="s">
        <v>40</v>
      </c>
      <c r="D4745">
        <v>5.4665080000000001</v>
      </c>
      <c r="E4745">
        <v>0.49723319999999999</v>
      </c>
      <c r="F4745" t="s">
        <v>41</v>
      </c>
      <c r="G4745">
        <v>-391.23590000000002</v>
      </c>
      <c r="H4745" s="1">
        <v>-3.8282260000000003E-6</v>
      </c>
      <c r="I4745">
        <v>139.13059999999999</v>
      </c>
      <c r="J4745">
        <v>-364.41059999999999</v>
      </c>
      <c r="K4745">
        <v>1.110028</v>
      </c>
      <c r="L4745">
        <v>141.4151</v>
      </c>
      <c r="M4745">
        <v>-0.99985460000000004</v>
      </c>
      <c r="N4745">
        <v>0</v>
      </c>
      <c r="O4745">
        <v>8.3774780000000007E-3</v>
      </c>
      <c r="P4745">
        <v>-0.97815669999999999</v>
      </c>
      <c r="Q4745">
        <v>0.19873589999999999</v>
      </c>
      <c r="R4745">
        <v>-6.0937539999999998E-2</v>
      </c>
      <c r="S4745">
        <v>-3.0768740000000001</v>
      </c>
      <c r="T4745">
        <v>-0.12561369999999999</v>
      </c>
      <c r="U4745">
        <v>-0.2581329</v>
      </c>
      <c r="V4745">
        <v>-6.8907010000000005E-2</v>
      </c>
      <c r="W4745">
        <v>0.21330969999999999</v>
      </c>
      <c r="X4745">
        <v>0.97455159999999996</v>
      </c>
      <c r="Y4745">
        <v>-9.1864059999999997E-2</v>
      </c>
      <c r="Z4745">
        <v>-2.2124520000000002E-3</v>
      </c>
      <c r="AA4745">
        <v>0.99576909999999996</v>
      </c>
      <c r="AB4745">
        <v>37</v>
      </c>
      <c r="AC4745">
        <v>-26.825299999999999</v>
      </c>
      <c r="AD4745">
        <v>-1.110031828226</v>
      </c>
      <c r="AE4745">
        <v>-2.2845</v>
      </c>
      <c r="AF4745">
        <v>-2.5049146674548499</v>
      </c>
      <c r="AG4745">
        <v>-1.110031828226</v>
      </c>
      <c r="AH4745">
        <v>26.759727040929501</v>
      </c>
      <c r="AI4745">
        <v>92.365022038438795</v>
      </c>
      <c r="AJ4745">
        <v>95.347738889576704</v>
      </c>
      <c r="AK4745">
        <v>26.8996237790784</v>
      </c>
      <c r="AL4745">
        <v>77.683620167777093</v>
      </c>
      <c r="AM4745">
        <v>94.044445859537007</v>
      </c>
      <c r="AN4745">
        <v>1.00000001260189</v>
      </c>
    </row>
    <row r="4746" spans="1:40" x14ac:dyDescent="0.25">
      <c r="A4746" t="str">
        <f>"20190312164123189"</f>
        <v>20190312164123189</v>
      </c>
      <c r="B4746" t="str">
        <f>"1552380083180516"</f>
        <v>1552380083180516</v>
      </c>
      <c r="C4746" t="s">
        <v>40</v>
      </c>
      <c r="D4746">
        <v>5.4269660000000002</v>
      </c>
      <c r="E4746">
        <v>0.4982086</v>
      </c>
      <c r="F4746" t="s">
        <v>41</v>
      </c>
      <c r="G4746">
        <v>-391.32330000000002</v>
      </c>
      <c r="H4746" s="1">
        <v>-3.768454E-6</v>
      </c>
      <c r="I4746">
        <v>139.2561</v>
      </c>
      <c r="J4746">
        <v>-364.78989999999999</v>
      </c>
      <c r="K4746">
        <v>1.110026</v>
      </c>
      <c r="L4746">
        <v>141.4187</v>
      </c>
      <c r="M4746">
        <v>-0.99985100000000005</v>
      </c>
      <c r="N4746">
        <v>0</v>
      </c>
      <c r="O4746">
        <v>8.8065290000000004E-3</v>
      </c>
      <c r="P4746">
        <v>-0.97799769999999997</v>
      </c>
      <c r="Q4746">
        <v>0.1995219</v>
      </c>
      <c r="R4746">
        <v>-6.0924060000000002E-2</v>
      </c>
      <c r="S4746">
        <v>-3.0773929999999998</v>
      </c>
      <c r="T4746">
        <v>-0.12692929999999999</v>
      </c>
      <c r="U4746">
        <v>-0.24685670000000001</v>
      </c>
      <c r="V4746">
        <v>-6.9310369999999996E-2</v>
      </c>
      <c r="W4746">
        <v>0.214089</v>
      </c>
      <c r="X4746">
        <v>0.97435210000000005</v>
      </c>
      <c r="Y4746">
        <v>-8.8653190000000007E-2</v>
      </c>
      <c r="Z4746">
        <v>-2.1871429999999999E-3</v>
      </c>
      <c r="AA4746">
        <v>0.9960601</v>
      </c>
      <c r="AB4746">
        <v>37</v>
      </c>
      <c r="AC4746">
        <v>-26.5334</v>
      </c>
      <c r="AD4746">
        <v>-1.1100297684539999</v>
      </c>
      <c r="AE4746">
        <v>-2.1625999999999901</v>
      </c>
      <c r="AF4746">
        <v>-2.3920501357273101</v>
      </c>
      <c r="AG4746">
        <v>-1.1100297684539999</v>
      </c>
      <c r="AH4746">
        <v>26.467306819593599</v>
      </c>
      <c r="AI4746">
        <v>92.391820876763404</v>
      </c>
      <c r="AJ4746">
        <v>95.164221593347406</v>
      </c>
      <c r="AK4746">
        <v>26.598353336648302</v>
      </c>
      <c r="AL4746">
        <v>77.637913829250095</v>
      </c>
      <c r="AM4746">
        <v>94.068871660840401</v>
      </c>
      <c r="AN4746">
        <v>1.00000002104247</v>
      </c>
    </row>
    <row r="4747" spans="1:40" x14ac:dyDescent="0.25">
      <c r="A4747" t="str">
        <f>"20190312164123210"</f>
        <v>20190312164123210</v>
      </c>
      <c r="B4747" t="str">
        <f>"1552380083201011"</f>
        <v>1552380083201011</v>
      </c>
      <c r="C4747" t="s">
        <v>40</v>
      </c>
      <c r="D4747">
        <v>5.3213010000000001</v>
      </c>
      <c r="E4747">
        <v>0.49869269999999999</v>
      </c>
      <c r="F4747" t="s">
        <v>41</v>
      </c>
      <c r="G4747">
        <v>-387.92399999999998</v>
      </c>
      <c r="H4747" s="1">
        <v>-8.7310679999999995E-7</v>
      </c>
      <c r="I4747">
        <v>139.61510000000001</v>
      </c>
      <c r="J4747">
        <v>-365.14659999999998</v>
      </c>
      <c r="K4747">
        <v>1.110031</v>
      </c>
      <c r="L4747">
        <v>141.4222</v>
      </c>
      <c r="M4747">
        <v>-0.9998475</v>
      </c>
      <c r="N4747">
        <v>0</v>
      </c>
      <c r="O4747">
        <v>9.2030380000000002E-3</v>
      </c>
      <c r="P4747">
        <v>-0.97799740000000002</v>
      </c>
      <c r="Q4747">
        <v>0.19961110000000001</v>
      </c>
      <c r="R4747">
        <v>-6.063574E-2</v>
      </c>
      <c r="S4747">
        <v>-3.082703</v>
      </c>
      <c r="T4747">
        <v>-0.14791560000000001</v>
      </c>
      <c r="U4747">
        <v>-0.24032590000000001</v>
      </c>
      <c r="V4747">
        <v>-6.9410780000000005E-2</v>
      </c>
      <c r="W4747">
        <v>0.21417330000000001</v>
      </c>
      <c r="X4747">
        <v>0.97432640000000004</v>
      </c>
      <c r="Y4747">
        <v>-8.6786779999999994E-2</v>
      </c>
      <c r="Z4747">
        <v>-2.5185229999999999E-3</v>
      </c>
      <c r="AA4747">
        <v>0.99622370000000005</v>
      </c>
      <c r="AB4747">
        <v>37</v>
      </c>
      <c r="AC4747">
        <v>-22.7774</v>
      </c>
      <c r="AD4747">
        <v>-1.1100318731068</v>
      </c>
      <c r="AE4747">
        <v>-1.8070999999999899</v>
      </c>
      <c r="AF4747">
        <v>-2.01191941489965</v>
      </c>
      <c r="AG4747">
        <v>-1.1100318731068</v>
      </c>
      <c r="AH4747">
        <v>22.706212736339701</v>
      </c>
      <c r="AI4747">
        <v>92.787868338386005</v>
      </c>
      <c r="AJ4747">
        <v>95.063558051766904</v>
      </c>
      <c r="AK4747">
        <v>22.8221841049291</v>
      </c>
      <c r="AL4747">
        <v>77.632968790643204</v>
      </c>
      <c r="AM4747">
        <v>94.074853516396402</v>
      </c>
      <c r="AN4747">
        <v>0.999999996275029</v>
      </c>
    </row>
    <row r="4748" spans="1:40" x14ac:dyDescent="0.25">
      <c r="A4748" t="str">
        <f>"20190312164123234"</f>
        <v>20190312164123234</v>
      </c>
      <c r="B4748" t="str">
        <f>"1552380083231267"</f>
        <v>1552380083231267</v>
      </c>
      <c r="C4748" t="s">
        <v>40</v>
      </c>
      <c r="D4748">
        <v>5.393961</v>
      </c>
      <c r="E4748">
        <v>0.49894519999999998</v>
      </c>
      <c r="F4748" t="s">
        <v>41</v>
      </c>
      <c r="G4748">
        <v>-389.38929999999999</v>
      </c>
      <c r="H4748" s="1">
        <v>-2.5276030000000002E-7</v>
      </c>
      <c r="I4748">
        <v>139.5685</v>
      </c>
      <c r="J4748">
        <v>-365.52539999999999</v>
      </c>
      <c r="K4748">
        <v>1.1100490000000001</v>
      </c>
      <c r="L4748">
        <v>141.42609999999999</v>
      </c>
      <c r="M4748">
        <v>-0.9998437</v>
      </c>
      <c r="N4748">
        <v>0</v>
      </c>
      <c r="O4748">
        <v>9.6038740000000001E-3</v>
      </c>
      <c r="P4748">
        <v>-0.97805430000000004</v>
      </c>
      <c r="Q4748">
        <v>0.1994011</v>
      </c>
      <c r="R4748">
        <v>-6.0408150000000001E-2</v>
      </c>
      <c r="S4748">
        <v>-3.0816349999999999</v>
      </c>
      <c r="T4748">
        <v>-0.14110300000000001</v>
      </c>
      <c r="U4748">
        <v>-0.23562620000000001</v>
      </c>
      <c r="V4748">
        <v>-6.9581850000000001E-2</v>
      </c>
      <c r="W4748">
        <v>0.2139586</v>
      </c>
      <c r="X4748">
        <v>0.97436140000000004</v>
      </c>
      <c r="Y4748">
        <v>-8.5713079999999997E-2</v>
      </c>
      <c r="Z4748">
        <v>-2.39741E-3</v>
      </c>
      <c r="AA4748">
        <v>0.99631700000000001</v>
      </c>
      <c r="AB4748">
        <v>37</v>
      </c>
      <c r="AC4748">
        <v>-23.863900000000001</v>
      </c>
      <c r="AD4748">
        <v>-1.1100492527603001</v>
      </c>
      <c r="AE4748">
        <v>-1.8575999999999899</v>
      </c>
      <c r="AF4748">
        <v>-2.0822471833626</v>
      </c>
      <c r="AG4748">
        <v>-1.1100492527603001</v>
      </c>
      <c r="AH4748">
        <v>23.7937839890802</v>
      </c>
      <c r="AI4748">
        <v>92.660923021897702</v>
      </c>
      <c r="AJ4748">
        <v>95.001340206350093</v>
      </c>
      <c r="AK4748">
        <v>23.910502278187</v>
      </c>
      <c r="AL4748">
        <v>77.645562504526197</v>
      </c>
      <c r="AM4748">
        <v>94.084716221052801</v>
      </c>
      <c r="AN4748">
        <v>1.00000002708667</v>
      </c>
    </row>
    <row r="4749" spans="1:40" x14ac:dyDescent="0.25">
      <c r="A4749" t="str">
        <f>"20190312164123256"</f>
        <v>20190312164123256</v>
      </c>
      <c r="B4749" t="str">
        <f>"1552380083251294"</f>
        <v>1552380083251294</v>
      </c>
      <c r="C4749" t="s">
        <v>40</v>
      </c>
      <c r="D4749">
        <v>5.466971</v>
      </c>
      <c r="E4749">
        <v>0.49916169999999999</v>
      </c>
      <c r="F4749" t="s">
        <v>41</v>
      </c>
      <c r="G4749">
        <v>-390.44690000000003</v>
      </c>
      <c r="H4749" s="1">
        <v>-4.093688E-6</v>
      </c>
      <c r="I4749">
        <v>139.5421</v>
      </c>
      <c r="J4749">
        <v>-365.88630000000001</v>
      </c>
      <c r="K4749">
        <v>1.1100699999999999</v>
      </c>
      <c r="L4749">
        <v>141.4299</v>
      </c>
      <c r="M4749">
        <v>-0.99984039999999996</v>
      </c>
      <c r="N4749">
        <v>0</v>
      </c>
      <c r="O4749">
        <v>9.9473930000000006E-3</v>
      </c>
      <c r="P4749">
        <v>-0.97832889999999995</v>
      </c>
      <c r="Q4749">
        <v>0.19814680000000001</v>
      </c>
      <c r="R4749">
        <v>-6.0089919999999998E-2</v>
      </c>
      <c r="S4749">
        <v>-3.080902</v>
      </c>
      <c r="T4749">
        <v>-0.1372293</v>
      </c>
      <c r="U4749">
        <v>-0.23289489999999999</v>
      </c>
      <c r="V4749">
        <v>-6.9615830000000004E-2</v>
      </c>
      <c r="W4749">
        <v>0.21269979999999999</v>
      </c>
      <c r="X4749">
        <v>0.97463449999999996</v>
      </c>
      <c r="Y4749">
        <v>-8.5200659999999998E-2</v>
      </c>
      <c r="Z4749">
        <v>-2.3361739999999999E-3</v>
      </c>
      <c r="AA4749">
        <v>0.9963611</v>
      </c>
      <c r="AB4749">
        <v>37</v>
      </c>
      <c r="AC4749">
        <v>-24.560600000000001</v>
      </c>
      <c r="AD4749">
        <v>-1.110074093688</v>
      </c>
      <c r="AE4749">
        <v>-1.8877999999999899</v>
      </c>
      <c r="AF4749">
        <v>-2.1277264315384699</v>
      </c>
      <c r="AG4749">
        <v>-1.110074093688</v>
      </c>
      <c r="AH4749">
        <v>24.490867678128598</v>
      </c>
      <c r="AI4749">
        <v>92.585488820065905</v>
      </c>
      <c r="AJ4749">
        <v>94.965295998358798</v>
      </c>
      <c r="AK4749">
        <v>24.6081710797156</v>
      </c>
      <c r="AL4749">
        <v>77.719385341100903</v>
      </c>
      <c r="AM4749">
        <v>94.085562970524805</v>
      </c>
      <c r="AN4749">
        <v>0.99999998864843898</v>
      </c>
    </row>
    <row r="4750" spans="1:40" x14ac:dyDescent="0.25">
      <c r="A4750" t="str">
        <f>"20190312164123278"</f>
        <v>20190312164123278</v>
      </c>
      <c r="B4750" t="str">
        <f>"1552380083270814"</f>
        <v>1552380083270814</v>
      </c>
      <c r="C4750" t="s">
        <v>40</v>
      </c>
      <c r="D4750">
        <v>5.4388050000000003</v>
      </c>
      <c r="E4750">
        <v>0.49922450000000002</v>
      </c>
      <c r="F4750" t="s">
        <v>41</v>
      </c>
      <c r="G4750">
        <v>-390.15159999999997</v>
      </c>
      <c r="H4750" s="1">
        <v>-4.2082270000000003E-6</v>
      </c>
      <c r="I4750">
        <v>139.6199</v>
      </c>
      <c r="J4750">
        <v>-366.25839999999999</v>
      </c>
      <c r="K4750">
        <v>1.110104</v>
      </c>
      <c r="L4750">
        <v>141.43389999999999</v>
      </c>
      <c r="M4750">
        <v>-0.99983750000000005</v>
      </c>
      <c r="N4750">
        <v>0</v>
      </c>
      <c r="O4750">
        <v>1.02437E-2</v>
      </c>
      <c r="P4750">
        <v>-0.97859450000000003</v>
      </c>
      <c r="Q4750">
        <v>0.1967757</v>
      </c>
      <c r="R4750">
        <v>-6.0270009999999999E-2</v>
      </c>
      <c r="S4750">
        <v>-3.0808409999999999</v>
      </c>
      <c r="T4750">
        <v>-0.14094029999999999</v>
      </c>
      <c r="U4750">
        <v>-0.22979740000000001</v>
      </c>
      <c r="V4750">
        <v>-7.0111789999999993E-2</v>
      </c>
      <c r="W4750">
        <v>0.21132139999999999</v>
      </c>
      <c r="X4750">
        <v>0.97489879999999995</v>
      </c>
      <c r="Y4750">
        <v>-8.4496539999999995E-2</v>
      </c>
      <c r="Z4750">
        <v>-2.3968790000000002E-3</v>
      </c>
      <c r="AA4750">
        <v>0.99642090000000005</v>
      </c>
      <c r="AB4750">
        <v>37</v>
      </c>
      <c r="AC4750">
        <v>-23.893199999999901</v>
      </c>
      <c r="AD4750">
        <v>-1.110108208227</v>
      </c>
      <c r="AE4750">
        <v>-1.8139999999999901</v>
      </c>
      <c r="AF4750">
        <v>-2.0542774575078</v>
      </c>
      <c r="AG4750">
        <v>-1.110108208227</v>
      </c>
      <c r="AH4750">
        <v>23.822232852652</v>
      </c>
      <c r="AI4750">
        <v>92.658183433636296</v>
      </c>
      <c r="AJ4750">
        <v>94.928629986144202</v>
      </c>
      <c r="AK4750">
        <v>23.936398521756999</v>
      </c>
      <c r="AL4750">
        <v>77.800199516644696</v>
      </c>
      <c r="AM4750">
        <v>94.113458242544894</v>
      </c>
      <c r="AN4750">
        <v>1.0000000337182</v>
      </c>
    </row>
    <row r="4751" spans="1:40" x14ac:dyDescent="0.25">
      <c r="A4751" t="str">
        <f>"20190312164123300"</f>
        <v>20190312164123300</v>
      </c>
      <c r="B4751" t="str">
        <f>"1552380083291310"</f>
        <v>1552380083291310</v>
      </c>
      <c r="C4751" t="s">
        <v>40</v>
      </c>
      <c r="D4751">
        <v>5.3612970000000004</v>
      </c>
      <c r="E4751">
        <v>0.49931999999999999</v>
      </c>
      <c r="F4751" t="s">
        <v>41</v>
      </c>
      <c r="G4751">
        <v>-389.76499999999999</v>
      </c>
      <c r="H4751" s="1">
        <v>-9.9603320000000005E-8</v>
      </c>
      <c r="I4751">
        <v>139.6781</v>
      </c>
      <c r="J4751">
        <v>-366.61900000000003</v>
      </c>
      <c r="K4751">
        <v>1.110152</v>
      </c>
      <c r="L4751">
        <v>141.43790000000001</v>
      </c>
      <c r="M4751">
        <v>-0.99983549999999999</v>
      </c>
      <c r="N4751">
        <v>0</v>
      </c>
      <c r="O4751">
        <v>1.045038E-2</v>
      </c>
      <c r="P4751">
        <v>-0.97877159999999996</v>
      </c>
      <c r="Q4751">
        <v>0.19567190000000001</v>
      </c>
      <c r="R4751">
        <v>-6.0986239999999997E-2</v>
      </c>
      <c r="S4751">
        <v>-3.0806879999999999</v>
      </c>
      <c r="T4751">
        <v>-0.14548620000000001</v>
      </c>
      <c r="U4751">
        <v>-0.23010249999999999</v>
      </c>
      <c r="V4751">
        <v>-7.1063119999999994E-2</v>
      </c>
      <c r="W4751">
        <v>0.2102069</v>
      </c>
      <c r="X4751">
        <v>0.97507080000000002</v>
      </c>
      <c r="Y4751">
        <v>-8.4797289999999997E-2</v>
      </c>
      <c r="Z4751">
        <v>-2.491049E-3</v>
      </c>
      <c r="AA4751">
        <v>0.99639509999999998</v>
      </c>
      <c r="AB4751">
        <v>37</v>
      </c>
      <c r="AC4751">
        <v>-23.145999999999901</v>
      </c>
      <c r="AD4751">
        <v>-1.1101520996033201</v>
      </c>
      <c r="AE4751">
        <v>-1.75980000000001</v>
      </c>
      <c r="AF4751">
        <v>-1.99704725436046</v>
      </c>
      <c r="AG4751">
        <v>-1.1101520996033201</v>
      </c>
      <c r="AH4751">
        <v>23.073568640849299</v>
      </c>
      <c r="AI4751">
        <v>92.744336973540797</v>
      </c>
      <c r="AJ4751">
        <v>94.946696404066998</v>
      </c>
      <c r="AK4751">
        <v>23.1864228643486</v>
      </c>
      <c r="AL4751">
        <v>77.865522447826393</v>
      </c>
      <c r="AM4751">
        <v>94.168344452425103</v>
      </c>
      <c r="AN4751">
        <v>0.99999998642219201</v>
      </c>
    </row>
    <row r="4752" spans="1:40" x14ac:dyDescent="0.25">
      <c r="A4752" t="str">
        <f>"20190312164123323"</f>
        <v>20190312164123323</v>
      </c>
      <c r="B4752" t="str">
        <f>"1552380083310830"</f>
        <v>1552380083310830</v>
      </c>
      <c r="C4752" t="s">
        <v>40</v>
      </c>
      <c r="D4752">
        <v>5.4183440000000003</v>
      </c>
      <c r="E4752">
        <v>0.49933110000000003</v>
      </c>
      <c r="F4752" t="s">
        <v>41</v>
      </c>
      <c r="G4752">
        <v>-380.726</v>
      </c>
      <c r="H4752" s="1">
        <v>-4.156978E-6</v>
      </c>
      <c r="I4752">
        <v>140.3535</v>
      </c>
      <c r="J4752">
        <v>-366.98829999999998</v>
      </c>
      <c r="K4752">
        <v>1.1102099999999999</v>
      </c>
      <c r="L4752">
        <v>141.4419</v>
      </c>
      <c r="M4752">
        <v>-0.999834</v>
      </c>
      <c r="N4752">
        <v>0</v>
      </c>
      <c r="O4752">
        <v>1.0593190000000001E-2</v>
      </c>
      <c r="P4752">
        <v>-0.97894729999999996</v>
      </c>
      <c r="Q4752">
        <v>0.1945952</v>
      </c>
      <c r="R4752">
        <v>-6.1602799999999999E-2</v>
      </c>
      <c r="S4752">
        <v>-3.0989689999999999</v>
      </c>
      <c r="T4752">
        <v>-0.24387510000000001</v>
      </c>
      <c r="U4752">
        <v>-0.238205</v>
      </c>
      <c r="V4752">
        <v>-7.1853940000000005E-2</v>
      </c>
      <c r="W4752">
        <v>0.20911779999999999</v>
      </c>
      <c r="X4752">
        <v>0.97524699999999998</v>
      </c>
      <c r="Y4752">
        <v>-8.6898989999999995E-2</v>
      </c>
      <c r="Z4752">
        <v>-4.2402949999999998E-3</v>
      </c>
      <c r="AA4752">
        <v>0.99620810000000004</v>
      </c>
      <c r="AB4752">
        <v>37</v>
      </c>
      <c r="AC4752">
        <v>-13.7377</v>
      </c>
      <c r="AD4752">
        <v>-1.110214156978</v>
      </c>
      <c r="AE4752">
        <v>-1.0884</v>
      </c>
      <c r="AF4752">
        <v>-1.2259243016405701</v>
      </c>
      <c r="AG4752">
        <v>-1.110214156978</v>
      </c>
      <c r="AH4752">
        <v>13.6368899688181</v>
      </c>
      <c r="AI4752">
        <v>94.635719044959103</v>
      </c>
      <c r="AJ4752">
        <v>95.1369471507561</v>
      </c>
      <c r="AK4752">
        <v>13.736820370426299</v>
      </c>
      <c r="AL4752">
        <v>77.929341627600607</v>
      </c>
      <c r="AM4752">
        <v>94.213806582623207</v>
      </c>
      <c r="AN4752">
        <v>0.99999997698968102</v>
      </c>
    </row>
    <row r="4753" spans="1:40" x14ac:dyDescent="0.25">
      <c r="A4753" t="str">
        <f>"20190312164123345"</f>
        <v>20190312164123345</v>
      </c>
      <c r="B4753" t="str">
        <f>"1552380083341086"</f>
        <v>1552380083341086</v>
      </c>
      <c r="C4753" t="s">
        <v>40</v>
      </c>
      <c r="D4753">
        <v>5.3948070000000001</v>
      </c>
      <c r="E4753">
        <v>0.49942890000000001</v>
      </c>
      <c r="F4753" t="s">
        <v>41</v>
      </c>
      <c r="G4753">
        <v>-383.23689999999999</v>
      </c>
      <c r="H4753" s="1">
        <v>-3.0361890000000002E-6</v>
      </c>
      <c r="I4753">
        <v>140.18950000000001</v>
      </c>
      <c r="J4753">
        <v>-367.36270000000002</v>
      </c>
      <c r="K4753">
        <v>1.110276</v>
      </c>
      <c r="L4753">
        <v>141.446</v>
      </c>
      <c r="M4753">
        <v>-0.99983330000000004</v>
      </c>
      <c r="N4753">
        <v>0</v>
      </c>
      <c r="O4753">
        <v>1.066519E-2</v>
      </c>
      <c r="P4753">
        <v>-0.9791974</v>
      </c>
      <c r="Q4753">
        <v>0.19320300000000001</v>
      </c>
      <c r="R4753">
        <v>-6.2009040000000001E-2</v>
      </c>
      <c r="S4753">
        <v>-3.0915219999999999</v>
      </c>
      <c r="T4753">
        <v>-0.21123349999999999</v>
      </c>
      <c r="U4753">
        <v>-0.23826600000000001</v>
      </c>
      <c r="V4753">
        <v>-7.2365730000000003E-2</v>
      </c>
      <c r="W4753">
        <v>0.2077145</v>
      </c>
      <c r="X4753">
        <v>0.97550899999999996</v>
      </c>
      <c r="Y4753">
        <v>-8.7246340000000006E-2</v>
      </c>
      <c r="Z4753">
        <v>-3.699702E-3</v>
      </c>
      <c r="AA4753">
        <v>0.99617990000000001</v>
      </c>
      <c r="AB4753">
        <v>37</v>
      </c>
      <c r="AC4753">
        <v>-15.874199999999901</v>
      </c>
      <c r="AD4753">
        <v>-1.110279036189</v>
      </c>
      <c r="AE4753">
        <v>-1.25649999999998</v>
      </c>
      <c r="AF4753">
        <v>-1.4188507667414101</v>
      </c>
      <c r="AG4753">
        <v>-1.110279036189</v>
      </c>
      <c r="AH4753">
        <v>15.7831652082321</v>
      </c>
      <c r="AI4753">
        <v>94.007778871664499</v>
      </c>
      <c r="AJ4753">
        <v>95.136880077907804</v>
      </c>
      <c r="AK4753">
        <v>15.8856589736414</v>
      </c>
      <c r="AL4753">
        <v>78.011549885054507</v>
      </c>
      <c r="AM4753">
        <v>94.242575159793006</v>
      </c>
      <c r="AN4753">
        <v>0.99999996073483999</v>
      </c>
    </row>
    <row r="4754" spans="1:40" x14ac:dyDescent="0.25">
      <c r="A4754" t="str">
        <f>"20190312164123367"</f>
        <v>20190312164123367</v>
      </c>
      <c r="B4754" t="str">
        <f>"1552380083361113"</f>
        <v>1552380083361113</v>
      </c>
      <c r="C4754" t="s">
        <v>40</v>
      </c>
      <c r="D4754">
        <v>5.373005</v>
      </c>
      <c r="E4754">
        <v>0.49940849999999998</v>
      </c>
      <c r="F4754" t="s">
        <v>41</v>
      </c>
      <c r="G4754">
        <v>-385.22800000000001</v>
      </c>
      <c r="H4754" s="1">
        <v>-2.149757E-6</v>
      </c>
      <c r="I4754">
        <v>140.06819999999999</v>
      </c>
      <c r="J4754">
        <v>-367.7285</v>
      </c>
      <c r="K4754">
        <v>1.1103350000000001</v>
      </c>
      <c r="L4754">
        <v>141.44990000000001</v>
      </c>
      <c r="M4754">
        <v>-0.99983370000000005</v>
      </c>
      <c r="N4754">
        <v>0</v>
      </c>
      <c r="O4754">
        <v>1.063686E-2</v>
      </c>
      <c r="P4754">
        <v>-0.97938239999999999</v>
      </c>
      <c r="Q4754">
        <v>0.1920017</v>
      </c>
      <c r="R4754">
        <v>-6.2816720000000006E-2</v>
      </c>
      <c r="S4754">
        <v>-3.0865170000000002</v>
      </c>
      <c r="T4754">
        <v>-0.19181909999999999</v>
      </c>
      <c r="U4754">
        <v>-0.23802190000000001</v>
      </c>
      <c r="V4754">
        <v>-7.3183650000000003E-2</v>
      </c>
      <c r="W4754">
        <v>0.20649919999999999</v>
      </c>
      <c r="X4754">
        <v>0.97570599999999996</v>
      </c>
      <c r="Y4754">
        <v>-8.7302649999999996E-2</v>
      </c>
      <c r="Z4754">
        <v>-3.365767E-3</v>
      </c>
      <c r="AA4754">
        <v>0.99617610000000001</v>
      </c>
      <c r="AB4754">
        <v>37</v>
      </c>
      <c r="AC4754">
        <v>-17.499500000000001</v>
      </c>
      <c r="AD4754">
        <v>-1.110337149757</v>
      </c>
      <c r="AE4754">
        <v>-1.3817000000000199</v>
      </c>
      <c r="AF4754">
        <v>-1.56153440542327</v>
      </c>
      <c r="AG4754">
        <v>-1.110337149757</v>
      </c>
      <c r="AH4754">
        <v>17.4141387180976</v>
      </c>
      <c r="AI4754">
        <v>93.633738170395603</v>
      </c>
      <c r="AJ4754">
        <v>95.124036345866898</v>
      </c>
      <c r="AK4754">
        <v>17.519231306726802</v>
      </c>
      <c r="AL4754">
        <v>78.082724902647399</v>
      </c>
      <c r="AM4754">
        <v>94.289486173990994</v>
      </c>
      <c r="AN4754">
        <v>0.99999998233198095</v>
      </c>
    </row>
    <row r="4755" spans="1:40" x14ac:dyDescent="0.25">
      <c r="A4755" t="str">
        <f>"20190312164123389"</f>
        <v>20190312164123389</v>
      </c>
      <c r="B4755" t="str">
        <f>"1552380083380633"</f>
        <v>1552380083380633</v>
      </c>
      <c r="C4755" t="s">
        <v>40</v>
      </c>
      <c r="D4755">
        <v>9.1821029999999997</v>
      </c>
      <c r="E4755">
        <v>0.49929289999999998</v>
      </c>
      <c r="F4755" t="s">
        <v>41</v>
      </c>
      <c r="G4755">
        <v>-386.0086</v>
      </c>
      <c r="H4755" s="1">
        <v>-1.803823E-6</v>
      </c>
      <c r="I4755">
        <v>140.02670000000001</v>
      </c>
      <c r="J4755">
        <v>-368.08280000000002</v>
      </c>
      <c r="K4755">
        <v>1.11042</v>
      </c>
      <c r="L4755">
        <v>141.45359999999999</v>
      </c>
      <c r="M4755">
        <v>-0.99983529999999998</v>
      </c>
      <c r="N4755">
        <v>0</v>
      </c>
      <c r="O4755">
        <v>1.0491469999999999E-2</v>
      </c>
      <c r="P4755">
        <v>-0.97949299999999995</v>
      </c>
      <c r="Q4755">
        <v>0.1910482</v>
      </c>
      <c r="R4755">
        <v>-6.3986520000000005E-2</v>
      </c>
      <c r="S4755">
        <v>-3.0844420000000001</v>
      </c>
      <c r="T4755">
        <v>-0.18734999999999999</v>
      </c>
      <c r="U4755">
        <v>-0.2401276</v>
      </c>
      <c r="V4755">
        <v>-7.4255699999999994E-2</v>
      </c>
      <c r="W4755">
        <v>0.20552870000000001</v>
      </c>
      <c r="X4755">
        <v>0.97582990000000003</v>
      </c>
      <c r="Y4755">
        <v>-8.7892789999999998E-2</v>
      </c>
      <c r="Z4755">
        <v>-3.2986790000000001E-3</v>
      </c>
      <c r="AA4755">
        <v>0.99612449999999997</v>
      </c>
      <c r="AB4755">
        <v>37</v>
      </c>
      <c r="AC4755">
        <v>-17.925799999999899</v>
      </c>
      <c r="AD4755">
        <v>-1.110421803823</v>
      </c>
      <c r="AE4755">
        <v>-1.4268999999999801</v>
      </c>
      <c r="AF4755">
        <v>-1.60877568041606</v>
      </c>
      <c r="AG4755">
        <v>-1.110421803823</v>
      </c>
      <c r="AH4755">
        <v>17.841809059642401</v>
      </c>
      <c r="AI4755">
        <v>93.546974545122694</v>
      </c>
      <c r="AJ4755">
        <v>95.152361950428002</v>
      </c>
      <c r="AK4755">
        <v>17.948575049096299</v>
      </c>
      <c r="AL4755">
        <v>78.139549306651006</v>
      </c>
      <c r="AM4755">
        <v>94.351531705317996</v>
      </c>
      <c r="AN4755">
        <v>0.99999997462009405</v>
      </c>
    </row>
    <row r="4756" spans="1:40" x14ac:dyDescent="0.25">
      <c r="A4756" t="str">
        <f>"20190312164123411"</f>
        <v>20190312164123411</v>
      </c>
      <c r="B4756" t="str">
        <f>"1552380083401129"</f>
        <v>1552380083401129</v>
      </c>
      <c r="C4756" t="s">
        <v>40</v>
      </c>
      <c r="D4756">
        <v>5.4300410000000001</v>
      </c>
      <c r="E4756">
        <v>0.49920920000000002</v>
      </c>
      <c r="F4756" t="s">
        <v>41</v>
      </c>
      <c r="G4756">
        <v>-386.5899</v>
      </c>
      <c r="H4756" s="1">
        <v>-1.544238E-6</v>
      </c>
      <c r="I4756">
        <v>139.98820000000001</v>
      </c>
      <c r="J4756">
        <v>-368.44290000000001</v>
      </c>
      <c r="K4756">
        <v>1.1105320000000001</v>
      </c>
      <c r="L4756">
        <v>141.4571</v>
      </c>
      <c r="M4756">
        <v>-0.99983820000000001</v>
      </c>
      <c r="N4756">
        <v>0</v>
      </c>
      <c r="O4756">
        <v>1.0210459999999999E-2</v>
      </c>
      <c r="P4756">
        <v>-0.9796897</v>
      </c>
      <c r="Q4756">
        <v>0.18962860000000001</v>
      </c>
      <c r="R4756">
        <v>-6.5183649999999996E-2</v>
      </c>
      <c r="S4756">
        <v>-3.082916</v>
      </c>
      <c r="T4756">
        <v>-0.18497479999999999</v>
      </c>
      <c r="U4756">
        <v>-0.24407960000000001</v>
      </c>
      <c r="V4756">
        <v>-7.5234099999999998E-2</v>
      </c>
      <c r="W4756">
        <v>0.2040884</v>
      </c>
      <c r="X4756">
        <v>0.97605719999999996</v>
      </c>
      <c r="Y4756">
        <v>-8.8923089999999996E-2</v>
      </c>
      <c r="Z4756">
        <v>-3.2723850000000001E-3</v>
      </c>
      <c r="AA4756">
        <v>0.9960331</v>
      </c>
      <c r="AB4756">
        <v>37</v>
      </c>
      <c r="AC4756">
        <v>-18.146999999999899</v>
      </c>
      <c r="AD4756">
        <v>-1.110533544238</v>
      </c>
      <c r="AE4756">
        <v>-1.4688999999999901</v>
      </c>
      <c r="AF4756">
        <v>-1.6480013350160501</v>
      </c>
      <c r="AG4756">
        <v>-1.110533544238</v>
      </c>
      <c r="AH4756">
        <v>18.063844999052701</v>
      </c>
      <c r="AI4756">
        <v>93.503502759381007</v>
      </c>
      <c r="AJ4756">
        <v>95.212780026396999</v>
      </c>
      <c r="AK4756">
        <v>18.172828324256301</v>
      </c>
      <c r="AL4756">
        <v>78.223859355184203</v>
      </c>
      <c r="AM4756">
        <v>94.407620690751102</v>
      </c>
      <c r="AN4756">
        <v>0.99999995124460295</v>
      </c>
    </row>
    <row r="4757" spans="1:40" x14ac:dyDescent="0.25">
      <c r="A4757" t="str">
        <f>"20190312164123435"</f>
        <v>20190312164123435</v>
      </c>
      <c r="B4757" t="str">
        <f>"1552380083431386"</f>
        <v>1552380083431386</v>
      </c>
      <c r="C4757" t="s">
        <v>40</v>
      </c>
      <c r="D4757">
        <v>5.3934110000000004</v>
      </c>
      <c r="E4757">
        <v>0.4981275</v>
      </c>
      <c r="F4757" t="s">
        <v>41</v>
      </c>
      <c r="G4757">
        <v>-386.8954</v>
      </c>
      <c r="H4757" s="1">
        <v>-1.4072139999999901E-6</v>
      </c>
      <c r="I4757">
        <v>139.9658</v>
      </c>
      <c r="J4757">
        <v>-368.81380000000001</v>
      </c>
      <c r="K4757">
        <v>1.11066</v>
      </c>
      <c r="L4757">
        <v>141.4606</v>
      </c>
      <c r="M4757">
        <v>-0.99984280000000003</v>
      </c>
      <c r="N4757">
        <v>0</v>
      </c>
      <c r="O4757">
        <v>9.769893E-3</v>
      </c>
      <c r="P4757">
        <v>-0.97995209999999999</v>
      </c>
      <c r="Q4757">
        <v>0.18765370000000001</v>
      </c>
      <c r="R4757">
        <v>-6.6934060000000004E-2</v>
      </c>
      <c r="S4757">
        <v>-3.081512</v>
      </c>
      <c r="T4757">
        <v>-0.18545700000000001</v>
      </c>
      <c r="U4757">
        <v>-0.2490387</v>
      </c>
      <c r="V4757">
        <v>-7.6620850000000004E-2</v>
      </c>
      <c r="W4757">
        <v>0.20208909999999999</v>
      </c>
      <c r="X4757">
        <v>0.97636529999999999</v>
      </c>
      <c r="Y4757">
        <v>-9.0110179999999998E-2</v>
      </c>
      <c r="Z4757">
        <v>-3.2913550000000001E-3</v>
      </c>
      <c r="AA4757">
        <v>0.99592639999999999</v>
      </c>
      <c r="AB4757">
        <v>37</v>
      </c>
      <c r="AC4757">
        <v>-18.081599999999899</v>
      </c>
      <c r="AD4757">
        <v>-1.110661407214</v>
      </c>
      <c r="AE4757">
        <v>-1.4947999999999899</v>
      </c>
      <c r="AF4757">
        <v>-1.6651632245597101</v>
      </c>
      <c r="AG4757">
        <v>-1.110661407214</v>
      </c>
      <c r="AH4757">
        <v>17.998682691272801</v>
      </c>
      <c r="AI4757">
        <v>93.516148630092303</v>
      </c>
      <c r="AJ4757">
        <v>95.2857208826468</v>
      </c>
      <c r="AK4757">
        <v>18.109635997087999</v>
      </c>
      <c r="AL4757">
        <v>78.340849185985604</v>
      </c>
      <c r="AM4757">
        <v>94.487124394695201</v>
      </c>
      <c r="AN4757">
        <v>0.99999997901881099</v>
      </c>
    </row>
    <row r="4758" spans="1:40" x14ac:dyDescent="0.25">
      <c r="A4758" t="str">
        <f>"20190312164123457"</f>
        <v>20190312164123457</v>
      </c>
      <c r="B4758" t="str">
        <f>"1552380083450440"</f>
        <v>1552380083450440</v>
      </c>
      <c r="C4758" t="s">
        <v>40</v>
      </c>
      <c r="D4758">
        <v>5.5486789999999999</v>
      </c>
      <c r="E4758">
        <v>0.4978609</v>
      </c>
      <c r="F4758" t="s">
        <v>41</v>
      </c>
      <c r="G4758">
        <v>-382.166</v>
      </c>
      <c r="H4758" s="1">
        <v>-3.526974E-6</v>
      </c>
      <c r="I4758">
        <v>140.3074</v>
      </c>
      <c r="J4758">
        <v>-369.1875</v>
      </c>
      <c r="K4758">
        <v>1.1108009999999999</v>
      </c>
      <c r="L4758">
        <v>141.46369999999999</v>
      </c>
      <c r="M4758">
        <v>-0.99984859999999998</v>
      </c>
      <c r="N4758">
        <v>0</v>
      </c>
      <c r="O4758">
        <v>9.157419E-3</v>
      </c>
      <c r="P4758">
        <v>-0.98004570000000002</v>
      </c>
      <c r="Q4758">
        <v>0.18636169999999999</v>
      </c>
      <c r="R4758">
        <v>-6.9136139999999999E-2</v>
      </c>
      <c r="S4758">
        <v>-3.0923769999999999</v>
      </c>
      <c r="T4758">
        <v>-0.25723049999999997</v>
      </c>
      <c r="U4758">
        <v>-0.2670593</v>
      </c>
      <c r="V4758">
        <v>-7.8296180000000007E-2</v>
      </c>
      <c r="W4758">
        <v>0.20076640000000001</v>
      </c>
      <c r="X4758">
        <v>0.97650530000000002</v>
      </c>
      <c r="Y4758">
        <v>-9.4804680000000002E-2</v>
      </c>
      <c r="Z4758">
        <v>-4.6881220000000003E-3</v>
      </c>
      <c r="AA4758">
        <v>0.99548479999999995</v>
      </c>
      <c r="AB4758">
        <v>37</v>
      </c>
      <c r="AC4758">
        <v>-12.978499999999899</v>
      </c>
      <c r="AD4758">
        <v>-1.1108045269739999</v>
      </c>
      <c r="AE4758">
        <v>-1.1562999999999799</v>
      </c>
      <c r="AF4758">
        <v>-1.26591388994775</v>
      </c>
      <c r="AG4758">
        <v>-1.1108045269739999</v>
      </c>
      <c r="AH4758">
        <v>12.873803809000901</v>
      </c>
      <c r="AI4758">
        <v>94.907945870751007</v>
      </c>
      <c r="AJ4758">
        <v>95.615985381660295</v>
      </c>
      <c r="AK4758">
        <v>12.9834991118171</v>
      </c>
      <c r="AL4758">
        <v>78.418220647446006</v>
      </c>
      <c r="AM4758">
        <v>94.584167896673193</v>
      </c>
      <c r="AN4758">
        <v>1.00000002004982</v>
      </c>
    </row>
    <row r="4759" spans="1:40" x14ac:dyDescent="0.25">
      <c r="A4759" t="str">
        <f>"20190312164123479"</f>
        <v>20190312164123479</v>
      </c>
      <c r="B4759" t="str">
        <f>"1552380083470935"</f>
        <v>1552380083470935</v>
      </c>
      <c r="C4759" t="s">
        <v>40</v>
      </c>
      <c r="D4759">
        <v>5.4328050000000001</v>
      </c>
      <c r="E4759">
        <v>0.49776920000000002</v>
      </c>
      <c r="F4759" t="s">
        <v>41</v>
      </c>
      <c r="G4759">
        <v>-383.16759999999999</v>
      </c>
      <c r="H4759" s="1">
        <v>-3.0731470000000001E-6</v>
      </c>
      <c r="I4759">
        <v>140.2166</v>
      </c>
      <c r="J4759">
        <v>-369.54219999999998</v>
      </c>
      <c r="K4759">
        <v>1.1109469999999999</v>
      </c>
      <c r="L4759">
        <v>141.46619999999999</v>
      </c>
      <c r="M4759">
        <v>-0.99985520000000006</v>
      </c>
      <c r="N4759">
        <v>0</v>
      </c>
      <c r="O4759">
        <v>8.3920060000000005E-3</v>
      </c>
      <c r="P4759">
        <v>-0.98015030000000003</v>
      </c>
      <c r="Q4759">
        <v>0.1850812</v>
      </c>
      <c r="R4759">
        <v>-7.1064470000000005E-2</v>
      </c>
      <c r="S4759">
        <v>-3.0883479999999999</v>
      </c>
      <c r="T4759">
        <v>-0.2453891</v>
      </c>
      <c r="U4759">
        <v>-0.27546690000000001</v>
      </c>
      <c r="V4759">
        <v>-7.9548519999999998E-2</v>
      </c>
      <c r="W4759">
        <v>0.19945499999999999</v>
      </c>
      <c r="X4759">
        <v>0.97667280000000001</v>
      </c>
      <c r="Y4759">
        <v>-9.6870230000000002E-2</v>
      </c>
      <c r="Z4759">
        <v>-4.4994149999999997E-3</v>
      </c>
      <c r="AA4759">
        <v>0.99528680000000003</v>
      </c>
      <c r="AB4759">
        <v>36</v>
      </c>
      <c r="AC4759">
        <v>-13.625400000000001</v>
      </c>
      <c r="AD4759">
        <v>-1.1109500731469999</v>
      </c>
      <c r="AE4759">
        <v>-1.2495999999999801</v>
      </c>
      <c r="AF4759">
        <v>-1.3549801914239199</v>
      </c>
      <c r="AG4759">
        <v>-1.1109500731469999</v>
      </c>
      <c r="AH4759">
        <v>13.525266386048401</v>
      </c>
      <c r="AI4759">
        <v>94.672385278505701</v>
      </c>
      <c r="AJ4759">
        <v>95.720883792961104</v>
      </c>
      <c r="AK4759">
        <v>13.6382921290661</v>
      </c>
      <c r="AL4759">
        <v>78.494909396636004</v>
      </c>
      <c r="AM4759">
        <v>94.656376020394205</v>
      </c>
      <c r="AN4759">
        <v>1.00000001115951</v>
      </c>
    </row>
    <row r="4760" spans="1:40" x14ac:dyDescent="0.25">
      <c r="A4760" t="str">
        <f>"20190312164123501"</f>
        <v>20190312164123501</v>
      </c>
      <c r="B4760" t="str">
        <f>"1552380083490453"</f>
        <v>1552380083490453</v>
      </c>
      <c r="C4760" t="s">
        <v>40</v>
      </c>
      <c r="D4760">
        <v>5.377154</v>
      </c>
      <c r="E4760">
        <v>0.49780550000000001</v>
      </c>
      <c r="F4760" t="s">
        <v>41</v>
      </c>
      <c r="G4760">
        <v>-383.52019999999999</v>
      </c>
      <c r="H4760" s="1">
        <v>-2.9131830000000001E-6</v>
      </c>
      <c r="I4760">
        <v>140.18389999999999</v>
      </c>
      <c r="J4760">
        <v>-369.8963</v>
      </c>
      <c r="K4760">
        <v>1.1111009999999999</v>
      </c>
      <c r="L4760">
        <v>141.4683</v>
      </c>
      <c r="M4760">
        <v>-0.9998629</v>
      </c>
      <c r="N4760">
        <v>0</v>
      </c>
      <c r="O4760">
        <v>7.4407199999999996E-3</v>
      </c>
      <c r="P4760">
        <v>-0.9801723</v>
      </c>
      <c r="Q4760">
        <v>0.18417520000000001</v>
      </c>
      <c r="R4760">
        <v>-7.309119E-2</v>
      </c>
      <c r="S4760">
        <v>-3.0865779999999998</v>
      </c>
      <c r="T4760">
        <v>-0.24531729999999999</v>
      </c>
      <c r="U4760">
        <v>-0.28314210000000001</v>
      </c>
      <c r="V4760">
        <v>-8.0719139999999995E-2</v>
      </c>
      <c r="W4760">
        <v>0.1985162</v>
      </c>
      <c r="X4760">
        <v>0.97676799999999997</v>
      </c>
      <c r="Y4760">
        <v>-9.8426559999999996E-2</v>
      </c>
      <c r="Z4760">
        <v>-4.4864359999999999E-3</v>
      </c>
      <c r="AA4760">
        <v>0.99513419999999997</v>
      </c>
      <c r="AB4760">
        <v>36</v>
      </c>
      <c r="AC4760">
        <v>-13.6238999999999</v>
      </c>
      <c r="AD4760">
        <v>-1.1111039131829901</v>
      </c>
      <c r="AE4760">
        <v>-1.2844</v>
      </c>
      <c r="AF4760">
        <v>-1.3766711695515399</v>
      </c>
      <c r="AG4760">
        <v>-1.1111039131829901</v>
      </c>
      <c r="AH4760">
        <v>13.524799868238199</v>
      </c>
      <c r="AI4760">
        <v>94.672442448205203</v>
      </c>
      <c r="AJ4760">
        <v>95.812042694504697</v>
      </c>
      <c r="AK4760">
        <v>13.640014182208899</v>
      </c>
      <c r="AL4760">
        <v>78.549796076681204</v>
      </c>
      <c r="AM4760">
        <v>94.724131957035297</v>
      </c>
      <c r="AN4760">
        <v>0.99999999352438895</v>
      </c>
    </row>
    <row r="4761" spans="1:40" x14ac:dyDescent="0.25">
      <c r="A4761" t="str">
        <f>"20190312164123524"</f>
        <v>20190312164123524</v>
      </c>
      <c r="B4761" t="str">
        <f>"1552380083520708"</f>
        <v>1552380083520708</v>
      </c>
      <c r="C4761" t="s">
        <v>40</v>
      </c>
      <c r="D4761">
        <v>5.41317</v>
      </c>
      <c r="E4761">
        <v>0.49792059999999999</v>
      </c>
      <c r="F4761" t="s">
        <v>41</v>
      </c>
      <c r="G4761">
        <v>-383.5643</v>
      </c>
      <c r="H4761" s="1">
        <v>-2.8939080000000002E-6</v>
      </c>
      <c r="I4761">
        <v>140.18260000000001</v>
      </c>
      <c r="J4761">
        <v>-370.26620000000003</v>
      </c>
      <c r="K4761">
        <v>1.1112580000000001</v>
      </c>
      <c r="L4761">
        <v>141.47</v>
      </c>
      <c r="M4761">
        <v>-0.99987090000000001</v>
      </c>
      <c r="N4761">
        <v>0</v>
      </c>
      <c r="O4761">
        <v>6.2786830000000002E-3</v>
      </c>
      <c r="P4761">
        <v>-0.98027920000000002</v>
      </c>
      <c r="Q4761">
        <v>0.18279090000000001</v>
      </c>
      <c r="R4761">
        <v>-7.5102870000000002E-2</v>
      </c>
      <c r="S4761">
        <v>-3.086182</v>
      </c>
      <c r="T4761">
        <v>-0.2508843</v>
      </c>
      <c r="U4761">
        <v>-0.29029850000000001</v>
      </c>
      <c r="V4761">
        <v>-8.1666959999999997E-2</v>
      </c>
      <c r="W4761">
        <v>0.19710040000000001</v>
      </c>
      <c r="X4761">
        <v>0.97697590000000001</v>
      </c>
      <c r="Y4761">
        <v>-9.9554379999999998E-2</v>
      </c>
      <c r="Z4761">
        <v>-4.5395549999999998E-3</v>
      </c>
      <c r="AA4761">
        <v>0.99502179999999996</v>
      </c>
      <c r="AB4761">
        <v>36</v>
      </c>
      <c r="AC4761">
        <v>-13.2980999999999</v>
      </c>
      <c r="AD4761">
        <v>-1.111260893908</v>
      </c>
      <c r="AE4761">
        <v>-1.2873999999999901</v>
      </c>
      <c r="AF4761">
        <v>-1.36145927797902</v>
      </c>
      <c r="AG4761">
        <v>-1.111260893908</v>
      </c>
      <c r="AH4761">
        <v>13.198442537769701</v>
      </c>
      <c r="AI4761">
        <v>94.787461065823706</v>
      </c>
      <c r="AJ4761">
        <v>95.889403118504603</v>
      </c>
      <c r="AK4761">
        <v>13.314929874495499</v>
      </c>
      <c r="AL4761">
        <v>78.6325505169481</v>
      </c>
      <c r="AM4761">
        <v>94.778335828236393</v>
      </c>
      <c r="AN4761">
        <v>0.99999998460830497</v>
      </c>
    </row>
    <row r="4762" spans="1:40" x14ac:dyDescent="0.25">
      <c r="A4762" t="str">
        <f>"20190312164123548"</f>
        <v>20190312164123548</v>
      </c>
      <c r="B4762" t="str">
        <f>"1552380083541205"</f>
        <v>1552380083541205</v>
      </c>
      <c r="C4762" t="s">
        <v>40</v>
      </c>
      <c r="D4762">
        <v>5.299544</v>
      </c>
      <c r="E4762">
        <v>0.49879600000000002</v>
      </c>
      <c r="F4762" t="s">
        <v>41</v>
      </c>
      <c r="G4762">
        <v>-385.00779999999997</v>
      </c>
      <c r="H4762" s="1">
        <v>-2.2424950000000002E-6</v>
      </c>
      <c r="I4762">
        <v>140.0617</v>
      </c>
      <c r="J4762">
        <v>-370.6567</v>
      </c>
      <c r="K4762">
        <v>1.1114170000000001</v>
      </c>
      <c r="L4762">
        <v>141.47110000000001</v>
      </c>
      <c r="M4762">
        <v>-0.99987870000000001</v>
      </c>
      <c r="N4762">
        <v>0</v>
      </c>
      <c r="O4762">
        <v>4.8625949999999999E-3</v>
      </c>
      <c r="P4762">
        <v>-0.98026610000000003</v>
      </c>
      <c r="Q4762">
        <v>0.18192230000000001</v>
      </c>
      <c r="R4762">
        <v>-7.734808E-2</v>
      </c>
      <c r="S4762">
        <v>-3.0811160000000002</v>
      </c>
      <c r="T4762">
        <v>-0.23226340000000001</v>
      </c>
      <c r="U4762">
        <v>-0.2943268</v>
      </c>
      <c r="V4762">
        <v>-8.2599950000000005E-2</v>
      </c>
      <c r="W4762">
        <v>0.1961966</v>
      </c>
      <c r="X4762">
        <v>0.97707940000000004</v>
      </c>
      <c r="Y4762">
        <v>-9.9639259999999993E-2</v>
      </c>
      <c r="Z4762">
        <v>-4.1070170000000001E-3</v>
      </c>
      <c r="AA4762">
        <v>0.99501510000000004</v>
      </c>
      <c r="AB4762">
        <v>36</v>
      </c>
      <c r="AC4762">
        <v>-14.351099999999899</v>
      </c>
      <c r="AD4762">
        <v>-1.111419242495</v>
      </c>
      <c r="AE4762">
        <v>-1.4094</v>
      </c>
      <c r="AF4762">
        <v>-1.4704395403035899</v>
      </c>
      <c r="AG4762">
        <v>-1.111419242495</v>
      </c>
      <c r="AH4762">
        <v>14.259369632948699</v>
      </c>
      <c r="AI4762">
        <v>94.433383781291099</v>
      </c>
      <c r="AJ4762">
        <v>95.887583872511797</v>
      </c>
      <c r="AK4762">
        <v>14.378006381391501</v>
      </c>
      <c r="AL4762">
        <v>78.685365954434104</v>
      </c>
      <c r="AM4762">
        <v>94.832158515356198</v>
      </c>
      <c r="AN4762">
        <v>1.0000000057479601</v>
      </c>
    </row>
    <row r="4763" spans="1:40" x14ac:dyDescent="0.25">
      <c r="A4763" t="str">
        <f>"20190312164123569"</f>
        <v>20190312164123569</v>
      </c>
      <c r="B4763" t="str">
        <f>"1552380083561230"</f>
        <v>1552380083561230</v>
      </c>
      <c r="C4763" t="s">
        <v>40</v>
      </c>
      <c r="D4763">
        <v>5.4054859999999998</v>
      </c>
      <c r="E4763">
        <v>0.49936380000000002</v>
      </c>
      <c r="F4763" t="s">
        <v>41</v>
      </c>
      <c r="G4763">
        <v>-386.01519999999999</v>
      </c>
      <c r="H4763" s="1">
        <v>-1.795954E-6</v>
      </c>
      <c r="I4763">
        <v>140.0078</v>
      </c>
      <c r="J4763">
        <v>-370.99700000000001</v>
      </c>
      <c r="K4763">
        <v>1.111556</v>
      </c>
      <c r="L4763">
        <v>141.47139999999999</v>
      </c>
      <c r="M4763">
        <v>-0.99988469999999996</v>
      </c>
      <c r="N4763">
        <v>0</v>
      </c>
      <c r="O4763">
        <v>3.4650340000000001E-3</v>
      </c>
      <c r="P4763">
        <v>-0.98038020000000003</v>
      </c>
      <c r="Q4763">
        <v>0.18028649999999999</v>
      </c>
      <c r="R4763">
        <v>-7.969822E-2</v>
      </c>
      <c r="S4763">
        <v>-3.0785830000000001</v>
      </c>
      <c r="T4763">
        <v>-0.2227826</v>
      </c>
      <c r="U4763">
        <v>-0.29330440000000002</v>
      </c>
      <c r="V4763">
        <v>-8.3643850000000006E-2</v>
      </c>
      <c r="W4763">
        <v>0.1945318</v>
      </c>
      <c r="X4763">
        <v>0.97732339999999995</v>
      </c>
      <c r="Y4763">
        <v>-9.8029270000000002E-2</v>
      </c>
      <c r="Z4763">
        <v>-3.7842520000000001E-3</v>
      </c>
      <c r="AA4763">
        <v>0.99517630000000001</v>
      </c>
      <c r="AB4763">
        <v>36</v>
      </c>
      <c r="AC4763">
        <v>-15.0182</v>
      </c>
      <c r="AD4763">
        <v>-1.1115577959539999</v>
      </c>
      <c r="AE4763">
        <v>-1.46359999999998</v>
      </c>
      <c r="AF4763">
        <v>-1.5074552061562301</v>
      </c>
      <c r="AG4763">
        <v>-1.1115577959539999</v>
      </c>
      <c r="AH4763">
        <v>14.9320086874338</v>
      </c>
      <c r="AI4763">
        <v>94.235866660832798</v>
      </c>
      <c r="AJ4763">
        <v>95.764741943420105</v>
      </c>
      <c r="AK4763">
        <v>15.049015428722001</v>
      </c>
      <c r="AL4763">
        <v>78.782625720476005</v>
      </c>
      <c r="AM4763">
        <v>94.891717153675799</v>
      </c>
      <c r="AN4763">
        <v>0.99999997152080999</v>
      </c>
    </row>
    <row r="4764" spans="1:40" x14ac:dyDescent="0.25">
      <c r="A4764" t="str">
        <f>"20190312164123590"</f>
        <v>20190312164123590</v>
      </c>
      <c r="B4764" t="str">
        <f>"1552380083580751"</f>
        <v>1552380083580751</v>
      </c>
      <c r="C4764" t="s">
        <v>40</v>
      </c>
      <c r="D4764">
        <v>5.4280030000000004</v>
      </c>
      <c r="E4764">
        <v>0.49981609999999999</v>
      </c>
      <c r="F4764" t="s">
        <v>41</v>
      </c>
      <c r="G4764">
        <v>-386.66919999999999</v>
      </c>
      <c r="H4764" s="1">
        <v>-1.504656E-6</v>
      </c>
      <c r="I4764">
        <v>139.96729999999999</v>
      </c>
      <c r="J4764">
        <v>-371.3408</v>
      </c>
      <c r="K4764">
        <v>1.111696</v>
      </c>
      <c r="L4764">
        <v>141.47120000000001</v>
      </c>
      <c r="M4764">
        <v>-0.99988889999999997</v>
      </c>
      <c r="N4764">
        <v>0</v>
      </c>
      <c r="O4764">
        <v>1.900498E-3</v>
      </c>
      <c r="P4764">
        <v>-0.98038610000000004</v>
      </c>
      <c r="Q4764">
        <v>0.17891770000000001</v>
      </c>
      <c r="R4764">
        <v>-8.2656469999999996E-2</v>
      </c>
      <c r="S4764">
        <v>-3.0761720000000001</v>
      </c>
      <c r="T4764">
        <v>-0.21818009999999999</v>
      </c>
      <c r="U4764">
        <v>-0.29521180000000002</v>
      </c>
      <c r="V4764">
        <v>-8.5133440000000005E-2</v>
      </c>
      <c r="W4764">
        <v>0.19312940000000001</v>
      </c>
      <c r="X4764">
        <v>0.97747300000000004</v>
      </c>
      <c r="Y4764">
        <v>-9.7173590000000004E-2</v>
      </c>
      <c r="Z4764">
        <v>-3.5682130000000002E-3</v>
      </c>
      <c r="AA4764">
        <v>0.99526110000000001</v>
      </c>
      <c r="AB4764">
        <v>36</v>
      </c>
      <c r="AC4764">
        <v>-15.328399999999901</v>
      </c>
      <c r="AD4764">
        <v>-1.111697504656</v>
      </c>
      <c r="AE4764">
        <v>-1.50390000000001</v>
      </c>
      <c r="AF4764">
        <v>-1.5250867002305</v>
      </c>
      <c r="AG4764">
        <v>-1.111697504656</v>
      </c>
      <c r="AH4764">
        <v>15.246085142660499</v>
      </c>
      <c r="AI4764">
        <v>94.149813204788501</v>
      </c>
      <c r="AJ4764">
        <v>95.712372393314098</v>
      </c>
      <c r="AK4764">
        <v>15.362450096333299</v>
      </c>
      <c r="AL4764">
        <v>78.864531731543906</v>
      </c>
      <c r="AM4764">
        <v>94.977640270817005</v>
      </c>
      <c r="AN4764">
        <v>1.0000000667397899</v>
      </c>
    </row>
    <row r="4765" spans="1:40" x14ac:dyDescent="0.25">
      <c r="A4765" t="str">
        <f>"20190312164123612"</f>
        <v>20190312164123612</v>
      </c>
      <c r="B4765" t="str">
        <f>"1552380083601247"</f>
        <v>1552380083601247</v>
      </c>
      <c r="C4765" t="s">
        <v>40</v>
      </c>
      <c r="D4765">
        <v>5.4299189999999999</v>
      </c>
      <c r="E4765">
        <v>0.50020249999999999</v>
      </c>
      <c r="F4765" t="s">
        <v>41</v>
      </c>
      <c r="G4765">
        <v>-387.24720000000002</v>
      </c>
      <c r="H4765" s="1">
        <v>-1.2442389999999999E-6</v>
      </c>
      <c r="I4765">
        <v>139.9205</v>
      </c>
      <c r="J4765">
        <v>-371.70280000000002</v>
      </c>
      <c r="K4765">
        <v>1.1118479999999999</v>
      </c>
      <c r="L4765">
        <v>141.47020000000001</v>
      </c>
      <c r="M4765">
        <v>-0.99989070000000002</v>
      </c>
      <c r="N4765">
        <v>0</v>
      </c>
      <c r="O4765">
        <v>1.0270859999999999E-4</v>
      </c>
      <c r="P4765">
        <v>-0.98027540000000002</v>
      </c>
      <c r="Q4765">
        <v>0.17792330000000001</v>
      </c>
      <c r="R4765">
        <v>-8.6044319999999994E-2</v>
      </c>
      <c r="S4765">
        <v>-3.0740050000000001</v>
      </c>
      <c r="T4765">
        <v>-0.2148428</v>
      </c>
      <c r="U4765">
        <v>-0.29965209999999998</v>
      </c>
      <c r="V4765">
        <v>-8.6826860000000006E-2</v>
      </c>
      <c r="W4765">
        <v>0.19209760000000001</v>
      </c>
      <c r="X4765">
        <v>0.97752729999999999</v>
      </c>
      <c r="Y4765">
        <v>-9.6887390000000004E-2</v>
      </c>
      <c r="Z4765">
        <v>-3.380802E-3</v>
      </c>
      <c r="AA4765">
        <v>0.9952896</v>
      </c>
      <c r="AB4765">
        <v>36</v>
      </c>
      <c r="AC4765">
        <v>-15.5443999999999</v>
      </c>
      <c r="AD4765">
        <v>-1.111849244239</v>
      </c>
      <c r="AE4765">
        <v>-1.5497000000000001</v>
      </c>
      <c r="AF4765">
        <v>-1.5434777485275</v>
      </c>
      <c r="AG4765">
        <v>-1.111849244239</v>
      </c>
      <c r="AH4765">
        <v>15.4658934916595</v>
      </c>
      <c r="AI4765">
        <v>94.091686170606707</v>
      </c>
      <c r="AJ4765">
        <v>95.699179640184596</v>
      </c>
      <c r="AK4765">
        <v>15.582438634484401</v>
      </c>
      <c r="AL4765">
        <v>78.924776967197801</v>
      </c>
      <c r="AM4765">
        <v>95.075859522917696</v>
      </c>
      <c r="AN4765">
        <v>1.0000000068942501</v>
      </c>
    </row>
    <row r="4766" spans="1:40" x14ac:dyDescent="0.25">
      <c r="A4766" t="str">
        <f>"20190312164123635"</f>
        <v>20190312164123635</v>
      </c>
      <c r="B4766" t="str">
        <f>"1552380083631503"</f>
        <v>1552380083631503</v>
      </c>
      <c r="C4766" t="s">
        <v>40</v>
      </c>
      <c r="D4766">
        <v>5.4699790000000004</v>
      </c>
      <c r="E4766">
        <v>0.50054399999999999</v>
      </c>
      <c r="F4766" t="s">
        <v>41</v>
      </c>
      <c r="G4766">
        <v>-387.82850000000002</v>
      </c>
      <c r="H4766" s="1">
        <v>-9.7936819999999994E-7</v>
      </c>
      <c r="I4766">
        <v>139.8622</v>
      </c>
      <c r="J4766">
        <v>-372.0616</v>
      </c>
      <c r="K4766">
        <v>1.111982</v>
      </c>
      <c r="L4766">
        <v>141.4684</v>
      </c>
      <c r="M4766">
        <v>-0.99988900000000003</v>
      </c>
      <c r="N4766">
        <v>0</v>
      </c>
      <c r="O4766">
        <v>-1.8111729999999999E-3</v>
      </c>
      <c r="P4766">
        <v>-0.98016479999999995</v>
      </c>
      <c r="Q4766">
        <v>0.17664170000000001</v>
      </c>
      <c r="R4766">
        <v>-8.9861269999999993E-2</v>
      </c>
      <c r="S4766">
        <v>-3.0718990000000002</v>
      </c>
      <c r="T4766">
        <v>-0.21180489999999999</v>
      </c>
      <c r="U4766">
        <v>-0.3062897</v>
      </c>
      <c r="V4766">
        <v>-8.8828619999999997E-2</v>
      </c>
      <c r="W4766">
        <v>0.1907787</v>
      </c>
      <c r="X4766">
        <v>0.97760570000000002</v>
      </c>
      <c r="Y4766">
        <v>-9.7188189999999994E-2</v>
      </c>
      <c r="Z4766">
        <v>-3.2138679999999999E-3</v>
      </c>
      <c r="AA4766">
        <v>0.99526079999999995</v>
      </c>
      <c r="AB4766">
        <v>36</v>
      </c>
      <c r="AC4766">
        <v>-15.7669</v>
      </c>
      <c r="AD4766">
        <v>-1.1119829793681999</v>
      </c>
      <c r="AE4766">
        <v>-1.6062000000000001</v>
      </c>
      <c r="AF4766">
        <v>-1.56990917306814</v>
      </c>
      <c r="AG4766">
        <v>-1.1119829793681999</v>
      </c>
      <c r="AH4766">
        <v>15.6925310052884</v>
      </c>
      <c r="AI4766">
        <v>94.033175707438005</v>
      </c>
      <c r="AJ4766">
        <v>95.712964829700695</v>
      </c>
      <c r="AK4766">
        <v>15.810017403849599</v>
      </c>
      <c r="AL4766">
        <v>79.001767950565593</v>
      </c>
      <c r="AM4766">
        <v>95.191834914214496</v>
      </c>
      <c r="AN4766">
        <v>0.99999997038864097</v>
      </c>
    </row>
    <row r="4767" spans="1:40" x14ac:dyDescent="0.25">
      <c r="A4767" t="str">
        <f>"20190312164123658"</f>
        <v>20190312164123658</v>
      </c>
      <c r="B4767" t="str">
        <f>"1552380083651022"</f>
        <v>1552380083651022</v>
      </c>
      <c r="C4767" t="s">
        <v>40</v>
      </c>
      <c r="D4767">
        <v>5.3832040000000001</v>
      </c>
      <c r="E4767">
        <v>0.50069399999999997</v>
      </c>
      <c r="F4767" t="s">
        <v>41</v>
      </c>
      <c r="G4767">
        <v>-388.45690000000002</v>
      </c>
      <c r="H4767" s="1">
        <v>-6.904817E-7</v>
      </c>
      <c r="I4767">
        <v>139.78980000000001</v>
      </c>
      <c r="J4767">
        <v>-372.44080000000002</v>
      </c>
      <c r="K4767">
        <v>1.112104</v>
      </c>
      <c r="L4767">
        <v>141.46559999999999</v>
      </c>
      <c r="M4767">
        <v>-0.99988279999999996</v>
      </c>
      <c r="N4767">
        <v>0</v>
      </c>
      <c r="O4767">
        <v>-3.9491489999999999E-3</v>
      </c>
      <c r="P4767">
        <v>-0.97999879999999995</v>
      </c>
      <c r="Q4767">
        <v>0.17539299999999999</v>
      </c>
      <c r="R4767">
        <v>-9.4020279999999998E-2</v>
      </c>
      <c r="S4767">
        <v>-3.0693969999999999</v>
      </c>
      <c r="T4767">
        <v>-0.20817730000000001</v>
      </c>
      <c r="U4767">
        <v>-0.3142395</v>
      </c>
      <c r="V4767">
        <v>-9.0946410000000005E-2</v>
      </c>
      <c r="W4767">
        <v>0.1894932</v>
      </c>
      <c r="X4767">
        <v>0.977661</v>
      </c>
      <c r="Y4767">
        <v>-9.7702949999999997E-2</v>
      </c>
      <c r="Z4767">
        <v>-3.0340219999999999E-3</v>
      </c>
      <c r="AA4767">
        <v>0.99521099999999996</v>
      </c>
      <c r="AB4767">
        <v>36</v>
      </c>
      <c r="AC4767">
        <v>-16.016099999999899</v>
      </c>
      <c r="AD4767">
        <v>-1.1121046904817</v>
      </c>
      <c r="AE4767">
        <v>-1.67579999999998</v>
      </c>
      <c r="AF4767">
        <v>-1.60487600751629</v>
      </c>
      <c r="AG4767">
        <v>-1.1121046904817</v>
      </c>
      <c r="AH4767">
        <v>15.9465409339406</v>
      </c>
      <c r="AI4767">
        <v>93.969336402310205</v>
      </c>
      <c r="AJ4767">
        <v>95.746954435169201</v>
      </c>
      <c r="AK4767">
        <v>16.065633246154199</v>
      </c>
      <c r="AL4767">
        <v>79.076790326371096</v>
      </c>
      <c r="AM4767">
        <v>95.314615433087397</v>
      </c>
      <c r="AN4767">
        <v>0.99999997662956297</v>
      </c>
    </row>
    <row r="4768" spans="1:40" x14ac:dyDescent="0.25">
      <c r="A4768" t="str">
        <f>"20190312164123679"</f>
        <v>20190312164123679</v>
      </c>
      <c r="B4768" t="str">
        <f>"1552380083671522"</f>
        <v>1552380083671522</v>
      </c>
      <c r="C4768" t="s">
        <v>40</v>
      </c>
      <c r="D4768">
        <v>5.4456170000000004</v>
      </c>
      <c r="E4768">
        <v>0.50087990000000004</v>
      </c>
      <c r="F4768" t="s">
        <v>41</v>
      </c>
      <c r="G4768">
        <v>-388.77589999999998</v>
      </c>
      <c r="H4768" s="1">
        <v>-5.394998E-7</v>
      </c>
      <c r="I4768">
        <v>139.73670000000001</v>
      </c>
      <c r="J4768">
        <v>-372.7758</v>
      </c>
      <c r="K4768">
        <v>1.1121920000000001</v>
      </c>
      <c r="L4768">
        <v>141.4624</v>
      </c>
      <c r="M4768">
        <v>-0.99987309999999996</v>
      </c>
      <c r="N4768">
        <v>0</v>
      </c>
      <c r="O4768">
        <v>-5.9179230000000003E-3</v>
      </c>
      <c r="P4768">
        <v>-0.97991019999999895</v>
      </c>
      <c r="Q4768">
        <v>0.1736906</v>
      </c>
      <c r="R4768">
        <v>-9.8018830000000001E-2</v>
      </c>
      <c r="S4768">
        <v>-3.0674130000000002</v>
      </c>
      <c r="T4768">
        <v>-0.20883189999999999</v>
      </c>
      <c r="U4768">
        <v>-0.32464599999999999</v>
      </c>
      <c r="V4768">
        <v>-9.3048039999999999E-2</v>
      </c>
      <c r="W4768">
        <v>0.1877625</v>
      </c>
      <c r="X4768">
        <v>0.97779720000000003</v>
      </c>
      <c r="Y4768">
        <v>-9.9148299999999995E-2</v>
      </c>
      <c r="Z4768">
        <v>-2.9604649999999998E-3</v>
      </c>
      <c r="AA4768">
        <v>0.99506830000000002</v>
      </c>
      <c r="AB4768">
        <v>36</v>
      </c>
      <c r="AC4768">
        <v>-16.0000999999999</v>
      </c>
      <c r="AD4768">
        <v>-1.1121925394998</v>
      </c>
      <c r="AE4768">
        <v>-1.72569999999998</v>
      </c>
      <c r="AF4768">
        <v>-1.6232190738810099</v>
      </c>
      <c r="AG4768">
        <v>-1.1121925394998</v>
      </c>
      <c r="AH4768">
        <v>15.9339282066818</v>
      </c>
      <c r="AI4768">
        <v>93.972292612926296</v>
      </c>
      <c r="AJ4768">
        <v>95.816761745701598</v>
      </c>
      <c r="AK4768">
        <v>16.054964356933901</v>
      </c>
      <c r="AL4768">
        <v>79.177765353441998</v>
      </c>
      <c r="AM4768">
        <v>95.435947542133306</v>
      </c>
      <c r="AN4768">
        <v>1.0000000292409601</v>
      </c>
    </row>
    <row r="4769" spans="1:40" x14ac:dyDescent="0.25">
      <c r="A4769" t="str">
        <f>"20190312164123702"</f>
        <v>20190312164123702</v>
      </c>
      <c r="B4769" t="str">
        <f>"1552380083691039"</f>
        <v>1552380083691039</v>
      </c>
      <c r="C4769" t="s">
        <v>40</v>
      </c>
      <c r="D4769">
        <v>5.4093609999999996</v>
      </c>
      <c r="E4769">
        <v>0.50092329999999996</v>
      </c>
      <c r="F4769" t="s">
        <v>41</v>
      </c>
      <c r="G4769">
        <v>-388.4597</v>
      </c>
      <c r="H4769" s="1">
        <v>-6.7769059999999998E-7</v>
      </c>
      <c r="I4769">
        <v>139.74629999999999</v>
      </c>
      <c r="J4769">
        <v>-373.13690000000003</v>
      </c>
      <c r="K4769">
        <v>1.11226</v>
      </c>
      <c r="L4769">
        <v>141.4581</v>
      </c>
      <c r="M4769">
        <v>-0.99985800000000002</v>
      </c>
      <c r="N4769">
        <v>0</v>
      </c>
      <c r="O4769">
        <v>-8.0947969999999904E-3</v>
      </c>
      <c r="P4769">
        <v>-0.97974439999999996</v>
      </c>
      <c r="Q4769">
        <v>0.17215069999999999</v>
      </c>
      <c r="R4769">
        <v>-0.10229829999999999</v>
      </c>
      <c r="S4769">
        <v>-3.0665279999999999</v>
      </c>
      <c r="T4769">
        <v>-0.21745629999999999</v>
      </c>
      <c r="U4769">
        <v>-0.33552549999999998</v>
      </c>
      <c r="V4769">
        <v>-9.5218659999999997E-2</v>
      </c>
      <c r="W4769">
        <v>0.18619559999999999</v>
      </c>
      <c r="X4769">
        <v>0.97788779999999997</v>
      </c>
      <c r="Y4769">
        <v>-0.1004859</v>
      </c>
      <c r="Z4769">
        <v>-2.9762550000000001E-3</v>
      </c>
      <c r="AA4769">
        <v>0.99493399999999999</v>
      </c>
      <c r="AB4769">
        <v>36</v>
      </c>
      <c r="AC4769">
        <v>-15.3227999999999</v>
      </c>
      <c r="AD4769">
        <v>-1.1122606776906001</v>
      </c>
      <c r="AE4769">
        <v>-1.71180000000001</v>
      </c>
      <c r="AF4769">
        <v>-1.5794755613275</v>
      </c>
      <c r="AG4769">
        <v>-1.1122606776906001</v>
      </c>
      <c r="AH4769">
        <v>15.2567575126567</v>
      </c>
      <c r="AI4769">
        <v>94.147558560826496</v>
      </c>
      <c r="AJ4769">
        <v>95.910563848925094</v>
      </c>
      <c r="AK4769">
        <v>15.378573297415301</v>
      </c>
      <c r="AL4769">
        <v>79.269153233608506</v>
      </c>
      <c r="AM4769">
        <v>95.561458789967304</v>
      </c>
      <c r="AN4769">
        <v>0.99999997203019697</v>
      </c>
    </row>
    <row r="4770" spans="1:40" x14ac:dyDescent="0.25">
      <c r="A4770" t="str">
        <f>"20190312164123726"</f>
        <v>20190312164123726</v>
      </c>
      <c r="B4770" t="str">
        <f>"1552380083721295"</f>
        <v>1552380083721295</v>
      </c>
      <c r="C4770" t="s">
        <v>40</v>
      </c>
      <c r="D4770">
        <v>5.2945180000000001</v>
      </c>
      <c r="E4770">
        <v>0.48989250000000001</v>
      </c>
      <c r="F4770" t="s">
        <v>41</v>
      </c>
      <c r="G4770">
        <v>-388.70870000000002</v>
      </c>
      <c r="H4770" s="1">
        <v>-5.5650539999999999E-7</v>
      </c>
      <c r="I4770">
        <v>139.69229999999999</v>
      </c>
      <c r="J4770">
        <v>-373.49689999999998</v>
      </c>
      <c r="K4770">
        <v>1.112304</v>
      </c>
      <c r="L4770">
        <v>141.45310000000001</v>
      </c>
      <c r="M4770">
        <v>-0.9998378</v>
      </c>
      <c r="N4770">
        <v>0</v>
      </c>
      <c r="O4770">
        <v>-1.0298399999999999E-2</v>
      </c>
      <c r="P4770">
        <v>-0.97957360000000004</v>
      </c>
      <c r="Q4770">
        <v>0.1707265</v>
      </c>
      <c r="R4770">
        <v>-0.1062477</v>
      </c>
      <c r="S4770">
        <v>-3.064209</v>
      </c>
      <c r="T4770">
        <v>-0.2188708</v>
      </c>
      <c r="U4770">
        <v>-0.34747309999999998</v>
      </c>
      <c r="V4770">
        <v>-9.7025310000000003E-2</v>
      </c>
      <c r="W4770">
        <v>0.1847492</v>
      </c>
      <c r="X4770">
        <v>0.97798459999999998</v>
      </c>
      <c r="Y4770">
        <v>-0.1022042</v>
      </c>
      <c r="Z4770">
        <v>-2.9015999999999998E-3</v>
      </c>
      <c r="AA4770">
        <v>0.99475919999999896</v>
      </c>
      <c r="AB4770">
        <v>36</v>
      </c>
      <c r="AC4770">
        <v>-15.2118</v>
      </c>
      <c r="AD4770">
        <v>-1.1123045565053999</v>
      </c>
      <c r="AE4770">
        <v>-1.7608000000000099</v>
      </c>
      <c r="AF4770">
        <v>-1.5956138195506799</v>
      </c>
      <c r="AG4770">
        <v>-1.1123045565053999</v>
      </c>
      <c r="AH4770">
        <v>15.1492011506274</v>
      </c>
      <c r="AI4770">
        <v>94.1762917630423</v>
      </c>
      <c r="AJ4770">
        <v>96.0126009498195</v>
      </c>
      <c r="AK4770">
        <v>15.273555590946501</v>
      </c>
      <c r="AL4770">
        <v>79.353489732214996</v>
      </c>
      <c r="AM4770">
        <v>95.665742676769497</v>
      </c>
      <c r="AN4770">
        <v>1.0000000277591901</v>
      </c>
    </row>
    <row r="4771" spans="1:40" x14ac:dyDescent="0.25">
      <c r="A4771" t="str">
        <f>"20190312164123748"</f>
        <v>20190312164123748</v>
      </c>
      <c r="B4771" t="str">
        <f>"1552380083740815"</f>
        <v>1552380083740815</v>
      </c>
      <c r="C4771" t="s">
        <v>40</v>
      </c>
      <c r="D4771">
        <v>5.6381360000000003</v>
      </c>
      <c r="E4771">
        <v>0.49220520000000001</v>
      </c>
      <c r="F4771" t="s">
        <v>41</v>
      </c>
      <c r="G4771">
        <v>-398.91079999999999</v>
      </c>
      <c r="H4771" s="1">
        <v>-8.5140819999999895E-7</v>
      </c>
      <c r="I4771">
        <v>137.7569</v>
      </c>
      <c r="J4771">
        <v>-373.87189999999998</v>
      </c>
      <c r="K4771">
        <v>1.1123320000000001</v>
      </c>
      <c r="L4771">
        <v>141.4469</v>
      </c>
      <c r="M4771">
        <v>-0.99981120000000001</v>
      </c>
      <c r="N4771">
        <v>0</v>
      </c>
      <c r="O4771">
        <v>-1.2610059999999999E-2</v>
      </c>
      <c r="P4771">
        <v>-0.97951809999999995</v>
      </c>
      <c r="Q4771">
        <v>0.1686985</v>
      </c>
      <c r="R4771">
        <v>-0.1099325</v>
      </c>
      <c r="S4771">
        <v>-3.0377809999999998</v>
      </c>
      <c r="T4771">
        <v>-0.13295650000000001</v>
      </c>
      <c r="U4771">
        <v>-0.441803</v>
      </c>
      <c r="V4771">
        <v>-9.8451269999999994E-2</v>
      </c>
      <c r="W4771">
        <v>0.18270549999999999</v>
      </c>
      <c r="X4771">
        <v>0.97822589999999998</v>
      </c>
      <c r="Y4771">
        <v>-0.1313192</v>
      </c>
      <c r="Z4771">
        <v>-2.3086909999999999E-3</v>
      </c>
      <c r="AA4771">
        <v>0.99133749999999998</v>
      </c>
      <c r="AB4771">
        <v>36</v>
      </c>
      <c r="AC4771">
        <v>-25.038900000000002</v>
      </c>
      <c r="AD4771">
        <v>-1.11233285140819</v>
      </c>
      <c r="AE4771">
        <v>-3.6899999999999902</v>
      </c>
      <c r="AF4771">
        <v>-3.3674256235635198</v>
      </c>
      <c r="AG4771">
        <v>-1.11233285140819</v>
      </c>
      <c r="AH4771">
        <v>25.035088183935699</v>
      </c>
      <c r="AI4771">
        <v>92.521356125483805</v>
      </c>
      <c r="AJ4771">
        <v>97.660774448477795</v>
      </c>
      <c r="AK4771">
        <v>25.285024818654801</v>
      </c>
      <c r="AL4771">
        <v>79.472611921107202</v>
      </c>
      <c r="AM4771">
        <v>95.747048720974007</v>
      </c>
      <c r="AN4771">
        <v>0.99999993186283398</v>
      </c>
    </row>
    <row r="4772" spans="1:40" x14ac:dyDescent="0.25">
      <c r="A4772" t="str">
        <f>"20190312164123771"</f>
        <v>20190312164123771</v>
      </c>
      <c r="B4772" t="str">
        <f>"1552380083761311"</f>
        <v>1552380083761311</v>
      </c>
      <c r="C4772" t="s">
        <v>40</v>
      </c>
      <c r="D4772">
        <v>5.4013540000000004</v>
      </c>
      <c r="E4772">
        <v>0.4973629</v>
      </c>
      <c r="F4772" t="s">
        <v>41</v>
      </c>
      <c r="G4772">
        <v>-393.08150000000001</v>
      </c>
      <c r="H4772" s="1">
        <v>-3.1138900000000001E-6</v>
      </c>
      <c r="I4772">
        <v>138.69409999999999</v>
      </c>
      <c r="J4772">
        <v>-374.2319</v>
      </c>
      <c r="K4772">
        <v>1.112347</v>
      </c>
      <c r="L4772">
        <v>141.44030000000001</v>
      </c>
      <c r="M4772">
        <v>-0.99978089999999997</v>
      </c>
      <c r="N4772">
        <v>0</v>
      </c>
      <c r="O4772">
        <v>-1.483457E-2</v>
      </c>
      <c r="P4772">
        <v>-0.97943950000000002</v>
      </c>
      <c r="Q4772">
        <v>0.16613839999999999</v>
      </c>
      <c r="R4772">
        <v>-0.114440899999999</v>
      </c>
      <c r="S4772">
        <v>-3.044098</v>
      </c>
      <c r="T4772">
        <v>-0.1762695</v>
      </c>
      <c r="U4772">
        <v>-0.4362183</v>
      </c>
      <c r="V4772">
        <v>-0.1007774</v>
      </c>
      <c r="W4772">
        <v>0.18012739999999999</v>
      </c>
      <c r="X4772">
        <v>0.97846719999999998</v>
      </c>
      <c r="Y4772">
        <v>-0.12696489999999999</v>
      </c>
      <c r="Z4772">
        <v>-2.8005030000000002E-3</v>
      </c>
      <c r="AA4772">
        <v>0.99190319999999998</v>
      </c>
      <c r="AB4772">
        <v>36</v>
      </c>
      <c r="AC4772">
        <v>-18.849599999999999</v>
      </c>
      <c r="AD4772">
        <v>-1.11235011389</v>
      </c>
      <c r="AE4772">
        <v>-2.7462000000000102</v>
      </c>
      <c r="AF4772">
        <v>-2.45786018533745</v>
      </c>
      <c r="AG4772">
        <v>-1.11235011389</v>
      </c>
      <c r="AH4772">
        <v>18.8240780103506</v>
      </c>
      <c r="AI4772">
        <v>93.353384080993493</v>
      </c>
      <c r="AJ4772">
        <v>97.439026578006207</v>
      </c>
      <c r="AK4772">
        <v>19.016422176800301</v>
      </c>
      <c r="AL4772">
        <v>79.622819555975894</v>
      </c>
      <c r="AM4772">
        <v>95.880454007116896</v>
      </c>
      <c r="AN4772">
        <v>1.0000000130286799</v>
      </c>
    </row>
    <row r="4773" spans="1:40" x14ac:dyDescent="0.25">
      <c r="A4773" t="str">
        <f>"20190312164123803"</f>
        <v>20190312164123803</v>
      </c>
      <c r="B4773" t="str">
        <f>"1552380083790591"</f>
        <v>1552380083790591</v>
      </c>
      <c r="C4773" t="s">
        <v>40</v>
      </c>
      <c r="D4773">
        <v>5.5408330000000001</v>
      </c>
      <c r="E4773">
        <v>0.49987239999999999</v>
      </c>
      <c r="F4773" t="s">
        <v>41</v>
      </c>
      <c r="G4773">
        <v>-388.58749999999998</v>
      </c>
      <c r="H4773" s="1">
        <v>-6.0692710000000001E-7</v>
      </c>
      <c r="I4773">
        <v>139.511</v>
      </c>
      <c r="J4773">
        <v>-374.73630000000003</v>
      </c>
      <c r="K4773">
        <v>1.112374</v>
      </c>
      <c r="L4773">
        <v>141.42959999999999</v>
      </c>
      <c r="M4773">
        <v>-0.99972989999999995</v>
      </c>
      <c r="N4773">
        <v>0</v>
      </c>
      <c r="O4773">
        <v>-1.7947870000000001E-2</v>
      </c>
      <c r="P4773">
        <v>-0.97927830000000005</v>
      </c>
      <c r="Q4773">
        <v>0.16360829999999901</v>
      </c>
      <c r="R4773">
        <v>-0.1193603</v>
      </c>
      <c r="S4773">
        <v>-3.0551759999999999</v>
      </c>
      <c r="T4773">
        <v>-0.23673240000000001</v>
      </c>
      <c r="U4773">
        <v>-0.41056819999999999</v>
      </c>
      <c r="V4773">
        <v>-0.1026442</v>
      </c>
      <c r="W4773">
        <v>0.17757989999999901</v>
      </c>
      <c r="X4773">
        <v>0.97873869999999996</v>
      </c>
      <c r="Y4773">
        <v>-0.11509</v>
      </c>
      <c r="Z4773">
        <v>-3.0502910000000001E-3</v>
      </c>
      <c r="AA4773">
        <v>0.99335039999999997</v>
      </c>
      <c r="AB4773">
        <v>36</v>
      </c>
      <c r="AC4773">
        <v>-13.851199999999899</v>
      </c>
      <c r="AD4773">
        <v>-1.1123746069271001</v>
      </c>
      <c r="AE4773">
        <v>-1.9185999999999901</v>
      </c>
      <c r="AF4773">
        <v>-1.6591648831686701</v>
      </c>
      <c r="AG4773">
        <v>-1.1123746069271001</v>
      </c>
      <c r="AH4773">
        <v>13.796103756953601</v>
      </c>
      <c r="AI4773">
        <v>94.576926449919497</v>
      </c>
      <c r="AJ4773">
        <v>96.857644438751194</v>
      </c>
      <c r="AK4773">
        <v>13.939967153774299</v>
      </c>
      <c r="AL4773">
        <v>79.771172014533704</v>
      </c>
      <c r="AM4773">
        <v>95.986949855491403</v>
      </c>
      <c r="AN4773">
        <v>0.99999994777766799</v>
      </c>
    </row>
    <row r="4774" spans="1:40" x14ac:dyDescent="0.25">
      <c r="A4774" t="str">
        <f>"20190312164123824"</f>
        <v>20190312164123824</v>
      </c>
      <c r="B4774" t="str">
        <f>"1552380083820847"</f>
        <v>1552380083820847</v>
      </c>
      <c r="C4774" t="s">
        <v>40</v>
      </c>
      <c r="D4774">
        <v>5.4895889999999996</v>
      </c>
      <c r="E4774">
        <v>0.50166729999999904</v>
      </c>
      <c r="F4774" t="s">
        <v>41</v>
      </c>
      <c r="G4774">
        <v>-389.14550000000003</v>
      </c>
      <c r="H4774" s="1">
        <v>-3.6607429999999998E-7</v>
      </c>
      <c r="I4774">
        <v>139.51929999999999</v>
      </c>
      <c r="J4774">
        <v>-375.0951</v>
      </c>
      <c r="K4774">
        <v>1.1123829999999999</v>
      </c>
      <c r="L4774">
        <v>141.42089999999999</v>
      </c>
      <c r="M4774">
        <v>-0.99968789999999996</v>
      </c>
      <c r="N4774">
        <v>0</v>
      </c>
      <c r="O4774">
        <v>-2.0158820000000001E-2</v>
      </c>
      <c r="P4774">
        <v>-0.97920229999999997</v>
      </c>
      <c r="Q4774">
        <v>0.1617295</v>
      </c>
      <c r="R4774">
        <v>-0.1225015</v>
      </c>
      <c r="S4774">
        <v>-3.0534970000000001</v>
      </c>
      <c r="T4774">
        <v>-0.23572770000000001</v>
      </c>
      <c r="U4774">
        <v>-0.40478520000000001</v>
      </c>
      <c r="V4774">
        <v>-0.1036128</v>
      </c>
      <c r="W4774">
        <v>0.17569270000000001</v>
      </c>
      <c r="X4774">
        <v>0.97897730000000005</v>
      </c>
      <c r="Y4774">
        <v>-0.111135999999999</v>
      </c>
      <c r="Z4774">
        <v>-2.7180910000000002E-3</v>
      </c>
      <c r="AA4774">
        <v>0.9938015</v>
      </c>
      <c r="AB4774">
        <v>36</v>
      </c>
      <c r="AC4774">
        <v>-14.0504</v>
      </c>
      <c r="AD4774">
        <v>-1.1123833660743001</v>
      </c>
      <c r="AE4774">
        <v>-1.9016</v>
      </c>
      <c r="AF4774">
        <v>-1.60804518507795</v>
      </c>
      <c r="AG4774">
        <v>-1.1123833660743001</v>
      </c>
      <c r="AH4774">
        <v>13.9997101186605</v>
      </c>
      <c r="AI4774">
        <v>94.513487479833699</v>
      </c>
      <c r="AJ4774">
        <v>96.552435001758099</v>
      </c>
      <c r="AK4774">
        <v>14.135596537709199</v>
      </c>
      <c r="AL4774">
        <v>79.881028987746802</v>
      </c>
      <c r="AM4774">
        <v>96.041567543037402</v>
      </c>
      <c r="AN4774">
        <v>1.0000000455361999</v>
      </c>
    </row>
    <row r="4775" spans="1:40" x14ac:dyDescent="0.25">
      <c r="A4775" t="str">
        <f>"20190312164123848"</f>
        <v>20190312164123848</v>
      </c>
      <c r="B4775" t="str">
        <f>"1552380083841343"</f>
        <v>1552380083841343</v>
      </c>
      <c r="C4775" t="s">
        <v>40</v>
      </c>
      <c r="D4775">
        <v>5.5423439999999999</v>
      </c>
      <c r="E4775">
        <v>0.50139420000000001</v>
      </c>
      <c r="F4775" t="s">
        <v>41</v>
      </c>
      <c r="G4775">
        <v>-389.57960000000003</v>
      </c>
      <c r="H4775" s="1">
        <v>-1.7890069999999999E-7</v>
      </c>
      <c r="I4775">
        <v>139.5247</v>
      </c>
      <c r="J4775">
        <v>-375.46589999999998</v>
      </c>
      <c r="K4775">
        <v>1.112387</v>
      </c>
      <c r="L4775">
        <v>141.41120000000001</v>
      </c>
      <c r="M4775">
        <v>-0.9996391</v>
      </c>
      <c r="N4775">
        <v>0</v>
      </c>
      <c r="O4775">
        <v>-2.244179E-2</v>
      </c>
      <c r="P4775">
        <v>-0.97904910000000001</v>
      </c>
      <c r="Q4775">
        <v>0.16020490000000001</v>
      </c>
      <c r="R4775">
        <v>-0.12568879999999999</v>
      </c>
      <c r="S4775">
        <v>-3.05246</v>
      </c>
      <c r="T4775">
        <v>-0.23442489999999999</v>
      </c>
      <c r="U4775">
        <v>-0.39958189999999999</v>
      </c>
      <c r="V4775">
        <v>-0.104558</v>
      </c>
      <c r="W4775">
        <v>0.17415929999999999</v>
      </c>
      <c r="X4775">
        <v>0.97915070000000004</v>
      </c>
      <c r="Y4775">
        <v>-0.1072651</v>
      </c>
      <c r="Z4775">
        <v>-2.3823170000000001E-3</v>
      </c>
      <c r="AA4775">
        <v>0.99422759999999999</v>
      </c>
      <c r="AB4775">
        <v>36</v>
      </c>
      <c r="AC4775">
        <v>-14.1137</v>
      </c>
      <c r="AD4775">
        <v>-1.1123871789006901</v>
      </c>
      <c r="AE4775">
        <v>-1.8865000000000101</v>
      </c>
      <c r="AF4775">
        <v>-1.559734581399</v>
      </c>
      <c r="AG4775">
        <v>-1.1123871789006901</v>
      </c>
      <c r="AH4775">
        <v>14.066637835579501</v>
      </c>
      <c r="AI4775">
        <v>94.494101518006403</v>
      </c>
      <c r="AJ4775">
        <v>96.327214930773195</v>
      </c>
      <c r="AK4775">
        <v>14.1964952434589</v>
      </c>
      <c r="AL4775">
        <v>79.970261362285797</v>
      </c>
      <c r="AM4775">
        <v>96.095196650031895</v>
      </c>
      <c r="AN4775">
        <v>0.99999996522548895</v>
      </c>
    </row>
    <row r="4776" spans="1:40" x14ac:dyDescent="0.25">
      <c r="A4776" t="str">
        <f>"20190312164123869"</f>
        <v>20190312164123869</v>
      </c>
      <c r="B4776" t="str">
        <f>"1552380083860863"</f>
        <v>1552380083860863</v>
      </c>
      <c r="C4776" t="s">
        <v>40</v>
      </c>
      <c r="D4776">
        <v>5.3575299999999997</v>
      </c>
      <c r="E4776">
        <v>0.50050989999999995</v>
      </c>
      <c r="F4776" t="s">
        <v>41</v>
      </c>
      <c r="G4776">
        <v>-389.57130000000001</v>
      </c>
      <c r="H4776" s="1">
        <v>-1.848239E-7</v>
      </c>
      <c r="I4776">
        <v>139.51140000000001</v>
      </c>
      <c r="J4776">
        <v>-375.8039</v>
      </c>
      <c r="K4776">
        <v>1.1123970000000001</v>
      </c>
      <c r="L4776">
        <v>141.4016</v>
      </c>
      <c r="M4776">
        <v>-0.99959030000000004</v>
      </c>
      <c r="N4776">
        <v>0</v>
      </c>
      <c r="O4776">
        <v>-2.4520799999999999E-2</v>
      </c>
      <c r="P4776">
        <v>-0.97899270000000005</v>
      </c>
      <c r="Q4776">
        <v>0.1582316</v>
      </c>
      <c r="R4776">
        <v>-0.12859289999999901</v>
      </c>
      <c r="S4776">
        <v>-3.0508120000000001</v>
      </c>
      <c r="T4776">
        <v>-0.2405968</v>
      </c>
      <c r="U4776">
        <v>-0.4108734</v>
      </c>
      <c r="V4776">
        <v>-0.1054132</v>
      </c>
      <c r="W4776">
        <v>0.17218029999999901</v>
      </c>
      <c r="X4776">
        <v>0.97940899999999997</v>
      </c>
      <c r="Y4776">
        <v>-0.1088705</v>
      </c>
      <c r="Z4776">
        <v>-2.3456810000000001E-3</v>
      </c>
      <c r="AA4776">
        <v>0.99405319999999997</v>
      </c>
      <c r="AB4776">
        <v>36</v>
      </c>
      <c r="AC4776">
        <v>-13.7674</v>
      </c>
      <c r="AD4776">
        <v>-1.1123971848238901</v>
      </c>
      <c r="AE4776">
        <v>-1.8901999999999901</v>
      </c>
      <c r="AF4776">
        <v>-1.5421255153053599</v>
      </c>
      <c r="AG4776">
        <v>-1.1123971848238901</v>
      </c>
      <c r="AH4776">
        <v>13.7216886157708</v>
      </c>
      <c r="AI4776">
        <v>94.605878921510694</v>
      </c>
      <c r="AJ4776">
        <v>96.412335815325605</v>
      </c>
      <c r="AK4776">
        <v>13.852808995648999</v>
      </c>
      <c r="AL4776">
        <v>80.085389373120407</v>
      </c>
      <c r="AM4776">
        <v>96.143062438236797</v>
      </c>
      <c r="AN4776">
        <v>0.99999999386166405</v>
      </c>
    </row>
    <row r="4777" spans="1:40" x14ac:dyDescent="0.25">
      <c r="A4777" t="str">
        <f>"20190312164123892"</f>
        <v>20190312164123892</v>
      </c>
      <c r="B4777" t="str">
        <f>"1552380083881359"</f>
        <v>1552380083881359</v>
      </c>
      <c r="C4777" t="s">
        <v>40</v>
      </c>
      <c r="D4777">
        <v>5.3544939999999999</v>
      </c>
      <c r="E4777">
        <v>0.49975920000000001</v>
      </c>
      <c r="F4777" t="s">
        <v>41</v>
      </c>
      <c r="G4777">
        <v>-389.78969999999998</v>
      </c>
      <c r="H4777" s="1">
        <v>-1.021686E-7</v>
      </c>
      <c r="I4777">
        <v>139.44899999999899</v>
      </c>
      <c r="J4777">
        <v>-376.15730000000002</v>
      </c>
      <c r="K4777">
        <v>1.112392</v>
      </c>
      <c r="L4777">
        <v>141.39070000000001</v>
      </c>
      <c r="M4777">
        <v>-0.99953479999999995</v>
      </c>
      <c r="N4777">
        <v>0</v>
      </c>
      <c r="O4777">
        <v>-2.6686910000000001E-2</v>
      </c>
      <c r="P4777">
        <v>-0.97882360000000002</v>
      </c>
      <c r="Q4777">
        <v>0.1570375</v>
      </c>
      <c r="R4777">
        <v>-0.13131470000000001</v>
      </c>
      <c r="S4777">
        <v>-3.0476679999999998</v>
      </c>
      <c r="T4777">
        <v>-0.24240529999999999</v>
      </c>
      <c r="U4777">
        <v>-0.42546079999999997</v>
      </c>
      <c r="V4777">
        <v>-0.1060045</v>
      </c>
      <c r="W4777">
        <v>0.17098239999999901</v>
      </c>
      <c r="X4777">
        <v>0.97955510000000001</v>
      </c>
      <c r="Y4777">
        <v>-0.111516</v>
      </c>
      <c r="Z4777">
        <v>-2.2984540000000001E-3</v>
      </c>
      <c r="AA4777">
        <v>0.99375999999999998</v>
      </c>
      <c r="AB4777">
        <v>36</v>
      </c>
      <c r="AC4777">
        <v>-13.632399999999899</v>
      </c>
      <c r="AD4777">
        <v>-1.1123921021686001</v>
      </c>
      <c r="AE4777">
        <v>-1.94170000000002</v>
      </c>
      <c r="AF4777">
        <v>-1.56693613820164</v>
      </c>
      <c r="AG4777">
        <v>-1.1123921021686001</v>
      </c>
      <c r="AH4777">
        <v>13.590674175494501</v>
      </c>
      <c r="AI4777">
        <v>94.648551471324097</v>
      </c>
      <c r="AJ4777">
        <v>96.576874815531497</v>
      </c>
      <c r="AK4777">
        <v>13.7258562426765</v>
      </c>
      <c r="AL4777">
        <v>80.155057871674799</v>
      </c>
      <c r="AM4777">
        <v>96.176341169211</v>
      </c>
      <c r="AN4777">
        <v>1.0000000645330001</v>
      </c>
    </row>
    <row r="4778" spans="1:40" x14ac:dyDescent="0.25">
      <c r="A4778" t="str">
        <f>"20190312164123913"</f>
        <v>20190312164123913</v>
      </c>
      <c r="B4778" t="str">
        <f>"1552380083911615"</f>
        <v>1552380083911615</v>
      </c>
      <c r="C4778" t="s">
        <v>40</v>
      </c>
      <c r="D4778">
        <v>5.554017</v>
      </c>
      <c r="E4778">
        <v>0.50015129999999997</v>
      </c>
      <c r="F4778" t="s">
        <v>41</v>
      </c>
      <c r="G4778">
        <v>-390.10309999999998</v>
      </c>
      <c r="H4778" s="1">
        <v>-4.270192E-6</v>
      </c>
      <c r="I4778">
        <v>139.37860000000001</v>
      </c>
      <c r="J4778">
        <v>-376.50409999999999</v>
      </c>
      <c r="K4778">
        <v>1.1123799999999999</v>
      </c>
      <c r="L4778">
        <v>141.3794</v>
      </c>
      <c r="M4778">
        <v>-0.99947649999999999</v>
      </c>
      <c r="N4778">
        <v>0</v>
      </c>
      <c r="O4778">
        <v>-2.8796559999999999E-2</v>
      </c>
      <c r="P4778">
        <v>-0.97860000000000003</v>
      </c>
      <c r="Q4778">
        <v>0.15613529999999901</v>
      </c>
      <c r="R4778">
        <v>-0.1340307</v>
      </c>
      <c r="S4778">
        <v>-3.0449220000000001</v>
      </c>
      <c r="T4778">
        <v>-0.24288129999999999</v>
      </c>
      <c r="U4778">
        <v>-0.43931579999999898</v>
      </c>
      <c r="V4778">
        <v>-0.1066445</v>
      </c>
      <c r="W4778">
        <v>0.17007700000000001</v>
      </c>
      <c r="X4778">
        <v>0.97964320000000005</v>
      </c>
      <c r="Y4778">
        <v>-0.113971</v>
      </c>
      <c r="Z4778">
        <v>-2.2346110000000001E-3</v>
      </c>
      <c r="AA4778">
        <v>0.99348159999999996</v>
      </c>
      <c r="AB4778">
        <v>36</v>
      </c>
      <c r="AC4778">
        <v>-13.598999999999901</v>
      </c>
      <c r="AD4778">
        <v>-1.1123842701919999</v>
      </c>
      <c r="AE4778">
        <v>-2.0007999999999901</v>
      </c>
      <c r="AF4778">
        <v>-1.5978582090645299</v>
      </c>
      <c r="AG4778">
        <v>-1.1123842701919999</v>
      </c>
      <c r="AH4778">
        <v>13.5621589345388</v>
      </c>
      <c r="AI4778">
        <v>94.656904647891807</v>
      </c>
      <c r="AJ4778">
        <v>96.719462812061494</v>
      </c>
      <c r="AK4778">
        <v>13.7011935460578</v>
      </c>
      <c r="AL4778">
        <v>80.207704143161607</v>
      </c>
      <c r="AM4778">
        <v>96.212785505278404</v>
      </c>
      <c r="AN4778">
        <v>1.0000000173077399</v>
      </c>
    </row>
    <row r="4779" spans="1:40" x14ac:dyDescent="0.25">
      <c r="A4779" t="str">
        <f>"20190312164123937"</f>
        <v>20190312164123937</v>
      </c>
      <c r="B4779" t="str">
        <f>"1552380083931135"</f>
        <v>1552380083931135</v>
      </c>
      <c r="C4779" t="s">
        <v>40</v>
      </c>
      <c r="D4779">
        <v>5.5515619999999997</v>
      </c>
      <c r="E4779">
        <v>0.50047589999999997</v>
      </c>
      <c r="F4779" t="s">
        <v>41</v>
      </c>
      <c r="G4779">
        <v>-389.77080000000001</v>
      </c>
      <c r="H4779" s="1">
        <v>-1.119644E-7</v>
      </c>
      <c r="I4779">
        <v>139.43969999999999</v>
      </c>
      <c r="J4779">
        <v>-376.88119999999998</v>
      </c>
      <c r="K4779">
        <v>1.1123510000000001</v>
      </c>
      <c r="L4779">
        <v>141.3663</v>
      </c>
      <c r="M4779">
        <v>-0.99940890000000004</v>
      </c>
      <c r="N4779">
        <v>0</v>
      </c>
      <c r="O4779">
        <v>-3.1052690000000001E-2</v>
      </c>
      <c r="P4779">
        <v>-0.97832540000000001</v>
      </c>
      <c r="Q4779">
        <v>0.15492320000000001</v>
      </c>
      <c r="R4779">
        <v>-0.13739879999999999</v>
      </c>
      <c r="S4779">
        <v>-3.0453489999999999</v>
      </c>
      <c r="T4779">
        <v>-0.25534649999999998</v>
      </c>
      <c r="U4779">
        <v>-0.44525150000000002</v>
      </c>
      <c r="V4779">
        <v>-0.1077856</v>
      </c>
      <c r="W4779">
        <v>0.16886219999999999</v>
      </c>
      <c r="X4779">
        <v>0.9797285</v>
      </c>
      <c r="Y4779">
        <v>-0.1135866</v>
      </c>
      <c r="Z4779">
        <v>-2.1446709999999999E-3</v>
      </c>
      <c r="AA4779">
        <v>0.99352580000000001</v>
      </c>
      <c r="AB4779">
        <v>36</v>
      </c>
      <c r="AC4779">
        <v>-12.8896</v>
      </c>
      <c r="AD4779">
        <v>-1.1123511119644001</v>
      </c>
      <c r="AE4779">
        <v>-1.9266000000000001</v>
      </c>
      <c r="AF4779">
        <v>-1.5143389491425101</v>
      </c>
      <c r="AG4779">
        <v>-1.1123511119644001</v>
      </c>
      <c r="AH4779">
        <v>12.8496102457758</v>
      </c>
      <c r="AI4779">
        <v>94.913747395916104</v>
      </c>
      <c r="AJ4779">
        <v>96.721359923870395</v>
      </c>
      <c r="AK4779">
        <v>12.986263162185001</v>
      </c>
      <c r="AL4779">
        <v>80.278328992465703</v>
      </c>
      <c r="AM4779">
        <v>96.278192088537693</v>
      </c>
      <c r="AN4779">
        <v>1.0000000559342199</v>
      </c>
    </row>
    <row r="4780" spans="1:40" x14ac:dyDescent="0.25">
      <c r="A4780" t="str">
        <f>"20190312164123960"</f>
        <v>20190312164123960</v>
      </c>
      <c r="B4780" t="str">
        <f>"1552380083950655"</f>
        <v>1552380083950655</v>
      </c>
      <c r="C4780" t="s">
        <v>40</v>
      </c>
      <c r="D4780">
        <v>5.5719859999999999</v>
      </c>
      <c r="E4780">
        <v>0.50081500000000001</v>
      </c>
      <c r="F4780" t="s">
        <v>41</v>
      </c>
      <c r="G4780">
        <v>-389.81020000000001</v>
      </c>
      <c r="H4780" s="1">
        <v>-9.7134800000000005E-8</v>
      </c>
      <c r="I4780">
        <v>139.44139999999999</v>
      </c>
      <c r="J4780">
        <v>-377.22719999999998</v>
      </c>
      <c r="K4780">
        <v>1.112301</v>
      </c>
      <c r="L4780">
        <v>141.3535</v>
      </c>
      <c r="M4780">
        <v>-0.99934489999999998</v>
      </c>
      <c r="N4780">
        <v>0</v>
      </c>
      <c r="O4780">
        <v>-3.3055269999999998E-2</v>
      </c>
      <c r="P4780">
        <v>-0.97801459999999996</v>
      </c>
      <c r="Q4780">
        <v>0.1532539</v>
      </c>
      <c r="R4780">
        <v>-0.14142360000000001</v>
      </c>
      <c r="S4780">
        <v>-3.0443120000000001</v>
      </c>
      <c r="T4780">
        <v>-0.26191809999999999</v>
      </c>
      <c r="U4780">
        <v>-0.45321660000000002</v>
      </c>
      <c r="V4780">
        <v>-0.109824</v>
      </c>
      <c r="W4780">
        <v>0.16719110000000001</v>
      </c>
      <c r="X4780">
        <v>0.97978869999999896</v>
      </c>
      <c r="Y4780">
        <v>-0.11417860000000001</v>
      </c>
      <c r="Z4780">
        <v>-2.054513E-3</v>
      </c>
      <c r="AA4780">
        <v>0.99345810000000001</v>
      </c>
      <c r="AB4780">
        <v>35</v>
      </c>
      <c r="AC4780">
        <v>-12.583</v>
      </c>
      <c r="AD4780">
        <v>-1.1123010971348</v>
      </c>
      <c r="AE4780">
        <v>-1.9120999999999999</v>
      </c>
      <c r="AF4780">
        <v>-1.4837428716566801</v>
      </c>
      <c r="AG4780">
        <v>-1.1123010971348</v>
      </c>
      <c r="AH4780">
        <v>12.543530501248901</v>
      </c>
      <c r="AI4780">
        <v>95.032561491653397</v>
      </c>
      <c r="AJ4780">
        <v>96.746027773657602</v>
      </c>
      <c r="AK4780">
        <v>12.6798605700394</v>
      </c>
      <c r="AL4780">
        <v>80.3754567011961</v>
      </c>
      <c r="AM4780">
        <v>96.395558236356706</v>
      </c>
      <c r="AN4780">
        <v>1.00000003577144</v>
      </c>
    </row>
    <row r="4781" spans="1:40" x14ac:dyDescent="0.25">
      <c r="A4781" t="str">
        <f>"20190312164123981"</f>
        <v>20190312164123981</v>
      </c>
      <c r="B4781" t="str">
        <f>"1552380083971152"</f>
        <v>1552380083971152</v>
      </c>
      <c r="C4781" t="s">
        <v>40</v>
      </c>
      <c r="D4781">
        <v>5.5599020000000001</v>
      </c>
      <c r="E4781">
        <v>0.50125540000000002</v>
      </c>
      <c r="F4781" t="s">
        <v>41</v>
      </c>
      <c r="G4781">
        <v>-389.6216</v>
      </c>
      <c r="H4781" s="1">
        <v>-1.7063469999999999E-7</v>
      </c>
      <c r="I4781">
        <v>139.46960000000001</v>
      </c>
      <c r="J4781">
        <v>-377.57</v>
      </c>
      <c r="K4781">
        <v>1.1122240000000001</v>
      </c>
      <c r="L4781">
        <v>141.34020000000001</v>
      </c>
      <c r="M4781">
        <v>-0.99928050000000002</v>
      </c>
      <c r="N4781">
        <v>0</v>
      </c>
      <c r="O4781">
        <v>-3.494655E-2</v>
      </c>
      <c r="P4781">
        <v>-0.97769919999999999</v>
      </c>
      <c r="Q4781">
        <v>0.1515369</v>
      </c>
      <c r="R4781">
        <v>-0.1453998</v>
      </c>
      <c r="S4781">
        <v>-3.043304</v>
      </c>
      <c r="T4781">
        <v>-0.27311459999999999</v>
      </c>
      <c r="U4781">
        <v>-0.46255489999999999</v>
      </c>
      <c r="V4781">
        <v>-0.1119146</v>
      </c>
      <c r="W4781">
        <v>0.16547819999999999</v>
      </c>
      <c r="X4781">
        <v>0.97984289999999996</v>
      </c>
      <c r="Y4781">
        <v>-0.1153047</v>
      </c>
      <c r="Z4781">
        <v>-2.0242390000000002E-3</v>
      </c>
      <c r="AA4781">
        <v>0.99332810000000005</v>
      </c>
      <c r="AB4781">
        <v>35</v>
      </c>
      <c r="AC4781">
        <v>-12.051600000000001</v>
      </c>
      <c r="AD4781">
        <v>-1.11222417063469</v>
      </c>
      <c r="AE4781">
        <v>-1.87059999999999</v>
      </c>
      <c r="AF4781">
        <v>-1.4363041104097101</v>
      </c>
      <c r="AG4781">
        <v>-1.11222417063469</v>
      </c>
      <c r="AH4781">
        <v>12.0097326440775</v>
      </c>
      <c r="AI4781">
        <v>95.253855768283401</v>
      </c>
      <c r="AJ4781">
        <v>96.8198975669021</v>
      </c>
      <c r="AK4781">
        <v>12.146344729405</v>
      </c>
      <c r="AL4781">
        <v>80.474984903855301</v>
      </c>
      <c r="AM4781">
        <v>96.515908717450102</v>
      </c>
      <c r="AN4781">
        <v>1.0000000105244</v>
      </c>
    </row>
    <row r="4782" spans="1:40" x14ac:dyDescent="0.25">
      <c r="A4782" t="str">
        <f>"20190312164124003"</f>
        <v>20190312164124003</v>
      </c>
      <c r="B4782" t="str">
        <f>"1552380083990672"</f>
        <v>1552380083990672</v>
      </c>
      <c r="C4782" t="s">
        <v>40</v>
      </c>
      <c r="D4782">
        <v>5.5337909999999999</v>
      </c>
      <c r="E4782">
        <v>0.50168480000000004</v>
      </c>
      <c r="F4782" t="s">
        <v>41</v>
      </c>
      <c r="G4782">
        <v>-389.50740000000002</v>
      </c>
      <c r="H4782" s="1">
        <v>-2.1545499999999999E-7</v>
      </c>
      <c r="I4782">
        <v>139.4931</v>
      </c>
      <c r="J4782">
        <v>-377.9194</v>
      </c>
      <c r="K4782">
        <v>1.112147</v>
      </c>
      <c r="L4782">
        <v>141.3261</v>
      </c>
      <c r="M4782">
        <v>-0.99921479999999996</v>
      </c>
      <c r="N4782">
        <v>0</v>
      </c>
      <c r="O4782">
        <v>-3.6783509999999998E-2</v>
      </c>
      <c r="P4782">
        <v>-0.97721340000000001</v>
      </c>
      <c r="Q4782">
        <v>0.1508149</v>
      </c>
      <c r="R4782">
        <v>-0.14936369999999999</v>
      </c>
      <c r="S4782">
        <v>-3.0423580000000001</v>
      </c>
      <c r="T4782">
        <v>-0.2834604</v>
      </c>
      <c r="U4782">
        <v>-0.47074890000000003</v>
      </c>
      <c r="V4782">
        <v>-0.11405129999999999</v>
      </c>
      <c r="W4782">
        <v>0.16476150000000001</v>
      </c>
      <c r="X4782">
        <v>0.97971730000000001</v>
      </c>
      <c r="Y4782">
        <v>-0.1161184</v>
      </c>
      <c r="Z4782">
        <v>-1.968979E-3</v>
      </c>
      <c r="AA4782">
        <v>0.99323340000000004</v>
      </c>
      <c r="AB4782">
        <v>35</v>
      </c>
      <c r="AC4782">
        <v>-11.587999999999999</v>
      </c>
      <c r="AD4782">
        <v>-1.1121472154550001</v>
      </c>
      <c r="AE4782">
        <v>-1.83299999999999</v>
      </c>
      <c r="AF4782">
        <v>-1.39294846999426</v>
      </c>
      <c r="AG4782">
        <v>-1.1121472154550001</v>
      </c>
      <c r="AH4782">
        <v>11.543852643092601</v>
      </c>
      <c r="AI4782">
        <v>95.463564465551698</v>
      </c>
      <c r="AJ4782">
        <v>96.880377700165894</v>
      </c>
      <c r="AK4782">
        <v>11.680655406026601</v>
      </c>
      <c r="AL4782">
        <v>80.516620382517004</v>
      </c>
      <c r="AM4782">
        <v>96.640055182482598</v>
      </c>
      <c r="AN4782">
        <v>1.0000000194166101</v>
      </c>
    </row>
    <row r="4783" spans="1:40" x14ac:dyDescent="0.25">
      <c r="A4783" t="str">
        <f>"20190312164124026"</f>
        <v>20190312164124026</v>
      </c>
      <c r="B4783" t="str">
        <f>"1552380084020930"</f>
        <v>1552380084020930</v>
      </c>
      <c r="C4783" t="s">
        <v>40</v>
      </c>
      <c r="D4783">
        <v>5.7313299999999998</v>
      </c>
      <c r="E4783">
        <v>0.50242540000000002</v>
      </c>
      <c r="F4783" t="s">
        <v>41</v>
      </c>
      <c r="G4783">
        <v>-389.64</v>
      </c>
      <c r="H4783" s="1">
        <v>-1.614643E-7</v>
      </c>
      <c r="I4783">
        <v>139.47669999999999</v>
      </c>
      <c r="J4783">
        <v>-378.28070000000002</v>
      </c>
      <c r="K4783">
        <v>1.112045</v>
      </c>
      <c r="L4783">
        <v>141.31100000000001</v>
      </c>
      <c r="M4783">
        <v>-0.99914789999999998</v>
      </c>
      <c r="N4783">
        <v>0</v>
      </c>
      <c r="O4783">
        <v>-3.8558340000000003E-2</v>
      </c>
      <c r="P4783">
        <v>-0.97670080000000004</v>
      </c>
      <c r="Q4783">
        <v>0.14989739999999999</v>
      </c>
      <c r="R4783">
        <v>-0.153578399999999</v>
      </c>
      <c r="S4783">
        <v>-3.0411679999999999</v>
      </c>
      <c r="T4783">
        <v>-0.288572099999999</v>
      </c>
      <c r="U4783">
        <v>-0.47984310000000002</v>
      </c>
      <c r="V4783">
        <v>-0.1164948</v>
      </c>
      <c r="W4783">
        <v>0.16385279999999999</v>
      </c>
      <c r="X4783">
        <v>0.97958219999999996</v>
      </c>
      <c r="Y4783">
        <v>-0.11730260000000001</v>
      </c>
      <c r="Z4783">
        <v>-1.893715E-3</v>
      </c>
      <c r="AA4783">
        <v>0.99309440000000004</v>
      </c>
      <c r="AB4783">
        <v>35</v>
      </c>
      <c r="AC4783">
        <v>-11.3592999999999</v>
      </c>
      <c r="AD4783">
        <v>-1.1120451614643001</v>
      </c>
      <c r="AE4783">
        <v>-1.83430000000001</v>
      </c>
      <c r="AF4783">
        <v>-1.38198421593976</v>
      </c>
      <c r="AG4783">
        <v>-1.1120451614643001</v>
      </c>
      <c r="AH4783">
        <v>11.315891885496001</v>
      </c>
      <c r="AI4783">
        <v>95.571466349084105</v>
      </c>
      <c r="AJ4783">
        <v>96.9629224955778</v>
      </c>
      <c r="AK4783">
        <v>11.454079359707499</v>
      </c>
      <c r="AL4783">
        <v>80.5694025316553</v>
      </c>
      <c r="AM4783">
        <v>96.781930991733901</v>
      </c>
      <c r="AN4783">
        <v>1.00000003252585</v>
      </c>
    </row>
    <row r="4784" spans="1:40" x14ac:dyDescent="0.25">
      <c r="A4784" t="str">
        <f>"20190312164124049"</f>
        <v>20190312164124049</v>
      </c>
      <c r="B4784" t="str">
        <f>"1552380084041426"</f>
        <v>1552380084041426</v>
      </c>
      <c r="C4784" t="s">
        <v>40</v>
      </c>
      <c r="D4784">
        <v>5.5913559999999896</v>
      </c>
      <c r="E4784">
        <v>0.5026931</v>
      </c>
      <c r="F4784" t="s">
        <v>41</v>
      </c>
      <c r="G4784">
        <v>-389.7946</v>
      </c>
      <c r="H4784" s="1">
        <v>-9.7108440000000006E-8</v>
      </c>
      <c r="I4784">
        <v>139.4659</v>
      </c>
      <c r="J4784">
        <v>-378.63420000000002</v>
      </c>
      <c r="K4784">
        <v>1.1119300000000001</v>
      </c>
      <c r="L4784">
        <v>141.29570000000001</v>
      </c>
      <c r="M4784">
        <v>-0.99908569999999997</v>
      </c>
      <c r="N4784">
        <v>0</v>
      </c>
      <c r="O4784">
        <v>-4.0139359999999999E-2</v>
      </c>
      <c r="P4784">
        <v>-0.9762229</v>
      </c>
      <c r="Q4784">
        <v>0.14910079999999901</v>
      </c>
      <c r="R4784">
        <v>-0.1573474</v>
      </c>
      <c r="S4784">
        <v>-3.0400700000000001</v>
      </c>
      <c r="T4784">
        <v>-0.29362129999999997</v>
      </c>
      <c r="U4784">
        <v>-0.48715209999999998</v>
      </c>
      <c r="V4784">
        <v>-0.1186769</v>
      </c>
      <c r="W4784">
        <v>0.16307279999999999</v>
      </c>
      <c r="X4784">
        <v>0.97945040000000005</v>
      </c>
      <c r="Y4784">
        <v>-0.1181064</v>
      </c>
      <c r="Z4784">
        <v>-1.8144750000000001E-3</v>
      </c>
      <c r="AA4784">
        <v>0.99299930000000003</v>
      </c>
      <c r="AB4784">
        <v>35</v>
      </c>
      <c r="AC4784">
        <v>-11.1603999999999</v>
      </c>
      <c r="AD4784">
        <v>-1.11193009710843</v>
      </c>
      <c r="AE4784">
        <v>-1.8298000000000001</v>
      </c>
      <c r="AF4784">
        <v>-1.3670900339026699</v>
      </c>
      <c r="AG4784">
        <v>-1.11193009710843</v>
      </c>
      <c r="AH4784">
        <v>11.1173909930469</v>
      </c>
      <c r="AI4784">
        <v>95.669147465481203</v>
      </c>
      <c r="AJ4784">
        <v>97.010387962697195</v>
      </c>
      <c r="AK4784">
        <v>11.256185241631901</v>
      </c>
      <c r="AL4784">
        <v>80.614702384966506</v>
      </c>
      <c r="AM4784">
        <v>96.908669678123701</v>
      </c>
      <c r="AN4784">
        <v>1.0000000153768001</v>
      </c>
    </row>
    <row r="4785" spans="1:40" x14ac:dyDescent="0.25">
      <c r="A4785" t="str">
        <f>"20190312164124070"</f>
        <v>20190312164124070</v>
      </c>
      <c r="B4785" t="str">
        <f>"1552380084060943"</f>
        <v>1552380084060943</v>
      </c>
      <c r="C4785" t="s">
        <v>40</v>
      </c>
      <c r="D4785">
        <v>5.5942759999999998</v>
      </c>
      <c r="E4785">
        <v>0.502942</v>
      </c>
      <c r="F4785" t="s">
        <v>41</v>
      </c>
      <c r="G4785">
        <v>-390.17860000000002</v>
      </c>
      <c r="H4785" s="1">
        <v>-4.232243E-6</v>
      </c>
      <c r="I4785">
        <v>139.40979999999999</v>
      </c>
      <c r="J4785">
        <v>-378.971</v>
      </c>
      <c r="K4785">
        <v>1.111796</v>
      </c>
      <c r="L4785">
        <v>141.2808</v>
      </c>
      <c r="M4785">
        <v>-0.999031</v>
      </c>
      <c r="N4785">
        <v>0</v>
      </c>
      <c r="O4785">
        <v>-4.1478800000000003E-2</v>
      </c>
      <c r="P4785">
        <v>-0.97589499999999996</v>
      </c>
      <c r="Q4785">
        <v>0.14788679999999901</v>
      </c>
      <c r="R4785">
        <v>-0.1604961</v>
      </c>
      <c r="S4785">
        <v>-3.0377809999999998</v>
      </c>
      <c r="T4785">
        <v>-0.29259200000000002</v>
      </c>
      <c r="U4785">
        <v>-0.49624629999999997</v>
      </c>
      <c r="V4785">
        <v>-0.1204633</v>
      </c>
      <c r="W4785">
        <v>0.16188339999999901</v>
      </c>
      <c r="X4785">
        <v>0.97942960000000001</v>
      </c>
      <c r="Y4785">
        <v>-0.1197893</v>
      </c>
      <c r="Z4785">
        <v>-1.761851E-3</v>
      </c>
      <c r="AA4785">
        <v>0.99279779999999995</v>
      </c>
      <c r="AB4785">
        <v>35</v>
      </c>
      <c r="AC4785">
        <v>-11.207599999999999</v>
      </c>
      <c r="AD4785">
        <v>-1.1118002322430001</v>
      </c>
      <c r="AE4785">
        <v>-1.871</v>
      </c>
      <c r="AF4785">
        <v>-1.39114258368169</v>
      </c>
      <c r="AG4785">
        <v>-1.1118002322430001</v>
      </c>
      <c r="AH4785">
        <v>11.168639878386999</v>
      </c>
      <c r="AI4785">
        <v>95.641561234123699</v>
      </c>
      <c r="AJ4785">
        <v>97.1000755146693</v>
      </c>
      <c r="AK4785">
        <v>11.309725645551399</v>
      </c>
      <c r="AL4785">
        <v>80.683767494801998</v>
      </c>
      <c r="AM4785">
        <v>97.011783173992399</v>
      </c>
      <c r="AN4785">
        <v>0.99999999159930497</v>
      </c>
    </row>
    <row r="4786" spans="1:40" x14ac:dyDescent="0.25">
      <c r="A4786" t="str">
        <f>"20190312164124093"</f>
        <v>20190312164124093</v>
      </c>
      <c r="B4786" t="str">
        <f>"1552380084081442"</f>
        <v>1552380084081442</v>
      </c>
      <c r="C4786" t="s">
        <v>40</v>
      </c>
      <c r="D4786">
        <v>5.8291930000000001</v>
      </c>
      <c r="E4786">
        <v>0.50315690000000002</v>
      </c>
      <c r="F4786" t="s">
        <v>41</v>
      </c>
      <c r="G4786">
        <v>-390.459</v>
      </c>
      <c r="H4786" s="1">
        <v>-4.11823699999999E-6</v>
      </c>
      <c r="I4786">
        <v>139.37459999999999</v>
      </c>
      <c r="J4786">
        <v>-379.32400000000001</v>
      </c>
      <c r="K4786">
        <v>1.1116410000000001</v>
      </c>
      <c r="L4786">
        <v>141.26480000000001</v>
      </c>
      <c r="M4786">
        <v>-0.99898030000000004</v>
      </c>
      <c r="N4786">
        <v>0</v>
      </c>
      <c r="O4786">
        <v>-4.2687000000000003E-2</v>
      </c>
      <c r="P4786">
        <v>-0.97544379999999997</v>
      </c>
      <c r="Q4786">
        <v>0.1474077</v>
      </c>
      <c r="R4786">
        <v>-0.16364790000000001</v>
      </c>
      <c r="S4786">
        <v>-3.0357970000000001</v>
      </c>
      <c r="T4786">
        <v>-0.29380499999999998</v>
      </c>
      <c r="U4786">
        <v>-0.50370789999999999</v>
      </c>
      <c r="V4786">
        <v>-0.1223799</v>
      </c>
      <c r="W4786">
        <v>0.16143589999999999</v>
      </c>
      <c r="X4786">
        <v>0.97926590000000002</v>
      </c>
      <c r="Y4786">
        <v>-0.121064</v>
      </c>
      <c r="Z4786">
        <v>-1.715479E-3</v>
      </c>
      <c r="AA4786">
        <v>0.99264319999999895</v>
      </c>
      <c r="AB4786">
        <v>35</v>
      </c>
      <c r="AC4786">
        <v>-11.1349999999999</v>
      </c>
      <c r="AD4786">
        <v>-1.111645118237</v>
      </c>
      <c r="AE4786">
        <v>-1.8902000000000201</v>
      </c>
      <c r="AF4786">
        <v>-1.39954737817876</v>
      </c>
      <c r="AG4786">
        <v>-1.111645118237</v>
      </c>
      <c r="AH4786">
        <v>11.0980311056381</v>
      </c>
      <c r="AI4786">
        <v>95.675355442623996</v>
      </c>
      <c r="AJ4786">
        <v>97.187498953650802</v>
      </c>
      <c r="AK4786">
        <v>11.2410311873235</v>
      </c>
      <c r="AL4786">
        <v>80.709749616655202</v>
      </c>
      <c r="AM4786">
        <v>97.123383854510806</v>
      </c>
      <c r="AN4786">
        <v>1.00000004631781</v>
      </c>
    </row>
    <row r="4787" spans="1:40" x14ac:dyDescent="0.25">
      <c r="A4787" t="str">
        <f>"20190312164124115"</f>
        <v>20190312164124115</v>
      </c>
      <c r="B4787" t="str">
        <f>"1552380084110719"</f>
        <v>1552380084110719</v>
      </c>
      <c r="C4787" t="s">
        <v>40</v>
      </c>
      <c r="D4787">
        <v>5.6143689999999999</v>
      </c>
      <c r="E4787">
        <v>0.51980509999999902</v>
      </c>
      <c r="F4787" t="s">
        <v>41</v>
      </c>
      <c r="G4787">
        <v>-390.82170000000002</v>
      </c>
      <c r="H4787" s="1">
        <v>-3.9712369999999997E-6</v>
      </c>
      <c r="I4787">
        <v>139.3261</v>
      </c>
      <c r="J4787">
        <v>-379.67309999999998</v>
      </c>
      <c r="K4787">
        <v>1.111462</v>
      </c>
      <c r="L4787">
        <v>141.24879999999999</v>
      </c>
      <c r="M4787">
        <v>-0.99893790000000005</v>
      </c>
      <c r="N4787">
        <v>0</v>
      </c>
      <c r="O4787">
        <v>-4.3670319999999999E-2</v>
      </c>
      <c r="P4787">
        <v>-0.9750122</v>
      </c>
      <c r="Q4787">
        <v>0.1469801</v>
      </c>
      <c r="R4787">
        <v>-0.1665787</v>
      </c>
      <c r="S4787">
        <v>-3.0339969999999998</v>
      </c>
      <c r="T4787">
        <v>-0.29334120000000002</v>
      </c>
      <c r="U4787">
        <v>-0.51156619999999997</v>
      </c>
      <c r="V4787">
        <v>-0.1242886</v>
      </c>
      <c r="W4787">
        <v>0.1610472</v>
      </c>
      <c r="X4787">
        <v>0.9790894</v>
      </c>
      <c r="Y4787">
        <v>-0.122681</v>
      </c>
      <c r="Z4787">
        <v>-1.6969559999999999E-3</v>
      </c>
      <c r="AA4787">
        <v>0.99244469999999996</v>
      </c>
      <c r="AB4787">
        <v>35</v>
      </c>
      <c r="AC4787">
        <v>-11.1486</v>
      </c>
      <c r="AD4787">
        <v>-1.1114659712369901</v>
      </c>
      <c r="AE4787">
        <v>-1.9226999999999901</v>
      </c>
      <c r="AF4787">
        <v>-1.4202414809130299</v>
      </c>
      <c r="AG4787">
        <v>-1.1114659712369901</v>
      </c>
      <c r="AH4787">
        <v>11.114655853924599</v>
      </c>
      <c r="AI4787">
        <v>95.664837913688601</v>
      </c>
      <c r="AJ4787">
        <v>97.281848641630404</v>
      </c>
      <c r="AK4787">
        <v>11.2600185266501</v>
      </c>
      <c r="AL4787">
        <v>80.732314909726696</v>
      </c>
      <c r="AM4787">
        <v>97.234606132348702</v>
      </c>
      <c r="AN4787">
        <v>0.99999995495507898</v>
      </c>
    </row>
    <row r="4788" spans="1:40" x14ac:dyDescent="0.25">
      <c r="A4788" t="str">
        <f>"20190312164124139"</f>
        <v>20190312164124139</v>
      </c>
      <c r="B4788" t="str">
        <f>"1552380084131215"</f>
        <v>1552380084131215</v>
      </c>
      <c r="C4788" t="s">
        <v>40</v>
      </c>
      <c r="D4788">
        <v>5.5772930000000001</v>
      </c>
      <c r="E4788">
        <v>0.52443609999999996</v>
      </c>
      <c r="F4788" t="s">
        <v>41</v>
      </c>
      <c r="G4788">
        <v>-389.01839999999999</v>
      </c>
      <c r="H4788" s="1">
        <v>-5.1899119999999998E-7</v>
      </c>
      <c r="I4788">
        <v>140.0505</v>
      </c>
      <c r="J4788">
        <v>-380.0378</v>
      </c>
      <c r="K4788">
        <v>1.1112569999999999</v>
      </c>
      <c r="L4788">
        <v>141.232</v>
      </c>
      <c r="M4788">
        <v>-0.99890330000000005</v>
      </c>
      <c r="N4788">
        <v>0</v>
      </c>
      <c r="O4788">
        <v>-4.4455599999999998E-2</v>
      </c>
      <c r="P4788">
        <v>-0.97469989999999995</v>
      </c>
      <c r="Q4788">
        <v>0.14615590000000001</v>
      </c>
      <c r="R4788">
        <v>-0.1691117</v>
      </c>
      <c r="S4788">
        <v>-3.064667</v>
      </c>
      <c r="T4788">
        <v>-0.36449300000000001</v>
      </c>
      <c r="U4788">
        <v>-0.39294430000000002</v>
      </c>
      <c r="V4788">
        <v>-0.12598110000000001</v>
      </c>
      <c r="W4788">
        <v>0.16027249999999901</v>
      </c>
      <c r="X4788">
        <v>0.97900030000000005</v>
      </c>
      <c r="Y4788">
        <v>-8.2686540000000003E-2</v>
      </c>
      <c r="Z4788">
        <v>3.6293179999999999E-4</v>
      </c>
      <c r="AA4788">
        <v>0.99657549999999995</v>
      </c>
      <c r="AB4788">
        <v>35</v>
      </c>
      <c r="AC4788">
        <v>-8.9805999999999795</v>
      </c>
      <c r="AD4788">
        <v>-1.1112575189912</v>
      </c>
      <c r="AE4788">
        <v>-1.18149999999999</v>
      </c>
      <c r="AF4788">
        <v>-0.769469303238558</v>
      </c>
      <c r="AG4788">
        <v>-1.1112575189912</v>
      </c>
      <c r="AH4788">
        <v>8.8904392459071993</v>
      </c>
      <c r="AI4788">
        <v>97.098450455767406</v>
      </c>
      <c r="AJ4788">
        <v>94.946634165248398</v>
      </c>
      <c r="AK4788">
        <v>8.9926017518462302</v>
      </c>
      <c r="AL4788">
        <v>80.777287017666197</v>
      </c>
      <c r="AM4788">
        <v>97.332718470287105</v>
      </c>
      <c r="AN4788">
        <v>1.00000004960677</v>
      </c>
    </row>
    <row r="4789" spans="1:40" x14ac:dyDescent="0.25">
      <c r="A4789" t="str">
        <f>"20190312164124161"</f>
        <v>20190312164124161</v>
      </c>
      <c r="B4789" t="str">
        <f>"1552380084150735"</f>
        <v>1552380084150735</v>
      </c>
      <c r="C4789" t="s">
        <v>40</v>
      </c>
      <c r="D4789">
        <v>5.5913360000000001</v>
      </c>
      <c r="E4789">
        <v>0.52722469999999999</v>
      </c>
      <c r="F4789" t="s">
        <v>41</v>
      </c>
      <c r="G4789">
        <v>-390.59199999999998</v>
      </c>
      <c r="H4789" s="1">
        <v>-4.1177030000000003E-6</v>
      </c>
      <c r="I4789">
        <v>139.9897</v>
      </c>
      <c r="J4789">
        <v>-380.38330000000002</v>
      </c>
      <c r="K4789">
        <v>1.1110530000000001</v>
      </c>
      <c r="L4789">
        <v>141.21600000000001</v>
      </c>
      <c r="M4789">
        <v>-0.99888129999999997</v>
      </c>
      <c r="N4789">
        <v>0</v>
      </c>
      <c r="O4789">
        <v>-4.49489E-2</v>
      </c>
      <c r="P4789">
        <v>-0.97442600000000001</v>
      </c>
      <c r="Q4789">
        <v>0.1454492</v>
      </c>
      <c r="R4789">
        <v>-0.17128669999999999</v>
      </c>
      <c r="S4789">
        <v>-3.0636290000000002</v>
      </c>
      <c r="T4789">
        <v>-0.32257269999999999</v>
      </c>
      <c r="U4789">
        <v>-0.36059570000000002</v>
      </c>
      <c r="V4789">
        <v>-0.12760189999999999</v>
      </c>
      <c r="W4789">
        <v>0.1596168</v>
      </c>
      <c r="X4789">
        <v>0.97889749999999998</v>
      </c>
      <c r="Y4789">
        <v>-7.1984179999999995E-2</v>
      </c>
      <c r="Z4789">
        <v>9.3349120000000001E-4</v>
      </c>
      <c r="AA4789">
        <v>0.9974054</v>
      </c>
      <c r="AB4789">
        <v>35</v>
      </c>
      <c r="AC4789">
        <v>-10.208699999999901</v>
      </c>
      <c r="AD4789">
        <v>-1.111057117703</v>
      </c>
      <c r="AE4789">
        <v>-1.2262999999999999</v>
      </c>
      <c r="AF4789">
        <v>-0.75729841244279905</v>
      </c>
      <c r="AG4789">
        <v>-1.111057117703</v>
      </c>
      <c r="AH4789">
        <v>10.135163982875</v>
      </c>
      <c r="AI4789">
        <v>96.238757673214195</v>
      </c>
      <c r="AJ4789">
        <v>94.273194065244695</v>
      </c>
      <c r="AK4789">
        <v>10.2239668311303</v>
      </c>
      <c r="AL4789">
        <v>80.815345754829906</v>
      </c>
      <c r="AM4789">
        <v>97.426781759727106</v>
      </c>
      <c r="AN4789">
        <v>1.0000000416160399</v>
      </c>
    </row>
    <row r="4790" spans="1:40" x14ac:dyDescent="0.25">
      <c r="A4790" t="str">
        <f>"20190312164124183"</f>
        <v>20190312164124183</v>
      </c>
      <c r="B4790" t="str">
        <f>"1552380084180991"</f>
        <v>1552380084180991</v>
      </c>
      <c r="C4790" t="s">
        <v>40</v>
      </c>
      <c r="D4790">
        <v>5.668755</v>
      </c>
      <c r="E4790">
        <v>0.52868559999999998</v>
      </c>
      <c r="F4790" t="s">
        <v>41</v>
      </c>
      <c r="G4790">
        <v>-392.79320000000001</v>
      </c>
      <c r="H4790" s="1">
        <v>-3.1317609999999998E-6</v>
      </c>
      <c r="I4790">
        <v>139.83320000000001</v>
      </c>
      <c r="J4790">
        <v>-380.73309999999998</v>
      </c>
      <c r="K4790">
        <v>1.110867</v>
      </c>
      <c r="L4790">
        <v>141.19990000000001</v>
      </c>
      <c r="M4790">
        <v>-0.99886719999999896</v>
      </c>
      <c r="N4790">
        <v>0</v>
      </c>
      <c r="O4790">
        <v>-4.5259979999999998E-2</v>
      </c>
      <c r="P4790">
        <v>-0.97419009999999995</v>
      </c>
      <c r="Q4790">
        <v>0.1454821</v>
      </c>
      <c r="R4790">
        <v>-0.17259449999999901</v>
      </c>
      <c r="S4790">
        <v>-3.0596920000000001</v>
      </c>
      <c r="T4790">
        <v>-0.27393479999999998</v>
      </c>
      <c r="U4790">
        <v>-0.34091189999999999</v>
      </c>
      <c r="V4790">
        <v>-0.12854209999999999</v>
      </c>
      <c r="W4790">
        <v>0.15969920000000001</v>
      </c>
      <c r="X4790">
        <v>0.97876099999999999</v>
      </c>
      <c r="Y4790">
        <v>-6.5554929999999997E-2</v>
      </c>
      <c r="Z4790">
        <v>1.108784E-3</v>
      </c>
      <c r="AA4790">
        <v>0.99784830000000002</v>
      </c>
      <c r="AB4790">
        <v>35</v>
      </c>
      <c r="AC4790">
        <v>-12.0601</v>
      </c>
      <c r="AD4790">
        <v>-1.1108701317609999</v>
      </c>
      <c r="AE4790">
        <v>-1.3667</v>
      </c>
      <c r="AF4790">
        <v>-0.81259334978090303</v>
      </c>
      <c r="AG4790">
        <v>-1.1108701317609999</v>
      </c>
      <c r="AH4790">
        <v>12.009004010698201</v>
      </c>
      <c r="AI4790">
        <v>95.273007852011105</v>
      </c>
      <c r="AJ4790">
        <v>93.871037671210601</v>
      </c>
      <c r="AK4790">
        <v>12.0876183647033</v>
      </c>
      <c r="AL4790">
        <v>80.810562853717798</v>
      </c>
      <c r="AM4790">
        <v>97.481917892457801</v>
      </c>
      <c r="AN4790">
        <v>1.00000000053702</v>
      </c>
    </row>
    <row r="4791" spans="1:40" x14ac:dyDescent="0.25">
      <c r="A4791" t="str">
        <f>"20190312164124206"</f>
        <v>20190312164124206</v>
      </c>
      <c r="B4791" t="str">
        <f>"1552380084201487"</f>
        <v>1552380084201487</v>
      </c>
      <c r="C4791" t="s">
        <v>40</v>
      </c>
      <c r="D4791">
        <v>5.6018629999999998</v>
      </c>
      <c r="E4791">
        <v>0.52899180000000001</v>
      </c>
      <c r="F4791" t="s">
        <v>41</v>
      </c>
      <c r="G4791">
        <v>-394.31029999999998</v>
      </c>
      <c r="H4791" s="1">
        <v>-2.4536800000000002E-6</v>
      </c>
      <c r="I4791">
        <v>139.73079999999999</v>
      </c>
      <c r="J4791">
        <v>-381.07810000000001</v>
      </c>
      <c r="K4791">
        <v>1.1107180000000001</v>
      </c>
      <c r="L4791">
        <v>141.184</v>
      </c>
      <c r="M4791">
        <v>-0.99886059999999999</v>
      </c>
      <c r="N4791">
        <v>0</v>
      </c>
      <c r="O4791">
        <v>-4.5408249999999997E-2</v>
      </c>
      <c r="P4791">
        <v>-0.97409319999999999</v>
      </c>
      <c r="Q4791">
        <v>0.1453247</v>
      </c>
      <c r="R4791">
        <v>-0.1732726</v>
      </c>
      <c r="S4791">
        <v>-3.0582579999999999</v>
      </c>
      <c r="T4791">
        <v>-0.25022420000000001</v>
      </c>
      <c r="U4791">
        <v>-0.33088679999999998</v>
      </c>
      <c r="V4791">
        <v>-0.1290163</v>
      </c>
      <c r="W4791">
        <v>0.15958530000000001</v>
      </c>
      <c r="X4791">
        <v>0.97871719999999895</v>
      </c>
      <c r="Y4791">
        <v>-6.225054E-2</v>
      </c>
      <c r="Z4791">
        <v>1.1604779999999999E-3</v>
      </c>
      <c r="AA4791">
        <v>0.9980599</v>
      </c>
      <c r="AB4791">
        <v>35</v>
      </c>
      <c r="AC4791">
        <v>-13.232199999999899</v>
      </c>
      <c r="AD4791">
        <v>-1.1107204536799999</v>
      </c>
      <c r="AE4791">
        <v>-1.4532</v>
      </c>
      <c r="AF4791">
        <v>-0.84490261928871302</v>
      </c>
      <c r="AG4791">
        <v>-1.1107204536799999</v>
      </c>
      <c r="AH4791">
        <v>13.1926940765652</v>
      </c>
      <c r="AI4791">
        <v>94.802708869312497</v>
      </c>
      <c r="AJ4791">
        <v>93.664401834573496</v>
      </c>
      <c r="AK4791">
        <v>13.2663008167365</v>
      </c>
      <c r="AL4791">
        <v>80.817173766196305</v>
      </c>
      <c r="AM4791">
        <v>97.509536968963303</v>
      </c>
      <c r="AN4791">
        <v>1.0000000156088</v>
      </c>
    </row>
    <row r="4792" spans="1:40" x14ac:dyDescent="0.25">
      <c r="A4792" t="str">
        <f>"20190312164124227"</f>
        <v>20190312164124227</v>
      </c>
      <c r="B4792" t="str">
        <f>"1552380084221007"</f>
        <v>1552380084221007</v>
      </c>
      <c r="C4792" t="s">
        <v>40</v>
      </c>
      <c r="D4792">
        <v>5.461284</v>
      </c>
      <c r="E4792">
        <v>0.52977249999999998</v>
      </c>
      <c r="F4792" t="s">
        <v>41</v>
      </c>
      <c r="G4792">
        <v>-394.07769999999999</v>
      </c>
      <c r="H4792" s="1">
        <v>-2.5649659999999999E-6</v>
      </c>
      <c r="I4792">
        <v>139.774</v>
      </c>
      <c r="J4792">
        <v>-381.42790000000002</v>
      </c>
      <c r="K4792">
        <v>1.110574</v>
      </c>
      <c r="L4792">
        <v>141.1679</v>
      </c>
      <c r="M4792">
        <v>-0.99886109999999995</v>
      </c>
      <c r="N4792">
        <v>0</v>
      </c>
      <c r="O4792">
        <v>-4.5399580000000002E-2</v>
      </c>
      <c r="P4792">
        <v>-0.97406409999999999</v>
      </c>
      <c r="Q4792">
        <v>0.145615299999999</v>
      </c>
      <c r="R4792">
        <v>-0.17319209999999999</v>
      </c>
      <c r="S4792">
        <v>-3.0597530000000002</v>
      </c>
      <c r="T4792">
        <v>-0.26143529999999998</v>
      </c>
      <c r="U4792">
        <v>-0.33184809999999998</v>
      </c>
      <c r="V4792">
        <v>-0.128888</v>
      </c>
      <c r="W4792">
        <v>0.15991669999999999</v>
      </c>
      <c r="X4792">
        <v>0.97867999999999999</v>
      </c>
      <c r="Y4792">
        <v>-6.2510969999999999E-2</v>
      </c>
      <c r="Z4792">
        <v>1.199868E-3</v>
      </c>
      <c r="AA4792">
        <v>0.99804349999999997</v>
      </c>
      <c r="AB4792">
        <v>35</v>
      </c>
      <c r="AC4792">
        <v>-12.6497999999999</v>
      </c>
      <c r="AD4792">
        <v>-1.110576564966</v>
      </c>
      <c r="AE4792">
        <v>-1.3938999999999999</v>
      </c>
      <c r="AF4792">
        <v>-0.81192194143187701</v>
      </c>
      <c r="AG4792">
        <v>-1.110576564966</v>
      </c>
      <c r="AH4792">
        <v>12.6040594153136</v>
      </c>
      <c r="AI4792">
        <v>95.025114131326205</v>
      </c>
      <c r="AJ4792">
        <v>93.685758094163603</v>
      </c>
      <c r="AK4792">
        <v>12.6789160140126</v>
      </c>
      <c r="AL4792">
        <v>80.797938819489801</v>
      </c>
      <c r="AM4792">
        <v>97.502436141160601</v>
      </c>
      <c r="AN4792">
        <v>1.0000000049414399</v>
      </c>
    </row>
    <row r="4793" spans="1:40" x14ac:dyDescent="0.25">
      <c r="A4793" t="str">
        <f>"20190312164124250"</f>
        <v>20190312164124250</v>
      </c>
      <c r="B4793" t="str">
        <f>"1552380084240528"</f>
        <v>1552380084240528</v>
      </c>
      <c r="C4793" t="s">
        <v>40</v>
      </c>
      <c r="D4793">
        <v>5.6199379999999897</v>
      </c>
      <c r="E4793">
        <v>0.53015290000000004</v>
      </c>
      <c r="F4793" t="s">
        <v>41</v>
      </c>
      <c r="G4793">
        <v>-395.16129999999998</v>
      </c>
      <c r="H4793" s="1">
        <v>-2.0839129999999998E-6</v>
      </c>
      <c r="I4793">
        <v>139.7132</v>
      </c>
      <c r="J4793">
        <v>-381.77229999999997</v>
      </c>
      <c r="K4793">
        <v>1.1104309999999999</v>
      </c>
      <c r="L4793">
        <v>141.1523</v>
      </c>
      <c r="M4793">
        <v>-0.99886830000000004</v>
      </c>
      <c r="N4793">
        <v>0</v>
      </c>
      <c r="O4793">
        <v>-4.5243289999999999E-2</v>
      </c>
      <c r="P4793">
        <v>-0.97405969999999997</v>
      </c>
      <c r="Q4793">
        <v>0.1458035</v>
      </c>
      <c r="R4793">
        <v>-0.1730594</v>
      </c>
      <c r="S4793">
        <v>-3.0592649999999999</v>
      </c>
      <c r="T4793">
        <v>-0.247394</v>
      </c>
      <c r="U4793">
        <v>-0.32403559999999998</v>
      </c>
      <c r="V4793">
        <v>-0.1288542</v>
      </c>
      <c r="W4793">
        <v>0.16014400000000001</v>
      </c>
      <c r="X4793">
        <v>0.9786473</v>
      </c>
      <c r="Y4793">
        <v>-6.0177679999999997E-2</v>
      </c>
      <c r="Z4793">
        <v>1.2173900000000001E-3</v>
      </c>
      <c r="AA4793">
        <v>0.99818689999999999</v>
      </c>
      <c r="AB4793">
        <v>35</v>
      </c>
      <c r="AC4793">
        <v>-13.388999999999999</v>
      </c>
      <c r="AD4793">
        <v>-1.1104330839130001</v>
      </c>
      <c r="AE4793">
        <v>-1.4390999999999901</v>
      </c>
      <c r="AF4793">
        <v>-0.82618054015207298</v>
      </c>
      <c r="AG4793">
        <v>-1.1104330839130001</v>
      </c>
      <c r="AH4793">
        <v>13.3496277124665</v>
      </c>
      <c r="AI4793">
        <v>94.745925483761496</v>
      </c>
      <c r="AJ4793">
        <v>93.541399256171005</v>
      </c>
      <c r="AK4793">
        <v>13.421184596757</v>
      </c>
      <c r="AL4793">
        <v>80.784745609731402</v>
      </c>
      <c r="AM4793">
        <v>97.500738845789797</v>
      </c>
      <c r="AN4793">
        <v>1.0000000216954601</v>
      </c>
    </row>
    <row r="4794" spans="1:40" x14ac:dyDescent="0.25">
      <c r="A4794" t="str">
        <f>"20190312164124271"</f>
        <v>20190312164124271</v>
      </c>
      <c r="B4794" t="str">
        <f>"1552380084261024"</f>
        <v>1552380084261024</v>
      </c>
      <c r="C4794" t="s">
        <v>40</v>
      </c>
      <c r="D4794">
        <v>5.5298829999999999</v>
      </c>
      <c r="E4794">
        <v>0.53051879999999996</v>
      </c>
      <c r="F4794" t="s">
        <v>41</v>
      </c>
      <c r="G4794">
        <v>-395.53890000000001</v>
      </c>
      <c r="H4794" s="1">
        <v>-1.9213640000000002E-6</v>
      </c>
      <c r="I4794">
        <v>139.71119999999999</v>
      </c>
      <c r="J4794">
        <v>-382.1044</v>
      </c>
      <c r="K4794">
        <v>1.1102989999999999</v>
      </c>
      <c r="L4794">
        <v>141.13740000000001</v>
      </c>
      <c r="M4794">
        <v>-0.99888080000000001</v>
      </c>
      <c r="N4794">
        <v>0</v>
      </c>
      <c r="O4794">
        <v>-4.4969740000000001E-2</v>
      </c>
      <c r="P4794">
        <v>-0.97427909999999995</v>
      </c>
      <c r="Q4794">
        <v>0.14507690000000001</v>
      </c>
      <c r="R4794">
        <v>-0.17243359999999999</v>
      </c>
      <c r="S4794">
        <v>-3.0599669999999999</v>
      </c>
      <c r="T4794">
        <v>-0.24682090000000001</v>
      </c>
      <c r="U4794">
        <v>-0.3203125</v>
      </c>
      <c r="V4794">
        <v>-0.12843469999999901</v>
      </c>
      <c r="W4794">
        <v>0.15945770000000001</v>
      </c>
      <c r="X4794">
        <v>0.97881450000000003</v>
      </c>
      <c r="Y4794">
        <v>-5.9228250000000003E-2</v>
      </c>
      <c r="Z4794">
        <v>1.2306019999999999E-3</v>
      </c>
      <c r="AA4794">
        <v>0.99824369999999996</v>
      </c>
      <c r="AB4794">
        <v>35</v>
      </c>
      <c r="AC4794">
        <v>-13.4345</v>
      </c>
      <c r="AD4794">
        <v>-1.1103009213639901</v>
      </c>
      <c r="AE4794">
        <v>-1.4262000000000199</v>
      </c>
      <c r="AF4794">
        <v>-0.81504106739451099</v>
      </c>
      <c r="AG4794">
        <v>-1.1103009213639901</v>
      </c>
      <c r="AH4794">
        <v>13.3945796630657</v>
      </c>
      <c r="AI4794">
        <v>94.729809397108596</v>
      </c>
      <c r="AJ4794">
        <v>93.482073180128197</v>
      </c>
      <c r="AK4794">
        <v>13.465207923672599</v>
      </c>
      <c r="AL4794">
        <v>80.824579655676402</v>
      </c>
      <c r="AM4794">
        <v>97.475333320215896</v>
      </c>
      <c r="AN4794">
        <v>1.00000002783181</v>
      </c>
    </row>
    <row r="4795" spans="1:40" x14ac:dyDescent="0.25">
      <c r="A4795" t="str">
        <f>"20190312164124294"</f>
        <v>20190312164124294</v>
      </c>
      <c r="B4795" t="str">
        <f>"1552380084291280"</f>
        <v>1552380084291280</v>
      </c>
      <c r="C4795" t="s">
        <v>40</v>
      </c>
      <c r="D4795">
        <v>5.6579389999999998</v>
      </c>
      <c r="E4795">
        <v>0.53115639999999997</v>
      </c>
      <c r="F4795" t="s">
        <v>41</v>
      </c>
      <c r="G4795">
        <v>-395.93520000000001</v>
      </c>
      <c r="H4795" s="1">
        <v>-1.7512920000000001E-6</v>
      </c>
      <c r="I4795">
        <v>139.71090000000001</v>
      </c>
      <c r="J4795">
        <v>-382.45409999999998</v>
      </c>
      <c r="K4795">
        <v>1.1101620000000001</v>
      </c>
      <c r="L4795">
        <v>141.12200000000001</v>
      </c>
      <c r="M4795">
        <v>-0.99889870000000003</v>
      </c>
      <c r="N4795">
        <v>0</v>
      </c>
      <c r="O4795">
        <v>-4.4570449999999998E-2</v>
      </c>
      <c r="P4795">
        <v>-0.97439799999999999</v>
      </c>
      <c r="Q4795">
        <v>0.1450197</v>
      </c>
      <c r="R4795">
        <v>-0.17180899999999999</v>
      </c>
      <c r="S4795">
        <v>-3.0599669999999999</v>
      </c>
      <c r="T4795">
        <v>-0.24564710000000001</v>
      </c>
      <c r="U4795">
        <v>-0.31559749999999998</v>
      </c>
      <c r="V4795">
        <v>-0.1281438</v>
      </c>
      <c r="W4795">
        <v>0.15943979999999999</v>
      </c>
      <c r="X4795">
        <v>0.97885549999999999</v>
      </c>
      <c r="Y4795">
        <v>-5.8108229999999997E-2</v>
      </c>
      <c r="Z4795">
        <v>1.2377989999999999E-3</v>
      </c>
      <c r="AA4795">
        <v>0.99830949999999996</v>
      </c>
      <c r="AB4795">
        <v>35</v>
      </c>
      <c r="AC4795">
        <v>-13.4811</v>
      </c>
      <c r="AD4795">
        <v>-1.110163751292</v>
      </c>
      <c r="AE4795">
        <v>-1.4111</v>
      </c>
      <c r="AF4795">
        <v>-0.80338507224456501</v>
      </c>
      <c r="AG4795">
        <v>-1.110163751292</v>
      </c>
      <c r="AH4795">
        <v>13.4404422447576</v>
      </c>
      <c r="AI4795">
        <v>94.713466144427798</v>
      </c>
      <c r="AJ4795">
        <v>93.420711128980599</v>
      </c>
      <c r="AK4795">
        <v>13.510121348961</v>
      </c>
      <c r="AL4795">
        <v>80.825618159765995</v>
      </c>
      <c r="AM4795">
        <v>97.458283912002301</v>
      </c>
      <c r="AN4795">
        <v>0.99999998659136402</v>
      </c>
    </row>
    <row r="4796" spans="1:40" x14ac:dyDescent="0.25">
      <c r="A4796" t="str">
        <f>"20190312164124317"</f>
        <v>20190312164124317</v>
      </c>
      <c r="B4796" t="str">
        <f>"1552380084310799"</f>
        <v>1552380084310799</v>
      </c>
      <c r="C4796" t="s">
        <v>40</v>
      </c>
      <c r="D4796">
        <v>5.654922</v>
      </c>
      <c r="E4796">
        <v>0.53157109999999996</v>
      </c>
      <c r="F4796" t="s">
        <v>41</v>
      </c>
      <c r="G4796">
        <v>-396.70679999999999</v>
      </c>
      <c r="H4796" s="1">
        <v>-1.413664E-6</v>
      </c>
      <c r="I4796">
        <v>139.68600000000001</v>
      </c>
      <c r="J4796">
        <v>-382.81689999999998</v>
      </c>
      <c r="K4796">
        <v>1.110028</v>
      </c>
      <c r="L4796">
        <v>141.1062</v>
      </c>
      <c r="M4796">
        <v>-0.99892170000000002</v>
      </c>
      <c r="N4796">
        <v>0</v>
      </c>
      <c r="O4796">
        <v>-4.4053580000000002E-2</v>
      </c>
      <c r="P4796">
        <v>-0.97449759999999996</v>
      </c>
      <c r="Q4796">
        <v>0.1450331</v>
      </c>
      <c r="R4796">
        <v>-0.171232</v>
      </c>
      <c r="S4796">
        <v>-3.0599669999999999</v>
      </c>
      <c r="T4796">
        <v>-0.2383459</v>
      </c>
      <c r="U4796">
        <v>-0.30827329999999997</v>
      </c>
      <c r="V4796">
        <v>-0.12801949999999901</v>
      </c>
      <c r="W4796">
        <v>0.15948970000000001</v>
      </c>
      <c r="X4796">
        <v>0.9788637</v>
      </c>
      <c r="Y4796">
        <v>-5.6266240000000002E-2</v>
      </c>
      <c r="Z4796">
        <v>1.232733E-3</v>
      </c>
      <c r="AA4796">
        <v>0.9984151</v>
      </c>
      <c r="AB4796">
        <v>35</v>
      </c>
      <c r="AC4796">
        <v>-13.889900000000001</v>
      </c>
      <c r="AD4796">
        <v>-1.1100294136640001</v>
      </c>
      <c r="AE4796">
        <v>-1.4201999999999899</v>
      </c>
      <c r="AF4796">
        <v>-0.80178767696109199</v>
      </c>
      <c r="AG4796">
        <v>-1.1100294136640001</v>
      </c>
      <c r="AH4796">
        <v>13.8514354657114</v>
      </c>
      <c r="AI4796">
        <v>94.574166126459701</v>
      </c>
      <c r="AJ4796">
        <v>93.312858396466794</v>
      </c>
      <c r="AK4796">
        <v>13.918954459257799</v>
      </c>
      <c r="AL4796">
        <v>80.822722627275198</v>
      </c>
      <c r="AM4796">
        <v>97.451068960882296</v>
      </c>
      <c r="AN4796">
        <v>1.0000000499820101</v>
      </c>
    </row>
    <row r="4797" spans="1:40" x14ac:dyDescent="0.25">
      <c r="A4797" t="str">
        <f>"20190312164124340"</f>
        <v>20190312164124340</v>
      </c>
      <c r="B4797" t="str">
        <f>"1552380084331299"</f>
        <v>1552380084331299</v>
      </c>
      <c r="C4797" t="s">
        <v>40</v>
      </c>
      <c r="D4797">
        <v>5.5342370000000001</v>
      </c>
      <c r="E4797">
        <v>0.53125080000000002</v>
      </c>
      <c r="F4797" t="s">
        <v>41</v>
      </c>
      <c r="G4797">
        <v>-397.31900000000002</v>
      </c>
      <c r="H4797" s="1">
        <v>-1.1465799999999901E-6</v>
      </c>
      <c r="I4797">
        <v>139.66929999999999</v>
      </c>
      <c r="J4797">
        <v>-383.1558</v>
      </c>
      <c r="K4797">
        <v>1.1099220000000001</v>
      </c>
      <c r="L4797">
        <v>141.09180000000001</v>
      </c>
      <c r="M4797">
        <v>-0.99894649999999996</v>
      </c>
      <c r="N4797">
        <v>0</v>
      </c>
      <c r="O4797">
        <v>-4.34895E-2</v>
      </c>
      <c r="P4797">
        <v>-0.97466920000000001</v>
      </c>
      <c r="Q4797">
        <v>0.14509169999999999</v>
      </c>
      <c r="R4797">
        <v>-0.17020189999999999</v>
      </c>
      <c r="S4797">
        <v>-3.06012</v>
      </c>
      <c r="T4797">
        <v>-0.2342291</v>
      </c>
      <c r="U4797">
        <v>-0.30319210000000002</v>
      </c>
      <c r="V4797">
        <v>-0.12749959999999999</v>
      </c>
      <c r="W4797">
        <v>0.15957489999999999</v>
      </c>
      <c r="X4797">
        <v>0.97891760000000005</v>
      </c>
      <c r="Y4797">
        <v>-5.5186329999999999E-2</v>
      </c>
      <c r="Z4797">
        <v>1.2098059999999999E-3</v>
      </c>
      <c r="AA4797">
        <v>0.99847529999999995</v>
      </c>
      <c r="AB4797">
        <v>35</v>
      </c>
      <c r="AC4797">
        <v>-14.1632</v>
      </c>
      <c r="AD4797">
        <v>-1.1099231465799999</v>
      </c>
      <c r="AE4797">
        <v>-1.4225000000000101</v>
      </c>
      <c r="AF4797">
        <v>-0.80027163008741797</v>
      </c>
      <c r="AG4797">
        <v>-1.1099231465799999</v>
      </c>
      <c r="AH4797">
        <v>14.1257826918202</v>
      </c>
      <c r="AI4797">
        <v>94.485580368542202</v>
      </c>
      <c r="AJ4797">
        <v>93.2425265572532</v>
      </c>
      <c r="AK4797">
        <v>14.191902646571499</v>
      </c>
      <c r="AL4797">
        <v>80.817777067699595</v>
      </c>
      <c r="AM4797">
        <v>97.420743335093903</v>
      </c>
      <c r="AN4797">
        <v>0.999999982149964</v>
      </c>
    </row>
    <row r="4798" spans="1:40" x14ac:dyDescent="0.25">
      <c r="A4798" t="str">
        <f>"20190312164124361"</f>
        <v>20190312164124361</v>
      </c>
      <c r="B4798" t="str">
        <f>"1552380084350815"</f>
        <v>1552380084350815</v>
      </c>
      <c r="C4798" t="s">
        <v>40</v>
      </c>
      <c r="D4798">
        <v>5.4718859999999996</v>
      </c>
      <c r="E4798">
        <v>0.53052109999999997</v>
      </c>
      <c r="F4798" t="s">
        <v>41</v>
      </c>
      <c r="G4798">
        <v>-397.44479999999999</v>
      </c>
      <c r="H4798" s="1">
        <v>-1.0950760000000001E-6</v>
      </c>
      <c r="I4798">
        <v>139.67840000000001</v>
      </c>
      <c r="J4798">
        <v>-383.4973</v>
      </c>
      <c r="K4798">
        <v>1.1098509999999999</v>
      </c>
      <c r="L4798">
        <v>141.07749999999999</v>
      </c>
      <c r="M4798">
        <v>-0.99897360000000002</v>
      </c>
      <c r="N4798">
        <v>0</v>
      </c>
      <c r="O4798">
        <v>-4.2862320000000002E-2</v>
      </c>
      <c r="P4798">
        <v>-0.97490750000000004</v>
      </c>
      <c r="Q4798">
        <v>0.14479330000000001</v>
      </c>
      <c r="R4798">
        <v>-0.16908679999999901</v>
      </c>
      <c r="S4798">
        <v>-3.060486</v>
      </c>
      <c r="T4798">
        <v>-0.2377292</v>
      </c>
      <c r="U4798">
        <v>-0.30270390000000003</v>
      </c>
      <c r="V4798">
        <v>-0.12696250000000001</v>
      </c>
      <c r="W4798">
        <v>0.1592962</v>
      </c>
      <c r="X4798">
        <v>0.97903280000000004</v>
      </c>
      <c r="Y4798">
        <v>-5.563949E-2</v>
      </c>
      <c r="Z4798">
        <v>1.1617210000000001E-3</v>
      </c>
      <c r="AA4798">
        <v>0.99845019999999995</v>
      </c>
      <c r="AB4798">
        <v>35</v>
      </c>
      <c r="AC4798">
        <v>-13.9474999999999</v>
      </c>
      <c r="AD4798">
        <v>-1.109852095076</v>
      </c>
      <c r="AE4798">
        <v>-1.39909999999997</v>
      </c>
      <c r="AF4798">
        <v>-0.79494417821630203</v>
      </c>
      <c r="AG4798">
        <v>-1.109852095076</v>
      </c>
      <c r="AH4798">
        <v>13.907470323294699</v>
      </c>
      <c r="AI4798">
        <v>94.555277933021301</v>
      </c>
      <c r="AJ4798">
        <v>93.2714389109384</v>
      </c>
      <c r="AK4798">
        <v>13.974313532791101</v>
      </c>
      <c r="AL4798">
        <v>80.833952378961499</v>
      </c>
      <c r="AM4798">
        <v>97.388969305452903</v>
      </c>
      <c r="AN4798">
        <v>0.99999998960826497</v>
      </c>
    </row>
    <row r="4799" spans="1:40" x14ac:dyDescent="0.25">
      <c r="A4799" t="str">
        <f>"20190312164124383"</f>
        <v>20190312164124383</v>
      </c>
      <c r="B4799" t="str">
        <f>"1552380084381072"</f>
        <v>1552380084381072</v>
      </c>
      <c r="C4799" t="s">
        <v>40</v>
      </c>
      <c r="D4799">
        <v>5.7145910000000004</v>
      </c>
      <c r="E4799">
        <v>0.53086469999999997</v>
      </c>
      <c r="F4799" t="s">
        <v>41</v>
      </c>
      <c r="G4799">
        <v>-397.84390000000002</v>
      </c>
      <c r="H4799" s="1">
        <v>-9.1593740000000003E-7</v>
      </c>
      <c r="I4799">
        <v>139.64879999999999</v>
      </c>
      <c r="J4799">
        <v>-383.83940000000001</v>
      </c>
      <c r="K4799">
        <v>1.109796</v>
      </c>
      <c r="L4799">
        <v>141.0635</v>
      </c>
      <c r="M4799">
        <v>-0.99900199999999995</v>
      </c>
      <c r="N4799">
        <v>0</v>
      </c>
      <c r="O4799">
        <v>-4.219676E-2</v>
      </c>
      <c r="P4799">
        <v>-0.97511669999999995</v>
      </c>
      <c r="Q4799">
        <v>0.14511079999999901</v>
      </c>
      <c r="R4799">
        <v>-0.16760269999999999</v>
      </c>
      <c r="S4799">
        <v>-3.0595089999999998</v>
      </c>
      <c r="T4799">
        <v>-0.23668400000000001</v>
      </c>
      <c r="U4799">
        <v>-0.3046722</v>
      </c>
      <c r="V4799">
        <v>-0.12610370000000001</v>
      </c>
      <c r="W4799">
        <v>0.1596253</v>
      </c>
      <c r="X4799">
        <v>0.97909020000000002</v>
      </c>
      <c r="Y4799">
        <v>-5.6966389999999999E-2</v>
      </c>
      <c r="Z4799">
        <v>1.0546220000000001E-3</v>
      </c>
      <c r="AA4799">
        <v>0.99837549999999997</v>
      </c>
      <c r="AB4799">
        <v>35</v>
      </c>
      <c r="AC4799">
        <v>-14.0045</v>
      </c>
      <c r="AD4799">
        <v>-1.1097969159373999</v>
      </c>
      <c r="AE4799">
        <v>-1.4147000000000101</v>
      </c>
      <c r="AF4799">
        <v>-0.81735076802585405</v>
      </c>
      <c r="AG4799">
        <v>-1.1097969159373999</v>
      </c>
      <c r="AH4799">
        <v>13.964913756126901</v>
      </c>
      <c r="AI4799">
        <v>94.536037349429506</v>
      </c>
      <c r="AJ4799">
        <v>93.349636446874399</v>
      </c>
      <c r="AK4799">
        <v>14.0327662165619</v>
      </c>
      <c r="AL4799">
        <v>80.814852026456705</v>
      </c>
      <c r="AM4799">
        <v>97.339110026121602</v>
      </c>
      <c r="AN4799">
        <v>0.99999999964490904</v>
      </c>
    </row>
    <row r="4800" spans="1:40" x14ac:dyDescent="0.25">
      <c r="A4800" t="str">
        <f>"20190312164124407"</f>
        <v>20190312164124407</v>
      </c>
      <c r="B4800" t="str">
        <f>"1552380084400596"</f>
        <v>1552380084400596</v>
      </c>
      <c r="C4800" t="s">
        <v>40</v>
      </c>
      <c r="D4800">
        <v>5.5706040000000003</v>
      </c>
      <c r="E4800">
        <v>0.53092550000000005</v>
      </c>
      <c r="F4800" t="s">
        <v>41</v>
      </c>
      <c r="G4800">
        <v>-398.44099999999997</v>
      </c>
      <c r="H4800" s="1">
        <v>-6.5828760000000003E-7</v>
      </c>
      <c r="I4800">
        <v>139.6431</v>
      </c>
      <c r="J4800">
        <v>-384.1986</v>
      </c>
      <c r="K4800">
        <v>1.1097649999999999</v>
      </c>
      <c r="L4800">
        <v>141.04900000000001</v>
      </c>
      <c r="M4800">
        <v>-0.99903229999999998</v>
      </c>
      <c r="N4800">
        <v>0</v>
      </c>
      <c r="O4800">
        <v>-4.1475999999999999E-2</v>
      </c>
      <c r="P4800">
        <v>-0.97527229999999998</v>
      </c>
      <c r="Q4800">
        <v>0.14518919999999999</v>
      </c>
      <c r="R4800">
        <v>-0.1666263</v>
      </c>
      <c r="S4800">
        <v>-3.060028</v>
      </c>
      <c r="T4800">
        <v>-0.2325776</v>
      </c>
      <c r="U4800">
        <v>-0.29765320000000001</v>
      </c>
      <c r="V4800">
        <v>-0.12581529999999999</v>
      </c>
      <c r="W4800">
        <v>0.15971089999999999</v>
      </c>
      <c r="X4800">
        <v>0.97911329999999996</v>
      </c>
      <c r="Y4800">
        <v>-5.5405749999999997E-2</v>
      </c>
      <c r="Z4800">
        <v>1.0409530000000001E-3</v>
      </c>
      <c r="AA4800">
        <v>0.9984634</v>
      </c>
      <c r="AB4800">
        <v>35</v>
      </c>
      <c r="AC4800">
        <v>-14.2423999999999</v>
      </c>
      <c r="AD4800">
        <v>-1.1097656582876001</v>
      </c>
      <c r="AE4800">
        <v>-1.4058999999999999</v>
      </c>
      <c r="AF4800">
        <v>-0.80904419268769101</v>
      </c>
      <c r="AG4800">
        <v>-1.1097656582876001</v>
      </c>
      <c r="AH4800">
        <v>14.203057410065201</v>
      </c>
      <c r="AI4800">
        <v>94.460566115719402</v>
      </c>
      <c r="AJ4800">
        <v>93.260197940374297</v>
      </c>
      <c r="AK4800">
        <v>14.2693017388954</v>
      </c>
      <c r="AL4800">
        <v>80.809883380509802</v>
      </c>
      <c r="AM4800">
        <v>97.322336923840197</v>
      </c>
      <c r="AN4800">
        <v>0.99999995776489403</v>
      </c>
    </row>
    <row r="4801" spans="1:40" x14ac:dyDescent="0.25">
      <c r="A4801" t="str">
        <f>"20190312164124428"</f>
        <v>20190312164124428</v>
      </c>
      <c r="B4801" t="str">
        <f>"1552380084421092"</f>
        <v>1552380084421092</v>
      </c>
      <c r="C4801" t="s">
        <v>40</v>
      </c>
      <c r="D4801">
        <v>5.5172509999999999</v>
      </c>
      <c r="E4801">
        <v>0.53118829999999995</v>
      </c>
      <c r="F4801" t="s">
        <v>41</v>
      </c>
      <c r="G4801">
        <v>-398.5256</v>
      </c>
      <c r="H4801" s="1">
        <v>-6.2972290000000004E-7</v>
      </c>
      <c r="I4801">
        <v>139.6721</v>
      </c>
      <c r="J4801">
        <v>-384.53339999999997</v>
      </c>
      <c r="K4801">
        <v>1.1097429999999999</v>
      </c>
      <c r="L4801">
        <v>141.03579999999999</v>
      </c>
      <c r="M4801">
        <v>-0.99906030000000001</v>
      </c>
      <c r="N4801">
        <v>0</v>
      </c>
      <c r="O4801">
        <v>-4.0798010000000003E-2</v>
      </c>
      <c r="P4801">
        <v>-0.97528170000000003</v>
      </c>
      <c r="Q4801">
        <v>0.14550469999999999</v>
      </c>
      <c r="R4801">
        <v>-0.166296</v>
      </c>
      <c r="S4801">
        <v>-3.061096</v>
      </c>
      <c r="T4801">
        <v>-0.2371124</v>
      </c>
      <c r="U4801">
        <v>-0.2941742</v>
      </c>
      <c r="V4801">
        <v>-0.12613969999999999</v>
      </c>
      <c r="W4801">
        <v>0.16002910000000001</v>
      </c>
      <c r="X4801">
        <v>0.97901959999999999</v>
      </c>
      <c r="Y4801">
        <v>-5.4923369999999999E-2</v>
      </c>
      <c r="Z4801">
        <v>1.027271E-3</v>
      </c>
      <c r="AA4801">
        <v>0.99848999999999999</v>
      </c>
      <c r="AB4801">
        <v>35</v>
      </c>
      <c r="AC4801">
        <v>-13.9922</v>
      </c>
      <c r="AD4801">
        <v>-1.1097436297229</v>
      </c>
      <c r="AE4801">
        <v>-1.3636999999999899</v>
      </c>
      <c r="AF4801">
        <v>-0.78674701111129397</v>
      </c>
      <c r="AG4801">
        <v>-1.1097436297229</v>
      </c>
      <c r="AH4801">
        <v>13.949270144377399</v>
      </c>
      <c r="AI4801">
        <v>94.541437211875504</v>
      </c>
      <c r="AJ4801">
        <v>93.228095556026204</v>
      </c>
      <c r="AK4801">
        <v>14.0154428879012</v>
      </c>
      <c r="AL4801">
        <v>80.791414307543107</v>
      </c>
      <c r="AM4801">
        <v>97.341705957025795</v>
      </c>
      <c r="AN4801">
        <v>0.99999995697352895</v>
      </c>
    </row>
    <row r="4802" spans="1:40" x14ac:dyDescent="0.25">
      <c r="A4802" t="str">
        <f>"20190312164124450"</f>
        <v>20190312164124450</v>
      </c>
      <c r="B4802" t="str">
        <f>"1552380084440608"</f>
        <v>1552380084440608</v>
      </c>
      <c r="C4802" t="s">
        <v>40</v>
      </c>
      <c r="D4802">
        <v>5.5384370000000001</v>
      </c>
      <c r="E4802">
        <v>0.53118009999999904</v>
      </c>
      <c r="F4802" t="s">
        <v>41</v>
      </c>
      <c r="G4802">
        <v>-399.11329999999998</v>
      </c>
      <c r="H4802" s="1">
        <v>-3.7181749999999999E-7</v>
      </c>
      <c r="I4802">
        <v>139.65029999999999</v>
      </c>
      <c r="J4802">
        <v>-384.86630000000002</v>
      </c>
      <c r="K4802">
        <v>1.109728</v>
      </c>
      <c r="L4802">
        <v>141.02289999999999</v>
      </c>
      <c r="M4802">
        <v>-0.99908759999999996</v>
      </c>
      <c r="N4802">
        <v>0</v>
      </c>
      <c r="O4802">
        <v>-4.012549E-2</v>
      </c>
      <c r="P4802">
        <v>-0.9752982</v>
      </c>
      <c r="Q4802">
        <v>0.14565989999999901</v>
      </c>
      <c r="R4802">
        <v>-0.16606379999999901</v>
      </c>
      <c r="S4802">
        <v>-3.061188</v>
      </c>
      <c r="T4802">
        <v>-0.2330024</v>
      </c>
      <c r="U4802">
        <v>-0.29087829999999998</v>
      </c>
      <c r="V4802">
        <v>-0.1265599</v>
      </c>
      <c r="W4802">
        <v>0.16018589999999999</v>
      </c>
      <c r="X4802">
        <v>0.97893980000000003</v>
      </c>
      <c r="Y4802">
        <v>-5.4527979999999997E-2</v>
      </c>
      <c r="Z4802">
        <v>9.7362019999999998E-4</v>
      </c>
      <c r="AA4802">
        <v>0.99851179999999995</v>
      </c>
      <c r="AB4802">
        <v>34</v>
      </c>
      <c r="AC4802">
        <v>-14.2469999999999</v>
      </c>
      <c r="AD4802">
        <v>-1.1097283718174999</v>
      </c>
      <c r="AE4802">
        <v>-1.3726</v>
      </c>
      <c r="AF4802">
        <v>-0.79498636503420395</v>
      </c>
      <c r="AG4802">
        <v>-1.1097283718174999</v>
      </c>
      <c r="AH4802">
        <v>14.205212938271</v>
      </c>
      <c r="AI4802">
        <v>94.4599923239075</v>
      </c>
      <c r="AJ4802">
        <v>93.2031831611488</v>
      </c>
      <c r="AK4802">
        <v>14.2706543298276</v>
      </c>
      <c r="AL4802">
        <v>80.782313609535393</v>
      </c>
      <c r="AM4802">
        <v>97.366488550792297</v>
      </c>
      <c r="AN4802">
        <v>1.00000003143542</v>
      </c>
    </row>
    <row r="4803" spans="1:40" x14ac:dyDescent="0.25">
      <c r="A4803" t="str">
        <f>"20190312164124472"</f>
        <v>20190312164124472</v>
      </c>
      <c r="B4803" t="str">
        <f>"1552380084461103"</f>
        <v>1552380084461103</v>
      </c>
      <c r="C4803" t="s">
        <v>40</v>
      </c>
      <c r="D4803">
        <v>5.6754230000000003</v>
      </c>
      <c r="E4803">
        <v>0.53121850000000004</v>
      </c>
      <c r="F4803" t="s">
        <v>41</v>
      </c>
      <c r="G4803">
        <v>-399.65289999999999</v>
      </c>
      <c r="H4803" s="1">
        <v>-1.3245409999999999E-7</v>
      </c>
      <c r="I4803">
        <v>139.6208</v>
      </c>
      <c r="J4803">
        <v>-385.20890000000003</v>
      </c>
      <c r="K4803">
        <v>1.109718</v>
      </c>
      <c r="L4803">
        <v>141.00980000000001</v>
      </c>
      <c r="M4803">
        <v>-0.99911499999999998</v>
      </c>
      <c r="N4803">
        <v>0</v>
      </c>
      <c r="O4803">
        <v>-3.943754E-2</v>
      </c>
      <c r="P4803">
        <v>-0.97518780000000005</v>
      </c>
      <c r="Q4803">
        <v>0.14667269999999999</v>
      </c>
      <c r="R4803">
        <v>-0.16581960000000001</v>
      </c>
      <c r="S4803">
        <v>-3.060883</v>
      </c>
      <c r="T4803">
        <v>-0.22971829999999999</v>
      </c>
      <c r="U4803">
        <v>-0.29022219999999999</v>
      </c>
      <c r="V4803">
        <v>-0.12698860000000001</v>
      </c>
      <c r="W4803">
        <v>0.16119639999999999</v>
      </c>
      <c r="X4803">
        <v>0.97871830000000004</v>
      </c>
      <c r="Y4803">
        <v>-5.5010650000000001E-2</v>
      </c>
      <c r="Z4803">
        <v>8.9062729999999995E-4</v>
      </c>
      <c r="AA4803">
        <v>0.99848539999999997</v>
      </c>
      <c r="AB4803">
        <v>34</v>
      </c>
      <c r="AC4803">
        <v>-14.4439999999999</v>
      </c>
      <c r="AD4803">
        <v>-1.1097181324540999</v>
      </c>
      <c r="AE4803">
        <v>-1.38900000000001</v>
      </c>
      <c r="AF4803">
        <v>-0.81346478127317201</v>
      </c>
      <c r="AG4803">
        <v>-1.1097181324540999</v>
      </c>
      <c r="AH4803">
        <v>14.403305986800101</v>
      </c>
      <c r="AI4803">
        <v>94.398728661014204</v>
      </c>
      <c r="AJ4803">
        <v>93.232496605811903</v>
      </c>
      <c r="AK4803">
        <v>14.468877725423701</v>
      </c>
      <c r="AL4803">
        <v>80.723653138467299</v>
      </c>
      <c r="AM4803">
        <v>97.392820061162396</v>
      </c>
      <c r="AN4803">
        <v>0.99999994732890296</v>
      </c>
    </row>
    <row r="4804" spans="1:40" x14ac:dyDescent="0.25">
      <c r="A4804" t="str">
        <f>"20190312164124495"</f>
        <v>20190312164124495</v>
      </c>
      <c r="B4804" t="str">
        <f>"1552380084491360"</f>
        <v>1552380084491360</v>
      </c>
      <c r="C4804" t="s">
        <v>40</v>
      </c>
      <c r="D4804">
        <v>5.4389479999999999</v>
      </c>
      <c r="E4804">
        <v>0.53117169999999903</v>
      </c>
      <c r="F4804" t="s">
        <v>50</v>
      </c>
      <c r="G4804">
        <v>-400.31200000000001</v>
      </c>
      <c r="H4804" s="1">
        <v>-5.4877479999999996E-6</v>
      </c>
      <c r="I4804">
        <v>139.58080000000001</v>
      </c>
      <c r="J4804">
        <v>-385.55250000000001</v>
      </c>
      <c r="K4804">
        <v>1.109712</v>
      </c>
      <c r="L4804">
        <v>140.99690000000001</v>
      </c>
      <c r="M4804">
        <v>-0.99914179999999997</v>
      </c>
      <c r="N4804">
        <v>0</v>
      </c>
      <c r="O4804">
        <v>-3.8751800000000003E-2</v>
      </c>
      <c r="P4804">
        <v>-0.97504190000000002</v>
      </c>
      <c r="Q4804">
        <v>0.1473933</v>
      </c>
      <c r="R4804">
        <v>-0.1660384</v>
      </c>
      <c r="S4804">
        <v>-3.0609440000000001</v>
      </c>
      <c r="T4804">
        <v>-0.22490859999999999</v>
      </c>
      <c r="U4804">
        <v>-0.28961179999999997</v>
      </c>
      <c r="V4804">
        <v>-0.12788060000000001</v>
      </c>
      <c r="W4804">
        <v>0.16191449999999999</v>
      </c>
      <c r="X4804">
        <v>0.97848369999999996</v>
      </c>
      <c r="Y4804">
        <v>-5.5495410000000002E-2</v>
      </c>
      <c r="Z4804">
        <v>8.0414069999999998E-4</v>
      </c>
      <c r="AA4804">
        <v>0.99845859999999997</v>
      </c>
      <c r="AB4804">
        <v>34</v>
      </c>
      <c r="AC4804">
        <v>-14.7594999999999</v>
      </c>
      <c r="AD4804">
        <v>-1.1097174877480001</v>
      </c>
      <c r="AE4804">
        <v>-1.4160999999999999</v>
      </c>
      <c r="AF4804">
        <v>-0.83832186787498597</v>
      </c>
      <c r="AG4804">
        <v>-1.1097174877480001</v>
      </c>
      <c r="AH4804">
        <v>14.7208352613819</v>
      </c>
      <c r="AI4804">
        <v>94.304091795374802</v>
      </c>
      <c r="AJ4804">
        <v>93.259358641536195</v>
      </c>
      <c r="AK4804">
        <v>14.7863872277685</v>
      </c>
      <c r="AL4804">
        <v>80.681962343176494</v>
      </c>
      <c r="AM4804">
        <v>97.445933446227997</v>
      </c>
      <c r="AN4804">
        <v>1.0000000521661401</v>
      </c>
    </row>
    <row r="4805" spans="1:40" x14ac:dyDescent="0.25">
      <c r="A4805" t="str">
        <f>"20190312164124517"</f>
        <v>20190312164124517</v>
      </c>
      <c r="B4805" t="str">
        <f>"1552380084510879"</f>
        <v>1552380084510879</v>
      </c>
      <c r="C4805" t="s">
        <v>40</v>
      </c>
      <c r="D4805">
        <v>5.4398049999999998</v>
      </c>
      <c r="E4805">
        <v>0.53108120000000003</v>
      </c>
      <c r="F4805" t="s">
        <v>50</v>
      </c>
      <c r="G4805">
        <v>-400.95209999999997</v>
      </c>
      <c r="H4805" s="1">
        <v>-5.7501170000000001E-6</v>
      </c>
      <c r="I4805">
        <v>139.53469999999999</v>
      </c>
      <c r="J4805">
        <v>-385.8997</v>
      </c>
      <c r="K4805">
        <v>1.1097090000000001</v>
      </c>
      <c r="L4805">
        <v>140.98410000000001</v>
      </c>
      <c r="M4805">
        <v>-0.99916859999999996</v>
      </c>
      <c r="N4805">
        <v>0</v>
      </c>
      <c r="O4805">
        <v>-3.8061579999999998E-2</v>
      </c>
      <c r="P4805">
        <v>-0.97492290000000004</v>
      </c>
      <c r="Q4805">
        <v>0.14746219999999999</v>
      </c>
      <c r="R4805">
        <v>-0.16667589999999999</v>
      </c>
      <c r="S4805">
        <v>-3.0606689999999999</v>
      </c>
      <c r="T4805">
        <v>-0.220556</v>
      </c>
      <c r="U4805">
        <v>-0.29060360000000002</v>
      </c>
      <c r="V4805">
        <v>-0.12919620000000001</v>
      </c>
      <c r="W4805">
        <v>0.16198029999999999</v>
      </c>
      <c r="X4805">
        <v>0.9782999</v>
      </c>
      <c r="Y4805">
        <v>-5.6511529999999997E-2</v>
      </c>
      <c r="Z4805">
        <v>7.0269479999999997E-4</v>
      </c>
      <c r="AA4805">
        <v>0.99840169999999995</v>
      </c>
      <c r="AB4805">
        <v>34</v>
      </c>
      <c r="AC4805">
        <v>-15.052399999999899</v>
      </c>
      <c r="AD4805">
        <v>-1.1097147501169999</v>
      </c>
      <c r="AE4805">
        <v>-1.44940000000002</v>
      </c>
      <c r="AF4805">
        <v>-0.87068145288634002</v>
      </c>
      <c r="AG4805">
        <v>-1.1097147501169999</v>
      </c>
      <c r="AH4805">
        <v>15.0157996629823</v>
      </c>
      <c r="AI4805">
        <v>94.219592431197995</v>
      </c>
      <c r="AJ4805">
        <v>93.318542941929806</v>
      </c>
      <c r="AK4805">
        <v>15.081902815555001</v>
      </c>
      <c r="AL4805">
        <v>80.678141216637798</v>
      </c>
      <c r="AM4805">
        <v>97.523059416750698</v>
      </c>
      <c r="AN4805">
        <v>0.99999998501126897</v>
      </c>
    </row>
    <row r="4806" spans="1:40" x14ac:dyDescent="0.25">
      <c r="A4806" t="str">
        <f>"20190312164124539"</f>
        <v>20190312164124539</v>
      </c>
      <c r="B4806" t="str">
        <f>"1552380084531379"</f>
        <v>1552380084531379</v>
      </c>
      <c r="C4806" t="s">
        <v>40</v>
      </c>
      <c r="D4806">
        <v>5.7115039999999997</v>
      </c>
      <c r="E4806">
        <v>0.53109719999999905</v>
      </c>
      <c r="F4806" t="s">
        <v>50</v>
      </c>
      <c r="G4806">
        <v>-401.42509999999999</v>
      </c>
      <c r="H4806" s="1">
        <v>-5.9428759999999996E-6</v>
      </c>
      <c r="I4806">
        <v>139.4983</v>
      </c>
      <c r="J4806">
        <v>-386.23419999999999</v>
      </c>
      <c r="K4806">
        <v>1.1097030000000001</v>
      </c>
      <c r="L4806">
        <v>140.97200000000001</v>
      </c>
      <c r="M4806">
        <v>-0.99919349999999996</v>
      </c>
      <c r="N4806">
        <v>0</v>
      </c>
      <c r="O4806">
        <v>-3.7396930000000002E-2</v>
      </c>
      <c r="P4806">
        <v>-0.97482500000000005</v>
      </c>
      <c r="Q4806">
        <v>0.14762709999999901</v>
      </c>
      <c r="R4806">
        <v>-0.167101</v>
      </c>
      <c r="S4806">
        <v>-3.060181</v>
      </c>
      <c r="T4806">
        <v>-0.2187326</v>
      </c>
      <c r="U4806">
        <v>-0.29286190000000001</v>
      </c>
      <c r="V4806">
        <v>-0.13027540000000001</v>
      </c>
      <c r="W4806">
        <v>0.16214219999999999</v>
      </c>
      <c r="X4806">
        <v>0.97813000000000005</v>
      </c>
      <c r="Y4806">
        <v>-5.7916290000000002E-2</v>
      </c>
      <c r="Z4806">
        <v>5.9967419999999998E-4</v>
      </c>
      <c r="AA4806">
        <v>0.99832120000000002</v>
      </c>
      <c r="AB4806">
        <v>34</v>
      </c>
      <c r="AC4806">
        <v>-15.190899999999999</v>
      </c>
      <c r="AD4806">
        <v>-1.1097089428759901</v>
      </c>
      <c r="AE4806">
        <v>-1.4737</v>
      </c>
      <c r="AF4806">
        <v>-0.89975840915701999</v>
      </c>
      <c r="AG4806">
        <v>-1.1097089428759901</v>
      </c>
      <c r="AH4806">
        <v>15.1552682447021</v>
      </c>
      <c r="AI4806">
        <v>94.180540155587394</v>
      </c>
      <c r="AJ4806">
        <v>93.397624981815397</v>
      </c>
      <c r="AK4806">
        <v>15.2224562637448</v>
      </c>
      <c r="AL4806">
        <v>80.668741231886401</v>
      </c>
      <c r="AM4806">
        <v>97.586474427876794</v>
      </c>
      <c r="AN4806">
        <v>1.0000000348829901</v>
      </c>
    </row>
    <row r="4807" spans="1:40" x14ac:dyDescent="0.25">
      <c r="A4807" t="str">
        <f>"20190312164124563"</f>
        <v>20190312164124563</v>
      </c>
      <c r="B4807" t="str">
        <f>"1552380084550896"</f>
        <v>1552380084550896</v>
      </c>
      <c r="C4807" t="s">
        <v>40</v>
      </c>
      <c r="D4807">
        <v>5.5681390000000004</v>
      </c>
      <c r="E4807">
        <v>0.53101690000000001</v>
      </c>
      <c r="F4807" t="s">
        <v>50</v>
      </c>
      <c r="G4807">
        <v>-401.82350000000002</v>
      </c>
      <c r="H4807" s="1">
        <v>-6.1094579999999998E-6</v>
      </c>
      <c r="I4807">
        <v>139.47669999999999</v>
      </c>
      <c r="J4807">
        <v>-386.59249999999997</v>
      </c>
      <c r="K4807">
        <v>1.1096950000000001</v>
      </c>
      <c r="L4807">
        <v>140.95939999999999</v>
      </c>
      <c r="M4807">
        <v>-0.99922010000000006</v>
      </c>
      <c r="N4807">
        <v>0</v>
      </c>
      <c r="O4807">
        <v>-3.6684979999999999E-2</v>
      </c>
      <c r="P4807">
        <v>-0.97468759999999999</v>
      </c>
      <c r="Q4807">
        <v>0.14793629999999999</v>
      </c>
      <c r="R4807">
        <v>-0.16762829999999901</v>
      </c>
      <c r="S4807">
        <v>-3.0601500000000001</v>
      </c>
      <c r="T4807">
        <v>-0.217834</v>
      </c>
      <c r="U4807">
        <v>-0.2935333</v>
      </c>
      <c r="V4807">
        <v>-0.13150410000000001</v>
      </c>
      <c r="W4807">
        <v>0.16244710000000001</v>
      </c>
      <c r="X4807">
        <v>0.97791490000000003</v>
      </c>
      <c r="Y4807">
        <v>-5.8841890000000001E-2</v>
      </c>
      <c r="Z4807">
        <v>5.1395149999999997E-4</v>
      </c>
      <c r="AA4807">
        <v>0.99826720000000002</v>
      </c>
      <c r="AB4807">
        <v>34</v>
      </c>
      <c r="AC4807">
        <v>-15.231</v>
      </c>
      <c r="AD4807">
        <v>-1.109701109458</v>
      </c>
      <c r="AE4807">
        <v>-1.4826999999999899</v>
      </c>
      <c r="AF4807">
        <v>-0.91806557614117401</v>
      </c>
      <c r="AG4807">
        <v>-1.109701109458</v>
      </c>
      <c r="AH4807">
        <v>15.195240500442999</v>
      </c>
      <c r="AI4807">
        <v>94.169292421357795</v>
      </c>
      <c r="AJ4807">
        <v>93.457491746380398</v>
      </c>
      <c r="AK4807">
        <v>15.263342190383099</v>
      </c>
      <c r="AL4807">
        <v>80.6510364222069</v>
      </c>
      <c r="AM4807">
        <v>97.658845928087004</v>
      </c>
      <c r="AN4807">
        <v>0.99999997012861397</v>
      </c>
    </row>
    <row r="4808" spans="1:40" x14ac:dyDescent="0.25">
      <c r="A4808" t="str">
        <f>"20190312164124585"</f>
        <v>20190312164124585</v>
      </c>
      <c r="B4808" t="str">
        <f>"1552380084581152"</f>
        <v>1552380084581152</v>
      </c>
      <c r="C4808" t="s">
        <v>40</v>
      </c>
      <c r="D4808">
        <v>6.3760050000000001</v>
      </c>
      <c r="E4808">
        <v>0.53069469999999996</v>
      </c>
      <c r="F4808" t="s">
        <v>50</v>
      </c>
      <c r="G4808">
        <v>-402.28429999999997</v>
      </c>
      <c r="H4808" s="1">
        <v>-6.2984679999999999E-6</v>
      </c>
      <c r="I4808">
        <v>139.44380000000001</v>
      </c>
      <c r="J4808">
        <v>-386.9203</v>
      </c>
      <c r="K4808">
        <v>1.1096969999999999</v>
      </c>
      <c r="L4808">
        <v>140.94799999999901</v>
      </c>
      <c r="M4808">
        <v>-0.99924389999999996</v>
      </c>
      <c r="N4808">
        <v>0</v>
      </c>
      <c r="O4808">
        <v>-3.6033839999999998E-2</v>
      </c>
      <c r="P4808">
        <v>-0.97455060000000004</v>
      </c>
      <c r="Q4808">
        <v>0.14802560000000001</v>
      </c>
      <c r="R4808">
        <v>-0.16834479999999999</v>
      </c>
      <c r="S4808">
        <v>-3.0599669999999999</v>
      </c>
      <c r="T4808">
        <v>-0.2163967</v>
      </c>
      <c r="U4808">
        <v>-0.29553220000000002</v>
      </c>
      <c r="V4808">
        <v>-0.13286319999999999</v>
      </c>
      <c r="W4808">
        <v>0.16253219999999999</v>
      </c>
      <c r="X4808">
        <v>0.97771699999999995</v>
      </c>
      <c r="Y4808">
        <v>-6.0140060000000002E-2</v>
      </c>
      <c r="Z4808">
        <v>4.1901090000000002E-4</v>
      </c>
      <c r="AA4808">
        <v>0.99818989999999996</v>
      </c>
      <c r="AB4808">
        <v>34</v>
      </c>
      <c r="AC4808">
        <v>-15.3639999999999</v>
      </c>
      <c r="AD4808">
        <v>-1.109703298468</v>
      </c>
      <c r="AE4808">
        <v>-1.50419999999996</v>
      </c>
      <c r="AF4808">
        <v>-0.94465866080762995</v>
      </c>
      <c r="AG4808">
        <v>-1.109703298468</v>
      </c>
      <c r="AH4808">
        <v>15.329018552111799</v>
      </c>
      <c r="AI4808">
        <v>94.132738952110699</v>
      </c>
      <c r="AJ4808">
        <v>93.526422321780501</v>
      </c>
      <c r="AK4808">
        <v>15.398137262898301</v>
      </c>
      <c r="AL4808">
        <v>80.646094585740499</v>
      </c>
      <c r="AM4808">
        <v>97.738593542898997</v>
      </c>
      <c r="AN4808">
        <v>0.99999993902003803</v>
      </c>
    </row>
    <row r="4809" spans="1:40" x14ac:dyDescent="0.25">
      <c r="A4809" t="str">
        <f>"20190312164124607"</f>
        <v>20190312164124607</v>
      </c>
      <c r="B4809" t="str">
        <f>"1552380084600671"</f>
        <v>1552380084600671</v>
      </c>
      <c r="C4809" t="s">
        <v>40</v>
      </c>
      <c r="D4809">
        <v>5.7522089999999997</v>
      </c>
      <c r="E4809">
        <v>0.53065879999999999</v>
      </c>
      <c r="F4809" t="s">
        <v>50</v>
      </c>
      <c r="G4809">
        <v>-402.72239999999999</v>
      </c>
      <c r="H4809" s="1">
        <v>-6.4713799999999999E-6</v>
      </c>
      <c r="I4809">
        <v>139.398</v>
      </c>
      <c r="J4809">
        <v>-387.27319999999997</v>
      </c>
      <c r="K4809">
        <v>1.109704</v>
      </c>
      <c r="L4809">
        <v>140.93600000000001</v>
      </c>
      <c r="M4809">
        <v>-0.99926899999999996</v>
      </c>
      <c r="N4809">
        <v>0</v>
      </c>
      <c r="O4809">
        <v>-3.5332410000000002E-2</v>
      </c>
      <c r="P4809">
        <v>-0.97433760000000003</v>
      </c>
      <c r="Q4809">
        <v>0.14851489999999901</v>
      </c>
      <c r="R4809">
        <v>-0.16914360000000001</v>
      </c>
      <c r="S4809">
        <v>-3.059113</v>
      </c>
      <c r="T4809">
        <v>-0.2148254</v>
      </c>
      <c r="U4809">
        <v>-0.3000488</v>
      </c>
      <c r="V4809">
        <v>-0.13435620000000001</v>
      </c>
      <c r="W4809">
        <v>0.163016299999999</v>
      </c>
      <c r="X4809">
        <v>0.97743239999999998</v>
      </c>
      <c r="Y4809">
        <v>-6.2321029999999999E-2</v>
      </c>
      <c r="Z4809">
        <v>2.9072309999999998E-4</v>
      </c>
      <c r="AA4809">
        <v>0.9980561</v>
      </c>
      <c r="AB4809">
        <v>34</v>
      </c>
      <c r="AC4809">
        <v>-15.449199999999999</v>
      </c>
      <c r="AD4809">
        <v>-1.1097104713799999</v>
      </c>
      <c r="AE4809">
        <v>-1.53800000000001</v>
      </c>
      <c r="AF4809">
        <v>-0.98608607579366103</v>
      </c>
      <c r="AG4809">
        <v>-1.1097104713799999</v>
      </c>
      <c r="AH4809">
        <v>15.415144842922301</v>
      </c>
      <c r="AI4809">
        <v>94.109154412502704</v>
      </c>
      <c r="AJ4809">
        <v>93.660146938052307</v>
      </c>
      <c r="AK4809">
        <v>15.4864622689444</v>
      </c>
      <c r="AL4809">
        <v>80.6179833522813</v>
      </c>
      <c r="AM4809">
        <v>97.826731822300204</v>
      </c>
      <c r="AN4809">
        <v>0.99999999955694496</v>
      </c>
    </row>
    <row r="4810" spans="1:40" x14ac:dyDescent="0.25">
      <c r="A4810" t="str">
        <f>"20190312164124628"</f>
        <v>20190312164124628</v>
      </c>
      <c r="B4810" t="str">
        <f>"1552380084621171"</f>
        <v>1552380084621171</v>
      </c>
      <c r="C4810" t="s">
        <v>40</v>
      </c>
      <c r="D4810">
        <v>5.5423030000000004</v>
      </c>
      <c r="E4810">
        <v>0.5304835</v>
      </c>
      <c r="F4810" t="s">
        <v>50</v>
      </c>
      <c r="G4810">
        <v>-403.13920000000002</v>
      </c>
      <c r="H4810" s="1">
        <v>-6.6419020000000004E-6</v>
      </c>
      <c r="I4810">
        <v>139.3674</v>
      </c>
      <c r="J4810">
        <v>-387.60829999999999</v>
      </c>
      <c r="K4810">
        <v>1.109718</v>
      </c>
      <c r="L4810">
        <v>140.9248</v>
      </c>
      <c r="M4810">
        <v>-0.99929230000000002</v>
      </c>
      <c r="N4810">
        <v>0</v>
      </c>
      <c r="O4810">
        <v>-3.4666160000000001E-2</v>
      </c>
      <c r="P4810">
        <v>-0.97403870000000004</v>
      </c>
      <c r="Q4810">
        <v>0.1489492</v>
      </c>
      <c r="R4810">
        <v>-0.1704793</v>
      </c>
      <c r="S4810">
        <v>-3.059113</v>
      </c>
      <c r="T4810">
        <v>-0.21396229999999999</v>
      </c>
      <c r="U4810">
        <v>-0.30242920000000001</v>
      </c>
      <c r="V4810">
        <v>-0.13635349999999999</v>
      </c>
      <c r="W4810">
        <v>0.16344539999999999</v>
      </c>
      <c r="X4810">
        <v>0.97708410000000001</v>
      </c>
      <c r="Y4810">
        <v>-6.3751020000000005E-2</v>
      </c>
      <c r="Z4810">
        <v>1.933386E-4</v>
      </c>
      <c r="AA4810">
        <v>0.99796580000000001</v>
      </c>
      <c r="AB4810">
        <v>34</v>
      </c>
      <c r="AC4810">
        <v>-15.530900000000001</v>
      </c>
      <c r="AD4810">
        <v>-1.1097246419019999</v>
      </c>
      <c r="AE4810">
        <v>-1.5573999999999999</v>
      </c>
      <c r="AF4810">
        <v>-1.0128898534120501</v>
      </c>
      <c r="AG4810">
        <v>-1.1097246419019999</v>
      </c>
      <c r="AH4810">
        <v>15.497224763111101</v>
      </c>
      <c r="AI4810">
        <v>94.087151740292001</v>
      </c>
      <c r="AJ4810">
        <v>93.739500955341597</v>
      </c>
      <c r="AK4810">
        <v>15.569887924913701</v>
      </c>
      <c r="AL4810">
        <v>80.593063577340502</v>
      </c>
      <c r="AM4810">
        <v>97.944402690461104</v>
      </c>
      <c r="AN4810">
        <v>1.0000000071081001</v>
      </c>
    </row>
    <row r="4811" spans="1:40" x14ac:dyDescent="0.25">
      <c r="A4811" t="str">
        <f>"20190312164124651"</f>
        <v>20190312164124651</v>
      </c>
      <c r="B4811" t="str">
        <f>"1552380084640688"</f>
        <v>1552380084640688</v>
      </c>
      <c r="C4811" t="s">
        <v>40</v>
      </c>
      <c r="D4811">
        <v>5.4803499999999996</v>
      </c>
      <c r="E4811">
        <v>0.49269360000000001</v>
      </c>
      <c r="F4811" t="s">
        <v>50</v>
      </c>
      <c r="G4811">
        <v>-403.44060000000002</v>
      </c>
      <c r="H4811" s="1">
        <v>-6.7603100000000002E-6</v>
      </c>
      <c r="I4811">
        <v>139.3347</v>
      </c>
      <c r="J4811">
        <v>-387.93900000000002</v>
      </c>
      <c r="K4811">
        <v>1.109726</v>
      </c>
      <c r="L4811">
        <v>140.91399999999999</v>
      </c>
      <c r="M4811">
        <v>-0.99931479999999995</v>
      </c>
      <c r="N4811">
        <v>0</v>
      </c>
      <c r="O4811">
        <v>-3.4010890000000002E-2</v>
      </c>
      <c r="P4811">
        <v>-0.97363809999999995</v>
      </c>
      <c r="Q4811">
        <v>0.14961579999999999</v>
      </c>
      <c r="R4811">
        <v>-0.17217370000000001</v>
      </c>
      <c r="S4811">
        <v>-3.059021</v>
      </c>
      <c r="T4811">
        <v>-0.21441460000000001</v>
      </c>
      <c r="U4811">
        <v>-0.30722050000000001</v>
      </c>
      <c r="V4811">
        <v>-0.1387022</v>
      </c>
      <c r="W4811">
        <v>0.16410539999999901</v>
      </c>
      <c r="X4811">
        <v>0.97664280000000003</v>
      </c>
      <c r="Y4811">
        <v>-6.5948670000000001E-2</v>
      </c>
      <c r="Z4811" s="1">
        <v>7.1283899999999997E-5</v>
      </c>
      <c r="AA4811">
        <v>0.99782300000000002</v>
      </c>
      <c r="AB4811">
        <v>34</v>
      </c>
      <c r="AC4811">
        <v>-15.5015999999999</v>
      </c>
      <c r="AD4811">
        <v>-1.10973276031</v>
      </c>
      <c r="AE4811">
        <v>-1.5792999999999799</v>
      </c>
      <c r="AF4811">
        <v>-1.0458021471547601</v>
      </c>
      <c r="AG4811">
        <v>-1.10973276031</v>
      </c>
      <c r="AH4811">
        <v>15.4678921917161</v>
      </c>
      <c r="AI4811">
        <v>94.094297718464105</v>
      </c>
      <c r="AJ4811">
        <v>93.867947523117493</v>
      </c>
      <c r="AK4811">
        <v>15.542872893543599</v>
      </c>
      <c r="AL4811">
        <v>80.554730909105601</v>
      </c>
      <c r="AM4811">
        <v>98.083056292516005</v>
      </c>
      <c r="AN4811">
        <v>1.0000000206929101</v>
      </c>
    </row>
    <row r="4812" spans="1:40" x14ac:dyDescent="0.25">
      <c r="A4812" t="str">
        <f>"20190312164124673"</f>
        <v>20190312164124673</v>
      </c>
      <c r="B4812" t="str">
        <f>"1552380084670944"</f>
        <v>1552380084670944</v>
      </c>
      <c r="C4812" t="s">
        <v>40</v>
      </c>
      <c r="D4812">
        <v>5.6165379999999896</v>
      </c>
      <c r="E4812">
        <v>0.49071700000000001</v>
      </c>
      <c r="F4812" t="s">
        <v>50</v>
      </c>
      <c r="G4812">
        <v>-400.298</v>
      </c>
      <c r="H4812" s="1">
        <v>-4.9006449999999999E-6</v>
      </c>
      <c r="I4812">
        <v>138.40819999999999</v>
      </c>
      <c r="J4812">
        <v>-388.27870000000001</v>
      </c>
      <c r="K4812">
        <v>1.1097520000000001</v>
      </c>
      <c r="L4812">
        <v>140.90309999999999</v>
      </c>
      <c r="M4812">
        <v>-0.99933729999999998</v>
      </c>
      <c r="N4812">
        <v>0</v>
      </c>
      <c r="O4812">
        <v>-3.3350110000000002E-2</v>
      </c>
      <c r="P4812">
        <v>-0.97317359999999997</v>
      </c>
      <c r="Q4812">
        <v>0.15009500000000001</v>
      </c>
      <c r="R4812">
        <v>-0.17436989999999999</v>
      </c>
      <c r="S4812">
        <v>-3.0147400000000002</v>
      </c>
      <c r="T4812">
        <v>-0.27069660000000001</v>
      </c>
      <c r="U4812">
        <v>-0.61125180000000001</v>
      </c>
      <c r="V4812">
        <v>-0.141562299999999</v>
      </c>
      <c r="W4812">
        <v>0.16457529999999901</v>
      </c>
      <c r="X4812">
        <v>0.97615320000000005</v>
      </c>
      <c r="Y4812">
        <v>-0.16540260000000001</v>
      </c>
      <c r="Z4812">
        <v>-4.3806829999999998E-3</v>
      </c>
      <c r="AA4812">
        <v>0.98621639999999999</v>
      </c>
      <c r="AB4812">
        <v>34</v>
      </c>
      <c r="AC4812">
        <v>-12.0192999999999</v>
      </c>
      <c r="AD4812">
        <v>-1.1097569006450001</v>
      </c>
      <c r="AE4812">
        <v>-2.4948999999999999</v>
      </c>
      <c r="AF4812">
        <v>-2.0756600630806599</v>
      </c>
      <c r="AG4812">
        <v>-1.1097569006450001</v>
      </c>
      <c r="AH4812">
        <v>11.9977699435386</v>
      </c>
      <c r="AI4812">
        <v>95.2077217609109</v>
      </c>
      <c r="AJ4812">
        <v>99.815234056335996</v>
      </c>
      <c r="AK4812">
        <v>12.2264634581745</v>
      </c>
      <c r="AL4812">
        <v>80.527436245569106</v>
      </c>
      <c r="AM4812">
        <v>98.251541905767496</v>
      </c>
      <c r="AN4812">
        <v>0.99999999201081002</v>
      </c>
    </row>
    <row r="4813" spans="1:40" x14ac:dyDescent="0.25">
      <c r="A4813" t="str">
        <f>"20190312164124696"</f>
        <v>20190312164124696</v>
      </c>
      <c r="B4813" t="str">
        <f>"1552380084691443"</f>
        <v>1552380084691443</v>
      </c>
      <c r="C4813" t="s">
        <v>40</v>
      </c>
      <c r="D4813">
        <v>5.4449860000000001</v>
      </c>
      <c r="E4813">
        <v>0.49038559999999998</v>
      </c>
      <c r="F4813" t="s">
        <v>50</v>
      </c>
      <c r="G4813">
        <v>-402.6157</v>
      </c>
      <c r="H4813" s="1">
        <v>-5.7213869999999901E-6</v>
      </c>
      <c r="I4813">
        <v>137.8931</v>
      </c>
      <c r="J4813">
        <v>-388.6259</v>
      </c>
      <c r="K4813">
        <v>1.109782</v>
      </c>
      <c r="L4813">
        <v>140.8922</v>
      </c>
      <c r="M4813">
        <v>-0.99935839999999998</v>
      </c>
      <c r="N4813">
        <v>0</v>
      </c>
      <c r="O4813">
        <v>-3.2710299999999998E-2</v>
      </c>
      <c r="P4813">
        <v>-0.97258679999999997</v>
      </c>
      <c r="Q4813">
        <v>0.15177179999999901</v>
      </c>
      <c r="R4813">
        <v>-0.17618300000000001</v>
      </c>
      <c r="S4813">
        <v>-3.0055239999999999</v>
      </c>
      <c r="T4813">
        <v>-0.23264399999999999</v>
      </c>
      <c r="U4813">
        <v>-0.63099669999999997</v>
      </c>
      <c r="V4813">
        <v>-0.1440254</v>
      </c>
      <c r="W4813">
        <v>0.166235299999999</v>
      </c>
      <c r="X4813">
        <v>0.97551140000000003</v>
      </c>
      <c r="Y4813">
        <v>-0.17293939999999999</v>
      </c>
      <c r="Z4813">
        <v>-4.1126359999999898E-3</v>
      </c>
      <c r="AA4813">
        <v>0.98492389999999996</v>
      </c>
      <c r="AB4813">
        <v>34</v>
      </c>
      <c r="AC4813">
        <v>-13.989800000000001</v>
      </c>
      <c r="AD4813">
        <v>-1.109787721387</v>
      </c>
      <c r="AE4813">
        <v>-2.9990999999999901</v>
      </c>
      <c r="AF4813">
        <v>-2.5246460175769898</v>
      </c>
      <c r="AG4813">
        <v>-1.109787721387</v>
      </c>
      <c r="AH4813">
        <v>13.9962160237656</v>
      </c>
      <c r="AI4813">
        <v>94.461900638951093</v>
      </c>
      <c r="AJ4813">
        <v>100.225095414693</v>
      </c>
      <c r="AK4813">
        <v>14.265326119108501</v>
      </c>
      <c r="AL4813">
        <v>80.430996843176004</v>
      </c>
      <c r="AM4813">
        <v>98.398529018919305</v>
      </c>
      <c r="AN4813">
        <v>0.99999999117060401</v>
      </c>
    </row>
    <row r="4814" spans="1:40" x14ac:dyDescent="0.25">
      <c r="A4814" t="str">
        <f>"20190312164124719"</f>
        <v>20190312164124719</v>
      </c>
      <c r="B4814" t="str">
        <f>"1552380084710963"</f>
        <v>1552380084710963</v>
      </c>
      <c r="C4814" t="s">
        <v>40</v>
      </c>
      <c r="D4814">
        <v>5.6195519999999997</v>
      </c>
      <c r="E4814">
        <v>0.49005369999999998</v>
      </c>
      <c r="F4814" t="s">
        <v>50</v>
      </c>
      <c r="G4814">
        <v>-402.5376</v>
      </c>
      <c r="H4814" s="1">
        <v>-5.7062219999999999E-6</v>
      </c>
      <c r="I4814">
        <v>137.9348</v>
      </c>
      <c r="J4814">
        <v>-388.97030000000001</v>
      </c>
      <c r="K4814">
        <v>1.1098380000000001</v>
      </c>
      <c r="L4814">
        <v>140.88149999999999</v>
      </c>
      <c r="M4814">
        <v>-0.99937659999999995</v>
      </c>
      <c r="N4814">
        <v>0</v>
      </c>
      <c r="O4814">
        <v>-3.2150409999999997E-2</v>
      </c>
      <c r="P4814">
        <v>-0.97178549999999997</v>
      </c>
      <c r="Q4814">
        <v>0.15413760000000001</v>
      </c>
      <c r="R4814">
        <v>-0.17853520000000001</v>
      </c>
      <c r="S4814">
        <v>-3.0062259999999998</v>
      </c>
      <c r="T4814">
        <v>-0.2398168</v>
      </c>
      <c r="U4814">
        <v>-0.63906859999999999</v>
      </c>
      <c r="V4814">
        <v>-0.14696579999999901</v>
      </c>
      <c r="W4814">
        <v>0.16857269999999999</v>
      </c>
      <c r="X4814">
        <v>0.97467139999999997</v>
      </c>
      <c r="Y4814">
        <v>-0.17594029999999899</v>
      </c>
      <c r="Z4814">
        <v>-4.3991630000000002E-3</v>
      </c>
      <c r="AA4814">
        <v>0.98439100000000002</v>
      </c>
      <c r="AB4814">
        <v>34</v>
      </c>
      <c r="AC4814">
        <v>-13.5672999999999</v>
      </c>
      <c r="AD4814">
        <v>-1.1098437062219999</v>
      </c>
      <c r="AE4814">
        <v>-2.9466999999999901</v>
      </c>
      <c r="AF4814">
        <v>-2.4930047314592101</v>
      </c>
      <c r="AG4814">
        <v>-1.1098437062219999</v>
      </c>
      <c r="AH4814">
        <v>13.568327294131301</v>
      </c>
      <c r="AI4814">
        <v>94.5995368100088</v>
      </c>
      <c r="AJ4814">
        <v>100.411236516999</v>
      </c>
      <c r="AK4814">
        <v>13.8400264163038</v>
      </c>
      <c r="AL4814">
        <v>80.295157009181693</v>
      </c>
      <c r="AM4814">
        <v>98.574746450491403</v>
      </c>
      <c r="AN4814">
        <v>1.00000001976644</v>
      </c>
    </row>
    <row r="4815" spans="1:40" x14ac:dyDescent="0.25">
      <c r="A4815" t="str">
        <f>"20190312164124740"</f>
        <v>20190312164124740</v>
      </c>
      <c r="B4815" t="str">
        <f>"1552380084731461"</f>
        <v>1552380084731461</v>
      </c>
      <c r="C4815" t="s">
        <v>40</v>
      </c>
      <c r="D4815">
        <v>5.5281690000000001</v>
      </c>
      <c r="E4815">
        <v>0.49011250000000001</v>
      </c>
      <c r="F4815" t="s">
        <v>50</v>
      </c>
      <c r="G4815">
        <v>-403.44909999999999</v>
      </c>
      <c r="H4815" s="1">
        <v>-6.0276380000000003E-6</v>
      </c>
      <c r="I4815">
        <v>137.75749999999999</v>
      </c>
      <c r="J4815">
        <v>-389.29610000000002</v>
      </c>
      <c r="K4815">
        <v>1.109918</v>
      </c>
      <c r="L4815">
        <v>140.8715</v>
      </c>
      <c r="M4815">
        <v>-0.99939</v>
      </c>
      <c r="N4815">
        <v>0</v>
      </c>
      <c r="O4815">
        <v>-3.173202E-2</v>
      </c>
      <c r="P4815">
        <v>-0.97083149999999996</v>
      </c>
      <c r="Q4815">
        <v>0.15663820000000001</v>
      </c>
      <c r="R4815">
        <v>-0.18152309999999999</v>
      </c>
      <c r="S4815">
        <v>-3.0045470000000001</v>
      </c>
      <c r="T4815">
        <v>-0.2303084</v>
      </c>
      <c r="U4815">
        <v>-0.64826969999999995</v>
      </c>
      <c r="V4815">
        <v>-0.15041979999999999</v>
      </c>
      <c r="W4815">
        <v>0.1710322</v>
      </c>
      <c r="X4815">
        <v>0.97371549999999996</v>
      </c>
      <c r="Y4815">
        <v>-0.17936849999999999</v>
      </c>
      <c r="Z4815">
        <v>-4.3875549999999996E-3</v>
      </c>
      <c r="AA4815">
        <v>0.98377219999999999</v>
      </c>
      <c r="AB4815">
        <v>34</v>
      </c>
      <c r="AC4815">
        <v>-14.152999999999899</v>
      </c>
      <c r="AD4815">
        <v>-1.109924027638</v>
      </c>
      <c r="AE4815">
        <v>-3.1139999999999999</v>
      </c>
      <c r="AF4815">
        <v>-2.6477481803572802</v>
      </c>
      <c r="AG4815">
        <v>-1.109924027638</v>
      </c>
      <c r="AH4815">
        <v>14.161620100373201</v>
      </c>
      <c r="AI4815">
        <v>94.405395386627404</v>
      </c>
      <c r="AJ4815">
        <v>100.59012183777401</v>
      </c>
      <c r="AK4815">
        <v>14.4497053824985</v>
      </c>
      <c r="AL4815">
        <v>80.152161264525404</v>
      </c>
      <c r="AM4815">
        <v>98.781649088597902</v>
      </c>
      <c r="AN4815">
        <v>1.0000000023045601</v>
      </c>
    </row>
    <row r="4816" spans="1:40" x14ac:dyDescent="0.25">
      <c r="A4816" t="str">
        <f>"20190312164124763"</f>
        <v>20190312164124763</v>
      </c>
      <c r="B4816" t="str">
        <f>"1552380084750976"</f>
        <v>1552380084750976</v>
      </c>
      <c r="C4816" t="s">
        <v>40</v>
      </c>
      <c r="D4816">
        <v>5.6139599999999996</v>
      </c>
      <c r="E4816">
        <v>0.49008360000000001</v>
      </c>
      <c r="F4816" t="s">
        <v>50</v>
      </c>
      <c r="G4816">
        <v>-404.5795</v>
      </c>
      <c r="H4816" s="1">
        <v>-6.425211E-6</v>
      </c>
      <c r="I4816">
        <v>137.53530000000001</v>
      </c>
      <c r="J4816">
        <v>-389.63979999999998</v>
      </c>
      <c r="K4816">
        <v>1.1100099999999999</v>
      </c>
      <c r="L4816">
        <v>140.86089999999999</v>
      </c>
      <c r="M4816">
        <v>-0.99940059999999997</v>
      </c>
      <c r="N4816">
        <v>0</v>
      </c>
      <c r="O4816">
        <v>-3.1401110000000003E-2</v>
      </c>
      <c r="P4816">
        <v>-0.97009829999999997</v>
      </c>
      <c r="Q4816">
        <v>0.157187299999999</v>
      </c>
      <c r="R4816">
        <v>-0.18493709999999999</v>
      </c>
      <c r="S4816">
        <v>-3.0027469999999998</v>
      </c>
      <c r="T4816">
        <v>-0.21806700000000001</v>
      </c>
      <c r="U4816">
        <v>-0.6554565</v>
      </c>
      <c r="V4816">
        <v>-0.15421779999999999</v>
      </c>
      <c r="W4816">
        <v>0.17153579999999999</v>
      </c>
      <c r="X4816">
        <v>0.97303249999999997</v>
      </c>
      <c r="Y4816">
        <v>-0.1820986</v>
      </c>
      <c r="Z4816">
        <v>-4.2778970000000001E-3</v>
      </c>
      <c r="AA4816">
        <v>0.98327100000000001</v>
      </c>
      <c r="AB4816">
        <v>34</v>
      </c>
      <c r="AC4816">
        <v>-14.9397</v>
      </c>
      <c r="AD4816">
        <v>-1.1100164252110001</v>
      </c>
      <c r="AE4816">
        <v>-3.3255999999999699</v>
      </c>
      <c r="AF4816">
        <v>-2.83984956952985</v>
      </c>
      <c r="AG4816">
        <v>-1.1100164252110001</v>
      </c>
      <c r="AH4816">
        <v>14.9580927912248</v>
      </c>
      <c r="AI4816">
        <v>94.169835487891902</v>
      </c>
      <c r="AJ4816">
        <v>100.749877698479</v>
      </c>
      <c r="AK4816">
        <v>15.265694284659601</v>
      </c>
      <c r="AL4816">
        <v>80.122873809007402</v>
      </c>
      <c r="AM4816">
        <v>99.006007955175505</v>
      </c>
      <c r="AN4816">
        <v>0.99999995328736302</v>
      </c>
    </row>
    <row r="4817" spans="1:40" x14ac:dyDescent="0.25">
      <c r="A4817" t="str">
        <f>"20190312164124786"</f>
        <v>20190312164124786</v>
      </c>
      <c r="B4817" t="str">
        <f>"1552380084781232"</f>
        <v>1552380084781232</v>
      </c>
      <c r="C4817" t="s">
        <v>40</v>
      </c>
      <c r="D4817">
        <v>5.5850949999999999</v>
      </c>
      <c r="E4817">
        <v>0.4903497</v>
      </c>
      <c r="F4817" t="s">
        <v>50</v>
      </c>
      <c r="G4817">
        <v>-405.21859999999998</v>
      </c>
      <c r="H4817" s="1">
        <v>-6.7130699999999997E-6</v>
      </c>
      <c r="I4817">
        <v>137.41149999999999</v>
      </c>
      <c r="J4817">
        <v>-389.98200000000003</v>
      </c>
      <c r="K4817">
        <v>1.1101209999999999</v>
      </c>
      <c r="L4817">
        <v>140.85040000000001</v>
      </c>
      <c r="M4817">
        <v>-0.99940660000000003</v>
      </c>
      <c r="N4817">
        <v>0</v>
      </c>
      <c r="O4817">
        <v>-3.121266E-2</v>
      </c>
      <c r="P4817">
        <v>-0.96970590000000001</v>
      </c>
      <c r="Q4817">
        <v>0.15619340000000001</v>
      </c>
      <c r="R4817">
        <v>-0.18781410000000001</v>
      </c>
      <c r="S4817">
        <v>-3.0004580000000001</v>
      </c>
      <c r="T4817">
        <v>-0.2137878</v>
      </c>
      <c r="U4817">
        <v>-0.66435239999999995</v>
      </c>
      <c r="V4817">
        <v>-0.1573359</v>
      </c>
      <c r="W4817">
        <v>0.1704947</v>
      </c>
      <c r="X4817">
        <v>0.97271629999999998</v>
      </c>
      <c r="Y4817">
        <v>-0.18522649999999999</v>
      </c>
      <c r="Z4817">
        <v>-4.3191760000000001E-3</v>
      </c>
      <c r="AA4817">
        <v>0.98268630000000001</v>
      </c>
      <c r="AB4817">
        <v>34</v>
      </c>
      <c r="AC4817">
        <v>-15.236599999999999</v>
      </c>
      <c r="AD4817">
        <v>-1.11012771307</v>
      </c>
      <c r="AE4817">
        <v>-3.4389000000000101</v>
      </c>
      <c r="AF4817">
        <v>-2.9467144660976401</v>
      </c>
      <c r="AG4817">
        <v>-1.11012771307</v>
      </c>
      <c r="AH4817">
        <v>15.259445254788499</v>
      </c>
      <c r="AI4817">
        <v>94.085729542354301</v>
      </c>
      <c r="AJ4817">
        <v>100.92971593559101</v>
      </c>
      <c r="AK4817">
        <v>15.5809556564391</v>
      </c>
      <c r="AL4817">
        <v>80.183416944494894</v>
      </c>
      <c r="AM4817">
        <v>99.187959784241997</v>
      </c>
      <c r="AN4817">
        <v>1.0000000142212899</v>
      </c>
    </row>
    <row r="4818" spans="1:40" x14ac:dyDescent="0.25">
      <c r="A4818" t="str">
        <f>"20190312164124808"</f>
        <v>20190312164124808</v>
      </c>
      <c r="B4818" t="str">
        <f>"1552380084800752"</f>
        <v>1552380084800752</v>
      </c>
      <c r="C4818" t="s">
        <v>40</v>
      </c>
      <c r="D4818">
        <v>5.4686349999999999</v>
      </c>
      <c r="E4818">
        <v>0.49019479999999999</v>
      </c>
      <c r="F4818" t="s">
        <v>50</v>
      </c>
      <c r="G4818">
        <v>-405.22129999999999</v>
      </c>
      <c r="H4818" s="1">
        <v>-6.7279070000000004E-6</v>
      </c>
      <c r="I4818">
        <v>137.43940000000001</v>
      </c>
      <c r="J4818">
        <v>-390.3159</v>
      </c>
      <c r="K4818">
        <v>1.1102559999999999</v>
      </c>
      <c r="L4818">
        <v>140.84</v>
      </c>
      <c r="M4818">
        <v>-0.99940600000000002</v>
      </c>
      <c r="N4818">
        <v>0</v>
      </c>
      <c r="O4818">
        <v>-3.1234069999999999E-2</v>
      </c>
      <c r="P4818">
        <v>-0.96878160000000002</v>
      </c>
      <c r="Q4818">
        <v>0.1558185</v>
      </c>
      <c r="R4818">
        <v>-0.19282959999999999</v>
      </c>
      <c r="S4818">
        <v>-2.998901</v>
      </c>
      <c r="T4818">
        <v>-0.2184594</v>
      </c>
      <c r="U4818">
        <v>-0.6712494</v>
      </c>
      <c r="V4818">
        <v>-0.16241459999999999</v>
      </c>
      <c r="W4818">
        <v>0.17005399999999901</v>
      </c>
      <c r="X4818">
        <v>0.9719584</v>
      </c>
      <c r="Y4818">
        <v>-0.18744379999999999</v>
      </c>
      <c r="Z4818">
        <v>-4.4926209999999996E-3</v>
      </c>
      <c r="AA4818">
        <v>0.9822651</v>
      </c>
      <c r="AB4818">
        <v>34</v>
      </c>
      <c r="AC4818">
        <v>-14.905399999999901</v>
      </c>
      <c r="AD4818">
        <v>-1.1102627279070001</v>
      </c>
      <c r="AE4818">
        <v>-3.4005999999999901</v>
      </c>
      <c r="AF4818">
        <v>-2.9179459964994301</v>
      </c>
      <c r="AG4818">
        <v>-1.1102627279070001</v>
      </c>
      <c r="AH4818">
        <v>14.925636359880199</v>
      </c>
      <c r="AI4818">
        <v>94.175429066246195</v>
      </c>
      <c r="AJ4818">
        <v>101.061746034425</v>
      </c>
      <c r="AK4818">
        <v>15.2486626597497</v>
      </c>
      <c r="AL4818">
        <v>80.209041238359902</v>
      </c>
      <c r="AM4818">
        <v>99.486497798277895</v>
      </c>
      <c r="AN4818">
        <v>0.99999999826985997</v>
      </c>
    </row>
    <row r="4819" spans="1:40" x14ac:dyDescent="0.25">
      <c r="A4819" t="str">
        <f>"20190312164124841"</f>
        <v>20190312164124841</v>
      </c>
      <c r="B4819" t="str">
        <f>"1552380084831008"</f>
        <v>1552380084831008</v>
      </c>
      <c r="C4819" t="s">
        <v>40</v>
      </c>
      <c r="D4819">
        <v>5.4787150000000002</v>
      </c>
      <c r="E4819">
        <v>0.490319</v>
      </c>
      <c r="F4819" t="s">
        <v>50</v>
      </c>
      <c r="G4819">
        <v>-405.00299999999999</v>
      </c>
      <c r="H4819" s="1">
        <v>-6.594627E-6</v>
      </c>
      <c r="I4819">
        <v>137.47290000000001</v>
      </c>
      <c r="J4819">
        <v>-390.81029999999998</v>
      </c>
      <c r="K4819">
        <v>1.1105499999999999</v>
      </c>
      <c r="L4819">
        <v>140.82419999999999</v>
      </c>
      <c r="M4819">
        <v>-0.99938910000000003</v>
      </c>
      <c r="N4819">
        <v>0</v>
      </c>
      <c r="O4819">
        <v>-3.1770850000000003E-2</v>
      </c>
      <c r="P4819">
        <v>-0.96767479999999995</v>
      </c>
      <c r="Q4819">
        <v>0.1537578</v>
      </c>
      <c r="R4819">
        <v>-0.19991129999999999</v>
      </c>
      <c r="S4819">
        <v>-2.9963989999999998</v>
      </c>
      <c r="T4819">
        <v>-0.2265105</v>
      </c>
      <c r="U4819">
        <v>-0.68695069999999903</v>
      </c>
      <c r="V4819">
        <v>-0.1691269</v>
      </c>
      <c r="W4819">
        <v>0.16785820000000001</v>
      </c>
      <c r="X4819">
        <v>0.97119500000000003</v>
      </c>
      <c r="Y4819">
        <v>-0.19194439999999999</v>
      </c>
      <c r="Z4819">
        <v>-4.7867070000000003E-3</v>
      </c>
      <c r="AA4819">
        <v>0.98139410000000005</v>
      </c>
      <c r="AB4819">
        <v>34</v>
      </c>
      <c r="AC4819">
        <v>-14.1927</v>
      </c>
      <c r="AD4819">
        <v>-1.110556594627</v>
      </c>
      <c r="AE4819">
        <v>-3.3512999999999802</v>
      </c>
      <c r="AF4819">
        <v>-2.88193222917368</v>
      </c>
      <c r="AG4819">
        <v>-1.110556594627</v>
      </c>
      <c r="AH4819">
        <v>14.2096105865153</v>
      </c>
      <c r="AI4819">
        <v>94.380065653972295</v>
      </c>
      <c r="AJ4819">
        <v>101.46497139009099</v>
      </c>
      <c r="AK4819">
        <v>14.541385846741999</v>
      </c>
      <c r="AL4819">
        <v>80.336686494275597</v>
      </c>
      <c r="AM4819">
        <v>99.878600282441298</v>
      </c>
      <c r="AN4819">
        <v>1.0000000058179199</v>
      </c>
    </row>
    <row r="4820" spans="1:40" x14ac:dyDescent="0.25">
      <c r="A4820" t="str">
        <f>"20190312164124863"</f>
        <v>20190312164124863</v>
      </c>
      <c r="B4820" t="str">
        <f>"1552380084861264"</f>
        <v>1552380084861264</v>
      </c>
      <c r="C4820" t="s">
        <v>40</v>
      </c>
      <c r="D4820">
        <v>5.671913</v>
      </c>
      <c r="E4820">
        <v>0.49060670000000001</v>
      </c>
      <c r="F4820" t="s">
        <v>50</v>
      </c>
      <c r="G4820">
        <v>-405.01130000000001</v>
      </c>
      <c r="H4820" s="1">
        <v>-6.6017809999999997E-6</v>
      </c>
      <c r="I4820">
        <v>137.476</v>
      </c>
      <c r="J4820">
        <v>-391.14420000000001</v>
      </c>
      <c r="K4820">
        <v>1.1108199999999999</v>
      </c>
      <c r="L4820">
        <v>140.81290000000001</v>
      </c>
      <c r="M4820">
        <v>-0.99936329999999995</v>
      </c>
      <c r="N4820">
        <v>0</v>
      </c>
      <c r="O4820">
        <v>-3.2572780000000003E-2</v>
      </c>
      <c r="P4820">
        <v>-0.96687639999999997</v>
      </c>
      <c r="Q4820">
        <v>0.1526304</v>
      </c>
      <c r="R4820">
        <v>-0.20458270000000001</v>
      </c>
      <c r="S4820">
        <v>-2.9916689999999999</v>
      </c>
      <c r="T4820">
        <v>-0.2339572</v>
      </c>
      <c r="U4820">
        <v>-0.70533749999999995</v>
      </c>
      <c r="V4820">
        <v>-0.1731501</v>
      </c>
      <c r="W4820">
        <v>0.1666068</v>
      </c>
      <c r="X4820">
        <v>0.97070140000000005</v>
      </c>
      <c r="Y4820">
        <v>-0.19717170000000001</v>
      </c>
      <c r="Z4820">
        <v>-5.087584E-3</v>
      </c>
      <c r="AA4820">
        <v>0.98035570000000005</v>
      </c>
      <c r="AB4820">
        <v>34</v>
      </c>
      <c r="AC4820">
        <v>-13.867099999999899</v>
      </c>
      <c r="AD4820">
        <v>-1.110826601781</v>
      </c>
      <c r="AE4820">
        <v>-3.3369000000000102</v>
      </c>
      <c r="AF4820">
        <v>-2.8660069797487</v>
      </c>
      <c r="AG4820">
        <v>-1.110826601781</v>
      </c>
      <c r="AH4820">
        <v>13.8842273833632</v>
      </c>
      <c r="AI4820">
        <v>94.480225122912003</v>
      </c>
      <c r="AJ4820">
        <v>101.663281131939</v>
      </c>
      <c r="AK4820">
        <v>14.2203973847472</v>
      </c>
      <c r="AL4820">
        <v>80.409410475001295</v>
      </c>
      <c r="AM4820">
        <v>100.11383535490999</v>
      </c>
      <c r="AN4820">
        <v>0.99999999544910501</v>
      </c>
    </row>
    <row r="4821" spans="1:40" x14ac:dyDescent="0.25">
      <c r="A4821" t="str">
        <f>"20190312164124886"</f>
        <v>20190312164124886</v>
      </c>
      <c r="B4821" t="str">
        <f>"1552380084880784"</f>
        <v>1552380084880784</v>
      </c>
      <c r="C4821" t="s">
        <v>40</v>
      </c>
      <c r="D4821">
        <v>5.5613869999999999</v>
      </c>
      <c r="E4821">
        <v>0.49068200000000001</v>
      </c>
      <c r="F4821" t="s">
        <v>50</v>
      </c>
      <c r="G4821">
        <v>-405.26639999999998</v>
      </c>
      <c r="H4821" s="1">
        <v>-6.7512949999999997E-6</v>
      </c>
      <c r="I4821">
        <v>137.42359999999999</v>
      </c>
      <c r="J4821">
        <v>-391.4846</v>
      </c>
      <c r="K4821">
        <v>1.11112099999999</v>
      </c>
      <c r="L4821">
        <v>140.80070000000001</v>
      </c>
      <c r="M4821">
        <v>-0.99932489999999996</v>
      </c>
      <c r="N4821">
        <v>0</v>
      </c>
      <c r="O4821">
        <v>-3.3731839999999999E-2</v>
      </c>
      <c r="P4821">
        <v>-0.96594150000000001</v>
      </c>
      <c r="Q4821">
        <v>0.1516535</v>
      </c>
      <c r="R4821">
        <v>-0.2096626</v>
      </c>
      <c r="S4821">
        <v>-2.9881289999999998</v>
      </c>
      <c r="T4821">
        <v>-0.23504069999999999</v>
      </c>
      <c r="U4821">
        <v>-0.7171478</v>
      </c>
      <c r="V4821">
        <v>-0.17725099999999999</v>
      </c>
      <c r="W4821">
        <v>0.16548860000000001</v>
      </c>
      <c r="X4821">
        <v>0.97015240000000003</v>
      </c>
      <c r="Y4821">
        <v>-0.19995070000000001</v>
      </c>
      <c r="Z4821">
        <v>-5.1327439999999998E-3</v>
      </c>
      <c r="AA4821">
        <v>0.97979249999999996</v>
      </c>
      <c r="AB4821">
        <v>34</v>
      </c>
      <c r="AC4821">
        <v>-13.781799999999899</v>
      </c>
      <c r="AD4821">
        <v>-1.11112775129499</v>
      </c>
      <c r="AE4821">
        <v>-3.3771000000000102</v>
      </c>
      <c r="AF4821">
        <v>-2.89250658441438</v>
      </c>
      <c r="AG4821">
        <v>-1.11112775129499</v>
      </c>
      <c r="AH4821">
        <v>13.803243768504201</v>
      </c>
      <c r="AI4821">
        <v>94.504818198661994</v>
      </c>
      <c r="AJ4821">
        <v>101.835229332891</v>
      </c>
      <c r="AK4821">
        <v>14.146757146191799</v>
      </c>
      <c r="AL4821">
        <v>80.474380946833406</v>
      </c>
      <c r="AM4821">
        <v>100.353984093584</v>
      </c>
      <c r="AN4821">
        <v>1.0000000364783499</v>
      </c>
    </row>
    <row r="4822" spans="1:40" x14ac:dyDescent="0.25">
      <c r="A4822" t="str">
        <f>"20190312164124908"</f>
        <v>20190312164124908</v>
      </c>
      <c r="B4822" t="str">
        <f>"1552380084901283"</f>
        <v>1552380084901283</v>
      </c>
      <c r="C4822" t="s">
        <v>40</v>
      </c>
      <c r="D4822">
        <v>5.2701320000000003</v>
      </c>
      <c r="E4822">
        <v>0.45358569999999998</v>
      </c>
      <c r="F4822" t="s">
        <v>50</v>
      </c>
      <c r="G4822">
        <v>-405.43239999999997</v>
      </c>
      <c r="H4822" s="1">
        <v>-6.8428769999999997E-6</v>
      </c>
      <c r="I4822">
        <v>137.37719999999999</v>
      </c>
      <c r="J4822">
        <v>-391.81700000000001</v>
      </c>
      <c r="K4822">
        <v>1.111464</v>
      </c>
      <c r="L4822">
        <v>140.78799999999899</v>
      </c>
      <c r="M4822">
        <v>-0.99927089999999996</v>
      </c>
      <c r="N4822">
        <v>0</v>
      </c>
      <c r="O4822">
        <v>-3.5293690000000003E-2</v>
      </c>
      <c r="P4822">
        <v>-0.9646344</v>
      </c>
      <c r="Q4822">
        <v>0.15157000000000001</v>
      </c>
      <c r="R4822">
        <v>-0.21565529999999999</v>
      </c>
      <c r="S4822">
        <v>-2.9841310000000001</v>
      </c>
      <c r="T4822">
        <v>-0.23772670000000001</v>
      </c>
      <c r="U4822">
        <v>-0.7324524</v>
      </c>
      <c r="V4822">
        <v>-0.1818998</v>
      </c>
      <c r="W4822">
        <v>0.16523979999999999</v>
      </c>
      <c r="X4822">
        <v>0.96933389999999997</v>
      </c>
      <c r="Y4822">
        <v>-0.20344380000000001</v>
      </c>
      <c r="Z4822">
        <v>-5.2097100000000002E-3</v>
      </c>
      <c r="AA4822">
        <v>0.97907270000000002</v>
      </c>
      <c r="AB4822">
        <v>34</v>
      </c>
      <c r="AC4822">
        <v>-13.615399999999999</v>
      </c>
      <c r="AD4822">
        <v>-1.1114708428769999</v>
      </c>
      <c r="AE4822">
        <v>-3.4107999999999898</v>
      </c>
      <c r="AF4822">
        <v>-2.9098397650638801</v>
      </c>
      <c r="AG4822">
        <v>-1.1114708428769999</v>
      </c>
      <c r="AH4822">
        <v>13.641767399942299</v>
      </c>
      <c r="AI4822">
        <v>94.555874121459297</v>
      </c>
      <c r="AJ4822">
        <v>102.04095239792601</v>
      </c>
      <c r="AK4822">
        <v>13.992867922161</v>
      </c>
      <c r="AL4822">
        <v>80.488834487609395</v>
      </c>
      <c r="AM4822">
        <v>100.62820269211301</v>
      </c>
      <c r="AN4822">
        <v>0.99999996921664402</v>
      </c>
    </row>
    <row r="4823" spans="1:40" x14ac:dyDescent="0.25">
      <c r="A4823" t="str">
        <f>"20190312164124930"</f>
        <v>20190312164124930</v>
      </c>
      <c r="B4823" t="str">
        <f>"1552380084920800"</f>
        <v>1552380084920800</v>
      </c>
      <c r="C4823" t="s">
        <v>40</v>
      </c>
      <c r="D4823">
        <v>5.2932699999999997</v>
      </c>
      <c r="E4823">
        <v>0.40507979999999999</v>
      </c>
      <c r="F4823" t="s">
        <v>50</v>
      </c>
      <c r="G4823">
        <v>-407.0215</v>
      </c>
      <c r="H4823" s="1">
        <v>-6.9882869999999999E-6</v>
      </c>
      <c r="I4823">
        <v>135.36709999999999</v>
      </c>
      <c r="J4823">
        <v>-392.14400000000001</v>
      </c>
      <c r="K4823">
        <v>1.111831</v>
      </c>
      <c r="L4823">
        <v>140.77459999999999</v>
      </c>
      <c r="M4823">
        <v>-0.99919800000000003</v>
      </c>
      <c r="N4823">
        <v>0</v>
      </c>
      <c r="O4823">
        <v>-3.7297990000000003E-2</v>
      </c>
      <c r="P4823">
        <v>-0.96298720000000004</v>
      </c>
      <c r="Q4823">
        <v>0.15143609999999999</v>
      </c>
      <c r="R4823">
        <v>-0.22298680000000001</v>
      </c>
      <c r="S4823">
        <v>-2.9113769999999999</v>
      </c>
      <c r="T4823">
        <v>-0.21282599999999999</v>
      </c>
      <c r="U4823">
        <v>-1.0380100000000001</v>
      </c>
      <c r="V4823">
        <v>-0.18748419999999999</v>
      </c>
      <c r="W4823">
        <v>0.1649158</v>
      </c>
      <c r="X4823">
        <v>0.96832459999999998</v>
      </c>
      <c r="Y4823">
        <v>-0.2998402</v>
      </c>
      <c r="Z4823">
        <v>-7.9813209999999996E-3</v>
      </c>
      <c r="AA4823">
        <v>0.95395609999999997</v>
      </c>
      <c r="AB4823">
        <v>34</v>
      </c>
      <c r="AC4823">
        <v>-14.8774999999999</v>
      </c>
      <c r="AD4823">
        <v>-1.111837988287</v>
      </c>
      <c r="AE4823">
        <v>-5.40749999999999</v>
      </c>
      <c r="AF4823">
        <v>-4.8249739688244198</v>
      </c>
      <c r="AG4823">
        <v>-1.111837988287</v>
      </c>
      <c r="AH4823">
        <v>14.994882358725899</v>
      </c>
      <c r="AI4823">
        <v>94.0374538068004</v>
      </c>
      <c r="AJ4823">
        <v>107.836862414561</v>
      </c>
      <c r="AK4823">
        <v>15.7912334687338</v>
      </c>
      <c r="AL4823">
        <v>80.507657214418302</v>
      </c>
      <c r="AM4823">
        <v>100.957857345156</v>
      </c>
      <c r="AN4823">
        <v>1.0000000386522101</v>
      </c>
    </row>
    <row r="4824" spans="1:40" x14ac:dyDescent="0.25">
      <c r="A4824" t="str">
        <f>"20190312164124953"</f>
        <v>20190312164124953</v>
      </c>
      <c r="B4824" t="str">
        <f>"1552380084941296"</f>
        <v>1552380084941296</v>
      </c>
      <c r="C4824" t="s">
        <v>40</v>
      </c>
      <c r="D4824">
        <v>5.3436719999999998</v>
      </c>
      <c r="E4824">
        <v>0.40890739999999998</v>
      </c>
      <c r="F4824" t="s">
        <v>50</v>
      </c>
      <c r="G4824">
        <v>-402.96390000000002</v>
      </c>
      <c r="H4824" s="1">
        <v>-4.6498199999999996E-6</v>
      </c>
      <c r="I4824">
        <v>135.26730000000001</v>
      </c>
      <c r="J4824">
        <v>-392.476</v>
      </c>
      <c r="K4824">
        <v>1.1122299999999901</v>
      </c>
      <c r="L4824">
        <v>140.75980000000001</v>
      </c>
      <c r="M4824">
        <v>-0.99910080000000001</v>
      </c>
      <c r="N4824">
        <v>0</v>
      </c>
      <c r="O4824">
        <v>-3.9812519999999997E-2</v>
      </c>
      <c r="P4824">
        <v>-0.96117680000000005</v>
      </c>
      <c r="Q4824">
        <v>0.15277639999999901</v>
      </c>
      <c r="R4824">
        <v>-0.22978019999999999</v>
      </c>
      <c r="S4824">
        <v>-2.8277589999999999</v>
      </c>
      <c r="T4824">
        <v>-0.29057509999999998</v>
      </c>
      <c r="U4824">
        <v>-1.4393009999999999</v>
      </c>
      <c r="V4824">
        <v>-0.19206409999999999</v>
      </c>
      <c r="W4824">
        <v>0.16605049999999999</v>
      </c>
      <c r="X4824">
        <v>0.96723250000000005</v>
      </c>
      <c r="Y4824">
        <v>-0.41620000000000001</v>
      </c>
      <c r="Z4824">
        <v>-1.6271540000000001E-2</v>
      </c>
      <c r="AA4824">
        <v>0.90912749999999998</v>
      </c>
      <c r="AB4824">
        <v>33</v>
      </c>
      <c r="AC4824">
        <v>-10.4879</v>
      </c>
      <c r="AD4824">
        <v>-1.11223464981999</v>
      </c>
      <c r="AE4824">
        <v>-5.4924999999999997</v>
      </c>
      <c r="AF4824">
        <v>-5.0261898243033203</v>
      </c>
      <c r="AG4824">
        <v>-1.11223464981999</v>
      </c>
      <c r="AH4824">
        <v>10.6046810413643</v>
      </c>
      <c r="AI4824">
        <v>95.4140510134918</v>
      </c>
      <c r="AJ4824">
        <v>115.35905918857701</v>
      </c>
      <c r="AK4824">
        <v>11.7880833919371</v>
      </c>
      <c r="AL4824">
        <v>80.441734885228598</v>
      </c>
      <c r="AM4824">
        <v>101.231171469385</v>
      </c>
      <c r="AN4824">
        <v>1.0000000480576501</v>
      </c>
    </row>
    <row r="4825" spans="1:40" x14ac:dyDescent="0.25">
      <c r="A4825" t="str">
        <f>"20190312164124976"</f>
        <v>20190312164124976</v>
      </c>
      <c r="B4825" t="str">
        <f>"1552380084971552"</f>
        <v>1552380084971552</v>
      </c>
      <c r="C4825" t="s">
        <v>40</v>
      </c>
      <c r="D4825">
        <v>5.2283039999999996</v>
      </c>
      <c r="E4825">
        <v>0.41204289999999999</v>
      </c>
      <c r="F4825" t="s">
        <v>50</v>
      </c>
      <c r="G4825">
        <v>-401.62779999999998</v>
      </c>
      <c r="H4825" s="1">
        <v>-4.4545149999999997E-6</v>
      </c>
      <c r="I4825">
        <v>136.1369</v>
      </c>
      <c r="J4825">
        <v>-392.82330000000002</v>
      </c>
      <c r="K4825">
        <v>1.1126560000000001</v>
      </c>
      <c r="L4825">
        <v>140.74289999999999</v>
      </c>
      <c r="M4825">
        <v>-0.99897100000000005</v>
      </c>
      <c r="N4825">
        <v>0</v>
      </c>
      <c r="O4825">
        <v>-4.2941939999999998E-2</v>
      </c>
      <c r="P4825">
        <v>-0.95902290000000001</v>
      </c>
      <c r="Q4825">
        <v>0.15501509999999999</v>
      </c>
      <c r="R4825">
        <v>-0.2371615</v>
      </c>
      <c r="S4825">
        <v>-2.8337400000000001</v>
      </c>
      <c r="T4825">
        <v>-0.34438609999999997</v>
      </c>
      <c r="U4825">
        <v>-1.4313959999999999</v>
      </c>
      <c r="V4825">
        <v>-0.19667319999999999</v>
      </c>
      <c r="W4825">
        <v>0.16806360000000001</v>
      </c>
      <c r="X4825">
        <v>0.96595770000000003</v>
      </c>
      <c r="Y4825">
        <v>-0.40997899999999998</v>
      </c>
      <c r="Z4825">
        <v>-1.8531720000000002E-2</v>
      </c>
      <c r="AA4825">
        <v>0.91190669999999996</v>
      </c>
      <c r="AB4825">
        <v>33</v>
      </c>
      <c r="AC4825">
        <v>-8.80449999999996</v>
      </c>
      <c r="AD4825">
        <v>-1.1126604545149901</v>
      </c>
      <c r="AE4825">
        <v>-4.6059999999999901</v>
      </c>
      <c r="AF4825">
        <v>-4.1713243368785102</v>
      </c>
      <c r="AG4825">
        <v>-1.1126604545149901</v>
      </c>
      <c r="AH4825">
        <v>8.8828084562017295</v>
      </c>
      <c r="AI4825">
        <v>96.468623851490904</v>
      </c>
      <c r="AJ4825">
        <v>115.15452530280101</v>
      </c>
      <c r="AK4825">
        <v>9.8763478108076708</v>
      </c>
      <c r="AL4825">
        <v>80.324748284158503</v>
      </c>
      <c r="AM4825">
        <v>101.508365922864</v>
      </c>
      <c r="AN4825">
        <v>0.99999999971624498</v>
      </c>
    </row>
    <row r="4826" spans="1:40" x14ac:dyDescent="0.25">
      <c r="A4826" t="str">
        <f>"20190312164124999"</f>
        <v>20190312164124999</v>
      </c>
      <c r="B4826" t="str">
        <f>"1552380084991073"</f>
        <v>1552380084991073</v>
      </c>
      <c r="C4826" t="s">
        <v>40</v>
      </c>
      <c r="D4826">
        <v>5.1972820000000004</v>
      </c>
      <c r="E4826">
        <v>0.41301369999999998</v>
      </c>
      <c r="F4826" t="s">
        <v>50</v>
      </c>
      <c r="G4826">
        <v>-401.20949999999999</v>
      </c>
      <c r="H4826" s="1">
        <v>-4.4153830000000003E-6</v>
      </c>
      <c r="I4826">
        <v>136.5129</v>
      </c>
      <c r="J4826">
        <v>-393.15890000000002</v>
      </c>
      <c r="K4826">
        <v>1.1130519999999999</v>
      </c>
      <c r="L4826">
        <v>140.7251</v>
      </c>
      <c r="M4826">
        <v>-0.99881399999999998</v>
      </c>
      <c r="N4826">
        <v>0</v>
      </c>
      <c r="O4826">
        <v>-4.6448429999999999E-2</v>
      </c>
      <c r="P4826">
        <v>-0.95664150000000003</v>
      </c>
      <c r="Q4826">
        <v>0.15628139999999999</v>
      </c>
      <c r="R4826">
        <v>-0.24579200000000001</v>
      </c>
      <c r="S4826">
        <v>-2.8352970000000002</v>
      </c>
      <c r="T4826">
        <v>-0.37618079999999998</v>
      </c>
      <c r="U4826">
        <v>-1.4301299999999999</v>
      </c>
      <c r="V4826">
        <v>-0.20217280000000001</v>
      </c>
      <c r="W4826">
        <v>0.16910240000000001</v>
      </c>
      <c r="X4826">
        <v>0.9646401</v>
      </c>
      <c r="Y4826">
        <v>-0.40589439999999999</v>
      </c>
      <c r="Z4826">
        <v>-1.953322E-2</v>
      </c>
      <c r="AA4826">
        <v>0.91371119999999995</v>
      </c>
      <c r="AB4826">
        <v>33</v>
      </c>
      <c r="AC4826">
        <v>-8.0505999999999691</v>
      </c>
      <c r="AD4826">
        <v>-1.11305641538299</v>
      </c>
      <c r="AE4826">
        <v>-4.2121999999999904</v>
      </c>
      <c r="AF4826">
        <v>-3.7769940558164801</v>
      </c>
      <c r="AG4826">
        <v>-1.11305641538299</v>
      </c>
      <c r="AH4826">
        <v>8.1157868690900408</v>
      </c>
      <c r="AI4826">
        <v>97.087847549324593</v>
      </c>
      <c r="AJ4826">
        <v>114.956728022164</v>
      </c>
      <c r="AK4826">
        <v>9.0205640170663699</v>
      </c>
      <c r="AL4826">
        <v>80.264365120444296</v>
      </c>
      <c r="AM4826">
        <v>101.836930079567</v>
      </c>
      <c r="AN4826">
        <v>0.99999999263680495</v>
      </c>
    </row>
    <row r="4827" spans="1:40" x14ac:dyDescent="0.25">
      <c r="A4827" t="str">
        <f>"20190312164125020"</f>
        <v>20190312164125020</v>
      </c>
      <c r="B4827" t="str">
        <f>"1552380085011569"</f>
        <v>1552380085011569</v>
      </c>
      <c r="C4827" t="s">
        <v>40</v>
      </c>
      <c r="D4827">
        <v>5.3010039999999998</v>
      </c>
      <c r="E4827">
        <v>0.4137979</v>
      </c>
      <c r="F4827" t="s">
        <v>42</v>
      </c>
      <c r="G4827">
        <v>-394.14699999999999</v>
      </c>
      <c r="H4827">
        <v>0.98352890000000004</v>
      </c>
      <c r="I4827">
        <v>140.21969999999999</v>
      </c>
      <c r="J4827">
        <v>-393.4785</v>
      </c>
      <c r="K4827">
        <v>1.1133999999999999</v>
      </c>
      <c r="L4827">
        <v>140.70650000000001</v>
      </c>
      <c r="M4827">
        <v>-0.99863170000000001</v>
      </c>
      <c r="N4827">
        <v>0</v>
      </c>
      <c r="O4827">
        <v>-5.0210980000000002E-2</v>
      </c>
      <c r="P4827">
        <v>-0.95434390000000002</v>
      </c>
      <c r="Q4827">
        <v>0.156441</v>
      </c>
      <c r="R4827">
        <v>-0.25446929999999901</v>
      </c>
      <c r="S4827">
        <v>-2.8250730000000002</v>
      </c>
      <c r="T4827">
        <v>-0.37029000000000001</v>
      </c>
      <c r="U4827">
        <v>-1.4456629999999999</v>
      </c>
      <c r="V4827">
        <v>-0.20745250000000001</v>
      </c>
      <c r="W4827">
        <v>0.1690516</v>
      </c>
      <c r="X4827">
        <v>0.96352740000000003</v>
      </c>
      <c r="Y4827">
        <v>-0.407856</v>
      </c>
      <c r="Z4827">
        <v>-1.89298E-2</v>
      </c>
      <c r="AA4827">
        <v>0.91285000000000005</v>
      </c>
      <c r="AB4827">
        <v>33</v>
      </c>
      <c r="AC4827">
        <v>-0.66849999999999399</v>
      </c>
      <c r="AD4827">
        <v>-0.12987109999999899</v>
      </c>
      <c r="AE4827">
        <v>-0.486800000000016</v>
      </c>
      <c r="AF4827">
        <v>-0.44172182866859</v>
      </c>
      <c r="AG4827">
        <v>-0.12987109999999899</v>
      </c>
      <c r="AH4827">
        <v>0.67544315760667595</v>
      </c>
      <c r="AI4827">
        <v>99.1416260808315</v>
      </c>
      <c r="AJ4827">
        <v>123.18361684679201</v>
      </c>
      <c r="AK4827">
        <v>0.81743998904825399</v>
      </c>
      <c r="AL4827">
        <v>80.267318501210198</v>
      </c>
      <c r="AM4827">
        <v>102.150595484295</v>
      </c>
      <c r="AN4827">
        <v>1.00000001688478</v>
      </c>
    </row>
    <row r="4828" spans="1:40" x14ac:dyDescent="0.25">
      <c r="A4828" t="str">
        <f>"20190312164125042"</f>
        <v>20190312164125042</v>
      </c>
      <c r="B4828" t="str">
        <f>"1552380085031089"</f>
        <v>1552380085031089</v>
      </c>
      <c r="C4828" t="s">
        <v>40</v>
      </c>
      <c r="D4828">
        <v>5.3164040000000004</v>
      </c>
      <c r="E4828">
        <v>0.41443010000000002</v>
      </c>
      <c r="F4828" t="s">
        <v>42</v>
      </c>
      <c r="G4828">
        <v>-394.44220000000001</v>
      </c>
      <c r="H4828">
        <v>0.98446449999999996</v>
      </c>
      <c r="I4828">
        <v>140.20580000000001</v>
      </c>
      <c r="J4828">
        <v>-393.80619999999999</v>
      </c>
      <c r="K4828">
        <v>1.113704</v>
      </c>
      <c r="L4828">
        <v>140.6859</v>
      </c>
      <c r="M4828">
        <v>-0.99841250000000004</v>
      </c>
      <c r="N4828">
        <v>0</v>
      </c>
      <c r="O4828">
        <v>-5.4390300000000003E-2</v>
      </c>
      <c r="P4828">
        <v>-0.95203090000000001</v>
      </c>
      <c r="Q4828">
        <v>0.15597429999999901</v>
      </c>
      <c r="R4828">
        <v>-0.26326650000000001</v>
      </c>
      <c r="S4828">
        <v>-2.8150629999999999</v>
      </c>
      <c r="T4828">
        <v>-0.37662899999999999</v>
      </c>
      <c r="U4828">
        <v>-1.463257</v>
      </c>
      <c r="V4828">
        <v>-0.2124413</v>
      </c>
      <c r="W4828">
        <v>0.16838839999999999</v>
      </c>
      <c r="X4828">
        <v>0.96255599999999997</v>
      </c>
      <c r="Y4828">
        <v>-0.40978350000000002</v>
      </c>
      <c r="Z4828">
        <v>-1.8887230000000001E-2</v>
      </c>
      <c r="AA4828">
        <v>0.9119872</v>
      </c>
      <c r="AB4828">
        <v>33</v>
      </c>
      <c r="AC4828">
        <v>-0.63600000000002399</v>
      </c>
      <c r="AD4828">
        <v>-0.12923949999999901</v>
      </c>
      <c r="AE4828">
        <v>-0.48009999999999298</v>
      </c>
      <c r="AF4828">
        <v>-0.43339325597009498</v>
      </c>
      <c r="AG4828">
        <v>-0.12923949999999901</v>
      </c>
      <c r="AH4828">
        <v>0.64422814441274801</v>
      </c>
      <c r="AI4828">
        <v>99.450315291965893</v>
      </c>
      <c r="AJ4828">
        <v>123.930006414199</v>
      </c>
      <c r="AK4828">
        <v>0.78712290319498601</v>
      </c>
      <c r="AL4828">
        <v>80.305869627058996</v>
      </c>
      <c r="AM4828">
        <v>102.44596301268901</v>
      </c>
      <c r="AN4828">
        <v>1.00000000616812</v>
      </c>
    </row>
    <row r="4829" spans="1:40" x14ac:dyDescent="0.25">
      <c r="A4829" t="str">
        <f>"20190312164125064"</f>
        <v>20190312164125064</v>
      </c>
      <c r="B4829" t="str">
        <f>"1552380085060874"</f>
        <v>1552380085060874</v>
      </c>
      <c r="C4829" t="s">
        <v>40</v>
      </c>
      <c r="D4829">
        <v>5.021719</v>
      </c>
      <c r="E4829">
        <v>0.41456949999999998</v>
      </c>
      <c r="F4829" t="s">
        <v>42</v>
      </c>
      <c r="G4829">
        <v>-394.73750000000001</v>
      </c>
      <c r="H4829">
        <v>0.98303289999999999</v>
      </c>
      <c r="I4829">
        <v>140.19309999999999</v>
      </c>
      <c r="J4829">
        <v>-394.1302</v>
      </c>
      <c r="K4829">
        <v>1.1139699999999999</v>
      </c>
      <c r="L4829">
        <v>140.66390000000001</v>
      </c>
      <c r="M4829">
        <v>-0.9981622</v>
      </c>
      <c r="N4829">
        <v>0</v>
      </c>
      <c r="O4829">
        <v>-5.8803599999999998E-2</v>
      </c>
      <c r="P4829">
        <v>-0.94931200000000004</v>
      </c>
      <c r="Q4829">
        <v>0.1555213</v>
      </c>
      <c r="R4829">
        <v>-0.27316679999999999</v>
      </c>
      <c r="S4829">
        <v>-2.804932</v>
      </c>
      <c r="T4829">
        <v>-0.39354309999999998</v>
      </c>
      <c r="U4829">
        <v>-1.4851529999999999</v>
      </c>
      <c r="V4829">
        <v>-0.21831970000000001</v>
      </c>
      <c r="W4829">
        <v>0.16774159999999999</v>
      </c>
      <c r="X4829">
        <v>0.96135280000000001</v>
      </c>
      <c r="Y4829">
        <v>-0.41246250000000001</v>
      </c>
      <c r="Z4829">
        <v>-1.9360140000000001E-2</v>
      </c>
      <c r="AA4829">
        <v>0.91076889999999999</v>
      </c>
      <c r="AB4829">
        <v>33</v>
      </c>
      <c r="AC4829">
        <v>-0.60730000000000905</v>
      </c>
      <c r="AD4829">
        <v>-0.1309371</v>
      </c>
      <c r="AE4829">
        <v>-0.47080000000002498</v>
      </c>
      <c r="AF4829">
        <v>-0.42201639169095201</v>
      </c>
      <c r="AG4829">
        <v>-0.1309371</v>
      </c>
      <c r="AH4829">
        <v>0.61604923715972304</v>
      </c>
      <c r="AI4829">
        <v>99.945475741651904</v>
      </c>
      <c r="AJ4829">
        <v>124.412578055678</v>
      </c>
      <c r="AK4829">
        <v>0.75812863131353803</v>
      </c>
      <c r="AL4829">
        <v>80.343462929324303</v>
      </c>
      <c r="AM4829">
        <v>102.79465569829</v>
      </c>
      <c r="AN4829">
        <v>0.999999970923244</v>
      </c>
    </row>
    <row r="4830" spans="1:40" x14ac:dyDescent="0.25">
      <c r="A4830" t="str">
        <f>"20190312164125087"</f>
        <v>20190312164125087</v>
      </c>
      <c r="B4830" t="str">
        <f>"1552380085081372"</f>
        <v>1552380085081372</v>
      </c>
      <c r="C4830" t="s">
        <v>40</v>
      </c>
      <c r="D4830">
        <v>5.0427670000000004</v>
      </c>
      <c r="E4830">
        <v>0.41474739999999999</v>
      </c>
      <c r="F4830" t="s">
        <v>42</v>
      </c>
      <c r="G4830">
        <v>-395.03140000000002</v>
      </c>
      <c r="H4830">
        <v>0.98976710000000001</v>
      </c>
      <c r="I4830">
        <v>140.17529999999999</v>
      </c>
      <c r="J4830">
        <v>-394.46469999999999</v>
      </c>
      <c r="K4830">
        <v>1.1142110000000001</v>
      </c>
      <c r="L4830">
        <v>140.6395</v>
      </c>
      <c r="M4830">
        <v>-0.99786629999999998</v>
      </c>
      <c r="N4830">
        <v>0</v>
      </c>
      <c r="O4830">
        <v>-6.3622860000000003E-2</v>
      </c>
      <c r="P4830">
        <v>-0.94623489999999999</v>
      </c>
      <c r="Q4830">
        <v>0.15534249999999999</v>
      </c>
      <c r="R4830">
        <v>-0.28373939999999997</v>
      </c>
      <c r="S4830">
        <v>-2.7882690000000001</v>
      </c>
      <c r="T4830">
        <v>-0.3843144</v>
      </c>
      <c r="U4830">
        <v>-1.511185</v>
      </c>
      <c r="V4830">
        <v>-0.2245077</v>
      </c>
      <c r="W4830">
        <v>0.16736699999999999</v>
      </c>
      <c r="X4830">
        <v>0.95999199999999996</v>
      </c>
      <c r="Y4830">
        <v>-0.41702470000000003</v>
      </c>
      <c r="Z4830">
        <v>-1.8649880000000001E-2</v>
      </c>
      <c r="AA4830">
        <v>0.90870379999999995</v>
      </c>
      <c r="AB4830">
        <v>33</v>
      </c>
      <c r="AC4830">
        <v>-0.56670000000002496</v>
      </c>
      <c r="AD4830">
        <v>-0.1244439</v>
      </c>
      <c r="AE4830">
        <v>-0.464200000000005</v>
      </c>
      <c r="AF4830">
        <v>-0.41521787132410998</v>
      </c>
      <c r="AG4830">
        <v>-0.1244439</v>
      </c>
      <c r="AH4830">
        <v>0.57839693817926796</v>
      </c>
      <c r="AI4830">
        <v>99.914009753826505</v>
      </c>
      <c r="AJ4830">
        <v>125.673697454343</v>
      </c>
      <c r="AK4830">
        <v>0.72279677849952195</v>
      </c>
      <c r="AL4830">
        <v>80.365234281036393</v>
      </c>
      <c r="AM4830">
        <v>103.16286137836801</v>
      </c>
      <c r="AN4830">
        <v>1.00000003005614</v>
      </c>
    </row>
    <row r="4831" spans="1:40" x14ac:dyDescent="0.25">
      <c r="A4831" t="str">
        <f>"20190312164125109"</f>
        <v>20190312164125109</v>
      </c>
      <c r="B4831" t="str">
        <f>"1552380085100891"</f>
        <v>1552380085100891</v>
      </c>
      <c r="C4831" t="s">
        <v>40</v>
      </c>
      <c r="D4831">
        <v>4.9611190000000001</v>
      </c>
      <c r="E4831">
        <v>0.41493839999999999</v>
      </c>
      <c r="F4831" t="s">
        <v>42</v>
      </c>
      <c r="G4831">
        <v>-395.33659999999998</v>
      </c>
      <c r="H4831">
        <v>0.99437549999999997</v>
      </c>
      <c r="I4831">
        <v>140.15549999999999</v>
      </c>
      <c r="J4831">
        <v>-394.79039999999998</v>
      </c>
      <c r="K4831">
        <v>1.11443</v>
      </c>
      <c r="L4831">
        <v>140.6138</v>
      </c>
      <c r="M4831">
        <v>-0.99753999999999998</v>
      </c>
      <c r="N4831">
        <v>0</v>
      </c>
      <c r="O4831">
        <v>-6.8550990000000006E-2</v>
      </c>
      <c r="P4831">
        <v>-0.94309180000000004</v>
      </c>
      <c r="Q4831">
        <v>0.155305</v>
      </c>
      <c r="R4831">
        <v>-0.29403879999999999</v>
      </c>
      <c r="S4831">
        <v>-2.771576</v>
      </c>
      <c r="T4831">
        <v>-0.38089630000000002</v>
      </c>
      <c r="U4831">
        <v>-1.538864</v>
      </c>
      <c r="V4831">
        <v>-0.23033100000000001</v>
      </c>
      <c r="W4831">
        <v>0.16714229999999899</v>
      </c>
      <c r="X4831">
        <v>0.95865060000000002</v>
      </c>
      <c r="Y4831">
        <v>-0.42182700000000001</v>
      </c>
      <c r="Z4831">
        <v>-1.8225290000000002E-2</v>
      </c>
      <c r="AA4831">
        <v>0.90649310000000005</v>
      </c>
      <c r="AB4831">
        <v>33</v>
      </c>
      <c r="AC4831">
        <v>-0.54619999999999802</v>
      </c>
      <c r="AD4831">
        <v>-0.12005449999999999</v>
      </c>
      <c r="AE4831">
        <v>-0.45830000000000798</v>
      </c>
      <c r="AF4831">
        <v>-0.40820201035989301</v>
      </c>
      <c r="AG4831">
        <v>-0.12005449999999999</v>
      </c>
      <c r="AH4831">
        <v>0.56044573528192498</v>
      </c>
      <c r="AI4831">
        <v>99.823501128383398</v>
      </c>
      <c r="AJ4831">
        <v>126.067813780146</v>
      </c>
      <c r="AK4831">
        <v>0.70366283575858002</v>
      </c>
      <c r="AL4831">
        <v>80.378291763288004</v>
      </c>
      <c r="AM4831">
        <v>103.51013483938399</v>
      </c>
      <c r="AN4831">
        <v>0.999999945445323</v>
      </c>
    </row>
    <row r="4832" spans="1:40" x14ac:dyDescent="0.25">
      <c r="A4832" t="str">
        <f>"20190312164125131"</f>
        <v>20190312164125131</v>
      </c>
      <c r="B4832" t="str">
        <f>"1552380085121387"</f>
        <v>1552380085121387</v>
      </c>
      <c r="C4832" t="s">
        <v>40</v>
      </c>
      <c r="D4832">
        <v>4.9482939999999997</v>
      </c>
      <c r="E4832">
        <v>0.41537079999999998</v>
      </c>
      <c r="F4832" t="s">
        <v>42</v>
      </c>
      <c r="G4832">
        <v>-395.66199999999998</v>
      </c>
      <c r="H4832">
        <v>0.99493279999999995</v>
      </c>
      <c r="I4832">
        <v>140.11859999999999</v>
      </c>
      <c r="J4832">
        <v>-395.11130000000003</v>
      </c>
      <c r="K4832">
        <v>1.1146339999999999</v>
      </c>
      <c r="L4832">
        <v>140.58680000000001</v>
      </c>
      <c r="M4832">
        <v>-0.99717860000000003</v>
      </c>
      <c r="N4832">
        <v>0</v>
      </c>
      <c r="O4832">
        <v>-7.361848E-2</v>
      </c>
      <c r="P4832">
        <v>-0.93984500000000004</v>
      </c>
      <c r="Q4832">
        <v>0.1552241</v>
      </c>
      <c r="R4832">
        <v>-0.30429820000000002</v>
      </c>
      <c r="S4832">
        <v>-2.7549739999999998</v>
      </c>
      <c r="T4832">
        <v>-0.37769989999999998</v>
      </c>
      <c r="U4832">
        <v>-1.5660400000000001</v>
      </c>
      <c r="V4832">
        <v>-0.2360005</v>
      </c>
      <c r="W4832">
        <v>0.1668762</v>
      </c>
      <c r="X4832">
        <v>0.95731710000000003</v>
      </c>
      <c r="Y4832">
        <v>-0.42635889999999999</v>
      </c>
      <c r="Z4832">
        <v>-1.777946E-2</v>
      </c>
      <c r="AA4832">
        <v>0.9043793</v>
      </c>
      <c r="AB4832">
        <v>33</v>
      </c>
      <c r="AC4832">
        <v>-0.55069999999994901</v>
      </c>
      <c r="AD4832">
        <v>-0.11970119999999899</v>
      </c>
      <c r="AE4832">
        <v>-0.46820000000002399</v>
      </c>
      <c r="AF4832">
        <v>-0.41500230147195399</v>
      </c>
      <c r="AG4832">
        <v>-0.11970119999999899</v>
      </c>
      <c r="AH4832">
        <v>0.56809788195149702</v>
      </c>
      <c r="AI4832">
        <v>99.655974241630403</v>
      </c>
      <c r="AJ4832">
        <v>126.14857547948399</v>
      </c>
      <c r="AK4832">
        <v>0.71364591429239999</v>
      </c>
      <c r="AL4832">
        <v>80.3937555518511</v>
      </c>
      <c r="AM4832">
        <v>103.84858151381999</v>
      </c>
      <c r="AN4832">
        <v>0.99999996603954899</v>
      </c>
    </row>
    <row r="4833" spans="1:40" x14ac:dyDescent="0.25">
      <c r="A4833" t="str">
        <f>"20190312164125153"</f>
        <v>20190312164125153</v>
      </c>
      <c r="B4833" t="str">
        <f>"1552380085150667"</f>
        <v>1552380085150667</v>
      </c>
      <c r="C4833" t="s">
        <v>40</v>
      </c>
      <c r="D4833">
        <v>5.0105959999999996</v>
      </c>
      <c r="E4833">
        <v>0.416379</v>
      </c>
      <c r="F4833" t="s">
        <v>42</v>
      </c>
      <c r="G4833">
        <v>-395.98399999999998</v>
      </c>
      <c r="H4833">
        <v>0.99499029999999999</v>
      </c>
      <c r="I4833">
        <v>140.0805</v>
      </c>
      <c r="J4833">
        <v>-395.435</v>
      </c>
      <c r="K4833">
        <v>1.114838</v>
      </c>
      <c r="L4833">
        <v>140.55770000000001</v>
      </c>
      <c r="M4833">
        <v>-0.99677110000000002</v>
      </c>
      <c r="N4833">
        <v>0</v>
      </c>
      <c r="O4833">
        <v>-7.8941609999999995E-2</v>
      </c>
      <c r="P4833">
        <v>-0.93635950000000001</v>
      </c>
      <c r="Q4833">
        <v>0.1548049</v>
      </c>
      <c r="R4833">
        <v>-0.31506610000000002</v>
      </c>
      <c r="S4833">
        <v>-2.7393190000000001</v>
      </c>
      <c r="T4833">
        <v>-0.37551679999999998</v>
      </c>
      <c r="U4833">
        <v>-1.5897520000000001</v>
      </c>
      <c r="V4833">
        <v>-0.24196300000000001</v>
      </c>
      <c r="W4833">
        <v>0.16626260000000001</v>
      </c>
      <c r="X4833">
        <v>0.95593450000000002</v>
      </c>
      <c r="Y4833">
        <v>-0.42966120000000002</v>
      </c>
      <c r="Z4833">
        <v>-1.7273219999999999E-2</v>
      </c>
      <c r="AA4833">
        <v>0.90282490000000004</v>
      </c>
      <c r="AB4833">
        <v>33</v>
      </c>
      <c r="AC4833">
        <v>-0.54900000000003402</v>
      </c>
      <c r="AD4833">
        <v>-0.119847699999999</v>
      </c>
      <c r="AE4833">
        <v>-0.47720000000001001</v>
      </c>
      <c r="AF4833">
        <v>-0.42094003211053199</v>
      </c>
      <c r="AG4833">
        <v>-0.119847699999999</v>
      </c>
      <c r="AH4833">
        <v>0.56950168505056797</v>
      </c>
      <c r="AI4833">
        <v>99.605314559495199</v>
      </c>
      <c r="AJ4833">
        <v>126.469494900901</v>
      </c>
      <c r="AK4833">
        <v>0.71825215008654297</v>
      </c>
      <c r="AL4833">
        <v>80.429411228911704</v>
      </c>
      <c r="AM4833">
        <v>104.204190027875</v>
      </c>
      <c r="AN4833">
        <v>1.000000056909</v>
      </c>
    </row>
    <row r="4834" spans="1:40" x14ac:dyDescent="0.25">
      <c r="A4834" t="str">
        <f>"20190312164125179"</f>
        <v>20190312164125179</v>
      </c>
      <c r="B4834" t="str">
        <f>"1552380085170693"</f>
        <v>1552380085170693</v>
      </c>
      <c r="C4834" t="s">
        <v>40</v>
      </c>
      <c r="D4834">
        <v>4.9467489999999996</v>
      </c>
      <c r="E4834">
        <v>0.41678920000000003</v>
      </c>
      <c r="F4834" t="s">
        <v>50</v>
      </c>
      <c r="G4834">
        <v>-403.64819999999997</v>
      </c>
      <c r="H4834" s="1">
        <v>-5.1535129999999996E-6</v>
      </c>
      <c r="I4834">
        <v>135.6962</v>
      </c>
      <c r="J4834">
        <v>-395.79809999999998</v>
      </c>
      <c r="K4834">
        <v>1.115067</v>
      </c>
      <c r="L4834">
        <v>140.52279999999999</v>
      </c>
      <c r="M4834">
        <v>-0.99625870000000005</v>
      </c>
      <c r="N4834">
        <v>0</v>
      </c>
      <c r="O4834">
        <v>-8.5161689999999998E-2</v>
      </c>
      <c r="P4834">
        <v>-0.93267239999999996</v>
      </c>
      <c r="Q4834">
        <v>0.1529614</v>
      </c>
      <c r="R4834">
        <v>-0.32668839999999999</v>
      </c>
      <c r="S4834">
        <v>-2.7227169999999998</v>
      </c>
      <c r="T4834">
        <v>-0.3695755</v>
      </c>
      <c r="U4834">
        <v>-1.6116029999999999</v>
      </c>
      <c r="V4834">
        <v>-0.24794450000000001</v>
      </c>
      <c r="W4834">
        <v>0.164209299999999</v>
      </c>
      <c r="X4834">
        <v>0.95475589999999999</v>
      </c>
      <c r="Y4834">
        <v>-0.43189329999999998</v>
      </c>
      <c r="Z4834">
        <v>-1.6431850000000001E-2</v>
      </c>
      <c r="AA4834">
        <v>0.90177499999999999</v>
      </c>
      <c r="AB4834">
        <v>33</v>
      </c>
      <c r="AC4834">
        <v>-7.8500999999999896</v>
      </c>
      <c r="AD4834">
        <v>-1.1150721535129999</v>
      </c>
      <c r="AE4834">
        <v>-4.8265999999999796</v>
      </c>
      <c r="AF4834">
        <v>-4.0807127500745697</v>
      </c>
      <c r="AG4834">
        <v>-1.1150721535129999</v>
      </c>
      <c r="AH4834">
        <v>8.1138596525879407</v>
      </c>
      <c r="AI4834">
        <v>96.999467424716002</v>
      </c>
      <c r="AJ4834">
        <v>116.699247520908</v>
      </c>
      <c r="AK4834">
        <v>9.1504273625910901</v>
      </c>
      <c r="AL4834">
        <v>80.548695801771501</v>
      </c>
      <c r="AM4834">
        <v>104.5577994371</v>
      </c>
      <c r="AN4834">
        <v>0.99999999893577496</v>
      </c>
    </row>
    <row r="4835" spans="1:40" x14ac:dyDescent="0.25">
      <c r="A4835" t="str">
        <f>"20190312164125200"</f>
        <v>20190312164125200</v>
      </c>
      <c r="B4835" t="str">
        <f>"1552380085191190"</f>
        <v>1552380085191190</v>
      </c>
      <c r="C4835" t="s">
        <v>40</v>
      </c>
      <c r="D4835">
        <v>4.827534</v>
      </c>
      <c r="E4835">
        <v>0.41718719999999998</v>
      </c>
      <c r="F4835" t="s">
        <v>42</v>
      </c>
      <c r="G4835">
        <v>-396.75279999999998</v>
      </c>
      <c r="H4835">
        <v>0.98375140000000005</v>
      </c>
      <c r="I4835">
        <v>139.94329999999999</v>
      </c>
      <c r="J4835">
        <v>-396.11090000000002</v>
      </c>
      <c r="K4835">
        <v>1.1152629999999999</v>
      </c>
      <c r="L4835">
        <v>140.49039999999999</v>
      </c>
      <c r="M4835">
        <v>-0.99576350000000002</v>
      </c>
      <c r="N4835">
        <v>0</v>
      </c>
      <c r="O4835">
        <v>-9.0767150000000005E-2</v>
      </c>
      <c r="P4835">
        <v>-0.92885830000000003</v>
      </c>
      <c r="Q4835">
        <v>0.15185860000000001</v>
      </c>
      <c r="R4835">
        <v>-0.3378775</v>
      </c>
      <c r="S4835">
        <v>-2.7030029999999998</v>
      </c>
      <c r="T4835">
        <v>-0.37176199999999998</v>
      </c>
      <c r="U4835">
        <v>-1.64032</v>
      </c>
      <c r="V4835">
        <v>-0.25411020000000001</v>
      </c>
      <c r="W4835">
        <v>0.16290489999999999</v>
      </c>
      <c r="X4835">
        <v>0.95335720000000002</v>
      </c>
      <c r="Y4835">
        <v>-0.43669639999999998</v>
      </c>
      <c r="Z4835">
        <v>-1.6196849999999999E-2</v>
      </c>
      <c r="AA4835">
        <v>0.89946309999999996</v>
      </c>
      <c r="AB4835">
        <v>33</v>
      </c>
      <c r="AC4835">
        <v>-0.64189999999996405</v>
      </c>
      <c r="AD4835">
        <v>-0.13151159999999901</v>
      </c>
      <c r="AE4835">
        <v>-0.54710000000000003</v>
      </c>
      <c r="AF4835">
        <v>-0.47502210831842601</v>
      </c>
      <c r="AG4835">
        <v>-0.13151159999999901</v>
      </c>
      <c r="AH4835">
        <v>0.67256169980759195</v>
      </c>
      <c r="AI4835">
        <v>99.074523716308406</v>
      </c>
      <c r="AJ4835">
        <v>125.23309397409299</v>
      </c>
      <c r="AK4835">
        <v>0.83383484238422101</v>
      </c>
      <c r="AL4835">
        <v>80.624452351336004</v>
      </c>
      <c r="AM4835">
        <v>104.924774416413</v>
      </c>
      <c r="AN4835">
        <v>0.99999997548994402</v>
      </c>
    </row>
    <row r="4836" spans="1:40" x14ac:dyDescent="0.25">
      <c r="A4836" t="str">
        <f>"20190312164125222"</f>
        <v>20190312164125222</v>
      </c>
      <c r="B4836" t="str">
        <f>"1552380085210708"</f>
        <v>1552380085210708</v>
      </c>
      <c r="C4836" t="s">
        <v>40</v>
      </c>
      <c r="D4836">
        <v>4.814495</v>
      </c>
      <c r="E4836">
        <v>0.41754740000000001</v>
      </c>
      <c r="F4836" t="s">
        <v>42</v>
      </c>
      <c r="G4836">
        <v>-397.04140000000001</v>
      </c>
      <c r="H4836">
        <v>0.98575809999999997</v>
      </c>
      <c r="I4836">
        <v>139.91249999999999</v>
      </c>
      <c r="J4836">
        <v>-396.42700000000002</v>
      </c>
      <c r="K4836">
        <v>1.1154459999999999</v>
      </c>
      <c r="L4836">
        <v>140.45570000000001</v>
      </c>
      <c r="M4836">
        <v>-0.99521280000000001</v>
      </c>
      <c r="N4836">
        <v>0</v>
      </c>
      <c r="O4836">
        <v>-9.6617809999999998E-2</v>
      </c>
      <c r="P4836">
        <v>-0.92461329999999997</v>
      </c>
      <c r="Q4836">
        <v>0.1513958</v>
      </c>
      <c r="R4836">
        <v>-0.34952879999999997</v>
      </c>
      <c r="S4836">
        <v>-2.6842959999999998</v>
      </c>
      <c r="T4836">
        <v>-0.37358639999999999</v>
      </c>
      <c r="U4836">
        <v>-1.66743499999999</v>
      </c>
      <c r="V4836">
        <v>-0.26056319999999999</v>
      </c>
      <c r="W4836">
        <v>0.16223860000000001</v>
      </c>
      <c r="X4836">
        <v>0.95172760000000001</v>
      </c>
      <c r="Y4836">
        <v>-0.4407509</v>
      </c>
      <c r="Z4836">
        <v>-1.5859060000000001E-2</v>
      </c>
      <c r="AA4836">
        <v>0.89748939999999999</v>
      </c>
      <c r="AB4836">
        <v>33</v>
      </c>
      <c r="AC4836">
        <v>-0.61440000000004602</v>
      </c>
      <c r="AD4836">
        <v>-0.129687899999999</v>
      </c>
      <c r="AE4836">
        <v>-0.54320000000001301</v>
      </c>
      <c r="AF4836">
        <v>-0.469547453577004</v>
      </c>
      <c r="AG4836">
        <v>-0.129687899999999</v>
      </c>
      <c r="AH4836">
        <v>0.647813163449379</v>
      </c>
      <c r="AI4836">
        <v>99.207141003650406</v>
      </c>
      <c r="AJ4836">
        <v>125.935323245226</v>
      </c>
      <c r="AK4836">
        <v>0.81052801142548503</v>
      </c>
      <c r="AL4836">
        <v>80.663143332082598</v>
      </c>
      <c r="AM4836">
        <v>105.31120092213401</v>
      </c>
      <c r="AN4836">
        <v>0.99999998456297901</v>
      </c>
    </row>
    <row r="4837" spans="1:40" x14ac:dyDescent="0.25">
      <c r="A4837" t="str">
        <f>"20190312164125243"</f>
        <v>20190312164125243</v>
      </c>
      <c r="B4837" t="str">
        <f>"1552380085231205"</f>
        <v>1552380085231205</v>
      </c>
      <c r="C4837" t="s">
        <v>40</v>
      </c>
      <c r="D4837">
        <v>4.8166180000000001</v>
      </c>
      <c r="E4837">
        <v>0.41798750000000001</v>
      </c>
      <c r="F4837" t="s">
        <v>42</v>
      </c>
      <c r="G4837">
        <v>-397.32960000000003</v>
      </c>
      <c r="H4837">
        <v>0.98906110000000003</v>
      </c>
      <c r="I4837">
        <v>139.88120000000001</v>
      </c>
      <c r="J4837">
        <v>-396.73689999999999</v>
      </c>
      <c r="K4837">
        <v>1.115618</v>
      </c>
      <c r="L4837">
        <v>140.41980000000001</v>
      </c>
      <c r="M4837">
        <v>-0.99461920000000004</v>
      </c>
      <c r="N4837">
        <v>0</v>
      </c>
      <c r="O4837">
        <v>-0.1025451</v>
      </c>
      <c r="P4837">
        <v>-0.92065949999999996</v>
      </c>
      <c r="Q4837">
        <v>0.15062979999999901</v>
      </c>
      <c r="R4837">
        <v>-0.36013430000000002</v>
      </c>
      <c r="S4837">
        <v>-2.66452</v>
      </c>
      <c r="T4837">
        <v>-0.3730928</v>
      </c>
      <c r="U4837">
        <v>-1.6960599999999999</v>
      </c>
      <c r="V4837">
        <v>-0.2658875</v>
      </c>
      <c r="W4837">
        <v>0.1612905</v>
      </c>
      <c r="X4837">
        <v>0.95041529999999996</v>
      </c>
      <c r="Y4837">
        <v>-0.44528390000000001</v>
      </c>
      <c r="Z4837">
        <v>-1.5443729999999999E-2</v>
      </c>
      <c r="AA4837">
        <v>0.89525619999999995</v>
      </c>
      <c r="AB4837">
        <v>33</v>
      </c>
      <c r="AC4837">
        <v>-0.59270000000003598</v>
      </c>
      <c r="AD4837">
        <v>-0.1265569</v>
      </c>
      <c r="AE4837">
        <v>-0.53860000000000197</v>
      </c>
      <c r="AF4837">
        <v>-0.46340287768189498</v>
      </c>
      <c r="AG4837">
        <v>-0.1265569</v>
      </c>
      <c r="AH4837">
        <v>0.62910165237042803</v>
      </c>
      <c r="AI4837">
        <v>99.2003910718486</v>
      </c>
      <c r="AJ4837">
        <v>126.375750080673</v>
      </c>
      <c r="AK4837">
        <v>0.791535068709325</v>
      </c>
      <c r="AL4837">
        <v>80.718190755976394</v>
      </c>
      <c r="AM4837">
        <v>105.629456116285</v>
      </c>
      <c r="AN4837">
        <v>1.0000000152602899</v>
      </c>
    </row>
    <row r="4838" spans="1:40" x14ac:dyDescent="0.25">
      <c r="A4838" t="str">
        <f>"20190312164125266"</f>
        <v>20190312164125266</v>
      </c>
      <c r="B4838" t="str">
        <f>"1552380085261461"</f>
        <v>1552380085261461</v>
      </c>
      <c r="C4838" t="s">
        <v>40</v>
      </c>
      <c r="D4838">
        <v>4.766559</v>
      </c>
      <c r="E4838">
        <v>0.41849639999999999</v>
      </c>
      <c r="F4838" t="s">
        <v>42</v>
      </c>
      <c r="G4838">
        <v>-397.61680000000001</v>
      </c>
      <c r="H4838">
        <v>0.99112420000000001</v>
      </c>
      <c r="I4838">
        <v>139.84700000000001</v>
      </c>
      <c r="J4838">
        <v>-397.06360000000001</v>
      </c>
      <c r="K4838">
        <v>1.1157979999999901</v>
      </c>
      <c r="L4838">
        <v>140.37950000000001</v>
      </c>
      <c r="M4838">
        <v>-0.99392930000000002</v>
      </c>
      <c r="N4838">
        <v>0</v>
      </c>
      <c r="O4838">
        <v>-0.109027399999999</v>
      </c>
      <c r="P4838">
        <v>-0.91648609999999997</v>
      </c>
      <c r="Q4838">
        <v>0.1488785</v>
      </c>
      <c r="R4838">
        <v>-0.37133430000000001</v>
      </c>
      <c r="S4838">
        <v>-2.645813</v>
      </c>
      <c r="T4838">
        <v>-0.37431140000000002</v>
      </c>
      <c r="U4838">
        <v>-1.7229159999999999</v>
      </c>
      <c r="V4838">
        <v>-0.27130739999999998</v>
      </c>
      <c r="W4838">
        <v>0.15934519999999999</v>
      </c>
      <c r="X4838">
        <v>0.94921089999999997</v>
      </c>
      <c r="Y4838">
        <v>-0.44871889999999998</v>
      </c>
      <c r="Z4838">
        <v>-1.4952389999999999E-2</v>
      </c>
      <c r="AA4838">
        <v>0.8935478</v>
      </c>
      <c r="AB4838">
        <v>33</v>
      </c>
      <c r="AC4838">
        <v>-0.55320000000000302</v>
      </c>
      <c r="AD4838">
        <v>-0.124673799999999</v>
      </c>
      <c r="AE4838">
        <v>-0.53249999999999797</v>
      </c>
      <c r="AF4838">
        <v>-0.45695742693080799</v>
      </c>
      <c r="AG4838">
        <v>-0.124673799999999</v>
      </c>
      <c r="AH4838">
        <v>0.59234854725754105</v>
      </c>
      <c r="AI4838">
        <v>99.461335564875299</v>
      </c>
      <c r="AJ4838">
        <v>127.647792452037</v>
      </c>
      <c r="AK4838">
        <v>0.75843948201012401</v>
      </c>
      <c r="AL4838">
        <v>80.831108337143405</v>
      </c>
      <c r="AM4838">
        <v>105.951215490283</v>
      </c>
      <c r="AN4838">
        <v>0.99999996536830404</v>
      </c>
    </row>
    <row r="4839" spans="1:40" x14ac:dyDescent="0.25">
      <c r="A4839" t="str">
        <f>"20190312164125288"</f>
        <v>20190312164125288</v>
      </c>
      <c r="B4839" t="str">
        <f>"1552380085280984"</f>
        <v>1552380085280984</v>
      </c>
      <c r="C4839" t="s">
        <v>40</v>
      </c>
      <c r="D4839">
        <v>4.8513679999999999</v>
      </c>
      <c r="E4839">
        <v>0.41889219999999999</v>
      </c>
      <c r="F4839" t="s">
        <v>42</v>
      </c>
      <c r="G4839">
        <v>-397.9058</v>
      </c>
      <c r="H4839">
        <v>0.99487080000000006</v>
      </c>
      <c r="I4839">
        <v>139.81819999999999</v>
      </c>
      <c r="J4839">
        <v>-397.38720000000001</v>
      </c>
      <c r="K4839">
        <v>1.11599</v>
      </c>
      <c r="L4839">
        <v>140.3374</v>
      </c>
      <c r="M4839">
        <v>-0.9931738</v>
      </c>
      <c r="N4839">
        <v>0</v>
      </c>
      <c r="O4839">
        <v>-0.1157053</v>
      </c>
      <c r="P4839">
        <v>-0.91202399999999995</v>
      </c>
      <c r="Q4839">
        <v>0.14637610000000001</v>
      </c>
      <c r="R4839">
        <v>-0.38312740000000001</v>
      </c>
      <c r="S4839">
        <v>-2.625397</v>
      </c>
      <c r="T4839">
        <v>-0.3769883</v>
      </c>
      <c r="U4839">
        <v>-1.7505189999999999</v>
      </c>
      <c r="V4839">
        <v>-0.27717839999999999</v>
      </c>
      <c r="W4839">
        <v>0.15662980000000001</v>
      </c>
      <c r="X4839">
        <v>0.94796590000000003</v>
      </c>
      <c r="Y4839">
        <v>-0.45239780000000002</v>
      </c>
      <c r="Z4839">
        <v>-1.450825E-2</v>
      </c>
      <c r="AA4839">
        <v>0.8916982</v>
      </c>
      <c r="AB4839">
        <v>33</v>
      </c>
      <c r="AC4839">
        <v>-0.51859999999999196</v>
      </c>
      <c r="AD4839">
        <v>-0.121119199999999</v>
      </c>
      <c r="AE4839">
        <v>-0.51920000000001199</v>
      </c>
      <c r="AF4839">
        <v>-0.443616065067233</v>
      </c>
      <c r="AG4839">
        <v>-0.121119199999999</v>
      </c>
      <c r="AH4839">
        <v>0.55994324358123204</v>
      </c>
      <c r="AI4839">
        <v>99.622744253078594</v>
      </c>
      <c r="AJ4839">
        <v>128.38809009128701</v>
      </c>
      <c r="AK4839">
        <v>0.72456987918809201</v>
      </c>
      <c r="AL4839">
        <v>80.988668932811706</v>
      </c>
      <c r="AM4839">
        <v>106.298539600609</v>
      </c>
      <c r="AN4839">
        <v>1.0000000536186999</v>
      </c>
    </row>
    <row r="4840" spans="1:40" x14ac:dyDescent="0.25">
      <c r="A4840" t="str">
        <f>"20190312164125310"</f>
        <v>20190312164125310</v>
      </c>
      <c r="B4840" t="str">
        <f>"1552380085301476"</f>
        <v>1552380085301476</v>
      </c>
      <c r="C4840" t="s">
        <v>40</v>
      </c>
      <c r="D4840">
        <v>4.7584179999999998</v>
      </c>
      <c r="E4840">
        <v>0.41938180000000003</v>
      </c>
      <c r="F4840" t="s">
        <v>42</v>
      </c>
      <c r="G4840">
        <v>-398.1936</v>
      </c>
      <c r="H4840">
        <v>0.99719089999999999</v>
      </c>
      <c r="I4840">
        <v>139.78639999999999</v>
      </c>
      <c r="J4840">
        <v>-397.69760000000002</v>
      </c>
      <c r="K4840">
        <v>1.116193</v>
      </c>
      <c r="L4840">
        <v>140.2946</v>
      </c>
      <c r="M4840">
        <v>-0.99237379999999997</v>
      </c>
      <c r="N4840">
        <v>0</v>
      </c>
      <c r="O4840">
        <v>-0.1223736</v>
      </c>
      <c r="P4840">
        <v>-0.90767379999999998</v>
      </c>
      <c r="Q4840">
        <v>0.14419789999999999</v>
      </c>
      <c r="R4840">
        <v>-0.39412609999999998</v>
      </c>
      <c r="S4840">
        <v>-2.6033629999999999</v>
      </c>
      <c r="T4840">
        <v>-0.38354899999999997</v>
      </c>
      <c r="U4840">
        <v>-1.7795259999999999</v>
      </c>
      <c r="V4840">
        <v>-0.28228730000000002</v>
      </c>
      <c r="W4840">
        <v>0.15423970000000001</v>
      </c>
      <c r="X4840">
        <v>0.94684950000000001</v>
      </c>
      <c r="Y4840">
        <v>-0.45661429999999997</v>
      </c>
      <c r="Z4840">
        <v>-1.42381E-2</v>
      </c>
      <c r="AA4840">
        <v>0.88955079999999997</v>
      </c>
      <c r="AB4840">
        <v>33</v>
      </c>
      <c r="AC4840">
        <v>-0.49599999999998001</v>
      </c>
      <c r="AD4840">
        <v>-0.1190021</v>
      </c>
      <c r="AE4840">
        <v>-0.50820000000001597</v>
      </c>
      <c r="AF4840">
        <v>-0.43155647666007502</v>
      </c>
      <c r="AG4840">
        <v>-0.1190021</v>
      </c>
      <c r="AH4840">
        <v>0.53932287225849496</v>
      </c>
      <c r="AI4840">
        <v>99.775192677479893</v>
      </c>
      <c r="AJ4840">
        <v>128.666167554411</v>
      </c>
      <c r="AK4840">
        <v>0.70090773493579095</v>
      </c>
      <c r="AL4840">
        <v>81.127295893363893</v>
      </c>
      <c r="AM4840">
        <v>106.60106725675099</v>
      </c>
      <c r="AN4840">
        <v>0.99999999022381503</v>
      </c>
    </row>
    <row r="4841" spans="1:40" x14ac:dyDescent="0.25">
      <c r="A4841" t="str">
        <f>"20190312164125332"</f>
        <v>20190312164125332</v>
      </c>
      <c r="B4841" t="str">
        <f>"1552380085320997"</f>
        <v>1552380085320997</v>
      </c>
      <c r="C4841" t="s">
        <v>40</v>
      </c>
      <c r="D4841">
        <v>4.7747760000000001</v>
      </c>
      <c r="E4841">
        <v>0.4198518</v>
      </c>
      <c r="F4841" t="s">
        <v>42</v>
      </c>
      <c r="G4841">
        <v>-398.47899999999998</v>
      </c>
      <c r="H4841">
        <v>0.99834809999999996</v>
      </c>
      <c r="I4841">
        <v>139.74780000000001</v>
      </c>
      <c r="J4841">
        <v>-398.017</v>
      </c>
      <c r="K4841">
        <v>1.1164289999999999</v>
      </c>
      <c r="L4841">
        <v>140.24809999999999</v>
      </c>
      <c r="M4841">
        <v>-0.99146509999999999</v>
      </c>
      <c r="N4841">
        <v>0</v>
      </c>
      <c r="O4841">
        <v>-0.1295279</v>
      </c>
      <c r="P4841">
        <v>-0.90289739999999996</v>
      </c>
      <c r="Q4841">
        <v>0.14214969999999999</v>
      </c>
      <c r="R4841">
        <v>-0.40567239999999999</v>
      </c>
      <c r="S4841">
        <v>-2.582306</v>
      </c>
      <c r="T4841">
        <v>-0.38942909999999997</v>
      </c>
      <c r="U4841">
        <v>-1.807266</v>
      </c>
      <c r="V4841">
        <v>-0.28756199999999998</v>
      </c>
      <c r="W4841">
        <v>0.15195439999999999</v>
      </c>
      <c r="X4841">
        <v>0.945631</v>
      </c>
      <c r="Y4841">
        <v>-0.4599628</v>
      </c>
      <c r="Z4841">
        <v>-1.37972999999999E-2</v>
      </c>
      <c r="AA4841">
        <v>0.88783099999999904</v>
      </c>
      <c r="AB4841">
        <v>33</v>
      </c>
      <c r="AC4841">
        <v>-0.46200000000004499</v>
      </c>
      <c r="AD4841">
        <v>-0.1180809</v>
      </c>
      <c r="AE4841">
        <v>-0.50029999999998098</v>
      </c>
      <c r="AF4841">
        <v>-0.42350278538466402</v>
      </c>
      <c r="AG4841">
        <v>-0.1180809</v>
      </c>
      <c r="AH4841">
        <v>0.50765376890804503</v>
      </c>
      <c r="AI4841">
        <v>100.126810960604</v>
      </c>
      <c r="AJ4841">
        <v>129.83606264758001</v>
      </c>
      <c r="AK4841">
        <v>0.67157282349714098</v>
      </c>
      <c r="AL4841">
        <v>81.259796219250703</v>
      </c>
      <c r="AM4841">
        <v>106.914273218953</v>
      </c>
      <c r="AN4841">
        <v>1.00000001584217</v>
      </c>
    </row>
    <row r="4842" spans="1:40" x14ac:dyDescent="0.25">
      <c r="A4842" t="str">
        <f>"20190312164125355"</f>
        <v>20190312164125355</v>
      </c>
      <c r="B4842" t="str">
        <f>"1552380085351253"</f>
        <v>1552380085351253</v>
      </c>
      <c r="C4842" t="s">
        <v>40</v>
      </c>
      <c r="D4842">
        <v>4.8003859999999996</v>
      </c>
      <c r="E4842">
        <v>0.42068949999999999</v>
      </c>
      <c r="F4842" t="s">
        <v>42</v>
      </c>
      <c r="G4842">
        <v>-398.7654</v>
      </c>
      <c r="H4842">
        <v>1.0011890000000001</v>
      </c>
      <c r="I4842">
        <v>139.71180000000001</v>
      </c>
      <c r="J4842">
        <v>-398.34179999999998</v>
      </c>
      <c r="K4842">
        <v>1.1166849999999999</v>
      </c>
      <c r="L4842">
        <v>140.19810000000001</v>
      </c>
      <c r="M4842">
        <v>-0.99044069999999995</v>
      </c>
      <c r="N4842">
        <v>0</v>
      </c>
      <c r="O4842">
        <v>-0.13713880000000001</v>
      </c>
      <c r="P4842">
        <v>-0.897887199999999</v>
      </c>
      <c r="Q4842">
        <v>0.1400989</v>
      </c>
      <c r="R4842">
        <v>-0.4173384</v>
      </c>
      <c r="S4842">
        <v>-2.5600890000000001</v>
      </c>
      <c r="T4842">
        <v>-0.39420519999999998</v>
      </c>
      <c r="U4842">
        <v>-1.8353269999999999</v>
      </c>
      <c r="V4842">
        <v>-0.29258230000000002</v>
      </c>
      <c r="W4842">
        <v>0.14965110000000001</v>
      </c>
      <c r="X4842">
        <v>0.94445760000000001</v>
      </c>
      <c r="Y4842">
        <v>-0.46318049999999999</v>
      </c>
      <c r="Z4842">
        <v>-1.323069E-2</v>
      </c>
      <c r="AA4842">
        <v>0.88616519999999999</v>
      </c>
      <c r="AB4842">
        <v>33</v>
      </c>
      <c r="AC4842">
        <v>-0.42360000000002102</v>
      </c>
      <c r="AD4842">
        <v>-0.115496</v>
      </c>
      <c r="AE4842">
        <v>-0.48630000000000001</v>
      </c>
      <c r="AF4842">
        <v>-0.41044244821398601</v>
      </c>
      <c r="AG4842">
        <v>-0.115496</v>
      </c>
      <c r="AH4842">
        <v>0.471183263066486</v>
      </c>
      <c r="AI4842">
        <v>100.471727614125</v>
      </c>
      <c r="AJ4842">
        <v>131.058756644601</v>
      </c>
      <c r="AK4842">
        <v>0.63546518134817798</v>
      </c>
      <c r="AL4842">
        <v>81.393292211640301</v>
      </c>
      <c r="AM4842">
        <v>107.21239080947301</v>
      </c>
      <c r="AN4842">
        <v>1.00000000610113</v>
      </c>
    </row>
    <row r="4843" spans="1:40" x14ac:dyDescent="0.25">
      <c r="A4843" t="str">
        <f>"20190312164125379"</f>
        <v>20190312164125379</v>
      </c>
      <c r="B4843" t="str">
        <f>"1552380085370773"</f>
        <v>1552380085370773</v>
      </c>
      <c r="C4843" t="s">
        <v>40</v>
      </c>
      <c r="D4843">
        <v>5.4708230000000002</v>
      </c>
      <c r="E4843">
        <v>0.43885730000000001</v>
      </c>
      <c r="F4843" t="s">
        <v>42</v>
      </c>
      <c r="G4843">
        <v>-399.06599999999997</v>
      </c>
      <c r="H4843">
        <v>1.0027729999999999</v>
      </c>
      <c r="I4843">
        <v>139.66730000000001</v>
      </c>
      <c r="J4843">
        <v>-398.67329999999998</v>
      </c>
      <c r="K4843">
        <v>1.116959</v>
      </c>
      <c r="L4843">
        <v>140.14420000000001</v>
      </c>
      <c r="M4843">
        <v>-0.98927920000000003</v>
      </c>
      <c r="N4843">
        <v>0</v>
      </c>
      <c r="O4843">
        <v>-0.14527760000000001</v>
      </c>
      <c r="P4843">
        <v>-0.89279869999999995</v>
      </c>
      <c r="Q4843">
        <v>0.138728399999999</v>
      </c>
      <c r="R4843">
        <v>-0.4285621</v>
      </c>
      <c r="S4843">
        <v>-2.5387879999999998</v>
      </c>
      <c r="T4843">
        <v>-0.3994007</v>
      </c>
      <c r="U4843">
        <v>-1.8605039999999999</v>
      </c>
      <c r="V4843">
        <v>-0.296714799999999</v>
      </c>
      <c r="W4843">
        <v>0.1480272</v>
      </c>
      <c r="X4843">
        <v>0.94342369999999998</v>
      </c>
      <c r="Y4843">
        <v>-0.46512819999999999</v>
      </c>
      <c r="Z4843">
        <v>-1.2494669999999999E-2</v>
      </c>
      <c r="AA4843">
        <v>0.88515509999999997</v>
      </c>
      <c r="AB4843">
        <v>33</v>
      </c>
      <c r="AC4843">
        <v>-0.39269999999999</v>
      </c>
      <c r="AD4843">
        <v>-0.114186</v>
      </c>
      <c r="AE4843">
        <v>-0.47689999999999999</v>
      </c>
      <c r="AF4843">
        <v>-0.40108023446496399</v>
      </c>
      <c r="AG4843">
        <v>-0.114186</v>
      </c>
      <c r="AH4843">
        <v>0.44269922902203801</v>
      </c>
      <c r="AI4843">
        <v>100.82147376563</v>
      </c>
      <c r="AJ4843">
        <v>132.17620322952601</v>
      </c>
      <c r="AK4843">
        <v>0.60818287089589895</v>
      </c>
      <c r="AL4843">
        <v>81.487382832096699</v>
      </c>
      <c r="AM4843">
        <v>107.45880637630999</v>
      </c>
      <c r="AN4843">
        <v>1.0000000011002801</v>
      </c>
    </row>
    <row r="4844" spans="1:40" x14ac:dyDescent="0.25">
      <c r="A4844" t="str">
        <f>"20190312164125400"</f>
        <v>20190312164125400</v>
      </c>
      <c r="B4844" t="str">
        <f>"1552380085391270"</f>
        <v>1552380085391270</v>
      </c>
      <c r="C4844" t="s">
        <v>40</v>
      </c>
      <c r="D4844">
        <v>4.8158240000000001</v>
      </c>
      <c r="E4844">
        <v>0.43851620000000002</v>
      </c>
      <c r="F4844" t="s">
        <v>42</v>
      </c>
      <c r="G4844">
        <v>-399.59070000000003</v>
      </c>
      <c r="H4844">
        <v>1.0112650000000001</v>
      </c>
      <c r="I4844">
        <v>139.51509999999999</v>
      </c>
      <c r="J4844">
        <v>-398.9785</v>
      </c>
      <c r="K4844">
        <v>1.117229</v>
      </c>
      <c r="L4844">
        <v>140.09139999999999</v>
      </c>
      <c r="M4844">
        <v>-0.98808910000000005</v>
      </c>
      <c r="N4844">
        <v>0</v>
      </c>
      <c r="O4844">
        <v>-0.15315999999999999</v>
      </c>
      <c r="P4844">
        <v>-0.88773599999999997</v>
      </c>
      <c r="Q4844">
        <v>0.13762439999999901</v>
      </c>
      <c r="R4844">
        <v>-0.43930029999999998</v>
      </c>
      <c r="S4844">
        <v>-2.5624690000000001</v>
      </c>
      <c r="T4844">
        <v>-0.29522779999999998</v>
      </c>
      <c r="U4844">
        <v>-1.757431</v>
      </c>
      <c r="V4844">
        <v>-0.3006336</v>
      </c>
      <c r="W4844">
        <v>0.14667649999999999</v>
      </c>
      <c r="X4844">
        <v>0.9423935</v>
      </c>
      <c r="Y4844">
        <v>-0.43137310000000001</v>
      </c>
      <c r="Z4844">
        <v>-6.725244E-3</v>
      </c>
      <c r="AA4844">
        <v>0.90214850000000002</v>
      </c>
      <c r="AB4844">
        <v>33</v>
      </c>
      <c r="AC4844">
        <v>-0.61220000000002905</v>
      </c>
      <c r="AD4844">
        <v>-0.105964</v>
      </c>
      <c r="AE4844">
        <v>-0.57630000000000303</v>
      </c>
      <c r="AF4844">
        <v>-0.46828586962736701</v>
      </c>
      <c r="AG4844">
        <v>-0.105964</v>
      </c>
      <c r="AH4844">
        <v>0.68241195035522295</v>
      </c>
      <c r="AI4844">
        <v>97.296026629250704</v>
      </c>
      <c r="AJ4844">
        <v>124.45875814167501</v>
      </c>
      <c r="AK4844">
        <v>0.83438965416421496</v>
      </c>
      <c r="AL4844">
        <v>81.565626613945199</v>
      </c>
      <c r="AM4844">
        <v>107.69323875428999</v>
      </c>
      <c r="AN4844">
        <v>1.00000003297172</v>
      </c>
    </row>
    <row r="4845" spans="1:40" x14ac:dyDescent="0.25">
      <c r="A4845" t="str">
        <f>"20190312164125422"</f>
        <v>20190312164125422</v>
      </c>
      <c r="B4845" t="str">
        <f>"1552380085410789"</f>
        <v>1552380085410789</v>
      </c>
      <c r="C4845" t="s">
        <v>40</v>
      </c>
      <c r="D4845">
        <v>4.7605490000000001</v>
      </c>
      <c r="E4845">
        <v>0.4381237</v>
      </c>
      <c r="F4845" t="s">
        <v>42</v>
      </c>
      <c r="G4845">
        <v>-399.87009999999998</v>
      </c>
      <c r="H4845">
        <v>1.008623</v>
      </c>
      <c r="I4845">
        <v>139.46279999999999</v>
      </c>
      <c r="J4845">
        <v>-399.29660000000001</v>
      </c>
      <c r="K4845">
        <v>1.1174980000000001</v>
      </c>
      <c r="L4845">
        <v>140.0334</v>
      </c>
      <c r="M4845">
        <v>-0.98672599999999999</v>
      </c>
      <c r="N4845">
        <v>0</v>
      </c>
      <c r="O4845">
        <v>-0.16170570000000001</v>
      </c>
      <c r="P4845">
        <v>-0.88222649999999903</v>
      </c>
      <c r="Q4845">
        <v>0.13647010000000001</v>
      </c>
      <c r="R4845">
        <v>-0.45061400000000001</v>
      </c>
      <c r="S4845">
        <v>-2.540527</v>
      </c>
      <c r="T4845">
        <v>-0.30945689999999998</v>
      </c>
      <c r="U4845">
        <v>-1.7921910000000001</v>
      </c>
      <c r="V4845">
        <v>-0.30458000000000002</v>
      </c>
      <c r="W4845">
        <v>0.14527499999999999</v>
      </c>
      <c r="X4845">
        <v>0.94134280000000004</v>
      </c>
      <c r="Y4845">
        <v>-0.43538209999999999</v>
      </c>
      <c r="Z4845">
        <v>-6.39363E-3</v>
      </c>
      <c r="AA4845">
        <v>0.90022309999999905</v>
      </c>
      <c r="AB4845">
        <v>32</v>
      </c>
      <c r="AC4845">
        <v>-0.57349999999996704</v>
      </c>
      <c r="AD4845">
        <v>-0.108874999999999</v>
      </c>
      <c r="AE4845">
        <v>-0.57060000000001299</v>
      </c>
      <c r="AF4845">
        <v>-0.46197305129946498</v>
      </c>
      <c r="AG4845">
        <v>-0.108874999999999</v>
      </c>
      <c r="AH4845">
        <v>0.64652056418033699</v>
      </c>
      <c r="AI4845">
        <v>97.801891211475194</v>
      </c>
      <c r="AJ4845">
        <v>125.54780785472801</v>
      </c>
      <c r="AK4845">
        <v>0.80203597529038595</v>
      </c>
      <c r="AL4845">
        <v>81.646796140963204</v>
      </c>
      <c r="AM4845">
        <v>107.929457976164</v>
      </c>
      <c r="AN4845">
        <v>1.0000000345684099</v>
      </c>
    </row>
    <row r="4846" spans="1:40" x14ac:dyDescent="0.25">
      <c r="A4846" t="str">
        <f>"20190312164125443"</f>
        <v>20190312164125443</v>
      </c>
      <c r="B4846" t="str">
        <f>"1552380085441045"</f>
        <v>1552380085441045</v>
      </c>
      <c r="C4846" t="s">
        <v>40</v>
      </c>
      <c r="D4846">
        <v>4.7767949999999999</v>
      </c>
      <c r="E4846">
        <v>0.4391196</v>
      </c>
      <c r="F4846" t="s">
        <v>42</v>
      </c>
      <c r="G4846">
        <v>-400.15039999999999</v>
      </c>
      <c r="H4846">
        <v>1.0058199999999999</v>
      </c>
      <c r="I4846">
        <v>139.41290000000001</v>
      </c>
      <c r="J4846">
        <v>-399.60050000000001</v>
      </c>
      <c r="K4846">
        <v>1.1177459999999999</v>
      </c>
      <c r="L4846">
        <v>139.9751</v>
      </c>
      <c r="M4846">
        <v>-0.98529920000000004</v>
      </c>
      <c r="N4846">
        <v>0</v>
      </c>
      <c r="O4846">
        <v>-0.17017959999999999</v>
      </c>
      <c r="P4846">
        <v>-0.87673769999999995</v>
      </c>
      <c r="Q4846">
        <v>0.13546939999999999</v>
      </c>
      <c r="R4846">
        <v>-0.46149679999999998</v>
      </c>
      <c r="S4846">
        <v>-2.5171809999999999</v>
      </c>
      <c r="T4846">
        <v>-0.32926620000000001</v>
      </c>
      <c r="U4846">
        <v>-1.829132</v>
      </c>
      <c r="V4846">
        <v>-0.30818800000000002</v>
      </c>
      <c r="W4846">
        <v>0.14404400000000001</v>
      </c>
      <c r="X4846">
        <v>0.94035709999999995</v>
      </c>
      <c r="Y4846">
        <v>-0.4401137</v>
      </c>
      <c r="Z4846">
        <v>-6.1545649999999999E-3</v>
      </c>
      <c r="AA4846">
        <v>0.89792099999999897</v>
      </c>
      <c r="AB4846">
        <v>32</v>
      </c>
      <c r="AC4846">
        <v>-0.54989999999997896</v>
      </c>
      <c r="AD4846">
        <v>-0.111925999999999</v>
      </c>
      <c r="AE4846">
        <v>-0.56219999999999004</v>
      </c>
      <c r="AF4846">
        <v>-0.45126434890643402</v>
      </c>
      <c r="AG4846">
        <v>-0.111925999999999</v>
      </c>
      <c r="AH4846">
        <v>0.62490454392174399</v>
      </c>
      <c r="AI4846">
        <v>98.261949104570903</v>
      </c>
      <c r="AJ4846">
        <v>125.834302558424</v>
      </c>
      <c r="AK4846">
        <v>0.77889192516291395</v>
      </c>
      <c r="AL4846">
        <v>81.718076697805202</v>
      </c>
      <c r="AM4846">
        <v>108.14578445334401</v>
      </c>
      <c r="AN4846">
        <v>0.99999999640020398</v>
      </c>
    </row>
    <row r="4847" spans="1:40" x14ac:dyDescent="0.25">
      <c r="A4847" t="str">
        <f>"20190312164125467"</f>
        <v>20190312164125467</v>
      </c>
      <c r="B4847" t="str">
        <f>"1552380085461543"</f>
        <v>1552380085461543</v>
      </c>
      <c r="C4847" t="s">
        <v>40</v>
      </c>
      <c r="D4847">
        <v>4.8831759999999997</v>
      </c>
      <c r="E4847">
        <v>0.44003219999999998</v>
      </c>
      <c r="F4847" t="s">
        <v>42</v>
      </c>
      <c r="G4847">
        <v>-400.42950000000002</v>
      </c>
      <c r="H4847">
        <v>1.0040279999999999</v>
      </c>
      <c r="I4847">
        <v>139.36000000000001</v>
      </c>
      <c r="J4847">
        <v>-399.92360000000002</v>
      </c>
      <c r="K4847">
        <v>1.1180049999999999</v>
      </c>
      <c r="L4847">
        <v>139.90969999999999</v>
      </c>
      <c r="M4847">
        <v>-0.98363509999999998</v>
      </c>
      <c r="N4847">
        <v>0</v>
      </c>
      <c r="O4847">
        <v>-0.17954519999999999</v>
      </c>
      <c r="P4847">
        <v>-0.87074689999999999</v>
      </c>
      <c r="Q4847">
        <v>0.13398080000000001</v>
      </c>
      <c r="R4847">
        <v>-0.47312680000000001</v>
      </c>
      <c r="S4847">
        <v>-2.4985659999999998</v>
      </c>
      <c r="T4847">
        <v>-0.34272550000000002</v>
      </c>
      <c r="U4847">
        <v>-1.854492</v>
      </c>
      <c r="V4847">
        <v>-0.3117895</v>
      </c>
      <c r="W4847">
        <v>0.14231389999999999</v>
      </c>
      <c r="X4847">
        <v>0.93943290000000002</v>
      </c>
      <c r="Y4847">
        <v>-0.44058120000000001</v>
      </c>
      <c r="Z4847">
        <v>-5.3630689999999998E-3</v>
      </c>
      <c r="AA4847">
        <v>0.89769669999999901</v>
      </c>
      <c r="AB4847">
        <v>32</v>
      </c>
      <c r="AC4847">
        <v>-0.50589999999999602</v>
      </c>
      <c r="AD4847">
        <v>-0.113976999999999</v>
      </c>
      <c r="AE4847">
        <v>-0.54969999999997299</v>
      </c>
      <c r="AF4847">
        <v>-0.43968859841148999</v>
      </c>
      <c r="AG4847">
        <v>-0.113976999999999</v>
      </c>
      <c r="AH4847">
        <v>0.58281824504909396</v>
      </c>
      <c r="AI4847">
        <v>98.873263065299</v>
      </c>
      <c r="AJ4847">
        <v>127.03156083183001</v>
      </c>
      <c r="AK4847">
        <v>0.73891401858685002</v>
      </c>
      <c r="AL4847">
        <v>81.818236591601902</v>
      </c>
      <c r="AM4847">
        <v>108.360550652489</v>
      </c>
      <c r="AN4847">
        <v>1.0000000560229301</v>
      </c>
    </row>
    <row r="4848" spans="1:40" x14ac:dyDescent="0.25">
      <c r="A4848" t="str">
        <f>"20190312164125488"</f>
        <v>20190312164125488</v>
      </c>
      <c r="B4848" t="str">
        <f>"1552380085481066"</f>
        <v>1552380085481066</v>
      </c>
      <c r="C4848" t="s">
        <v>40</v>
      </c>
      <c r="D4848">
        <v>4.8307320000000002</v>
      </c>
      <c r="E4848">
        <v>0.44789630000000002</v>
      </c>
      <c r="F4848" t="s">
        <v>42</v>
      </c>
      <c r="G4848">
        <v>-400.7106</v>
      </c>
      <c r="H4848">
        <v>1.007558</v>
      </c>
      <c r="I4848">
        <v>139.31190000000001</v>
      </c>
      <c r="J4848">
        <v>-400.22570000000002</v>
      </c>
      <c r="K4848">
        <v>1.1182460000000001</v>
      </c>
      <c r="L4848">
        <v>139.84549999999999</v>
      </c>
      <c r="M4848">
        <v>-0.9819329</v>
      </c>
      <c r="N4848">
        <v>0</v>
      </c>
      <c r="O4848">
        <v>-0.18863009999999999</v>
      </c>
      <c r="P4848">
        <v>-0.86461440000000001</v>
      </c>
      <c r="Q4848">
        <v>0.13329279999999999</v>
      </c>
      <c r="R4848">
        <v>-0.4844328</v>
      </c>
      <c r="S4848">
        <v>-2.4764400000000002</v>
      </c>
      <c r="T4848">
        <v>-0.34754159999999901</v>
      </c>
      <c r="U4848">
        <v>-1.8814390000000001</v>
      </c>
      <c r="V4848">
        <v>-0.31540509999999999</v>
      </c>
      <c r="W4848">
        <v>0.1413874</v>
      </c>
      <c r="X4848">
        <v>0.93836520000000001</v>
      </c>
      <c r="Y4848">
        <v>-0.4423338</v>
      </c>
      <c r="Z4848">
        <v>-4.4967330000000002E-3</v>
      </c>
      <c r="AA4848">
        <v>0.89683919999999995</v>
      </c>
      <c r="AB4848">
        <v>32</v>
      </c>
      <c r="AC4848">
        <v>-0.48489999999998101</v>
      </c>
      <c r="AD4848">
        <v>-0.110687999999999</v>
      </c>
      <c r="AE4848">
        <v>-0.53359999999997798</v>
      </c>
      <c r="AF4848">
        <v>-0.42258234639935699</v>
      </c>
      <c r="AG4848">
        <v>-0.110687999999999</v>
      </c>
      <c r="AH4848">
        <v>0.56357543045196601</v>
      </c>
      <c r="AI4848">
        <v>98.930196242466707</v>
      </c>
      <c r="AJ4848">
        <v>126.863440885511</v>
      </c>
      <c r="AK4848">
        <v>0.71305325091574001</v>
      </c>
      <c r="AL4848">
        <v>81.871863034677304</v>
      </c>
      <c r="AM4848">
        <v>108.578624451553</v>
      </c>
      <c r="AN4848">
        <v>1.0000000112778999</v>
      </c>
    </row>
    <row r="4849" spans="1:40" x14ac:dyDescent="0.25">
      <c r="A4849" t="str">
        <f>"20190312164125511"</f>
        <v>20190312164125511</v>
      </c>
      <c r="B4849" t="str">
        <f>"1552380085500581"</f>
        <v>1552380085500581</v>
      </c>
      <c r="C4849" t="s">
        <v>40</v>
      </c>
      <c r="D4849">
        <v>4.9673959999999999</v>
      </c>
      <c r="E4849">
        <v>0.44747730000000002</v>
      </c>
      <c r="F4849" t="s">
        <v>42</v>
      </c>
      <c r="G4849">
        <v>-401.017</v>
      </c>
      <c r="H4849">
        <v>1.0299659999999999</v>
      </c>
      <c r="I4849">
        <v>139.25219999999999</v>
      </c>
      <c r="J4849">
        <v>-400.53919999999999</v>
      </c>
      <c r="K4849">
        <v>1.1185080000000001</v>
      </c>
      <c r="L4849">
        <v>139.77539999999999</v>
      </c>
      <c r="M4849">
        <v>-0.98000779999999998</v>
      </c>
      <c r="N4849">
        <v>0</v>
      </c>
      <c r="O4849">
        <v>-0.1983866</v>
      </c>
      <c r="P4849">
        <v>-0.85803349999999901</v>
      </c>
      <c r="Q4849">
        <v>0.1327007</v>
      </c>
      <c r="R4849">
        <v>-0.49615490000000001</v>
      </c>
      <c r="S4849">
        <v>-2.472931</v>
      </c>
      <c r="T4849">
        <v>-0.27591130000000003</v>
      </c>
      <c r="U4849">
        <v>-1.855057</v>
      </c>
      <c r="V4849">
        <v>-0.3189091</v>
      </c>
      <c r="W4849">
        <v>0.14054900000000001</v>
      </c>
      <c r="X4849">
        <v>0.93730619999999998</v>
      </c>
      <c r="Y4849">
        <v>-0.4285369</v>
      </c>
      <c r="Z4849">
        <v>-1.981568E-3</v>
      </c>
      <c r="AA4849">
        <v>0.90352209999999999</v>
      </c>
      <c r="AB4849">
        <v>32</v>
      </c>
      <c r="AC4849">
        <v>-0.477800000000002</v>
      </c>
      <c r="AD4849">
        <v>-8.8542000000000107E-2</v>
      </c>
      <c r="AE4849">
        <v>-0.523200000000002</v>
      </c>
      <c r="AF4849">
        <v>-0.41157143339666702</v>
      </c>
      <c r="AG4849">
        <v>-8.8542000000000107E-2</v>
      </c>
      <c r="AH4849">
        <v>0.56331202300460004</v>
      </c>
      <c r="AI4849">
        <v>97.233033693437093</v>
      </c>
      <c r="AJ4849">
        <v>126.15290326281</v>
      </c>
      <c r="AK4849">
        <v>0.703243319067961</v>
      </c>
      <c r="AL4849">
        <v>81.9203840418445</v>
      </c>
      <c r="AM4849">
        <v>108.790360521618</v>
      </c>
      <c r="AN4849">
        <v>0.99999997401112395</v>
      </c>
    </row>
    <row r="4850" spans="1:40" x14ac:dyDescent="0.25">
      <c r="A4850" t="str">
        <f>"20190312164125533"</f>
        <v>20190312164125533</v>
      </c>
      <c r="B4850" t="str">
        <f>"1552380085530837"</f>
        <v>1552380085530837</v>
      </c>
      <c r="C4850" t="s">
        <v>40</v>
      </c>
      <c r="D4850">
        <v>5.3702730000000001</v>
      </c>
      <c r="E4850">
        <v>0.4488201</v>
      </c>
      <c r="F4850" t="s">
        <v>42</v>
      </c>
      <c r="G4850">
        <v>-401.32600000000002</v>
      </c>
      <c r="H4850">
        <v>1.021115</v>
      </c>
      <c r="I4850">
        <v>139.16679999999999</v>
      </c>
      <c r="J4850">
        <v>-400.84199999999998</v>
      </c>
      <c r="K4850">
        <v>1.1187480000000001</v>
      </c>
      <c r="L4850">
        <v>139.70439999999999</v>
      </c>
      <c r="M4850">
        <v>-0.97798700000000005</v>
      </c>
      <c r="N4850">
        <v>0</v>
      </c>
      <c r="O4850">
        <v>-0.2081162</v>
      </c>
      <c r="P4850">
        <v>-0.85109040000000002</v>
      </c>
      <c r="Q4850">
        <v>0.13232089999999999</v>
      </c>
      <c r="R4850">
        <v>-0.508071099999999</v>
      </c>
      <c r="S4850">
        <v>-2.4483950000000001</v>
      </c>
      <c r="T4850">
        <v>-0.30310540000000002</v>
      </c>
      <c r="U4850">
        <v>-1.8933869999999999</v>
      </c>
      <c r="V4850">
        <v>-0.32273499999999999</v>
      </c>
      <c r="W4850">
        <v>0.13991819999999999</v>
      </c>
      <c r="X4850">
        <v>0.93609030000000004</v>
      </c>
      <c r="Y4850">
        <v>-0.43264580000000002</v>
      </c>
      <c r="Z4850">
        <v>-1.40686E-3</v>
      </c>
      <c r="AA4850">
        <v>0.90156289999999994</v>
      </c>
      <c r="AB4850">
        <v>32</v>
      </c>
      <c r="AC4850">
        <v>-0.48399999999998</v>
      </c>
      <c r="AD4850">
        <v>-9.7632999999999803E-2</v>
      </c>
      <c r="AE4850">
        <v>-0.53759999999999697</v>
      </c>
      <c r="AF4850">
        <v>-0.417481168668002</v>
      </c>
      <c r="AG4850">
        <v>-9.7632999999999803E-2</v>
      </c>
      <c r="AH4850">
        <v>0.57482466097408302</v>
      </c>
      <c r="AI4850">
        <v>97.825005796571403</v>
      </c>
      <c r="AJ4850">
        <v>125.989991589862</v>
      </c>
      <c r="AK4850">
        <v>0.71710955909496199</v>
      </c>
      <c r="AL4850">
        <v>81.956887269057205</v>
      </c>
      <c r="AM4850">
        <v>109.022610521945</v>
      </c>
      <c r="AN4850">
        <v>1.0000000163351599</v>
      </c>
    </row>
    <row r="4851" spans="1:40" x14ac:dyDescent="0.25">
      <c r="A4851" t="str">
        <f>"20190312164125556"</f>
        <v>20190312164125556</v>
      </c>
      <c r="B4851" t="str">
        <f>"1552380085551336"</f>
        <v>1552380085551336</v>
      </c>
      <c r="C4851" t="s">
        <v>40</v>
      </c>
      <c r="D4851">
        <v>5.0521349999999998</v>
      </c>
      <c r="E4851">
        <v>0.44956020000000002</v>
      </c>
      <c r="F4851" t="s">
        <v>50</v>
      </c>
      <c r="G4851">
        <v>-409.38780000000003</v>
      </c>
      <c r="H4851" s="1">
        <v>-7.4092829999999997E-6</v>
      </c>
      <c r="I4851">
        <v>132.95169999999999</v>
      </c>
      <c r="J4851">
        <v>-401.15339999999998</v>
      </c>
      <c r="K4851">
        <v>1.118986</v>
      </c>
      <c r="L4851">
        <v>139.62780000000001</v>
      </c>
      <c r="M4851">
        <v>-0.97573650000000001</v>
      </c>
      <c r="N4851">
        <v>0</v>
      </c>
      <c r="O4851">
        <v>-0.21842120000000001</v>
      </c>
      <c r="P4851">
        <v>-0.84388050000000003</v>
      </c>
      <c r="Q4851">
        <v>0.13097310000000001</v>
      </c>
      <c r="R4851">
        <v>-0.52029989999999904</v>
      </c>
      <c r="S4851">
        <v>-2.4286799999999999</v>
      </c>
      <c r="T4851">
        <v>-0.31794689999999998</v>
      </c>
      <c r="U4851">
        <v>-1.919098</v>
      </c>
      <c r="V4851">
        <v>-0.32638499999999998</v>
      </c>
      <c r="W4851">
        <v>0.138324</v>
      </c>
      <c r="X4851">
        <v>0.93506109999999998</v>
      </c>
      <c r="Y4851">
        <v>-0.4325213</v>
      </c>
      <c r="Z4851">
        <v>-3.595278E-4</v>
      </c>
      <c r="AA4851">
        <v>0.90162370000000003</v>
      </c>
      <c r="AB4851">
        <v>32</v>
      </c>
      <c r="AC4851">
        <v>-8.2344000000000506</v>
      </c>
      <c r="AD4851">
        <v>-1.1189934092829901</v>
      </c>
      <c r="AE4851">
        <v>-6.6761000000000204</v>
      </c>
      <c r="AF4851">
        <v>-4.6641204062312704</v>
      </c>
      <c r="AG4851">
        <v>-1.1189934092829901</v>
      </c>
      <c r="AH4851">
        <v>9.3892803635917303</v>
      </c>
      <c r="AI4851">
        <v>96.092356463985993</v>
      </c>
      <c r="AJ4851">
        <v>116.41586599046499</v>
      </c>
      <c r="AK4851">
        <v>10.5434695978112</v>
      </c>
      <c r="AL4851">
        <v>82.049124889776493</v>
      </c>
      <c r="AM4851">
        <v>109.24164603973099</v>
      </c>
      <c r="AN4851">
        <v>0.99999997896710402</v>
      </c>
    </row>
    <row r="4852" spans="1:40" x14ac:dyDescent="0.25">
      <c r="A4852" t="str">
        <f>"20190312164125579"</f>
        <v>20190312164125579</v>
      </c>
      <c r="B4852" t="str">
        <f>"1552380085570853"</f>
        <v>1552380085570853</v>
      </c>
      <c r="C4852" t="s">
        <v>40</v>
      </c>
      <c r="D4852">
        <v>4.9720500000000003</v>
      </c>
      <c r="E4852">
        <v>0.44961879999999999</v>
      </c>
      <c r="F4852" t="s">
        <v>50</v>
      </c>
      <c r="G4852">
        <v>-409.45159999999998</v>
      </c>
      <c r="H4852" s="1">
        <v>-7.4254190000000004E-6</v>
      </c>
      <c r="I4852">
        <v>132.89760000000001</v>
      </c>
      <c r="J4852">
        <v>-401.46519999999998</v>
      </c>
      <c r="K4852">
        <v>1.1191990000000001</v>
      </c>
      <c r="L4852">
        <v>139.5472</v>
      </c>
      <c r="M4852">
        <v>-0.9732999</v>
      </c>
      <c r="N4852">
        <v>0</v>
      </c>
      <c r="O4852">
        <v>-0.22903190000000001</v>
      </c>
      <c r="P4852">
        <v>-0.83621939999999995</v>
      </c>
      <c r="Q4852">
        <v>0.12903789999999901</v>
      </c>
      <c r="R4852">
        <v>-0.53299810000000003</v>
      </c>
      <c r="S4852">
        <v>-2.403473</v>
      </c>
      <c r="T4852">
        <v>-0.32409949999999998</v>
      </c>
      <c r="U4852">
        <v>-1.9492799999999999</v>
      </c>
      <c r="V4852">
        <v>-0.33031300000000002</v>
      </c>
      <c r="W4852">
        <v>0.13614379999999901</v>
      </c>
      <c r="X4852">
        <v>0.93400110000000003</v>
      </c>
      <c r="Y4852">
        <v>-0.4341605</v>
      </c>
      <c r="Z4852">
        <v>7.026065E-4</v>
      </c>
      <c r="AA4852">
        <v>0.90083530000000001</v>
      </c>
      <c r="AB4852">
        <v>32</v>
      </c>
      <c r="AC4852">
        <v>-7.9863999999999997</v>
      </c>
      <c r="AD4852">
        <v>-1.119206425419</v>
      </c>
      <c r="AE4852">
        <v>-6.6495999999999897</v>
      </c>
      <c r="AF4852">
        <v>-4.5902135378628497</v>
      </c>
      <c r="AG4852">
        <v>-1.119206425419</v>
      </c>
      <c r="AH4852">
        <v>9.19061366737761</v>
      </c>
      <c r="AI4852">
        <v>96.217561798262395</v>
      </c>
      <c r="AJ4852">
        <v>116.539643599283</v>
      </c>
      <c r="AK4852">
        <v>10.333927759030701</v>
      </c>
      <c r="AL4852">
        <v>82.175233982945798</v>
      </c>
      <c r="AM4852">
        <v>109.476332198305</v>
      </c>
      <c r="AN4852">
        <v>0.99999993352432204</v>
      </c>
    </row>
    <row r="4853" spans="1:40" x14ac:dyDescent="0.25">
      <c r="A4853" t="str">
        <f>"20190312164125601"</f>
        <v>20190312164125601</v>
      </c>
      <c r="B4853" t="str">
        <f>"1552380085591349"</f>
        <v>1552380085591349</v>
      </c>
      <c r="C4853" t="s">
        <v>40</v>
      </c>
      <c r="D4853">
        <v>5.0118619999999998</v>
      </c>
      <c r="E4853">
        <v>0.45017439999999997</v>
      </c>
      <c r="F4853" t="s">
        <v>42</v>
      </c>
      <c r="G4853">
        <v>-402.31420000000003</v>
      </c>
      <c r="H4853">
        <v>0.99912829999999997</v>
      </c>
      <c r="I4853">
        <v>138.83699999999999</v>
      </c>
      <c r="J4853">
        <v>-401.76499999999999</v>
      </c>
      <c r="K4853">
        <v>1.119386</v>
      </c>
      <c r="L4853">
        <v>139.4659</v>
      </c>
      <c r="M4853">
        <v>-0.97077849999999999</v>
      </c>
      <c r="N4853">
        <v>0</v>
      </c>
      <c r="O4853">
        <v>-0.23949239999999999</v>
      </c>
      <c r="P4853">
        <v>-0.82940879999999995</v>
      </c>
      <c r="Q4853">
        <v>0.12714520000000001</v>
      </c>
      <c r="R4853">
        <v>-0.54398169999999901</v>
      </c>
      <c r="S4853">
        <v>-2.3737180000000002</v>
      </c>
      <c r="T4853">
        <v>-0.33569460000000001</v>
      </c>
      <c r="U4853">
        <v>-1.9856720000000001</v>
      </c>
      <c r="V4853">
        <v>-0.332539799999999</v>
      </c>
      <c r="W4853">
        <v>0.13407149999999901</v>
      </c>
      <c r="X4853">
        <v>0.93351070000000003</v>
      </c>
      <c r="Y4853">
        <v>-0.43810179999999999</v>
      </c>
      <c r="Z4853">
        <v>1.6793719999999999E-3</v>
      </c>
      <c r="AA4853">
        <v>0.89892380000000005</v>
      </c>
      <c r="AB4853">
        <v>32</v>
      </c>
      <c r="AC4853">
        <v>-0.54920000000004099</v>
      </c>
      <c r="AD4853">
        <v>-0.120257699999999</v>
      </c>
      <c r="AE4853">
        <v>-0.62889999999998702</v>
      </c>
      <c r="AF4853">
        <v>-0.46931327366437497</v>
      </c>
      <c r="AG4853">
        <v>-0.120257699999999</v>
      </c>
      <c r="AH4853">
        <v>0.66994987460242605</v>
      </c>
      <c r="AI4853">
        <v>98.363612421010203</v>
      </c>
      <c r="AJ4853">
        <v>125.012010439897</v>
      </c>
      <c r="AK4853">
        <v>0.82677064396764199</v>
      </c>
      <c r="AL4853">
        <v>82.295067766025099</v>
      </c>
      <c r="AM4853">
        <v>109.607167510244</v>
      </c>
      <c r="AN4853">
        <v>1.0000000563553799</v>
      </c>
    </row>
    <row r="4854" spans="1:40" x14ac:dyDescent="0.25">
      <c r="A4854" t="str">
        <f>"20190312164125623"</f>
        <v>20190312164125623</v>
      </c>
      <c r="B4854" t="str">
        <f>"1552380085610869"</f>
        <v>1552380085610869</v>
      </c>
      <c r="C4854" t="s">
        <v>40</v>
      </c>
      <c r="D4854">
        <v>4.9707169999999996</v>
      </c>
      <c r="E4854">
        <v>0.45076260000000001</v>
      </c>
      <c r="F4854" t="s">
        <v>42</v>
      </c>
      <c r="G4854">
        <v>-402.584</v>
      </c>
      <c r="H4854">
        <v>0.99824080000000004</v>
      </c>
      <c r="I4854">
        <v>138.76400000000001</v>
      </c>
      <c r="J4854">
        <v>-402.06880000000001</v>
      </c>
      <c r="K4854">
        <v>1.119534</v>
      </c>
      <c r="L4854">
        <v>139.37970000000001</v>
      </c>
      <c r="M4854">
        <v>-0.96804939999999995</v>
      </c>
      <c r="N4854">
        <v>0</v>
      </c>
      <c r="O4854">
        <v>-0.25029259999999998</v>
      </c>
      <c r="P4854">
        <v>-0.82162610000000003</v>
      </c>
      <c r="Q4854">
        <v>0.12267160000000001</v>
      </c>
      <c r="R4854">
        <v>-0.55667080000000002</v>
      </c>
      <c r="S4854">
        <v>-2.3491520000000001</v>
      </c>
      <c r="T4854">
        <v>-0.3474759</v>
      </c>
      <c r="U4854">
        <v>-2.0143430000000002</v>
      </c>
      <c r="V4854">
        <v>-0.33628459999999899</v>
      </c>
      <c r="W4854">
        <v>0.12939819999999999</v>
      </c>
      <c r="X4854">
        <v>0.9328284</v>
      </c>
      <c r="Y4854">
        <v>-0.43903189999999997</v>
      </c>
      <c r="Z4854">
        <v>2.958652E-3</v>
      </c>
      <c r="AA4854">
        <v>0.898466599999999</v>
      </c>
      <c r="AB4854">
        <v>32</v>
      </c>
      <c r="AC4854">
        <v>-0.515199999999993</v>
      </c>
      <c r="AD4854">
        <v>-0.121293199999999</v>
      </c>
      <c r="AE4854">
        <v>-0.61570000000000302</v>
      </c>
      <c r="AF4854">
        <v>-0.45670692651286299</v>
      </c>
      <c r="AG4854">
        <v>-0.121293199999999</v>
      </c>
      <c r="AH4854">
        <v>0.63834934947415201</v>
      </c>
      <c r="AI4854">
        <v>98.784597724553507</v>
      </c>
      <c r="AJ4854">
        <v>125.581818560112</v>
      </c>
      <c r="AK4854">
        <v>0.79421857763788095</v>
      </c>
      <c r="AL4854">
        <v>82.565182196790602</v>
      </c>
      <c r="AM4854">
        <v>109.824231328021</v>
      </c>
      <c r="AN4854">
        <v>1.00000002510347</v>
      </c>
    </row>
    <row r="4855" spans="1:40" x14ac:dyDescent="0.25">
      <c r="A4855" t="str">
        <f>"20190312164125645"</f>
        <v>20190312164125645</v>
      </c>
      <c r="B4855" t="str">
        <f>"1552380085641125"</f>
        <v>1552380085641125</v>
      </c>
      <c r="C4855" t="s">
        <v>40</v>
      </c>
      <c r="D4855">
        <v>5.0895380000000001</v>
      </c>
      <c r="E4855">
        <v>0.45829009999999998</v>
      </c>
      <c r="F4855" t="s">
        <v>42</v>
      </c>
      <c r="G4855">
        <v>-402.8526</v>
      </c>
      <c r="H4855">
        <v>0.99661330000000004</v>
      </c>
      <c r="I4855">
        <v>138.68819999999999</v>
      </c>
      <c r="J4855">
        <v>-402.36720000000003</v>
      </c>
      <c r="K4855">
        <v>1.119642</v>
      </c>
      <c r="L4855">
        <v>139.29140000000001</v>
      </c>
      <c r="M4855">
        <v>-0.96519889999999997</v>
      </c>
      <c r="N4855">
        <v>0</v>
      </c>
      <c r="O4855">
        <v>-0.26106760000000001</v>
      </c>
      <c r="P4855">
        <v>-0.81386800000000004</v>
      </c>
      <c r="Q4855">
        <v>0.1181642</v>
      </c>
      <c r="R4855">
        <v>-0.56890819999999998</v>
      </c>
      <c r="S4855">
        <v>-2.3192140000000001</v>
      </c>
      <c r="T4855">
        <v>-0.36370560000000002</v>
      </c>
      <c r="U4855">
        <v>-2.0462799999999999</v>
      </c>
      <c r="V4855">
        <v>-0.33962249999999999</v>
      </c>
      <c r="W4855">
        <v>0.1247186</v>
      </c>
      <c r="X4855">
        <v>0.93225630000000004</v>
      </c>
      <c r="Y4855">
        <v>-0.44165949999999998</v>
      </c>
      <c r="Z4855">
        <v>4.2632859999999998E-3</v>
      </c>
      <c r="AA4855">
        <v>0.89717259999999999</v>
      </c>
      <c r="AB4855">
        <v>32</v>
      </c>
      <c r="AC4855">
        <v>-0.48539999999997002</v>
      </c>
      <c r="AD4855">
        <v>-0.1230287</v>
      </c>
      <c r="AE4855">
        <v>-0.60320000000001495</v>
      </c>
      <c r="AF4855">
        <v>-0.444320442747967</v>
      </c>
      <c r="AG4855">
        <v>-0.1230287</v>
      </c>
      <c r="AH4855">
        <v>0.61063879080696404</v>
      </c>
      <c r="AI4855">
        <v>99.2529152449235</v>
      </c>
      <c r="AJ4855">
        <v>126.040841909625</v>
      </c>
      <c r="AK4855">
        <v>0.76513818994063498</v>
      </c>
      <c r="AL4855">
        <v>82.835494347642097</v>
      </c>
      <c r="AM4855">
        <v>110.016765226883</v>
      </c>
      <c r="AN4855">
        <v>0.99999999029094999</v>
      </c>
    </row>
    <row r="4856" spans="1:40" x14ac:dyDescent="0.25">
      <c r="A4856" t="str">
        <f>"20190312164125668"</f>
        <v>20190312164125668</v>
      </c>
      <c r="B4856" t="str">
        <f>"1552380085660648"</f>
        <v>1552380085660648</v>
      </c>
      <c r="C4856" t="s">
        <v>40</v>
      </c>
      <c r="D4856">
        <v>5.0381390000000001</v>
      </c>
      <c r="E4856">
        <v>0.4588679</v>
      </c>
      <c r="F4856" t="s">
        <v>42</v>
      </c>
      <c r="G4856">
        <v>-403.12810000000002</v>
      </c>
      <c r="H4856">
        <v>0.98622330000000002</v>
      </c>
      <c r="I4856">
        <v>138.62540000000001</v>
      </c>
      <c r="J4856">
        <v>-402.6755</v>
      </c>
      <c r="K4856">
        <v>1.1197360000000001</v>
      </c>
      <c r="L4856">
        <v>139.1961</v>
      </c>
      <c r="M4856">
        <v>-0.96207480000000001</v>
      </c>
      <c r="N4856">
        <v>0</v>
      </c>
      <c r="O4856">
        <v>-0.27235310000000001</v>
      </c>
      <c r="P4856">
        <v>-0.80564049999999998</v>
      </c>
      <c r="Q4856">
        <v>0.1145785</v>
      </c>
      <c r="R4856">
        <v>-0.58121880000000004</v>
      </c>
      <c r="S4856">
        <v>-2.3233030000000001</v>
      </c>
      <c r="T4856">
        <v>-0.40737699999999999</v>
      </c>
      <c r="U4856">
        <v>-2.0341490000000002</v>
      </c>
      <c r="V4856">
        <v>-0.34269939999999999</v>
      </c>
      <c r="W4856">
        <v>0.12097769999999999</v>
      </c>
      <c r="X4856">
        <v>0.93162299999999998</v>
      </c>
      <c r="Y4856">
        <v>-0.42757270000000003</v>
      </c>
      <c r="Z4856">
        <v>7.3966919999999999E-3</v>
      </c>
      <c r="AA4856">
        <v>0.9039507</v>
      </c>
      <c r="AB4856">
        <v>32</v>
      </c>
      <c r="AC4856">
        <v>-0.45260000000001799</v>
      </c>
      <c r="AD4856">
        <v>-0.13351270000000001</v>
      </c>
      <c r="AE4856">
        <v>-0.570699999999987</v>
      </c>
      <c r="AF4856">
        <v>-0.41199673641943302</v>
      </c>
      <c r="AG4856">
        <v>-0.13351270000000001</v>
      </c>
      <c r="AH4856">
        <v>0.57172735719050705</v>
      </c>
      <c r="AI4856">
        <v>100.728000910056</v>
      </c>
      <c r="AJ4856">
        <v>125.777181211813</v>
      </c>
      <c r="AK4856">
        <v>0.71724411663086896</v>
      </c>
      <c r="AL4856">
        <v>83.051467869621504</v>
      </c>
      <c r="AM4856">
        <v>110.196147310116</v>
      </c>
      <c r="AN4856">
        <v>0.99999994839332296</v>
      </c>
    </row>
    <row r="4857" spans="1:40" x14ac:dyDescent="0.25">
      <c r="A4857" t="str">
        <f>"20190312164125689"</f>
        <v>20190312164125689</v>
      </c>
      <c r="B4857" t="str">
        <f>"1552380085681141"</f>
        <v>1552380085681141</v>
      </c>
      <c r="C4857" t="s">
        <v>40</v>
      </c>
      <c r="D4857">
        <v>5.1102749999999997</v>
      </c>
      <c r="E4857">
        <v>0.46082770000000001</v>
      </c>
      <c r="F4857" t="s">
        <v>42</v>
      </c>
      <c r="G4857">
        <v>-403.40190000000001</v>
      </c>
      <c r="H4857">
        <v>0.98929549999999999</v>
      </c>
      <c r="I4857">
        <v>138.54130000000001</v>
      </c>
      <c r="J4857">
        <v>-402.96230000000003</v>
      </c>
      <c r="K4857">
        <v>1.119815</v>
      </c>
      <c r="L4857">
        <v>139.10390000000001</v>
      </c>
      <c r="M4857">
        <v>-0.95900799999999997</v>
      </c>
      <c r="N4857">
        <v>0</v>
      </c>
      <c r="O4857">
        <v>-0.28296189999999999</v>
      </c>
      <c r="P4857">
        <v>-0.79747129999999999</v>
      </c>
      <c r="Q4857">
        <v>0.1109518</v>
      </c>
      <c r="R4857">
        <v>-0.5930687</v>
      </c>
      <c r="S4857">
        <v>-2.2916560000000001</v>
      </c>
      <c r="T4857">
        <v>-0.41153689999999998</v>
      </c>
      <c r="U4857">
        <v>-2.066208</v>
      </c>
      <c r="V4857">
        <v>-0.34598790000000001</v>
      </c>
      <c r="W4857">
        <v>0.1172049</v>
      </c>
      <c r="X4857">
        <v>0.93088959999999998</v>
      </c>
      <c r="Y4857">
        <v>-0.43078949999999999</v>
      </c>
      <c r="Z4857">
        <v>8.7390019999999992E-3</v>
      </c>
      <c r="AA4857">
        <v>0.90241009999999999</v>
      </c>
      <c r="AB4857">
        <v>32</v>
      </c>
      <c r="AC4857">
        <v>-0.439599999999984</v>
      </c>
      <c r="AD4857">
        <v>-0.13051949999999901</v>
      </c>
      <c r="AE4857">
        <v>-0.56260000000000299</v>
      </c>
      <c r="AF4857">
        <v>-0.40177056274199802</v>
      </c>
      <c r="AG4857">
        <v>-0.13051949999999901</v>
      </c>
      <c r="AH4857">
        <v>0.56206002330990301</v>
      </c>
      <c r="AI4857">
        <v>100.69793391738401</v>
      </c>
      <c r="AJ4857">
        <v>125.55786316728501</v>
      </c>
      <c r="AK4857">
        <v>0.70311193615910195</v>
      </c>
      <c r="AL4857">
        <v>83.269183506482406</v>
      </c>
      <c r="AM4857">
        <v>110.38881518237</v>
      </c>
      <c r="AN4857">
        <v>1.0000000314592801</v>
      </c>
    </row>
    <row r="4858" spans="1:40" x14ac:dyDescent="0.25">
      <c r="A4858" t="str">
        <f>"20190312164125712"</f>
        <v>20190312164125712</v>
      </c>
      <c r="B4858" t="str">
        <f>"1552380085700661"</f>
        <v>1552380085700661</v>
      </c>
      <c r="C4858" t="s">
        <v>40</v>
      </c>
      <c r="D4858">
        <v>5.061553</v>
      </c>
      <c r="E4858">
        <v>0.46152520000000002</v>
      </c>
      <c r="F4858" t="s">
        <v>42</v>
      </c>
      <c r="G4858">
        <v>-403.69490000000002</v>
      </c>
      <c r="H4858">
        <v>0.98593249999999999</v>
      </c>
      <c r="I4858">
        <v>138.4299</v>
      </c>
      <c r="J4858">
        <v>-403.26029999999997</v>
      </c>
      <c r="K4858">
        <v>1.119875</v>
      </c>
      <c r="L4858">
        <v>139.0043</v>
      </c>
      <c r="M4858">
        <v>-0.95565690000000003</v>
      </c>
      <c r="N4858">
        <v>0</v>
      </c>
      <c r="O4858">
        <v>-0.29407909999999998</v>
      </c>
      <c r="P4858">
        <v>-0.78929569999999905</v>
      </c>
      <c r="Q4858">
        <v>0.1071281</v>
      </c>
      <c r="R4858">
        <v>-0.60459600000000002</v>
      </c>
      <c r="S4858">
        <v>-2.267242</v>
      </c>
      <c r="T4858">
        <v>-0.41441230000000001</v>
      </c>
      <c r="U4858">
        <v>-2.08725</v>
      </c>
      <c r="V4858">
        <v>-0.34848899999999999</v>
      </c>
      <c r="W4858">
        <v>0.1132654</v>
      </c>
      <c r="X4858">
        <v>0.93044420000000005</v>
      </c>
      <c r="Y4858">
        <v>-0.429753</v>
      </c>
      <c r="Z4858">
        <v>1.047726E-2</v>
      </c>
      <c r="AA4858">
        <v>0.90288570000000001</v>
      </c>
      <c r="AB4858">
        <v>32</v>
      </c>
      <c r="AC4858">
        <v>-0.43460000000004501</v>
      </c>
      <c r="AD4858">
        <v>-0.13394249999999899</v>
      </c>
      <c r="AE4858">
        <v>-0.57439999999999702</v>
      </c>
      <c r="AF4858">
        <v>-0.40709514258209301</v>
      </c>
      <c r="AG4858">
        <v>-0.13394249999999899</v>
      </c>
      <c r="AH4858">
        <v>0.56478649973323303</v>
      </c>
      <c r="AI4858">
        <v>100.889947563993</v>
      </c>
      <c r="AJ4858">
        <v>125.783865212254</v>
      </c>
      <c r="AK4858">
        <v>0.70897872937141204</v>
      </c>
      <c r="AL4858">
        <v>83.496414068173394</v>
      </c>
      <c r="AM4858">
        <v>110.53295822969</v>
      </c>
      <c r="AN4858">
        <v>1.00000002163589</v>
      </c>
    </row>
    <row r="4859" spans="1:40" x14ac:dyDescent="0.25">
      <c r="A4859" t="str">
        <f>"20190312164125734"</f>
        <v>20190312164125734</v>
      </c>
      <c r="B4859" t="str">
        <f>"1552380085730917"</f>
        <v>1552380085730917</v>
      </c>
      <c r="C4859" t="s">
        <v>40</v>
      </c>
      <c r="D4859">
        <v>5.1382409999999998</v>
      </c>
      <c r="E4859">
        <v>0.46259210000000001</v>
      </c>
      <c r="F4859" t="s">
        <v>42</v>
      </c>
      <c r="G4859">
        <v>-403.995</v>
      </c>
      <c r="H4859">
        <v>0.98101879999999997</v>
      </c>
      <c r="I4859">
        <v>138.31030000000001</v>
      </c>
      <c r="J4859">
        <v>-403.55900000000003</v>
      </c>
      <c r="K4859">
        <v>1.1199319999999999</v>
      </c>
      <c r="L4859">
        <v>138.9006</v>
      </c>
      <c r="M4859">
        <v>-0.95213170000000003</v>
      </c>
      <c r="N4859">
        <v>0</v>
      </c>
      <c r="O4859">
        <v>-0.30529879999999998</v>
      </c>
      <c r="P4859">
        <v>-0.78090109999999902</v>
      </c>
      <c r="Q4859">
        <v>0.10356989999999899</v>
      </c>
      <c r="R4859">
        <v>-0.61600909999999998</v>
      </c>
      <c r="S4859">
        <v>-2.238159</v>
      </c>
      <c r="T4859">
        <v>-0.42307230000000001</v>
      </c>
      <c r="U4859">
        <v>-2.1150669999999998</v>
      </c>
      <c r="V4859">
        <v>-0.35086600000000001</v>
      </c>
      <c r="W4859">
        <v>0.1096029</v>
      </c>
      <c r="X4859">
        <v>0.92998939999999997</v>
      </c>
      <c r="Y4859">
        <v>-0.43094070000000001</v>
      </c>
      <c r="Z4859">
        <v>1.225468E-2</v>
      </c>
      <c r="AA4859">
        <v>0.90229700000000002</v>
      </c>
      <c r="AB4859">
        <v>32</v>
      </c>
      <c r="AC4859">
        <v>-0.43599999999997802</v>
      </c>
      <c r="AD4859">
        <v>-0.13891319999999899</v>
      </c>
      <c r="AE4859">
        <v>-0.59029999999998495</v>
      </c>
      <c r="AF4859">
        <v>-0.414144799034115</v>
      </c>
      <c r="AG4859">
        <v>-0.13891319999999899</v>
      </c>
      <c r="AH4859">
        <v>0.57482159525763099</v>
      </c>
      <c r="AI4859">
        <v>101.093464292897</v>
      </c>
      <c r="AJ4859">
        <v>125.77182080772801</v>
      </c>
      <c r="AK4859">
        <v>0.721964443775298</v>
      </c>
      <c r="AL4859">
        <v>83.707575085683303</v>
      </c>
      <c r="AM4859">
        <v>110.67046643350599</v>
      </c>
      <c r="AN4859">
        <v>1.0000000148783801</v>
      </c>
    </row>
    <row r="4860" spans="1:40" x14ac:dyDescent="0.25">
      <c r="A4860" t="str">
        <f>"20190312164125757"</f>
        <v>20190312164125757</v>
      </c>
      <c r="B4860" t="str">
        <f>"1552380085751416"</f>
        <v>1552380085751416</v>
      </c>
      <c r="C4860" t="s">
        <v>40</v>
      </c>
      <c r="D4860">
        <v>5.118468</v>
      </c>
      <c r="E4860">
        <v>0.46343620000000002</v>
      </c>
      <c r="F4860" t="s">
        <v>50</v>
      </c>
      <c r="G4860">
        <v>-409.31189999999998</v>
      </c>
      <c r="H4860" s="1">
        <v>-7.5282309999999898E-6</v>
      </c>
      <c r="I4860">
        <v>133.33189999999999</v>
      </c>
      <c r="J4860">
        <v>-403.85390000000001</v>
      </c>
      <c r="K4860">
        <v>1.1199709999999901</v>
      </c>
      <c r="L4860">
        <v>138.79429999999999</v>
      </c>
      <c r="M4860">
        <v>-0.94848589999999999</v>
      </c>
      <c r="N4860">
        <v>0</v>
      </c>
      <c r="O4860">
        <v>-0.31644270000000002</v>
      </c>
      <c r="P4860">
        <v>-0.77250569999999996</v>
      </c>
      <c r="Q4860">
        <v>0.1002482</v>
      </c>
      <c r="R4860">
        <v>-0.62704499999999996</v>
      </c>
      <c r="S4860">
        <v>-2.2107239999999999</v>
      </c>
      <c r="T4860">
        <v>-0.43037059999999999</v>
      </c>
      <c r="U4860">
        <v>-2.1399379999999999</v>
      </c>
      <c r="V4860">
        <v>-0.35297709999999999</v>
      </c>
      <c r="W4860">
        <v>0.1061911</v>
      </c>
      <c r="X4860">
        <v>0.92958629999999998</v>
      </c>
      <c r="Y4860">
        <v>-0.43123840000000002</v>
      </c>
      <c r="Z4860">
        <v>1.41172E-2</v>
      </c>
      <c r="AA4860">
        <v>0.90212760000000003</v>
      </c>
      <c r="AB4860">
        <v>32</v>
      </c>
      <c r="AC4860">
        <v>-5.45799999999997</v>
      </c>
      <c r="AD4860">
        <v>-1.11997852823099</v>
      </c>
      <c r="AE4860">
        <v>-5.4623999999999997</v>
      </c>
      <c r="AF4860">
        <v>-3.38310854026254</v>
      </c>
      <c r="AG4860">
        <v>-1.11997852823099</v>
      </c>
      <c r="AH4860">
        <v>6.7639077783671002</v>
      </c>
      <c r="AI4860">
        <v>98.423739900083604</v>
      </c>
      <c r="AJ4860">
        <v>116.57287530695299</v>
      </c>
      <c r="AK4860">
        <v>7.64527460155296</v>
      </c>
      <c r="AL4860">
        <v>83.904204960930699</v>
      </c>
      <c r="AM4860">
        <v>110.792479747621</v>
      </c>
      <c r="AN4860">
        <v>1.00000003599565</v>
      </c>
    </row>
    <row r="4861" spans="1:40" x14ac:dyDescent="0.25">
      <c r="A4861" t="str">
        <f>"20190312164125779"</f>
        <v>20190312164125779</v>
      </c>
      <c r="B4861" t="str">
        <f>"1552380085770933"</f>
        <v>1552380085770933</v>
      </c>
      <c r="C4861" t="s">
        <v>40</v>
      </c>
      <c r="D4861">
        <v>5.1343050000000003</v>
      </c>
      <c r="E4861">
        <v>0.46425260000000002</v>
      </c>
      <c r="F4861" t="s">
        <v>50</v>
      </c>
      <c r="G4861">
        <v>-409.44589999999999</v>
      </c>
      <c r="H4861" s="1">
        <v>-7.5764999999999901E-6</v>
      </c>
      <c r="I4861">
        <v>133.25139999999999</v>
      </c>
      <c r="J4861">
        <v>-404.14490000000001</v>
      </c>
      <c r="K4861">
        <v>1.12001</v>
      </c>
      <c r="L4861">
        <v>138.68530000000001</v>
      </c>
      <c r="M4861">
        <v>-0.94472560000000005</v>
      </c>
      <c r="N4861">
        <v>0</v>
      </c>
      <c r="O4861">
        <v>-0.32749709999999899</v>
      </c>
      <c r="P4861">
        <v>-0.76364489999999996</v>
      </c>
      <c r="Q4861">
        <v>9.8472240000000003E-2</v>
      </c>
      <c r="R4861">
        <v>-0.638082699999999</v>
      </c>
      <c r="S4861">
        <v>-2.1834720000000001</v>
      </c>
      <c r="T4861">
        <v>-0.43731019999999998</v>
      </c>
      <c r="U4861">
        <v>-2.1642760000000001</v>
      </c>
      <c r="V4861">
        <v>-0.35537780000000002</v>
      </c>
      <c r="W4861">
        <v>0.1043219</v>
      </c>
      <c r="X4861">
        <v>0.92888300000000001</v>
      </c>
      <c r="Y4861">
        <v>-0.43145459999999902</v>
      </c>
      <c r="Z4861">
        <v>1.6021239999999999E-2</v>
      </c>
      <c r="AA4861">
        <v>0.90199240000000003</v>
      </c>
      <c r="AB4861">
        <v>32</v>
      </c>
      <c r="AC4861">
        <v>-5.3009999999999797</v>
      </c>
      <c r="AD4861">
        <v>-1.1200175765</v>
      </c>
      <c r="AE4861">
        <v>-5.4339000000000199</v>
      </c>
      <c r="AF4861">
        <v>-3.3254994704081899</v>
      </c>
      <c r="AG4861">
        <v>-1.1200175765</v>
      </c>
      <c r="AH4861">
        <v>6.6437677411707199</v>
      </c>
      <c r="AI4861">
        <v>98.572855276595803</v>
      </c>
      <c r="AJ4861">
        <v>116.58999046093101</v>
      </c>
      <c r="AK4861">
        <v>7.5135235341332898</v>
      </c>
      <c r="AL4861">
        <v>84.011900467302695</v>
      </c>
      <c r="AM4861">
        <v>110.93616002185701</v>
      </c>
      <c r="AN4861">
        <v>1.00000003362072</v>
      </c>
    </row>
    <row r="4862" spans="1:40" x14ac:dyDescent="0.25">
      <c r="A4862" t="str">
        <f>"20190312164125802"</f>
        <v>20190312164125802</v>
      </c>
      <c r="B4862" t="str">
        <f>"1552380085791429"</f>
        <v>1552380085791429</v>
      </c>
      <c r="C4862" t="s">
        <v>40</v>
      </c>
      <c r="D4862">
        <v>5.1185390000000002</v>
      </c>
      <c r="E4862">
        <v>0.46466669999999999</v>
      </c>
      <c r="F4862" t="s">
        <v>50</v>
      </c>
      <c r="G4862">
        <v>-409.63029999999998</v>
      </c>
      <c r="H4862" s="1">
        <v>-7.6329639999999994E-6</v>
      </c>
      <c r="I4862">
        <v>133.11789999999999</v>
      </c>
      <c r="J4862">
        <v>-404.43770000000001</v>
      </c>
      <c r="K4862">
        <v>1.1200349999999999</v>
      </c>
      <c r="L4862">
        <v>138.57140000000001</v>
      </c>
      <c r="M4862">
        <v>-0.94077900000000003</v>
      </c>
      <c r="N4862">
        <v>0</v>
      </c>
      <c r="O4862">
        <v>-0.3386672</v>
      </c>
      <c r="P4862">
        <v>-0.75498240000000005</v>
      </c>
      <c r="Q4862">
        <v>9.7890060000000001E-2</v>
      </c>
      <c r="R4862">
        <v>-0.64839760000000002</v>
      </c>
      <c r="S4862">
        <v>-2.1564939999999999</v>
      </c>
      <c r="T4862">
        <v>-0.44031179999999998</v>
      </c>
      <c r="U4862">
        <v>-2.1886899999999998</v>
      </c>
      <c r="V4862">
        <v>-0.35696149999999999</v>
      </c>
      <c r="W4862">
        <v>0.1036774</v>
      </c>
      <c r="X4862">
        <v>0.9283477</v>
      </c>
      <c r="Y4862">
        <v>-0.4315157</v>
      </c>
      <c r="Z4862">
        <v>1.785345E-2</v>
      </c>
      <c r="AA4862">
        <v>0.90192870000000003</v>
      </c>
      <c r="AB4862">
        <v>32</v>
      </c>
      <c r="AC4862">
        <v>-5.1925999999999597</v>
      </c>
      <c r="AD4862">
        <v>-1.1200426329639901</v>
      </c>
      <c r="AE4862">
        <v>-5.4535000000000098</v>
      </c>
      <c r="AF4862">
        <v>-3.2993841694764598</v>
      </c>
      <c r="AG4862">
        <v>-1.1200426329639901</v>
      </c>
      <c r="AH4862">
        <v>6.5870860282399297</v>
      </c>
      <c r="AI4862">
        <v>98.644537300914905</v>
      </c>
      <c r="AJ4862">
        <v>116.605682779473</v>
      </c>
      <c r="AK4862">
        <v>7.4518543826944601</v>
      </c>
      <c r="AL4862">
        <v>84.049028635072105</v>
      </c>
      <c r="AM4862">
        <v>111.032386663053</v>
      </c>
      <c r="AN4862">
        <v>0.99999998392414902</v>
      </c>
    </row>
    <row r="4863" spans="1:40" x14ac:dyDescent="0.25">
      <c r="A4863" t="str">
        <f>"20190312164125825"</f>
        <v>20190312164125825</v>
      </c>
      <c r="B4863" t="str">
        <f>"1552380085820709"</f>
        <v>1552380085820709</v>
      </c>
      <c r="C4863" t="s">
        <v>40</v>
      </c>
      <c r="D4863">
        <v>5.2479659999999999</v>
      </c>
      <c r="E4863">
        <v>0.4518122</v>
      </c>
      <c r="F4863" t="s">
        <v>50</v>
      </c>
      <c r="G4863">
        <v>-409.84739999999999</v>
      </c>
      <c r="H4863" s="1">
        <v>-7.6916290000000004E-6</v>
      </c>
      <c r="I4863">
        <v>132.94290000000001</v>
      </c>
      <c r="J4863">
        <v>-404.73570000000001</v>
      </c>
      <c r="K4863">
        <v>1.1200490000000001</v>
      </c>
      <c r="L4863">
        <v>138.45150000000001</v>
      </c>
      <c r="M4863">
        <v>-0.93659809999999999</v>
      </c>
      <c r="N4863">
        <v>0</v>
      </c>
      <c r="O4863">
        <v>-0.35006340000000002</v>
      </c>
      <c r="P4863">
        <v>-0.74654880000000001</v>
      </c>
      <c r="Q4863">
        <v>9.7271949999999996E-2</v>
      </c>
      <c r="R4863">
        <v>-0.65818180000000004</v>
      </c>
      <c r="S4863">
        <v>-2.1286619999999998</v>
      </c>
      <c r="T4863">
        <v>-0.44072460000000002</v>
      </c>
      <c r="U4863">
        <v>-2.2147519999999998</v>
      </c>
      <c r="V4863">
        <v>-0.35775370000000001</v>
      </c>
      <c r="W4863">
        <v>0.1030271</v>
      </c>
      <c r="X4863">
        <v>0.92811509999999997</v>
      </c>
      <c r="Y4863">
        <v>-0.43185170000000001</v>
      </c>
      <c r="Z4863">
        <v>1.9608759999999999E-2</v>
      </c>
      <c r="AA4863">
        <v>0.90173150000000002</v>
      </c>
      <c r="AB4863">
        <v>32</v>
      </c>
      <c r="AC4863">
        <v>-5.1116999999999804</v>
      </c>
      <c r="AD4863">
        <v>-1.120056691629</v>
      </c>
      <c r="AE4863">
        <v>-5.5086000000000004</v>
      </c>
      <c r="AF4863">
        <v>-3.2970869417200199</v>
      </c>
      <c r="AG4863">
        <v>-1.120056691629</v>
      </c>
      <c r="AH4863">
        <v>6.5708074177434996</v>
      </c>
      <c r="AI4863">
        <v>98.6626888915807</v>
      </c>
      <c r="AJ4863">
        <v>116.646493068477</v>
      </c>
      <c r="AK4863">
        <v>7.4364520717070803</v>
      </c>
      <c r="AL4863">
        <v>84.086488580970297</v>
      </c>
      <c r="AM4863">
        <v>111.079787662819</v>
      </c>
      <c r="AN4863">
        <v>0.99999996602305397</v>
      </c>
    </row>
    <row r="4864" spans="1:40" x14ac:dyDescent="0.25">
      <c r="A4864" t="str">
        <f>"20190312164125847"</f>
        <v>20190312164125847</v>
      </c>
      <c r="B4864" t="str">
        <f>"1552380085841213"</f>
        <v>1552380085841213</v>
      </c>
      <c r="C4864" t="s">
        <v>40</v>
      </c>
      <c r="D4864">
        <v>5.2618390000000002</v>
      </c>
      <c r="E4864">
        <v>0.44551629999999998</v>
      </c>
      <c r="F4864" t="s">
        <v>50</v>
      </c>
      <c r="G4864">
        <v>-409.85129999999998</v>
      </c>
      <c r="H4864" s="1">
        <v>-7.5492690000000001E-6</v>
      </c>
      <c r="I4864">
        <v>132.61170000000001</v>
      </c>
      <c r="J4864">
        <v>-405.01</v>
      </c>
      <c r="K4864">
        <v>1.12005</v>
      </c>
      <c r="L4864">
        <v>138.3373</v>
      </c>
      <c r="M4864">
        <v>-0.93260010000000004</v>
      </c>
      <c r="N4864">
        <v>0</v>
      </c>
      <c r="O4864">
        <v>-0.36057869999999997</v>
      </c>
      <c r="P4864">
        <v>-0.73860689999999996</v>
      </c>
      <c r="Q4864">
        <v>9.6215899999999993E-2</v>
      </c>
      <c r="R4864">
        <v>-0.66723500000000002</v>
      </c>
      <c r="S4864">
        <v>-2.0317080000000001</v>
      </c>
      <c r="T4864">
        <v>-0.44483349999999999</v>
      </c>
      <c r="U4864">
        <v>-2.3192750000000002</v>
      </c>
      <c r="V4864">
        <v>-0.35855579999999998</v>
      </c>
      <c r="W4864">
        <v>0.1019457</v>
      </c>
      <c r="X4864">
        <v>0.927925</v>
      </c>
      <c r="Y4864">
        <v>-0.46285959999999998</v>
      </c>
      <c r="Z4864">
        <v>1.8906940000000001E-2</v>
      </c>
      <c r="AA4864">
        <v>0.88622990000000001</v>
      </c>
      <c r="AB4864">
        <v>32</v>
      </c>
      <c r="AC4864">
        <v>-4.8412999999999897</v>
      </c>
      <c r="AD4864">
        <v>-1.1200575492689999</v>
      </c>
      <c r="AE4864">
        <v>-5.7255999999999796</v>
      </c>
      <c r="AF4864">
        <v>-3.5159996248464802</v>
      </c>
      <c r="AG4864">
        <v>-1.1200575492689999</v>
      </c>
      <c r="AH4864">
        <v>6.4366855693044496</v>
      </c>
      <c r="AI4864">
        <v>98.682742311523498</v>
      </c>
      <c r="AJ4864">
        <v>118.645300195117</v>
      </c>
      <c r="AK4864">
        <v>7.4194139521721798</v>
      </c>
      <c r="AL4864">
        <v>84.148776402875797</v>
      </c>
      <c r="AM4864">
        <v>111.12683177167401</v>
      </c>
      <c r="AN4864">
        <v>0.99999999654356397</v>
      </c>
    </row>
    <row r="4865" spans="1:40" x14ac:dyDescent="0.25">
      <c r="A4865" t="str">
        <f>"20190312164125868"</f>
        <v>20190312164125868</v>
      </c>
      <c r="B4865" t="str">
        <f>"1552380085860725"</f>
        <v>1552380085860725</v>
      </c>
      <c r="C4865" t="s">
        <v>40</v>
      </c>
      <c r="D4865">
        <v>5.2261930000000003</v>
      </c>
      <c r="E4865">
        <v>0.44262170000000001</v>
      </c>
      <c r="F4865" t="s">
        <v>42</v>
      </c>
      <c r="G4865">
        <v>-405.65109999999999</v>
      </c>
      <c r="H4865">
        <v>0.99106850000000002</v>
      </c>
      <c r="I4865">
        <v>137.56229999999999</v>
      </c>
      <c r="J4865">
        <v>-405.29259999999999</v>
      </c>
      <c r="K4865">
        <v>1.120042</v>
      </c>
      <c r="L4865">
        <v>138.2159</v>
      </c>
      <c r="M4865">
        <v>-0.92833069999999895</v>
      </c>
      <c r="N4865">
        <v>0</v>
      </c>
      <c r="O4865">
        <v>-0.3714324</v>
      </c>
      <c r="P4865">
        <v>-0.73076529999999995</v>
      </c>
      <c r="Q4865">
        <v>9.5266710000000004E-2</v>
      </c>
      <c r="R4865">
        <v>-0.67594860000000001</v>
      </c>
      <c r="S4865">
        <v>-1.9659120000000001</v>
      </c>
      <c r="T4865">
        <v>-0.39552409999999999</v>
      </c>
      <c r="U4865">
        <v>-2.377014</v>
      </c>
      <c r="V4865">
        <v>-0.3586703</v>
      </c>
      <c r="W4865">
        <v>0.1009974</v>
      </c>
      <c r="X4865">
        <v>0.92798449999999999</v>
      </c>
      <c r="Y4865">
        <v>-0.47779850000000001</v>
      </c>
      <c r="Z4865">
        <v>1.727654E-2</v>
      </c>
      <c r="AA4865">
        <v>0.87829950000000001</v>
      </c>
      <c r="AB4865">
        <v>32</v>
      </c>
      <c r="AC4865">
        <v>-0.35849999999999199</v>
      </c>
      <c r="AD4865">
        <v>-0.12897349999999999</v>
      </c>
      <c r="AE4865">
        <v>-0.65360000000001095</v>
      </c>
      <c r="AF4865">
        <v>-0.45988946986927698</v>
      </c>
      <c r="AG4865">
        <v>-0.12897349999999999</v>
      </c>
      <c r="AH4865">
        <v>0.55891396635218205</v>
      </c>
      <c r="AI4865">
        <v>100.103490087677</v>
      </c>
      <c r="AJ4865">
        <v>129.44846842703501</v>
      </c>
      <c r="AK4865">
        <v>0.735198823436507</v>
      </c>
      <c r="AL4865">
        <v>84.203392179142298</v>
      </c>
      <c r="AM4865">
        <v>111.131747564081</v>
      </c>
      <c r="AN4865">
        <v>1.0000000455745399</v>
      </c>
    </row>
    <row r="4866" spans="1:40" x14ac:dyDescent="0.25">
      <c r="A4866" t="str">
        <f>"20190312164125890"</f>
        <v>20190312164125890</v>
      </c>
      <c r="B4866" t="str">
        <f>"1552380085881221"</f>
        <v>1552380085881221</v>
      </c>
      <c r="C4866" t="s">
        <v>40</v>
      </c>
      <c r="D4866">
        <v>5.289987</v>
      </c>
      <c r="E4866">
        <v>0.44201990000000002</v>
      </c>
      <c r="F4866" t="s">
        <v>42</v>
      </c>
      <c r="G4866">
        <v>-405.9006</v>
      </c>
      <c r="H4866">
        <v>1.0006679999999999</v>
      </c>
      <c r="I4866">
        <v>137.45099999999999</v>
      </c>
      <c r="J4866">
        <v>-405.57249999999999</v>
      </c>
      <c r="K4866">
        <v>1.1200319999999999</v>
      </c>
      <c r="L4866">
        <v>138.09180000000001</v>
      </c>
      <c r="M4866">
        <v>-0.92395059999999996</v>
      </c>
      <c r="N4866">
        <v>0</v>
      </c>
      <c r="O4866">
        <v>-0.38219779999999998</v>
      </c>
      <c r="P4866">
        <v>-0.72305120000000001</v>
      </c>
      <c r="Q4866">
        <v>9.5398469999999999E-2</v>
      </c>
      <c r="R4866">
        <v>-0.68417569999999905</v>
      </c>
      <c r="S4866">
        <v>-1.919983</v>
      </c>
      <c r="T4866">
        <v>-0.37700319999999998</v>
      </c>
      <c r="U4866">
        <v>-2.41568</v>
      </c>
      <c r="V4866">
        <v>-0.35839500000000002</v>
      </c>
      <c r="W4866">
        <v>0.1011435</v>
      </c>
      <c r="X4866">
        <v>0.92807490000000004</v>
      </c>
      <c r="Y4866">
        <v>-0.48476380000000002</v>
      </c>
      <c r="Z4866">
        <v>1.7437310000000001E-2</v>
      </c>
      <c r="AA4866">
        <v>0.8744712</v>
      </c>
      <c r="AB4866">
        <v>31</v>
      </c>
      <c r="AC4866">
        <v>-0.328100000000006</v>
      </c>
      <c r="AD4866">
        <v>-0.119363999999999</v>
      </c>
      <c r="AE4866">
        <v>-0.64080000000001203</v>
      </c>
      <c r="AF4866">
        <v>-0.454237152443353</v>
      </c>
      <c r="AG4866">
        <v>-0.119363999999999</v>
      </c>
      <c r="AH4866">
        <v>0.53346109423911203</v>
      </c>
      <c r="AI4866">
        <v>99.668175355221393</v>
      </c>
      <c r="AJ4866">
        <v>130.414084987579</v>
      </c>
      <c r="AK4866">
        <v>0.71074601245637403</v>
      </c>
      <c r="AL4866">
        <v>84.194977925420702</v>
      </c>
      <c r="AM4866">
        <v>111.11508198552799</v>
      </c>
      <c r="AN4866">
        <v>1.0000000018136299</v>
      </c>
    </row>
    <row r="4867" spans="1:40" x14ac:dyDescent="0.25">
      <c r="A4867" t="str">
        <f>"20190312164125913"</f>
        <v>20190312164125913</v>
      </c>
      <c r="B4867" t="str">
        <f>"1552380085900741"</f>
        <v>1552380085900741</v>
      </c>
      <c r="C4867" t="s">
        <v>40</v>
      </c>
      <c r="D4867">
        <v>5.2601269999999998</v>
      </c>
      <c r="E4867">
        <v>0.4416467</v>
      </c>
      <c r="F4867" t="s">
        <v>42</v>
      </c>
      <c r="G4867">
        <v>-406.15249999999997</v>
      </c>
      <c r="H4867">
        <v>1.0091110000000001</v>
      </c>
      <c r="I4867">
        <v>137.34270000000001</v>
      </c>
      <c r="J4867">
        <v>-405.85239999999999</v>
      </c>
      <c r="K4867">
        <v>1.1200319999999999</v>
      </c>
      <c r="L4867">
        <v>137.96369999999999</v>
      </c>
      <c r="M4867">
        <v>-0.91941910000000004</v>
      </c>
      <c r="N4867">
        <v>0</v>
      </c>
      <c r="O4867">
        <v>-0.39297359999999998</v>
      </c>
      <c r="P4867">
        <v>-0.71578949999999997</v>
      </c>
      <c r="Q4867">
        <v>9.6386360000000004E-2</v>
      </c>
      <c r="R4867">
        <v>-0.69163249999999998</v>
      </c>
      <c r="S4867">
        <v>-1.8880619999999999</v>
      </c>
      <c r="T4867">
        <v>-0.36113659999999997</v>
      </c>
      <c r="U4867">
        <v>-2.4398650000000002</v>
      </c>
      <c r="V4867">
        <v>-0.35723559999999999</v>
      </c>
      <c r="W4867">
        <v>0.1021748</v>
      </c>
      <c r="X4867">
        <v>0.92840889999999998</v>
      </c>
      <c r="Y4867">
        <v>-0.4860061</v>
      </c>
      <c r="Z4867">
        <v>1.8024080000000001E-2</v>
      </c>
      <c r="AA4867">
        <v>0.87376949999999998</v>
      </c>
      <c r="AB4867">
        <v>31</v>
      </c>
      <c r="AC4867">
        <v>-0.30009999999998599</v>
      </c>
      <c r="AD4867">
        <v>-0.11092099999999901</v>
      </c>
      <c r="AE4867">
        <v>-0.62099999999998001</v>
      </c>
      <c r="AF4867">
        <v>-0.441659299727438</v>
      </c>
      <c r="AG4867">
        <v>-0.11092099999999901</v>
      </c>
      <c r="AH4867">
        <v>0.50690619791329505</v>
      </c>
      <c r="AI4867">
        <v>99.368379182343602</v>
      </c>
      <c r="AJ4867">
        <v>131.06511860947199</v>
      </c>
      <c r="AK4867">
        <v>0.68141052146238801</v>
      </c>
      <c r="AL4867">
        <v>84.135581201695103</v>
      </c>
      <c r="AM4867">
        <v>111.04585717846901</v>
      </c>
      <c r="AN4867">
        <v>1.0000000246308001</v>
      </c>
    </row>
    <row r="4868" spans="1:40" x14ac:dyDescent="0.25">
      <c r="A4868" t="str">
        <f>"20190312164125935"</f>
        <v>20190312164125935</v>
      </c>
      <c r="B4868" t="str">
        <f>"1552380085930997"</f>
        <v>1552380085930997</v>
      </c>
      <c r="C4868" t="s">
        <v>40</v>
      </c>
      <c r="D4868">
        <v>5.2753040000000002</v>
      </c>
      <c r="E4868">
        <v>0.44151610000000002</v>
      </c>
      <c r="F4868" t="s">
        <v>42</v>
      </c>
      <c r="G4868">
        <v>-406.404</v>
      </c>
      <c r="H4868">
        <v>1.0156419999999999</v>
      </c>
      <c r="I4868">
        <v>137.23339999999999</v>
      </c>
      <c r="J4868">
        <v>-406.13549999999998</v>
      </c>
      <c r="K4868">
        <v>1.120025</v>
      </c>
      <c r="L4868">
        <v>137.83019999999999</v>
      </c>
      <c r="M4868">
        <v>-0.91467770000000004</v>
      </c>
      <c r="N4868">
        <v>0</v>
      </c>
      <c r="O4868">
        <v>-0.40388679999999999</v>
      </c>
      <c r="P4868">
        <v>-0.70869769999999999</v>
      </c>
      <c r="Q4868">
        <v>9.6945710000000004E-2</v>
      </c>
      <c r="R4868">
        <v>-0.698820199999999</v>
      </c>
      <c r="S4868">
        <v>-1.8597109999999999</v>
      </c>
      <c r="T4868">
        <v>-0.35193150000000001</v>
      </c>
      <c r="U4868">
        <v>-2.461929</v>
      </c>
      <c r="V4868">
        <v>-0.35559499999999999</v>
      </c>
      <c r="W4868">
        <v>0.1027947</v>
      </c>
      <c r="X4868">
        <v>0.92897010000000002</v>
      </c>
      <c r="Y4868">
        <v>-0.48587340000000001</v>
      </c>
      <c r="Z4868">
        <v>1.8954149999999999E-2</v>
      </c>
      <c r="AA4868">
        <v>0.87382359999999903</v>
      </c>
      <c r="AB4868">
        <v>31</v>
      </c>
      <c r="AC4868">
        <v>-0.268500000000017</v>
      </c>
      <c r="AD4868">
        <v>-0.104383</v>
      </c>
      <c r="AE4868">
        <v>-0.596800000000001</v>
      </c>
      <c r="AF4868">
        <v>-0.426634198035305</v>
      </c>
      <c r="AG4868">
        <v>-0.104383</v>
      </c>
      <c r="AH4868">
        <v>0.47461396901021102</v>
      </c>
      <c r="AI4868">
        <v>99.289230426016204</v>
      </c>
      <c r="AJ4868">
        <v>131.95261993738899</v>
      </c>
      <c r="AK4868">
        <v>0.64666140228240998</v>
      </c>
      <c r="AL4868">
        <v>84.099875400139297</v>
      </c>
      <c r="AM4868">
        <v>110.946052232776</v>
      </c>
      <c r="AN4868">
        <v>1.0000000005335401</v>
      </c>
    </row>
    <row r="4869" spans="1:40" x14ac:dyDescent="0.25">
      <c r="A4869" t="str">
        <f>"20190312164125958"</f>
        <v>20190312164125958</v>
      </c>
      <c r="B4869" t="str">
        <f>"1552380085951497"</f>
        <v>1552380085951497</v>
      </c>
      <c r="C4869" t="s">
        <v>40</v>
      </c>
      <c r="D4869">
        <v>5.283474</v>
      </c>
      <c r="E4869">
        <v>0.44193470000000001</v>
      </c>
      <c r="F4869" t="s">
        <v>42</v>
      </c>
      <c r="G4869">
        <v>-406.6567</v>
      </c>
      <c r="H4869">
        <v>1.0215240000000001</v>
      </c>
      <c r="I4869">
        <v>137.125</v>
      </c>
      <c r="J4869">
        <v>-406.41309999999999</v>
      </c>
      <c r="K4869">
        <v>1.1200129999999999</v>
      </c>
      <c r="L4869">
        <v>137.6952</v>
      </c>
      <c r="M4869">
        <v>-0.9098735</v>
      </c>
      <c r="N4869">
        <v>0</v>
      </c>
      <c r="O4869">
        <v>-0.41459570000000001</v>
      </c>
      <c r="P4869">
        <v>-0.70150089999999998</v>
      </c>
      <c r="Q4869">
        <v>9.6718999999999999E-2</v>
      </c>
      <c r="R4869">
        <v>-0.70607529999999996</v>
      </c>
      <c r="S4869">
        <v>-1.833466</v>
      </c>
      <c r="T4869">
        <v>-0.34654499999999999</v>
      </c>
      <c r="U4869">
        <v>-2.4816739999999999</v>
      </c>
      <c r="V4869">
        <v>-0.35422510000000001</v>
      </c>
      <c r="W4869">
        <v>0.10262259999999999</v>
      </c>
      <c r="X4869">
        <v>0.92951240000000002</v>
      </c>
      <c r="Y4869">
        <v>-0.48499249999999999</v>
      </c>
      <c r="Z4869">
        <v>2.0057499999999999E-2</v>
      </c>
      <c r="AA4869">
        <v>0.87428830000000002</v>
      </c>
      <c r="AB4869">
        <v>31</v>
      </c>
      <c r="AC4869">
        <v>-0.243600000000014</v>
      </c>
      <c r="AD4869">
        <v>-9.8488999999999993E-2</v>
      </c>
      <c r="AE4869">
        <v>-0.57019999999999904</v>
      </c>
      <c r="AF4869">
        <v>-0.40758142791792201</v>
      </c>
      <c r="AG4869">
        <v>-9.8488999999999993E-2</v>
      </c>
      <c r="AH4869">
        <v>0.44682934693362097</v>
      </c>
      <c r="AI4869">
        <v>99.249224568273206</v>
      </c>
      <c r="AJ4869">
        <v>132.36992966064599</v>
      </c>
      <c r="AK4869">
        <v>0.61276355047092901</v>
      </c>
      <c r="AL4869">
        <v>84.109788784245595</v>
      </c>
      <c r="AM4869">
        <v>110.861193770719</v>
      </c>
      <c r="AN4869">
        <v>1.0000000606272601</v>
      </c>
    </row>
    <row r="4870" spans="1:40" x14ac:dyDescent="0.25">
      <c r="A4870" t="str">
        <f>"20190312164125980"</f>
        <v>20190312164125980</v>
      </c>
      <c r="B4870" t="str">
        <f>"1552380085971013"</f>
        <v>1552380085971013</v>
      </c>
      <c r="C4870" t="s">
        <v>40</v>
      </c>
      <c r="D4870">
        <v>5.3461030000000003</v>
      </c>
      <c r="E4870">
        <v>0.44258530000000001</v>
      </c>
      <c r="F4870" t="s">
        <v>42</v>
      </c>
      <c r="G4870">
        <v>-406.91919999999999</v>
      </c>
      <c r="H4870">
        <v>1.021671</v>
      </c>
      <c r="I4870">
        <v>136.99639999999999</v>
      </c>
      <c r="J4870">
        <v>-406.6866</v>
      </c>
      <c r="K4870">
        <v>1.119999</v>
      </c>
      <c r="L4870">
        <v>137.55789999999999</v>
      </c>
      <c r="M4870">
        <v>-0.9049857</v>
      </c>
      <c r="N4870">
        <v>0</v>
      </c>
      <c r="O4870">
        <v>-0.42515969999999997</v>
      </c>
      <c r="P4870">
        <v>-0.69490830000000003</v>
      </c>
      <c r="Q4870">
        <v>9.7032499999999994E-2</v>
      </c>
      <c r="R4870">
        <v>-0.71252230000000005</v>
      </c>
      <c r="S4870">
        <v>-1.809631</v>
      </c>
      <c r="T4870">
        <v>-0.35164770000000001</v>
      </c>
      <c r="U4870">
        <v>-2.4991150000000002</v>
      </c>
      <c r="V4870">
        <v>-0.3520046</v>
      </c>
      <c r="W4870">
        <v>0.1030167</v>
      </c>
      <c r="X4870">
        <v>0.93031200000000003</v>
      </c>
      <c r="Y4870">
        <v>-0.48322890000000002</v>
      </c>
      <c r="Z4870">
        <v>2.1803619999999999E-2</v>
      </c>
      <c r="AA4870">
        <v>0.87522250000000001</v>
      </c>
      <c r="AB4870">
        <v>31</v>
      </c>
      <c r="AC4870">
        <v>-0.23259999999999001</v>
      </c>
      <c r="AD4870">
        <v>-9.8327999999999902E-2</v>
      </c>
      <c r="AE4870">
        <v>-0.561499999999995</v>
      </c>
      <c r="AF4870">
        <v>-0.398866416162588</v>
      </c>
      <c r="AG4870">
        <v>-9.8327999999999902E-2</v>
      </c>
      <c r="AH4870">
        <v>0.43782112427698899</v>
      </c>
      <c r="AI4870">
        <v>99.426232267803698</v>
      </c>
      <c r="AJ4870">
        <v>132.334333727157</v>
      </c>
      <c r="AK4870">
        <v>0.60037500813204503</v>
      </c>
      <c r="AL4870">
        <v>84.087088131837604</v>
      </c>
      <c r="AM4870">
        <v>110.725270854938</v>
      </c>
      <c r="AN4870">
        <v>1.0000000481220199</v>
      </c>
    </row>
    <row r="4871" spans="1:40" x14ac:dyDescent="0.25">
      <c r="A4871" t="str">
        <f>"20190312164126003"</f>
        <v>20190312164126003</v>
      </c>
      <c r="B4871" t="str">
        <f>"1552380085991509"</f>
        <v>1552380085991509</v>
      </c>
      <c r="C4871" t="s">
        <v>40</v>
      </c>
      <c r="D4871">
        <v>5.3097029999999998</v>
      </c>
      <c r="E4871">
        <v>0.44298320000000002</v>
      </c>
      <c r="F4871" t="s">
        <v>42</v>
      </c>
      <c r="G4871">
        <v>-407.3184</v>
      </c>
      <c r="H4871">
        <v>0.99524520000000005</v>
      </c>
      <c r="I4871">
        <v>136.67070000000001</v>
      </c>
      <c r="J4871">
        <v>-406.9622</v>
      </c>
      <c r="K4871">
        <v>1.1199809999999999</v>
      </c>
      <c r="L4871">
        <v>137.41550000000001</v>
      </c>
      <c r="M4871">
        <v>-0.89990300000000001</v>
      </c>
      <c r="N4871">
        <v>0</v>
      </c>
      <c r="O4871">
        <v>-0.43581439999999999</v>
      </c>
      <c r="P4871">
        <v>-0.68802369999999902</v>
      </c>
      <c r="Q4871">
        <v>9.8147029999999996E-2</v>
      </c>
      <c r="R4871">
        <v>-0.71902069999999996</v>
      </c>
      <c r="S4871">
        <v>-1.78964199999999</v>
      </c>
      <c r="T4871">
        <v>-0.35339949999999998</v>
      </c>
      <c r="U4871">
        <v>-2.5130620000000001</v>
      </c>
      <c r="V4871">
        <v>-0.3498502</v>
      </c>
      <c r="W4871">
        <v>0.1042095</v>
      </c>
      <c r="X4871">
        <v>0.93099149999999997</v>
      </c>
      <c r="Y4871">
        <v>-0.47987150000000001</v>
      </c>
      <c r="Z4871">
        <v>2.348795E-2</v>
      </c>
      <c r="AA4871">
        <v>0.87702429999999998</v>
      </c>
      <c r="AB4871">
        <v>31</v>
      </c>
      <c r="AC4871">
        <v>-0.35620000000000102</v>
      </c>
      <c r="AD4871">
        <v>-0.12473579999999899</v>
      </c>
      <c r="AE4871">
        <v>-0.74479999999999702</v>
      </c>
      <c r="AF4871">
        <v>-0.503577410346981</v>
      </c>
      <c r="AG4871">
        <v>-0.12473579999999899</v>
      </c>
      <c r="AH4871">
        <v>0.63081788285808904</v>
      </c>
      <c r="AI4871">
        <v>98.784711986009896</v>
      </c>
      <c r="AJ4871">
        <v>128.60011707184901</v>
      </c>
      <c r="AK4871">
        <v>0.81674991848605305</v>
      </c>
      <c r="AL4871">
        <v>84.018375470975897</v>
      </c>
      <c r="AM4871">
        <v>110.59533546590499</v>
      </c>
      <c r="AN4871">
        <v>0.99999997770126903</v>
      </c>
    </row>
    <row r="4872" spans="1:40" x14ac:dyDescent="0.25">
      <c r="A4872" t="str">
        <f>"20190312164126025"</f>
        <v>20190312164126025</v>
      </c>
      <c r="B4872" t="str">
        <f>"1552380086020789"</f>
        <v>1552380086020789</v>
      </c>
      <c r="C4872" t="s">
        <v>40</v>
      </c>
      <c r="D4872">
        <v>5.3562529999999997</v>
      </c>
      <c r="E4872">
        <v>0.44387320000000002</v>
      </c>
      <c r="F4872" t="s">
        <v>42</v>
      </c>
      <c r="G4872">
        <v>-407.56479999999999</v>
      </c>
      <c r="H4872">
        <v>0.99858080000000005</v>
      </c>
      <c r="I4872">
        <v>136.55350000000001</v>
      </c>
      <c r="J4872">
        <v>-407.2319</v>
      </c>
      <c r="K4872">
        <v>1.119974</v>
      </c>
      <c r="L4872">
        <v>137.27209999999999</v>
      </c>
      <c r="M4872">
        <v>-0.89477399999999996</v>
      </c>
      <c r="N4872">
        <v>0</v>
      </c>
      <c r="O4872">
        <v>-0.44625029999999999</v>
      </c>
      <c r="P4872">
        <v>-0.68146219999999902</v>
      </c>
      <c r="Q4872">
        <v>9.9325780000000002E-2</v>
      </c>
      <c r="R4872">
        <v>-0.725082</v>
      </c>
      <c r="S4872">
        <v>-1.7678529999999999</v>
      </c>
      <c r="T4872">
        <v>-0.35615780000000002</v>
      </c>
      <c r="U4872">
        <v>-2.5293730000000001</v>
      </c>
      <c r="V4872">
        <v>-0.34735759999999899</v>
      </c>
      <c r="W4872">
        <v>0.1054766</v>
      </c>
      <c r="X4872">
        <v>0.93178179999999999</v>
      </c>
      <c r="Y4872">
        <v>-0.47746129999999998</v>
      </c>
      <c r="Z4872">
        <v>2.516405E-2</v>
      </c>
      <c r="AA4872">
        <v>0.87829230000000003</v>
      </c>
      <c r="AB4872">
        <v>31</v>
      </c>
      <c r="AC4872">
        <v>-0.33289999999999498</v>
      </c>
      <c r="AD4872">
        <v>-0.12139319999999899</v>
      </c>
      <c r="AE4872">
        <v>-0.71859999999998003</v>
      </c>
      <c r="AF4872">
        <v>-0.48313593671752098</v>
      </c>
      <c r="AG4872">
        <v>-0.12139319999999899</v>
      </c>
      <c r="AH4872">
        <v>0.60441914374361305</v>
      </c>
      <c r="AI4872">
        <v>98.916025460499995</v>
      </c>
      <c r="AJ4872">
        <v>128.636716070852</v>
      </c>
      <c r="AK4872">
        <v>0.78324909427200695</v>
      </c>
      <c r="AL4872">
        <v>83.945373600851696</v>
      </c>
      <c r="AM4872">
        <v>110.44487991255301</v>
      </c>
      <c r="AN4872">
        <v>0.99999996911827904</v>
      </c>
    </row>
    <row r="4873" spans="1:40" x14ac:dyDescent="0.25">
      <c r="A4873" t="str">
        <f>"20190312164126049"</f>
        <v>20190312164126049</v>
      </c>
      <c r="B4873" t="str">
        <f>"1552380086041285"</f>
        <v>1552380086041285</v>
      </c>
      <c r="C4873" t="s">
        <v>40</v>
      </c>
      <c r="D4873">
        <v>5.4091680000000002</v>
      </c>
      <c r="E4873">
        <v>0.44445059999999897</v>
      </c>
      <c r="F4873" t="s">
        <v>42</v>
      </c>
      <c r="G4873">
        <v>-407.80939999999998</v>
      </c>
      <c r="H4873">
        <v>1.001379</v>
      </c>
      <c r="I4873">
        <v>136.4332</v>
      </c>
      <c r="J4873">
        <v>-407.5104</v>
      </c>
      <c r="K4873">
        <v>1.119955</v>
      </c>
      <c r="L4873">
        <v>137.1198</v>
      </c>
      <c r="M4873">
        <v>-0.88931139999999997</v>
      </c>
      <c r="N4873">
        <v>0</v>
      </c>
      <c r="O4873">
        <v>-0.45703919999999998</v>
      </c>
      <c r="P4873">
        <v>-0.67445310000000003</v>
      </c>
      <c r="Q4873">
        <v>0.1004005</v>
      </c>
      <c r="R4873">
        <v>-0.73145979999999999</v>
      </c>
      <c r="S4873">
        <v>-1.7502439999999999</v>
      </c>
      <c r="T4873">
        <v>-0.35937400000000003</v>
      </c>
      <c r="U4873">
        <v>-2.5417179999999999</v>
      </c>
      <c r="V4873">
        <v>-0.34494079999999999</v>
      </c>
      <c r="W4873">
        <v>0.1066392</v>
      </c>
      <c r="X4873">
        <v>0.93254700000000001</v>
      </c>
      <c r="Y4873">
        <v>-0.47302349999999999</v>
      </c>
      <c r="Z4873">
        <v>2.7076780000000002E-2</v>
      </c>
      <c r="AA4873">
        <v>0.88063369999999996</v>
      </c>
      <c r="AB4873">
        <v>31</v>
      </c>
      <c r="AC4873">
        <v>-0.29899999999997801</v>
      </c>
      <c r="AD4873">
        <v>-0.118576</v>
      </c>
      <c r="AE4873">
        <v>-0.68659999999999799</v>
      </c>
      <c r="AF4873">
        <v>-0.46241042725599402</v>
      </c>
      <c r="AG4873">
        <v>-0.118576</v>
      </c>
      <c r="AH4873">
        <v>0.56559690279022501</v>
      </c>
      <c r="AI4873">
        <v>99.219143207255399</v>
      </c>
      <c r="AJ4873">
        <v>129.26812123699801</v>
      </c>
      <c r="AK4873">
        <v>0.74012399465019796</v>
      </c>
      <c r="AL4873">
        <v>83.878383829075801</v>
      </c>
      <c r="AM4873">
        <v>110.298983411004</v>
      </c>
      <c r="AN4873">
        <v>0.99999999084513902</v>
      </c>
    </row>
    <row r="4874" spans="1:40" x14ac:dyDescent="0.25">
      <c r="A4874" t="str">
        <f>"20190312164126069"</f>
        <v>20190312164126069</v>
      </c>
      <c r="B4874" t="str">
        <f>"1552380086060805"</f>
        <v>1552380086060805</v>
      </c>
      <c r="C4874" t="s">
        <v>40</v>
      </c>
      <c r="D4874">
        <v>5.2530890000000001</v>
      </c>
      <c r="E4874">
        <v>0.44489250000000002</v>
      </c>
      <c r="F4874" t="s">
        <v>42</v>
      </c>
      <c r="G4874">
        <v>-408.05549999999999</v>
      </c>
      <c r="H4874">
        <v>1.0067809999999999</v>
      </c>
      <c r="I4874">
        <v>136.31389999999999</v>
      </c>
      <c r="J4874">
        <v>-407.76010000000002</v>
      </c>
      <c r="K4874">
        <v>1.119939</v>
      </c>
      <c r="L4874">
        <v>136.9796</v>
      </c>
      <c r="M4874">
        <v>-0.88427140000000004</v>
      </c>
      <c r="N4874">
        <v>0</v>
      </c>
      <c r="O4874">
        <v>-0.46671570000000001</v>
      </c>
      <c r="P4874">
        <v>-0.66830610000000001</v>
      </c>
      <c r="Q4874">
        <v>0.10073890000000001</v>
      </c>
      <c r="R4874">
        <v>-0.73703399999999997</v>
      </c>
      <c r="S4874">
        <v>-1.7287600000000001</v>
      </c>
      <c r="T4874">
        <v>-0.35897109999999999</v>
      </c>
      <c r="U4874">
        <v>-2.5566559999999998</v>
      </c>
      <c r="V4874">
        <v>-0.34252939999999998</v>
      </c>
      <c r="W4874">
        <v>0.10706400000000001</v>
      </c>
      <c r="X4874">
        <v>0.93338679999999996</v>
      </c>
      <c r="Y4874">
        <v>-0.47093649999999998</v>
      </c>
      <c r="Z4874">
        <v>2.8440340000000001E-2</v>
      </c>
      <c r="AA4874">
        <v>0.88170859999999995</v>
      </c>
      <c r="AB4874">
        <v>31</v>
      </c>
      <c r="AC4874">
        <v>-0.29539999999997202</v>
      </c>
      <c r="AD4874">
        <v>-0.11315799999999999</v>
      </c>
      <c r="AE4874">
        <v>-0.66570000000001495</v>
      </c>
      <c r="AF4874">
        <v>-0.44021862923703797</v>
      </c>
      <c r="AG4874">
        <v>-0.11315799999999999</v>
      </c>
      <c r="AH4874">
        <v>0.55849272145467499</v>
      </c>
      <c r="AI4874">
        <v>99.041337720359394</v>
      </c>
      <c r="AJ4874">
        <v>128.246106716247</v>
      </c>
      <c r="AK4874">
        <v>0.720077283636407</v>
      </c>
      <c r="AL4874">
        <v>83.853904518824393</v>
      </c>
      <c r="AM4874">
        <v>110.15186247911301</v>
      </c>
      <c r="AN4874">
        <v>1.0000000041872901</v>
      </c>
    </row>
    <row r="4875" spans="1:40" x14ac:dyDescent="0.25">
      <c r="A4875" t="str">
        <f>"20190312164126092"</f>
        <v>20190312164126092</v>
      </c>
      <c r="B4875" t="str">
        <f>"1552380086081301"</f>
        <v>1552380086081301</v>
      </c>
      <c r="C4875" t="s">
        <v>40</v>
      </c>
      <c r="D4875">
        <v>5.284262</v>
      </c>
      <c r="E4875">
        <v>0.44527519999999998</v>
      </c>
      <c r="F4875" t="s">
        <v>42</v>
      </c>
      <c r="G4875">
        <v>-408.29079999999999</v>
      </c>
      <c r="H4875">
        <v>1.0081869999999999</v>
      </c>
      <c r="I4875">
        <v>136.18090000000001</v>
      </c>
      <c r="J4875">
        <v>-408.02760000000001</v>
      </c>
      <c r="K4875">
        <v>1.1199220000000001</v>
      </c>
      <c r="L4875">
        <v>136.8252</v>
      </c>
      <c r="M4875">
        <v>-0.87871540000000004</v>
      </c>
      <c r="N4875">
        <v>0</v>
      </c>
      <c r="O4875">
        <v>-0.47709439999999997</v>
      </c>
      <c r="P4875">
        <v>-0.66125979999999995</v>
      </c>
      <c r="Q4875">
        <v>0.1011232</v>
      </c>
      <c r="R4875">
        <v>-0.74331040000000004</v>
      </c>
      <c r="S4875">
        <v>-1.7084349999999999</v>
      </c>
      <c r="T4875">
        <v>-0.3597263</v>
      </c>
      <c r="U4875">
        <v>-2.570389</v>
      </c>
      <c r="V4875">
        <v>-0.34037859999999998</v>
      </c>
      <c r="W4875">
        <v>0.1075281</v>
      </c>
      <c r="X4875">
        <v>0.93411999999999995</v>
      </c>
      <c r="Y4875">
        <v>-0.46762389999999998</v>
      </c>
      <c r="Z4875">
        <v>3.0066969999999998E-2</v>
      </c>
      <c r="AA4875">
        <v>0.88341599999999998</v>
      </c>
      <c r="AB4875">
        <v>31</v>
      </c>
      <c r="AC4875">
        <v>-0.263199999999983</v>
      </c>
      <c r="AD4875">
        <v>-0.111734999999999</v>
      </c>
      <c r="AE4875">
        <v>-0.64429999999998699</v>
      </c>
      <c r="AF4875">
        <v>-0.42956647530039799</v>
      </c>
      <c r="AG4875">
        <v>-0.111734999999999</v>
      </c>
      <c r="AH4875">
        <v>0.52519819927051703</v>
      </c>
      <c r="AI4875">
        <v>99.351521627919595</v>
      </c>
      <c r="AJ4875">
        <v>129.28018225814</v>
      </c>
      <c r="AK4875">
        <v>0.68763741568067804</v>
      </c>
      <c r="AL4875">
        <v>83.827159303339002</v>
      </c>
      <c r="AM4875">
        <v>110.0209428499</v>
      </c>
      <c r="AN4875">
        <v>1.00000002901378</v>
      </c>
    </row>
    <row r="4876" spans="1:40" x14ac:dyDescent="0.25">
      <c r="A4876" t="str">
        <f>"20190312164126114"</f>
        <v>20190312164126114</v>
      </c>
      <c r="B4876" t="str">
        <f>"1552380086111559"</f>
        <v>1552380086111559</v>
      </c>
      <c r="C4876" t="s">
        <v>40</v>
      </c>
      <c r="D4876">
        <v>5.3464559999999999</v>
      </c>
      <c r="E4876">
        <v>0.44589329999999999</v>
      </c>
      <c r="F4876" t="s">
        <v>42</v>
      </c>
      <c r="G4876">
        <v>-408.53109999999998</v>
      </c>
      <c r="H4876">
        <v>1.012087</v>
      </c>
      <c r="I4876">
        <v>136.05340000000001</v>
      </c>
      <c r="J4876">
        <v>-408.2878</v>
      </c>
      <c r="K4876">
        <v>1.119901</v>
      </c>
      <c r="L4876">
        <v>136.6711</v>
      </c>
      <c r="M4876">
        <v>-0.87315569999999898</v>
      </c>
      <c r="N4876">
        <v>0</v>
      </c>
      <c r="O4876">
        <v>-0.48719489999999999</v>
      </c>
      <c r="P4876">
        <v>-0.65531030000000001</v>
      </c>
      <c r="Q4876">
        <v>0.1019934</v>
      </c>
      <c r="R4876">
        <v>-0.74844250000000001</v>
      </c>
      <c r="S4876">
        <v>-1.6856690000000001</v>
      </c>
      <c r="T4876">
        <v>-0.36107240000000002</v>
      </c>
      <c r="U4876">
        <v>-2.5855410000000001</v>
      </c>
      <c r="V4876">
        <v>-0.33696199999999998</v>
      </c>
      <c r="W4876">
        <v>0.1085141</v>
      </c>
      <c r="X4876">
        <v>0.93524399999999996</v>
      </c>
      <c r="Y4876">
        <v>-0.46531909999999999</v>
      </c>
      <c r="Z4876">
        <v>3.1654109999999999E-2</v>
      </c>
      <c r="AA4876">
        <v>0.88457680000000005</v>
      </c>
      <c r="AB4876">
        <v>31</v>
      </c>
      <c r="AC4876">
        <v>-0.24329999999997601</v>
      </c>
      <c r="AD4876">
        <v>-0.10781399999999899</v>
      </c>
      <c r="AE4876">
        <v>-0.61769999999998404</v>
      </c>
      <c r="AF4876">
        <v>-0.41005006010505402</v>
      </c>
      <c r="AG4876">
        <v>-0.10781399999999899</v>
      </c>
      <c r="AH4876">
        <v>0.50024771239052601</v>
      </c>
      <c r="AI4876">
        <v>99.463100354317504</v>
      </c>
      <c r="AJ4876">
        <v>129.34126841576401</v>
      </c>
      <c r="AK4876">
        <v>0.65575352392504405</v>
      </c>
      <c r="AL4876">
        <v>83.770333091661897</v>
      </c>
      <c r="AM4876">
        <v>109.81374380594799</v>
      </c>
      <c r="AN4876">
        <v>1.0000000194394001</v>
      </c>
    </row>
    <row r="4877" spans="1:40" x14ac:dyDescent="0.25">
      <c r="A4877" t="str">
        <f>"20190312164126148"</f>
        <v>20190312164126148</v>
      </c>
      <c r="B4877" t="str">
        <f>"1552380086140837"</f>
        <v>1552380086140837</v>
      </c>
      <c r="C4877" t="s">
        <v>40</v>
      </c>
      <c r="D4877">
        <v>5.3561930000000002</v>
      </c>
      <c r="E4877">
        <v>0.44657269999999999</v>
      </c>
      <c r="F4877" t="s">
        <v>42</v>
      </c>
      <c r="G4877">
        <v>-408.78050000000002</v>
      </c>
      <c r="H4877">
        <v>1.0133129999999999</v>
      </c>
      <c r="I4877">
        <v>135.9041</v>
      </c>
      <c r="J4877">
        <v>-408.68790000000001</v>
      </c>
      <c r="K4877">
        <v>1.1198619999999999</v>
      </c>
      <c r="L4877">
        <v>136.42580000000001</v>
      </c>
      <c r="M4877">
        <v>-0.86429</v>
      </c>
      <c r="N4877">
        <v>0</v>
      </c>
      <c r="O4877">
        <v>-0.50275519999999996</v>
      </c>
      <c r="P4877">
        <v>-0.64503390000000005</v>
      </c>
      <c r="Q4877">
        <v>0.1022323</v>
      </c>
      <c r="R4877">
        <v>-0.75728479999999998</v>
      </c>
      <c r="S4877">
        <v>-1.6683349999999999</v>
      </c>
      <c r="T4877">
        <v>-0.36091240000000002</v>
      </c>
      <c r="U4877">
        <v>-2.596832</v>
      </c>
      <c r="V4877">
        <v>-0.3329357</v>
      </c>
      <c r="W4877">
        <v>0.1088967</v>
      </c>
      <c r="X4877">
        <v>0.93664040000000004</v>
      </c>
      <c r="Y4877">
        <v>-0.4554938</v>
      </c>
      <c r="Z4877">
        <v>3.4293980000000002E-2</v>
      </c>
      <c r="AA4877">
        <v>0.88957819999999899</v>
      </c>
      <c r="AB4877">
        <v>31</v>
      </c>
      <c r="AC4877">
        <v>-9.2600000000004401E-2</v>
      </c>
      <c r="AD4877">
        <v>-0.106549</v>
      </c>
      <c r="AE4877">
        <v>-0.52170000000000905</v>
      </c>
      <c r="AF4877">
        <v>-0.38867634154277703</v>
      </c>
      <c r="AG4877">
        <v>-0.106549</v>
      </c>
      <c r="AH4877">
        <v>0.32905550304854903</v>
      </c>
      <c r="AI4877">
        <v>101.817120440358</v>
      </c>
      <c r="AJ4877">
        <v>139.74856668630099</v>
      </c>
      <c r="AK4877">
        <v>0.52028791256631302</v>
      </c>
      <c r="AL4877">
        <v>83.748280643657907</v>
      </c>
      <c r="AM4877">
        <v>109.568129624954</v>
      </c>
      <c r="AN4877">
        <v>0.99999995525876895</v>
      </c>
    </row>
    <row r="4878" spans="1:40" x14ac:dyDescent="0.25">
      <c r="A4878" t="str">
        <f>"20190312164126170"</f>
        <v>20190312164126170</v>
      </c>
      <c r="B4878" t="str">
        <f>"1552380086161333"</f>
        <v>1552380086161333</v>
      </c>
      <c r="C4878" t="s">
        <v>40</v>
      </c>
      <c r="D4878">
        <v>5.3247030000000004</v>
      </c>
      <c r="E4878">
        <v>0.44665670000000002</v>
      </c>
      <c r="F4878" t="s">
        <v>42</v>
      </c>
      <c r="G4878">
        <v>-409.19869999999997</v>
      </c>
      <c r="H4878">
        <v>1.006791</v>
      </c>
      <c r="I4878">
        <v>135.60820000000001</v>
      </c>
      <c r="J4878">
        <v>-408.93239999999997</v>
      </c>
      <c r="K4878">
        <v>1.1198330000000001</v>
      </c>
      <c r="L4878">
        <v>136.27099999999999</v>
      </c>
      <c r="M4878">
        <v>-0.85868359999999899</v>
      </c>
      <c r="N4878">
        <v>0</v>
      </c>
      <c r="O4878">
        <v>-0.5122719</v>
      </c>
      <c r="P4878">
        <v>-0.63863590000000003</v>
      </c>
      <c r="Q4878">
        <v>0.102076899999999</v>
      </c>
      <c r="R4878">
        <v>-0.76270909999999903</v>
      </c>
      <c r="S4878">
        <v>-1.6353759999999999</v>
      </c>
      <c r="T4878">
        <v>-0.36199389999999998</v>
      </c>
      <c r="U4878">
        <v>-2.6175229999999998</v>
      </c>
      <c r="V4878">
        <v>-0.33047749999999998</v>
      </c>
      <c r="W4878">
        <v>0.10882840000000001</v>
      </c>
      <c r="X4878">
        <v>0.93751850000000003</v>
      </c>
      <c r="Y4878">
        <v>-0.45691389999999998</v>
      </c>
      <c r="Z4878">
        <v>3.5580870000000001E-2</v>
      </c>
      <c r="AA4878">
        <v>0.88879900000000001</v>
      </c>
      <c r="AB4878">
        <v>31</v>
      </c>
      <c r="AC4878">
        <v>-0.26630000000000098</v>
      </c>
      <c r="AD4878">
        <v>-0.113042</v>
      </c>
      <c r="AE4878">
        <v>-0.66280000000000405</v>
      </c>
      <c r="AF4878">
        <v>-0.42219548947124602</v>
      </c>
      <c r="AG4878">
        <v>-0.113042</v>
      </c>
      <c r="AH4878">
        <v>0.55438482983250603</v>
      </c>
      <c r="AI4878">
        <v>99.214252668382599</v>
      </c>
      <c r="AJ4878">
        <v>127.29132884199799</v>
      </c>
      <c r="AK4878">
        <v>0.70595330202661599</v>
      </c>
      <c r="AL4878">
        <v>83.752217423590395</v>
      </c>
      <c r="AM4878">
        <v>109.417675295788</v>
      </c>
      <c r="AN4878">
        <v>0.99999996824752901</v>
      </c>
    </row>
    <row r="4879" spans="1:40" x14ac:dyDescent="0.25">
      <c r="A4879" t="str">
        <f>"20190312164126193"</f>
        <v>20190312164126193</v>
      </c>
      <c r="B4879" t="str">
        <f>"1552380086180853"</f>
        <v>1552380086180853</v>
      </c>
      <c r="C4879" t="s">
        <v>40</v>
      </c>
      <c r="D4879">
        <v>5.2177439999999997</v>
      </c>
      <c r="E4879">
        <v>0.44702979999999998</v>
      </c>
      <c r="F4879" t="s">
        <v>42</v>
      </c>
      <c r="G4879">
        <v>-409.42630000000003</v>
      </c>
      <c r="H4879">
        <v>1.0082519999999999</v>
      </c>
      <c r="I4879">
        <v>135.46510000000001</v>
      </c>
      <c r="J4879">
        <v>-409.19189999999998</v>
      </c>
      <c r="K4879">
        <v>1.119802</v>
      </c>
      <c r="L4879">
        <v>136.1026</v>
      </c>
      <c r="M4879">
        <v>-0.85257309999999997</v>
      </c>
      <c r="N4879">
        <v>0</v>
      </c>
      <c r="O4879">
        <v>-0.52237849999999997</v>
      </c>
      <c r="P4879">
        <v>-0.63091519999999901</v>
      </c>
      <c r="Q4879">
        <v>0.1018816</v>
      </c>
      <c r="R4879">
        <v>-0.76913350000000003</v>
      </c>
      <c r="S4879">
        <v>-1.6126100000000001</v>
      </c>
      <c r="T4879">
        <v>-0.36429450000000002</v>
      </c>
      <c r="U4879">
        <v>-2.6318049999999999</v>
      </c>
      <c r="V4879">
        <v>-0.32886169999999998</v>
      </c>
      <c r="W4879">
        <v>0.1086971</v>
      </c>
      <c r="X4879">
        <v>0.93810179999999999</v>
      </c>
      <c r="Y4879">
        <v>-0.45420759999999999</v>
      </c>
      <c r="Z4879">
        <v>3.7323879999999997E-2</v>
      </c>
      <c r="AA4879">
        <v>0.89011369999999901</v>
      </c>
      <c r="AB4879">
        <v>31</v>
      </c>
      <c r="AC4879">
        <v>-0.23440000000005001</v>
      </c>
      <c r="AD4879">
        <v>-0.111549999999999</v>
      </c>
      <c r="AE4879">
        <v>-0.63749999999998797</v>
      </c>
      <c r="AF4879">
        <v>-0.41006028853832699</v>
      </c>
      <c r="AG4879">
        <v>-0.111549999999999</v>
      </c>
      <c r="AH4879">
        <v>0.51892696875223199</v>
      </c>
      <c r="AI4879">
        <v>99.573428330680699</v>
      </c>
      <c r="AJ4879">
        <v>128.31607590370501</v>
      </c>
      <c r="AK4879">
        <v>0.67072948469149396</v>
      </c>
      <c r="AL4879">
        <v>83.7597856548376</v>
      </c>
      <c r="AM4879">
        <v>109.318665181456</v>
      </c>
      <c r="AN4879">
        <v>1.0000000322192599</v>
      </c>
    </row>
    <row r="4880" spans="1:40" x14ac:dyDescent="0.25">
      <c r="A4880" t="str">
        <f>"20190312164126215"</f>
        <v>20190312164126215</v>
      </c>
      <c r="B4880" t="str">
        <f>"1552380086211109"</f>
        <v>1552380086211109</v>
      </c>
      <c r="C4880" t="s">
        <v>40</v>
      </c>
      <c r="D4880">
        <v>5.2229519999999896</v>
      </c>
      <c r="E4880">
        <v>0.44763330000000001</v>
      </c>
      <c r="F4880" t="s">
        <v>42</v>
      </c>
      <c r="G4880">
        <v>-409.673</v>
      </c>
      <c r="H4880">
        <v>1.0089239999999999</v>
      </c>
      <c r="I4880">
        <v>135.30029999999999</v>
      </c>
      <c r="J4880">
        <v>-409.4452</v>
      </c>
      <c r="K4880">
        <v>1.119775</v>
      </c>
      <c r="L4880">
        <v>135.93389999999999</v>
      </c>
      <c r="M4880">
        <v>-0.84644419999999898</v>
      </c>
      <c r="N4880">
        <v>0</v>
      </c>
      <c r="O4880">
        <v>-0.53225219999999995</v>
      </c>
      <c r="P4880">
        <v>-0.6236758</v>
      </c>
      <c r="Q4880">
        <v>0.1016107</v>
      </c>
      <c r="R4880">
        <v>-0.77505109999999999</v>
      </c>
      <c r="S4880">
        <v>-1.5872189999999999</v>
      </c>
      <c r="T4880">
        <v>-0.36579689999999998</v>
      </c>
      <c r="U4880">
        <v>-2.646973</v>
      </c>
      <c r="V4880">
        <v>-0.32676709999999998</v>
      </c>
      <c r="W4880">
        <v>0.10850369999999999</v>
      </c>
      <c r="X4880">
        <v>0.93885580000000002</v>
      </c>
      <c r="Y4880">
        <v>-0.45243850000000002</v>
      </c>
      <c r="Z4880">
        <v>3.8920589999999998E-2</v>
      </c>
      <c r="AA4880">
        <v>0.89094589999999996</v>
      </c>
      <c r="AB4880">
        <v>31</v>
      </c>
      <c r="AC4880">
        <v>-0.227800000000001</v>
      </c>
      <c r="AD4880">
        <v>-0.11085100000000001</v>
      </c>
      <c r="AE4880">
        <v>-0.63360000000000105</v>
      </c>
      <c r="AF4880">
        <v>-0.404155046276793</v>
      </c>
      <c r="AG4880">
        <v>-0.11085100000000001</v>
      </c>
      <c r="AH4880">
        <v>0.51612875047390405</v>
      </c>
      <c r="AI4880">
        <v>99.597878343034793</v>
      </c>
      <c r="AJ4880">
        <v>128.06274941494701</v>
      </c>
      <c r="AK4880">
        <v>0.66484444248090802</v>
      </c>
      <c r="AL4880">
        <v>83.770932397174704</v>
      </c>
      <c r="AM4880">
        <v>109.190361469403</v>
      </c>
      <c r="AN4880">
        <v>1.00000000187487</v>
      </c>
    </row>
    <row r="4881" spans="1:40" x14ac:dyDescent="0.25">
      <c r="A4881" t="str">
        <f>"20190312164126238"</f>
        <v>20190312164126238</v>
      </c>
      <c r="B4881" t="str">
        <f>"1552380086231606"</f>
        <v>1552380086231606</v>
      </c>
      <c r="C4881" t="s">
        <v>40</v>
      </c>
      <c r="D4881">
        <v>5.1835089999999999</v>
      </c>
      <c r="E4881">
        <v>0.44798100000000002</v>
      </c>
      <c r="F4881" t="s">
        <v>42</v>
      </c>
      <c r="G4881">
        <v>-409.93520000000001</v>
      </c>
      <c r="H4881">
        <v>1.004545</v>
      </c>
      <c r="I4881">
        <v>135.10130000000001</v>
      </c>
      <c r="J4881">
        <v>-409.69819999999999</v>
      </c>
      <c r="K4881">
        <v>1.11975</v>
      </c>
      <c r="L4881">
        <v>135.7612</v>
      </c>
      <c r="M4881">
        <v>-0.84015769999999901</v>
      </c>
      <c r="N4881">
        <v>0</v>
      </c>
      <c r="O4881">
        <v>-0.54212169999999904</v>
      </c>
      <c r="P4881">
        <v>-0.61625750000000001</v>
      </c>
      <c r="Q4881">
        <v>0.10196760000000001</v>
      </c>
      <c r="R4881">
        <v>-0.78091619999999995</v>
      </c>
      <c r="S4881">
        <v>-1.5644530000000001</v>
      </c>
      <c r="T4881">
        <v>-0.36801450000000002</v>
      </c>
      <c r="U4881">
        <v>-2.66011</v>
      </c>
      <c r="V4881">
        <v>-0.32469019999999998</v>
      </c>
      <c r="W4881">
        <v>0.10893700000000001</v>
      </c>
      <c r="X4881">
        <v>0.93952599999999997</v>
      </c>
      <c r="Y4881">
        <v>-0.4496503</v>
      </c>
      <c r="Z4881">
        <v>4.067138E-2</v>
      </c>
      <c r="AA4881">
        <v>0.89227819999999902</v>
      </c>
      <c r="AB4881">
        <v>31</v>
      </c>
      <c r="AC4881">
        <v>-0.237000000000023</v>
      </c>
      <c r="AD4881">
        <v>-0.115205</v>
      </c>
      <c r="AE4881">
        <v>-0.65989999999999305</v>
      </c>
      <c r="AF4881">
        <v>-0.41479050348563701</v>
      </c>
      <c r="AG4881">
        <v>-0.115205</v>
      </c>
      <c r="AH4881">
        <v>0.54229044223491996</v>
      </c>
      <c r="AI4881">
        <v>99.5778596819396</v>
      </c>
      <c r="AJ4881">
        <v>127.411877103004</v>
      </c>
      <c r="AK4881">
        <v>0.69238881962825904</v>
      </c>
      <c r="AL4881">
        <v>83.745958401583593</v>
      </c>
      <c r="AM4881">
        <v>109.064605593952</v>
      </c>
      <c r="AN4881">
        <v>1.00000005031051</v>
      </c>
    </row>
    <row r="4882" spans="1:40" x14ac:dyDescent="0.25">
      <c r="A4882" t="str">
        <f>"20190312164126282"</f>
        <v>20190312164126282</v>
      </c>
      <c r="B4882" t="str">
        <f>"1552380086271623"</f>
        <v>1552380086271623</v>
      </c>
      <c r="C4882" t="s">
        <v>40</v>
      </c>
      <c r="D4882">
        <v>5.1530040000000001</v>
      </c>
      <c r="E4882">
        <v>0.44873629999999998</v>
      </c>
      <c r="F4882" t="s">
        <v>50</v>
      </c>
      <c r="G4882">
        <v>-414.38659999999999</v>
      </c>
      <c r="H4882" s="1">
        <v>-5.0318190000000001E-6</v>
      </c>
      <c r="I4882">
        <v>127.61969999999999</v>
      </c>
      <c r="J4882">
        <v>-410.18340000000001</v>
      </c>
      <c r="K4882">
        <v>1.119707</v>
      </c>
      <c r="L4882">
        <v>135.417</v>
      </c>
      <c r="M4882">
        <v>-0.82762429999999998</v>
      </c>
      <c r="N4882">
        <v>0</v>
      </c>
      <c r="O4882">
        <v>-0.5610695</v>
      </c>
      <c r="P4882">
        <v>-0.60189049999999999</v>
      </c>
      <c r="Q4882">
        <v>0.1023037</v>
      </c>
      <c r="R4882">
        <v>-0.79199900000000001</v>
      </c>
      <c r="S4882">
        <v>-1.5400700000000001</v>
      </c>
      <c r="T4882">
        <v>-0.36782110000000001</v>
      </c>
      <c r="U4882">
        <v>-2.674347</v>
      </c>
      <c r="V4882">
        <v>-0.32045299999999999</v>
      </c>
      <c r="W4882">
        <v>0.1094271</v>
      </c>
      <c r="X4882">
        <v>0.9409227</v>
      </c>
      <c r="Y4882">
        <v>-0.4376256</v>
      </c>
      <c r="Z4882">
        <v>4.3941479999999998E-2</v>
      </c>
      <c r="AA4882">
        <v>0.89808299999999996</v>
      </c>
      <c r="AB4882">
        <v>31</v>
      </c>
      <c r="AC4882">
        <v>-4.2031999999999803</v>
      </c>
      <c r="AD4882">
        <v>-1.1197120318189999</v>
      </c>
      <c r="AE4882">
        <v>-7.7972999999999999</v>
      </c>
      <c r="AF4882">
        <v>-4.0310270828142203</v>
      </c>
      <c r="AG4882">
        <v>-1.1197120318189999</v>
      </c>
      <c r="AH4882">
        <v>7.7309076081266204</v>
      </c>
      <c r="AI4882">
        <v>97.318218950333403</v>
      </c>
      <c r="AJ4882">
        <v>117.53830458797199</v>
      </c>
      <c r="AK4882">
        <v>8.79032802698352</v>
      </c>
      <c r="AL4882">
        <v>83.717708361186993</v>
      </c>
      <c r="AM4882">
        <v>108.80746389679101</v>
      </c>
      <c r="AN4882">
        <v>0.99999997139934904</v>
      </c>
    </row>
    <row r="4883" spans="1:40" x14ac:dyDescent="0.25">
      <c r="A4883" t="str">
        <f>"20190312164126304"</f>
        <v>20190312164126304</v>
      </c>
      <c r="B4883" t="str">
        <f>"1552380086300902"</f>
        <v>1552380086300902</v>
      </c>
      <c r="C4883" t="s">
        <v>40</v>
      </c>
      <c r="D4883">
        <v>5.1072860000000002</v>
      </c>
      <c r="E4883">
        <v>0.44921670000000002</v>
      </c>
      <c r="F4883" t="s">
        <v>42</v>
      </c>
      <c r="G4883">
        <v>-410.69130000000001</v>
      </c>
      <c r="H4883">
        <v>0.99470259999999999</v>
      </c>
      <c r="I4883">
        <v>134.5</v>
      </c>
      <c r="J4883">
        <v>-410.42579999999998</v>
      </c>
      <c r="K4883">
        <v>1.1196809999999999</v>
      </c>
      <c r="L4883">
        <v>135.23859999999999</v>
      </c>
      <c r="M4883">
        <v>-0.82111999999999996</v>
      </c>
      <c r="N4883">
        <v>0</v>
      </c>
      <c r="O4883">
        <v>-0.57054649999999996</v>
      </c>
      <c r="P4883">
        <v>-0.59456069999999905</v>
      </c>
      <c r="Q4883">
        <v>0.1029403</v>
      </c>
      <c r="R4883">
        <v>-0.79743450000000005</v>
      </c>
      <c r="S4883">
        <v>-1.494507</v>
      </c>
      <c r="T4883">
        <v>-0.36793229999999999</v>
      </c>
      <c r="U4883">
        <v>-2.6996150000000001</v>
      </c>
      <c r="V4883">
        <v>-0.31825039999999999</v>
      </c>
      <c r="W4883">
        <v>0.1101428</v>
      </c>
      <c r="X4883">
        <v>0.94158660000000005</v>
      </c>
      <c r="Y4883">
        <v>-0.44246550000000001</v>
      </c>
      <c r="Z4883">
        <v>4.4984299999999998E-2</v>
      </c>
      <c r="AA4883">
        <v>0.89565659999999903</v>
      </c>
      <c r="AB4883">
        <v>31</v>
      </c>
      <c r="AC4883">
        <v>-0.26550000000003099</v>
      </c>
      <c r="AD4883">
        <v>-0.124978399999999</v>
      </c>
      <c r="AE4883">
        <v>-0.73859999999999004</v>
      </c>
      <c r="AF4883">
        <v>-0.443800578143558</v>
      </c>
      <c r="AG4883">
        <v>-0.124978399999999</v>
      </c>
      <c r="AH4883">
        <v>0.62367560427902902</v>
      </c>
      <c r="AI4883">
        <v>99.272981678404093</v>
      </c>
      <c r="AJ4883">
        <v>125.43522892855</v>
      </c>
      <c r="AK4883">
        <v>0.775596424050504</v>
      </c>
      <c r="AL4883">
        <v>83.676452824084606</v>
      </c>
      <c r="AM4883">
        <v>108.674932647367</v>
      </c>
      <c r="AN4883">
        <v>1.00000003939577</v>
      </c>
    </row>
    <row r="4884" spans="1:40" x14ac:dyDescent="0.25">
      <c r="A4884" t="str">
        <f>"20190312164126327"</f>
        <v>20190312164126327</v>
      </c>
      <c r="B4884" t="str">
        <f>"1552380086321401"</f>
        <v>1552380086321401</v>
      </c>
      <c r="C4884" t="s">
        <v>40</v>
      </c>
      <c r="D4884">
        <v>5.1700049999999997</v>
      </c>
      <c r="E4884">
        <v>0.44964690000000002</v>
      </c>
      <c r="F4884" t="s">
        <v>42</v>
      </c>
      <c r="G4884">
        <v>-410.91039999999998</v>
      </c>
      <c r="H4884">
        <v>0.99865029999999999</v>
      </c>
      <c r="I4884">
        <v>134.3466</v>
      </c>
      <c r="J4884">
        <v>-410.66640000000001</v>
      </c>
      <c r="K4884">
        <v>1.1196569999999999</v>
      </c>
      <c r="L4884">
        <v>135.0574</v>
      </c>
      <c r="M4884">
        <v>-0.81450509999999998</v>
      </c>
      <c r="N4884">
        <v>0</v>
      </c>
      <c r="O4884">
        <v>-0.57995059999999998</v>
      </c>
      <c r="P4884">
        <v>-0.58739240000000004</v>
      </c>
      <c r="Q4884">
        <v>0.10406940000000001</v>
      </c>
      <c r="R4884">
        <v>-0.80258319999999905</v>
      </c>
      <c r="S4884">
        <v>-1.4728699999999999</v>
      </c>
      <c r="T4884">
        <v>-0.36790390000000001</v>
      </c>
      <c r="U4884">
        <v>-2.711395</v>
      </c>
      <c r="V4884">
        <v>-0.31575340000000002</v>
      </c>
      <c r="W4884">
        <v>0.11135829999999999</v>
      </c>
      <c r="X4884">
        <v>0.94228400000000001</v>
      </c>
      <c r="Y4884">
        <v>-0.43935809999999997</v>
      </c>
      <c r="Z4884">
        <v>4.645523E-2</v>
      </c>
      <c r="AA4884">
        <v>0.89710999999999996</v>
      </c>
      <c r="AB4884">
        <v>31</v>
      </c>
      <c r="AC4884">
        <v>-0.24399999999997099</v>
      </c>
      <c r="AD4884">
        <v>-0.121006699999999</v>
      </c>
      <c r="AE4884">
        <v>-0.71080000000000598</v>
      </c>
      <c r="AF4884">
        <v>-0.42643841775741398</v>
      </c>
      <c r="AG4884">
        <v>-0.121006699999999</v>
      </c>
      <c r="AH4884">
        <v>0.59559922698565204</v>
      </c>
      <c r="AI4884">
        <v>99.380091068434496</v>
      </c>
      <c r="AJ4884">
        <v>125.60198757504899</v>
      </c>
      <c r="AK4884">
        <v>0.74244917992428505</v>
      </c>
      <c r="AL4884">
        <v>83.606378525442295</v>
      </c>
      <c r="AM4884">
        <v>108.525674505414</v>
      </c>
      <c r="AN4884">
        <v>1.0000000086232199</v>
      </c>
    </row>
    <row r="4885" spans="1:40" x14ac:dyDescent="0.25">
      <c r="A4885" t="str">
        <f>"20190312164126349"</f>
        <v>20190312164126349</v>
      </c>
      <c r="B4885" t="str">
        <f>"1552380086340918"</f>
        <v>1552380086340918</v>
      </c>
      <c r="C4885" t="s">
        <v>40</v>
      </c>
      <c r="D4885">
        <v>5.0955700000000004</v>
      </c>
      <c r="E4885">
        <v>0.46324710000000002</v>
      </c>
      <c r="F4885" t="s">
        <v>42</v>
      </c>
      <c r="G4885">
        <v>-411.12790000000001</v>
      </c>
      <c r="H4885">
        <v>1.003525</v>
      </c>
      <c r="I4885">
        <v>134.19110000000001</v>
      </c>
      <c r="J4885">
        <v>-410.9058</v>
      </c>
      <c r="K4885">
        <v>1.119631</v>
      </c>
      <c r="L4885">
        <v>134.87280000000001</v>
      </c>
      <c r="M4885">
        <v>-0.8077626</v>
      </c>
      <c r="N4885">
        <v>0</v>
      </c>
      <c r="O4885">
        <v>-0.58930530000000003</v>
      </c>
      <c r="P4885">
        <v>-0.58087339999999998</v>
      </c>
      <c r="Q4885">
        <v>0.10451920000000001</v>
      </c>
      <c r="R4885">
        <v>-0.80725619999999998</v>
      </c>
      <c r="S4885">
        <v>-1.450531</v>
      </c>
      <c r="T4885">
        <v>-0.36504350000000002</v>
      </c>
      <c r="U4885">
        <v>-2.7236180000000001</v>
      </c>
      <c r="V4885">
        <v>-0.31246570000000001</v>
      </c>
      <c r="W4885">
        <v>0.1119189</v>
      </c>
      <c r="X4885">
        <v>0.94331299999999996</v>
      </c>
      <c r="Y4885">
        <v>-0.436446</v>
      </c>
      <c r="Z4885">
        <v>4.7539980000000003E-2</v>
      </c>
      <c r="AA4885">
        <v>0.89847359999999898</v>
      </c>
      <c r="AB4885">
        <v>31</v>
      </c>
      <c r="AC4885">
        <v>-0.22210000000001101</v>
      </c>
      <c r="AD4885">
        <v>-0.116106</v>
      </c>
      <c r="AE4885">
        <v>-0.68170000000000597</v>
      </c>
      <c r="AF4885">
        <v>-0.40908898251190101</v>
      </c>
      <c r="AG4885">
        <v>-0.116106</v>
      </c>
      <c r="AH4885">
        <v>0.56635056669123196</v>
      </c>
      <c r="AI4885">
        <v>99.435584388609996</v>
      </c>
      <c r="AJ4885">
        <v>125.841510176147</v>
      </c>
      <c r="AK4885">
        <v>0.70822832705286698</v>
      </c>
      <c r="AL4885">
        <v>83.574056631606396</v>
      </c>
      <c r="AM4885">
        <v>108.327083753352</v>
      </c>
      <c r="AN4885">
        <v>1.00000003491134</v>
      </c>
    </row>
    <row r="4886" spans="1:40" x14ac:dyDescent="0.25">
      <c r="A4886" t="str">
        <f>"20190312164126371"</f>
        <v>20190312164126371</v>
      </c>
      <c r="B4886" t="str">
        <f>"1552380086361413"</f>
        <v>1552380086361413</v>
      </c>
      <c r="C4886" t="s">
        <v>40</v>
      </c>
      <c r="D4886">
        <v>5.0999509999999999</v>
      </c>
      <c r="E4886">
        <v>0.4635397</v>
      </c>
      <c r="F4886" t="s">
        <v>50</v>
      </c>
      <c r="G4886">
        <v>-415.6377</v>
      </c>
      <c r="H4886" s="1">
        <v>-4.443451E-6</v>
      </c>
      <c r="I4886">
        <v>126.52849999999999</v>
      </c>
      <c r="J4886">
        <v>-411.1343</v>
      </c>
      <c r="K4886">
        <v>1.1195919999999999</v>
      </c>
      <c r="L4886">
        <v>134.69239999999999</v>
      </c>
      <c r="M4886">
        <v>-0.80117280000000002</v>
      </c>
      <c r="N4886">
        <v>0</v>
      </c>
      <c r="O4886">
        <v>-0.59823409999999999</v>
      </c>
      <c r="P4886">
        <v>-0.57433190000000001</v>
      </c>
      <c r="Q4886">
        <v>0.1047811</v>
      </c>
      <c r="R4886">
        <v>-0.81188919999999998</v>
      </c>
      <c r="S4886">
        <v>-1.5154110000000001</v>
      </c>
      <c r="T4886">
        <v>-0.35856690000000002</v>
      </c>
      <c r="U4886">
        <v>-2.6722869999999999</v>
      </c>
      <c r="V4886">
        <v>-0.30958269999999999</v>
      </c>
      <c r="W4886">
        <v>0.1122795</v>
      </c>
      <c r="X4886">
        <v>0.94422019999999995</v>
      </c>
      <c r="Y4886">
        <v>-0.40252450000000001</v>
      </c>
      <c r="Z4886">
        <v>4.9945070000000001E-2</v>
      </c>
      <c r="AA4886">
        <v>0.91404569999999996</v>
      </c>
      <c r="AB4886">
        <v>30</v>
      </c>
      <c r="AC4886">
        <v>-4.5033999999999903</v>
      </c>
      <c r="AD4886">
        <v>-1.119596443451</v>
      </c>
      <c r="AE4886">
        <v>-8.1638999999999893</v>
      </c>
      <c r="AF4886">
        <v>-3.7923805034176401</v>
      </c>
      <c r="AG4886">
        <v>-1.119596443451</v>
      </c>
      <c r="AH4886">
        <v>8.3722119697209507</v>
      </c>
      <c r="AI4886">
        <v>96.945169619678694</v>
      </c>
      <c r="AJ4886">
        <v>114.369211728545</v>
      </c>
      <c r="AK4886">
        <v>9.2590269113351802</v>
      </c>
      <c r="AL4886">
        <v>83.553264239305705</v>
      </c>
      <c r="AM4886">
        <v>108.152832264322</v>
      </c>
      <c r="AN4886">
        <v>0.999999960173789</v>
      </c>
    </row>
    <row r="4887" spans="1:40" x14ac:dyDescent="0.25">
      <c r="A4887" t="str">
        <f>"20190312164126393"</f>
        <v>20190312164126393</v>
      </c>
      <c r="B4887" t="str">
        <f>"1552380086380933"</f>
        <v>1552380086380933</v>
      </c>
      <c r="C4887" t="s">
        <v>40</v>
      </c>
      <c r="D4887">
        <v>5.125013</v>
      </c>
      <c r="E4887">
        <v>0.46396680000000001</v>
      </c>
      <c r="F4887" t="s">
        <v>50</v>
      </c>
      <c r="G4887">
        <v>-415.84249999999997</v>
      </c>
      <c r="H4887" s="1">
        <v>-4.314918E-6</v>
      </c>
      <c r="I4887">
        <v>126.24039999999999</v>
      </c>
      <c r="J4887">
        <v>-411.36759999999998</v>
      </c>
      <c r="K4887">
        <v>1.1195600000000001</v>
      </c>
      <c r="L4887">
        <v>134.50399999999999</v>
      </c>
      <c r="M4887">
        <v>-0.79428769999999904</v>
      </c>
      <c r="N4887">
        <v>0</v>
      </c>
      <c r="O4887">
        <v>-0.60734560000000004</v>
      </c>
      <c r="P4887">
        <v>-0.56744030000000001</v>
      </c>
      <c r="Q4887">
        <v>0.1047328</v>
      </c>
      <c r="R4887">
        <v>-0.81672670000000003</v>
      </c>
      <c r="S4887">
        <v>-1.4948729999999999</v>
      </c>
      <c r="T4887">
        <v>-0.35547400000000001</v>
      </c>
      <c r="U4887">
        <v>-2.6835330000000002</v>
      </c>
      <c r="V4887">
        <v>-0.30677729999999998</v>
      </c>
      <c r="W4887">
        <v>0.1123297</v>
      </c>
      <c r="X4887">
        <v>0.94512949999999996</v>
      </c>
      <c r="Y4887">
        <v>-0.39907290000000001</v>
      </c>
      <c r="Z4887">
        <v>5.0916349999999999E-2</v>
      </c>
      <c r="AA4887">
        <v>0.9155044</v>
      </c>
      <c r="AB4887">
        <v>30</v>
      </c>
      <c r="AC4887">
        <v>-4.4748999999999901</v>
      </c>
      <c r="AD4887">
        <v>-1.1195643149179999</v>
      </c>
      <c r="AE4887">
        <v>-8.2635999999999896</v>
      </c>
      <c r="AF4887">
        <v>-3.7924959424003202</v>
      </c>
      <c r="AG4887">
        <v>-1.1195643149179999</v>
      </c>
      <c r="AH4887">
        <v>8.4542485645767407</v>
      </c>
      <c r="AI4887">
        <v>96.889422134269296</v>
      </c>
      <c r="AJ4887">
        <v>114.16055313683999</v>
      </c>
      <c r="AK4887">
        <v>9.3333149802205106</v>
      </c>
      <c r="AL4887">
        <v>83.550370083482207</v>
      </c>
      <c r="AM4887">
        <v>107.982786710234</v>
      </c>
      <c r="AN4887">
        <v>1.0000000225338099</v>
      </c>
    </row>
    <row r="4888" spans="1:40" x14ac:dyDescent="0.25">
      <c r="A4888" t="str">
        <f>"20190312164126417"</f>
        <v>20190312164126417</v>
      </c>
      <c r="B4888" t="str">
        <f>"1552380086411190"</f>
        <v>1552380086411190</v>
      </c>
      <c r="C4888" t="s">
        <v>40</v>
      </c>
      <c r="D4888">
        <v>5.1563369999999997</v>
      </c>
      <c r="E4888">
        <v>0.46389010000000003</v>
      </c>
      <c r="F4888" t="s">
        <v>50</v>
      </c>
      <c r="G4888">
        <v>-416.01510000000002</v>
      </c>
      <c r="H4888" s="1">
        <v>-4.2118239999999999E-6</v>
      </c>
      <c r="I4888">
        <v>126.01260000000001</v>
      </c>
      <c r="J4888">
        <v>-411.60680000000002</v>
      </c>
      <c r="K4888">
        <v>1.119521</v>
      </c>
      <c r="L4888">
        <v>134.30619999999999</v>
      </c>
      <c r="M4888">
        <v>-0.78705839999999905</v>
      </c>
      <c r="N4888">
        <v>0</v>
      </c>
      <c r="O4888">
        <v>-0.6166855</v>
      </c>
      <c r="P4888">
        <v>-0.55991550000000001</v>
      </c>
      <c r="Q4888">
        <v>0.10497620000000001</v>
      </c>
      <c r="R4888">
        <v>-0.82187259999999995</v>
      </c>
      <c r="S4888">
        <v>-1.4746090000000001</v>
      </c>
      <c r="T4888">
        <v>-0.3552225</v>
      </c>
      <c r="U4888">
        <v>-2.6941989999999998</v>
      </c>
      <c r="V4888">
        <v>-0.30425940000000001</v>
      </c>
      <c r="W4888">
        <v>0.11266279999999999</v>
      </c>
      <c r="X4888">
        <v>0.94590350000000001</v>
      </c>
      <c r="Y4888">
        <v>-0.39511459999999998</v>
      </c>
      <c r="Z4888">
        <v>5.2338139999999998E-2</v>
      </c>
      <c r="AA4888">
        <v>0.9171397</v>
      </c>
      <c r="AB4888">
        <v>30</v>
      </c>
      <c r="AC4888">
        <v>-4.4082999999999899</v>
      </c>
      <c r="AD4888">
        <v>-1.119525211824</v>
      </c>
      <c r="AE4888">
        <v>-8.2935999999999801</v>
      </c>
      <c r="AF4888">
        <v>-3.7561017410500002</v>
      </c>
      <c r="AG4888">
        <v>-1.119525211824</v>
      </c>
      <c r="AH4888">
        <v>8.4648899584326802</v>
      </c>
      <c r="AI4888">
        <v>96.892949032874796</v>
      </c>
      <c r="AJ4888">
        <v>113.928162322162</v>
      </c>
      <c r="AK4888">
        <v>9.3282366499463798</v>
      </c>
      <c r="AL4888">
        <v>83.531163179947697</v>
      </c>
      <c r="AM4888">
        <v>107.830910709721</v>
      </c>
      <c r="AN4888">
        <v>1.0000000601522201</v>
      </c>
    </row>
    <row r="4889" spans="1:40" x14ac:dyDescent="0.25">
      <c r="A4889" t="str">
        <f>"20190312164126439"</f>
        <v>20190312164126439</v>
      </c>
      <c r="B4889" t="str">
        <f>"1552380086430710"</f>
        <v>1552380086430710</v>
      </c>
      <c r="C4889" t="s">
        <v>40</v>
      </c>
      <c r="D4889">
        <v>5.181826</v>
      </c>
      <c r="E4889">
        <v>0.4590032</v>
      </c>
      <c r="F4889" t="s">
        <v>50</v>
      </c>
      <c r="G4889">
        <v>-416.18189999999998</v>
      </c>
      <c r="H4889" s="1">
        <v>-4.1003219999999997E-6</v>
      </c>
      <c r="I4889">
        <v>125.75830000000001</v>
      </c>
      <c r="J4889">
        <v>-411.82960000000003</v>
      </c>
      <c r="K4889">
        <v>1.1194900000000001</v>
      </c>
      <c r="L4889">
        <v>134.11760000000001</v>
      </c>
      <c r="M4889">
        <v>-0.78017109999999901</v>
      </c>
      <c r="N4889">
        <v>0</v>
      </c>
      <c r="O4889">
        <v>-0.62537619999999905</v>
      </c>
      <c r="P4889">
        <v>-0.5531471</v>
      </c>
      <c r="Q4889">
        <v>0.105486999999999</v>
      </c>
      <c r="R4889">
        <v>-0.82637859999999996</v>
      </c>
      <c r="S4889">
        <v>-1.4494320000000001</v>
      </c>
      <c r="T4889">
        <v>-0.35467799999999999</v>
      </c>
      <c r="U4889">
        <v>-2.7080690000000001</v>
      </c>
      <c r="V4889">
        <v>-0.30148219999999998</v>
      </c>
      <c r="W4889">
        <v>0.1132701</v>
      </c>
      <c r="X4889">
        <v>0.9467198</v>
      </c>
      <c r="Y4889">
        <v>-0.39354679999999997</v>
      </c>
      <c r="Z4889">
        <v>5.34945E-2</v>
      </c>
      <c r="AA4889">
        <v>0.91774679999999997</v>
      </c>
      <c r="AB4889">
        <v>30</v>
      </c>
      <c r="AC4889">
        <v>-4.3522999999999499</v>
      </c>
      <c r="AD4889">
        <v>-1.11949410032199</v>
      </c>
      <c r="AE4889">
        <v>-8.3592999999999993</v>
      </c>
      <c r="AF4889">
        <v>-3.7474343014659102</v>
      </c>
      <c r="AG4889">
        <v>-1.11949410032199</v>
      </c>
      <c r="AH4889">
        <v>8.5042744750124708</v>
      </c>
      <c r="AI4889">
        <v>96.868874186292899</v>
      </c>
      <c r="AJ4889">
        <v>113.780833937132</v>
      </c>
      <c r="AK4889">
        <v>9.3605136200321599</v>
      </c>
      <c r="AL4889">
        <v>83.496142932238499</v>
      </c>
      <c r="AM4889">
        <v>107.664036639972</v>
      </c>
      <c r="AN4889">
        <v>1.00000000609144</v>
      </c>
    </row>
    <row r="4890" spans="1:40" x14ac:dyDescent="0.25">
      <c r="A4890" t="str">
        <f>"20190312164126460"</f>
        <v>20190312164126460</v>
      </c>
      <c r="B4890" t="str">
        <f>"1552380086451205"</f>
        <v>1552380086451205</v>
      </c>
      <c r="C4890" t="s">
        <v>40</v>
      </c>
      <c r="D4890">
        <v>5.1600199999999896</v>
      </c>
      <c r="E4890">
        <v>0.46026240000000002</v>
      </c>
      <c r="F4890" t="s">
        <v>42</v>
      </c>
      <c r="G4890">
        <v>-412.31920000000002</v>
      </c>
      <c r="H4890">
        <v>0.99054679999999995</v>
      </c>
      <c r="I4890">
        <v>133.1541</v>
      </c>
      <c r="J4890">
        <v>-412.05419999999998</v>
      </c>
      <c r="K4890">
        <v>1.1194550000000001</v>
      </c>
      <c r="L4890">
        <v>133.9228</v>
      </c>
      <c r="M4890">
        <v>-0.77306350000000001</v>
      </c>
      <c r="N4890">
        <v>0</v>
      </c>
      <c r="O4890">
        <v>-0.63414159999999997</v>
      </c>
      <c r="P4890">
        <v>-0.54634669999999996</v>
      </c>
      <c r="Q4890">
        <v>0.1064672</v>
      </c>
      <c r="R4890">
        <v>-0.83076489999999903</v>
      </c>
      <c r="S4890">
        <v>-1.3939509999999999</v>
      </c>
      <c r="T4890">
        <v>-0.3671374</v>
      </c>
      <c r="U4890">
        <v>-2.7440639999999998</v>
      </c>
      <c r="V4890">
        <v>-0.29847580000000001</v>
      </c>
      <c r="W4890">
        <v>0.1143512</v>
      </c>
      <c r="X4890">
        <v>0.94754210000000005</v>
      </c>
      <c r="Y4890">
        <v>-0.40284959999999997</v>
      </c>
      <c r="Z4890">
        <v>5.5969289999999998E-2</v>
      </c>
      <c r="AA4890">
        <v>0.91355339999999996</v>
      </c>
      <c r="AB4890">
        <v>30</v>
      </c>
      <c r="AC4890">
        <v>-0.26500000000004298</v>
      </c>
      <c r="AD4890">
        <v>-0.128908199999999</v>
      </c>
      <c r="AE4890">
        <v>-0.76869999999999505</v>
      </c>
      <c r="AF4890">
        <v>-0.415805709318532</v>
      </c>
      <c r="AG4890">
        <v>-0.128908199999999</v>
      </c>
      <c r="AH4890">
        <v>0.67543168988847202</v>
      </c>
      <c r="AI4890">
        <v>99.231275803297194</v>
      </c>
      <c r="AJ4890">
        <v>121.61706507319499</v>
      </c>
      <c r="AK4890">
        <v>0.80356684826760005</v>
      </c>
      <c r="AL4890">
        <v>83.433795419646501</v>
      </c>
      <c r="AM4890">
        <v>107.484429441085</v>
      </c>
      <c r="AN4890">
        <v>1.00000001569974</v>
      </c>
    </row>
    <row r="4891" spans="1:40" x14ac:dyDescent="0.25">
      <c r="A4891" t="str">
        <f>"20190312164126483"</f>
        <v>20190312164126483</v>
      </c>
      <c r="B4891" t="str">
        <f>"1552380086470726"</f>
        <v>1552380086470726</v>
      </c>
      <c r="C4891" t="s">
        <v>40</v>
      </c>
      <c r="D4891">
        <v>5.230505</v>
      </c>
      <c r="E4891">
        <v>0.46086110000000002</v>
      </c>
      <c r="F4891" t="s">
        <v>42</v>
      </c>
      <c r="G4891">
        <v>-412.55059999999997</v>
      </c>
      <c r="H4891">
        <v>0.98694210000000004</v>
      </c>
      <c r="I4891">
        <v>132.9331</v>
      </c>
      <c r="J4891">
        <v>-412.27229999999997</v>
      </c>
      <c r="K4891">
        <v>1.119424</v>
      </c>
      <c r="L4891">
        <v>133.7294</v>
      </c>
      <c r="M4891">
        <v>-0.76600880000000005</v>
      </c>
      <c r="N4891">
        <v>0</v>
      </c>
      <c r="O4891">
        <v>-0.64264569999999999</v>
      </c>
      <c r="P4891">
        <v>-0.53986460000000003</v>
      </c>
      <c r="Q4891">
        <v>0.1074628</v>
      </c>
      <c r="R4891">
        <v>-0.83486450000000001</v>
      </c>
      <c r="S4891">
        <v>-1.3792719999999901</v>
      </c>
      <c r="T4891">
        <v>-0.3682783</v>
      </c>
      <c r="U4891">
        <v>-2.7512509999999999</v>
      </c>
      <c r="V4891">
        <v>-0.29528749999999998</v>
      </c>
      <c r="W4891">
        <v>0.1154511</v>
      </c>
      <c r="X4891">
        <v>0.94840720000000001</v>
      </c>
      <c r="Y4891">
        <v>-0.39763949999999998</v>
      </c>
      <c r="Z4891">
        <v>5.7602130000000001E-2</v>
      </c>
      <c r="AA4891">
        <v>0.91573179999999998</v>
      </c>
      <c r="AB4891">
        <v>30</v>
      </c>
      <c r="AC4891">
        <v>-0.27830000000000099</v>
      </c>
      <c r="AD4891">
        <v>-0.13248189999999899</v>
      </c>
      <c r="AE4891">
        <v>-0.79630000000000201</v>
      </c>
      <c r="AF4891">
        <v>-0.42079596519812101</v>
      </c>
      <c r="AG4891">
        <v>-0.13248189999999899</v>
      </c>
      <c r="AH4891">
        <v>0.70755197681966098</v>
      </c>
      <c r="AI4891">
        <v>99.142247162871101</v>
      </c>
      <c r="AJ4891">
        <v>120.74083494434799</v>
      </c>
      <c r="AK4891">
        <v>0.83381682524163403</v>
      </c>
      <c r="AL4891">
        <v>83.370355122969201</v>
      </c>
      <c r="AM4891">
        <v>107.29402753793001</v>
      </c>
      <c r="AN4891">
        <v>0.99999994057964803</v>
      </c>
    </row>
    <row r="4892" spans="1:40" x14ac:dyDescent="0.25">
      <c r="A4892" t="str">
        <f>"20190312164126505"</f>
        <v>20190312164126505</v>
      </c>
      <c r="B4892" t="str">
        <f>"1552380086500981"</f>
        <v>1552380086500981</v>
      </c>
      <c r="C4892" t="s">
        <v>40</v>
      </c>
      <c r="D4892">
        <v>5.3081459999999998</v>
      </c>
      <c r="E4892">
        <v>0.46111679999999999</v>
      </c>
      <c r="F4892" t="s">
        <v>50</v>
      </c>
      <c r="G4892">
        <v>-416.43150000000003</v>
      </c>
      <c r="H4892" s="1">
        <v>-3.906147E-6</v>
      </c>
      <c r="I4892">
        <v>125.2991</v>
      </c>
      <c r="J4892">
        <v>-412.49160000000001</v>
      </c>
      <c r="K4892">
        <v>1.1193850000000001</v>
      </c>
      <c r="L4892">
        <v>133.53049999999999</v>
      </c>
      <c r="M4892">
        <v>-0.7587566</v>
      </c>
      <c r="N4892">
        <v>0</v>
      </c>
      <c r="O4892">
        <v>-0.65119249999999995</v>
      </c>
      <c r="P4892">
        <v>-0.53249250000000004</v>
      </c>
      <c r="Q4892">
        <v>0.1082263</v>
      </c>
      <c r="R4892">
        <v>-0.8394876</v>
      </c>
      <c r="S4892">
        <v>-1.361694</v>
      </c>
      <c r="T4892">
        <v>-0.3664963</v>
      </c>
      <c r="U4892">
        <v>-2.76004</v>
      </c>
      <c r="V4892">
        <v>-0.29293449999999999</v>
      </c>
      <c r="W4892">
        <v>0.1162956</v>
      </c>
      <c r="X4892">
        <v>0.94903360000000003</v>
      </c>
      <c r="Y4892">
        <v>-0.39323930000000001</v>
      </c>
      <c r="Z4892">
        <v>5.8738150000000003E-2</v>
      </c>
      <c r="AA4892">
        <v>0.91755799999999998</v>
      </c>
      <c r="AB4892">
        <v>30</v>
      </c>
      <c r="AC4892">
        <v>-3.9399000000000202</v>
      </c>
      <c r="AD4892">
        <v>-1.1193889061469999</v>
      </c>
      <c r="AE4892">
        <v>-8.2313999999999901</v>
      </c>
      <c r="AF4892">
        <v>-3.6258756761014599</v>
      </c>
      <c r="AG4892">
        <v>-1.1193889061469999</v>
      </c>
      <c r="AH4892">
        <v>8.2268564461851597</v>
      </c>
      <c r="AI4892">
        <v>97.097298383328393</v>
      </c>
      <c r="AJ4892">
        <v>113.784837331413</v>
      </c>
      <c r="AK4892">
        <v>9.0598660546327991</v>
      </c>
      <c r="AL4892">
        <v>83.321641298096793</v>
      </c>
      <c r="AM4892">
        <v>107.153683750033</v>
      </c>
      <c r="AN4892">
        <v>1.00000003089928</v>
      </c>
    </row>
    <row r="4893" spans="1:40" x14ac:dyDescent="0.25">
      <c r="A4893" t="str">
        <f>"20190312164126528"</f>
        <v>20190312164126528</v>
      </c>
      <c r="B4893" t="str">
        <f>"1552380086521478"</f>
        <v>1552380086521478</v>
      </c>
      <c r="C4893" t="s">
        <v>40</v>
      </c>
      <c r="D4893">
        <v>5.3505409999999998</v>
      </c>
      <c r="E4893">
        <v>0.4614974</v>
      </c>
      <c r="F4893" t="s">
        <v>50</v>
      </c>
      <c r="G4893">
        <v>-416.5659</v>
      </c>
      <c r="H4893" s="1">
        <v>-3.818663E-6</v>
      </c>
      <c r="I4893">
        <v>125.101</v>
      </c>
      <c r="J4893">
        <v>-412.72050000000002</v>
      </c>
      <c r="K4893">
        <v>1.119354</v>
      </c>
      <c r="L4893">
        <v>133.31809999999999</v>
      </c>
      <c r="M4893">
        <v>-0.75101580000000001</v>
      </c>
      <c r="N4893">
        <v>0</v>
      </c>
      <c r="O4893">
        <v>-0.6601051</v>
      </c>
      <c r="P4893">
        <v>-0.52467079999999999</v>
      </c>
      <c r="Q4893">
        <v>0.108831399999999</v>
      </c>
      <c r="R4893">
        <v>-0.84432039999999997</v>
      </c>
      <c r="S4893">
        <v>-1.3395079999999999</v>
      </c>
      <c r="T4893">
        <v>-0.36802380000000001</v>
      </c>
      <c r="U4893">
        <v>-2.7713779999999999</v>
      </c>
      <c r="V4893">
        <v>-0.29048559999999901</v>
      </c>
      <c r="W4893">
        <v>0.11698509999999999</v>
      </c>
      <c r="X4893">
        <v>0.94970129999999997</v>
      </c>
      <c r="Y4893">
        <v>-0.38986209999999999</v>
      </c>
      <c r="Z4893">
        <v>6.0388530000000003E-2</v>
      </c>
      <c r="AA4893">
        <v>0.91889109999999996</v>
      </c>
      <c r="AB4893">
        <v>30</v>
      </c>
      <c r="AC4893">
        <v>-3.8453999999999802</v>
      </c>
      <c r="AD4893">
        <v>-1.119357818663</v>
      </c>
      <c r="AE4893">
        <v>-8.2170999999999808</v>
      </c>
      <c r="AF4893">
        <v>-3.5787545436471899</v>
      </c>
      <c r="AG4893">
        <v>-1.119357818663</v>
      </c>
      <c r="AH4893">
        <v>8.1884373944940894</v>
      </c>
      <c r="AI4893">
        <v>97.139640311602705</v>
      </c>
      <c r="AJ4893">
        <v>113.607721392146</v>
      </c>
      <c r="AK4893">
        <v>9.0061619446591408</v>
      </c>
      <c r="AL4893">
        <v>83.281863994959906</v>
      </c>
      <c r="AM4893">
        <v>107.00732530139901</v>
      </c>
      <c r="AN4893">
        <v>0.999999978325529</v>
      </c>
    </row>
    <row r="4894" spans="1:40" x14ac:dyDescent="0.25">
      <c r="A4894" t="str">
        <f>"20190312164126549"</f>
        <v>20190312164126549</v>
      </c>
      <c r="B4894" t="str">
        <f>"1552380086540998"</f>
        <v>1552380086540998</v>
      </c>
      <c r="C4894" t="s">
        <v>40</v>
      </c>
      <c r="D4894">
        <v>5.532978</v>
      </c>
      <c r="E4894">
        <v>0.46155010000000002</v>
      </c>
      <c r="F4894" t="s">
        <v>50</v>
      </c>
      <c r="G4894">
        <v>-416.71409999999997</v>
      </c>
      <c r="H4894" s="1">
        <v>-3.7219330000000002E-6</v>
      </c>
      <c r="I4894">
        <v>124.8818</v>
      </c>
      <c r="J4894">
        <v>-412.92270000000002</v>
      </c>
      <c r="K4894">
        <v>1.1193249999999999</v>
      </c>
      <c r="L4894">
        <v>133.12639999999999</v>
      </c>
      <c r="M4894">
        <v>-0.74402699999999999</v>
      </c>
      <c r="N4894">
        <v>0</v>
      </c>
      <c r="O4894">
        <v>-0.66797280000000003</v>
      </c>
      <c r="P4894">
        <v>-0.51752419999999999</v>
      </c>
      <c r="Q4894">
        <v>0.11046739999999999</v>
      </c>
      <c r="R4894">
        <v>-0.848508499999999</v>
      </c>
      <c r="S4894">
        <v>-1.317078</v>
      </c>
      <c r="T4894">
        <v>-0.36915930000000002</v>
      </c>
      <c r="U4894">
        <v>-2.7822719999999999</v>
      </c>
      <c r="V4894">
        <v>-0.2883733</v>
      </c>
      <c r="W4894">
        <v>0.1186926</v>
      </c>
      <c r="X4894">
        <v>0.95013309999999995</v>
      </c>
      <c r="Y4894">
        <v>-0.38765660000000002</v>
      </c>
      <c r="Z4894">
        <v>6.178583E-2</v>
      </c>
      <c r="AA4894">
        <v>0.91973090000000002</v>
      </c>
      <c r="AB4894">
        <v>30</v>
      </c>
      <c r="AC4894">
        <v>-3.7913999999999501</v>
      </c>
      <c r="AD4894">
        <v>-1.1193287219329999</v>
      </c>
      <c r="AE4894">
        <v>-8.2445999999999895</v>
      </c>
      <c r="AF4894">
        <v>-3.5480953232114198</v>
      </c>
      <c r="AG4894">
        <v>-1.1193287219329999</v>
      </c>
      <c r="AH4894">
        <v>8.2042316993614897</v>
      </c>
      <c r="AI4894">
        <v>97.137669709813395</v>
      </c>
      <c r="AJ4894">
        <v>113.387100529403</v>
      </c>
      <c r="AK4894">
        <v>9.0084013557982008</v>
      </c>
      <c r="AL4894">
        <v>83.183345181050996</v>
      </c>
      <c r="AM4894">
        <v>106.883480262457</v>
      </c>
      <c r="AN4894">
        <v>1.0000000005816201</v>
      </c>
    </row>
    <row r="4895" spans="1:40" x14ac:dyDescent="0.25">
      <c r="A4895" t="str">
        <f>"20190312164126572"</f>
        <v>20190312164126572</v>
      </c>
      <c r="B4895" t="str">
        <f>"1552380086561494"</f>
        <v>1552380086561494</v>
      </c>
      <c r="C4895" t="s">
        <v>40</v>
      </c>
      <c r="D4895">
        <v>5.2847980000000003</v>
      </c>
      <c r="E4895">
        <v>0.46827800000000003</v>
      </c>
      <c r="F4895" t="s">
        <v>50</v>
      </c>
      <c r="G4895">
        <v>-416.8818</v>
      </c>
      <c r="H4895" s="1">
        <v>-3.5821130000000001E-6</v>
      </c>
      <c r="I4895">
        <v>124.57810000000001</v>
      </c>
      <c r="J4895">
        <v>-413.13499999999999</v>
      </c>
      <c r="K4895">
        <v>1.119302</v>
      </c>
      <c r="L4895">
        <v>132.9205</v>
      </c>
      <c r="M4895">
        <v>-0.7365292</v>
      </c>
      <c r="N4895">
        <v>0</v>
      </c>
      <c r="O4895">
        <v>-0.67623100000000003</v>
      </c>
      <c r="P4895">
        <v>-0.51047359999999997</v>
      </c>
      <c r="Q4895">
        <v>0.1118678</v>
      </c>
      <c r="R4895">
        <v>-0.8525857</v>
      </c>
      <c r="S4895">
        <v>-1.2940370000000001</v>
      </c>
      <c r="T4895">
        <v>-0.3658535</v>
      </c>
      <c r="U4895">
        <v>-2.794022</v>
      </c>
      <c r="V4895">
        <v>-0.28552909999999998</v>
      </c>
      <c r="W4895">
        <v>0.12018529999999999</v>
      </c>
      <c r="X4895">
        <v>0.95080419999999999</v>
      </c>
      <c r="Y4895">
        <v>-0.38511709999999999</v>
      </c>
      <c r="Z4895">
        <v>6.2498110000000003E-2</v>
      </c>
      <c r="AA4895">
        <v>0.92074909999999999</v>
      </c>
      <c r="AB4895">
        <v>30</v>
      </c>
      <c r="AC4895">
        <v>-3.7467999999999999</v>
      </c>
      <c r="AD4895">
        <v>-1.119305582113</v>
      </c>
      <c r="AE4895">
        <v>-8.3423999999999907</v>
      </c>
      <c r="AF4895">
        <v>-3.5578488915020601</v>
      </c>
      <c r="AG4895">
        <v>-1.119305582113</v>
      </c>
      <c r="AH4895">
        <v>8.2780051045892105</v>
      </c>
      <c r="AI4895">
        <v>97.081377580665404</v>
      </c>
      <c r="AJ4895">
        <v>113.257812851742</v>
      </c>
      <c r="AK4895">
        <v>9.0794549523920693</v>
      </c>
      <c r="AL4895">
        <v>83.097203114739898</v>
      </c>
      <c r="AM4895">
        <v>106.715156058983</v>
      </c>
      <c r="AN4895">
        <v>1.00000000001027</v>
      </c>
    </row>
    <row r="4896" spans="1:40" x14ac:dyDescent="0.25">
      <c r="A4896" t="str">
        <f>"20190312164126594"</f>
        <v>20190312164126594</v>
      </c>
      <c r="B4896" t="str">
        <f>"1552380086591753"</f>
        <v>1552380086591753</v>
      </c>
      <c r="C4896" t="s">
        <v>40</v>
      </c>
      <c r="D4896">
        <v>5.49939</v>
      </c>
      <c r="E4896">
        <v>0.46928750000000002</v>
      </c>
      <c r="F4896" t="s">
        <v>50</v>
      </c>
      <c r="G4896">
        <v>-417.6798</v>
      </c>
      <c r="H4896" s="1">
        <v>-2.684918E-6</v>
      </c>
      <c r="I4896">
        <v>123.34139999999999</v>
      </c>
      <c r="J4896">
        <v>-413.34539999999998</v>
      </c>
      <c r="K4896">
        <v>1.1192679999999999</v>
      </c>
      <c r="L4896">
        <v>132.71209999999999</v>
      </c>
      <c r="M4896">
        <v>-0.72894369999999997</v>
      </c>
      <c r="N4896">
        <v>0</v>
      </c>
      <c r="O4896">
        <v>-0.6844015</v>
      </c>
      <c r="P4896">
        <v>-0.50339290000000003</v>
      </c>
      <c r="Q4896">
        <v>0.1131409</v>
      </c>
      <c r="R4896">
        <v>-0.85661860000000001</v>
      </c>
      <c r="S4896">
        <v>-1.315796</v>
      </c>
      <c r="T4896">
        <v>-0.32406119999999999</v>
      </c>
      <c r="U4896">
        <v>-2.773361</v>
      </c>
      <c r="V4896">
        <v>-0.28269319999999998</v>
      </c>
      <c r="W4896">
        <v>0.1215519</v>
      </c>
      <c r="X4896">
        <v>0.95147760000000003</v>
      </c>
      <c r="Y4896">
        <v>-0.36609659999999999</v>
      </c>
      <c r="Z4896">
        <v>5.7424030000000001E-2</v>
      </c>
      <c r="AA4896">
        <v>0.92880339999999995</v>
      </c>
      <c r="AB4896">
        <v>30</v>
      </c>
      <c r="AC4896">
        <v>-4.3344000000000102</v>
      </c>
      <c r="AD4896">
        <v>-1.1192706849180001</v>
      </c>
      <c r="AE4896">
        <v>-9.3706999999999994</v>
      </c>
      <c r="AF4896">
        <v>-3.8198065460255499</v>
      </c>
      <c r="AG4896">
        <v>-1.1192706849180001</v>
      </c>
      <c r="AH4896">
        <v>9.4627730016024199</v>
      </c>
      <c r="AI4896">
        <v>96.259315913078197</v>
      </c>
      <c r="AJ4896">
        <v>111.98229019810201</v>
      </c>
      <c r="AK4896">
        <v>10.2658541678241</v>
      </c>
      <c r="AL4896">
        <v>83.018324162857695</v>
      </c>
      <c r="AM4896">
        <v>106.547193859548</v>
      </c>
      <c r="AN4896">
        <v>0.99999996651080403</v>
      </c>
    </row>
    <row r="4897" spans="1:40" x14ac:dyDescent="0.25">
      <c r="A4897" t="str">
        <f>"20190312164126618"</f>
        <v>20190312164126618</v>
      </c>
      <c r="B4897" t="str">
        <f>"1552380086611273"</f>
        <v>1552380086611273</v>
      </c>
      <c r="C4897" t="s">
        <v>40</v>
      </c>
      <c r="D4897">
        <v>5.4345970000000001</v>
      </c>
      <c r="E4897">
        <v>0.48346470000000002</v>
      </c>
      <c r="F4897" t="s">
        <v>50</v>
      </c>
      <c r="G4897">
        <v>-417.77589999999998</v>
      </c>
      <c r="H4897" s="1">
        <v>-2.6049269999999999E-6</v>
      </c>
      <c r="I4897">
        <v>123.2366</v>
      </c>
      <c r="J4897">
        <v>-413.56029999999998</v>
      </c>
      <c r="K4897">
        <v>1.1192230000000001</v>
      </c>
      <c r="L4897">
        <v>132.49440000000001</v>
      </c>
      <c r="M4897">
        <v>-0.72102739999999998</v>
      </c>
      <c r="N4897">
        <v>0</v>
      </c>
      <c r="O4897">
        <v>-0.69273660000000004</v>
      </c>
      <c r="P4897">
        <v>-0.49597619999999998</v>
      </c>
      <c r="Q4897">
        <v>0.1137981</v>
      </c>
      <c r="R4897">
        <v>-0.86084719999999904</v>
      </c>
      <c r="S4897">
        <v>-1.300446</v>
      </c>
      <c r="T4897">
        <v>-0.32853389999999999</v>
      </c>
      <c r="U4897">
        <v>-2.7812960000000002</v>
      </c>
      <c r="V4897">
        <v>-0.27990470000000001</v>
      </c>
      <c r="W4897">
        <v>0.12230290000000001</v>
      </c>
      <c r="X4897">
        <v>0.95220550000000004</v>
      </c>
      <c r="Y4897">
        <v>-0.3606782</v>
      </c>
      <c r="Z4897">
        <v>5.9475159999999999E-2</v>
      </c>
      <c r="AA4897">
        <v>0.93079210000000001</v>
      </c>
      <c r="AB4897">
        <v>30</v>
      </c>
      <c r="AC4897">
        <v>-4.2155999999999896</v>
      </c>
      <c r="AD4897">
        <v>-1.119225604927</v>
      </c>
      <c r="AE4897">
        <v>-9.2578000000000102</v>
      </c>
      <c r="AF4897">
        <v>-3.7103531610760498</v>
      </c>
      <c r="AG4897">
        <v>-1.119225604927</v>
      </c>
      <c r="AH4897">
        <v>9.3408169462851802</v>
      </c>
      <c r="AI4897">
        <v>96.354131620029705</v>
      </c>
      <c r="AJ4897">
        <v>111.663933130969</v>
      </c>
      <c r="AK4897">
        <v>10.112875345748</v>
      </c>
      <c r="AL4897">
        <v>82.974971653587602</v>
      </c>
      <c r="AM4897">
        <v>106.380914863058</v>
      </c>
      <c r="AN4897">
        <v>0.99999997733037405</v>
      </c>
    </row>
    <row r="4898" spans="1:40" x14ac:dyDescent="0.25">
      <c r="A4898" t="str">
        <f>"20190312164126640"</f>
        <v>20190312164126640</v>
      </c>
      <c r="B4898" t="str">
        <f>"1552380086630794"</f>
        <v>1552380086630794</v>
      </c>
      <c r="C4898" t="s">
        <v>40</v>
      </c>
      <c r="D4898">
        <v>5.433522</v>
      </c>
      <c r="E4898">
        <v>0.48429660000000002</v>
      </c>
      <c r="F4898" t="s">
        <v>50</v>
      </c>
      <c r="G4898">
        <v>-418.6377</v>
      </c>
      <c r="H4898" s="1">
        <v>-1.9565779999999999E-6</v>
      </c>
      <c r="I4898">
        <v>122.4053</v>
      </c>
      <c r="J4898">
        <v>-413.76260000000002</v>
      </c>
      <c r="K4898">
        <v>1.1191850000000001</v>
      </c>
      <c r="L4898">
        <v>132.28450000000001</v>
      </c>
      <c r="M4898">
        <v>-0.71341259999999995</v>
      </c>
      <c r="N4898">
        <v>0</v>
      </c>
      <c r="O4898">
        <v>-0.70057619999999998</v>
      </c>
      <c r="P4898">
        <v>-0.48899290000000001</v>
      </c>
      <c r="Q4898">
        <v>0.11296580000000001</v>
      </c>
      <c r="R4898">
        <v>-0.86494210000000005</v>
      </c>
      <c r="S4898">
        <v>-1.3752139999999999</v>
      </c>
      <c r="T4898">
        <v>-0.30314540000000001</v>
      </c>
      <c r="U4898">
        <v>-2.7326510000000002</v>
      </c>
      <c r="V4898">
        <v>-0.2772442</v>
      </c>
      <c r="W4898">
        <v>0.1215623</v>
      </c>
      <c r="X4898">
        <v>0.95307830000000004</v>
      </c>
      <c r="Y4898">
        <v>-0.32329980000000003</v>
      </c>
      <c r="Z4898">
        <v>5.7470019999999997E-2</v>
      </c>
      <c r="AA4898">
        <v>0.94454990000000005</v>
      </c>
      <c r="AB4898">
        <v>30</v>
      </c>
      <c r="AC4898">
        <v>-4.8750999999999696</v>
      </c>
      <c r="AD4898">
        <v>-1.1191869565779999</v>
      </c>
      <c r="AE4898">
        <v>-9.8792000000000098</v>
      </c>
      <c r="AF4898">
        <v>-3.5958822541669901</v>
      </c>
      <c r="AG4898">
        <v>-1.1191869565779999</v>
      </c>
      <c r="AH4898">
        <v>10.294072097853199</v>
      </c>
      <c r="AI4898">
        <v>95.860292676112195</v>
      </c>
      <c r="AJ4898">
        <v>109.25511625493699</v>
      </c>
      <c r="AK4898">
        <v>10.961335182604699</v>
      </c>
      <c r="AL4898">
        <v>83.017724017842298</v>
      </c>
      <c r="AM4898">
        <v>106.21936552755</v>
      </c>
      <c r="AN4898">
        <v>0.99999999257290995</v>
      </c>
    </row>
    <row r="4899" spans="1:40" x14ac:dyDescent="0.25">
      <c r="A4899" t="str">
        <f>"20190312164126662"</f>
        <v>20190312164126662</v>
      </c>
      <c r="B4899" t="str">
        <f>"1552380086651289"</f>
        <v>1552380086651289</v>
      </c>
      <c r="C4899" t="s">
        <v>40</v>
      </c>
      <c r="D4899">
        <v>5.4345429999999997</v>
      </c>
      <c r="E4899">
        <v>0.48468349999999999</v>
      </c>
      <c r="F4899" t="s">
        <v>50</v>
      </c>
      <c r="G4899">
        <v>-418.7663</v>
      </c>
      <c r="H4899" s="1">
        <v>-1.7999459999999999E-6</v>
      </c>
      <c r="I4899">
        <v>122.1871</v>
      </c>
      <c r="J4899">
        <v>-413.95909999999998</v>
      </c>
      <c r="K4899">
        <v>1.11914</v>
      </c>
      <c r="L4899">
        <v>132.0761</v>
      </c>
      <c r="M4899">
        <v>-0.70586130000000002</v>
      </c>
      <c r="N4899">
        <v>0</v>
      </c>
      <c r="O4899">
        <v>-0.70818440000000005</v>
      </c>
      <c r="P4899">
        <v>-0.48208450000000003</v>
      </c>
      <c r="Q4899">
        <v>0.1127778</v>
      </c>
      <c r="R4899">
        <v>-0.86883650000000001</v>
      </c>
      <c r="S4899">
        <v>-1.35797099999999</v>
      </c>
      <c r="T4899">
        <v>-0.30374050000000002</v>
      </c>
      <c r="U4899">
        <v>-2.7403870000000001</v>
      </c>
      <c r="V4899">
        <v>-0.27461649999999999</v>
      </c>
      <c r="W4899">
        <v>0.121462899999999</v>
      </c>
      <c r="X4899">
        <v>0.95385140000000002</v>
      </c>
      <c r="Y4899">
        <v>-0.3190153</v>
      </c>
      <c r="Z4899">
        <v>5.8634190000000003E-2</v>
      </c>
      <c r="AA4899">
        <v>0.9459341</v>
      </c>
      <c r="AB4899">
        <v>30</v>
      </c>
      <c r="AC4899">
        <v>-4.8072000000000203</v>
      </c>
      <c r="AD4899">
        <v>-1.119141799946</v>
      </c>
      <c r="AE4899">
        <v>-9.8889999999999905</v>
      </c>
      <c r="AF4899">
        <v>-3.5396292465632202</v>
      </c>
      <c r="AG4899">
        <v>-1.119141799946</v>
      </c>
      <c r="AH4899">
        <v>10.291061910524901</v>
      </c>
      <c r="AI4899">
        <v>95.871430056224796</v>
      </c>
      <c r="AJ4899">
        <v>108.98074748203901</v>
      </c>
      <c r="AK4899">
        <v>10.940174076209599</v>
      </c>
      <c r="AL4899">
        <v>83.023461617302701</v>
      </c>
      <c r="AM4899">
        <v>106.061258419296</v>
      </c>
      <c r="AN4899">
        <v>0.99999997571530896</v>
      </c>
    </row>
    <row r="4900" spans="1:40" x14ac:dyDescent="0.25">
      <c r="A4900" t="str">
        <f>"20190312164126684"</f>
        <v>20190312164126684</v>
      </c>
      <c r="B4900" t="str">
        <f>"1552380086670809"</f>
        <v>1552380086670809</v>
      </c>
      <c r="C4900" t="s">
        <v>40</v>
      </c>
      <c r="D4900">
        <v>5.4328329999999996</v>
      </c>
      <c r="E4900">
        <v>0.48505019999999999</v>
      </c>
      <c r="F4900" t="s">
        <v>50</v>
      </c>
      <c r="G4900">
        <v>-418.90570000000002</v>
      </c>
      <c r="H4900" s="1">
        <v>-1.6044139999999901E-6</v>
      </c>
      <c r="I4900">
        <v>121.91</v>
      </c>
      <c r="J4900">
        <v>-414.15649999999999</v>
      </c>
      <c r="K4900">
        <v>1.119094</v>
      </c>
      <c r="L4900">
        <v>131.8622</v>
      </c>
      <c r="M4900">
        <v>-0.69811869999999998</v>
      </c>
      <c r="N4900">
        <v>0</v>
      </c>
      <c r="O4900">
        <v>-0.71581819999999996</v>
      </c>
      <c r="P4900">
        <v>-0.47484470000000001</v>
      </c>
      <c r="Q4900">
        <v>0.1124676</v>
      </c>
      <c r="R4900">
        <v>-0.87285380000000001</v>
      </c>
      <c r="S4900">
        <v>-1.337982</v>
      </c>
      <c r="T4900">
        <v>-0.30270799999999998</v>
      </c>
      <c r="U4900">
        <v>-2.7497560000000001</v>
      </c>
      <c r="V4900">
        <v>-0.27217720000000001</v>
      </c>
      <c r="W4900">
        <v>0.1212361</v>
      </c>
      <c r="X4900">
        <v>0.95457919999999996</v>
      </c>
      <c r="Y4900">
        <v>-0.31555460000000002</v>
      </c>
      <c r="Z4900">
        <v>5.9449259999999997E-2</v>
      </c>
      <c r="AA4900">
        <v>0.94704339999999998</v>
      </c>
      <c r="AB4900">
        <v>30</v>
      </c>
      <c r="AC4900">
        <v>-4.7492000000000303</v>
      </c>
      <c r="AD4900">
        <v>-1.1190956044139999</v>
      </c>
      <c r="AE4900">
        <v>-9.9521999999999995</v>
      </c>
      <c r="AF4900">
        <v>-3.5124940852787998</v>
      </c>
      <c r="AG4900">
        <v>-1.1190956044139999</v>
      </c>
      <c r="AH4900">
        <v>10.334262963571399</v>
      </c>
      <c r="AI4900">
        <v>95.854043397879494</v>
      </c>
      <c r="AJ4900">
        <v>108.772291362646</v>
      </c>
      <c r="AK4900">
        <v>10.972100103042299</v>
      </c>
      <c r="AL4900">
        <v>83.036553460312206</v>
      </c>
      <c r="AM4900">
        <v>105.91433139179399</v>
      </c>
      <c r="AN4900">
        <v>1.0000000346078399</v>
      </c>
    </row>
    <row r="4901" spans="1:40" x14ac:dyDescent="0.25">
      <c r="A4901" t="str">
        <f>"20190312164126706"</f>
        <v>20190312164126706</v>
      </c>
      <c r="B4901" t="str">
        <f>"1552380086701068"</f>
        <v>1552380086701068</v>
      </c>
      <c r="C4901" t="s">
        <v>40</v>
      </c>
      <c r="D4901">
        <v>5.5035439999999998</v>
      </c>
      <c r="E4901">
        <v>0.4855566</v>
      </c>
      <c r="F4901" t="s">
        <v>50</v>
      </c>
      <c r="G4901">
        <v>-419</v>
      </c>
      <c r="H4901" s="1">
        <v>-1.466782E-6</v>
      </c>
      <c r="I4901">
        <v>121.7141</v>
      </c>
      <c r="J4901">
        <v>-414.35829999999999</v>
      </c>
      <c r="K4901">
        <v>1.119054</v>
      </c>
      <c r="L4901">
        <v>131.6386</v>
      </c>
      <c r="M4901">
        <v>-0.69003639999999999</v>
      </c>
      <c r="N4901">
        <v>0</v>
      </c>
      <c r="O4901">
        <v>-0.72361299999999995</v>
      </c>
      <c r="P4901">
        <v>-0.46707949999999998</v>
      </c>
      <c r="Q4901">
        <v>0.1126403</v>
      </c>
      <c r="R4901">
        <v>-0.87701189999999996</v>
      </c>
      <c r="S4901">
        <v>-1.3171389999999901</v>
      </c>
      <c r="T4901">
        <v>-0.30432710000000002</v>
      </c>
      <c r="U4901">
        <v>-2.759674</v>
      </c>
      <c r="V4901">
        <v>-0.26989990000000003</v>
      </c>
      <c r="W4901">
        <v>0.1214865</v>
      </c>
      <c r="X4901">
        <v>0.95519370000000003</v>
      </c>
      <c r="Y4901">
        <v>-0.31208180000000002</v>
      </c>
      <c r="Z4901">
        <v>6.0796219999999998E-2</v>
      </c>
      <c r="AA4901">
        <v>0.94810799999999995</v>
      </c>
      <c r="AB4901">
        <v>30</v>
      </c>
      <c r="AC4901">
        <v>-4.6417000000000099</v>
      </c>
      <c r="AD4901">
        <v>-1.1190554667820001</v>
      </c>
      <c r="AE4901">
        <v>-9.9244999999999894</v>
      </c>
      <c r="AF4901">
        <v>-3.4538490858957598</v>
      </c>
      <c r="AG4901">
        <v>-1.1190554667820001</v>
      </c>
      <c r="AH4901">
        <v>10.278428346303899</v>
      </c>
      <c r="AI4901">
        <v>95.892256458604095</v>
      </c>
      <c r="AJ4901">
        <v>108.573836946334</v>
      </c>
      <c r="AK4901">
        <v>10.9008003337361</v>
      </c>
      <c r="AL4901">
        <v>83.022099274266495</v>
      </c>
      <c r="AM4901">
        <v>105.778190024369</v>
      </c>
      <c r="AN4901">
        <v>0.999999965110974</v>
      </c>
    </row>
    <row r="4902" spans="1:40" x14ac:dyDescent="0.25">
      <c r="A4902" t="str">
        <f>"20190312164126729"</f>
        <v>20190312164126729</v>
      </c>
      <c r="B4902" t="str">
        <f>"1552380086721561"</f>
        <v>1552380086721561</v>
      </c>
      <c r="C4902" t="s">
        <v>40</v>
      </c>
      <c r="D4902">
        <v>5.548082</v>
      </c>
      <c r="E4902">
        <v>0.48574270000000003</v>
      </c>
      <c r="F4902" t="s">
        <v>50</v>
      </c>
      <c r="G4902">
        <v>-419.14830000000001</v>
      </c>
      <c r="H4902" s="1">
        <v>-1.2529300000000001E-6</v>
      </c>
      <c r="I4902">
        <v>121.4102</v>
      </c>
      <c r="J4902">
        <v>-414.55079999999998</v>
      </c>
      <c r="K4902">
        <v>1.119014</v>
      </c>
      <c r="L4902">
        <v>131.42070000000001</v>
      </c>
      <c r="M4902">
        <v>-0.68217099999999997</v>
      </c>
      <c r="N4902">
        <v>0</v>
      </c>
      <c r="O4902">
        <v>-0.73103260000000003</v>
      </c>
      <c r="P4902">
        <v>-0.45984950000000002</v>
      </c>
      <c r="Q4902">
        <v>0.1123542</v>
      </c>
      <c r="R4902">
        <v>-0.88086070000000005</v>
      </c>
      <c r="S4902">
        <v>-1.2967219999999999</v>
      </c>
      <c r="T4902">
        <v>-0.30294660000000001</v>
      </c>
      <c r="U4902">
        <v>-2.769012</v>
      </c>
      <c r="V4902">
        <v>-0.26742939999999998</v>
      </c>
      <c r="W4902">
        <v>0.121283</v>
      </c>
      <c r="X4902">
        <v>0.95591420000000005</v>
      </c>
      <c r="Y4902">
        <v>-0.30878280000000002</v>
      </c>
      <c r="Z4902">
        <v>6.1502870000000001E-2</v>
      </c>
      <c r="AA4902">
        <v>0.94914200000000004</v>
      </c>
      <c r="AB4902">
        <v>30</v>
      </c>
      <c r="AC4902">
        <v>-4.5975000000000197</v>
      </c>
      <c r="AD4902">
        <v>-1.1190152529299999</v>
      </c>
      <c r="AE4902">
        <v>-10.0105</v>
      </c>
      <c r="AF4902">
        <v>-3.4329315269850098</v>
      </c>
      <c r="AG4902">
        <v>-1.1190152529299999</v>
      </c>
      <c r="AH4902">
        <v>10.348717091687</v>
      </c>
      <c r="AI4902">
        <v>95.8598238326217</v>
      </c>
      <c r="AJ4902">
        <v>108.351989911711</v>
      </c>
      <c r="AK4902">
        <v>10.960527334441201</v>
      </c>
      <c r="AL4902">
        <v>83.033846096997905</v>
      </c>
      <c r="AM4902">
        <v>105.62965243465</v>
      </c>
      <c r="AN4902">
        <v>1.0000000039175001</v>
      </c>
    </row>
    <row r="4903" spans="1:40" x14ac:dyDescent="0.25">
      <c r="A4903" t="str">
        <f>"20190312164126750"</f>
        <v>20190312164126750</v>
      </c>
      <c r="B4903" t="str">
        <f>"1552380086741082"</f>
        <v>1552380086741082</v>
      </c>
      <c r="C4903" t="s">
        <v>40</v>
      </c>
      <c r="D4903">
        <v>9.3860440000000001</v>
      </c>
      <c r="E4903">
        <v>0.48721599999999998</v>
      </c>
      <c r="F4903" t="s">
        <v>50</v>
      </c>
      <c r="G4903">
        <v>-419.24779999999998</v>
      </c>
      <c r="H4903" s="1">
        <v>-1.098749E-6</v>
      </c>
      <c r="I4903">
        <v>121.18940000000001</v>
      </c>
      <c r="J4903">
        <v>-414.73869999999999</v>
      </c>
      <c r="K4903">
        <v>1.118973</v>
      </c>
      <c r="L4903">
        <v>131.20330000000001</v>
      </c>
      <c r="M4903">
        <v>-0.67433319999999997</v>
      </c>
      <c r="N4903">
        <v>0</v>
      </c>
      <c r="O4903">
        <v>-0.73826890000000001</v>
      </c>
      <c r="P4903">
        <v>-0.45243810000000001</v>
      </c>
      <c r="Q4903">
        <v>0.1120033</v>
      </c>
      <c r="R4903">
        <v>-0.88473449999999998</v>
      </c>
      <c r="S4903">
        <v>-1.275604</v>
      </c>
      <c r="T4903">
        <v>-0.30390159999999899</v>
      </c>
      <c r="U4903">
        <v>-2.7786249999999999</v>
      </c>
      <c r="V4903">
        <v>-0.26526169999999999</v>
      </c>
      <c r="W4903">
        <v>0.12100660000000001</v>
      </c>
      <c r="X4903">
        <v>0.95655299999999999</v>
      </c>
      <c r="Y4903">
        <v>-0.30586590000000002</v>
      </c>
      <c r="Z4903">
        <v>6.2641050000000004E-2</v>
      </c>
      <c r="AA4903">
        <v>0.95001170000000001</v>
      </c>
      <c r="AB4903">
        <v>30</v>
      </c>
      <c r="AC4903">
        <v>-4.5090999999999797</v>
      </c>
      <c r="AD4903">
        <v>-1.118974098749</v>
      </c>
      <c r="AE4903">
        <v>-10.0139</v>
      </c>
      <c r="AF4903">
        <v>-3.3889946624245399</v>
      </c>
      <c r="AG4903">
        <v>-1.118974098749</v>
      </c>
      <c r="AH4903">
        <v>10.327591589480701</v>
      </c>
      <c r="AI4903">
        <v>95.877718842977004</v>
      </c>
      <c r="AJ4903">
        <v>108.16722705750099</v>
      </c>
      <c r="AK4903">
        <v>10.926872191744801</v>
      </c>
      <c r="AL4903">
        <v>83.049800156997094</v>
      </c>
      <c r="AM4903">
        <v>105.49922550467799</v>
      </c>
      <c r="AN4903">
        <v>1.0000000042697199</v>
      </c>
    </row>
    <row r="4904" spans="1:40" x14ac:dyDescent="0.25">
      <c r="A4904" t="str">
        <f>"20190312164126773"</f>
        <v>20190312164126773</v>
      </c>
      <c r="B4904" t="str">
        <f>"1552380086761578"</f>
        <v>1552380086761578</v>
      </c>
      <c r="C4904" t="s">
        <v>40</v>
      </c>
      <c r="D4904">
        <v>5.4885570000000001</v>
      </c>
      <c r="E4904">
        <v>0.48738809999999999</v>
      </c>
      <c r="F4904" t="s">
        <v>50</v>
      </c>
      <c r="G4904">
        <v>-419.22899999999998</v>
      </c>
      <c r="H4904" s="1">
        <v>-1.1671410000000001E-6</v>
      </c>
      <c r="I4904">
        <v>121.2929</v>
      </c>
      <c r="J4904">
        <v>-414.92750000000001</v>
      </c>
      <c r="K4904">
        <v>1.1189279999999999</v>
      </c>
      <c r="L4904">
        <v>130.9803</v>
      </c>
      <c r="M4904">
        <v>-0.66630719999999899</v>
      </c>
      <c r="N4904">
        <v>0</v>
      </c>
      <c r="O4904">
        <v>-0.74552109999999905</v>
      </c>
      <c r="P4904">
        <v>-0.44483739999999999</v>
      </c>
      <c r="Q4904">
        <v>0.1122138</v>
      </c>
      <c r="R4904">
        <v>-0.88855430000000002</v>
      </c>
      <c r="S4904">
        <v>-1.2619929999999999</v>
      </c>
      <c r="T4904">
        <v>-0.31448589999999998</v>
      </c>
      <c r="U4904">
        <v>-2.7853089999999998</v>
      </c>
      <c r="V4904">
        <v>-0.26308150000000002</v>
      </c>
      <c r="W4904">
        <v>0.1212911</v>
      </c>
      <c r="X4904">
        <v>0.95711889999999999</v>
      </c>
      <c r="Y4904">
        <v>-0.30036990000000002</v>
      </c>
      <c r="Z4904">
        <v>6.5866980000000006E-2</v>
      </c>
      <c r="AA4904">
        <v>0.9515458</v>
      </c>
      <c r="AB4904">
        <v>30</v>
      </c>
      <c r="AC4904">
        <v>-4.3015000000000301</v>
      </c>
      <c r="AD4904">
        <v>-1.118929167141</v>
      </c>
      <c r="AE4904">
        <v>-9.6873999999999896</v>
      </c>
      <c r="AF4904">
        <v>-3.21250397212079</v>
      </c>
      <c r="AG4904">
        <v>-1.118929167141</v>
      </c>
      <c r="AH4904">
        <v>9.9782602437610795</v>
      </c>
      <c r="AI4904">
        <v>96.092745088976898</v>
      </c>
      <c r="AJ4904">
        <v>107.845978910535</v>
      </c>
      <c r="AK4904">
        <v>10.5421943514713</v>
      </c>
      <c r="AL4904">
        <v>83.033378505690195</v>
      </c>
      <c r="AM4904">
        <v>105.369227625021</v>
      </c>
      <c r="AN4904">
        <v>0.99999999765933401</v>
      </c>
    </row>
    <row r="4905" spans="1:40" x14ac:dyDescent="0.25">
      <c r="A4905" t="str">
        <f>"20190312164126796"</f>
        <v>20190312164126796</v>
      </c>
      <c r="B4905" t="str">
        <f>"1552380086791364"</f>
        <v>1552380086791364</v>
      </c>
      <c r="C4905" t="s">
        <v>40</v>
      </c>
      <c r="D4905">
        <v>5.4615669999999996</v>
      </c>
      <c r="E4905">
        <v>0.48792829999999898</v>
      </c>
      <c r="F4905" t="s">
        <v>50</v>
      </c>
      <c r="G4905">
        <v>-419.33980000000003</v>
      </c>
      <c r="H4905" s="1">
        <v>-9.8419400000000008E-7</v>
      </c>
      <c r="I4905">
        <v>121.02930000000001</v>
      </c>
      <c r="J4905">
        <v>-415.11360000000002</v>
      </c>
      <c r="K4905">
        <v>1.1188800000000001</v>
      </c>
      <c r="L4905">
        <v>130.75540000000001</v>
      </c>
      <c r="M4905">
        <v>-0.65822979999999998</v>
      </c>
      <c r="N4905">
        <v>0</v>
      </c>
      <c r="O4905">
        <v>-0.7526621</v>
      </c>
      <c r="P4905">
        <v>-0.43633660000000002</v>
      </c>
      <c r="Q4905">
        <v>0.11262419999999999</v>
      </c>
      <c r="R4905">
        <v>-0.89270749999999999</v>
      </c>
      <c r="S4905">
        <v>-1.2395320000000001</v>
      </c>
      <c r="T4905">
        <v>-0.31433119999999998</v>
      </c>
      <c r="U4905">
        <v>-2.7954249999999998</v>
      </c>
      <c r="V4905">
        <v>-0.2618547</v>
      </c>
      <c r="W4905">
        <v>0.1217516</v>
      </c>
      <c r="X4905">
        <v>0.95739680000000005</v>
      </c>
      <c r="Y4905">
        <v>-0.29777120000000001</v>
      </c>
      <c r="Z4905">
        <v>6.6784040000000003E-2</v>
      </c>
      <c r="AA4905">
        <v>0.95229830000000004</v>
      </c>
      <c r="AB4905">
        <v>30</v>
      </c>
      <c r="AC4905">
        <v>-4.2262000000000004</v>
      </c>
      <c r="AD4905">
        <v>-1.118880984194</v>
      </c>
      <c r="AE4905">
        <v>-9.7261000000000006</v>
      </c>
      <c r="AF4905">
        <v>-3.1860169353613501</v>
      </c>
      <c r="AG4905">
        <v>-1.118880984194</v>
      </c>
      <c r="AH4905">
        <v>9.9922215320212509</v>
      </c>
      <c r="AI4905">
        <v>96.089478726985902</v>
      </c>
      <c r="AJ4905">
        <v>107.684866866684</v>
      </c>
      <c r="AK4905">
        <v>10.5473735931837</v>
      </c>
      <c r="AL4905">
        <v>83.006796703368806</v>
      </c>
      <c r="AM4905">
        <v>105.296691178763</v>
      </c>
      <c r="AN4905">
        <v>0.99999998433244397</v>
      </c>
    </row>
    <row r="4906" spans="1:40" x14ac:dyDescent="0.25">
      <c r="A4906" t="str">
        <f>"20190312164126817"</f>
        <v>20190312164126817</v>
      </c>
      <c r="B4906" t="str">
        <f>"1552380086810884"</f>
        <v>1552380086810884</v>
      </c>
      <c r="C4906" t="s">
        <v>40</v>
      </c>
      <c r="D4906">
        <v>5.2749699999999997</v>
      </c>
      <c r="E4906">
        <v>0.48807430000000002</v>
      </c>
      <c r="F4906" t="s">
        <v>50</v>
      </c>
      <c r="G4906">
        <v>-419.40940000000001</v>
      </c>
      <c r="H4906" s="1">
        <v>-8.6230179999999995E-7</v>
      </c>
      <c r="I4906">
        <v>120.8528</v>
      </c>
      <c r="J4906">
        <v>-415.29700000000003</v>
      </c>
      <c r="K4906">
        <v>1.1188370000000001</v>
      </c>
      <c r="L4906">
        <v>130.5292</v>
      </c>
      <c r="M4906">
        <v>-0.65011980000000003</v>
      </c>
      <c r="N4906">
        <v>0</v>
      </c>
      <c r="O4906">
        <v>-0.75967890000000005</v>
      </c>
      <c r="P4906">
        <v>-0.42769020000000002</v>
      </c>
      <c r="Q4906">
        <v>0.113205</v>
      </c>
      <c r="R4906">
        <v>-0.89680910000000003</v>
      </c>
      <c r="S4906">
        <v>-1.2171019999999999</v>
      </c>
      <c r="T4906">
        <v>-0.3170116</v>
      </c>
      <c r="U4906">
        <v>-2.8056950000000001</v>
      </c>
      <c r="V4906">
        <v>-0.26078610000000002</v>
      </c>
      <c r="W4906">
        <v>0.12237870000000001</v>
      </c>
      <c r="X4906">
        <v>0.95760849999999997</v>
      </c>
      <c r="Y4906">
        <v>-0.29525279999999998</v>
      </c>
      <c r="Z4906">
        <v>6.8280350000000004E-2</v>
      </c>
      <c r="AA4906">
        <v>0.95297619999999905</v>
      </c>
      <c r="AB4906">
        <v>30</v>
      </c>
      <c r="AC4906">
        <v>-4.1124000000000303</v>
      </c>
      <c r="AD4906">
        <v>-1.1188378623018</v>
      </c>
      <c r="AE4906">
        <v>-9.6763999999999992</v>
      </c>
      <c r="AF4906">
        <v>-3.13162122437233</v>
      </c>
      <c r="AG4906">
        <v>-1.1188378623018</v>
      </c>
      <c r="AH4906">
        <v>9.9134149310413893</v>
      </c>
      <c r="AI4906">
        <v>96.142470955519201</v>
      </c>
      <c r="AJ4906">
        <v>107.53118709553701</v>
      </c>
      <c r="AK4906">
        <v>10.4563208276168</v>
      </c>
      <c r="AL4906">
        <v>82.970595835761202</v>
      </c>
      <c r="AM4906">
        <v>105.233962501365</v>
      </c>
      <c r="AN4906">
        <v>0.99999998771957399</v>
      </c>
    </row>
    <row r="4907" spans="1:40" x14ac:dyDescent="0.25">
      <c r="A4907" t="str">
        <f>"20190312164126841"</f>
        <v>20190312164126841</v>
      </c>
      <c r="B4907" t="str">
        <f>"1552380086831380"</f>
        <v>1552380086831380</v>
      </c>
      <c r="C4907" t="s">
        <v>40</v>
      </c>
      <c r="D4907">
        <v>5.6724990000000002</v>
      </c>
      <c r="E4907">
        <v>0.48832799999999998</v>
      </c>
      <c r="F4907" t="s">
        <v>50</v>
      </c>
      <c r="G4907">
        <v>-419.51249999999999</v>
      </c>
      <c r="H4907" s="1">
        <v>-6.6415869999999898E-7</v>
      </c>
      <c r="I4907">
        <v>120.5637</v>
      </c>
      <c r="J4907">
        <v>-415.47949999999997</v>
      </c>
      <c r="K4907">
        <v>1.1187940000000001</v>
      </c>
      <c r="L4907">
        <v>130.29849999999999</v>
      </c>
      <c r="M4907">
        <v>-0.64187459999999996</v>
      </c>
      <c r="N4907">
        <v>0</v>
      </c>
      <c r="O4907">
        <v>-0.76665810000000001</v>
      </c>
      <c r="P4907">
        <v>-0.41851959999999999</v>
      </c>
      <c r="Q4907">
        <v>0.1131915</v>
      </c>
      <c r="R4907">
        <v>-0.90112700000000001</v>
      </c>
      <c r="S4907">
        <v>-1.191559</v>
      </c>
      <c r="T4907">
        <v>-0.3162507</v>
      </c>
      <c r="U4907">
        <v>-2.8168489999999999</v>
      </c>
      <c r="V4907">
        <v>-0.26019409999999998</v>
      </c>
      <c r="W4907">
        <v>0.12239949999999999</v>
      </c>
      <c r="X4907">
        <v>0.95776689999999998</v>
      </c>
      <c r="Y4907">
        <v>-0.29362939999999998</v>
      </c>
      <c r="Z4907">
        <v>6.9015800000000002E-2</v>
      </c>
      <c r="AA4907">
        <v>0.95342470000000001</v>
      </c>
      <c r="AB4907">
        <v>30</v>
      </c>
      <c r="AC4907">
        <v>-4.0330000000000101</v>
      </c>
      <c r="AD4907">
        <v>-1.1187946641586901</v>
      </c>
      <c r="AE4907">
        <v>-9.7347999999999892</v>
      </c>
      <c r="AF4907">
        <v>-3.1217626522156898</v>
      </c>
      <c r="AG4907">
        <v>-1.1187946641586901</v>
      </c>
      <c r="AH4907">
        <v>9.9410422143720591</v>
      </c>
      <c r="AI4907">
        <v>96.128552907006195</v>
      </c>
      <c r="AJ4907">
        <v>107.433733402512</v>
      </c>
      <c r="AK4907">
        <v>10.479571740545801</v>
      </c>
      <c r="AL4907">
        <v>82.969395291507794</v>
      </c>
      <c r="AM4907">
        <v>105.198584546183</v>
      </c>
      <c r="AN4907">
        <v>1.0000000210053299</v>
      </c>
    </row>
    <row r="4908" spans="1:40" x14ac:dyDescent="0.25">
      <c r="A4908" t="str">
        <f>"20190312164126863"</f>
        <v>20190312164126863</v>
      </c>
      <c r="B4908" t="str">
        <f>"1552380086850900"</f>
        <v>1552380086850900</v>
      </c>
      <c r="C4908" t="s">
        <v>40</v>
      </c>
      <c r="D4908">
        <v>5.2677820000000004</v>
      </c>
      <c r="E4908">
        <v>0.48870029999999998</v>
      </c>
      <c r="F4908" t="s">
        <v>50</v>
      </c>
      <c r="G4908">
        <v>-419.58449999999999</v>
      </c>
      <c r="H4908" s="1">
        <v>-5.0244649999999996E-7</v>
      </c>
      <c r="I4908">
        <v>120.325</v>
      </c>
      <c r="J4908">
        <v>-415.65460000000002</v>
      </c>
      <c r="K4908">
        <v>1.1187499999999999</v>
      </c>
      <c r="L4908">
        <v>130.07230000000001</v>
      </c>
      <c r="M4908">
        <v>-0.6338028</v>
      </c>
      <c r="N4908">
        <v>0</v>
      </c>
      <c r="O4908">
        <v>-0.77334449999999999</v>
      </c>
      <c r="P4908">
        <v>-0.40959050000000002</v>
      </c>
      <c r="Q4908">
        <v>0.1131474</v>
      </c>
      <c r="R4908">
        <v>-0.90522559999999996</v>
      </c>
      <c r="S4908">
        <v>-1.1641239999999999</v>
      </c>
      <c r="T4908">
        <v>-0.31727470000000002</v>
      </c>
      <c r="U4908">
        <v>-2.8283390000000002</v>
      </c>
      <c r="V4908">
        <v>-0.25961030000000002</v>
      </c>
      <c r="W4908">
        <v>0.1223881</v>
      </c>
      <c r="X4908">
        <v>0.95792679999999997</v>
      </c>
      <c r="Y4908">
        <v>-0.29290470000000002</v>
      </c>
      <c r="Z4908">
        <v>7.0075659999999998E-2</v>
      </c>
      <c r="AA4908">
        <v>0.95357020000000003</v>
      </c>
      <c r="AB4908">
        <v>29</v>
      </c>
      <c r="AC4908">
        <v>-3.9298999999999702</v>
      </c>
      <c r="AD4908">
        <v>-1.1187505024465001</v>
      </c>
      <c r="AE4908">
        <v>-9.7473000000000098</v>
      </c>
      <c r="AF4908">
        <v>-3.10389252180302</v>
      </c>
      <c r="AG4908">
        <v>-1.1187505024465001</v>
      </c>
      <c r="AH4908">
        <v>9.9175869382976298</v>
      </c>
      <c r="AI4908">
        <v>96.144538975217401</v>
      </c>
      <c r="AJ4908">
        <v>107.378477398946</v>
      </c>
      <c r="AK4908">
        <v>10.4519989548564</v>
      </c>
      <c r="AL4908">
        <v>82.970053648195105</v>
      </c>
      <c r="AM4908">
        <v>105.163640676593</v>
      </c>
      <c r="AN4908">
        <v>1.0000000545229599</v>
      </c>
    </row>
    <row r="4909" spans="1:40" x14ac:dyDescent="0.25">
      <c r="A4909" t="str">
        <f>"20190312164126885"</f>
        <v>20190312164126885</v>
      </c>
      <c r="B4909" t="str">
        <f>"1552380086880687"</f>
        <v>1552380086880687</v>
      </c>
      <c r="C4909" t="s">
        <v>40</v>
      </c>
      <c r="D4909">
        <v>5.2702980000000004</v>
      </c>
      <c r="E4909">
        <v>0.48939500000000002</v>
      </c>
      <c r="F4909" t="s">
        <v>50</v>
      </c>
      <c r="G4909">
        <v>-419.65280000000001</v>
      </c>
      <c r="H4909" s="1">
        <v>-3.5029489999999998E-7</v>
      </c>
      <c r="I4909">
        <v>120.1006</v>
      </c>
      <c r="J4909">
        <v>-415.8288</v>
      </c>
      <c r="K4909">
        <v>1.118714</v>
      </c>
      <c r="L4909">
        <v>129.8424</v>
      </c>
      <c r="M4909">
        <v>-0.62560459999999996</v>
      </c>
      <c r="N4909">
        <v>0</v>
      </c>
      <c r="O4909">
        <v>-0.77999169999999995</v>
      </c>
      <c r="P4909">
        <v>-0.40078039999999998</v>
      </c>
      <c r="Q4909">
        <v>0.1137649</v>
      </c>
      <c r="R4909">
        <v>-0.90908350000000004</v>
      </c>
      <c r="S4909">
        <v>-1.138245</v>
      </c>
      <c r="T4909">
        <v>-0.31849739999999999</v>
      </c>
      <c r="U4909">
        <v>-2.8388520000000002</v>
      </c>
      <c r="V4909">
        <v>-0.25875229999999999</v>
      </c>
      <c r="W4909">
        <v>0.1230417</v>
      </c>
      <c r="X4909">
        <v>0.95807520000000002</v>
      </c>
      <c r="Y4909">
        <v>-0.29154679999999999</v>
      </c>
      <c r="Z4909">
        <v>7.1204870000000003E-2</v>
      </c>
      <c r="AA4909">
        <v>0.95390269999999999</v>
      </c>
      <c r="AB4909">
        <v>29</v>
      </c>
      <c r="AC4909">
        <v>-3.8240000000000101</v>
      </c>
      <c r="AD4909">
        <v>-1.1187143502949</v>
      </c>
      <c r="AE4909">
        <v>-9.7417999999999907</v>
      </c>
      <c r="AF4909">
        <v>-3.0770269968072999</v>
      </c>
      <c r="AG4909">
        <v>-1.1187143502949</v>
      </c>
      <c r="AH4909">
        <v>9.8791073754922998</v>
      </c>
      <c r="AI4909">
        <v>96.170703357093203</v>
      </c>
      <c r="AJ4909">
        <v>107.300146427491</v>
      </c>
      <c r="AK4909">
        <v>10.4075155283642</v>
      </c>
      <c r="AL4909">
        <v>82.9323199087098</v>
      </c>
      <c r="AM4909">
        <v>105.11358807414</v>
      </c>
      <c r="AN4909">
        <v>1.0000000507746001</v>
      </c>
    </row>
    <row r="4910" spans="1:40" x14ac:dyDescent="0.25">
      <c r="A4910" t="str">
        <f>"20190312164126908"</f>
        <v>20190312164126908</v>
      </c>
      <c r="B4910" t="str">
        <f>"1552380086901187"</f>
        <v>1552380086901187</v>
      </c>
      <c r="C4910" t="s">
        <v>40</v>
      </c>
      <c r="D4910">
        <v>5.2114219999999998</v>
      </c>
      <c r="E4910">
        <v>0.48981249999999998</v>
      </c>
      <c r="F4910" t="s">
        <v>50</v>
      </c>
      <c r="G4910">
        <v>-419.73379999999997</v>
      </c>
      <c r="H4910" s="1">
        <v>-1.952149E-7</v>
      </c>
      <c r="I4910">
        <v>119.87439999999999</v>
      </c>
      <c r="J4910">
        <v>-416.0027</v>
      </c>
      <c r="K4910">
        <v>1.118679</v>
      </c>
      <c r="L4910">
        <v>129.6079</v>
      </c>
      <c r="M4910">
        <v>-0.61724899999999905</v>
      </c>
      <c r="N4910">
        <v>0</v>
      </c>
      <c r="O4910">
        <v>-0.78662069999999995</v>
      </c>
      <c r="P4910">
        <v>-0.39188079999999997</v>
      </c>
      <c r="Q4910">
        <v>0.1147478</v>
      </c>
      <c r="R4910">
        <v>-0.91283230000000004</v>
      </c>
      <c r="S4910">
        <v>-1.115753</v>
      </c>
      <c r="T4910">
        <v>-0.3196483</v>
      </c>
      <c r="U4910">
        <v>-2.8481450000000001</v>
      </c>
      <c r="V4910">
        <v>-0.25782290000000002</v>
      </c>
      <c r="W4910">
        <v>0.12406</v>
      </c>
      <c r="X4910">
        <v>0.9581944</v>
      </c>
      <c r="Y4910">
        <v>-0.28895799999999999</v>
      </c>
      <c r="Z4910">
        <v>7.2357649999999996E-2</v>
      </c>
      <c r="AA4910">
        <v>0.95460339999999999</v>
      </c>
      <c r="AB4910">
        <v>29</v>
      </c>
      <c r="AC4910">
        <v>-3.7310999999999601</v>
      </c>
      <c r="AD4910">
        <v>-1.1186791952149</v>
      </c>
      <c r="AE4910">
        <v>-9.7334999999999994</v>
      </c>
      <c r="AF4910">
        <v>-3.0383957999934599</v>
      </c>
      <c r="AG4910">
        <v>-1.1186791952149</v>
      </c>
      <c r="AH4910">
        <v>9.8473335265828901</v>
      </c>
      <c r="AI4910">
        <v>96.195337829554504</v>
      </c>
      <c r="AJ4910">
        <v>107.147615684458</v>
      </c>
      <c r="AK4910">
        <v>10.365966899570299</v>
      </c>
      <c r="AL4910">
        <v>82.873524923497797</v>
      </c>
      <c r="AM4910">
        <v>105.059984444462</v>
      </c>
      <c r="AN4910">
        <v>1.00000001977788</v>
      </c>
    </row>
    <row r="4911" spans="1:40" x14ac:dyDescent="0.25">
      <c r="A4911" t="str">
        <f>"20190312164126929"</f>
        <v>20190312164126929</v>
      </c>
      <c r="B4911" t="str">
        <f>"1552380086920704"</f>
        <v>1552380086920704</v>
      </c>
      <c r="C4911" t="s">
        <v>40</v>
      </c>
      <c r="D4911">
        <v>6.0460830000000003</v>
      </c>
      <c r="E4911">
        <v>0.49032179999999997</v>
      </c>
      <c r="F4911" t="s">
        <v>41</v>
      </c>
      <c r="G4911">
        <v>-419.83670000000001</v>
      </c>
      <c r="H4911" s="1">
        <v>-4.2862060000000003E-6</v>
      </c>
      <c r="I4911">
        <v>119.5565</v>
      </c>
      <c r="J4911">
        <v>-416.1712</v>
      </c>
      <c r="K4911">
        <v>1.118657</v>
      </c>
      <c r="L4911">
        <v>129.37549999999999</v>
      </c>
      <c r="M4911">
        <v>-0.60896969999999995</v>
      </c>
      <c r="N4911">
        <v>0</v>
      </c>
      <c r="O4911">
        <v>-0.79304790000000003</v>
      </c>
      <c r="P4911">
        <v>-0.38336999999999999</v>
      </c>
      <c r="Q4911">
        <v>0.1153516</v>
      </c>
      <c r="R4911">
        <v>-0.91636340000000005</v>
      </c>
      <c r="S4911">
        <v>-1.0903020000000001</v>
      </c>
      <c r="T4911">
        <v>-0.31812849999999998</v>
      </c>
      <c r="U4911">
        <v>-2.8583980000000002</v>
      </c>
      <c r="V4911">
        <v>-0.25664910000000002</v>
      </c>
      <c r="W4911">
        <v>0.12470249999999999</v>
      </c>
      <c r="X4911">
        <v>0.95842609999999995</v>
      </c>
      <c r="Y4911">
        <v>-0.28749049999999998</v>
      </c>
      <c r="Z4911">
        <v>7.2846999999999995E-2</v>
      </c>
      <c r="AA4911">
        <v>0.9550092</v>
      </c>
      <c r="AB4911">
        <v>29</v>
      </c>
      <c r="AC4911">
        <v>-3.6655000000000002</v>
      </c>
      <c r="AD4911">
        <v>-1.1186612862059999</v>
      </c>
      <c r="AE4911">
        <v>-9.8189999999999795</v>
      </c>
      <c r="AF4911">
        <v>-3.0382987458032602</v>
      </c>
      <c r="AG4911">
        <v>-1.1186612862059999</v>
      </c>
      <c r="AH4911">
        <v>9.9074070036139403</v>
      </c>
      <c r="AI4911">
        <v>96.161194482082806</v>
      </c>
      <c r="AJ4911">
        <v>107.049175093343</v>
      </c>
      <c r="AK4911">
        <v>10.423021437052901</v>
      </c>
      <c r="AL4911">
        <v>82.836424365338701</v>
      </c>
      <c r="AM4911">
        <v>104.99105309689401</v>
      </c>
      <c r="AN4911">
        <v>1.00000003159913</v>
      </c>
    </row>
    <row r="4912" spans="1:40" x14ac:dyDescent="0.25">
      <c r="A4912" t="str">
        <f>"20190312164126951"</f>
        <v>20190312164126951</v>
      </c>
      <c r="B4912" t="str">
        <f>"1552380086941200"</f>
        <v>1552380086941200</v>
      </c>
      <c r="C4912" t="s">
        <v>40</v>
      </c>
      <c r="D4912">
        <v>5.1761660000000003</v>
      </c>
      <c r="E4912">
        <v>0.50495590000000001</v>
      </c>
      <c r="F4912" t="s">
        <v>41</v>
      </c>
      <c r="G4912">
        <v>-419.93259999999998</v>
      </c>
      <c r="H4912" s="1">
        <v>-4.1465750000000002E-6</v>
      </c>
      <c r="I4912">
        <v>119.27070000000001</v>
      </c>
      <c r="J4912">
        <v>-416.33499999999998</v>
      </c>
      <c r="K4912">
        <v>1.1186290000000001</v>
      </c>
      <c r="L4912">
        <v>129.1448</v>
      </c>
      <c r="M4912">
        <v>-0.60074819999999995</v>
      </c>
      <c r="N4912">
        <v>0</v>
      </c>
      <c r="O4912">
        <v>-0.79929380000000005</v>
      </c>
      <c r="P4912">
        <v>-0.37536720000000001</v>
      </c>
      <c r="Q4912">
        <v>0.1161272</v>
      </c>
      <c r="R4912">
        <v>-0.91957279999999997</v>
      </c>
      <c r="S4912">
        <v>-1.067291</v>
      </c>
      <c r="T4912">
        <v>-0.31742009999999998</v>
      </c>
      <c r="U4912">
        <v>-2.8672490000000002</v>
      </c>
      <c r="V4912">
        <v>-0.25505220000000001</v>
      </c>
      <c r="W4912">
        <v>0.12552569999999999</v>
      </c>
      <c r="X4912">
        <v>0.95874479999999995</v>
      </c>
      <c r="Y4912">
        <v>-0.28530729999999999</v>
      </c>
      <c r="Z4912">
        <v>7.3522470000000006E-2</v>
      </c>
      <c r="AA4912">
        <v>0.95561189999999996</v>
      </c>
      <c r="AB4912">
        <v>29</v>
      </c>
      <c r="AC4912">
        <v>-3.5975999999999999</v>
      </c>
      <c r="AD4912">
        <v>-1.1186331465749999</v>
      </c>
      <c r="AE4912">
        <v>-9.8741000000000003</v>
      </c>
      <c r="AF4912">
        <v>-3.02241622442157</v>
      </c>
      <c r="AG4912">
        <v>-1.1186331465749999</v>
      </c>
      <c r="AH4912">
        <v>9.9420720976470704</v>
      </c>
      <c r="AI4912">
        <v>96.144263019696993</v>
      </c>
      <c r="AJ4912">
        <v>106.909410589725</v>
      </c>
      <c r="AK4912">
        <v>10.451370127647101</v>
      </c>
      <c r="AL4912">
        <v>82.788884404266796</v>
      </c>
      <c r="AM4912">
        <v>104.897205740099</v>
      </c>
      <c r="AN4912">
        <v>0.99999995880618398</v>
      </c>
    </row>
    <row r="4913" spans="1:40" x14ac:dyDescent="0.25">
      <c r="A4913" t="str">
        <f>"20190312164126974"</f>
        <v>20190312164126974</v>
      </c>
      <c r="B4913" t="str">
        <f>"1552380086970988"</f>
        <v>1552380086970988</v>
      </c>
      <c r="C4913" t="s">
        <v>40</v>
      </c>
      <c r="D4913">
        <v>5.1844890000000001</v>
      </c>
      <c r="E4913">
        <v>0.502384099999999</v>
      </c>
      <c r="F4913" t="s">
        <v>50</v>
      </c>
      <c r="G4913">
        <v>-420.02589999999998</v>
      </c>
      <c r="H4913" s="1">
        <v>-2.8135200000000002E-7</v>
      </c>
      <c r="I4913">
        <v>120.0304</v>
      </c>
      <c r="J4913">
        <v>-416.50029999999998</v>
      </c>
      <c r="K4913">
        <v>1.1186020000000001</v>
      </c>
      <c r="L4913">
        <v>128.9066</v>
      </c>
      <c r="M4913">
        <v>-0.59225430000000001</v>
      </c>
      <c r="N4913">
        <v>0</v>
      </c>
      <c r="O4913">
        <v>-0.80560799999999999</v>
      </c>
      <c r="P4913">
        <v>-0.36730170000000001</v>
      </c>
      <c r="Q4913">
        <v>0.11601069999999999</v>
      </c>
      <c r="R4913">
        <v>-0.92283870000000001</v>
      </c>
      <c r="S4913">
        <v>-1.149017</v>
      </c>
      <c r="T4913">
        <v>-0.348232599999999</v>
      </c>
      <c r="U4913">
        <v>-2.8373409999999999</v>
      </c>
      <c r="V4913">
        <v>-0.25329289999999999</v>
      </c>
      <c r="W4913">
        <v>0.1254613</v>
      </c>
      <c r="X4913">
        <v>0.95921959999999995</v>
      </c>
      <c r="Y4913">
        <v>-0.24811720000000001</v>
      </c>
      <c r="Z4913">
        <v>8.2710969999999995E-2</v>
      </c>
      <c r="AA4913">
        <v>0.96519259999999996</v>
      </c>
      <c r="AB4913">
        <v>29</v>
      </c>
      <c r="AC4913">
        <v>-3.5255999999999901</v>
      </c>
      <c r="AD4913">
        <v>-1.118602281352</v>
      </c>
      <c r="AE4913">
        <v>-8.8761999999999901</v>
      </c>
      <c r="AF4913">
        <v>-2.3842881421239599</v>
      </c>
      <c r="AG4913">
        <v>-1.118602281352</v>
      </c>
      <c r="AH4913">
        <v>9.1148218268153993</v>
      </c>
      <c r="AI4913">
        <v>96.770950074654294</v>
      </c>
      <c r="AJ4913">
        <v>104.659173137602</v>
      </c>
      <c r="AK4913">
        <v>9.4876803246689008</v>
      </c>
      <c r="AL4913">
        <v>82.792604214742795</v>
      </c>
      <c r="AM4913">
        <v>104.791967960739</v>
      </c>
      <c r="AN4913">
        <v>1.0000000360061201</v>
      </c>
    </row>
    <row r="4914" spans="1:40" x14ac:dyDescent="0.25">
      <c r="A4914" t="str">
        <f>"20190312164126997"</f>
        <v>20190312164126997</v>
      </c>
      <c r="B4914" t="str">
        <f>"1552380086991483"</f>
        <v>1552380086991483</v>
      </c>
      <c r="C4914" t="s">
        <v>40</v>
      </c>
      <c r="D4914">
        <v>5.1717719999999998</v>
      </c>
      <c r="E4914">
        <v>0.5019787</v>
      </c>
      <c r="F4914" t="s">
        <v>41</v>
      </c>
      <c r="G4914">
        <v>-420.12090000000001</v>
      </c>
      <c r="H4914" s="1">
        <v>-4.295264E-6</v>
      </c>
      <c r="I4914">
        <v>119.54559999999999</v>
      </c>
      <c r="J4914">
        <v>-416.66899999999998</v>
      </c>
      <c r="K4914">
        <v>1.118582</v>
      </c>
      <c r="L4914">
        <v>128.65809999999999</v>
      </c>
      <c r="M4914">
        <v>-0.58338559999999995</v>
      </c>
      <c r="N4914">
        <v>0</v>
      </c>
      <c r="O4914">
        <v>-0.81205329999999998</v>
      </c>
      <c r="P4914">
        <v>-0.35905930000000003</v>
      </c>
      <c r="Q4914">
        <v>0.115814</v>
      </c>
      <c r="R4914">
        <v>-0.92610150000000002</v>
      </c>
      <c r="S4914">
        <v>-1.1039730000000001</v>
      </c>
      <c r="T4914">
        <v>-0.34108159999999998</v>
      </c>
      <c r="U4914">
        <v>-2.8543240000000001</v>
      </c>
      <c r="V4914">
        <v>-0.25132549999999998</v>
      </c>
      <c r="W4914">
        <v>0.12532080000000001</v>
      </c>
      <c r="X4914">
        <v>0.95975529999999998</v>
      </c>
      <c r="Y4914">
        <v>-0.25262000000000001</v>
      </c>
      <c r="Z4914">
        <v>8.1733910000000007E-2</v>
      </c>
      <c r="AA4914">
        <v>0.96410720000000005</v>
      </c>
      <c r="AB4914">
        <v>29</v>
      </c>
      <c r="AC4914">
        <v>-3.4518999999999598</v>
      </c>
      <c r="AD4914">
        <v>-1.118586295264</v>
      </c>
      <c r="AE4914">
        <v>-9.1124999999999901</v>
      </c>
      <c r="AF4914">
        <v>-2.4805768862052902</v>
      </c>
      <c r="AG4914">
        <v>-1.118586295264</v>
      </c>
      <c r="AH4914">
        <v>9.2922627275349399</v>
      </c>
      <c r="AI4914">
        <v>96.634005178835594</v>
      </c>
      <c r="AJ4914">
        <v>104.946614461381</v>
      </c>
      <c r="AK4914">
        <v>9.6824916000925807</v>
      </c>
      <c r="AL4914">
        <v>82.800718217774602</v>
      </c>
      <c r="AM4914">
        <v>104.67421526403101</v>
      </c>
      <c r="AN4914">
        <v>1.00000002287048</v>
      </c>
    </row>
    <row r="4915" spans="1:40" x14ac:dyDescent="0.25">
      <c r="A4915" t="str">
        <f>"20190312164127019"</f>
        <v>20190312164127019</v>
      </c>
      <c r="B4915" t="str">
        <f>"1552380087011003"</f>
        <v>1552380087011003</v>
      </c>
      <c r="C4915" t="s">
        <v>40</v>
      </c>
      <c r="D4915">
        <v>5.3138629999999996</v>
      </c>
      <c r="E4915">
        <v>0.50296750000000001</v>
      </c>
      <c r="F4915" t="s">
        <v>41</v>
      </c>
      <c r="G4915">
        <v>-420.14170000000001</v>
      </c>
      <c r="H4915" s="1">
        <v>-4.2469419999999998E-6</v>
      </c>
      <c r="I4915">
        <v>119.40089999999999</v>
      </c>
      <c r="J4915">
        <v>-416.82380000000001</v>
      </c>
      <c r="K4915">
        <v>1.11856</v>
      </c>
      <c r="L4915">
        <v>128.42429999999999</v>
      </c>
      <c r="M4915">
        <v>-0.575040199999999</v>
      </c>
      <c r="N4915">
        <v>0</v>
      </c>
      <c r="O4915">
        <v>-0.8179843</v>
      </c>
      <c r="P4915">
        <v>-0.351728599999999</v>
      </c>
      <c r="Q4915">
        <v>0.1152815</v>
      </c>
      <c r="R4915">
        <v>-0.92897649999999998</v>
      </c>
      <c r="S4915">
        <v>-1.0751040000000001</v>
      </c>
      <c r="T4915">
        <v>-0.34629880000000002</v>
      </c>
      <c r="U4915">
        <v>-2.865875</v>
      </c>
      <c r="V4915">
        <v>-0.2490994</v>
      </c>
      <c r="W4915">
        <v>0.124851</v>
      </c>
      <c r="X4915">
        <v>0.96039660000000004</v>
      </c>
      <c r="Y4915">
        <v>-0.25256289999999998</v>
      </c>
      <c r="Z4915">
        <v>8.3744269999999996E-2</v>
      </c>
      <c r="AA4915">
        <v>0.96394959999999996</v>
      </c>
      <c r="AB4915">
        <v>29</v>
      </c>
      <c r="AC4915">
        <v>-3.3178999999999998</v>
      </c>
      <c r="AD4915">
        <v>-1.1185642469419901</v>
      </c>
      <c r="AE4915">
        <v>-9.0233999999999899</v>
      </c>
      <c r="AF4915">
        <v>-2.4420558403182402</v>
      </c>
      <c r="AG4915">
        <v>-1.1185642469419901</v>
      </c>
      <c r="AH4915">
        <v>9.1659209968776398</v>
      </c>
      <c r="AI4915">
        <v>96.725351917367405</v>
      </c>
      <c r="AJ4915">
        <v>104.91863708223499</v>
      </c>
      <c r="AK4915">
        <v>9.5513836915271995</v>
      </c>
      <c r="AL4915">
        <v>82.827848380931798</v>
      </c>
      <c r="AM4915">
        <v>104.54047483828801</v>
      </c>
      <c r="AN4915">
        <v>0.99999995628645899</v>
      </c>
    </row>
    <row r="4916" spans="1:40" x14ac:dyDescent="0.25">
      <c r="A4916" t="str">
        <f>"20190312164127042"</f>
        <v>20190312164127042</v>
      </c>
      <c r="B4916" t="str">
        <f>"1552380087031499"</f>
        <v>1552380087031499</v>
      </c>
      <c r="C4916" t="s">
        <v>40</v>
      </c>
      <c r="D4916">
        <v>5.1563119999999998</v>
      </c>
      <c r="E4916">
        <v>0.50240989999999996</v>
      </c>
      <c r="F4916" t="s">
        <v>41</v>
      </c>
      <c r="G4916">
        <v>-420.21350000000001</v>
      </c>
      <c r="H4916" s="1">
        <v>-4.198512E-6</v>
      </c>
      <c r="I4916">
        <v>119.2435</v>
      </c>
      <c r="J4916">
        <v>-416.9785</v>
      </c>
      <c r="K4916">
        <v>1.1185400000000001</v>
      </c>
      <c r="L4916">
        <v>128.18520000000001</v>
      </c>
      <c r="M4916">
        <v>-0.56649869999999902</v>
      </c>
      <c r="N4916">
        <v>0</v>
      </c>
      <c r="O4916">
        <v>-0.82392310000000002</v>
      </c>
      <c r="P4916">
        <v>-0.34419379999999999</v>
      </c>
      <c r="Q4916">
        <v>0.115229</v>
      </c>
      <c r="R4916">
        <v>-0.93180099999999999</v>
      </c>
      <c r="S4916">
        <v>-1.0601499999999999</v>
      </c>
      <c r="T4916">
        <v>-0.34984300000000002</v>
      </c>
      <c r="U4916">
        <v>-2.8713679999999999</v>
      </c>
      <c r="V4916">
        <v>-0.24687519999999999</v>
      </c>
      <c r="W4916">
        <v>0.124859999999999</v>
      </c>
      <c r="X4916">
        <v>0.96096959999999998</v>
      </c>
      <c r="Y4916">
        <v>-0.24756230000000001</v>
      </c>
      <c r="Z4916">
        <v>8.5559930000000006E-2</v>
      </c>
      <c r="AA4916">
        <v>0.96508680000000002</v>
      </c>
      <c r="AB4916">
        <v>29</v>
      </c>
      <c r="AC4916">
        <v>-3.2350000000000101</v>
      </c>
      <c r="AD4916">
        <v>-1.1185441985119999</v>
      </c>
      <c r="AE4916">
        <v>-8.9417000000000098</v>
      </c>
      <c r="AF4916">
        <v>-2.3675856380039701</v>
      </c>
      <c r="AG4916">
        <v>-1.1185441985119999</v>
      </c>
      <c r="AH4916">
        <v>9.0753773770808692</v>
      </c>
      <c r="AI4916">
        <v>96.800912923756101</v>
      </c>
      <c r="AJ4916">
        <v>104.621440783438</v>
      </c>
      <c r="AK4916">
        <v>9.4455850752475303</v>
      </c>
      <c r="AL4916">
        <v>82.827328808901498</v>
      </c>
      <c r="AM4916">
        <v>104.407838684987</v>
      </c>
      <c r="AN4916">
        <v>0.99999997804959895</v>
      </c>
    </row>
    <row r="4917" spans="1:40" x14ac:dyDescent="0.25">
      <c r="A4917" t="str">
        <f>"20190312164127065"</f>
        <v>20190312164127065</v>
      </c>
      <c r="B4917" t="str">
        <f>"1552380087061756"</f>
        <v>1552380087061756</v>
      </c>
      <c r="C4917" t="s">
        <v>40</v>
      </c>
      <c r="D4917">
        <v>5.1782529999999998</v>
      </c>
      <c r="E4917">
        <v>0.50227650000000001</v>
      </c>
      <c r="F4917" t="s">
        <v>41</v>
      </c>
      <c r="G4917">
        <v>-420.2525</v>
      </c>
      <c r="H4917" s="1">
        <v>-4.1248050000000002E-6</v>
      </c>
      <c r="I4917">
        <v>119.0475</v>
      </c>
      <c r="J4917">
        <v>-417.13130000000001</v>
      </c>
      <c r="K4917">
        <v>1.1185160000000001</v>
      </c>
      <c r="L4917">
        <v>127.94370000000001</v>
      </c>
      <c r="M4917">
        <v>-0.55786359999999902</v>
      </c>
      <c r="N4917">
        <v>0</v>
      </c>
      <c r="O4917">
        <v>-0.82979409999999898</v>
      </c>
      <c r="P4917">
        <v>-0.33739370000000002</v>
      </c>
      <c r="Q4917">
        <v>0.11620129999999999</v>
      </c>
      <c r="R4917">
        <v>-0.93416449999999995</v>
      </c>
      <c r="S4917">
        <v>-1.032532</v>
      </c>
      <c r="T4917">
        <v>-0.35276439999999998</v>
      </c>
      <c r="U4917">
        <v>-2.8818049999999999</v>
      </c>
      <c r="V4917">
        <v>-0.2437822</v>
      </c>
      <c r="W4917">
        <v>0.12591260000000001</v>
      </c>
      <c r="X4917">
        <v>0.96162170000000002</v>
      </c>
      <c r="Y4917">
        <v>-0.2467916</v>
      </c>
      <c r="Z4917">
        <v>8.7076429999999996E-2</v>
      </c>
      <c r="AA4917">
        <v>0.96514849999999996</v>
      </c>
      <c r="AB4917">
        <v>29</v>
      </c>
      <c r="AC4917">
        <v>-3.12119999999998</v>
      </c>
      <c r="AD4917">
        <v>-1.1185201248050001</v>
      </c>
      <c r="AE4917">
        <v>-8.8962000000000092</v>
      </c>
      <c r="AF4917">
        <v>-2.34024564879341</v>
      </c>
      <c r="AG4917">
        <v>-1.1185201248050001</v>
      </c>
      <c r="AH4917">
        <v>8.9976215882402695</v>
      </c>
      <c r="AI4917">
        <v>96.860280925808496</v>
      </c>
      <c r="AJ4917">
        <v>104.579369765295</v>
      </c>
      <c r="AK4917">
        <v>9.3640285780991501</v>
      </c>
      <c r="AL4917">
        <v>82.766539814769899</v>
      </c>
      <c r="AM4917">
        <v>104.225447896874</v>
      </c>
      <c r="AN4917">
        <v>1.0000000188932401</v>
      </c>
    </row>
    <row r="4918" spans="1:40" x14ac:dyDescent="0.25">
      <c r="A4918" t="str">
        <f>"20190312164127087"</f>
        <v>20190312164127087</v>
      </c>
      <c r="B4918" t="str">
        <f>"1552380087080807"</f>
        <v>1552380087080807</v>
      </c>
      <c r="C4918" t="s">
        <v>40</v>
      </c>
      <c r="D4918">
        <v>5.1157250000000003</v>
      </c>
      <c r="E4918">
        <v>0.50280049999999998</v>
      </c>
      <c r="F4918" t="s">
        <v>41</v>
      </c>
      <c r="G4918">
        <v>-420.32940000000002</v>
      </c>
      <c r="H4918" s="1">
        <v>-4.0328980000000003E-6</v>
      </c>
      <c r="I4918">
        <v>118.7856</v>
      </c>
      <c r="J4918">
        <v>-417.28629999999998</v>
      </c>
      <c r="K4918">
        <v>1.118492</v>
      </c>
      <c r="L4918">
        <v>127.69280000000001</v>
      </c>
      <c r="M4918">
        <v>-0.54888239999999999</v>
      </c>
      <c r="N4918">
        <v>0</v>
      </c>
      <c r="O4918">
        <v>-0.83576219999999901</v>
      </c>
      <c r="P4918">
        <v>-0.3308007</v>
      </c>
      <c r="Q4918">
        <v>0.1173623</v>
      </c>
      <c r="R4918">
        <v>-0.93637440000000005</v>
      </c>
      <c r="S4918">
        <v>-1.0094909999999999</v>
      </c>
      <c r="T4918">
        <v>-0.3530606</v>
      </c>
      <c r="U4918">
        <v>-2.8907470000000002</v>
      </c>
      <c r="V4918">
        <v>-0.24011830000000001</v>
      </c>
      <c r="W4918">
        <v>0.12716649999999999</v>
      </c>
      <c r="X4918">
        <v>0.96237830000000002</v>
      </c>
      <c r="Y4918">
        <v>-0.24414810000000001</v>
      </c>
      <c r="Z4918">
        <v>8.8025480000000003E-2</v>
      </c>
      <c r="AA4918">
        <v>0.96573450000000005</v>
      </c>
      <c r="AB4918">
        <v>29</v>
      </c>
      <c r="AC4918">
        <v>-3.0431000000000301</v>
      </c>
      <c r="AD4918">
        <v>-1.118496032898</v>
      </c>
      <c r="AE4918">
        <v>-8.9071999999999996</v>
      </c>
      <c r="AF4918">
        <v>-2.31330240422349</v>
      </c>
      <c r="AG4918">
        <v>-1.118496032898</v>
      </c>
      <c r="AH4918">
        <v>8.98872899255859</v>
      </c>
      <c r="AI4918">
        <v>96.871377234141605</v>
      </c>
      <c r="AJ4918">
        <v>104.432221721324</v>
      </c>
      <c r="AK4918">
        <v>9.3487780105561509</v>
      </c>
      <c r="AL4918">
        <v>82.694114708094901</v>
      </c>
      <c r="AM4918">
        <v>104.009552999199</v>
      </c>
      <c r="AN4918">
        <v>1.00000005451401</v>
      </c>
    </row>
    <row r="4919" spans="1:40" x14ac:dyDescent="0.25">
      <c r="A4919" t="str">
        <f>"20190312164127109"</f>
        <v>20190312164127109</v>
      </c>
      <c r="B4919" t="str">
        <f>"1552380087101303"</f>
        <v>1552380087101303</v>
      </c>
      <c r="C4919" t="s">
        <v>40</v>
      </c>
      <c r="D4919">
        <v>5.1499889999999997</v>
      </c>
      <c r="E4919">
        <v>0.50289740000000005</v>
      </c>
      <c r="F4919" t="s">
        <v>41</v>
      </c>
      <c r="G4919">
        <v>-420.43849999999998</v>
      </c>
      <c r="H4919" s="1">
        <v>-3.9320319999999998E-6</v>
      </c>
      <c r="I4919">
        <v>118.4828</v>
      </c>
      <c r="J4919">
        <v>-417.43169999999998</v>
      </c>
      <c r="K4919">
        <v>1.1184730000000001</v>
      </c>
      <c r="L4919">
        <v>127.45180000000001</v>
      </c>
      <c r="M4919">
        <v>-0.54024989999999995</v>
      </c>
      <c r="N4919">
        <v>0</v>
      </c>
      <c r="O4919">
        <v>-0.84136840000000002</v>
      </c>
      <c r="P4919">
        <v>-0.32429809999999998</v>
      </c>
      <c r="Q4919">
        <v>0.1177016</v>
      </c>
      <c r="R4919">
        <v>-0.9386042</v>
      </c>
      <c r="S4919">
        <v>-0.99172969999999905</v>
      </c>
      <c r="T4919">
        <v>-0.35189199999999998</v>
      </c>
      <c r="U4919">
        <v>-2.8975680000000001</v>
      </c>
      <c r="V4919">
        <v>-0.23685639999999999</v>
      </c>
      <c r="W4919">
        <v>0.12758939999999999</v>
      </c>
      <c r="X4919">
        <v>0.96313029999999999</v>
      </c>
      <c r="Y4919">
        <v>-0.24016979999999999</v>
      </c>
      <c r="Z4919">
        <v>8.8607969999999994E-2</v>
      </c>
      <c r="AA4919">
        <v>0.96667840000000005</v>
      </c>
      <c r="AB4919">
        <v>29</v>
      </c>
      <c r="AC4919">
        <v>-3.0067999999999899</v>
      </c>
      <c r="AD4919">
        <v>-1.118476932032</v>
      </c>
      <c r="AE4919">
        <v>-8.9689999999999994</v>
      </c>
      <c r="AF4919">
        <v>-2.2840097057089999</v>
      </c>
      <c r="AG4919">
        <v>-1.118476932032</v>
      </c>
      <c r="AH4919">
        <v>9.0452546272844998</v>
      </c>
      <c r="AI4919">
        <v>96.836580020259404</v>
      </c>
      <c r="AJ4919">
        <v>104.171471279649</v>
      </c>
      <c r="AK4919">
        <v>9.3959737257866092</v>
      </c>
      <c r="AL4919">
        <v>82.669684867731306</v>
      </c>
      <c r="AM4919">
        <v>103.81620787988</v>
      </c>
      <c r="AN4919">
        <v>0.999999991995705</v>
      </c>
    </row>
    <row r="4920" spans="1:40" x14ac:dyDescent="0.25">
      <c r="A4920" t="str">
        <f>"20190312164127130"</f>
        <v>20190312164127130</v>
      </c>
      <c r="B4920" t="str">
        <f>"1552380087120823"</f>
        <v>1552380087120823</v>
      </c>
      <c r="C4920" t="s">
        <v>40</v>
      </c>
      <c r="D4920">
        <v>5.1317760000000003</v>
      </c>
      <c r="E4920">
        <v>0.50305559999999905</v>
      </c>
      <c r="F4920" t="s">
        <v>41</v>
      </c>
      <c r="G4920">
        <v>-420.5093</v>
      </c>
      <c r="H4920" s="1">
        <v>-3.8479229999999996E-6</v>
      </c>
      <c r="I4920">
        <v>118.2428</v>
      </c>
      <c r="J4920">
        <v>-417.57220000000001</v>
      </c>
      <c r="K4920">
        <v>1.118449</v>
      </c>
      <c r="L4920">
        <v>127.2135</v>
      </c>
      <c r="M4920">
        <v>-0.53170629999999997</v>
      </c>
      <c r="N4920">
        <v>0</v>
      </c>
      <c r="O4920">
        <v>-0.84679349999999998</v>
      </c>
      <c r="P4920">
        <v>-0.31791930000000002</v>
      </c>
      <c r="Q4920">
        <v>0.1173646</v>
      </c>
      <c r="R4920">
        <v>-0.94082589999999999</v>
      </c>
      <c r="S4920">
        <v>-0.97085569999999999</v>
      </c>
      <c r="T4920">
        <v>-0.35283229999999999</v>
      </c>
      <c r="U4920">
        <v>-2.9050449999999999</v>
      </c>
      <c r="V4920">
        <v>-0.23364699999999999</v>
      </c>
      <c r="W4920">
        <v>0.12733539999999999</v>
      </c>
      <c r="X4920">
        <v>0.96394749999999996</v>
      </c>
      <c r="Y4920">
        <v>-0.23736460000000001</v>
      </c>
      <c r="Z4920">
        <v>8.9658109999999999E-2</v>
      </c>
      <c r="AA4920">
        <v>0.96727419999999997</v>
      </c>
      <c r="AB4920">
        <v>29</v>
      </c>
      <c r="AC4920">
        <v>-2.9370999999999801</v>
      </c>
      <c r="AD4920">
        <v>-1.118452847923</v>
      </c>
      <c r="AE4920">
        <v>-8.9706999999999901</v>
      </c>
      <c r="AF4920">
        <v>-2.2513143698238798</v>
      </c>
      <c r="AG4920">
        <v>-1.118452847923</v>
      </c>
      <c r="AH4920">
        <v>9.0322446812750599</v>
      </c>
      <c r="AI4920">
        <v>96.851401431034702</v>
      </c>
      <c r="AJ4920">
        <v>103.99595579957401</v>
      </c>
      <c r="AK4920">
        <v>9.3755424988223606</v>
      </c>
      <c r="AL4920">
        <v>82.684357762376095</v>
      </c>
      <c r="AM4920">
        <v>103.62490407377101</v>
      </c>
      <c r="AN4920">
        <v>1.0000000037292001</v>
      </c>
    </row>
    <row r="4921" spans="1:40" x14ac:dyDescent="0.25">
      <c r="A4921" t="str">
        <f>"20190312164127153"</f>
        <v>20190312164127153</v>
      </c>
      <c r="B4921" t="str">
        <f>"1552380087141320"</f>
        <v>1552380087141320</v>
      </c>
      <c r="C4921" t="s">
        <v>40</v>
      </c>
      <c r="D4921">
        <v>5.2649339999999896</v>
      </c>
      <c r="E4921">
        <v>0.50347120000000001</v>
      </c>
      <c r="F4921" t="s">
        <v>41</v>
      </c>
      <c r="G4921">
        <v>-420.55119999999999</v>
      </c>
      <c r="H4921" s="1">
        <v>-3.79733E-6</v>
      </c>
      <c r="I4921">
        <v>118.0989</v>
      </c>
      <c r="J4921">
        <v>-417.7133</v>
      </c>
      <c r="K4921">
        <v>1.1184259999999999</v>
      </c>
      <c r="L4921">
        <v>126.9686</v>
      </c>
      <c r="M4921">
        <v>-0.52291949999999998</v>
      </c>
      <c r="N4921">
        <v>0</v>
      </c>
      <c r="O4921">
        <v>-0.85224800000000001</v>
      </c>
      <c r="P4921">
        <v>-0.31157760000000001</v>
      </c>
      <c r="Q4921">
        <v>0.1166783</v>
      </c>
      <c r="R4921">
        <v>-0.94303049999999999</v>
      </c>
      <c r="S4921">
        <v>-0.95166019999999896</v>
      </c>
      <c r="T4921">
        <v>-0.35729549999999999</v>
      </c>
      <c r="U4921">
        <v>-2.9116970000000002</v>
      </c>
      <c r="V4921">
        <v>-0.23018379999999999</v>
      </c>
      <c r="W4921">
        <v>0.12673799999999999</v>
      </c>
      <c r="X4921">
        <v>0.96485900000000002</v>
      </c>
      <c r="Y4921">
        <v>-0.23378399999999999</v>
      </c>
      <c r="Z4921">
        <v>9.1636140000000005E-2</v>
      </c>
      <c r="AA4921">
        <v>0.96796070000000001</v>
      </c>
      <c r="AB4921">
        <v>29</v>
      </c>
      <c r="AC4921">
        <v>-2.8378999999999901</v>
      </c>
      <c r="AD4921">
        <v>-1.1184297973299999</v>
      </c>
      <c r="AE4921">
        <v>-8.8696999999999893</v>
      </c>
      <c r="AF4921">
        <v>-2.1882360530232998</v>
      </c>
      <c r="AG4921">
        <v>-1.1184297973299999</v>
      </c>
      <c r="AH4921">
        <v>8.9156161397828395</v>
      </c>
      <c r="AI4921">
        <v>96.946129810581695</v>
      </c>
      <c r="AJ4921">
        <v>103.790003441514</v>
      </c>
      <c r="AK4921">
        <v>9.2481064757745308</v>
      </c>
      <c r="AL4921">
        <v>82.718865789902395</v>
      </c>
      <c r="AM4921">
        <v>103.418090791174</v>
      </c>
      <c r="AN4921">
        <v>0.99999999615372004</v>
      </c>
    </row>
    <row r="4922" spans="1:40" x14ac:dyDescent="0.25">
      <c r="A4922" t="str">
        <f>"20190312164127175"</f>
        <v>20190312164127175</v>
      </c>
      <c r="B4922" t="str">
        <f>"1552380087171111"</f>
        <v>1552380087171111</v>
      </c>
      <c r="C4922" t="s">
        <v>40</v>
      </c>
      <c r="D4922">
        <v>5.202375</v>
      </c>
      <c r="E4922">
        <v>0.48479919999999999</v>
      </c>
      <c r="F4922" t="s">
        <v>41</v>
      </c>
      <c r="G4922">
        <v>-420.64640000000003</v>
      </c>
      <c r="H4922" s="1">
        <v>-3.70024E-6</v>
      </c>
      <c r="I4922">
        <v>117.81359999999999</v>
      </c>
      <c r="J4922">
        <v>-417.85599999999999</v>
      </c>
      <c r="K4922">
        <v>1.118409</v>
      </c>
      <c r="L4922">
        <v>126.7149</v>
      </c>
      <c r="M4922">
        <v>-0.51380919999999997</v>
      </c>
      <c r="N4922">
        <v>0</v>
      </c>
      <c r="O4922">
        <v>-0.85777099999999995</v>
      </c>
      <c r="P4922">
        <v>-0.30540200000000001</v>
      </c>
      <c r="Q4922">
        <v>0.1163879</v>
      </c>
      <c r="R4922">
        <v>-0.94508369999999997</v>
      </c>
      <c r="S4922">
        <v>-0.93441770000000002</v>
      </c>
      <c r="T4922">
        <v>-0.35630630000000002</v>
      </c>
      <c r="U4922">
        <v>-2.9165800000000002</v>
      </c>
      <c r="V4922">
        <v>-0.22621179999999999</v>
      </c>
      <c r="W4922">
        <v>0.12654789999999999</v>
      </c>
      <c r="X4922">
        <v>0.96582290000000004</v>
      </c>
      <c r="Y4922">
        <v>-0.2290934</v>
      </c>
      <c r="Z4922">
        <v>9.231135E-2</v>
      </c>
      <c r="AA4922">
        <v>0.96901740000000003</v>
      </c>
      <c r="AB4922">
        <v>29</v>
      </c>
      <c r="AC4922">
        <v>-2.7904000000000302</v>
      </c>
      <c r="AD4922">
        <v>-1.1184127002399999</v>
      </c>
      <c r="AE4922">
        <v>-8.9013000000000009</v>
      </c>
      <c r="AF4922">
        <v>-2.1493991301449098</v>
      </c>
      <c r="AG4922">
        <v>-1.1184127002399999</v>
      </c>
      <c r="AH4922">
        <v>8.9415204535807895</v>
      </c>
      <c r="AI4922">
        <v>96.934053641268306</v>
      </c>
      <c r="AJ4922">
        <v>103.516538879709</v>
      </c>
      <c r="AK4922">
        <v>9.2639922069553506</v>
      </c>
      <c r="AL4922">
        <v>82.729846241723706</v>
      </c>
      <c r="AM4922">
        <v>103.18200982228601</v>
      </c>
      <c r="AN4922">
        <v>1.00000001180903</v>
      </c>
    </row>
    <row r="4923" spans="1:40" x14ac:dyDescent="0.25">
      <c r="A4923" t="str">
        <f>"20190312164127198"</f>
        <v>20190312164127198</v>
      </c>
      <c r="B4923" t="str">
        <f>"1552380087191605"</f>
        <v>1552380087191605</v>
      </c>
      <c r="C4923" t="s">
        <v>40</v>
      </c>
      <c r="D4923">
        <v>5.1436289999999998</v>
      </c>
      <c r="E4923">
        <v>0.4781705</v>
      </c>
      <c r="F4923" t="s">
        <v>41</v>
      </c>
      <c r="G4923">
        <v>-420.5027</v>
      </c>
      <c r="H4923" s="1">
        <v>-3.1295339999999999E-6</v>
      </c>
      <c r="I4923">
        <v>116.5723</v>
      </c>
      <c r="J4923">
        <v>-417.99349999999998</v>
      </c>
      <c r="K4923">
        <v>1.118387</v>
      </c>
      <c r="L4923">
        <v>126.4641</v>
      </c>
      <c r="M4923">
        <v>-0.50479819999999997</v>
      </c>
      <c r="N4923">
        <v>0</v>
      </c>
      <c r="O4923">
        <v>-0.86310499999999901</v>
      </c>
      <c r="P4923">
        <v>-0.2996335</v>
      </c>
      <c r="Q4923">
        <v>0.1165258</v>
      </c>
      <c r="R4923">
        <v>-0.94691179999999997</v>
      </c>
      <c r="S4923">
        <v>-0.77362059999999999</v>
      </c>
      <c r="T4923">
        <v>-0.3269032</v>
      </c>
      <c r="U4923">
        <v>-2.9645839999999999</v>
      </c>
      <c r="V4923">
        <v>-0.22196440000000001</v>
      </c>
      <c r="W4923">
        <v>0.12678819999999999</v>
      </c>
      <c r="X4923">
        <v>0.96677639999999998</v>
      </c>
      <c r="Y4923">
        <v>-0.27151890000000001</v>
      </c>
      <c r="Z4923">
        <v>8.4219219999999997E-2</v>
      </c>
      <c r="AA4923">
        <v>0.95874119999999996</v>
      </c>
      <c r="AB4923">
        <v>29</v>
      </c>
      <c r="AC4923">
        <v>-2.5092000000000199</v>
      </c>
      <c r="AD4923">
        <v>-1.118390129534</v>
      </c>
      <c r="AE4923">
        <v>-9.8917999999999999</v>
      </c>
      <c r="AF4923">
        <v>-2.7944211449207499</v>
      </c>
      <c r="AG4923">
        <v>-1.118390129534</v>
      </c>
      <c r="AH4923">
        <v>9.6890539078564792</v>
      </c>
      <c r="AI4923">
        <v>96.328676982248595</v>
      </c>
      <c r="AJ4923">
        <v>106.08809625928799</v>
      </c>
      <c r="AK4923">
        <v>10.145804632771499</v>
      </c>
      <c r="AL4923">
        <v>82.715966362135106</v>
      </c>
      <c r="AM4923">
        <v>102.93057570920701</v>
      </c>
      <c r="AN4923">
        <v>1.00000002506177</v>
      </c>
    </row>
    <row r="4924" spans="1:40" x14ac:dyDescent="0.25">
      <c r="A4924" t="str">
        <f>"20190312164127219"</f>
        <v>20190312164127219</v>
      </c>
      <c r="B4924" t="str">
        <f>"1552380087211124"</f>
        <v>1552380087211124</v>
      </c>
      <c r="C4924" t="s">
        <v>40</v>
      </c>
      <c r="D4924">
        <v>5.1279579999999996</v>
      </c>
      <c r="E4924">
        <v>0.47620010000000002</v>
      </c>
      <c r="F4924" t="s">
        <v>41</v>
      </c>
      <c r="G4924">
        <v>-420.61700000000002</v>
      </c>
      <c r="H4924" s="1">
        <v>-2.6452960000000002E-6</v>
      </c>
      <c r="I4924">
        <v>115.37269999999999</v>
      </c>
      <c r="J4924">
        <v>-418.12459999999999</v>
      </c>
      <c r="K4924">
        <v>1.1183700000000001</v>
      </c>
      <c r="L4924">
        <v>126.2186</v>
      </c>
      <c r="M4924">
        <v>-0.4959674</v>
      </c>
      <c r="N4924">
        <v>0</v>
      </c>
      <c r="O4924">
        <v>-0.86820980000000003</v>
      </c>
      <c r="P4924">
        <v>-0.29389480000000001</v>
      </c>
      <c r="Q4924">
        <v>0.11667619999999999</v>
      </c>
      <c r="R4924">
        <v>-0.94869009999999998</v>
      </c>
      <c r="S4924">
        <v>-0.7053528</v>
      </c>
      <c r="T4924">
        <v>-0.30068590000000001</v>
      </c>
      <c r="U4924">
        <v>-2.9820099999999998</v>
      </c>
      <c r="V4924">
        <v>-0.2179345</v>
      </c>
      <c r="W4924">
        <v>0.127028</v>
      </c>
      <c r="X4924">
        <v>0.96766129999999995</v>
      </c>
      <c r="Y4924">
        <v>-0.28358280000000002</v>
      </c>
      <c r="Z4924">
        <v>7.7820189999999997E-2</v>
      </c>
      <c r="AA4924">
        <v>0.95578490000000005</v>
      </c>
      <c r="AB4924">
        <v>29</v>
      </c>
      <c r="AC4924">
        <v>-2.4923999999999702</v>
      </c>
      <c r="AD4924">
        <v>-1.1183726452959999</v>
      </c>
      <c r="AE4924">
        <v>-10.8459</v>
      </c>
      <c r="AF4924">
        <v>-3.1835022213842001</v>
      </c>
      <c r="AG4924">
        <v>-1.1183726452959999</v>
      </c>
      <c r="AH4924">
        <v>10.547359618848301</v>
      </c>
      <c r="AI4924">
        <v>95.7962600670824</v>
      </c>
      <c r="AJ4924">
        <v>106.79535304437</v>
      </c>
      <c r="AK4924">
        <v>11.0739441346169</v>
      </c>
      <c r="AL4924">
        <v>82.702114472572802</v>
      </c>
      <c r="AM4924">
        <v>102.69225788063299</v>
      </c>
      <c r="AN4924">
        <v>0.99999997529596896</v>
      </c>
    </row>
    <row r="4925" spans="1:40" x14ac:dyDescent="0.25">
      <c r="A4925" t="str">
        <f>"20190312164127243"</f>
        <v>20190312164127243</v>
      </c>
      <c r="B4925" t="str">
        <f>"1552380087231620"</f>
        <v>1552380087231620</v>
      </c>
      <c r="C4925" t="s">
        <v>40</v>
      </c>
      <c r="D4925">
        <v>5.109845</v>
      </c>
      <c r="E4925">
        <v>0.47551929999999998</v>
      </c>
      <c r="F4925" t="s">
        <v>41</v>
      </c>
      <c r="G4925">
        <v>-420.69479999999999</v>
      </c>
      <c r="H4925" s="1">
        <v>-2.4161960000000002E-6</v>
      </c>
      <c r="I4925">
        <v>114.79040000000001</v>
      </c>
      <c r="J4925">
        <v>-418.26010000000002</v>
      </c>
      <c r="K4925">
        <v>1.1183529999999999</v>
      </c>
      <c r="L4925">
        <v>125.95829999999999</v>
      </c>
      <c r="M4925">
        <v>-0.48660340000000002</v>
      </c>
      <c r="N4925">
        <v>0</v>
      </c>
      <c r="O4925">
        <v>-0.87349279999999996</v>
      </c>
      <c r="P4925">
        <v>-0.28741309999999998</v>
      </c>
      <c r="Q4925">
        <v>0.1176011</v>
      </c>
      <c r="R4925">
        <v>-0.95056019999999997</v>
      </c>
      <c r="S4925">
        <v>-0.67242429999999997</v>
      </c>
      <c r="T4925">
        <v>-0.29259970000000002</v>
      </c>
      <c r="U4925">
        <v>-2.9899439999999999</v>
      </c>
      <c r="V4925">
        <v>-0.21408170000000001</v>
      </c>
      <c r="W4925">
        <v>0.12803200000000001</v>
      </c>
      <c r="X4925">
        <v>0.96838880000000005</v>
      </c>
      <c r="Y4925">
        <v>-0.28380359999999899</v>
      </c>
      <c r="Z4925">
        <v>7.6360960000000005E-2</v>
      </c>
      <c r="AA4925">
        <v>0.9558371</v>
      </c>
      <c r="AB4925">
        <v>29</v>
      </c>
      <c r="AC4925">
        <v>-2.4346999999999599</v>
      </c>
      <c r="AD4925">
        <v>-1.1183554161959901</v>
      </c>
      <c r="AE4925">
        <v>-11.1678999999999</v>
      </c>
      <c r="AF4925">
        <v>-3.2766538064618298</v>
      </c>
      <c r="AG4925">
        <v>-1.1183554161959901</v>
      </c>
      <c r="AH4925">
        <v>10.8373116244938</v>
      </c>
      <c r="AI4925">
        <v>95.641302233252304</v>
      </c>
      <c r="AJ4925">
        <v>106.82265612843101</v>
      </c>
      <c r="AK4925">
        <v>11.3769285068829</v>
      </c>
      <c r="AL4925">
        <v>82.644116244360703</v>
      </c>
      <c r="AM4925">
        <v>102.46588093675901</v>
      </c>
      <c r="AN4925">
        <v>1.00000001763216</v>
      </c>
    </row>
    <row r="4926" spans="1:40" x14ac:dyDescent="0.25">
      <c r="A4926" t="str">
        <f>"20190312164127269"</f>
        <v>20190312164127269</v>
      </c>
      <c r="B4926" t="str">
        <f>"1552380087261876"</f>
        <v>1552380087261876</v>
      </c>
      <c r="C4926" t="s">
        <v>40</v>
      </c>
      <c r="D4926">
        <v>5.2715199999999998</v>
      </c>
      <c r="E4926">
        <v>0.47533130000000001</v>
      </c>
      <c r="F4926" t="s">
        <v>41</v>
      </c>
      <c r="G4926">
        <v>-420.77539999999999</v>
      </c>
      <c r="H4926" s="1">
        <v>-2.2292900000000001E-6</v>
      </c>
      <c r="I4926">
        <v>114.3047</v>
      </c>
      <c r="J4926">
        <v>-418.40390000000002</v>
      </c>
      <c r="K4926">
        <v>1.118325</v>
      </c>
      <c r="L4926">
        <v>125.67449999999999</v>
      </c>
      <c r="M4926">
        <v>-0.47638940000000002</v>
      </c>
      <c r="N4926">
        <v>0</v>
      </c>
      <c r="O4926">
        <v>-0.87910560000000004</v>
      </c>
      <c r="P4926">
        <v>-0.27989209999999998</v>
      </c>
      <c r="Q4926">
        <v>0.119675</v>
      </c>
      <c r="R4926">
        <v>-0.95254329999999998</v>
      </c>
      <c r="S4926">
        <v>-0.64666749999999995</v>
      </c>
      <c r="T4926">
        <v>-0.287520099999999</v>
      </c>
      <c r="U4926">
        <v>-2.996048</v>
      </c>
      <c r="V4926">
        <v>-0.21034839999999999</v>
      </c>
      <c r="W4926">
        <v>0.1301802</v>
      </c>
      <c r="X4926">
        <v>0.96892040000000001</v>
      </c>
      <c r="Y4926">
        <v>-0.280866</v>
      </c>
      <c r="Z4926">
        <v>7.5766539999999993E-2</v>
      </c>
      <c r="AA4926">
        <v>0.95675160000000004</v>
      </c>
      <c r="AB4926">
        <v>29</v>
      </c>
      <c r="AC4926">
        <v>-2.3714999999999602</v>
      </c>
      <c r="AD4926">
        <v>-1.1183272292899999</v>
      </c>
      <c r="AE4926">
        <v>-11.3697999999999</v>
      </c>
      <c r="AF4926">
        <v>-3.3014223562609302</v>
      </c>
      <c r="AG4926">
        <v>-1.1183272292899999</v>
      </c>
      <c r="AH4926">
        <v>11.0240656485951</v>
      </c>
      <c r="AI4926">
        <v>95.550571695528603</v>
      </c>
      <c r="AJ4926">
        <v>106.671597373651</v>
      </c>
      <c r="AK4926">
        <v>11.562009721096301</v>
      </c>
      <c r="AL4926">
        <v>82.519994778232103</v>
      </c>
      <c r="AM4926">
        <v>102.248597190269</v>
      </c>
      <c r="AN4926">
        <v>1.0000000376953699</v>
      </c>
    </row>
    <row r="4927" spans="1:40" x14ac:dyDescent="0.25">
      <c r="A4927" t="str">
        <f>"20190312164127287"</f>
        <v>20190312164127287</v>
      </c>
      <c r="B4927" t="str">
        <f>"1552380087280928"</f>
        <v>1552380087280928</v>
      </c>
      <c r="C4927" t="s">
        <v>40</v>
      </c>
      <c r="D4927">
        <v>5.132987</v>
      </c>
      <c r="E4927">
        <v>0.47530630000000001</v>
      </c>
      <c r="F4927" t="s">
        <v>41</v>
      </c>
      <c r="G4927">
        <v>-420.81650000000002</v>
      </c>
      <c r="H4927" s="1">
        <v>-2.1167279999999999E-6</v>
      </c>
      <c r="I4927">
        <v>114.01690000000001</v>
      </c>
      <c r="J4927">
        <v>-418.51209999999998</v>
      </c>
      <c r="K4927">
        <v>1.118301</v>
      </c>
      <c r="L4927">
        <v>125.4554</v>
      </c>
      <c r="M4927">
        <v>-0.4685088</v>
      </c>
      <c r="N4927">
        <v>0</v>
      </c>
      <c r="O4927">
        <v>-0.88333090000000003</v>
      </c>
      <c r="P4927">
        <v>-0.27517530000000001</v>
      </c>
      <c r="Q4927">
        <v>0.1218352</v>
      </c>
      <c r="R4927">
        <v>-0.95364300000000002</v>
      </c>
      <c r="S4927">
        <v>-0.62149049999999995</v>
      </c>
      <c r="T4927">
        <v>-0.28808250000000002</v>
      </c>
      <c r="U4927">
        <v>-3.0030359999999998</v>
      </c>
      <c r="V4927">
        <v>-0.20637530000000001</v>
      </c>
      <c r="W4927">
        <v>0.13242179999999901</v>
      </c>
      <c r="X4927">
        <v>0.96947090000000002</v>
      </c>
      <c r="Y4927">
        <v>-0.28042800000000001</v>
      </c>
      <c r="Z4927">
        <v>7.6383599999999996E-2</v>
      </c>
      <c r="AA4927">
        <v>0.95683110000000005</v>
      </c>
      <c r="AB4927">
        <v>29</v>
      </c>
      <c r="AC4927">
        <v>-2.3044000000000402</v>
      </c>
      <c r="AD4927">
        <v>-1.118303116728</v>
      </c>
      <c r="AE4927">
        <v>-11.4384999999999</v>
      </c>
      <c r="AF4927">
        <v>-3.2936123608658101</v>
      </c>
      <c r="AG4927">
        <v>-1.118303116728</v>
      </c>
      <c r="AH4927">
        <v>11.0830726986933</v>
      </c>
      <c r="AI4927">
        <v>95.524541738113399</v>
      </c>
      <c r="AJ4927">
        <v>106.55063417638701</v>
      </c>
      <c r="AK4927">
        <v>11.616065800823099</v>
      </c>
      <c r="AL4927">
        <v>82.390439095471706</v>
      </c>
      <c r="AM4927">
        <v>102.01740911348099</v>
      </c>
      <c r="AN4927">
        <v>1.00000006175606</v>
      </c>
    </row>
    <row r="4928" spans="1:40" x14ac:dyDescent="0.25">
      <c r="A4928" t="str">
        <f>"20190312164127310"</f>
        <v>20190312164127310</v>
      </c>
      <c r="B4928" t="str">
        <f>"1552380087301423"</f>
        <v>1552380087301423</v>
      </c>
      <c r="C4928" t="s">
        <v>40</v>
      </c>
      <c r="D4928">
        <v>5.0288259999999996</v>
      </c>
      <c r="E4928">
        <v>0.47536200000000001</v>
      </c>
      <c r="F4928" t="s">
        <v>41</v>
      </c>
      <c r="G4928">
        <v>-420.94470000000001</v>
      </c>
      <c r="H4928" s="1">
        <v>-1.8890349999999999E-6</v>
      </c>
      <c r="I4928">
        <v>113.4066</v>
      </c>
      <c r="J4928">
        <v>-418.63290000000001</v>
      </c>
      <c r="K4928">
        <v>1.1182639999999999</v>
      </c>
      <c r="L4928">
        <v>125.20489999999999</v>
      </c>
      <c r="M4928">
        <v>-0.45951560000000002</v>
      </c>
      <c r="N4928">
        <v>0</v>
      </c>
      <c r="O4928">
        <v>-0.88804289999999997</v>
      </c>
      <c r="P4928">
        <v>-0.26935809999999999</v>
      </c>
      <c r="Q4928">
        <v>0.1225593</v>
      </c>
      <c r="R4928">
        <v>-0.95521</v>
      </c>
      <c r="S4928">
        <v>-0.60696410000000001</v>
      </c>
      <c r="T4928">
        <v>-0.27902929999999998</v>
      </c>
      <c r="U4928">
        <v>-3.006332</v>
      </c>
      <c r="V4928">
        <v>-0.20238980000000001</v>
      </c>
      <c r="W4928">
        <v>0.1332257</v>
      </c>
      <c r="X4928">
        <v>0.97020070000000003</v>
      </c>
      <c r="Y4928">
        <v>-0.27529439999999999</v>
      </c>
      <c r="Z4928">
        <v>7.4650010000000003E-2</v>
      </c>
      <c r="AA4928">
        <v>0.95845729999999996</v>
      </c>
      <c r="AB4928">
        <v>29</v>
      </c>
      <c r="AC4928">
        <v>-2.3117999999999999</v>
      </c>
      <c r="AD4928">
        <v>-1.1182658890349999</v>
      </c>
      <c r="AE4928">
        <v>-11.7982999999999</v>
      </c>
      <c r="AF4928">
        <v>-3.3400087854658498</v>
      </c>
      <c r="AG4928">
        <v>-1.1182658890349999</v>
      </c>
      <c r="AH4928">
        <v>11.442014345272501</v>
      </c>
      <c r="AI4928">
        <v>95.359681522803299</v>
      </c>
      <c r="AJ4928">
        <v>106.272916104896</v>
      </c>
      <c r="AK4928">
        <v>11.971878280495099</v>
      </c>
      <c r="AL4928">
        <v>82.343967237513198</v>
      </c>
      <c r="AM4928">
        <v>101.78326728747</v>
      </c>
      <c r="AN4928">
        <v>1.0000000582824999</v>
      </c>
    </row>
    <row r="4929" spans="1:40" x14ac:dyDescent="0.25">
      <c r="A4929" t="str">
        <f>"20190312164127331"</f>
        <v>20190312164127331</v>
      </c>
      <c r="B4929" t="str">
        <f>"1552380087320944"</f>
        <v>1552380087320944</v>
      </c>
      <c r="C4929" t="s">
        <v>40</v>
      </c>
      <c r="D4929">
        <v>5.0387309999999896</v>
      </c>
      <c r="E4929">
        <v>0.47545300000000001</v>
      </c>
      <c r="F4929" t="s">
        <v>41</v>
      </c>
      <c r="G4929">
        <v>-421.01819999999998</v>
      </c>
      <c r="H4929" s="1">
        <v>-1.74642E-6</v>
      </c>
      <c r="I4929">
        <v>113.02849999999999</v>
      </c>
      <c r="J4929">
        <v>-418.75029999999998</v>
      </c>
      <c r="K4929">
        <v>1.1182049999999999</v>
      </c>
      <c r="L4929">
        <v>124.95529999999999</v>
      </c>
      <c r="M4929">
        <v>-0.45059110000000002</v>
      </c>
      <c r="N4929">
        <v>0</v>
      </c>
      <c r="O4929">
        <v>-0.89260490000000003</v>
      </c>
      <c r="P4929">
        <v>-0.26377159999999999</v>
      </c>
      <c r="Q4929">
        <v>0.12129479999999999</v>
      </c>
      <c r="R4929">
        <v>-0.95692860000000002</v>
      </c>
      <c r="S4929">
        <v>-0.58963009999999905</v>
      </c>
      <c r="T4929">
        <v>-0.27642460000000002</v>
      </c>
      <c r="U4929">
        <v>-3.0098880000000001</v>
      </c>
      <c r="V4929">
        <v>-0.1983557</v>
      </c>
      <c r="W4929">
        <v>0.13203889999999999</v>
      </c>
      <c r="X4929">
        <v>0.97119549999999999</v>
      </c>
      <c r="Y4929">
        <v>-0.27118130000000001</v>
      </c>
      <c r="Z4929">
        <v>7.4565090000000001E-2</v>
      </c>
      <c r="AA4929">
        <v>0.95963569999999998</v>
      </c>
      <c r="AB4929">
        <v>29</v>
      </c>
      <c r="AC4929">
        <v>-2.2678999999999898</v>
      </c>
      <c r="AD4929">
        <v>-1.1182067464199901</v>
      </c>
      <c r="AE4929">
        <v>-11.9268</v>
      </c>
      <c r="AF4929">
        <v>-3.3219651763549898</v>
      </c>
      <c r="AG4929">
        <v>-1.1182067464199901</v>
      </c>
      <c r="AH4929">
        <v>11.5709623545964</v>
      </c>
      <c r="AI4929">
        <v>95.306794481581903</v>
      </c>
      <c r="AJ4929">
        <v>106.018506605913</v>
      </c>
      <c r="AK4929">
        <v>12.0902030078962</v>
      </c>
      <c r="AL4929">
        <v>82.412571350247603</v>
      </c>
      <c r="AM4929">
        <v>101.543259495377</v>
      </c>
      <c r="AN4929">
        <v>0.99999997702797405</v>
      </c>
    </row>
    <row r="4930" spans="1:40" x14ac:dyDescent="0.25">
      <c r="A4930" t="str">
        <f>"20190312164127354"</f>
        <v>20190312164127354</v>
      </c>
      <c r="B4930" t="str">
        <f>"1552380087341440"</f>
        <v>1552380087341440</v>
      </c>
      <c r="C4930" t="s">
        <v>40</v>
      </c>
      <c r="D4930">
        <v>5.0575340000000004</v>
      </c>
      <c r="E4930">
        <v>0.47567589999999998</v>
      </c>
      <c r="F4930" t="s">
        <v>41</v>
      </c>
      <c r="G4930">
        <v>-421.03519999999997</v>
      </c>
      <c r="H4930" s="1">
        <v>-1.70319E-6</v>
      </c>
      <c r="I4930">
        <v>112.91719999999999</v>
      </c>
      <c r="J4930">
        <v>-418.86770000000001</v>
      </c>
      <c r="K4930">
        <v>1.118128</v>
      </c>
      <c r="L4930">
        <v>124.699</v>
      </c>
      <c r="M4930">
        <v>-0.44147829999999899</v>
      </c>
      <c r="N4930">
        <v>0</v>
      </c>
      <c r="O4930">
        <v>-0.89714799999999995</v>
      </c>
      <c r="P4930">
        <v>-0.25821860000000002</v>
      </c>
      <c r="Q4930">
        <v>0.11968669999999999</v>
      </c>
      <c r="R4930">
        <v>-0.95864400000000005</v>
      </c>
      <c r="S4930">
        <v>-0.57186890000000001</v>
      </c>
      <c r="T4930">
        <v>-0.27986409999999901</v>
      </c>
      <c r="U4930">
        <v>-3.0128780000000002</v>
      </c>
      <c r="V4930">
        <v>-0.19412370000000001</v>
      </c>
      <c r="W4930">
        <v>0.13050309999999901</v>
      </c>
      <c r="X4930">
        <v>0.97225760000000006</v>
      </c>
      <c r="Y4930">
        <v>-0.26703179999999999</v>
      </c>
      <c r="Z4930">
        <v>7.6110739999999996E-2</v>
      </c>
      <c r="AA4930">
        <v>0.96067740000000001</v>
      </c>
      <c r="AB4930">
        <v>29</v>
      </c>
      <c r="AC4930">
        <v>-2.16749999999996</v>
      </c>
      <c r="AD4930">
        <v>-1.1181297031899999</v>
      </c>
      <c r="AE4930">
        <v>-11.7818</v>
      </c>
      <c r="AF4930">
        <v>-3.2290720449701902</v>
      </c>
      <c r="AG4930">
        <v>-1.1181297031899999</v>
      </c>
      <c r="AH4930">
        <v>11.428640880591299</v>
      </c>
      <c r="AI4930">
        <v>95.378537581913704</v>
      </c>
      <c r="AJ4930">
        <v>105.777219111481</v>
      </c>
      <c r="AK4930">
        <v>11.928577144080799</v>
      </c>
      <c r="AL4930">
        <v>82.501334165086107</v>
      </c>
      <c r="AM4930">
        <v>101.291355646952</v>
      </c>
      <c r="AN4930">
        <v>0.99999995538452902</v>
      </c>
    </row>
    <row r="4931" spans="1:40" x14ac:dyDescent="0.25">
      <c r="A4931" t="str">
        <f>"20190312164127377"</f>
        <v>20190312164127377</v>
      </c>
      <c r="B4931" t="str">
        <f>"1552380087371231"</f>
        <v>1552380087371231</v>
      </c>
      <c r="C4931" t="s">
        <v>40</v>
      </c>
      <c r="D4931">
        <v>5.079339</v>
      </c>
      <c r="E4931">
        <v>0.47604920000000001</v>
      </c>
      <c r="F4931" t="s">
        <v>41</v>
      </c>
      <c r="G4931">
        <v>-421.04649999999998</v>
      </c>
      <c r="H4931" s="1">
        <v>-1.677898E-6</v>
      </c>
      <c r="I4931">
        <v>112.85129999999999</v>
      </c>
      <c r="J4931">
        <v>-418.9864</v>
      </c>
      <c r="K4931">
        <v>1.118031</v>
      </c>
      <c r="L4931">
        <v>124.4331</v>
      </c>
      <c r="M4931">
        <v>-0.43209069999999999</v>
      </c>
      <c r="N4931">
        <v>0</v>
      </c>
      <c r="O4931">
        <v>-0.90170819999999996</v>
      </c>
      <c r="P4931">
        <v>-0.25243769999999999</v>
      </c>
      <c r="Q4931">
        <v>0.1190908</v>
      </c>
      <c r="R4931">
        <v>-0.96025669999999996</v>
      </c>
      <c r="S4931">
        <v>-0.55456539999999999</v>
      </c>
      <c r="T4931">
        <v>-0.28459620000000002</v>
      </c>
      <c r="U4931">
        <v>-3.0155940000000001</v>
      </c>
      <c r="V4931">
        <v>-0.1898196</v>
      </c>
      <c r="W4931">
        <v>0.12996549999999901</v>
      </c>
      <c r="X4931">
        <v>0.97317900000000002</v>
      </c>
      <c r="Y4931">
        <v>-0.26248120000000003</v>
      </c>
      <c r="Z4931">
        <v>7.8034690000000004E-2</v>
      </c>
      <c r="AA4931">
        <v>0.96177659999999998</v>
      </c>
      <c r="AB4931">
        <v>29</v>
      </c>
      <c r="AC4931">
        <v>-2.0600999999999701</v>
      </c>
      <c r="AD4931">
        <v>-1.1180326778980001</v>
      </c>
      <c r="AE4931">
        <v>-11.581799999999999</v>
      </c>
      <c r="AF4931">
        <v>-3.1189518280627802</v>
      </c>
      <c r="AG4931">
        <v>-1.1180326778980001</v>
      </c>
      <c r="AH4931">
        <v>11.2333307008942</v>
      </c>
      <c r="AI4931">
        <v>95.477929057361607</v>
      </c>
      <c r="AJ4931">
        <v>105.517397231234</v>
      </c>
      <c r="AK4931">
        <v>11.7117708400684</v>
      </c>
      <c r="AL4931">
        <v>82.532400842356196</v>
      </c>
      <c r="AM4931">
        <v>101.03702758489101</v>
      </c>
      <c r="AN4931">
        <v>0.999999938887703</v>
      </c>
    </row>
    <row r="4932" spans="1:40" x14ac:dyDescent="0.25">
      <c r="A4932" t="str">
        <f>"20190312164127399"</f>
        <v>20190312164127399</v>
      </c>
      <c r="B4932" t="str">
        <f>"1552380087390748"</f>
        <v>1552380087390748</v>
      </c>
      <c r="C4932" t="s">
        <v>40</v>
      </c>
      <c r="D4932">
        <v>5.2501220000000002</v>
      </c>
      <c r="E4932">
        <v>0.47626619999999997</v>
      </c>
      <c r="F4932" t="s">
        <v>41</v>
      </c>
      <c r="G4932">
        <v>-421.08330000000001</v>
      </c>
      <c r="H4932" s="1">
        <v>-1.6143839999999999E-6</v>
      </c>
      <c r="I4932">
        <v>112.68040000000001</v>
      </c>
      <c r="J4932">
        <v>-419.09629999999999</v>
      </c>
      <c r="K4932">
        <v>1.1179269999999999</v>
      </c>
      <c r="L4932">
        <v>124.17959999999999</v>
      </c>
      <c r="M4932">
        <v>-0.42322680000000001</v>
      </c>
      <c r="N4932">
        <v>0</v>
      </c>
      <c r="O4932">
        <v>-0.90590349999999997</v>
      </c>
      <c r="P4932">
        <v>-0.2476817</v>
      </c>
      <c r="Q4932">
        <v>0.1188751</v>
      </c>
      <c r="R4932">
        <v>-0.96152099999999996</v>
      </c>
      <c r="S4932">
        <v>-0.53851319999999903</v>
      </c>
      <c r="T4932">
        <v>-0.28712120000000002</v>
      </c>
      <c r="U4932">
        <v>-3.0182039999999999</v>
      </c>
      <c r="V4932">
        <v>-0.18506049999999999</v>
      </c>
      <c r="W4932">
        <v>0.12980899999999901</v>
      </c>
      <c r="X4932">
        <v>0.97411610000000004</v>
      </c>
      <c r="Y4932">
        <v>-0.25813219999999998</v>
      </c>
      <c r="Z4932">
        <v>7.9320020000000005E-2</v>
      </c>
      <c r="AA4932">
        <v>0.96284789999999998</v>
      </c>
      <c r="AB4932">
        <v>29</v>
      </c>
      <c r="AC4932">
        <v>-1.9870000000000201</v>
      </c>
      <c r="AD4932">
        <v>-1.1179286143839999</v>
      </c>
      <c r="AE4932">
        <v>-11.499199999999901</v>
      </c>
      <c r="AF4932">
        <v>-3.0391820521030599</v>
      </c>
      <c r="AG4932">
        <v>-1.1179286143839999</v>
      </c>
      <c r="AH4932">
        <v>11.1569532354993</v>
      </c>
      <c r="AI4932">
        <v>95.522049378290305</v>
      </c>
      <c r="AJ4932">
        <v>105.23779789281301</v>
      </c>
      <c r="AK4932">
        <v>11.6174006314581</v>
      </c>
      <c r="AL4932">
        <v>82.5414444798256</v>
      </c>
      <c r="AM4932">
        <v>100.75674320338899</v>
      </c>
      <c r="AN4932">
        <v>0.99999997071022895</v>
      </c>
    </row>
    <row r="4933" spans="1:40" x14ac:dyDescent="0.25">
      <c r="A4933" t="str">
        <f>"20190312164127421"</f>
        <v>20190312164127421</v>
      </c>
      <c r="B4933" t="str">
        <f>"1552380087411244"</f>
        <v>1552380087411244</v>
      </c>
      <c r="C4933" t="s">
        <v>40</v>
      </c>
      <c r="D4933">
        <v>5.1186160000000003</v>
      </c>
      <c r="E4933">
        <v>0.47649419999999998</v>
      </c>
      <c r="F4933" t="s">
        <v>41</v>
      </c>
      <c r="G4933">
        <v>-421.13569999999999</v>
      </c>
      <c r="H4933" s="1">
        <v>-1.5186599999999999E-6</v>
      </c>
      <c r="I4933">
        <v>112.4248</v>
      </c>
      <c r="J4933">
        <v>-419.20530000000002</v>
      </c>
      <c r="K4933">
        <v>1.1178220000000001</v>
      </c>
      <c r="L4933">
        <v>123.9217</v>
      </c>
      <c r="M4933">
        <v>-0.41429739999999998</v>
      </c>
      <c r="N4933">
        <v>0</v>
      </c>
      <c r="O4933">
        <v>-0.91002360000000004</v>
      </c>
      <c r="P4933">
        <v>-0.24273800000000001</v>
      </c>
      <c r="Q4933">
        <v>0.117839899999999</v>
      </c>
      <c r="R4933">
        <v>-0.9629084</v>
      </c>
      <c r="S4933">
        <v>-0.52404790000000001</v>
      </c>
      <c r="T4933">
        <v>-0.28727069999999999</v>
      </c>
      <c r="U4933">
        <v>-3.0205989999999998</v>
      </c>
      <c r="V4933">
        <v>-0.1804789</v>
      </c>
      <c r="W4933">
        <v>0.1288165</v>
      </c>
      <c r="X4933">
        <v>0.97510699999999995</v>
      </c>
      <c r="Y4933">
        <v>-0.25323909999999999</v>
      </c>
      <c r="Z4933">
        <v>7.9957020000000004E-2</v>
      </c>
      <c r="AA4933">
        <v>0.9640938</v>
      </c>
      <c r="AB4933">
        <v>29</v>
      </c>
      <c r="AC4933">
        <v>-1.9303999999999599</v>
      </c>
      <c r="AD4933">
        <v>-1.1178235186599901</v>
      </c>
      <c r="AE4933">
        <v>-11.496899999999901</v>
      </c>
      <c r="AF4933">
        <v>-2.9793564448196199</v>
      </c>
      <c r="AG4933">
        <v>-1.1178235186599901</v>
      </c>
      <c r="AH4933">
        <v>11.1608054104577</v>
      </c>
      <c r="AI4933">
        <v>95.5271661870824</v>
      </c>
      <c r="AJ4933">
        <v>104.946473625561</v>
      </c>
      <c r="AK4933">
        <v>11.6055879495293</v>
      </c>
      <c r="AL4933">
        <v>82.598792207334796</v>
      </c>
      <c r="AM4933">
        <v>100.485996411424</v>
      </c>
      <c r="AN4933">
        <v>0.99999999273322904</v>
      </c>
    </row>
    <row r="4934" spans="1:40" x14ac:dyDescent="0.25">
      <c r="A4934" t="str">
        <f>"20190312164127444"</f>
        <v>20190312164127444</v>
      </c>
      <c r="B4934" t="str">
        <f>"1552380087430764"</f>
        <v>1552380087430764</v>
      </c>
      <c r="C4934" t="s">
        <v>40</v>
      </c>
      <c r="D4934">
        <v>5.1187750000000003</v>
      </c>
      <c r="E4934">
        <v>0.47672720000000002</v>
      </c>
      <c r="F4934" t="s">
        <v>41</v>
      </c>
      <c r="G4934">
        <v>-421.16149999999999</v>
      </c>
      <c r="H4934" s="1">
        <v>-1.475282E-6</v>
      </c>
      <c r="I4934">
        <v>112.30759999999999</v>
      </c>
      <c r="J4934">
        <v>-419.31169999999997</v>
      </c>
      <c r="K4934">
        <v>1.1177189999999999</v>
      </c>
      <c r="L4934">
        <v>123.663</v>
      </c>
      <c r="M4934">
        <v>-0.40541640000000001</v>
      </c>
      <c r="N4934">
        <v>0</v>
      </c>
      <c r="O4934">
        <v>-0.9140163</v>
      </c>
      <c r="P4934">
        <v>-0.2364899</v>
      </c>
      <c r="Q4934">
        <v>0.1174608</v>
      </c>
      <c r="R4934">
        <v>-0.96450829999999999</v>
      </c>
      <c r="S4934">
        <v>-0.50915529999999998</v>
      </c>
      <c r="T4934">
        <v>-0.2909368</v>
      </c>
      <c r="U4934">
        <v>-3.0228120000000001</v>
      </c>
      <c r="V4934">
        <v>-0.17728260000000001</v>
      </c>
      <c r="W4934">
        <v>0.12844059999999999</v>
      </c>
      <c r="X4934">
        <v>0.97574280000000002</v>
      </c>
      <c r="Y4934">
        <v>-0.24856980000000001</v>
      </c>
      <c r="Z4934">
        <v>8.1555719999999998E-2</v>
      </c>
      <c r="AA4934">
        <v>0.96517439999999999</v>
      </c>
      <c r="AB4934">
        <v>29</v>
      </c>
      <c r="AC4934">
        <v>-1.8498000000000101</v>
      </c>
      <c r="AD4934">
        <v>-1.117720475282</v>
      </c>
      <c r="AE4934">
        <v>-11.355399999999999</v>
      </c>
      <c r="AF4934">
        <v>-2.8859880815468899</v>
      </c>
      <c r="AG4934">
        <v>-1.117720475282</v>
      </c>
      <c r="AH4934">
        <v>11.0260726079424</v>
      </c>
      <c r="AI4934">
        <v>95.600921032516197</v>
      </c>
      <c r="AJ4934">
        <v>104.66767451750199</v>
      </c>
      <c r="AK4934">
        <v>11.452183347437</v>
      </c>
      <c r="AL4934">
        <v>82.620510603325002</v>
      </c>
      <c r="AM4934">
        <v>100.297730833258</v>
      </c>
      <c r="AN4934">
        <v>1.00000005987147</v>
      </c>
    </row>
    <row r="4935" spans="1:40" x14ac:dyDescent="0.25">
      <c r="A4935" t="str">
        <f>"20190312164127467"</f>
        <v>20190312164127467</v>
      </c>
      <c r="B4935" t="str">
        <f>"1552380087461020"</f>
        <v>1552380087461020</v>
      </c>
      <c r="C4935" t="s">
        <v>40</v>
      </c>
      <c r="D4935">
        <v>5.2784050000000002</v>
      </c>
      <c r="E4935">
        <v>0.4769969</v>
      </c>
      <c r="F4935" t="s">
        <v>41</v>
      </c>
      <c r="G4935">
        <v>-421.1925</v>
      </c>
      <c r="H4935" s="1">
        <v>-1.3928700000000001E-6</v>
      </c>
      <c r="I4935">
        <v>112.0963</v>
      </c>
      <c r="J4935">
        <v>-419.4194</v>
      </c>
      <c r="K4935">
        <v>1.1176170000000001</v>
      </c>
      <c r="L4935">
        <v>123.39409999999999</v>
      </c>
      <c r="M4935">
        <v>-0.39626460000000002</v>
      </c>
      <c r="N4935">
        <v>0</v>
      </c>
      <c r="O4935">
        <v>-0.91802280000000003</v>
      </c>
      <c r="P4935">
        <v>-0.230381</v>
      </c>
      <c r="Q4935">
        <v>0.1179501</v>
      </c>
      <c r="R4935">
        <v>-0.96592599999999995</v>
      </c>
      <c r="S4935">
        <v>-0.49194339999999998</v>
      </c>
      <c r="T4935">
        <v>-0.29234599999999999</v>
      </c>
      <c r="U4935">
        <v>-3.0253450000000002</v>
      </c>
      <c r="V4935">
        <v>-0.1736598</v>
      </c>
      <c r="W4935">
        <v>0.12892960000000001</v>
      </c>
      <c r="X4935">
        <v>0.97632960000000002</v>
      </c>
      <c r="Y4935">
        <v>-0.24437829999999999</v>
      </c>
      <c r="Z4935">
        <v>8.2527390000000006E-2</v>
      </c>
      <c r="AA4935">
        <v>0.96616170000000001</v>
      </c>
      <c r="AB4935">
        <v>28</v>
      </c>
      <c r="AC4935">
        <v>-1.7730999999999899</v>
      </c>
      <c r="AD4935">
        <v>-1.1176183928700001</v>
      </c>
      <c r="AE4935">
        <v>-11.297799999999899</v>
      </c>
      <c r="AF4935">
        <v>-2.8225122882246301</v>
      </c>
      <c r="AG4935">
        <v>-1.1176183928700001</v>
      </c>
      <c r="AH4935">
        <v>10.970633024853001</v>
      </c>
      <c r="AI4935">
        <v>95.634604871263903</v>
      </c>
      <c r="AJ4935">
        <v>104.428083599231</v>
      </c>
      <c r="AK4935">
        <v>11.3829010122752</v>
      </c>
      <c r="AL4935">
        <v>82.592257824573593</v>
      </c>
      <c r="AM4935">
        <v>100.085723042322</v>
      </c>
      <c r="AN4935">
        <v>1.0000000278641701</v>
      </c>
    </row>
    <row r="4936" spans="1:40" x14ac:dyDescent="0.25">
      <c r="A4936" t="str">
        <f>"20190312164127489"</f>
        <v>20190312164127489</v>
      </c>
      <c r="B4936" t="str">
        <f>"1552380087481048"</f>
        <v>1552380087481048</v>
      </c>
      <c r="C4936" t="s">
        <v>40</v>
      </c>
      <c r="D4936">
        <v>5.1369230000000003</v>
      </c>
      <c r="E4936">
        <v>0.47722369999999997</v>
      </c>
      <c r="F4936" t="s">
        <v>41</v>
      </c>
      <c r="G4936">
        <v>-421.23790000000002</v>
      </c>
      <c r="H4936" s="1">
        <v>-1.2766340000000001E-6</v>
      </c>
      <c r="I4936">
        <v>111.7972</v>
      </c>
      <c r="J4936">
        <v>-419.52030000000002</v>
      </c>
      <c r="K4936">
        <v>1.1175250000000001</v>
      </c>
      <c r="L4936">
        <v>123.13500000000001</v>
      </c>
      <c r="M4936">
        <v>-0.38752560000000003</v>
      </c>
      <c r="N4936">
        <v>0</v>
      </c>
      <c r="O4936">
        <v>-0.9217476</v>
      </c>
      <c r="P4936">
        <v>-0.2254709</v>
      </c>
      <c r="Q4936">
        <v>0.118926</v>
      </c>
      <c r="R4936">
        <v>-0.96696420000000005</v>
      </c>
      <c r="S4936">
        <v>-0.47485349999999998</v>
      </c>
      <c r="T4936">
        <v>-0.29183629999999999</v>
      </c>
      <c r="U4936">
        <v>-3.0282140000000002</v>
      </c>
      <c r="V4936">
        <v>-0.1692815</v>
      </c>
      <c r="W4936">
        <v>0.12990589999999999</v>
      </c>
      <c r="X4936">
        <v>0.97696890000000003</v>
      </c>
      <c r="Y4936">
        <v>-0.24062929999999999</v>
      </c>
      <c r="Z4936">
        <v>8.2907889999999998E-2</v>
      </c>
      <c r="AA4936">
        <v>0.96706970000000003</v>
      </c>
      <c r="AB4936">
        <v>28</v>
      </c>
      <c r="AC4936">
        <v>-1.7176</v>
      </c>
      <c r="AD4936">
        <v>-1.1175262766339999</v>
      </c>
      <c r="AE4936">
        <v>-11.3378</v>
      </c>
      <c r="AF4936">
        <v>-2.7843386732400801</v>
      </c>
      <c r="AG4936">
        <v>-1.1175262766339999</v>
      </c>
      <c r="AH4936">
        <v>11.012752802809199</v>
      </c>
      <c r="AI4936">
        <v>95.618679342446796</v>
      </c>
      <c r="AJ4936">
        <v>104.188674176768</v>
      </c>
      <c r="AK4936">
        <v>11.414119813724099</v>
      </c>
      <c r="AL4936">
        <v>82.535845329266294</v>
      </c>
      <c r="AM4936">
        <v>99.830160530853604</v>
      </c>
      <c r="AN4936">
        <v>1.0000000003321301</v>
      </c>
    </row>
    <row r="4937" spans="1:40" x14ac:dyDescent="0.25">
      <c r="A4937" t="str">
        <f>"20190312164127511"</f>
        <v>20190312164127511</v>
      </c>
      <c r="B4937" t="str">
        <f>"1552380087501544"</f>
        <v>1552380087501544</v>
      </c>
      <c r="C4937" t="s">
        <v>40</v>
      </c>
      <c r="D4937">
        <v>5.1437739999999996</v>
      </c>
      <c r="E4937">
        <v>0.47753319999999999</v>
      </c>
      <c r="F4937" t="s">
        <v>41</v>
      </c>
      <c r="G4937">
        <v>-421.30110000000002</v>
      </c>
      <c r="H4937" s="1">
        <v>-1.1184270000000001E-6</v>
      </c>
      <c r="I4937">
        <v>111.3892</v>
      </c>
      <c r="J4937">
        <v>-419.61680000000001</v>
      </c>
      <c r="K4937">
        <v>1.117445</v>
      </c>
      <c r="L4937">
        <v>122.8807</v>
      </c>
      <c r="M4937">
        <v>-0.37901639999999998</v>
      </c>
      <c r="N4937">
        <v>0</v>
      </c>
      <c r="O4937">
        <v>-0.92528129999999997</v>
      </c>
      <c r="P4937">
        <v>-0.2206941</v>
      </c>
      <c r="Q4937">
        <v>0.1190257</v>
      </c>
      <c r="R4937">
        <v>-0.96805330000000001</v>
      </c>
      <c r="S4937">
        <v>-0.4595032</v>
      </c>
      <c r="T4937">
        <v>-0.28835929999999999</v>
      </c>
      <c r="U4937">
        <v>-3.0308069999999998</v>
      </c>
      <c r="V4937">
        <v>-0.16506709999999999</v>
      </c>
      <c r="W4937">
        <v>0.1299797</v>
      </c>
      <c r="X4937">
        <v>0.97767999999999999</v>
      </c>
      <c r="Y4937">
        <v>-0.2365863</v>
      </c>
      <c r="Z4937">
        <v>8.2424659999999997E-2</v>
      </c>
      <c r="AA4937">
        <v>0.96810799999999997</v>
      </c>
      <c r="AB4937">
        <v>28</v>
      </c>
      <c r="AC4937">
        <v>-1.6842999999999999</v>
      </c>
      <c r="AD4937">
        <v>-1.1174461184269999</v>
      </c>
      <c r="AE4937">
        <v>-11.4915</v>
      </c>
      <c r="AF4937">
        <v>-2.7716399433099599</v>
      </c>
      <c r="AG4937">
        <v>-1.1174461184269999</v>
      </c>
      <c r="AH4937">
        <v>11.1689897993333</v>
      </c>
      <c r="AI4937">
        <v>95.546248495259704</v>
      </c>
      <c r="AJ4937">
        <v>103.936704440992</v>
      </c>
      <c r="AK4937">
        <v>11.561877310391701</v>
      </c>
      <c r="AL4937">
        <v>82.531580937385201</v>
      </c>
      <c r="AM4937">
        <v>99.583186479961299</v>
      </c>
      <c r="AN4937">
        <v>1.0000000261572399</v>
      </c>
    </row>
    <row r="4938" spans="1:40" x14ac:dyDescent="0.25">
      <c r="A4938" t="str">
        <f>"20190312164127532"</f>
        <v>20190312164127532</v>
      </c>
      <c r="B4938" t="str">
        <f>"1552380087521064"</f>
        <v>1552380087521064</v>
      </c>
      <c r="C4938" t="s">
        <v>40</v>
      </c>
      <c r="D4938">
        <v>5.3345250000000002</v>
      </c>
      <c r="E4938">
        <v>0.47768929999999998</v>
      </c>
      <c r="F4938" t="s">
        <v>41</v>
      </c>
      <c r="G4938">
        <v>-421.34820000000002</v>
      </c>
      <c r="H4938" s="1">
        <v>-1.007705E-6</v>
      </c>
      <c r="I4938">
        <v>111.1019</v>
      </c>
      <c r="J4938">
        <v>-419.71280000000002</v>
      </c>
      <c r="K4938">
        <v>1.1173489999999999</v>
      </c>
      <c r="L4938">
        <v>122.6204</v>
      </c>
      <c r="M4938">
        <v>-0.37038120000000002</v>
      </c>
      <c r="N4938">
        <v>0</v>
      </c>
      <c r="O4938">
        <v>-0.9287744</v>
      </c>
      <c r="P4938">
        <v>-0.21512919999999999</v>
      </c>
      <c r="Q4938">
        <v>0.11773459999999999</v>
      </c>
      <c r="R4938">
        <v>-0.96946319999999997</v>
      </c>
      <c r="S4938">
        <v>-0.4458008</v>
      </c>
      <c r="T4938">
        <v>-0.28771449999999998</v>
      </c>
      <c r="U4938">
        <v>-3.0327449999999998</v>
      </c>
      <c r="V4938">
        <v>-0.16158110000000001</v>
      </c>
      <c r="W4938">
        <v>0.1286255</v>
      </c>
      <c r="X4938">
        <v>0.97844109999999995</v>
      </c>
      <c r="Y4938">
        <v>-0.23190540000000001</v>
      </c>
      <c r="Z4938">
        <v>8.2751489999999997E-2</v>
      </c>
      <c r="AA4938">
        <v>0.96921210000000002</v>
      </c>
      <c r="AB4938">
        <v>28</v>
      </c>
      <c r="AC4938">
        <v>-1.6354</v>
      </c>
      <c r="AD4938">
        <v>-1.11735000770499</v>
      </c>
      <c r="AE4938">
        <v>-11.5185</v>
      </c>
      <c r="AF4938">
        <v>-2.7224752162928101</v>
      </c>
      <c r="AG4938">
        <v>-1.11735000770499</v>
      </c>
      <c r="AH4938">
        <v>11.2015931746528</v>
      </c>
      <c r="AI4938">
        <v>95.536243094487901</v>
      </c>
      <c r="AJ4938">
        <v>103.660505392731</v>
      </c>
      <c r="AK4938">
        <v>11.5817110995515</v>
      </c>
      <c r="AL4938">
        <v>82.609827400974297</v>
      </c>
      <c r="AM4938">
        <v>99.377269934418706</v>
      </c>
      <c r="AN4938">
        <v>0.99999997864833401</v>
      </c>
    </row>
    <row r="4939" spans="1:40" x14ac:dyDescent="0.25">
      <c r="A4939" t="str">
        <f>"20190312164127556"</f>
        <v>20190312164127556</v>
      </c>
      <c r="B4939" t="str">
        <f>"1552380087551320"</f>
        <v>1552380087551320</v>
      </c>
      <c r="C4939" t="s">
        <v>40</v>
      </c>
      <c r="D4939">
        <v>5.134703</v>
      </c>
      <c r="E4939">
        <v>0.45973910000000001</v>
      </c>
      <c r="F4939" t="s">
        <v>41</v>
      </c>
      <c r="G4939">
        <v>-421.35270000000003</v>
      </c>
      <c r="H4939" s="1">
        <v>-9.6810019999999998E-7</v>
      </c>
      <c r="I4939">
        <v>111.0068</v>
      </c>
      <c r="J4939">
        <v>-419.80959999999999</v>
      </c>
      <c r="K4939">
        <v>1.1172470000000001</v>
      </c>
      <c r="L4939">
        <v>122.3507</v>
      </c>
      <c r="M4939">
        <v>-0.36150130000000003</v>
      </c>
      <c r="N4939">
        <v>0</v>
      </c>
      <c r="O4939">
        <v>-0.93226909999999996</v>
      </c>
      <c r="P4939">
        <v>-0.20945939999999999</v>
      </c>
      <c r="Q4939">
        <v>0.1162812</v>
      </c>
      <c r="R4939">
        <v>-0.97087889999999999</v>
      </c>
      <c r="S4939">
        <v>-0.42852780000000001</v>
      </c>
      <c r="T4939">
        <v>-0.29198689999999999</v>
      </c>
      <c r="U4939">
        <v>-3.0348820000000001</v>
      </c>
      <c r="V4939">
        <v>-0.1579682</v>
      </c>
      <c r="W4939">
        <v>0.12708710000000001</v>
      </c>
      <c r="X4939">
        <v>0.97923179999999999</v>
      </c>
      <c r="Y4939">
        <v>-0.2281416</v>
      </c>
      <c r="Z4939">
        <v>8.4475939999999999E-2</v>
      </c>
      <c r="AA4939">
        <v>0.96995629999999999</v>
      </c>
      <c r="AB4939">
        <v>28</v>
      </c>
      <c r="AC4939">
        <v>-1.5431000000000299</v>
      </c>
      <c r="AD4939">
        <v>-1.1172479681002001</v>
      </c>
      <c r="AE4939">
        <v>-11.3439</v>
      </c>
      <c r="AF4939">
        <v>-2.6373865867548401</v>
      </c>
      <c r="AG4939">
        <v>-1.1172479681002001</v>
      </c>
      <c r="AH4939">
        <v>11.029421897120701</v>
      </c>
      <c r="AI4939">
        <v>95.626597069419105</v>
      </c>
      <c r="AJ4939">
        <v>103.448202943803</v>
      </c>
      <c r="AK4939">
        <v>11.395270879400099</v>
      </c>
      <c r="AL4939">
        <v>82.698700810090102</v>
      </c>
      <c r="AM4939">
        <v>99.163920259247206</v>
      </c>
      <c r="AN4939">
        <v>1.0000000006644401</v>
      </c>
    </row>
    <row r="4940" spans="1:40" x14ac:dyDescent="0.25">
      <c r="A4940" t="str">
        <f>"20190312164127579"</f>
        <v>20190312164127579</v>
      </c>
      <c r="B4940" t="str">
        <f>"1552380087571350"</f>
        <v>1552380087571350</v>
      </c>
      <c r="C4940" t="s">
        <v>40</v>
      </c>
      <c r="D4940">
        <v>5.140136</v>
      </c>
      <c r="E4940">
        <v>0.45741749999999998</v>
      </c>
      <c r="F4940" t="s">
        <v>41</v>
      </c>
      <c r="G4940">
        <v>-420.76990000000001</v>
      </c>
      <c r="H4940" s="1">
        <v>-9.8864300000000007E-7</v>
      </c>
      <c r="I4940">
        <v>111.4161</v>
      </c>
      <c r="J4940">
        <v>-419.90339999999998</v>
      </c>
      <c r="K4940">
        <v>1.117159</v>
      </c>
      <c r="L4940">
        <v>122.0818</v>
      </c>
      <c r="M4940">
        <v>-0.3527149</v>
      </c>
      <c r="N4940">
        <v>0</v>
      </c>
      <c r="O4940">
        <v>-0.93563160000000001</v>
      </c>
      <c r="P4940">
        <v>-0.2045593</v>
      </c>
      <c r="Q4940">
        <v>0.1167285</v>
      </c>
      <c r="R4940">
        <v>-0.97186930000000005</v>
      </c>
      <c r="S4940">
        <v>-0.26956180000000002</v>
      </c>
      <c r="T4940">
        <v>-0.31362040000000002</v>
      </c>
      <c r="U4940">
        <v>-3.0694119999999998</v>
      </c>
      <c r="V4940">
        <v>-0.1536526</v>
      </c>
      <c r="W4940">
        <v>0.12744320000000001</v>
      </c>
      <c r="X4940">
        <v>0.97987199999999997</v>
      </c>
      <c r="Y4940">
        <v>-0.26987670000000002</v>
      </c>
      <c r="Z4940">
        <v>8.9860190000000006E-2</v>
      </c>
      <c r="AA4940">
        <v>0.95869269999999995</v>
      </c>
      <c r="AB4940">
        <v>28</v>
      </c>
      <c r="AC4940">
        <v>-0.86650000000003002</v>
      </c>
      <c r="AD4940">
        <v>-1.1171599886429999</v>
      </c>
      <c r="AE4940">
        <v>-10.665699999999999</v>
      </c>
      <c r="AF4940">
        <v>-2.9196784130266602</v>
      </c>
      <c r="AG4940">
        <v>-1.1171599886429999</v>
      </c>
      <c r="AH4940">
        <v>10.1748507076135</v>
      </c>
      <c r="AI4940">
        <v>96.024531976492995</v>
      </c>
      <c r="AJ4940">
        <v>106.010858265019</v>
      </c>
      <c r="AK4940">
        <v>10.6442545722066</v>
      </c>
      <c r="AL4940">
        <v>82.678130615218706</v>
      </c>
      <c r="AM4940">
        <v>98.911913044324905</v>
      </c>
      <c r="AN4940">
        <v>1.0000000135484901</v>
      </c>
    </row>
    <row r="4941" spans="1:40" x14ac:dyDescent="0.25">
      <c r="A4941" t="str">
        <f>"20190312164127599"</f>
        <v>20190312164127599</v>
      </c>
      <c r="B4941" t="str">
        <f>"1552380087590867"</f>
        <v>1552380087590867</v>
      </c>
      <c r="C4941" t="s">
        <v>40</v>
      </c>
      <c r="D4941">
        <v>5.203697</v>
      </c>
      <c r="E4941">
        <v>0.45753690000000002</v>
      </c>
      <c r="F4941" t="s">
        <v>41</v>
      </c>
      <c r="G4941">
        <v>-420.75970000000001</v>
      </c>
      <c r="H4941" s="1">
        <v>-7.9132930000000003E-7</v>
      </c>
      <c r="I4941">
        <v>110.96250000000001</v>
      </c>
      <c r="J4941">
        <v>-419.98970000000003</v>
      </c>
      <c r="K4941">
        <v>1.117084</v>
      </c>
      <c r="L4941">
        <v>121.8263</v>
      </c>
      <c r="M4941">
        <v>-0.34442780000000001</v>
      </c>
      <c r="N4941">
        <v>0</v>
      </c>
      <c r="O4941">
        <v>-0.93871689999999997</v>
      </c>
      <c r="P4941">
        <v>-0.2001492</v>
      </c>
      <c r="Q4941">
        <v>0.11910519999999999</v>
      </c>
      <c r="R4941">
        <v>-0.97249909999999995</v>
      </c>
      <c r="S4941">
        <v>-0.2367554</v>
      </c>
      <c r="T4941">
        <v>-0.30885620000000003</v>
      </c>
      <c r="U4941">
        <v>-3.0740970000000001</v>
      </c>
      <c r="V4941">
        <v>-0.14934449999999999</v>
      </c>
      <c r="W4941">
        <v>0.129722</v>
      </c>
      <c r="X4941">
        <v>0.98023899999999997</v>
      </c>
      <c r="Y4941">
        <v>-0.2716421</v>
      </c>
      <c r="Z4941">
        <v>8.8839799999999997E-2</v>
      </c>
      <c r="AA4941">
        <v>0.9582891</v>
      </c>
      <c r="AB4941">
        <v>28</v>
      </c>
      <c r="AC4941">
        <v>-0.76999999999998103</v>
      </c>
      <c r="AD4941">
        <v>-1.1170847913293001</v>
      </c>
      <c r="AE4941">
        <v>-10.8637999999999</v>
      </c>
      <c r="AF4941">
        <v>-2.987821481254</v>
      </c>
      <c r="AG4941">
        <v>-1.1170847913293001</v>
      </c>
      <c r="AH4941">
        <v>10.3552429065938</v>
      </c>
      <c r="AI4941">
        <v>95.917468499564706</v>
      </c>
      <c r="AJ4941">
        <v>106.09455624977601</v>
      </c>
      <c r="AK4941">
        <v>10.835405451086</v>
      </c>
      <c r="AL4941">
        <v>82.546472216773694</v>
      </c>
      <c r="AM4941">
        <v>98.662692900455895</v>
      </c>
      <c r="AN4941">
        <v>1.0000000370426201</v>
      </c>
    </row>
    <row r="4942" spans="1:40" x14ac:dyDescent="0.25">
      <c r="A4942" t="str">
        <f>"20190312164127622"</f>
        <v>20190312164127622</v>
      </c>
      <c r="B4942" t="str">
        <f>"1552380087611363"</f>
        <v>1552380087611363</v>
      </c>
      <c r="C4942" t="s">
        <v>40</v>
      </c>
      <c r="D4942">
        <v>5.1692619999999998</v>
      </c>
      <c r="E4942">
        <v>0.4574454</v>
      </c>
      <c r="F4942" t="s">
        <v>41</v>
      </c>
      <c r="G4942">
        <v>-420.8263</v>
      </c>
      <c r="H4942" s="1">
        <v>-5.2890999999999999E-7</v>
      </c>
      <c r="I4942">
        <v>110.3095</v>
      </c>
      <c r="J4942">
        <v>-420.07740000000001</v>
      </c>
      <c r="K4942">
        <v>1.1170180000000001</v>
      </c>
      <c r="L4942">
        <v>121.5596</v>
      </c>
      <c r="M4942">
        <v>-0.3358216</v>
      </c>
      <c r="N4942">
        <v>0</v>
      </c>
      <c r="O4942">
        <v>-0.94183300000000003</v>
      </c>
      <c r="P4942">
        <v>-0.1958551</v>
      </c>
      <c r="Q4942">
        <v>0.12170739999999899</v>
      </c>
      <c r="R4942">
        <v>-0.97305140000000001</v>
      </c>
      <c r="S4942">
        <v>-0.2233887</v>
      </c>
      <c r="T4942">
        <v>-0.29830040000000002</v>
      </c>
      <c r="U4942">
        <v>-3.0753940000000002</v>
      </c>
      <c r="V4942">
        <v>-0.14460680000000001</v>
      </c>
      <c r="W4942">
        <v>0.13222419999999999</v>
      </c>
      <c r="X4942">
        <v>0.98061489999999996</v>
      </c>
      <c r="Y4942">
        <v>-0.26698759999999999</v>
      </c>
      <c r="Z4942">
        <v>8.6316249999999997E-2</v>
      </c>
      <c r="AA4942">
        <v>0.95982659999999997</v>
      </c>
      <c r="AB4942">
        <v>29</v>
      </c>
      <c r="AC4942">
        <v>-0.74889999999999102</v>
      </c>
      <c r="AD4942">
        <v>-1.1170185289100001</v>
      </c>
      <c r="AE4942">
        <v>-11.2501</v>
      </c>
      <c r="AF4942">
        <v>-3.04308816979146</v>
      </c>
      <c r="AG4942">
        <v>-1.1170185289100001</v>
      </c>
      <c r="AH4942">
        <v>10.7427193515521</v>
      </c>
      <c r="AI4942">
        <v>95.713018774296202</v>
      </c>
      <c r="AJ4942">
        <v>105.815825235106</v>
      </c>
      <c r="AK4942">
        <v>11.2211467804884</v>
      </c>
      <c r="AL4942">
        <v>82.401860507604297</v>
      </c>
      <c r="AM4942">
        <v>98.388688584330296</v>
      </c>
      <c r="AN4942">
        <v>0.99999997388694395</v>
      </c>
    </row>
    <row r="4943" spans="1:40" x14ac:dyDescent="0.25">
      <c r="A4943" t="str">
        <f>"20190312164127645"</f>
        <v>20190312164127645</v>
      </c>
      <c r="B4943" t="str">
        <f>"1552380087641620"</f>
        <v>1552380087641620</v>
      </c>
      <c r="C4943" t="s">
        <v>40</v>
      </c>
      <c r="D4943">
        <v>5.1938829999999996</v>
      </c>
      <c r="E4943">
        <v>0.45773079999999999</v>
      </c>
      <c r="F4943" t="s">
        <v>41</v>
      </c>
      <c r="G4943">
        <v>-420.87830000000002</v>
      </c>
      <c r="H4943" s="1">
        <v>-3.0114849999999998E-7</v>
      </c>
      <c r="I4943">
        <v>109.74630000000001</v>
      </c>
      <c r="J4943">
        <v>-420.16609999999997</v>
      </c>
      <c r="K4943">
        <v>1.116959</v>
      </c>
      <c r="L4943">
        <v>121.2809</v>
      </c>
      <c r="M4943">
        <v>-0.32687529999999998</v>
      </c>
      <c r="N4943">
        <v>0</v>
      </c>
      <c r="O4943">
        <v>-0.94497810000000004</v>
      </c>
      <c r="P4943">
        <v>-0.19110469999999999</v>
      </c>
      <c r="Q4943">
        <v>0.12316779999999999</v>
      </c>
      <c r="R4943">
        <v>-0.97381150000000005</v>
      </c>
      <c r="S4943">
        <v>-0.20864869999999999</v>
      </c>
      <c r="T4943">
        <v>-0.29099770000000003</v>
      </c>
      <c r="U4943">
        <v>-3.077499</v>
      </c>
      <c r="V4943">
        <v>-0.14003260000000001</v>
      </c>
      <c r="W4943">
        <v>0.13356589999999999</v>
      </c>
      <c r="X4943">
        <v>0.98109690000000005</v>
      </c>
      <c r="Y4943">
        <v>-0.26245849999999998</v>
      </c>
      <c r="Z4943">
        <v>8.4674509999999995E-2</v>
      </c>
      <c r="AA4943">
        <v>0.96122099999999999</v>
      </c>
      <c r="AB4943">
        <v>29</v>
      </c>
      <c r="AC4943">
        <v>-0.71220000000005201</v>
      </c>
      <c r="AD4943">
        <v>-1.1169593011485</v>
      </c>
      <c r="AE4943">
        <v>-11.5345999999999</v>
      </c>
      <c r="AF4943">
        <v>-3.0689554062239099</v>
      </c>
      <c r="AG4943">
        <v>-1.1169593011485</v>
      </c>
      <c r="AH4943">
        <v>11.0306425674145</v>
      </c>
      <c r="AI4943">
        <v>95.571822096468296</v>
      </c>
      <c r="AJ4943">
        <v>105.547679135961</v>
      </c>
      <c r="AK4943">
        <v>11.5039628309496</v>
      </c>
      <c r="AL4943">
        <v>82.3242993990077</v>
      </c>
      <c r="AM4943">
        <v>98.122999771855106</v>
      </c>
      <c r="AN4943">
        <v>1.0000000529475801</v>
      </c>
    </row>
    <row r="4944" spans="1:40" x14ac:dyDescent="0.25">
      <c r="A4944" t="str">
        <f>"20190312164127668"</f>
        <v>20190312164127668</v>
      </c>
      <c r="B4944" t="str">
        <f>"1552380087661139"</f>
        <v>1552380087661139</v>
      </c>
      <c r="C4944" t="s">
        <v>40</v>
      </c>
      <c r="D4944">
        <v>5.1980320000000004</v>
      </c>
      <c r="E4944">
        <v>0.45797690000000002</v>
      </c>
      <c r="F4944" t="s">
        <v>41</v>
      </c>
      <c r="G4944">
        <v>-420.92039999999997</v>
      </c>
      <c r="H4944" s="1">
        <v>-4.8187589999999999E-6</v>
      </c>
      <c r="I4944">
        <v>109.4093</v>
      </c>
      <c r="J4944">
        <v>-420.25130000000001</v>
      </c>
      <c r="K4944">
        <v>1.1169020000000001</v>
      </c>
      <c r="L4944">
        <v>121.0047</v>
      </c>
      <c r="M4944">
        <v>-0.31805559999999899</v>
      </c>
      <c r="N4944">
        <v>0</v>
      </c>
      <c r="O4944">
        <v>-0.94798629999999995</v>
      </c>
      <c r="P4944">
        <v>-0.18626309999999999</v>
      </c>
      <c r="Q4944">
        <v>0.1230816</v>
      </c>
      <c r="R4944">
        <v>-0.97476030000000002</v>
      </c>
      <c r="S4944">
        <v>-0.19561770000000001</v>
      </c>
      <c r="T4944">
        <v>-0.289686</v>
      </c>
      <c r="U4944">
        <v>-3.0789179999999998</v>
      </c>
      <c r="V4944">
        <v>-0.13574449999999999</v>
      </c>
      <c r="W4944">
        <v>0.1333415</v>
      </c>
      <c r="X4944">
        <v>0.98172990000000004</v>
      </c>
      <c r="Y4944">
        <v>-0.2575442</v>
      </c>
      <c r="Z4944">
        <v>8.4748210000000004E-2</v>
      </c>
      <c r="AA4944">
        <v>0.96254280000000003</v>
      </c>
      <c r="AB4944">
        <v>29</v>
      </c>
      <c r="AC4944">
        <v>-0.66909999999995695</v>
      </c>
      <c r="AD4944">
        <v>-1.1169068187590001</v>
      </c>
      <c r="AE4944">
        <v>-11.5953999999999</v>
      </c>
      <c r="AF4944">
        <v>-3.0259504660993999</v>
      </c>
      <c r="AG4944">
        <v>-1.1169068187590001</v>
      </c>
      <c r="AH4944">
        <v>11.1033258090968</v>
      </c>
      <c r="AI4944">
        <v>95.543340966314403</v>
      </c>
      <c r="AJ4944">
        <v>105.244410854598</v>
      </c>
      <c r="AK4944">
        <v>11.562339775669701</v>
      </c>
      <c r="AL4944">
        <v>82.3372726760376</v>
      </c>
      <c r="AM4944">
        <v>97.872411601444199</v>
      </c>
      <c r="AN4944">
        <v>1.00000006072825</v>
      </c>
    </row>
    <row r="4945" spans="1:40" x14ac:dyDescent="0.25">
      <c r="A4945" t="str">
        <f>"20190312164127690"</f>
        <v>20190312164127690</v>
      </c>
      <c r="B4945" t="str">
        <f>"1552380087681166"</f>
        <v>1552380087681166</v>
      </c>
      <c r="C4945" t="s">
        <v>40</v>
      </c>
      <c r="D4945">
        <v>5.1970470000000004</v>
      </c>
      <c r="E4945">
        <v>0.45833360000000001</v>
      </c>
      <c r="F4945" t="s">
        <v>41</v>
      </c>
      <c r="G4945">
        <v>-420.95</v>
      </c>
      <c r="H4945" s="1">
        <v>-4.7309349999999998E-6</v>
      </c>
      <c r="I4945">
        <v>109.1669</v>
      </c>
      <c r="J4945">
        <v>-420.33350000000002</v>
      </c>
      <c r="K4945">
        <v>1.1168370000000001</v>
      </c>
      <c r="L4945">
        <v>120.7298</v>
      </c>
      <c r="M4945">
        <v>-0.30932419999999999</v>
      </c>
      <c r="N4945">
        <v>0</v>
      </c>
      <c r="O4945">
        <v>-0.95087440000000001</v>
      </c>
      <c r="P4945">
        <v>-0.18015639999999999</v>
      </c>
      <c r="Q4945">
        <v>0.1227819</v>
      </c>
      <c r="R4945">
        <v>-0.97594539999999996</v>
      </c>
      <c r="S4945">
        <v>-0.1817627</v>
      </c>
      <c r="T4945">
        <v>-0.29056219999999999</v>
      </c>
      <c r="U4945">
        <v>-3.0796049999999999</v>
      </c>
      <c r="V4945">
        <v>-0.1328501</v>
      </c>
      <c r="W4945">
        <v>0.13286220000000001</v>
      </c>
      <c r="X4945">
        <v>0.98219069999999997</v>
      </c>
      <c r="Y4945">
        <v>-0.25298579999999998</v>
      </c>
      <c r="Z4945">
        <v>8.5453420000000002E-2</v>
      </c>
      <c r="AA4945">
        <v>0.96368869999999895</v>
      </c>
      <c r="AB4945">
        <v>29</v>
      </c>
      <c r="AC4945">
        <v>-0.61649999999997296</v>
      </c>
      <c r="AD4945">
        <v>-1.1168417309350001</v>
      </c>
      <c r="AE4945">
        <v>-11.562900000000001</v>
      </c>
      <c r="AF4945">
        <v>-2.9631389355412301</v>
      </c>
      <c r="AG4945">
        <v>-1.1168417309350001</v>
      </c>
      <c r="AH4945">
        <v>11.0833320788865</v>
      </c>
      <c r="AI4945">
        <v>95.560147236881306</v>
      </c>
      <c r="AJ4945">
        <v>104.96801251102001</v>
      </c>
      <c r="AK4945">
        <v>11.5268286086917</v>
      </c>
      <c r="AL4945">
        <v>82.364980938812195</v>
      </c>
      <c r="AM4945">
        <v>97.703019438022096</v>
      </c>
      <c r="AN4945">
        <v>1.00000004221266</v>
      </c>
    </row>
    <row r="4946" spans="1:40" x14ac:dyDescent="0.25">
      <c r="A4946" t="str">
        <f>"20190312164127712"</f>
        <v>20190312164127712</v>
      </c>
      <c r="B4946" t="str">
        <f>"1552380087701662"</f>
        <v>1552380087701662</v>
      </c>
      <c r="C4946" t="s">
        <v>40</v>
      </c>
      <c r="D4946">
        <v>5.2820470000000004</v>
      </c>
      <c r="E4946">
        <v>0.45880290000000001</v>
      </c>
      <c r="F4946" t="s">
        <v>41</v>
      </c>
      <c r="G4946">
        <v>-420.96600000000001</v>
      </c>
      <c r="H4946" s="1">
        <v>-4.637206E-6</v>
      </c>
      <c r="I4946">
        <v>108.91549999999999</v>
      </c>
      <c r="J4946">
        <v>-420.40769999999998</v>
      </c>
      <c r="K4946">
        <v>1.116781</v>
      </c>
      <c r="L4946">
        <v>120.47369999999999</v>
      </c>
      <c r="M4946">
        <v>-0.30123610000000001</v>
      </c>
      <c r="N4946">
        <v>0</v>
      </c>
      <c r="O4946">
        <v>-0.9534705</v>
      </c>
      <c r="P4946">
        <v>-0.1768092</v>
      </c>
      <c r="Q4946">
        <v>0.1228143</v>
      </c>
      <c r="R4946">
        <v>-0.97655270000000005</v>
      </c>
      <c r="S4946">
        <v>-0.16488649999999999</v>
      </c>
      <c r="T4946">
        <v>-0.29117310000000002</v>
      </c>
      <c r="U4946">
        <v>-3.080139</v>
      </c>
      <c r="V4946">
        <v>-0.12785070000000001</v>
      </c>
      <c r="W4946">
        <v>0.1327564</v>
      </c>
      <c r="X4946">
        <v>0.98286819999999997</v>
      </c>
      <c r="Y4946">
        <v>-0.25004189999999998</v>
      </c>
      <c r="Z4946">
        <v>8.6027560000000003E-2</v>
      </c>
      <c r="AA4946">
        <v>0.96440570000000003</v>
      </c>
      <c r="AB4946">
        <v>29</v>
      </c>
      <c r="AC4946">
        <v>-0.55830000000003099</v>
      </c>
      <c r="AD4946">
        <v>-1.1167856372059899</v>
      </c>
      <c r="AE4946">
        <v>-11.558199999999999</v>
      </c>
      <c r="AF4946">
        <v>-2.9224267841330498</v>
      </c>
      <c r="AG4946">
        <v>-1.1167856372059899</v>
      </c>
      <c r="AH4946">
        <v>11.086167511726901</v>
      </c>
      <c r="AI4946">
        <v>95.5635832443227</v>
      </c>
      <c r="AJ4946">
        <v>104.767796629674</v>
      </c>
      <c r="AK4946">
        <v>11.5191535525036</v>
      </c>
      <c r="AL4946">
        <v>82.371096540058005</v>
      </c>
      <c r="AM4946">
        <v>97.411373969121897</v>
      </c>
      <c r="AN4946">
        <v>0.99999998090134401</v>
      </c>
    </row>
    <row r="4947" spans="1:40" x14ac:dyDescent="0.25">
      <c r="A4947" t="str">
        <f>"20190312164127733"</f>
        <v>20190312164127733</v>
      </c>
      <c r="B4947" t="str">
        <f>"1552380087730943"</f>
        <v>1552380087730943</v>
      </c>
      <c r="C4947" t="s">
        <v>40</v>
      </c>
      <c r="D4947">
        <v>5.164987</v>
      </c>
      <c r="E4947">
        <v>0.45923269999999999</v>
      </c>
      <c r="F4947" t="s">
        <v>41</v>
      </c>
      <c r="G4947">
        <v>-421.00900000000001</v>
      </c>
      <c r="H4947" s="1">
        <v>-4.5665030000000001E-6</v>
      </c>
      <c r="I4947">
        <v>108.7115</v>
      </c>
      <c r="J4947">
        <v>-420.48329999999999</v>
      </c>
      <c r="K4947">
        <v>1.1167210000000001</v>
      </c>
      <c r="L4947">
        <v>120.2042</v>
      </c>
      <c r="M4947">
        <v>-0.29277540000000002</v>
      </c>
      <c r="N4947">
        <v>0</v>
      </c>
      <c r="O4947">
        <v>-0.95610580000000001</v>
      </c>
      <c r="P4947">
        <v>-0.17260980000000001</v>
      </c>
      <c r="Q4947">
        <v>0.12263019999999999</v>
      </c>
      <c r="R4947">
        <v>-0.97732680000000005</v>
      </c>
      <c r="S4947">
        <v>-0.15747069999999999</v>
      </c>
      <c r="T4947">
        <v>-0.29246369999999999</v>
      </c>
      <c r="U4947">
        <v>-3.080292</v>
      </c>
      <c r="V4947">
        <v>-0.1233471</v>
      </c>
      <c r="W4947">
        <v>0.13240469999999999</v>
      </c>
      <c r="X4947">
        <v>0.98349089999999995</v>
      </c>
      <c r="Y4947">
        <v>-0.2437783</v>
      </c>
      <c r="Z4947">
        <v>8.6852189999999996E-2</v>
      </c>
      <c r="AA4947">
        <v>0.96593419999999997</v>
      </c>
      <c r="AB4947">
        <v>29</v>
      </c>
      <c r="AC4947">
        <v>-0.52570000000002803</v>
      </c>
      <c r="AD4947">
        <v>-1.11672556650299</v>
      </c>
      <c r="AE4947">
        <v>-11.492699999999999</v>
      </c>
      <c r="AF4947">
        <v>-2.83564418380106</v>
      </c>
      <c r="AG4947">
        <v>-1.11672556650299</v>
      </c>
      <c r="AH4947">
        <v>11.038944508997</v>
      </c>
      <c r="AI4947">
        <v>95.596053446687506</v>
      </c>
      <c r="AJ4947">
        <v>104.406451522138</v>
      </c>
      <c r="AK4947">
        <v>11.451910312289501</v>
      </c>
      <c r="AL4947">
        <v>82.391426556450298</v>
      </c>
      <c r="AM4947">
        <v>97.148575569149202</v>
      </c>
      <c r="AN4947">
        <v>0.99999993102165197</v>
      </c>
    </row>
    <row r="4948" spans="1:40" x14ac:dyDescent="0.25">
      <c r="A4948" t="str">
        <f>"20190312164127757"</f>
        <v>20190312164127757</v>
      </c>
      <c r="B4948" t="str">
        <f>"1552380087751440"</f>
        <v>1552380087751440</v>
      </c>
      <c r="C4948" t="s">
        <v>40</v>
      </c>
      <c r="D4948">
        <v>5.2392799999999999</v>
      </c>
      <c r="E4948">
        <v>0.4594801</v>
      </c>
      <c r="F4948" t="s">
        <v>41</v>
      </c>
      <c r="G4948">
        <v>-421.05070000000001</v>
      </c>
      <c r="H4948" s="1">
        <v>-4.4490780000000001E-6</v>
      </c>
      <c r="I4948">
        <v>108.4121</v>
      </c>
      <c r="J4948">
        <v>-420.55950000000001</v>
      </c>
      <c r="K4948">
        <v>1.116654</v>
      </c>
      <c r="L4948">
        <v>119.92359999999999</v>
      </c>
      <c r="M4948">
        <v>-0.2840242</v>
      </c>
      <c r="N4948">
        <v>0</v>
      </c>
      <c r="O4948">
        <v>-0.95874550000000003</v>
      </c>
      <c r="P4948">
        <v>-0.16800090000000001</v>
      </c>
      <c r="Q4948">
        <v>0.1234852</v>
      </c>
      <c r="R4948">
        <v>-0.97802230000000001</v>
      </c>
      <c r="S4948">
        <v>-0.1481934</v>
      </c>
      <c r="T4948">
        <v>-0.29168369999999999</v>
      </c>
      <c r="U4948">
        <v>-3.0800320000000001</v>
      </c>
      <c r="V4948">
        <v>-0.11895310000000001</v>
      </c>
      <c r="W4948">
        <v>0.1330721</v>
      </c>
      <c r="X4948">
        <v>0.98394199999999998</v>
      </c>
      <c r="Y4948">
        <v>-0.23780809999999999</v>
      </c>
      <c r="Z4948">
        <v>8.7075739999999999E-2</v>
      </c>
      <c r="AA4948">
        <v>0.96740119999999996</v>
      </c>
      <c r="AB4948">
        <v>29</v>
      </c>
      <c r="AC4948">
        <v>-0.49119999999999198</v>
      </c>
      <c r="AD4948">
        <v>-1.116658449078</v>
      </c>
      <c r="AE4948">
        <v>-11.5114999999999</v>
      </c>
      <c r="AF4948">
        <v>-2.7727574976693599</v>
      </c>
      <c r="AG4948">
        <v>-1.116658449078</v>
      </c>
      <c r="AH4948">
        <v>11.072875605218099</v>
      </c>
      <c r="AI4948">
        <v>95.587229502899504</v>
      </c>
      <c r="AJ4948">
        <v>104.058344519057</v>
      </c>
      <c r="AK4948">
        <v>11.469249513434301</v>
      </c>
      <c r="AL4948">
        <v>82.352846035372295</v>
      </c>
      <c r="AM4948">
        <v>96.893287221128006</v>
      </c>
      <c r="AN4948">
        <v>0.99999994158100802</v>
      </c>
    </row>
    <row r="4949" spans="1:40" x14ac:dyDescent="0.25">
      <c r="A4949" t="str">
        <f>"20190312164127780"</f>
        <v>20190312164127780</v>
      </c>
      <c r="B4949" t="str">
        <f>"1552380087771258"</f>
        <v>1552380087771258</v>
      </c>
      <c r="C4949" t="s">
        <v>40</v>
      </c>
      <c r="D4949">
        <v>5.2272290000000003</v>
      </c>
      <c r="E4949">
        <v>0.45962209999999998</v>
      </c>
      <c r="F4949" t="s">
        <v>41</v>
      </c>
      <c r="G4949">
        <v>-421.08190000000002</v>
      </c>
      <c r="H4949" s="1">
        <v>-4.2836169999999998E-6</v>
      </c>
      <c r="I4949">
        <v>108.0445</v>
      </c>
      <c r="J4949">
        <v>-420.63240000000002</v>
      </c>
      <c r="K4949">
        <v>1.116587</v>
      </c>
      <c r="L4949">
        <v>119.6454</v>
      </c>
      <c r="M4949">
        <v>-0.27542299999999997</v>
      </c>
      <c r="N4949">
        <v>0</v>
      </c>
      <c r="O4949">
        <v>-0.96125510000000003</v>
      </c>
      <c r="P4949">
        <v>-0.16292419999999999</v>
      </c>
      <c r="Q4949">
        <v>0.12409290000000001</v>
      </c>
      <c r="R4949">
        <v>-0.9788036</v>
      </c>
      <c r="S4949">
        <v>-0.13546749999999999</v>
      </c>
      <c r="T4949">
        <v>-0.28959580000000001</v>
      </c>
      <c r="U4949">
        <v>-3.0807340000000001</v>
      </c>
      <c r="V4949">
        <v>-0.1152079</v>
      </c>
      <c r="W4949">
        <v>0.13348279999999901</v>
      </c>
      <c r="X4949">
        <v>0.98433199999999998</v>
      </c>
      <c r="Y4949">
        <v>-0.2331001</v>
      </c>
      <c r="Z4949">
        <v>8.6848629999999996E-2</v>
      </c>
      <c r="AA4949">
        <v>0.96856679999999995</v>
      </c>
      <c r="AB4949">
        <v>29</v>
      </c>
      <c r="AC4949">
        <v>-0.44950000000000001</v>
      </c>
      <c r="AD4949">
        <v>-1.116591283617</v>
      </c>
      <c r="AE4949">
        <v>-11.6008999999999</v>
      </c>
      <c r="AF4949">
        <v>-2.7379247468231598</v>
      </c>
      <c r="AG4949">
        <v>-1.116591283617</v>
      </c>
      <c r="AH4949">
        <v>11.1726149167845</v>
      </c>
      <c r="AI4949">
        <v>95.544211907434004</v>
      </c>
      <c r="AJ4949">
        <v>103.76936828325</v>
      </c>
      <c r="AK4949">
        <v>11.5572631748469</v>
      </c>
      <c r="AL4949">
        <v>82.329103306122803</v>
      </c>
      <c r="AM4949">
        <v>96.675623948594904</v>
      </c>
      <c r="AN4949">
        <v>1.00000000217112</v>
      </c>
    </row>
    <row r="4950" spans="1:40" x14ac:dyDescent="0.25">
      <c r="A4950" t="str">
        <f>"20190312164127800"</f>
        <v>20190312164127800</v>
      </c>
      <c r="B4950" t="str">
        <f>"1552380087790775"</f>
        <v>1552380087790775</v>
      </c>
      <c r="C4950" t="s">
        <v>40</v>
      </c>
      <c r="D4950">
        <v>5.259862</v>
      </c>
      <c r="E4950">
        <v>0.45962779999999998</v>
      </c>
      <c r="F4950" t="s">
        <v>41</v>
      </c>
      <c r="G4950">
        <v>-421.10509999999999</v>
      </c>
      <c r="H4950" s="1">
        <v>-4.1277479999999999E-6</v>
      </c>
      <c r="I4950">
        <v>107.7017</v>
      </c>
      <c r="J4950">
        <v>-420.69990000000001</v>
      </c>
      <c r="K4950">
        <v>1.116517</v>
      </c>
      <c r="L4950">
        <v>119.3784</v>
      </c>
      <c r="M4950">
        <v>-0.26724530000000002</v>
      </c>
      <c r="N4950">
        <v>0</v>
      </c>
      <c r="O4950">
        <v>-0.96356359999999996</v>
      </c>
      <c r="P4950">
        <v>-0.15858069999999999</v>
      </c>
      <c r="Q4950">
        <v>0.1247616</v>
      </c>
      <c r="R4950">
        <v>-0.97943199999999997</v>
      </c>
      <c r="S4950">
        <v>-0.12194820000000001</v>
      </c>
      <c r="T4950">
        <v>-0.28805269999999999</v>
      </c>
      <c r="U4950">
        <v>-3.0811769999999998</v>
      </c>
      <c r="V4950">
        <v>-0.1111756</v>
      </c>
      <c r="W4950">
        <v>0.13397519999999999</v>
      </c>
      <c r="X4950">
        <v>0.98472870000000001</v>
      </c>
      <c r="Y4950">
        <v>-0.22908300000000001</v>
      </c>
      <c r="Z4950">
        <v>8.6748969999999995E-2</v>
      </c>
      <c r="AA4950">
        <v>0.96953370000000005</v>
      </c>
      <c r="AB4950">
        <v>29</v>
      </c>
      <c r="AC4950">
        <v>-0.40519999999997902</v>
      </c>
      <c r="AD4950">
        <v>-1.1165211277480001</v>
      </c>
      <c r="AE4950">
        <v>-11.676699999999901</v>
      </c>
      <c r="AF4950">
        <v>-2.7055705015549898</v>
      </c>
      <c r="AG4950">
        <v>-1.1165211277480001</v>
      </c>
      <c r="AH4950">
        <v>11.2574375843457</v>
      </c>
      <c r="AI4950">
        <v>95.508270750836203</v>
      </c>
      <c r="AJ4950">
        <v>103.513949137257</v>
      </c>
      <c r="AK4950">
        <v>11.631708048822</v>
      </c>
      <c r="AL4950">
        <v>82.300635070452103</v>
      </c>
      <c r="AM4950">
        <v>96.441402075250494</v>
      </c>
      <c r="AN4950">
        <v>0.99999999042704502</v>
      </c>
    </row>
    <row r="4951" spans="1:40" x14ac:dyDescent="0.25">
      <c r="A4951" t="str">
        <f>"20190312164127814"</f>
        <v>20190312164127814</v>
      </c>
      <c r="B4951" t="str">
        <f>"1552380087811271"</f>
        <v>1552380087811271</v>
      </c>
      <c r="C4951" t="s">
        <v>40</v>
      </c>
      <c r="D4951">
        <v>5.2336070000000001</v>
      </c>
      <c r="E4951">
        <v>0.45938200000000001</v>
      </c>
      <c r="F4951" t="s">
        <v>41</v>
      </c>
      <c r="G4951">
        <v>-421.12279999999998</v>
      </c>
      <c r="H4951" s="1">
        <v>-3.9543969999999999E-6</v>
      </c>
      <c r="I4951">
        <v>107.32510000000001</v>
      </c>
      <c r="J4951">
        <v>-420.7405</v>
      </c>
      <c r="K4951">
        <v>1.1164780000000001</v>
      </c>
      <c r="L4951">
        <v>119.2129</v>
      </c>
      <c r="M4951">
        <v>-0.26221139999999998</v>
      </c>
      <c r="N4951">
        <v>0</v>
      </c>
      <c r="O4951">
        <v>-0.96494749999999996</v>
      </c>
      <c r="P4951">
        <v>-0.15559439999999999</v>
      </c>
      <c r="Q4951">
        <v>0.12519459999999999</v>
      </c>
      <c r="R4951">
        <v>-0.97985560000000005</v>
      </c>
      <c r="S4951">
        <v>-0.10812380000000001</v>
      </c>
      <c r="T4951">
        <v>-0.28547729999999999</v>
      </c>
      <c r="U4951">
        <v>-3.0818479999999999</v>
      </c>
      <c r="V4951">
        <v>-0.10901669999999999</v>
      </c>
      <c r="W4951">
        <v>0.1342979</v>
      </c>
      <c r="X4951">
        <v>0.98492610000000003</v>
      </c>
      <c r="Y4951">
        <v>-0.22835059999999999</v>
      </c>
      <c r="Z4951">
        <v>8.6165710000000006E-2</v>
      </c>
      <c r="AA4951">
        <v>0.96975849999999997</v>
      </c>
      <c r="AB4951">
        <v>29</v>
      </c>
      <c r="AC4951">
        <v>-0.38229999999998598</v>
      </c>
      <c r="AD4951">
        <v>-1.1164819543969999</v>
      </c>
      <c r="AE4951">
        <v>-11.8878</v>
      </c>
      <c r="AF4951">
        <v>-2.7243782748051499</v>
      </c>
      <c r="AG4951">
        <v>-1.1164819543969999</v>
      </c>
      <c r="AH4951">
        <v>11.4709724911911</v>
      </c>
      <c r="AI4951">
        <v>95.409601441155104</v>
      </c>
      <c r="AJ4951">
        <v>103.36032392103</v>
      </c>
      <c r="AK4951">
        <v>11.842802828401201</v>
      </c>
      <c r="AL4951">
        <v>82.281977140207402</v>
      </c>
      <c r="AM4951">
        <v>96.316082873198596</v>
      </c>
      <c r="AN4951">
        <v>0.99999999464225497</v>
      </c>
    </row>
    <row r="4952" spans="1:40" x14ac:dyDescent="0.25">
      <c r="A4952" t="str">
        <f>"20190312164127835"</f>
        <v>20190312164127835</v>
      </c>
      <c r="B4952" t="str">
        <f>"1552380087830792"</f>
        <v>1552380087830792</v>
      </c>
      <c r="C4952" t="s">
        <v>40</v>
      </c>
      <c r="D4952">
        <v>5.2499560000000001</v>
      </c>
      <c r="E4952">
        <v>0.44680019999999998</v>
      </c>
      <c r="F4952" t="s">
        <v>41</v>
      </c>
      <c r="G4952">
        <v>-421.11950000000002</v>
      </c>
      <c r="H4952" s="1">
        <v>-3.8577460000000004E-6</v>
      </c>
      <c r="I4952">
        <v>107.1225</v>
      </c>
      <c r="J4952">
        <v>-420.80189999999999</v>
      </c>
      <c r="K4952">
        <v>1.11642</v>
      </c>
      <c r="L4952">
        <v>118.95659999999999</v>
      </c>
      <c r="M4952">
        <v>-0.25447009999999998</v>
      </c>
      <c r="N4952">
        <v>0</v>
      </c>
      <c r="O4952">
        <v>-0.9670204</v>
      </c>
      <c r="P4952">
        <v>-0.1517936</v>
      </c>
      <c r="Q4952">
        <v>0.124931399999999</v>
      </c>
      <c r="R4952">
        <v>-0.9804851</v>
      </c>
      <c r="S4952">
        <v>-9.661865E-2</v>
      </c>
      <c r="T4952">
        <v>-0.28466989999999998</v>
      </c>
      <c r="U4952">
        <v>-3.082703</v>
      </c>
      <c r="V4952">
        <v>-0.1049259</v>
      </c>
      <c r="W4952">
        <v>0.13388439999999999</v>
      </c>
      <c r="X4952">
        <v>0.98542649999999998</v>
      </c>
      <c r="Y4952">
        <v>-0.22417129999999999</v>
      </c>
      <c r="Z4952">
        <v>8.6233969999999993E-2</v>
      </c>
      <c r="AA4952">
        <v>0.97072700000000001</v>
      </c>
      <c r="AB4952">
        <v>29</v>
      </c>
      <c r="AC4952">
        <v>-0.31760000000002703</v>
      </c>
      <c r="AD4952">
        <v>-1.1164238577459999</v>
      </c>
      <c r="AE4952">
        <v>-11.8340999999999</v>
      </c>
      <c r="AF4952">
        <v>-2.6806162999402701</v>
      </c>
      <c r="AG4952">
        <v>-1.1164238577459999</v>
      </c>
      <c r="AH4952">
        <v>11.423709956764601</v>
      </c>
      <c r="AI4952">
        <v>95.435007421827805</v>
      </c>
      <c r="AJ4952">
        <v>103.20574895025401</v>
      </c>
      <c r="AK4952">
        <v>11.7869951706927</v>
      </c>
      <c r="AL4952">
        <v>82.305884370808499</v>
      </c>
      <c r="AM4952">
        <v>96.077820033946594</v>
      </c>
      <c r="AN4952">
        <v>0.99999993197820702</v>
      </c>
    </row>
    <row r="4953" spans="1:40" x14ac:dyDescent="0.25">
      <c r="A4953" t="str">
        <f>"20190312164127858"</f>
        <v>20190312164127858</v>
      </c>
      <c r="B4953" t="str">
        <f>"1552380087851287"</f>
        <v>1552380087851287</v>
      </c>
      <c r="C4953" t="s">
        <v>40</v>
      </c>
      <c r="D4953">
        <v>5.2330249999999996</v>
      </c>
      <c r="E4953">
        <v>0.44845109999999999</v>
      </c>
      <c r="F4953" t="s">
        <v>41</v>
      </c>
      <c r="G4953">
        <v>-420.74329999999998</v>
      </c>
      <c r="H4953" s="1">
        <v>-3.0262080000000001E-6</v>
      </c>
      <c r="I4953">
        <v>105.57510000000001</v>
      </c>
      <c r="J4953">
        <v>-420.86770000000001</v>
      </c>
      <c r="K4953">
        <v>1.1163449999999999</v>
      </c>
      <c r="L4953">
        <v>118.6716</v>
      </c>
      <c r="M4953">
        <v>-0.24596390000000001</v>
      </c>
      <c r="N4953">
        <v>0</v>
      </c>
      <c r="O4953">
        <v>-0.96922180000000002</v>
      </c>
      <c r="P4953">
        <v>-0.14688780000000001</v>
      </c>
      <c r="Q4953">
        <v>0.12503110000000001</v>
      </c>
      <c r="R4953">
        <v>-0.98121939999999996</v>
      </c>
      <c r="S4953">
        <v>1.3549800000000001E-2</v>
      </c>
      <c r="T4953">
        <v>-0.2581927</v>
      </c>
      <c r="U4953">
        <v>-3.0947110000000002</v>
      </c>
      <c r="V4953">
        <v>-0.10117089999999999</v>
      </c>
      <c r="W4953">
        <v>0.13380929999999999</v>
      </c>
      <c r="X4953">
        <v>0.98582939999999997</v>
      </c>
      <c r="Y4953">
        <v>-0.25019150000000001</v>
      </c>
      <c r="Z4953">
        <v>7.7990840000000006E-2</v>
      </c>
      <c r="AA4953">
        <v>0.96505010000000002</v>
      </c>
      <c r="AB4953">
        <v>29</v>
      </c>
      <c r="AC4953">
        <v>0.124400000000036</v>
      </c>
      <c r="AD4953">
        <v>-1.1163480262080001</v>
      </c>
      <c r="AE4953">
        <v>-13.096499999999899</v>
      </c>
      <c r="AF4953">
        <v>-3.31791722422077</v>
      </c>
      <c r="AG4953">
        <v>-1.1163480262080001</v>
      </c>
      <c r="AH4953">
        <v>12.5721775693514</v>
      </c>
      <c r="AI4953">
        <v>94.907129865514094</v>
      </c>
      <c r="AJ4953">
        <v>104.783830629072</v>
      </c>
      <c r="AK4953">
        <v>13.050458093787499</v>
      </c>
      <c r="AL4953">
        <v>82.310227210831002</v>
      </c>
      <c r="AM4953">
        <v>95.859475485400395</v>
      </c>
      <c r="AN4953">
        <v>1.00000004283882</v>
      </c>
    </row>
    <row r="4954" spans="1:40" x14ac:dyDescent="0.25">
      <c r="A4954" t="str">
        <f>"20190312164127881"</f>
        <v>20190312164127881</v>
      </c>
      <c r="B4954" t="str">
        <f>"1552380087871314"</f>
        <v>1552380087871314</v>
      </c>
      <c r="C4954" t="s">
        <v>40</v>
      </c>
      <c r="D4954">
        <v>5.2387240000000004</v>
      </c>
      <c r="E4954">
        <v>0.4496906</v>
      </c>
      <c r="F4954" t="s">
        <v>41</v>
      </c>
      <c r="G4954">
        <v>-420.79340000000002</v>
      </c>
      <c r="H4954" s="1">
        <v>-3.2811990000000002E-6</v>
      </c>
      <c r="I4954">
        <v>106.08629999999999</v>
      </c>
      <c r="J4954">
        <v>-420.93099999999998</v>
      </c>
      <c r="K4954">
        <v>1.1162510000000001</v>
      </c>
      <c r="L4954">
        <v>118.3869</v>
      </c>
      <c r="M4954">
        <v>-0.23760800000000001</v>
      </c>
      <c r="N4954">
        <v>0</v>
      </c>
      <c r="O4954">
        <v>-0.97130660000000002</v>
      </c>
      <c r="P4954">
        <v>-0.1422785</v>
      </c>
      <c r="Q4954">
        <v>0.12518760000000001</v>
      </c>
      <c r="R4954">
        <v>-0.98187829999999998</v>
      </c>
      <c r="S4954">
        <v>1.8280029999999999E-2</v>
      </c>
      <c r="T4954">
        <v>-0.27454630000000002</v>
      </c>
      <c r="U4954">
        <v>-3.0951390000000001</v>
      </c>
      <c r="V4954">
        <v>-9.7278450000000002E-2</v>
      </c>
      <c r="W4954">
        <v>0.13379649999999901</v>
      </c>
      <c r="X4954">
        <v>0.98622279999999996</v>
      </c>
      <c r="Y4954">
        <v>-0.24331800000000001</v>
      </c>
      <c r="Z4954">
        <v>8.3234970000000005E-2</v>
      </c>
      <c r="AA4954">
        <v>0.96636860000000002</v>
      </c>
      <c r="AB4954">
        <v>29</v>
      </c>
      <c r="AC4954">
        <v>0.137599999999963</v>
      </c>
      <c r="AD4954">
        <v>-1.1162542811989999</v>
      </c>
      <c r="AE4954">
        <v>-12.300599999999999</v>
      </c>
      <c r="AF4954">
        <v>-3.0315721895357899</v>
      </c>
      <c r="AG4954">
        <v>-1.1162542811989999</v>
      </c>
      <c r="AH4954">
        <v>11.818276622710499</v>
      </c>
      <c r="AI4954">
        <v>95.227407481460403</v>
      </c>
      <c r="AJ4954">
        <v>104.387057255562</v>
      </c>
      <c r="AK4954">
        <v>12.251861731653999</v>
      </c>
      <c r="AL4954">
        <v>82.3109669642932</v>
      </c>
      <c r="AM4954">
        <v>95.633284346101505</v>
      </c>
      <c r="AN4954">
        <v>1.0000000057432401</v>
      </c>
    </row>
    <row r="4955" spans="1:40" x14ac:dyDescent="0.25">
      <c r="A4955" t="str">
        <f>"20190312164127901"</f>
        <v>20190312164127901</v>
      </c>
      <c r="B4955" t="str">
        <f>"1552380087890834"</f>
        <v>1552380087890834</v>
      </c>
      <c r="C4955" t="s">
        <v>40</v>
      </c>
      <c r="D4955">
        <v>5.2189800000000002</v>
      </c>
      <c r="E4955">
        <v>0.4498741</v>
      </c>
      <c r="F4955" t="s">
        <v>41</v>
      </c>
      <c r="G4955">
        <v>-420.83819999999997</v>
      </c>
      <c r="H4955" s="1">
        <v>-3.2017359999999999E-6</v>
      </c>
      <c r="I4955">
        <v>105.893</v>
      </c>
      <c r="J4955">
        <v>-420.98880000000003</v>
      </c>
      <c r="K4955">
        <v>1.1161559999999999</v>
      </c>
      <c r="L4955">
        <v>118.11669999999999</v>
      </c>
      <c r="M4955">
        <v>-0.2298104</v>
      </c>
      <c r="N4955">
        <v>0</v>
      </c>
      <c r="O4955">
        <v>-0.97318360000000004</v>
      </c>
      <c r="P4955">
        <v>-0.13780110000000001</v>
      </c>
      <c r="Q4955">
        <v>0.12548960000000001</v>
      </c>
      <c r="R4955">
        <v>-0.98247859999999998</v>
      </c>
      <c r="S4955">
        <v>2.2979739999999999E-2</v>
      </c>
      <c r="T4955">
        <v>-0.27642630000000001</v>
      </c>
      <c r="U4955">
        <v>-3.0939480000000001</v>
      </c>
      <c r="V4955">
        <v>-9.382894E-2</v>
      </c>
      <c r="W4955">
        <v>0.13394159999999999</v>
      </c>
      <c r="X4955">
        <v>0.98653729999999995</v>
      </c>
      <c r="Y4955">
        <v>-0.23700370000000001</v>
      </c>
      <c r="Z4955">
        <v>8.4151340000000005E-2</v>
      </c>
      <c r="AA4955">
        <v>0.96785730000000003</v>
      </c>
      <c r="AB4955">
        <v>29</v>
      </c>
      <c r="AC4955">
        <v>0.150600000000054</v>
      </c>
      <c r="AD4955">
        <v>-1.116159201736</v>
      </c>
      <c r="AE4955">
        <v>-12.223699999999999</v>
      </c>
      <c r="AF4955">
        <v>-2.9314063900038301</v>
      </c>
      <c r="AG4955">
        <v>-1.116159201736</v>
      </c>
      <c r="AH4955">
        <v>11.7638246364517</v>
      </c>
      <c r="AI4955">
        <v>95.260124880011503</v>
      </c>
      <c r="AJ4955">
        <v>103.99245891685599</v>
      </c>
      <c r="AK4955">
        <v>12.1748316154337</v>
      </c>
      <c r="AL4955">
        <v>82.302578049388302</v>
      </c>
      <c r="AM4955">
        <v>95.433022762808605</v>
      </c>
      <c r="AN4955">
        <v>1.0000000332416801</v>
      </c>
    </row>
    <row r="4956" spans="1:40" x14ac:dyDescent="0.25">
      <c r="A4956" t="str">
        <f>"20190312164127924"</f>
        <v>20190312164127924</v>
      </c>
      <c r="B4956" t="str">
        <f>"1552380087921090"</f>
        <v>1552380087921090</v>
      </c>
      <c r="C4956" t="s">
        <v>40</v>
      </c>
      <c r="D4956">
        <v>5.1925869999999996</v>
      </c>
      <c r="E4956">
        <v>0.45089980000000002</v>
      </c>
      <c r="F4956" t="s">
        <v>41</v>
      </c>
      <c r="G4956">
        <v>-420.84679999999997</v>
      </c>
      <c r="H4956" s="1">
        <v>-3.0810429999999999E-6</v>
      </c>
      <c r="I4956">
        <v>105.63290000000001</v>
      </c>
      <c r="J4956">
        <v>-421.04759999999999</v>
      </c>
      <c r="K4956">
        <v>1.1160620000000001</v>
      </c>
      <c r="L4956">
        <v>117.83069999999999</v>
      </c>
      <c r="M4956">
        <v>-0.2216823</v>
      </c>
      <c r="N4956">
        <v>0</v>
      </c>
      <c r="O4956">
        <v>-0.97506950000000003</v>
      </c>
      <c r="P4956">
        <v>-0.1330509</v>
      </c>
      <c r="Q4956">
        <v>0.1259583</v>
      </c>
      <c r="R4956">
        <v>-0.98307279999999997</v>
      </c>
      <c r="S4956">
        <v>3.5186769999999999E-2</v>
      </c>
      <c r="T4956">
        <v>-0.27661010000000003</v>
      </c>
      <c r="U4956">
        <v>-3.0937809999999999</v>
      </c>
      <c r="V4956">
        <v>-9.0327870000000005E-2</v>
      </c>
      <c r="W4956">
        <v>0.1342563</v>
      </c>
      <c r="X4956">
        <v>0.98682119999999995</v>
      </c>
      <c r="Y4956">
        <v>-0.23271439999999999</v>
      </c>
      <c r="Z4956">
        <v>8.4506849999999994E-2</v>
      </c>
      <c r="AA4956">
        <v>0.96886660000000002</v>
      </c>
      <c r="AB4956">
        <v>29</v>
      </c>
      <c r="AC4956">
        <v>0.20080000000001499</v>
      </c>
      <c r="AD4956">
        <v>-1.116065081043</v>
      </c>
      <c r="AE4956">
        <v>-12.1977999999999</v>
      </c>
      <c r="AF4956">
        <v>-2.8759003537364101</v>
      </c>
      <c r="AG4956">
        <v>-1.116065081043</v>
      </c>
      <c r="AH4956">
        <v>11.7514071415812</v>
      </c>
      <c r="AI4956">
        <v>95.270648396501002</v>
      </c>
      <c r="AJ4956">
        <v>103.751606934504</v>
      </c>
      <c r="AK4956">
        <v>12.149566820136</v>
      </c>
      <c r="AL4956">
        <v>82.284382309647697</v>
      </c>
      <c r="AM4956">
        <v>95.229948340227196</v>
      </c>
      <c r="AN4956">
        <v>0.99999997947893304</v>
      </c>
    </row>
    <row r="4957" spans="1:40" x14ac:dyDescent="0.25">
      <c r="A4957" t="str">
        <f>"20190312164127946"</f>
        <v>20190312164127946</v>
      </c>
      <c r="B4957" t="str">
        <f>"1552380087941591"</f>
        <v>1552380087941591</v>
      </c>
      <c r="C4957" t="s">
        <v>40</v>
      </c>
      <c r="D4957">
        <v>5.1870310000000002</v>
      </c>
      <c r="E4957">
        <v>0.4512292</v>
      </c>
      <c r="F4957" t="s">
        <v>41</v>
      </c>
      <c r="G4957">
        <v>-420.87799999999999</v>
      </c>
      <c r="H4957" s="1">
        <v>-2.9608889999999998E-6</v>
      </c>
      <c r="I4957">
        <v>105.36109999999999</v>
      </c>
      <c r="J4957">
        <v>-421.10469999999998</v>
      </c>
      <c r="K4957">
        <v>1.1159709999999901</v>
      </c>
      <c r="L4957">
        <v>117.5416</v>
      </c>
      <c r="M4957">
        <v>-0.2136024</v>
      </c>
      <c r="N4957">
        <v>0</v>
      </c>
      <c r="O4957">
        <v>-0.97687360000000001</v>
      </c>
      <c r="P4957">
        <v>-0.12778529999999999</v>
      </c>
      <c r="Q4957">
        <v>0.1260897</v>
      </c>
      <c r="R4957">
        <v>-0.98375440000000003</v>
      </c>
      <c r="S4957">
        <v>4.2053220000000002E-2</v>
      </c>
      <c r="T4957">
        <v>-0.2768176</v>
      </c>
      <c r="U4957">
        <v>-3.0928339999999999</v>
      </c>
      <c r="V4957">
        <v>-8.7410299999999996E-2</v>
      </c>
      <c r="W4957">
        <v>0.13423460000000001</v>
      </c>
      <c r="X4957">
        <v>0.98708689999999999</v>
      </c>
      <c r="Y4957">
        <v>-0.22681299999999999</v>
      </c>
      <c r="Z4957">
        <v>8.4896830000000006E-2</v>
      </c>
      <c r="AA4957">
        <v>0.97023110000000001</v>
      </c>
      <c r="AB4957">
        <v>29</v>
      </c>
      <c r="AC4957">
        <v>0.22669999999993701</v>
      </c>
      <c r="AD4957">
        <v>-1.11597396088899</v>
      </c>
      <c r="AE4957">
        <v>-12.1805</v>
      </c>
      <c r="AF4957">
        <v>-2.7998766252637899</v>
      </c>
      <c r="AG4957">
        <v>-1.11597396088899</v>
      </c>
      <c r="AH4957">
        <v>11.7523134967798</v>
      </c>
      <c r="AI4957">
        <v>95.277579184468294</v>
      </c>
      <c r="AJ4957">
        <v>103.40037195268501</v>
      </c>
      <c r="AK4957">
        <v>12.1326658045408</v>
      </c>
      <c r="AL4957">
        <v>82.285637286323194</v>
      </c>
      <c r="AM4957">
        <v>95.060558861375</v>
      </c>
      <c r="AN4957">
        <v>1.00000001826742</v>
      </c>
    </row>
    <row r="4958" spans="1:40" x14ac:dyDescent="0.25">
      <c r="A4958" t="str">
        <f>"20190312164127968"</f>
        <v>20190312164127968</v>
      </c>
      <c r="B4958" t="str">
        <f>"1552380087961109"</f>
        <v>1552380087961109</v>
      </c>
      <c r="C4958" t="s">
        <v>40</v>
      </c>
      <c r="D4958">
        <v>5.1668450000000004</v>
      </c>
      <c r="E4958">
        <v>0.45178099999999999</v>
      </c>
      <c r="F4958" t="s">
        <v>41</v>
      </c>
      <c r="G4958">
        <v>-420.87540000000001</v>
      </c>
      <c r="H4958" s="1">
        <v>-2.7798710000000001E-6</v>
      </c>
      <c r="I4958">
        <v>104.9796</v>
      </c>
      <c r="J4958">
        <v>-421.15879999999999</v>
      </c>
      <c r="K4958">
        <v>1.1158760000000001</v>
      </c>
      <c r="L4958">
        <v>117.25709999999999</v>
      </c>
      <c r="M4958">
        <v>-0.2057978</v>
      </c>
      <c r="N4958">
        <v>0</v>
      </c>
      <c r="O4958">
        <v>-0.97854960000000002</v>
      </c>
      <c r="P4958">
        <v>-0.12289700000000001</v>
      </c>
      <c r="Q4958">
        <v>0.12624270000000001</v>
      </c>
      <c r="R4958">
        <v>-0.9843575</v>
      </c>
      <c r="S4958">
        <v>5.6457519999999997E-2</v>
      </c>
      <c r="T4958">
        <v>-0.27469250000000001</v>
      </c>
      <c r="U4958">
        <v>-3.0920869999999998</v>
      </c>
      <c r="V4958">
        <v>-8.4401699999999996E-2</v>
      </c>
      <c r="W4958">
        <v>0.1342431</v>
      </c>
      <c r="X4958">
        <v>0.98734750000000004</v>
      </c>
      <c r="Y4958">
        <v>-0.22356029999999999</v>
      </c>
      <c r="Z4958">
        <v>8.4522070000000005E-2</v>
      </c>
      <c r="AA4958">
        <v>0.97101839999999995</v>
      </c>
      <c r="AB4958">
        <v>29</v>
      </c>
      <c r="AC4958">
        <v>0.28339999999997101</v>
      </c>
      <c r="AD4958">
        <v>-1.1158787798709999</v>
      </c>
      <c r="AE4958">
        <v>-12.2774999999999</v>
      </c>
      <c r="AF4958">
        <v>-2.7811647640703998</v>
      </c>
      <c r="AG4958">
        <v>-1.1158787798709999</v>
      </c>
      <c r="AH4958">
        <v>11.8584391511682</v>
      </c>
      <c r="AI4958">
        <v>95.234489418780896</v>
      </c>
      <c r="AJ4958">
        <v>103.199051866921</v>
      </c>
      <c r="AK4958">
        <v>12.2312158838863</v>
      </c>
      <c r="AL4958">
        <v>82.285145459495695</v>
      </c>
      <c r="AM4958">
        <v>94.885952914295103</v>
      </c>
      <c r="AN4958">
        <v>0.99999997130837404</v>
      </c>
    </row>
    <row r="4959" spans="1:40" x14ac:dyDescent="0.25">
      <c r="A4959" t="str">
        <f>"20190312164127991"</f>
        <v>20190312164127991</v>
      </c>
      <c r="B4959" t="str">
        <f>"1552380087981603"</f>
        <v>1552380087981603</v>
      </c>
      <c r="C4959" t="s">
        <v>40</v>
      </c>
      <c r="D4959">
        <v>5.2166169999999896</v>
      </c>
      <c r="E4959">
        <v>0.4523047</v>
      </c>
      <c r="F4959" t="s">
        <v>41</v>
      </c>
      <c r="G4959">
        <v>-420.88580000000002</v>
      </c>
      <c r="H4959" s="1">
        <v>-2.6335120000000002E-6</v>
      </c>
      <c r="I4959">
        <v>104.66419999999999</v>
      </c>
      <c r="J4959">
        <v>-421.2115</v>
      </c>
      <c r="K4959">
        <v>1.115769</v>
      </c>
      <c r="L4959">
        <v>116.9679</v>
      </c>
      <c r="M4959">
        <v>-0.19803299999999999</v>
      </c>
      <c r="N4959">
        <v>0</v>
      </c>
      <c r="O4959">
        <v>-0.98015249999999998</v>
      </c>
      <c r="P4959">
        <v>-0.1179688</v>
      </c>
      <c r="Q4959">
        <v>0.12710650000000001</v>
      </c>
      <c r="R4959">
        <v>-0.98484899999999997</v>
      </c>
      <c r="S4959">
        <v>6.7016599999999996E-2</v>
      </c>
      <c r="T4959">
        <v>-0.27391280000000001</v>
      </c>
      <c r="U4959">
        <v>-3.0911710000000001</v>
      </c>
      <c r="V4959">
        <v>-8.1472470000000005E-2</v>
      </c>
      <c r="W4959">
        <v>0.13495839999999901</v>
      </c>
      <c r="X4959">
        <v>0.98749609999999999</v>
      </c>
      <c r="Y4959">
        <v>-0.2191517</v>
      </c>
      <c r="Z4959">
        <v>8.4561600000000001E-2</v>
      </c>
      <c r="AA4959">
        <v>0.97201950000000004</v>
      </c>
      <c r="AB4959">
        <v>29</v>
      </c>
      <c r="AC4959">
        <v>0.325699999999983</v>
      </c>
      <c r="AD4959">
        <v>-1.115771633512</v>
      </c>
      <c r="AE4959">
        <v>-12.303699999999999</v>
      </c>
      <c r="AF4959">
        <v>-2.7334262990676499</v>
      </c>
      <c r="AG4959">
        <v>-1.115771633512</v>
      </c>
      <c r="AH4959">
        <v>11.897729312587201</v>
      </c>
      <c r="AI4959">
        <v>95.222273827612298</v>
      </c>
      <c r="AJ4959">
        <v>102.93880722719101</v>
      </c>
      <c r="AK4959">
        <v>12.258569592990099</v>
      </c>
      <c r="AL4959">
        <v>82.2437859446608</v>
      </c>
      <c r="AM4959">
        <v>94.716454156408602</v>
      </c>
      <c r="AN4959">
        <v>1.0000000403068301</v>
      </c>
    </row>
    <row r="4960" spans="1:40" x14ac:dyDescent="0.25">
      <c r="A4960" t="str">
        <f>"20190312164128013"</f>
        <v>20190312164128013</v>
      </c>
      <c r="B4960" t="str">
        <f>"1552380088001126"</f>
        <v>1552380088001126</v>
      </c>
      <c r="C4960" t="s">
        <v>40</v>
      </c>
      <c r="D4960">
        <v>5.2092109999999998</v>
      </c>
      <c r="E4960">
        <v>0.45275149999999997</v>
      </c>
      <c r="F4960" t="s">
        <v>41</v>
      </c>
      <c r="G4960">
        <v>-420.89179999999999</v>
      </c>
      <c r="H4960" s="1">
        <v>-2.4330479999999999E-6</v>
      </c>
      <c r="I4960">
        <v>104.2367</v>
      </c>
      <c r="J4960">
        <v>-421.2611</v>
      </c>
      <c r="K4960">
        <v>1.1156549999999901</v>
      </c>
      <c r="L4960">
        <v>116.6848</v>
      </c>
      <c r="M4960">
        <v>-0.190609</v>
      </c>
      <c r="N4960">
        <v>0</v>
      </c>
      <c r="O4960">
        <v>-0.98162510000000003</v>
      </c>
      <c r="P4960">
        <v>-0.113272499999999</v>
      </c>
      <c r="Q4960">
        <v>0.1282568</v>
      </c>
      <c r="R4960">
        <v>-0.9852514</v>
      </c>
      <c r="S4960">
        <v>7.76062E-2</v>
      </c>
      <c r="T4960">
        <v>-0.27084330000000001</v>
      </c>
      <c r="U4960">
        <v>-3.0903930000000002</v>
      </c>
      <c r="V4960">
        <v>-7.8657569999999996E-2</v>
      </c>
      <c r="W4960">
        <v>0.13596989999999901</v>
      </c>
      <c r="X4960">
        <v>0.98758550000000001</v>
      </c>
      <c r="Y4960">
        <v>-0.21510180000000001</v>
      </c>
      <c r="Z4960">
        <v>8.3870310000000003E-2</v>
      </c>
      <c r="AA4960">
        <v>0.9729835</v>
      </c>
      <c r="AB4960">
        <v>30</v>
      </c>
      <c r="AC4960">
        <v>0.36930000000000901</v>
      </c>
      <c r="AD4960">
        <v>-1.11565743304799</v>
      </c>
      <c r="AE4960">
        <v>-12.448099999999901</v>
      </c>
      <c r="AF4960">
        <v>-2.71356617089344</v>
      </c>
      <c r="AG4960">
        <v>-1.11565743304799</v>
      </c>
      <c r="AH4960">
        <v>12.0527342185044</v>
      </c>
      <c r="AI4960">
        <v>95.160057424277994</v>
      </c>
      <c r="AJ4960">
        <v>102.688079637665</v>
      </c>
      <c r="AK4960">
        <v>12.404698102478701</v>
      </c>
      <c r="AL4960">
        <v>82.185291555525794</v>
      </c>
      <c r="AM4960">
        <v>94.553786299714105</v>
      </c>
      <c r="AN4960">
        <v>0.99999997341728197</v>
      </c>
    </row>
    <row r="4961" spans="1:40" x14ac:dyDescent="0.25">
      <c r="A4961" t="str">
        <f>"20190312164128036"</f>
        <v>20190312164128036</v>
      </c>
      <c r="B4961" t="str">
        <f>"1552380088031378"</f>
        <v>1552380088031378</v>
      </c>
      <c r="C4961" t="s">
        <v>40</v>
      </c>
      <c r="D4961">
        <v>5.2153839999999896</v>
      </c>
      <c r="E4961">
        <v>0.45350410000000002</v>
      </c>
      <c r="F4961" t="s">
        <v>41</v>
      </c>
      <c r="G4961">
        <v>-420.89699999999999</v>
      </c>
      <c r="H4961" s="1">
        <v>-2.2672870000000002E-6</v>
      </c>
      <c r="I4961">
        <v>103.8831</v>
      </c>
      <c r="J4961">
        <v>-421.31130000000002</v>
      </c>
      <c r="K4961">
        <v>1.1155170000000001</v>
      </c>
      <c r="L4961">
        <v>116.38549999999999</v>
      </c>
      <c r="M4961">
        <v>-0.18295539999999999</v>
      </c>
      <c r="N4961">
        <v>0</v>
      </c>
      <c r="O4961">
        <v>-0.98308220000000002</v>
      </c>
      <c r="P4961">
        <v>-0.10806780000000001</v>
      </c>
      <c r="Q4961">
        <v>0.1291543</v>
      </c>
      <c r="R4961">
        <v>-0.98571830000000005</v>
      </c>
      <c r="S4961">
        <v>8.7890629999999997E-2</v>
      </c>
      <c r="T4961">
        <v>-0.26929699999999901</v>
      </c>
      <c r="U4961">
        <v>-3.0900729999999998</v>
      </c>
      <c r="V4961">
        <v>-7.6126199999999894E-2</v>
      </c>
      <c r="W4961">
        <v>0.1367215</v>
      </c>
      <c r="X4961">
        <v>0.98768009999999995</v>
      </c>
      <c r="Y4961">
        <v>-0.2107309</v>
      </c>
      <c r="Z4961">
        <v>8.3630540000000003E-2</v>
      </c>
      <c r="AA4961">
        <v>0.97396020000000005</v>
      </c>
      <c r="AB4961">
        <v>30</v>
      </c>
      <c r="AC4961">
        <v>0.41430000000002498</v>
      </c>
      <c r="AD4961">
        <v>-1.115519267287</v>
      </c>
      <c r="AE4961">
        <v>-12.5023999999999</v>
      </c>
      <c r="AF4961">
        <v>-2.6735154104180898</v>
      </c>
      <c r="AG4961">
        <v>-1.115519267287</v>
      </c>
      <c r="AH4961">
        <v>12.1191820864621</v>
      </c>
      <c r="AI4961">
        <v>95.136206168670697</v>
      </c>
      <c r="AJ4961">
        <v>102.440312295102</v>
      </c>
      <c r="AK4961">
        <v>12.460603610189001</v>
      </c>
      <c r="AL4961">
        <v>82.141822097974597</v>
      </c>
      <c r="AM4961">
        <v>94.407402216060902</v>
      </c>
      <c r="AN4961">
        <v>0.99999997341234903</v>
      </c>
    </row>
    <row r="4962" spans="1:40" x14ac:dyDescent="0.25">
      <c r="A4962" t="str">
        <f>"20190312164128059"</f>
        <v>20190312164128059</v>
      </c>
      <c r="B4962" t="str">
        <f>"1552380088050898"</f>
        <v>1552380088050898</v>
      </c>
      <c r="C4962" t="s">
        <v>40</v>
      </c>
      <c r="D4962">
        <v>5.2674629999999896</v>
      </c>
      <c r="E4962">
        <v>0.45417920000000001</v>
      </c>
      <c r="F4962" t="s">
        <v>41</v>
      </c>
      <c r="G4962">
        <v>-420.90460000000002</v>
      </c>
      <c r="H4962" s="1">
        <v>-2.0574439999999999E-6</v>
      </c>
      <c r="I4962">
        <v>103.4349</v>
      </c>
      <c r="J4962">
        <v>-421.35899999999998</v>
      </c>
      <c r="K4962">
        <v>1.1153770000000001</v>
      </c>
      <c r="L4962">
        <v>116.0887</v>
      </c>
      <c r="M4962">
        <v>-0.1755804</v>
      </c>
      <c r="N4962">
        <v>0</v>
      </c>
      <c r="O4962">
        <v>-0.98442790000000002</v>
      </c>
      <c r="P4962">
        <v>-0.10337209999999999</v>
      </c>
      <c r="Q4962">
        <v>0.129942</v>
      </c>
      <c r="R4962">
        <v>-0.98611819999999895</v>
      </c>
      <c r="S4962">
        <v>9.7015379999999998E-2</v>
      </c>
      <c r="T4962">
        <v>-0.266073</v>
      </c>
      <c r="U4962">
        <v>-3.0889739999999999</v>
      </c>
      <c r="V4962">
        <v>-7.3371629999999993E-2</v>
      </c>
      <c r="W4962">
        <v>0.13737379999999999</v>
      </c>
      <c r="X4962">
        <v>0.98779810000000001</v>
      </c>
      <c r="Y4962">
        <v>-0.20628750000000001</v>
      </c>
      <c r="Z4962">
        <v>8.287564E-2</v>
      </c>
      <c r="AA4962">
        <v>0.97497549999999999</v>
      </c>
      <c r="AB4962">
        <v>30</v>
      </c>
      <c r="AC4962">
        <v>0.45440000000002101</v>
      </c>
      <c r="AD4962">
        <v>-1.1153790574439999</v>
      </c>
      <c r="AE4962">
        <v>-12.6538</v>
      </c>
      <c r="AF4962">
        <v>-2.6486285522675201</v>
      </c>
      <c r="AG4962">
        <v>-1.1153790574439999</v>
      </c>
      <c r="AH4962">
        <v>12.2821180457255</v>
      </c>
      <c r="AI4962">
        <v>95.072993855668699</v>
      </c>
      <c r="AJ4962">
        <v>102.16942671927499</v>
      </c>
      <c r="AK4962">
        <v>12.613870434518001</v>
      </c>
      <c r="AL4962">
        <v>82.104092439424207</v>
      </c>
      <c r="AM4962">
        <v>94.248012808773893</v>
      </c>
      <c r="AN4962">
        <v>1.00000002168945</v>
      </c>
    </row>
    <row r="4963" spans="1:40" x14ac:dyDescent="0.25">
      <c r="A4963" t="str">
        <f>"20190312164128081"</f>
        <v>20190312164128081</v>
      </c>
      <c r="B4963" t="str">
        <f>"1552380088071394"</f>
        <v>1552380088071394</v>
      </c>
      <c r="C4963" t="s">
        <v>40</v>
      </c>
      <c r="D4963">
        <v>5.1739870000000003</v>
      </c>
      <c r="E4963">
        <v>0.46276030000000001</v>
      </c>
      <c r="F4963" t="s">
        <v>41</v>
      </c>
      <c r="G4963">
        <v>-420.90859999999998</v>
      </c>
      <c r="H4963" s="1">
        <v>-1.8560159999999999E-6</v>
      </c>
      <c r="I4963">
        <v>103.00660000000001</v>
      </c>
      <c r="J4963">
        <v>-421.40359999999998</v>
      </c>
      <c r="K4963">
        <v>1.1152359999999999</v>
      </c>
      <c r="L4963">
        <v>115.79859999999999</v>
      </c>
      <c r="M4963">
        <v>-0.16859660000000001</v>
      </c>
      <c r="N4963">
        <v>0</v>
      </c>
      <c r="O4963">
        <v>-0.98564949999999996</v>
      </c>
      <c r="P4963">
        <v>-9.9470929999999999E-2</v>
      </c>
      <c r="Q4963">
        <v>0.1303232</v>
      </c>
      <c r="R4963">
        <v>-0.98646920000000005</v>
      </c>
      <c r="S4963">
        <v>0.10632320000000001</v>
      </c>
      <c r="T4963">
        <v>-0.26328839999999998</v>
      </c>
      <c r="U4963">
        <v>-3.0880740000000002</v>
      </c>
      <c r="V4963">
        <v>-7.0223250000000001E-2</v>
      </c>
      <c r="W4963">
        <v>0.13763359999999999</v>
      </c>
      <c r="X4963">
        <v>0.9879907</v>
      </c>
      <c r="Y4963">
        <v>-0.20229539999999999</v>
      </c>
      <c r="Z4963">
        <v>8.2224899999999906E-2</v>
      </c>
      <c r="AA4963">
        <v>0.97586660000000003</v>
      </c>
      <c r="AB4963">
        <v>30</v>
      </c>
      <c r="AC4963">
        <v>0.49500000000000399</v>
      </c>
      <c r="AD4963">
        <v>-1.1152378560159999</v>
      </c>
      <c r="AE4963">
        <v>-12.7919999999999</v>
      </c>
      <c r="AF4963">
        <v>-2.6247567377228802</v>
      </c>
      <c r="AG4963">
        <v>-1.1152378560159999</v>
      </c>
      <c r="AH4963">
        <v>12.4310685132731</v>
      </c>
      <c r="AI4963">
        <v>95.016475060448201</v>
      </c>
      <c r="AJ4963">
        <v>101.922591974071</v>
      </c>
      <c r="AK4963">
        <v>12.7540020303198</v>
      </c>
      <c r="AL4963">
        <v>82.089063819648004</v>
      </c>
      <c r="AM4963">
        <v>94.065565452875802</v>
      </c>
      <c r="AN4963">
        <v>0.99999996798800495</v>
      </c>
    </row>
    <row r="4964" spans="1:40" x14ac:dyDescent="0.25">
      <c r="A4964" t="str">
        <f>"20190312164128126"</f>
        <v>20190312164128126</v>
      </c>
      <c r="B4964" t="str">
        <f>"1552380088121171"</f>
        <v>1552380088121171</v>
      </c>
      <c r="C4964" t="s">
        <v>40</v>
      </c>
      <c r="D4964">
        <v>5.2281300000000002</v>
      </c>
      <c r="E4964">
        <v>0.46605730000000001</v>
      </c>
      <c r="F4964" t="s">
        <v>41</v>
      </c>
      <c r="G4964">
        <v>-421.17090000000002</v>
      </c>
      <c r="H4964" s="1">
        <v>-9.674221999999999E-7</v>
      </c>
      <c r="I4964">
        <v>100.9791</v>
      </c>
      <c r="J4964">
        <v>-421.48790000000002</v>
      </c>
      <c r="K4964">
        <v>1.1149789999999999</v>
      </c>
      <c r="L4964">
        <v>115.21250000000001</v>
      </c>
      <c r="M4964">
        <v>-0.15503430000000001</v>
      </c>
      <c r="N4964">
        <v>0</v>
      </c>
      <c r="O4964">
        <v>-0.98787639999999999</v>
      </c>
      <c r="P4964">
        <v>-9.1325480000000001E-2</v>
      </c>
      <c r="Q4964">
        <v>0.1308116</v>
      </c>
      <c r="R4964">
        <v>-0.98719199999999996</v>
      </c>
      <c r="S4964">
        <v>4.8309329999999998E-2</v>
      </c>
      <c r="T4964">
        <v>-0.2315295</v>
      </c>
      <c r="U4964">
        <v>-3.0766140000000002</v>
      </c>
      <c r="V4964">
        <v>-6.4710219999999999E-2</v>
      </c>
      <c r="W4964">
        <v>0.1378886</v>
      </c>
      <c r="X4964">
        <v>0.98833159999999998</v>
      </c>
      <c r="Y4964">
        <v>-0.17048479999999999</v>
      </c>
      <c r="Z4964">
        <v>7.3128159999999998E-2</v>
      </c>
      <c r="AA4964">
        <v>0.98264289999999999</v>
      </c>
      <c r="AB4964">
        <v>30</v>
      </c>
      <c r="AC4964">
        <v>0.317000000000007</v>
      </c>
      <c r="AD4964">
        <v>-1.1149799674222001</v>
      </c>
      <c r="AE4964">
        <v>-14.2334</v>
      </c>
      <c r="AF4964">
        <v>-2.5045420346858398</v>
      </c>
      <c r="AG4964">
        <v>-1.1149799674222001</v>
      </c>
      <c r="AH4964">
        <v>13.926728339173</v>
      </c>
      <c r="AI4964">
        <v>94.505391233953105</v>
      </c>
      <c r="AJ4964">
        <v>100.194931293632</v>
      </c>
      <c r="AK4964">
        <v>14.194001316203501</v>
      </c>
      <c r="AL4964">
        <v>82.074313126645194</v>
      </c>
      <c r="AM4964">
        <v>93.746048441785206</v>
      </c>
      <c r="AN4964">
        <v>1.00000001507048</v>
      </c>
    </row>
    <row r="4965" spans="1:40" x14ac:dyDescent="0.25">
      <c r="A4965" t="str">
        <f>"20190312164128147"</f>
        <v>20190312164128147</v>
      </c>
      <c r="B4965" t="str">
        <f>"1552380088141666"</f>
        <v>1552380088141666</v>
      </c>
      <c r="C4965" t="s">
        <v>40</v>
      </c>
      <c r="D4965">
        <v>5.181152</v>
      </c>
      <c r="E4965">
        <v>0.46708080000000002</v>
      </c>
      <c r="F4965" t="s">
        <v>41</v>
      </c>
      <c r="G4965">
        <v>-421.25799999999998</v>
      </c>
      <c r="H4965" s="1">
        <v>-4.3906950000000001E-7</v>
      </c>
      <c r="I4965">
        <v>99.812389999999994</v>
      </c>
      <c r="J4965">
        <v>-421.52839999999998</v>
      </c>
      <c r="K4965">
        <v>1.1148400000000001</v>
      </c>
      <c r="L4965">
        <v>114.91160000000001</v>
      </c>
      <c r="M4965">
        <v>-0.14837690000000001</v>
      </c>
      <c r="N4965">
        <v>0</v>
      </c>
      <c r="O4965">
        <v>-0.98889970000000005</v>
      </c>
      <c r="P4965">
        <v>-8.7762679999999996E-2</v>
      </c>
      <c r="Q4965">
        <v>0.13127079999999999</v>
      </c>
      <c r="R4965">
        <v>-0.98745430000000001</v>
      </c>
      <c r="S4965">
        <v>4.586792E-2</v>
      </c>
      <c r="T4965">
        <v>-0.2224613</v>
      </c>
      <c r="U4965">
        <v>-3.0726469999999999</v>
      </c>
      <c r="V4965">
        <v>-6.1572399999999999E-2</v>
      </c>
      <c r="W4965">
        <v>0.13824229999999901</v>
      </c>
      <c r="X4965">
        <v>0.98848259999999999</v>
      </c>
      <c r="Y4965">
        <v>-0.1630857</v>
      </c>
      <c r="Z4965">
        <v>7.0525679999999993E-2</v>
      </c>
      <c r="AA4965">
        <v>0.98408799999999996</v>
      </c>
      <c r="AB4965">
        <v>30</v>
      </c>
      <c r="AC4965">
        <v>0.27039999999993802</v>
      </c>
      <c r="AD4965">
        <v>-1.1148404390694999</v>
      </c>
      <c r="AE4965">
        <v>-15.099209999999999</v>
      </c>
      <c r="AF4965">
        <v>-2.4942566820162702</v>
      </c>
      <c r="AG4965">
        <v>-1.1148404390694999</v>
      </c>
      <c r="AH4965">
        <v>14.8112247082595</v>
      </c>
      <c r="AI4965">
        <v>94.244985484210801</v>
      </c>
      <c r="AJ4965">
        <v>99.559098220293805</v>
      </c>
      <c r="AK4965">
        <v>15.0610943479856</v>
      </c>
      <c r="AL4965">
        <v>82.053851309643704</v>
      </c>
      <c r="AM4965">
        <v>93.564338462628697</v>
      </c>
      <c r="AN4965">
        <v>0.99999997222690395</v>
      </c>
    </row>
    <row r="4966" spans="1:40" x14ac:dyDescent="0.25">
      <c r="A4966" t="str">
        <f>"20190312164128162"</f>
        <v>20190312164128162</v>
      </c>
      <c r="B4966" t="str">
        <f>"1552380088151427"</f>
        <v>1552380088151427</v>
      </c>
      <c r="C4966" t="s">
        <v>40</v>
      </c>
      <c r="D4966">
        <v>5.2237850000000003</v>
      </c>
      <c r="E4966">
        <v>0.46691890000000003</v>
      </c>
      <c r="F4966" t="s">
        <v>41</v>
      </c>
      <c r="G4966">
        <v>-421.27670000000001</v>
      </c>
      <c r="H4966" s="1">
        <v>-4.360355E-6</v>
      </c>
      <c r="I4966">
        <v>99.134379999999993</v>
      </c>
      <c r="J4966">
        <v>-421.55239999999998</v>
      </c>
      <c r="K4966">
        <v>1.114752</v>
      </c>
      <c r="L4966">
        <v>114.72669999999999</v>
      </c>
      <c r="M4966">
        <v>-0.14438699999999999</v>
      </c>
      <c r="N4966">
        <v>0</v>
      </c>
      <c r="O4966">
        <v>-0.9894908</v>
      </c>
      <c r="P4966">
        <v>-8.5199590000000006E-2</v>
      </c>
      <c r="Q4966">
        <v>0.13127459999999999</v>
      </c>
      <c r="R4966">
        <v>-0.9876779</v>
      </c>
      <c r="S4966">
        <v>4.8980709999999997E-2</v>
      </c>
      <c r="T4966">
        <v>-0.21702440000000001</v>
      </c>
      <c r="U4966">
        <v>-3.0713200000000001</v>
      </c>
      <c r="V4966">
        <v>-6.0123030000000001E-2</v>
      </c>
      <c r="W4966">
        <v>0.1381762</v>
      </c>
      <c r="X4966">
        <v>0.98858109999999999</v>
      </c>
      <c r="Y4966">
        <v>-0.160111</v>
      </c>
      <c r="Z4966">
        <v>6.8919279999999999E-2</v>
      </c>
      <c r="AA4966">
        <v>0.98469010000000001</v>
      </c>
      <c r="AB4966">
        <v>30</v>
      </c>
      <c r="AC4966">
        <v>0.27569999999997202</v>
      </c>
      <c r="AD4966">
        <v>-1.1147563603549999</v>
      </c>
      <c r="AE4966">
        <v>-15.5923199999999</v>
      </c>
      <c r="AF4966">
        <v>-2.5113745063313901</v>
      </c>
      <c r="AG4966">
        <v>-1.1147563603549999</v>
      </c>
      <c r="AH4966">
        <v>15.3108787672708</v>
      </c>
      <c r="AI4966">
        <v>94.109527056879003</v>
      </c>
      <c r="AJ4966">
        <v>99.315021537129496</v>
      </c>
      <c r="AK4966">
        <v>15.555471457981101</v>
      </c>
      <c r="AL4966">
        <v>82.057675609968697</v>
      </c>
      <c r="AM4966">
        <v>93.480299293770997</v>
      </c>
      <c r="AN4966">
        <v>1.00000001613001</v>
      </c>
    </row>
    <row r="4967" spans="1:40" x14ac:dyDescent="0.25">
      <c r="A4967" t="str">
        <f>"20190312164128174"</f>
        <v>20190312164128174</v>
      </c>
      <c r="B4967" t="str">
        <f>"1552380088170947"</f>
        <v>1552380088170947</v>
      </c>
      <c r="C4967" t="s">
        <v>40</v>
      </c>
      <c r="D4967">
        <v>5.2607920000000004</v>
      </c>
      <c r="E4967">
        <v>0.46512379999999998</v>
      </c>
      <c r="F4967" t="s">
        <v>41</v>
      </c>
      <c r="G4967">
        <v>-421.24470000000002</v>
      </c>
      <c r="H4967" s="1">
        <v>-4.166798E-6</v>
      </c>
      <c r="I4967">
        <v>98.582310000000007</v>
      </c>
      <c r="J4967">
        <v>-421.57510000000002</v>
      </c>
      <c r="K4967">
        <v>1.114663</v>
      </c>
      <c r="L4967">
        <v>114.5466</v>
      </c>
      <c r="M4967">
        <v>-0.1405933</v>
      </c>
      <c r="N4967">
        <v>0</v>
      </c>
      <c r="O4967">
        <v>-0.99003790000000003</v>
      </c>
      <c r="P4967">
        <v>-8.3035010000000006E-2</v>
      </c>
      <c r="Q4967">
        <v>0.1310723</v>
      </c>
      <c r="R4967">
        <v>-0.98788949999999998</v>
      </c>
      <c r="S4967">
        <v>5.8532710000000002E-2</v>
      </c>
      <c r="T4967">
        <v>-0.2120271</v>
      </c>
      <c r="U4967">
        <v>-3.0706630000000001</v>
      </c>
      <c r="V4967">
        <v>-5.847103E-2</v>
      </c>
      <c r="W4967">
        <v>0.1379098</v>
      </c>
      <c r="X4967">
        <v>0.98871739999999997</v>
      </c>
      <c r="Y4967">
        <v>-0.15939510000000001</v>
      </c>
      <c r="Z4967">
        <v>6.7412689999999997E-2</v>
      </c>
      <c r="AA4967">
        <v>0.98491050000000002</v>
      </c>
      <c r="AB4967">
        <v>30</v>
      </c>
      <c r="AC4967">
        <v>0.33039999999999697</v>
      </c>
      <c r="AD4967">
        <v>-1.1146671667979999</v>
      </c>
      <c r="AE4967">
        <v>-15.96429</v>
      </c>
      <c r="AF4967">
        <v>-2.5591847721572201</v>
      </c>
      <c r="AG4967">
        <v>-1.1146671667979999</v>
      </c>
      <c r="AH4967">
        <v>15.6828369180978</v>
      </c>
      <c r="AI4967">
        <v>94.012597798074296</v>
      </c>
      <c r="AJ4967">
        <v>99.268052472737097</v>
      </c>
      <c r="AK4967">
        <v>15.929321498118799</v>
      </c>
      <c r="AL4967">
        <v>82.073086903937806</v>
      </c>
      <c r="AM4967">
        <v>93.384431076272804</v>
      </c>
      <c r="AN4967">
        <v>1.00000003567403</v>
      </c>
    </row>
    <row r="4968" spans="1:40" x14ac:dyDescent="0.25">
      <c r="A4968" t="str">
        <f>"20190312164128193"</f>
        <v>20190312164128193</v>
      </c>
      <c r="B4968" t="str">
        <f>"1552380088180707"</f>
        <v>1552380088180707</v>
      </c>
      <c r="C4968" t="s">
        <v>40</v>
      </c>
      <c r="D4968">
        <v>5.2230780000000001</v>
      </c>
      <c r="E4968">
        <v>0.46512379999999998</v>
      </c>
      <c r="F4968" t="s">
        <v>41</v>
      </c>
      <c r="G4968">
        <v>-421.15170000000001</v>
      </c>
      <c r="H4968" s="1">
        <v>-4.0004699999999997E-6</v>
      </c>
      <c r="I4968">
        <v>98.2</v>
      </c>
      <c r="J4968">
        <v>-421.60390000000001</v>
      </c>
      <c r="K4968">
        <v>1.114525</v>
      </c>
      <c r="L4968">
        <v>114.3103</v>
      </c>
      <c r="M4968">
        <v>-0.13575989999999999</v>
      </c>
      <c r="N4968">
        <v>0</v>
      </c>
      <c r="O4968">
        <v>-0.99071310000000001</v>
      </c>
      <c r="P4968">
        <v>-8.2792619999999997E-2</v>
      </c>
      <c r="Q4968">
        <v>0.1310384</v>
      </c>
      <c r="R4968">
        <v>-0.98791410000000002</v>
      </c>
      <c r="S4968">
        <v>7.9559329999999998E-2</v>
      </c>
      <c r="T4968">
        <v>-0.20942649999999999</v>
      </c>
      <c r="U4968">
        <v>-3.0712429999999999</v>
      </c>
      <c r="V4968">
        <v>-5.3842269999999998E-2</v>
      </c>
      <c r="W4968">
        <v>0.1378239</v>
      </c>
      <c r="X4968">
        <v>0.98899219999999999</v>
      </c>
      <c r="Y4968">
        <v>-0.16131419999999999</v>
      </c>
      <c r="Z4968">
        <v>6.6630090000000003E-2</v>
      </c>
      <c r="AA4968">
        <v>0.98465130000000001</v>
      </c>
      <c r="AB4968">
        <v>30</v>
      </c>
      <c r="AC4968">
        <v>0.45220000000000399</v>
      </c>
      <c r="AD4968">
        <v>-1.1145290004699999</v>
      </c>
      <c r="AE4968">
        <v>-16.110299999999899</v>
      </c>
      <c r="AF4968">
        <v>-2.62266574831974</v>
      </c>
      <c r="AG4968">
        <v>-1.1145290004699999</v>
      </c>
      <c r="AH4968">
        <v>15.824071340178699</v>
      </c>
      <c r="AI4968">
        <v>93.974786802324004</v>
      </c>
      <c r="AJ4968">
        <v>99.410599539798994</v>
      </c>
      <c r="AK4968">
        <v>16.0786126360256</v>
      </c>
      <c r="AL4968">
        <v>82.078055735021096</v>
      </c>
      <c r="AM4968">
        <v>93.116194894256097</v>
      </c>
      <c r="AN4968">
        <v>0.99999999455540101</v>
      </c>
    </row>
    <row r="4969" spans="1:40" x14ac:dyDescent="0.25">
      <c r="A4969" t="str">
        <f>"20190312164128227"</f>
        <v>20190312164128227</v>
      </c>
      <c r="B4969" t="str">
        <f>"1552380088220723"</f>
        <v>1552380088220723</v>
      </c>
      <c r="C4969" t="s">
        <v>40</v>
      </c>
      <c r="D4969">
        <v>5.2476139999999996</v>
      </c>
      <c r="E4969">
        <v>0.44912920000000001</v>
      </c>
      <c r="F4969" t="s">
        <v>41</v>
      </c>
      <c r="G4969">
        <v>-421.16879999999998</v>
      </c>
      <c r="H4969" s="1">
        <v>-3.8899839999999996E-6</v>
      </c>
      <c r="I4969">
        <v>97.931849999999997</v>
      </c>
      <c r="J4969">
        <v>-421.65679999999998</v>
      </c>
      <c r="K4969">
        <v>1.114225</v>
      </c>
      <c r="L4969">
        <v>113.8549</v>
      </c>
      <c r="M4969">
        <v>-0.12691050000000001</v>
      </c>
      <c r="N4969">
        <v>0</v>
      </c>
      <c r="O4969">
        <v>-0.99188750000000003</v>
      </c>
      <c r="P4969">
        <v>-7.7377020000000005E-2</v>
      </c>
      <c r="Q4969">
        <v>0.13003480000000001</v>
      </c>
      <c r="R4969">
        <v>-0.98848579999999997</v>
      </c>
      <c r="S4969">
        <v>8.1603999999999996E-2</v>
      </c>
      <c r="T4969">
        <v>-0.20899499999999999</v>
      </c>
      <c r="U4969">
        <v>-3.0712739999999998</v>
      </c>
      <c r="V4969">
        <v>-5.0342079999999997E-2</v>
      </c>
      <c r="W4969">
        <v>0.1366473</v>
      </c>
      <c r="X4969">
        <v>0.98933979999999999</v>
      </c>
      <c r="Y4969">
        <v>-0.1531537</v>
      </c>
      <c r="Z4969">
        <v>6.665567E-2</v>
      </c>
      <c r="AA4969">
        <v>0.98595180000000004</v>
      </c>
      <c r="AB4969">
        <v>31</v>
      </c>
      <c r="AC4969">
        <v>0.48799999999999899</v>
      </c>
      <c r="AD4969">
        <v>-1.114228889984</v>
      </c>
      <c r="AE4969">
        <v>-15.92305</v>
      </c>
      <c r="AF4969">
        <v>-2.4927151854807299</v>
      </c>
      <c r="AG4969">
        <v>-1.114228889984</v>
      </c>
      <c r="AH4969">
        <v>15.6557697535505</v>
      </c>
      <c r="AI4969">
        <v>94.020431918515996</v>
      </c>
      <c r="AJ4969">
        <v>99.046709025525104</v>
      </c>
      <c r="AK4969">
        <v>15.892081726173901</v>
      </c>
      <c r="AL4969">
        <v>82.146114129024397</v>
      </c>
      <c r="AM4969">
        <v>92.912955815095202</v>
      </c>
      <c r="AN4969">
        <v>1.00000002474002</v>
      </c>
    </row>
    <row r="4970" spans="1:40" x14ac:dyDescent="0.25">
      <c r="A4970" t="str">
        <f>"20190312164128248"</f>
        <v>20190312164128248</v>
      </c>
      <c r="B4970" t="str">
        <f>"1552380088241219"</f>
        <v>1552380088241219</v>
      </c>
      <c r="C4970" t="s">
        <v>40</v>
      </c>
      <c r="D4970">
        <v>5.2986009999999997</v>
      </c>
      <c r="E4970">
        <v>0.44943470000000002</v>
      </c>
      <c r="F4970" t="s">
        <v>41</v>
      </c>
      <c r="G4970">
        <v>-420.46769999999998</v>
      </c>
      <c r="H4970" s="1">
        <v>-3.60082E-6</v>
      </c>
      <c r="I4970">
        <v>97.692629999999994</v>
      </c>
      <c r="J4970">
        <v>-421.68959999999998</v>
      </c>
      <c r="K4970">
        <v>1.1140190000000001</v>
      </c>
      <c r="L4970">
        <v>113.5558</v>
      </c>
      <c r="M4970">
        <v>-0.1214274</v>
      </c>
      <c r="N4970">
        <v>0</v>
      </c>
      <c r="O4970">
        <v>-0.99257490000000004</v>
      </c>
      <c r="P4970">
        <v>-7.447674E-2</v>
      </c>
      <c r="Q4970">
        <v>0.12954789999999999</v>
      </c>
      <c r="R4970">
        <v>-0.9887724</v>
      </c>
      <c r="S4970">
        <v>0.2266541</v>
      </c>
      <c r="T4970">
        <v>-0.21237919999999999</v>
      </c>
      <c r="U4970">
        <v>-3.0806269999999998</v>
      </c>
      <c r="V4970">
        <v>-4.7714409999999999E-2</v>
      </c>
      <c r="W4970">
        <v>0.13605309999999901</v>
      </c>
      <c r="X4970">
        <v>0.98955179999999998</v>
      </c>
      <c r="Y4970">
        <v>-0.19376560000000001</v>
      </c>
      <c r="Z4970">
        <v>6.7270469999999999E-2</v>
      </c>
      <c r="AA4970">
        <v>0.97873880000000002</v>
      </c>
      <c r="AB4970">
        <v>31</v>
      </c>
      <c r="AC4970">
        <v>1.2219</v>
      </c>
      <c r="AD4970">
        <v>-1.11402260082</v>
      </c>
      <c r="AE4970">
        <v>-15.863169999999901</v>
      </c>
      <c r="AF4970">
        <v>-3.1238146993887499</v>
      </c>
      <c r="AG4970">
        <v>-1.11402260082</v>
      </c>
      <c r="AH4970">
        <v>15.521308774070899</v>
      </c>
      <c r="AI4970">
        <v>94.024861314827305</v>
      </c>
      <c r="AJ4970">
        <v>101.379317812656</v>
      </c>
      <c r="AK4970">
        <v>15.871682037241801</v>
      </c>
      <c r="AL4970">
        <v>82.180479553071507</v>
      </c>
      <c r="AM4970">
        <v>92.760561446600505</v>
      </c>
      <c r="AN4970">
        <v>0.99999993791224695</v>
      </c>
    </row>
    <row r="4971" spans="1:40" x14ac:dyDescent="0.25">
      <c r="A4971" t="str">
        <f>"20190312164128270"</f>
        <v>20190312164128270</v>
      </c>
      <c r="B4971" t="str">
        <f>"1552380088261716"</f>
        <v>1552380088261716</v>
      </c>
      <c r="C4971" t="s">
        <v>40</v>
      </c>
      <c r="D4971">
        <v>5.2940209999999999</v>
      </c>
      <c r="E4971">
        <v>0.44961279999999998</v>
      </c>
      <c r="F4971" t="s">
        <v>41</v>
      </c>
      <c r="G4971">
        <v>-420.5641</v>
      </c>
      <c r="H4971" s="1">
        <v>-4.0979360000000003E-6</v>
      </c>
      <c r="I4971">
        <v>98.791600000000003</v>
      </c>
      <c r="J4971">
        <v>-421.72140000000002</v>
      </c>
      <c r="K4971">
        <v>1.11382</v>
      </c>
      <c r="L4971">
        <v>113.2527</v>
      </c>
      <c r="M4971">
        <v>-0.1161109</v>
      </c>
      <c r="N4971">
        <v>0</v>
      </c>
      <c r="O4971">
        <v>-0.99321199999999998</v>
      </c>
      <c r="P4971">
        <v>-7.1418449999999994E-2</v>
      </c>
      <c r="Q4971">
        <v>0.12950900000000001</v>
      </c>
      <c r="R4971">
        <v>-0.98900310000000002</v>
      </c>
      <c r="S4971">
        <v>0.23495479999999999</v>
      </c>
      <c r="T4971">
        <v>-0.2325681</v>
      </c>
      <c r="U4971">
        <v>-3.0822449999999999</v>
      </c>
      <c r="V4971">
        <v>-4.5414940000000001E-2</v>
      </c>
      <c r="W4971">
        <v>0.13590089999999999</v>
      </c>
      <c r="X4971">
        <v>0.98968089999999997</v>
      </c>
      <c r="Y4971">
        <v>-0.1910606</v>
      </c>
      <c r="Z4971">
        <v>7.3676699999999998E-2</v>
      </c>
      <c r="AA4971">
        <v>0.97880929999999999</v>
      </c>
      <c r="AB4971">
        <v>31</v>
      </c>
      <c r="AC4971">
        <v>1.15730000000002</v>
      </c>
      <c r="AD4971">
        <v>-1.1138240979359999</v>
      </c>
      <c r="AE4971">
        <v>-14.4611</v>
      </c>
      <c r="AF4971">
        <v>-2.8120278107323</v>
      </c>
      <c r="AG4971">
        <v>-1.1138240979359999</v>
      </c>
      <c r="AH4971">
        <v>14.1455228062002</v>
      </c>
      <c r="AI4971">
        <v>94.416140770666203</v>
      </c>
      <c r="AJ4971">
        <v>101.24340880952199</v>
      </c>
      <c r="AK4971">
        <v>14.4652659840808</v>
      </c>
      <c r="AL4971">
        <v>82.189281644939399</v>
      </c>
      <c r="AM4971">
        <v>92.627372363484795</v>
      </c>
      <c r="AN4971">
        <v>0.99999992761040901</v>
      </c>
    </row>
    <row r="4972" spans="1:40" x14ac:dyDescent="0.25">
      <c r="A4972" t="str">
        <f>"20190312164128295"</f>
        <v>20190312164128295</v>
      </c>
      <c r="B4972" t="str">
        <f>"1552380088290995"</f>
        <v>1552380088290995</v>
      </c>
      <c r="C4972" t="s">
        <v>40</v>
      </c>
      <c r="D4972">
        <v>5.2486290000000002</v>
      </c>
      <c r="E4972">
        <v>0.45031510000000002</v>
      </c>
      <c r="F4972" t="s">
        <v>41</v>
      </c>
      <c r="G4972">
        <v>-420.59840000000003</v>
      </c>
      <c r="H4972" s="1">
        <v>-4.215965E-6</v>
      </c>
      <c r="I4972">
        <v>99.063670000000002</v>
      </c>
      <c r="J4972">
        <v>-421.75369999999998</v>
      </c>
      <c r="K4972">
        <v>1.113615</v>
      </c>
      <c r="L4972">
        <v>112.932</v>
      </c>
      <c r="M4972">
        <v>-0.110762</v>
      </c>
      <c r="N4972">
        <v>0</v>
      </c>
      <c r="O4972">
        <v>-0.99382389999999998</v>
      </c>
      <c r="P4972">
        <v>-6.8036929999999995E-2</v>
      </c>
      <c r="Q4972">
        <v>0.12962129999999999</v>
      </c>
      <c r="R4972">
        <v>-0.98922679999999996</v>
      </c>
      <c r="S4972">
        <v>0.24398800000000001</v>
      </c>
      <c r="T4972">
        <v>-0.24198600000000001</v>
      </c>
      <c r="U4972">
        <v>-3.0826570000000002</v>
      </c>
      <c r="V4972">
        <v>-4.3407920000000003E-2</v>
      </c>
      <c r="W4972">
        <v>0.13588069999999999</v>
      </c>
      <c r="X4972">
        <v>0.98977380000000004</v>
      </c>
      <c r="Y4972">
        <v>-0.18859860000000001</v>
      </c>
      <c r="Z4972">
        <v>7.6713859999999995E-2</v>
      </c>
      <c r="AA4972">
        <v>0.97905339999999996</v>
      </c>
      <c r="AB4972">
        <v>31</v>
      </c>
      <c r="AC4972">
        <v>1.15529999999995</v>
      </c>
      <c r="AD4972">
        <v>-1.113619215965</v>
      </c>
      <c r="AE4972">
        <v>-13.868329999999901</v>
      </c>
      <c r="AF4972">
        <v>-2.6672304616132498</v>
      </c>
      <c r="AG4972">
        <v>-1.113619215965</v>
      </c>
      <c r="AH4972">
        <v>13.568142965076801</v>
      </c>
      <c r="AI4972">
        <v>94.604360510493706</v>
      </c>
      <c r="AJ4972">
        <v>101.12141417990399</v>
      </c>
      <c r="AK4972">
        <v>13.8725905877125</v>
      </c>
      <c r="AL4972">
        <v>82.190450375334706</v>
      </c>
      <c r="AM4972">
        <v>92.511177712998204</v>
      </c>
      <c r="AN4972">
        <v>0.99999999365882797</v>
      </c>
    </row>
    <row r="4973" spans="1:40" x14ac:dyDescent="0.25">
      <c r="A4973" t="str">
        <f>"20190312164128315"</f>
        <v>20190312164128315</v>
      </c>
      <c r="B4973" t="str">
        <f>"1552380088311491"</f>
        <v>1552380088311491</v>
      </c>
      <c r="C4973" t="s">
        <v>40</v>
      </c>
      <c r="D4973">
        <v>5.2858159999999996</v>
      </c>
      <c r="E4973">
        <v>0.45079019999999997</v>
      </c>
      <c r="F4973" t="s">
        <v>41</v>
      </c>
      <c r="G4973">
        <v>-420.64019999999999</v>
      </c>
      <c r="H4973" s="1">
        <v>-4.2521700000000002E-6</v>
      </c>
      <c r="I4973">
        <v>99.148290000000003</v>
      </c>
      <c r="J4973">
        <v>-421.78190000000001</v>
      </c>
      <c r="K4973">
        <v>1.113437</v>
      </c>
      <c r="L4973">
        <v>112.6388</v>
      </c>
      <c r="M4973">
        <v>-0.1061175</v>
      </c>
      <c r="N4973">
        <v>0</v>
      </c>
      <c r="O4973">
        <v>-0.99433150000000003</v>
      </c>
      <c r="P4973">
        <v>-6.488033E-2</v>
      </c>
      <c r="Q4973">
        <v>0.12952529999999901</v>
      </c>
      <c r="R4973">
        <v>-0.98945150000000004</v>
      </c>
      <c r="S4973">
        <v>0.24902340000000001</v>
      </c>
      <c r="T4973">
        <v>-0.2490388</v>
      </c>
      <c r="U4973">
        <v>-3.082443</v>
      </c>
      <c r="V4973">
        <v>-4.1887609999999999E-2</v>
      </c>
      <c r="W4973">
        <v>0.1356473</v>
      </c>
      <c r="X4973">
        <v>0.98987130000000001</v>
      </c>
      <c r="Y4973">
        <v>-0.18558959999999999</v>
      </c>
      <c r="Z4973">
        <v>7.9019989999999998E-2</v>
      </c>
      <c r="AA4973">
        <v>0.97944489999999995</v>
      </c>
      <c r="AB4973">
        <v>31</v>
      </c>
      <c r="AC4973">
        <v>1.1417000000000099</v>
      </c>
      <c r="AD4973">
        <v>-1.1134412521699999</v>
      </c>
      <c r="AE4973">
        <v>-13.49051</v>
      </c>
      <c r="AF4973">
        <v>-2.54961924248073</v>
      </c>
      <c r="AG4973">
        <v>-1.1134412521699999</v>
      </c>
      <c r="AH4973">
        <v>13.203870964595099</v>
      </c>
      <c r="AI4973">
        <v>94.733145793570699</v>
      </c>
      <c r="AJ4973">
        <v>100.92909572553</v>
      </c>
      <c r="AK4973">
        <v>13.493795542890799</v>
      </c>
      <c r="AL4973">
        <v>82.203948046998207</v>
      </c>
      <c r="AM4973">
        <v>92.423095087355193</v>
      </c>
      <c r="AN4973">
        <v>0.99999997621624503</v>
      </c>
    </row>
    <row r="4974" spans="1:40" x14ac:dyDescent="0.25">
      <c r="A4974" t="str">
        <f>"20190312164128337"</f>
        <v>20190312164128337</v>
      </c>
      <c r="B4974" t="str">
        <f>"1552380088331010"</f>
        <v>1552380088331010</v>
      </c>
      <c r="C4974" t="s">
        <v>40</v>
      </c>
      <c r="D4974">
        <v>5.230308</v>
      </c>
      <c r="E4974">
        <v>0.45137300000000002</v>
      </c>
      <c r="F4974" t="s">
        <v>41</v>
      </c>
      <c r="G4974">
        <v>-420.66980000000001</v>
      </c>
      <c r="H4974" s="1">
        <v>-4.2720330000000002E-6</v>
      </c>
      <c r="I4974">
        <v>99.191220000000001</v>
      </c>
      <c r="J4974">
        <v>-421.8109</v>
      </c>
      <c r="K4974">
        <v>1.113248</v>
      </c>
      <c r="L4974">
        <v>112.3236</v>
      </c>
      <c r="M4974">
        <v>-0.1013459</v>
      </c>
      <c r="N4974">
        <v>0</v>
      </c>
      <c r="O4974">
        <v>-0.99483069999999896</v>
      </c>
      <c r="P4974">
        <v>-6.1888770000000003E-2</v>
      </c>
      <c r="Q4974">
        <v>0.12916259999999999</v>
      </c>
      <c r="R4974">
        <v>-0.98969039999999997</v>
      </c>
      <c r="S4974">
        <v>0.25488280000000002</v>
      </c>
      <c r="T4974">
        <v>-0.25519239999999999</v>
      </c>
      <c r="U4974">
        <v>-3.0820919999999998</v>
      </c>
      <c r="V4974">
        <v>-4.0076939999999998E-2</v>
      </c>
      <c r="W4974">
        <v>0.13513129999999901</v>
      </c>
      <c r="X4974">
        <v>0.99001680000000003</v>
      </c>
      <c r="Y4974">
        <v>-0.18271999999999999</v>
      </c>
      <c r="Z4974">
        <v>8.1046019999999996E-2</v>
      </c>
      <c r="AA4974">
        <v>0.97981879999999999</v>
      </c>
      <c r="AB4974">
        <v>31</v>
      </c>
      <c r="AC4974">
        <v>1.14109999999999</v>
      </c>
      <c r="AD4974">
        <v>-1.113252272033</v>
      </c>
      <c r="AE4974">
        <v>-13.1323799999999</v>
      </c>
      <c r="AF4974">
        <v>-2.4486995790895998</v>
      </c>
      <c r="AG4974">
        <v>-1.113252272033</v>
      </c>
      <c r="AH4974">
        <v>12.857409961857799</v>
      </c>
      <c r="AI4974">
        <v>94.861630542772204</v>
      </c>
      <c r="AJ4974">
        <v>100.78287495894</v>
      </c>
      <c r="AK4974">
        <v>13.1357699118514</v>
      </c>
      <c r="AL4974">
        <v>82.233787187206701</v>
      </c>
      <c r="AM4974">
        <v>92.3181287973905</v>
      </c>
      <c r="AN4974">
        <v>0.99999994682084503</v>
      </c>
    </row>
    <row r="4975" spans="1:40" x14ac:dyDescent="0.25">
      <c r="A4975" t="str">
        <f>"20190312164128360"</f>
        <v>20190312164128360</v>
      </c>
      <c r="B4975" t="str">
        <f>"1552380088351507"</f>
        <v>1552380088351507</v>
      </c>
      <c r="C4975" t="s">
        <v>40</v>
      </c>
      <c r="D4975">
        <v>5.2542489999999997</v>
      </c>
      <c r="E4975">
        <v>0.45195780000000002</v>
      </c>
      <c r="F4975" t="s">
        <v>41</v>
      </c>
      <c r="G4975">
        <v>-420.68650000000002</v>
      </c>
      <c r="H4975" s="1">
        <v>-4.2105980000000003E-6</v>
      </c>
      <c r="I4975">
        <v>99.001980000000003</v>
      </c>
      <c r="J4975">
        <v>-421.83859999999999</v>
      </c>
      <c r="K4975">
        <v>1.1130819999999999</v>
      </c>
      <c r="L4975">
        <v>112.00839999999999</v>
      </c>
      <c r="M4975">
        <v>-9.6788840000000001E-2</v>
      </c>
      <c r="N4975">
        <v>0</v>
      </c>
      <c r="O4975">
        <v>-0.99528550000000005</v>
      </c>
      <c r="P4975">
        <v>-5.8716829999999998E-2</v>
      </c>
      <c r="Q4975">
        <v>0.12880220000000001</v>
      </c>
      <c r="R4975">
        <v>-0.98993070000000005</v>
      </c>
      <c r="S4975">
        <v>0.26007079999999999</v>
      </c>
      <c r="T4975">
        <v>-0.2574825</v>
      </c>
      <c r="U4975">
        <v>-3.0811310000000001</v>
      </c>
      <c r="V4975">
        <v>-3.8667689999999998E-2</v>
      </c>
      <c r="W4975">
        <v>0.1346097</v>
      </c>
      <c r="X4975">
        <v>0.99014400000000002</v>
      </c>
      <c r="Y4975">
        <v>-0.17987500000000001</v>
      </c>
      <c r="Z4975">
        <v>8.1866350000000004E-2</v>
      </c>
      <c r="AA4975">
        <v>0.98027690000000001</v>
      </c>
      <c r="AB4975">
        <v>31</v>
      </c>
      <c r="AC4975">
        <v>1.1520999999999599</v>
      </c>
      <c r="AD4975">
        <v>-1.1130862105979999</v>
      </c>
      <c r="AE4975">
        <v>-13.006419999999901</v>
      </c>
      <c r="AF4975">
        <v>-2.38823625344325</v>
      </c>
      <c r="AG4975">
        <v>-1.1130862105979999</v>
      </c>
      <c r="AH4975">
        <v>12.7412500241076</v>
      </c>
      <c r="AI4975">
        <v>94.907690004943206</v>
      </c>
      <c r="AJ4975">
        <v>100.616405270645</v>
      </c>
      <c r="AK4975">
        <v>13.0108449184251</v>
      </c>
      <c r="AL4975">
        <v>82.263949054404506</v>
      </c>
      <c r="AM4975">
        <v>92.236412261571104</v>
      </c>
      <c r="AN4975">
        <v>1.00000005116001</v>
      </c>
    </row>
    <row r="4976" spans="1:40" x14ac:dyDescent="0.25">
      <c r="A4976" t="str">
        <f>"20190312164128381"</f>
        <v>20190312164128381</v>
      </c>
      <c r="B4976" t="str">
        <f>"1552380088371027"</f>
        <v>1552380088371027</v>
      </c>
      <c r="C4976" t="s">
        <v>40</v>
      </c>
      <c r="D4976">
        <v>5.2682209999999996</v>
      </c>
      <c r="E4976">
        <v>0.452484</v>
      </c>
      <c r="F4976" t="s">
        <v>41</v>
      </c>
      <c r="G4976">
        <v>-420.69150000000002</v>
      </c>
      <c r="H4976" s="1">
        <v>-4.0896039999999999E-6</v>
      </c>
      <c r="I4976">
        <v>98.693209999999993</v>
      </c>
      <c r="J4976">
        <v>-421.86410000000001</v>
      </c>
      <c r="K4976">
        <v>1.112946</v>
      </c>
      <c r="L4976">
        <v>111.7042</v>
      </c>
      <c r="M4976">
        <v>-9.2539270000000007E-2</v>
      </c>
      <c r="N4976">
        <v>0</v>
      </c>
      <c r="O4976">
        <v>-0.99569090000000005</v>
      </c>
      <c r="P4976">
        <v>-5.569267E-2</v>
      </c>
      <c r="Q4976">
        <v>0.1285589</v>
      </c>
      <c r="R4976">
        <v>-0.99013700000000004</v>
      </c>
      <c r="S4976">
        <v>0.26531979999999999</v>
      </c>
      <c r="T4976">
        <v>-0.25745249999999997</v>
      </c>
      <c r="U4976">
        <v>-3.079742</v>
      </c>
      <c r="V4976">
        <v>-3.742798E-2</v>
      </c>
      <c r="W4976">
        <v>0.13421050000000001</v>
      </c>
      <c r="X4976">
        <v>0.99024579999999995</v>
      </c>
      <c r="Y4976">
        <v>-0.17737059999999999</v>
      </c>
      <c r="Z4976">
        <v>8.1956849999999998E-2</v>
      </c>
      <c r="AA4976">
        <v>0.98072559999999998</v>
      </c>
      <c r="AB4976">
        <v>32</v>
      </c>
      <c r="AC4976">
        <v>1.1725999999999801</v>
      </c>
      <c r="AD4976">
        <v>-1.1129500896040001</v>
      </c>
      <c r="AE4976">
        <v>-13.01099</v>
      </c>
      <c r="AF4976">
        <v>-2.3545283056528001</v>
      </c>
      <c r="AG4976">
        <v>-1.1129500896040001</v>
      </c>
      <c r="AH4976">
        <v>12.7540755880873</v>
      </c>
      <c r="AI4976">
        <v>94.904666369502905</v>
      </c>
      <c r="AJ4976">
        <v>100.459603843804</v>
      </c>
      <c r="AK4976">
        <v>13.017254147888201</v>
      </c>
      <c r="AL4976">
        <v>82.287030800632706</v>
      </c>
      <c r="AM4976">
        <v>92.164558515559193</v>
      </c>
      <c r="AN4976">
        <v>1.00000002820738</v>
      </c>
    </row>
    <row r="4977" spans="1:40" x14ac:dyDescent="0.25">
      <c r="A4977" t="str">
        <f>"20190312164128404"</f>
        <v>20190312164128404</v>
      </c>
      <c r="B4977" t="str">
        <f>"1552380088401283"</f>
        <v>1552380088401283</v>
      </c>
      <c r="C4977" t="s">
        <v>40</v>
      </c>
      <c r="D4977">
        <v>5.3089250000000003</v>
      </c>
      <c r="E4977">
        <v>0.45312439999999998</v>
      </c>
      <c r="F4977" t="s">
        <v>41</v>
      </c>
      <c r="G4977">
        <v>-420.69990000000001</v>
      </c>
      <c r="H4977" s="1">
        <v>-3.9882509999999997E-6</v>
      </c>
      <c r="I4977">
        <v>98.451719999999995</v>
      </c>
      <c r="J4977">
        <v>-421.88900000000001</v>
      </c>
      <c r="K4977">
        <v>1.1128389999999999</v>
      </c>
      <c r="L4977">
        <v>111.3912</v>
      </c>
      <c r="M4977">
        <v>-8.8274870000000005E-2</v>
      </c>
      <c r="N4977">
        <v>0</v>
      </c>
      <c r="O4977">
        <v>-0.99607900000000005</v>
      </c>
      <c r="P4977">
        <v>-5.3018990000000002E-2</v>
      </c>
      <c r="Q4977">
        <v>0.1284845</v>
      </c>
      <c r="R4977">
        <v>-0.9902936</v>
      </c>
      <c r="S4977">
        <v>0.27044679999999999</v>
      </c>
      <c r="T4977">
        <v>-0.25854670000000002</v>
      </c>
      <c r="U4977">
        <v>-3.078659</v>
      </c>
      <c r="V4977">
        <v>-3.5831660000000001E-2</v>
      </c>
      <c r="W4977">
        <v>0.13398090000000001</v>
      </c>
      <c r="X4977">
        <v>0.99033590000000005</v>
      </c>
      <c r="Y4977">
        <v>-0.17480370000000001</v>
      </c>
      <c r="Z4977">
        <v>8.2393259999999996E-2</v>
      </c>
      <c r="AA4977">
        <v>0.98114990000000002</v>
      </c>
      <c r="AB4977">
        <v>32</v>
      </c>
      <c r="AC4977">
        <v>1.1890999999999901</v>
      </c>
      <c r="AD4977">
        <v>-1.11284298825099</v>
      </c>
      <c r="AE4977">
        <v>-12.93948</v>
      </c>
      <c r="AF4977">
        <v>-2.3097667810812701</v>
      </c>
      <c r="AG4977">
        <v>-1.11284298825099</v>
      </c>
      <c r="AH4977">
        <v>12.6909111598753</v>
      </c>
      <c r="AI4977">
        <v>94.9307546301348</v>
      </c>
      <c r="AJ4977">
        <v>100.315021753724</v>
      </c>
      <c r="AK4977">
        <v>12.9473035095086</v>
      </c>
      <c r="AL4977">
        <v>82.300305526477999</v>
      </c>
      <c r="AM4977">
        <v>92.072133041109694</v>
      </c>
      <c r="AN4977">
        <v>0.999999992125987</v>
      </c>
    </row>
    <row r="4978" spans="1:40" x14ac:dyDescent="0.25">
      <c r="A4978" t="str">
        <f>"20190312164128427"</f>
        <v>20190312164128427</v>
      </c>
      <c r="B4978" t="str">
        <f>"1552380088420803"</f>
        <v>1552380088420803</v>
      </c>
      <c r="C4978" t="s">
        <v>40</v>
      </c>
      <c r="D4978">
        <v>5.3282080000000001</v>
      </c>
      <c r="E4978">
        <v>0.45361069999999998</v>
      </c>
      <c r="F4978" t="s">
        <v>41</v>
      </c>
      <c r="G4978">
        <v>-420.7183</v>
      </c>
      <c r="H4978" s="1">
        <v>-3.9033539999999998E-6</v>
      </c>
      <c r="I4978">
        <v>98.242410000000007</v>
      </c>
      <c r="J4978">
        <v>-421.91390000000001</v>
      </c>
      <c r="K4978">
        <v>1.1127530000000001</v>
      </c>
      <c r="L4978">
        <v>111.06359999999999</v>
      </c>
      <c r="M4978">
        <v>-8.3898509999999996E-2</v>
      </c>
      <c r="N4978">
        <v>0</v>
      </c>
      <c r="O4978">
        <v>-0.99645819999999996</v>
      </c>
      <c r="P4978">
        <v>-4.9991380000000002E-2</v>
      </c>
      <c r="Q4978">
        <v>0.12907830000000001</v>
      </c>
      <c r="R4978">
        <v>-0.99037359999999997</v>
      </c>
      <c r="S4978">
        <v>0.27404790000000001</v>
      </c>
      <c r="T4978">
        <v>-0.26049529999999999</v>
      </c>
      <c r="U4978">
        <v>-3.0778810000000001</v>
      </c>
      <c r="V4978">
        <v>-3.4486129999999997E-2</v>
      </c>
      <c r="W4978">
        <v>0.13440659999999999</v>
      </c>
      <c r="X4978">
        <v>0.99032600000000004</v>
      </c>
      <c r="Y4978">
        <v>-0.1716336</v>
      </c>
      <c r="Z4978">
        <v>8.3097619999999997E-2</v>
      </c>
      <c r="AA4978">
        <v>0.98165000000000002</v>
      </c>
      <c r="AB4978">
        <v>32</v>
      </c>
      <c r="AC4978">
        <v>1.19560000000001</v>
      </c>
      <c r="AD4978">
        <v>-1.1127569033539999</v>
      </c>
      <c r="AE4978">
        <v>-12.82119</v>
      </c>
      <c r="AF4978">
        <v>-2.25027627907463</v>
      </c>
      <c r="AG4978">
        <v>-1.1127569033539999</v>
      </c>
      <c r="AH4978">
        <v>12.5817184630802</v>
      </c>
      <c r="AI4978">
        <v>94.975673786467496</v>
      </c>
      <c r="AJ4978">
        <v>100.14029720344899</v>
      </c>
      <c r="AK4978">
        <v>12.8297159260188</v>
      </c>
      <c r="AL4978">
        <v>82.275692200875696</v>
      </c>
      <c r="AM4978">
        <v>91.994405469585899</v>
      </c>
      <c r="AN4978">
        <v>1.00000000678096</v>
      </c>
    </row>
    <row r="4979" spans="1:40" x14ac:dyDescent="0.25">
      <c r="A4979" t="str">
        <f>"20190312164128449"</f>
        <v>20190312164128449</v>
      </c>
      <c r="B4979" t="str">
        <f>"1552380088441299"</f>
        <v>1552380088441299</v>
      </c>
      <c r="C4979" t="s">
        <v>40</v>
      </c>
      <c r="D4979">
        <v>5.3970320000000003</v>
      </c>
      <c r="E4979">
        <v>0.45382929999999999</v>
      </c>
      <c r="F4979" t="s">
        <v>41</v>
      </c>
      <c r="G4979">
        <v>-420.71879999999999</v>
      </c>
      <c r="H4979" s="1">
        <v>-3.76715E-6</v>
      </c>
      <c r="I4979">
        <v>97.924610000000001</v>
      </c>
      <c r="J4979">
        <v>-421.93619999999999</v>
      </c>
      <c r="K4979">
        <v>1.1126940000000001</v>
      </c>
      <c r="L4979">
        <v>110.7538</v>
      </c>
      <c r="M4979">
        <v>-7.9816020000000001E-2</v>
      </c>
      <c r="N4979">
        <v>0</v>
      </c>
      <c r="O4979">
        <v>-0.99679439999999997</v>
      </c>
      <c r="P4979">
        <v>-4.7793530000000001E-2</v>
      </c>
      <c r="Q4979">
        <v>0.13019849999999999</v>
      </c>
      <c r="R4979">
        <v>-0.99033550000000004</v>
      </c>
      <c r="S4979">
        <v>0.27990720000000002</v>
      </c>
      <c r="T4979">
        <v>-0.26061689999999998</v>
      </c>
      <c r="U4979">
        <v>-3.0772550000000001</v>
      </c>
      <c r="V4979">
        <v>-3.261174E-2</v>
      </c>
      <c r="W4979">
        <v>0.13537089999999999</v>
      </c>
      <c r="X4979">
        <v>0.99025819999999998</v>
      </c>
      <c r="Y4979">
        <v>-0.16946900000000001</v>
      </c>
      <c r="Z4979">
        <v>8.3203990000000005E-2</v>
      </c>
      <c r="AA4979">
        <v>0.98201700000000003</v>
      </c>
      <c r="AB4979">
        <v>32</v>
      </c>
      <c r="AC4979">
        <v>1.21739999999999</v>
      </c>
      <c r="AD4979">
        <v>-1.11269776715</v>
      </c>
      <c r="AE4979">
        <v>-12.829189999999899</v>
      </c>
      <c r="AF4979">
        <v>-2.2209485684719401</v>
      </c>
      <c r="AG4979">
        <v>-1.11269776715</v>
      </c>
      <c r="AH4979">
        <v>12.5971739649681</v>
      </c>
      <c r="AI4979">
        <v>94.971505846123506</v>
      </c>
      <c r="AJ4979">
        <v>99.998795387198001</v>
      </c>
      <c r="AK4979">
        <v>12.8397624887881</v>
      </c>
      <c r="AL4979">
        <v>82.219932647696695</v>
      </c>
      <c r="AM4979">
        <v>91.886215132765997</v>
      </c>
      <c r="AN4979">
        <v>1.0000000544099299</v>
      </c>
    </row>
    <row r="4980" spans="1:40" x14ac:dyDescent="0.25">
      <c r="A4980" t="str">
        <f>"20190312164128471"</f>
        <v>20190312164128471</v>
      </c>
      <c r="B4980" t="str">
        <f>"1552380088460819"</f>
        <v>1552380088460819</v>
      </c>
      <c r="C4980" t="s">
        <v>40</v>
      </c>
      <c r="D4980">
        <v>5.6524179999999999</v>
      </c>
      <c r="E4980">
        <v>0.43886389999999997</v>
      </c>
      <c r="F4980" t="s">
        <v>41</v>
      </c>
      <c r="G4980">
        <v>-420.69529999999997</v>
      </c>
      <c r="H4980" s="1">
        <v>-3.5170759999999999E-6</v>
      </c>
      <c r="I4980">
        <v>97.356229999999996</v>
      </c>
      <c r="J4980">
        <v>-421.95800000000003</v>
      </c>
      <c r="K4980">
        <v>1.112649</v>
      </c>
      <c r="L4980">
        <v>110.432</v>
      </c>
      <c r="M4980">
        <v>-7.5610999999999998E-2</v>
      </c>
      <c r="N4980">
        <v>0</v>
      </c>
      <c r="O4980">
        <v>-0.99712330000000005</v>
      </c>
      <c r="P4980">
        <v>-4.4593220000000003E-2</v>
      </c>
      <c r="Q4980">
        <v>0.13006189999999901</v>
      </c>
      <c r="R4980">
        <v>-0.99050280000000002</v>
      </c>
      <c r="S4980">
        <v>0.28494259999999999</v>
      </c>
      <c r="T4980">
        <v>-0.25552049999999998</v>
      </c>
      <c r="U4980">
        <v>-3.0766300000000002</v>
      </c>
      <c r="V4980">
        <v>-3.162616E-2</v>
      </c>
      <c r="W4980">
        <v>0.13506760000000001</v>
      </c>
      <c r="X4980">
        <v>0.99033150000000003</v>
      </c>
      <c r="Y4980">
        <v>-0.16693569999999999</v>
      </c>
      <c r="Z4980">
        <v>8.1656969999999995E-2</v>
      </c>
      <c r="AA4980">
        <v>0.98258060000000003</v>
      </c>
      <c r="AB4980">
        <v>32</v>
      </c>
      <c r="AC4980">
        <v>1.2627000000000499</v>
      </c>
      <c r="AD4980">
        <v>-1.112652517076</v>
      </c>
      <c r="AE4980">
        <v>-13.075769999999901</v>
      </c>
      <c r="AF4980">
        <v>-2.2317608615698998</v>
      </c>
      <c r="AG4980">
        <v>-1.112652517076</v>
      </c>
      <c r="AH4980">
        <v>12.8506737433698</v>
      </c>
      <c r="AI4980">
        <v>94.875886632341704</v>
      </c>
      <c r="AJ4980">
        <v>99.852222118486196</v>
      </c>
      <c r="AK4980">
        <v>13.090399834440699</v>
      </c>
      <c r="AL4980">
        <v>82.237470920713804</v>
      </c>
      <c r="AM4980">
        <v>91.829114663589607</v>
      </c>
      <c r="AN4980">
        <v>0.99999997522917705</v>
      </c>
    </row>
    <row r="4981" spans="1:40" x14ac:dyDescent="0.25">
      <c r="A4981" t="str">
        <f>"20190312164128494"</f>
        <v>20190312164128494</v>
      </c>
      <c r="B4981" t="str">
        <f>"1552380088481315"</f>
        <v>1552380088481315</v>
      </c>
      <c r="C4981" t="s">
        <v>40</v>
      </c>
      <c r="D4981">
        <v>5.3070060000000003</v>
      </c>
      <c r="E4981">
        <v>0.43276609999999999</v>
      </c>
      <c r="F4981" t="s">
        <v>41</v>
      </c>
      <c r="G4981">
        <v>-419.51600000000002</v>
      </c>
      <c r="H4981" s="1">
        <v>-1.1332490000000001E-6</v>
      </c>
      <c r="I4981">
        <v>92.074259999999995</v>
      </c>
      <c r="J4981">
        <v>-421.97910000000002</v>
      </c>
      <c r="K4981">
        <v>1.1126119999999999</v>
      </c>
      <c r="L4981">
        <v>110.10120000000001</v>
      </c>
      <c r="M4981">
        <v>-7.1311689999999997E-2</v>
      </c>
      <c r="N4981">
        <v>0</v>
      </c>
      <c r="O4981">
        <v>-0.99744080000000002</v>
      </c>
      <c r="P4981">
        <v>-4.1368660000000002E-2</v>
      </c>
      <c r="Q4981">
        <v>0.129904399999999</v>
      </c>
      <c r="R4981">
        <v>-0.99066330000000002</v>
      </c>
      <c r="S4981">
        <v>0.40859990000000002</v>
      </c>
      <c r="T4981">
        <v>-0.1861672</v>
      </c>
      <c r="U4981">
        <v>-3.0715940000000002</v>
      </c>
      <c r="V4981">
        <v>-3.0575379999999999E-2</v>
      </c>
      <c r="W4981">
        <v>0.134744899999999</v>
      </c>
      <c r="X4981">
        <v>0.99040850000000002</v>
      </c>
      <c r="Y4981">
        <v>-0.2019833</v>
      </c>
      <c r="Z4981">
        <v>5.9382709999999998E-2</v>
      </c>
      <c r="AA4981">
        <v>0.97758699999999998</v>
      </c>
      <c r="AB4981">
        <v>32</v>
      </c>
      <c r="AC4981">
        <v>2.46310000000005</v>
      </c>
      <c r="AD4981">
        <v>-1.1126131332489999</v>
      </c>
      <c r="AE4981">
        <v>-18.02694</v>
      </c>
      <c r="AF4981">
        <v>-3.7284351554913902</v>
      </c>
      <c r="AG4981">
        <v>-1.1126131332489999</v>
      </c>
      <c r="AH4981">
        <v>17.739058632701699</v>
      </c>
      <c r="AI4981">
        <v>93.512406392682905</v>
      </c>
      <c r="AJ4981">
        <v>101.869779549418</v>
      </c>
      <c r="AK4981">
        <v>18.160763691745199</v>
      </c>
      <c r="AL4981">
        <v>82.256131195744203</v>
      </c>
      <c r="AM4981">
        <v>91.768244133057706</v>
      </c>
      <c r="AN4981">
        <v>1.0000000194051999</v>
      </c>
    </row>
    <row r="4982" spans="1:40" x14ac:dyDescent="0.25">
      <c r="A4982" t="str">
        <f>"20190312164128517"</f>
        <v>20190312164128517</v>
      </c>
      <c r="B4982" t="str">
        <f>"1552380088511571"</f>
        <v>1552380088511571</v>
      </c>
      <c r="C4982" t="s">
        <v>40</v>
      </c>
      <c r="D4982">
        <v>5.3337839999999996</v>
      </c>
      <c r="E4982">
        <v>0.43058449999999998</v>
      </c>
      <c r="F4982" t="s">
        <v>41</v>
      </c>
      <c r="G4982">
        <v>-419.61360000000002</v>
      </c>
      <c r="H4982" s="1">
        <v>-2.2077379999999998E-6</v>
      </c>
      <c r="I4982">
        <v>94.619290000000007</v>
      </c>
      <c r="J4982">
        <v>-421.99860000000001</v>
      </c>
      <c r="K4982">
        <v>1.1125890000000001</v>
      </c>
      <c r="L4982">
        <v>109.7744</v>
      </c>
      <c r="M4982">
        <v>-6.7076579999999997E-2</v>
      </c>
      <c r="N4982">
        <v>0</v>
      </c>
      <c r="O4982">
        <v>-0.9977355</v>
      </c>
      <c r="P4982">
        <v>-3.7462540000000003E-2</v>
      </c>
      <c r="Q4982">
        <v>0.1291873</v>
      </c>
      <c r="R4982">
        <v>-0.99091260000000003</v>
      </c>
      <c r="S4982">
        <v>0.47012330000000002</v>
      </c>
      <c r="T4982">
        <v>-0.2211224</v>
      </c>
      <c r="U4982">
        <v>-3.0769039999999999</v>
      </c>
      <c r="V4982">
        <v>-3.0274390000000002E-2</v>
      </c>
      <c r="W4982">
        <v>0.13386890000000001</v>
      </c>
      <c r="X4982">
        <v>0.99053650000000004</v>
      </c>
      <c r="Y4982">
        <v>-0.21663070000000001</v>
      </c>
      <c r="Z4982">
        <v>7.0181309999999997E-2</v>
      </c>
      <c r="AA4982">
        <v>0.97372780000000003</v>
      </c>
      <c r="AB4982">
        <v>32</v>
      </c>
      <c r="AC4982">
        <v>2.38499999999999</v>
      </c>
      <c r="AD4982">
        <v>-1.112591207738</v>
      </c>
      <c r="AE4982">
        <v>-15.155109999999899</v>
      </c>
      <c r="AF4982">
        <v>-3.3784257283453498</v>
      </c>
      <c r="AG4982">
        <v>-1.112591207738</v>
      </c>
      <c r="AH4982">
        <v>14.882724887927401</v>
      </c>
      <c r="AI4982">
        <v>94.169627440961406</v>
      </c>
      <c r="AJ4982">
        <v>102.789579288421</v>
      </c>
      <c r="AK4982">
        <v>15.3018665425893</v>
      </c>
      <c r="AL4982">
        <v>82.306780967463695</v>
      </c>
      <c r="AM4982">
        <v>91.7506219724239</v>
      </c>
      <c r="AN4982">
        <v>0.99999998945466595</v>
      </c>
    </row>
    <row r="4983" spans="1:40" x14ac:dyDescent="0.25">
      <c r="A4983" t="str">
        <f>"20190312164128538"</f>
        <v>20190312164128538</v>
      </c>
      <c r="B4983" t="str">
        <f>"1552380088531091"</f>
        <v>1552380088531091</v>
      </c>
      <c r="C4983" t="s">
        <v>40</v>
      </c>
      <c r="D4983">
        <v>5.2512160000000003</v>
      </c>
      <c r="E4983">
        <v>0.43139690000000003</v>
      </c>
      <c r="F4983" t="s">
        <v>41</v>
      </c>
      <c r="G4983">
        <v>-419.6497</v>
      </c>
      <c r="H4983" s="1">
        <v>-2.5070319999999999E-6</v>
      </c>
      <c r="I4983">
        <v>95.331890000000001</v>
      </c>
      <c r="J4983">
        <v>-422.01609999999999</v>
      </c>
      <c r="K4983">
        <v>1.1125689999999999</v>
      </c>
      <c r="L4983">
        <v>109.4605</v>
      </c>
      <c r="M4983">
        <v>-6.3020290000000007E-2</v>
      </c>
      <c r="N4983">
        <v>0</v>
      </c>
      <c r="O4983">
        <v>-0.99800040000000001</v>
      </c>
      <c r="P4983">
        <v>-3.3707470000000003E-2</v>
      </c>
      <c r="Q4983">
        <v>0.12854380000000001</v>
      </c>
      <c r="R4983">
        <v>-0.99113090000000004</v>
      </c>
      <c r="S4983">
        <v>0.5004883</v>
      </c>
      <c r="T4983">
        <v>-0.2370651</v>
      </c>
      <c r="U4983">
        <v>-3.0773320000000002</v>
      </c>
      <c r="V4983">
        <v>-3.000222E-2</v>
      </c>
      <c r="W4983">
        <v>0.13308629999999999</v>
      </c>
      <c r="X4983">
        <v>0.99065020000000004</v>
      </c>
      <c r="Y4983">
        <v>-0.22195570000000001</v>
      </c>
      <c r="Z4983">
        <v>7.5129979999999999E-2</v>
      </c>
      <c r="AA4983">
        <v>0.97215799999999997</v>
      </c>
      <c r="AB4983">
        <v>32</v>
      </c>
      <c r="AC4983">
        <v>2.3663999999999898</v>
      </c>
      <c r="AD4983">
        <v>-1.1125715070319999</v>
      </c>
      <c r="AE4983">
        <v>-14.128609999999901</v>
      </c>
      <c r="AF4983">
        <v>-3.2325975538636502</v>
      </c>
      <c r="AG4983">
        <v>-1.1125715070319999</v>
      </c>
      <c r="AH4983">
        <v>13.8677457262967</v>
      </c>
      <c r="AI4983">
        <v>94.4675936020883</v>
      </c>
      <c r="AJ4983">
        <v>103.12144490646</v>
      </c>
      <c r="AK4983">
        <v>14.2829224542012</v>
      </c>
      <c r="AL4983">
        <v>82.352025256962094</v>
      </c>
      <c r="AM4983">
        <v>91.734694358082294</v>
      </c>
      <c r="AN4983">
        <v>0.99999995760632798</v>
      </c>
    </row>
    <row r="4984" spans="1:40" x14ac:dyDescent="0.25">
      <c r="A4984" t="str">
        <f>"20190312164128560"</f>
        <v>20190312164128560</v>
      </c>
      <c r="B4984" t="str">
        <f>"1552380088551587"</f>
        <v>1552380088551587</v>
      </c>
      <c r="C4984" t="s">
        <v>40</v>
      </c>
      <c r="D4984">
        <v>5.2681550000000001</v>
      </c>
      <c r="E4984">
        <v>0.43134689999999998</v>
      </c>
      <c r="F4984" t="s">
        <v>41</v>
      </c>
      <c r="G4984">
        <v>-419.5847</v>
      </c>
      <c r="H4984" s="1">
        <v>-2.2253410000000002E-6</v>
      </c>
      <c r="I4984">
        <v>94.64837</v>
      </c>
      <c r="J4984">
        <v>-422.03280000000001</v>
      </c>
      <c r="K4984">
        <v>1.112565</v>
      </c>
      <c r="L4984">
        <v>109.13500000000001</v>
      </c>
      <c r="M4984">
        <v>-5.8820160000000003E-2</v>
      </c>
      <c r="N4984">
        <v>0</v>
      </c>
      <c r="O4984">
        <v>-0.99825779999999997</v>
      </c>
      <c r="P4984">
        <v>-2.9659140000000001E-2</v>
      </c>
      <c r="Q4984">
        <v>0.12823989999999999</v>
      </c>
      <c r="R4984">
        <v>-0.99130010000000002</v>
      </c>
      <c r="S4984">
        <v>0.50457759999999996</v>
      </c>
      <c r="T4984">
        <v>-0.23088990000000001</v>
      </c>
      <c r="U4984">
        <v>-3.073944</v>
      </c>
      <c r="V4984">
        <v>-2.9882570000000001E-2</v>
      </c>
      <c r="W4984">
        <v>0.13265339999999901</v>
      </c>
      <c r="X4984">
        <v>0.99071189999999998</v>
      </c>
      <c r="Y4984">
        <v>-0.219304</v>
      </c>
      <c r="Z4984">
        <v>7.3306339999999998E-2</v>
      </c>
      <c r="AA4984">
        <v>0.97289870000000001</v>
      </c>
      <c r="AB4984">
        <v>33</v>
      </c>
      <c r="AC4984">
        <v>2.4481000000000099</v>
      </c>
      <c r="AD4984">
        <v>-1.1125672253409999</v>
      </c>
      <c r="AE4984">
        <v>-14.48663</v>
      </c>
      <c r="AF4984">
        <v>-3.2771836039945099</v>
      </c>
      <c r="AG4984">
        <v>-1.1125672253409999</v>
      </c>
      <c r="AH4984">
        <v>14.2359134218067</v>
      </c>
      <c r="AI4984">
        <v>94.355248267252804</v>
      </c>
      <c r="AJ4984">
        <v>102.963939224407</v>
      </c>
      <c r="AK4984">
        <v>14.6505620765338</v>
      </c>
      <c r="AL4984">
        <v>82.377050664340899</v>
      </c>
      <c r="AM4984">
        <v>91.727672993979596</v>
      </c>
      <c r="AN4984">
        <v>0.99999998066148699</v>
      </c>
    </row>
    <row r="4985" spans="1:40" x14ac:dyDescent="0.25">
      <c r="A4985" t="str">
        <f>"20190312164128582"</f>
        <v>20190312164128582</v>
      </c>
      <c r="B4985" t="str">
        <f>"1552380088571107"</f>
        <v>1552380088571107</v>
      </c>
      <c r="C4985" t="s">
        <v>40</v>
      </c>
      <c r="D4985">
        <v>5.3022839999999896</v>
      </c>
      <c r="E4985">
        <v>0.43152679999999999</v>
      </c>
      <c r="F4985" t="s">
        <v>41</v>
      </c>
      <c r="G4985">
        <v>-419.57619999999997</v>
      </c>
      <c r="H4985" s="1">
        <v>-2.18846E-6</v>
      </c>
      <c r="I4985">
        <v>94.558899999999994</v>
      </c>
      <c r="J4985">
        <v>-422.04809999999998</v>
      </c>
      <c r="K4985">
        <v>1.1125659999999999</v>
      </c>
      <c r="L4985">
        <v>108.81059999999999</v>
      </c>
      <c r="M4985">
        <v>-5.4642530000000002E-2</v>
      </c>
      <c r="N4985">
        <v>0</v>
      </c>
      <c r="O4985">
        <v>-0.99849549999999998</v>
      </c>
      <c r="P4985">
        <v>-2.6083189999999999E-2</v>
      </c>
      <c r="Q4985">
        <v>0.1283263</v>
      </c>
      <c r="R4985">
        <v>-0.99138899999999996</v>
      </c>
      <c r="S4985">
        <v>0.51776120000000003</v>
      </c>
      <c r="T4985">
        <v>-0.23449249999999999</v>
      </c>
      <c r="U4985">
        <v>-3.0721590000000001</v>
      </c>
      <c r="V4985">
        <v>-2.9315290000000001E-2</v>
      </c>
      <c r="W4985">
        <v>0.1326321</v>
      </c>
      <c r="X4985">
        <v>0.99073169999999999</v>
      </c>
      <c r="Y4985">
        <v>-0.21936040000000001</v>
      </c>
      <c r="Z4985">
        <v>7.4486689999999994E-2</v>
      </c>
      <c r="AA4985">
        <v>0.97279640000000001</v>
      </c>
      <c r="AB4985">
        <v>33</v>
      </c>
      <c r="AC4985">
        <v>2.4719000000000002</v>
      </c>
      <c r="AD4985">
        <v>-1.1125681884600001</v>
      </c>
      <c r="AE4985">
        <v>-14.2517</v>
      </c>
      <c r="AF4985">
        <v>-3.2278670400042602</v>
      </c>
      <c r="AG4985">
        <v>-1.1125681884600001</v>
      </c>
      <c r="AH4985">
        <v>14.0124337103437</v>
      </c>
      <c r="AI4985">
        <v>94.424292390782</v>
      </c>
      <c r="AJ4985">
        <v>102.972208730904</v>
      </c>
      <c r="AK4985">
        <v>14.4223864907544</v>
      </c>
      <c r="AL4985">
        <v>82.378281945085703</v>
      </c>
      <c r="AM4985">
        <v>91.694860930770403</v>
      </c>
      <c r="AN4985">
        <v>0.99999998078154095</v>
      </c>
    </row>
    <row r="4986" spans="1:40" x14ac:dyDescent="0.25">
      <c r="A4986" t="str">
        <f>"20190312164128605"</f>
        <v>20190312164128605</v>
      </c>
      <c r="B4986" t="str">
        <f>"1552380088601363"</f>
        <v>1552380088601363</v>
      </c>
      <c r="C4986" t="s">
        <v>40</v>
      </c>
      <c r="D4986">
        <v>5.3126829999999998</v>
      </c>
      <c r="E4986">
        <v>0.4317474</v>
      </c>
      <c r="F4986" t="s">
        <v>41</v>
      </c>
      <c r="G4986">
        <v>-419.56880000000001</v>
      </c>
      <c r="H4986" s="1">
        <v>-2.1190669999999999E-6</v>
      </c>
      <c r="I4986">
        <v>94.394049999999993</v>
      </c>
      <c r="J4986">
        <v>-422.06229999999999</v>
      </c>
      <c r="K4986">
        <v>1.112576</v>
      </c>
      <c r="L4986">
        <v>108.4802</v>
      </c>
      <c r="M4986">
        <v>-5.0395830000000003E-2</v>
      </c>
      <c r="N4986">
        <v>0</v>
      </c>
      <c r="O4986">
        <v>-0.99871920000000003</v>
      </c>
      <c r="P4986">
        <v>-2.215168E-2</v>
      </c>
      <c r="Q4986">
        <v>0.12837999999999999</v>
      </c>
      <c r="R4986">
        <v>-0.99147770000000002</v>
      </c>
      <c r="S4986">
        <v>0.5280762</v>
      </c>
      <c r="T4986">
        <v>-0.2369686</v>
      </c>
      <c r="U4986">
        <v>-3.0706180000000001</v>
      </c>
      <c r="V4986">
        <v>-2.9037170000000001E-2</v>
      </c>
      <c r="W4986">
        <v>0.13259660000000001</v>
      </c>
      <c r="X4986">
        <v>0.99074470000000003</v>
      </c>
      <c r="Y4986">
        <v>-0.21845709999999999</v>
      </c>
      <c r="Z4986">
        <v>7.5318120000000002E-2</v>
      </c>
      <c r="AA4986">
        <v>0.97293560000000001</v>
      </c>
      <c r="AB4986">
        <v>33</v>
      </c>
      <c r="AC4986">
        <v>2.4934999999999801</v>
      </c>
      <c r="AD4986">
        <v>-1.1125781190670001</v>
      </c>
      <c r="AE4986">
        <v>-14.08615</v>
      </c>
      <c r="AF4986">
        <v>-3.1809804623165601</v>
      </c>
      <c r="AG4986">
        <v>-1.1125781190670001</v>
      </c>
      <c r="AH4986">
        <v>13.8587571578684</v>
      </c>
      <c r="AI4986">
        <v>94.474000543126493</v>
      </c>
      <c r="AJ4986">
        <v>102.927107030561</v>
      </c>
      <c r="AK4986">
        <v>14.262595021013301</v>
      </c>
      <c r="AL4986">
        <v>82.380334509411696</v>
      </c>
      <c r="AM4986">
        <v>91.678768677141406</v>
      </c>
      <c r="AN4986">
        <v>1.00000003807562</v>
      </c>
    </row>
    <row r="4987" spans="1:40" x14ac:dyDescent="0.25">
      <c r="A4987" t="str">
        <f>"20190312164128627"</f>
        <v>20190312164128627</v>
      </c>
      <c r="B4987" t="str">
        <f>"1552380088620886"</f>
        <v>1552380088620886</v>
      </c>
      <c r="C4987" t="s">
        <v>40</v>
      </c>
      <c r="D4987">
        <v>5.2888599999999997</v>
      </c>
      <c r="E4987">
        <v>0.43203079999999999</v>
      </c>
      <c r="F4987" t="s">
        <v>41</v>
      </c>
      <c r="G4987">
        <v>-419.54500000000002</v>
      </c>
      <c r="H4987" s="1">
        <v>-2.0067659999999999E-6</v>
      </c>
      <c r="I4987">
        <v>94.122429999999994</v>
      </c>
      <c r="J4987">
        <v>-422.07549999999998</v>
      </c>
      <c r="K4987">
        <v>1.112603</v>
      </c>
      <c r="L4987">
        <v>108.1412</v>
      </c>
      <c r="M4987">
        <v>-4.6050670000000002E-2</v>
      </c>
      <c r="N4987">
        <v>0</v>
      </c>
      <c r="O4987">
        <v>-0.99892939999999997</v>
      </c>
      <c r="P4987">
        <v>-1.823162E-2</v>
      </c>
      <c r="Q4987">
        <v>0.12780839999999999</v>
      </c>
      <c r="R4987">
        <v>-0.99163159999999895</v>
      </c>
      <c r="S4987">
        <v>0.53802490000000003</v>
      </c>
      <c r="T4987">
        <v>-0.23778560000000001</v>
      </c>
      <c r="U4987">
        <v>-3.0686040000000001</v>
      </c>
      <c r="V4987">
        <v>-2.865034E-2</v>
      </c>
      <c r="W4987">
        <v>0.13196189999999999</v>
      </c>
      <c r="X4987">
        <v>0.99084070000000002</v>
      </c>
      <c r="Y4987">
        <v>-0.21737690000000001</v>
      </c>
      <c r="Z4987">
        <v>7.5637590000000005E-2</v>
      </c>
      <c r="AA4987">
        <v>0.97315269999999998</v>
      </c>
      <c r="AB4987">
        <v>33</v>
      </c>
      <c r="AC4987">
        <v>2.53049999999996</v>
      </c>
      <c r="AD4987">
        <v>-1.112605006766</v>
      </c>
      <c r="AE4987">
        <v>-14.0187699999999</v>
      </c>
      <c r="AF4987">
        <v>-3.15415469470457</v>
      </c>
      <c r="AG4987">
        <v>-1.112605006766</v>
      </c>
      <c r="AH4987">
        <v>13.8031641963527</v>
      </c>
      <c r="AI4987">
        <v>94.493046439801006</v>
      </c>
      <c r="AJ4987">
        <v>102.87163159510099</v>
      </c>
      <c r="AK4987">
        <v>14.2026027041061</v>
      </c>
      <c r="AL4987">
        <v>82.417022542649903</v>
      </c>
      <c r="AM4987">
        <v>91.656256451178294</v>
      </c>
      <c r="AN4987">
        <v>1.0000000389051</v>
      </c>
    </row>
    <row r="4988" spans="1:40" x14ac:dyDescent="0.25">
      <c r="A4988" t="str">
        <f>"20190312164128650"</f>
        <v>20190312164128650</v>
      </c>
      <c r="B4988" t="str">
        <f>"1552380088641380"</f>
        <v>1552380088641380</v>
      </c>
      <c r="C4988" t="s">
        <v>40</v>
      </c>
      <c r="D4988">
        <v>5.2835539999999996</v>
      </c>
      <c r="E4988">
        <v>0.43217369999999999</v>
      </c>
      <c r="F4988" t="s">
        <v>41</v>
      </c>
      <c r="G4988">
        <v>-419.53890000000001</v>
      </c>
      <c r="H4988" s="1">
        <v>-1.9390590000000001E-6</v>
      </c>
      <c r="I4988">
        <v>93.962119999999999</v>
      </c>
      <c r="J4988">
        <v>-422.08679999999998</v>
      </c>
      <c r="K4988">
        <v>1.1126210000000001</v>
      </c>
      <c r="L4988">
        <v>107.8163</v>
      </c>
      <c r="M4988">
        <v>-4.1901830000000001E-2</v>
      </c>
      <c r="N4988">
        <v>0</v>
      </c>
      <c r="O4988">
        <v>-0.999112</v>
      </c>
      <c r="P4988">
        <v>-1.498944E-2</v>
      </c>
      <c r="Q4988">
        <v>0.1270423</v>
      </c>
      <c r="R4988">
        <v>-0.99178440000000001</v>
      </c>
      <c r="S4988">
        <v>0.54855350000000003</v>
      </c>
      <c r="T4988">
        <v>-0.24061350000000001</v>
      </c>
      <c r="U4988">
        <v>-3.0663909999999999</v>
      </c>
      <c r="V4988">
        <v>-2.777874E-2</v>
      </c>
      <c r="W4988">
        <v>0.1311687</v>
      </c>
      <c r="X4988">
        <v>0.99097080000000004</v>
      </c>
      <c r="Y4988">
        <v>-0.21667020000000001</v>
      </c>
      <c r="Z4988">
        <v>7.6590569999999997E-2</v>
      </c>
      <c r="AA4988">
        <v>0.97323579999999998</v>
      </c>
      <c r="AB4988">
        <v>33</v>
      </c>
      <c r="AC4988">
        <v>2.5478999999999701</v>
      </c>
      <c r="AD4988">
        <v>-1.1126229390589999</v>
      </c>
      <c r="AE4988">
        <v>-13.854179999999999</v>
      </c>
      <c r="AF4988">
        <v>-3.1068012097993098</v>
      </c>
      <c r="AG4988">
        <v>-1.1126229390589999</v>
      </c>
      <c r="AH4988">
        <v>13.6500916554734</v>
      </c>
      <c r="AI4988">
        <v>94.544183988345296</v>
      </c>
      <c r="AJ4988">
        <v>102.822256182468</v>
      </c>
      <c r="AK4988">
        <v>14.0433310067289</v>
      </c>
      <c r="AL4988">
        <v>82.462867819601996</v>
      </c>
      <c r="AM4988">
        <v>91.605685932067203</v>
      </c>
      <c r="AN4988">
        <v>1.0000000063541501</v>
      </c>
    </row>
    <row r="4989" spans="1:40" x14ac:dyDescent="0.25">
      <c r="A4989" t="str">
        <f>"20190312164128673"</f>
        <v>20190312164128673</v>
      </c>
      <c r="B4989" t="str">
        <f>"1552380088660899"</f>
        <v>1552380088660899</v>
      </c>
      <c r="C4989" t="s">
        <v>40</v>
      </c>
      <c r="D4989">
        <v>5.2695990000000004</v>
      </c>
      <c r="E4989">
        <v>0.43254969999999998</v>
      </c>
      <c r="F4989" t="s">
        <v>41</v>
      </c>
      <c r="G4989">
        <v>-419.57569999999998</v>
      </c>
      <c r="H4989" s="1">
        <v>-1.9532499999999999E-6</v>
      </c>
      <c r="I4989">
        <v>94.010390000000001</v>
      </c>
      <c r="J4989">
        <v>-422.09730000000002</v>
      </c>
      <c r="K4989">
        <v>1.1126499999999999</v>
      </c>
      <c r="L4989">
        <v>107.4722</v>
      </c>
      <c r="M4989">
        <v>-3.7530830000000001E-2</v>
      </c>
      <c r="N4989">
        <v>0</v>
      </c>
      <c r="O4989">
        <v>-0.99928589999999995</v>
      </c>
      <c r="P4989">
        <v>-1.156767E-2</v>
      </c>
      <c r="Q4989">
        <v>0.12629489999999999</v>
      </c>
      <c r="R4989">
        <v>-0.99192530000000001</v>
      </c>
      <c r="S4989">
        <v>0.55746459999999998</v>
      </c>
      <c r="T4989">
        <v>-0.24700140000000001</v>
      </c>
      <c r="U4989">
        <v>-3.0649109999999999</v>
      </c>
      <c r="V4989">
        <v>-2.686562E-2</v>
      </c>
      <c r="W4989">
        <v>0.130422699999999</v>
      </c>
      <c r="X4989">
        <v>0.99109440000000004</v>
      </c>
      <c r="Y4989">
        <v>-0.2151931</v>
      </c>
      <c r="Z4989">
        <v>7.866215E-2</v>
      </c>
      <c r="AA4989">
        <v>0.97339830000000005</v>
      </c>
      <c r="AB4989">
        <v>33</v>
      </c>
      <c r="AC4989">
        <v>2.52160000000003</v>
      </c>
      <c r="AD4989">
        <v>-1.1126519532500001</v>
      </c>
      <c r="AE4989">
        <v>-13.46181</v>
      </c>
      <c r="AF4989">
        <v>-3.00522707086827</v>
      </c>
      <c r="AG4989">
        <v>-1.1126519532500001</v>
      </c>
      <c r="AH4989">
        <v>13.2701060431661</v>
      </c>
      <c r="AI4989">
        <v>94.675000654827798</v>
      </c>
      <c r="AJ4989">
        <v>102.76030344207</v>
      </c>
      <c r="AK4989">
        <v>13.6515602959304</v>
      </c>
      <c r="AL4989">
        <v>82.505980612030001</v>
      </c>
      <c r="AM4989">
        <v>91.552737850463203</v>
      </c>
      <c r="AN4989">
        <v>0.99999997596231605</v>
      </c>
    </row>
    <row r="4990" spans="1:40" x14ac:dyDescent="0.25">
      <c r="A4990" t="str">
        <f>"20190312164128696"</f>
        <v>20190312164128696</v>
      </c>
      <c r="B4990" t="str">
        <f>"1552380088691155"</f>
        <v>1552380088691155</v>
      </c>
      <c r="C4990" t="s">
        <v>40</v>
      </c>
      <c r="D4990">
        <v>5.2783340000000001</v>
      </c>
      <c r="E4990">
        <v>0.433056</v>
      </c>
      <c r="F4990" t="s">
        <v>41</v>
      </c>
      <c r="G4990">
        <v>-419.58240000000001</v>
      </c>
      <c r="H4990" s="1">
        <v>-1.8710979999999999E-6</v>
      </c>
      <c r="I4990">
        <v>93.821690000000004</v>
      </c>
      <c r="J4990">
        <v>-422.10640000000001</v>
      </c>
      <c r="K4990">
        <v>1.11267</v>
      </c>
      <c r="L4990">
        <v>107.1284</v>
      </c>
      <c r="M4990">
        <v>-3.319971E-2</v>
      </c>
      <c r="N4990">
        <v>0</v>
      </c>
      <c r="O4990">
        <v>-0.99943910000000002</v>
      </c>
      <c r="P4990">
        <v>-8.52994199999999E-3</v>
      </c>
      <c r="Q4990">
        <v>0.12655369999999999</v>
      </c>
      <c r="R4990">
        <v>-0.99192329999999995</v>
      </c>
      <c r="S4990">
        <v>0.56426999999999905</v>
      </c>
      <c r="T4990">
        <v>-0.2496485</v>
      </c>
      <c r="U4990">
        <v>-3.062805</v>
      </c>
      <c r="V4990">
        <v>-2.560989E-2</v>
      </c>
      <c r="W4990">
        <v>0.130713</v>
      </c>
      <c r="X4990">
        <v>0.99108940000000001</v>
      </c>
      <c r="Y4990">
        <v>-0.2131585</v>
      </c>
      <c r="Z4990">
        <v>7.9573980000000002E-2</v>
      </c>
      <c r="AA4990">
        <v>0.97377179999999997</v>
      </c>
      <c r="AB4990">
        <v>34</v>
      </c>
      <c r="AC4990">
        <v>2.524</v>
      </c>
      <c r="AD4990">
        <v>-1.1126718710979999</v>
      </c>
      <c r="AE4990">
        <v>-13.306709999999899</v>
      </c>
      <c r="AF4990">
        <v>-2.9445190654264799</v>
      </c>
      <c r="AG4990">
        <v>-1.1126718710979999</v>
      </c>
      <c r="AH4990">
        <v>13.126982904140201</v>
      </c>
      <c r="AI4990">
        <v>94.728002200978807</v>
      </c>
      <c r="AJ4990">
        <v>102.642771803543</v>
      </c>
      <c r="AK4990">
        <v>13.4991077995911</v>
      </c>
      <c r="AL4990">
        <v>82.489204035179398</v>
      </c>
      <c r="AM4990">
        <v>91.480201639328399</v>
      </c>
      <c r="AN4990">
        <v>0.99999997681358499</v>
      </c>
    </row>
    <row r="4991" spans="1:40" x14ac:dyDescent="0.25">
      <c r="A4991" t="str">
        <f>"20190312164128717"</f>
        <v>20190312164128717</v>
      </c>
      <c r="B4991" t="str">
        <f>"1552380088711651"</f>
        <v>1552380088711651</v>
      </c>
      <c r="C4991" t="s">
        <v>40</v>
      </c>
      <c r="D4991">
        <v>5.4535299999999998</v>
      </c>
      <c r="E4991">
        <v>0.43326979999999998</v>
      </c>
      <c r="F4991" t="s">
        <v>41</v>
      </c>
      <c r="G4991">
        <v>-419.55759999999998</v>
      </c>
      <c r="H4991" s="1">
        <v>-1.708646E-6</v>
      </c>
      <c r="I4991">
        <v>93.432749999999999</v>
      </c>
      <c r="J4991">
        <v>-422.11380000000003</v>
      </c>
      <c r="K4991">
        <v>1.112676</v>
      </c>
      <c r="L4991">
        <v>106.7936</v>
      </c>
      <c r="M4991">
        <v>-2.9040960000000001E-2</v>
      </c>
      <c r="N4991">
        <v>0</v>
      </c>
      <c r="O4991">
        <v>-0.99956829999999997</v>
      </c>
      <c r="P4991">
        <v>-6.2279309999999999E-3</v>
      </c>
      <c r="Q4991">
        <v>0.12722269999999999</v>
      </c>
      <c r="R4991">
        <v>-0.99185480000000004</v>
      </c>
      <c r="S4991">
        <v>0.56967159999999994</v>
      </c>
      <c r="T4991">
        <v>-0.24868950000000001</v>
      </c>
      <c r="U4991">
        <v>-3.0610659999999998</v>
      </c>
      <c r="V4991">
        <v>-2.378713E-2</v>
      </c>
      <c r="W4991">
        <v>0.1314381</v>
      </c>
      <c r="X4991">
        <v>0.99103889999999994</v>
      </c>
      <c r="Y4991">
        <v>-0.21085690000000001</v>
      </c>
      <c r="Z4991">
        <v>7.9337459999999999E-2</v>
      </c>
      <c r="AA4991">
        <v>0.97429200000000005</v>
      </c>
      <c r="AB4991">
        <v>34</v>
      </c>
      <c r="AC4991">
        <v>2.55620000000004</v>
      </c>
      <c r="AD4991">
        <v>-1.112677708646</v>
      </c>
      <c r="AE4991">
        <v>-13.360849999999999</v>
      </c>
      <c r="AF4991">
        <v>-2.9235774220891702</v>
      </c>
      <c r="AG4991">
        <v>-1.112677708646</v>
      </c>
      <c r="AH4991">
        <v>13.192713615388501</v>
      </c>
      <c r="AI4991">
        <v>94.707267765530304</v>
      </c>
      <c r="AJ4991">
        <v>102.495128618799</v>
      </c>
      <c r="AK4991">
        <v>13.5585046802339</v>
      </c>
      <c r="AL4991">
        <v>82.447297115969903</v>
      </c>
      <c r="AM4991">
        <v>91.374961689814597</v>
      </c>
      <c r="AN4991">
        <v>0.99999995149922705</v>
      </c>
    </row>
    <row r="4992" spans="1:40" x14ac:dyDescent="0.25">
      <c r="A4992" t="str">
        <f>"20190312164128739"</f>
        <v>20190312164128739</v>
      </c>
      <c r="B4992" t="str">
        <f>"1552380088731189"</f>
        <v>1552380088731189</v>
      </c>
      <c r="C4992" t="s">
        <v>40</v>
      </c>
      <c r="D4992">
        <v>5.4969140000000003</v>
      </c>
      <c r="E4992">
        <v>0.4704024</v>
      </c>
      <c r="F4992" t="s">
        <v>41</v>
      </c>
      <c r="G4992">
        <v>-419.51600000000002</v>
      </c>
      <c r="H4992" s="1">
        <v>-1.5164330000000001E-6</v>
      </c>
      <c r="I4992">
        <v>92.967489999999998</v>
      </c>
      <c r="J4992">
        <v>-422.1198</v>
      </c>
      <c r="K4992">
        <v>1.1126549999999999</v>
      </c>
      <c r="L4992">
        <v>106.4674</v>
      </c>
      <c r="M4992">
        <v>-2.5084990000000001E-2</v>
      </c>
      <c r="N4992">
        <v>0</v>
      </c>
      <c r="O4992">
        <v>-0.99967530000000004</v>
      </c>
      <c r="P4992">
        <v>-4.9065059999999997E-3</v>
      </c>
      <c r="Q4992">
        <v>0.1284429</v>
      </c>
      <c r="R4992">
        <v>-0.99170510000000001</v>
      </c>
      <c r="S4992">
        <v>0.57492069999999995</v>
      </c>
      <c r="T4992">
        <v>-0.2462462</v>
      </c>
      <c r="U4992">
        <v>-3.0598450000000001</v>
      </c>
      <c r="V4992">
        <v>-2.1182360000000001E-2</v>
      </c>
      <c r="W4992">
        <v>0.13273599999999999</v>
      </c>
      <c r="X4992">
        <v>0.9909251</v>
      </c>
      <c r="Y4992">
        <v>-0.20868400000000001</v>
      </c>
      <c r="Z4992">
        <v>7.8612719999999997E-2</v>
      </c>
      <c r="AA4992">
        <v>0.97481850000000003</v>
      </c>
      <c r="AB4992">
        <v>34</v>
      </c>
      <c r="AC4992">
        <v>2.6038000000000299</v>
      </c>
      <c r="AD4992">
        <v>-1.112656516433</v>
      </c>
      <c r="AE4992">
        <v>-13.49991</v>
      </c>
      <c r="AF4992">
        <v>-2.92248875040963</v>
      </c>
      <c r="AG4992">
        <v>-1.112656516433</v>
      </c>
      <c r="AH4992">
        <v>13.342957264413601</v>
      </c>
      <c r="AI4992">
        <v>94.656918926800103</v>
      </c>
      <c r="AJ4992">
        <v>102.354317997262</v>
      </c>
      <c r="AK4992">
        <v>13.704504864452399</v>
      </c>
      <c r="AL4992">
        <v>82.372276309505295</v>
      </c>
      <c r="AM4992">
        <v>91.224588032815106</v>
      </c>
      <c r="AN4992">
        <v>1.00000004594058</v>
      </c>
    </row>
    <row r="4993" spans="1:40" x14ac:dyDescent="0.25">
      <c r="A4993" t="str">
        <f>"20190312164128751"</f>
        <v>20190312164128751</v>
      </c>
      <c r="B4993" t="str">
        <f>"1552380088740932"</f>
        <v>1552380088740932</v>
      </c>
      <c r="C4993" t="s">
        <v>40</v>
      </c>
      <c r="D4993">
        <v>5.3453660000000003</v>
      </c>
      <c r="E4993">
        <v>0.47702090000000003</v>
      </c>
      <c r="F4993" t="s">
        <v>41</v>
      </c>
      <c r="G4993">
        <v>-420.77760000000001</v>
      </c>
      <c r="H4993" s="1">
        <v>-1.184062E-6</v>
      </c>
      <c r="I4993">
        <v>91.866860000000003</v>
      </c>
      <c r="J4993">
        <v>-422.12270000000001</v>
      </c>
      <c r="K4993">
        <v>1.1126259999999999</v>
      </c>
      <c r="L4993">
        <v>106.2717</v>
      </c>
      <c r="M4993">
        <v>-2.2769560000000001E-2</v>
      </c>
      <c r="N4993">
        <v>0</v>
      </c>
      <c r="O4993">
        <v>-0.99973029999999996</v>
      </c>
      <c r="P4993">
        <v>-4.1713640000000003E-3</v>
      </c>
      <c r="Q4993">
        <v>0.12920909999999999</v>
      </c>
      <c r="R4993">
        <v>-0.99160879999999996</v>
      </c>
      <c r="S4993">
        <v>0.28097529999999998</v>
      </c>
      <c r="T4993">
        <v>-0.2329367</v>
      </c>
      <c r="U4993">
        <v>-3.0566559999999998</v>
      </c>
      <c r="V4993">
        <v>-1.9615210000000001E-2</v>
      </c>
      <c r="W4993">
        <v>0.13355410000000001</v>
      </c>
      <c r="X4993">
        <v>0.99084740000000004</v>
      </c>
      <c r="Y4993">
        <v>-0.1139251</v>
      </c>
      <c r="Z4993">
        <v>7.5550720000000002E-2</v>
      </c>
      <c r="AA4993">
        <v>0.99061250000000001</v>
      </c>
      <c r="AB4993">
        <v>34</v>
      </c>
      <c r="AC4993">
        <v>1.3451</v>
      </c>
      <c r="AD4993">
        <v>-1.1126271840619999</v>
      </c>
      <c r="AE4993">
        <v>-14.404839999999901</v>
      </c>
      <c r="AF4993">
        <v>-1.6629114005477701</v>
      </c>
      <c r="AG4993">
        <v>-1.1126271840619999</v>
      </c>
      <c r="AH4993">
        <v>14.285984381098</v>
      </c>
      <c r="AI4993">
        <v>94.423597084466707</v>
      </c>
      <c r="AJ4993">
        <v>96.639441172495196</v>
      </c>
      <c r="AK4993">
        <v>14.425413800434301</v>
      </c>
      <c r="AL4993">
        <v>82.324981285720099</v>
      </c>
      <c r="AM4993">
        <v>91.134101949533502</v>
      </c>
      <c r="AN4993">
        <v>1.00000001208845</v>
      </c>
    </row>
    <row r="4994" spans="1:40" x14ac:dyDescent="0.25">
      <c r="A4994" t="str">
        <f>"20190312164128773"</f>
        <v>20190312164128773</v>
      </c>
      <c r="B4994" t="str">
        <f>"1552380088761430"</f>
        <v>1552380088761430</v>
      </c>
      <c r="C4994" t="s">
        <v>40</v>
      </c>
      <c r="D4994">
        <v>5.3540080000000003</v>
      </c>
      <c r="E4994">
        <v>0.48396129999999998</v>
      </c>
      <c r="F4994" t="s">
        <v>41</v>
      </c>
      <c r="G4994">
        <v>-421.03879999999998</v>
      </c>
      <c r="H4994" s="1">
        <v>-1.269681E-6</v>
      </c>
      <c r="I4994">
        <v>91.904489999999996</v>
      </c>
      <c r="J4994">
        <v>-422.1266</v>
      </c>
      <c r="K4994">
        <v>1.112584</v>
      </c>
      <c r="L4994">
        <v>105.96080000000001</v>
      </c>
      <c r="M4994">
        <v>-1.915611E-2</v>
      </c>
      <c r="N4994">
        <v>0</v>
      </c>
      <c r="O4994">
        <v>-0.99980579999999997</v>
      </c>
      <c r="P4994">
        <v>-3.584505E-3</v>
      </c>
      <c r="Q4994">
        <v>0.13011420000000001</v>
      </c>
      <c r="R4994">
        <v>-0.9914925</v>
      </c>
      <c r="S4994">
        <v>0.23065189999999999</v>
      </c>
      <c r="T4994">
        <v>-0.2367573</v>
      </c>
      <c r="U4994">
        <v>-3.0572050000000002</v>
      </c>
      <c r="V4994">
        <v>-1.660652E-2</v>
      </c>
      <c r="W4994">
        <v>0.13455020000000001</v>
      </c>
      <c r="X4994">
        <v>0.99076759999999997</v>
      </c>
      <c r="Y4994">
        <v>-9.4096739999999998E-2</v>
      </c>
      <c r="Z4994">
        <v>7.6909950000000005E-2</v>
      </c>
      <c r="AA4994">
        <v>0.99258789999999997</v>
      </c>
      <c r="AB4994">
        <v>34</v>
      </c>
      <c r="AC4994">
        <v>1.0878000000000101</v>
      </c>
      <c r="AD4994">
        <v>-1.1125852696809999</v>
      </c>
      <c r="AE4994">
        <v>-14.05631</v>
      </c>
      <c r="AF4994">
        <v>-1.3484695696028499</v>
      </c>
      <c r="AG4994">
        <v>-1.1125852696809999</v>
      </c>
      <c r="AH4994">
        <v>13.9460400802074</v>
      </c>
      <c r="AI4994">
        <v>94.540189099620605</v>
      </c>
      <c r="AJ4994">
        <v>95.5228706491189</v>
      </c>
      <c r="AK4994">
        <v>14.055185878571899</v>
      </c>
      <c r="AL4994">
        <v>82.267388936721602</v>
      </c>
      <c r="AM4994">
        <v>90.960259923858601</v>
      </c>
      <c r="AN4994">
        <v>0.99999998501815501</v>
      </c>
    </row>
    <row r="4995" spans="1:40" x14ac:dyDescent="0.25">
      <c r="A4995" t="str">
        <f>"20190312164128795"</f>
        <v>20190312164128795</v>
      </c>
      <c r="B4995" t="str">
        <f>"1552380088791684"</f>
        <v>1552380088791684</v>
      </c>
      <c r="C4995" t="s">
        <v>40</v>
      </c>
      <c r="D4995">
        <v>5.3483650000000003</v>
      </c>
      <c r="E4995">
        <v>0.48846099999999998</v>
      </c>
      <c r="F4995" t="s">
        <v>41</v>
      </c>
      <c r="G4995">
        <v>-421.29730000000001</v>
      </c>
      <c r="H4995" s="1">
        <v>-1.21016E-6</v>
      </c>
      <c r="I4995">
        <v>91.60539</v>
      </c>
      <c r="J4995">
        <v>-422.12990000000002</v>
      </c>
      <c r="K4995">
        <v>1.1125130000000001</v>
      </c>
      <c r="L4995">
        <v>105.61020000000001</v>
      </c>
      <c r="M4995">
        <v>-1.522044E-2</v>
      </c>
      <c r="N4995">
        <v>0</v>
      </c>
      <c r="O4995">
        <v>-0.99987309999999996</v>
      </c>
      <c r="P4995">
        <v>-3.0497739999999999E-3</v>
      </c>
      <c r="Q4995">
        <v>0.1309003</v>
      </c>
      <c r="R4995">
        <v>-0.99139080000000002</v>
      </c>
      <c r="S4995">
        <v>0.17663570000000001</v>
      </c>
      <c r="T4995">
        <v>-0.23696400000000001</v>
      </c>
      <c r="U4995">
        <v>-3.05748</v>
      </c>
      <c r="V4995">
        <v>-1.3217909999999999E-2</v>
      </c>
      <c r="W4995">
        <v>0.13544700000000001</v>
      </c>
      <c r="X4995">
        <v>0.99069640000000003</v>
      </c>
      <c r="Y4995">
        <v>-7.2692380000000001E-2</v>
      </c>
      <c r="Z4995">
        <v>7.7091740000000006E-2</v>
      </c>
      <c r="AA4995">
        <v>0.99437050000000005</v>
      </c>
      <c r="AB4995">
        <v>34</v>
      </c>
      <c r="AC4995">
        <v>0.832600000000013</v>
      </c>
      <c r="AD4995">
        <v>-1.1125142101600001</v>
      </c>
      <c r="AE4995">
        <v>-14.004810000000001</v>
      </c>
      <c r="AF4995">
        <v>-1.0391310447764399</v>
      </c>
      <c r="AG4995">
        <v>-1.1125142101600001</v>
      </c>
      <c r="AH4995">
        <v>13.903089979717301</v>
      </c>
      <c r="AI4995">
        <v>94.562343207212507</v>
      </c>
      <c r="AJ4995">
        <v>94.274397248796703</v>
      </c>
      <c r="AK4995">
        <v>13.9861857623922</v>
      </c>
      <c r="AL4995">
        <v>82.215531324273002</v>
      </c>
      <c r="AM4995">
        <v>90.764397169825898</v>
      </c>
      <c r="AN4995">
        <v>0.99999997996336398</v>
      </c>
    </row>
    <row r="4996" spans="1:40" x14ac:dyDescent="0.25">
      <c r="A4996" t="str">
        <f>"20190312164128808"</f>
        <v>20190312164128808</v>
      </c>
      <c r="B4996" t="str">
        <f>"1552380088801444"</f>
        <v>1552380088801444</v>
      </c>
      <c r="C4996" t="s">
        <v>40</v>
      </c>
      <c r="D4996">
        <v>5.3171269999999904</v>
      </c>
      <c r="E4996">
        <v>0.4893208</v>
      </c>
      <c r="F4996" t="s">
        <v>41</v>
      </c>
      <c r="G4996">
        <v>-421.45299999999997</v>
      </c>
      <c r="H4996" s="1">
        <v>-1.0302300000000001E-6</v>
      </c>
      <c r="I4996">
        <v>91.089389999999995</v>
      </c>
      <c r="J4996">
        <v>-422.1311</v>
      </c>
      <c r="K4996">
        <v>1.11246</v>
      </c>
      <c r="L4996">
        <v>105.411</v>
      </c>
      <c r="M4996">
        <v>-1.308524E-2</v>
      </c>
      <c r="N4996">
        <v>0</v>
      </c>
      <c r="O4996">
        <v>-0.99990330000000005</v>
      </c>
      <c r="P4996">
        <v>-2.481441E-3</v>
      </c>
      <c r="Q4996">
        <v>0.13106979999999999</v>
      </c>
      <c r="R4996">
        <v>-0.99137030000000004</v>
      </c>
      <c r="S4996">
        <v>0.14251710000000001</v>
      </c>
      <c r="T4996">
        <v>-0.23424529999999999</v>
      </c>
      <c r="U4996">
        <v>-3.0574340000000002</v>
      </c>
      <c r="V4996">
        <v>-1.165151E-2</v>
      </c>
      <c r="W4996">
        <v>0.13568269999999999</v>
      </c>
      <c r="X4996">
        <v>0.99068389999999995</v>
      </c>
      <c r="Y4996">
        <v>-5.949426E-2</v>
      </c>
      <c r="Z4996">
        <v>7.6272450000000006E-2</v>
      </c>
      <c r="AA4996">
        <v>0.99531049999999999</v>
      </c>
      <c r="AB4996">
        <v>34</v>
      </c>
      <c r="AC4996">
        <v>0.67809999999997195</v>
      </c>
      <c r="AD4996">
        <v>-1.11246103023</v>
      </c>
      <c r="AE4996">
        <v>-14.3216099999999</v>
      </c>
      <c r="AF4996">
        <v>-0.86026671678313804</v>
      </c>
      <c r="AG4996">
        <v>-1.11246103023</v>
      </c>
      <c r="AH4996">
        <v>14.2258675655691</v>
      </c>
      <c r="AI4996">
        <v>94.463302530382606</v>
      </c>
      <c r="AJ4996">
        <v>93.460576414385201</v>
      </c>
      <c r="AK4996">
        <v>14.295206761739999</v>
      </c>
      <c r="AL4996">
        <v>82.201901595165097</v>
      </c>
      <c r="AM4996">
        <v>90.673829028469697</v>
      </c>
      <c r="AN4996">
        <v>1.00000007124188</v>
      </c>
    </row>
    <row r="4997" spans="1:40" x14ac:dyDescent="0.25">
      <c r="A4997" t="str">
        <f>"20190312164128829"</f>
        <v>20190312164128829</v>
      </c>
      <c r="B4997" t="str">
        <f>"1552380088820963"</f>
        <v>1552380088820963</v>
      </c>
      <c r="C4997" t="s">
        <v>40</v>
      </c>
      <c r="D4997">
        <v>5.376798</v>
      </c>
      <c r="E4997">
        <v>0.49110280000000001</v>
      </c>
      <c r="F4997" t="s">
        <v>41</v>
      </c>
      <c r="G4997">
        <v>-421.47669999999999</v>
      </c>
      <c r="H4997" s="1">
        <v>-9.5811910000000002E-7</v>
      </c>
      <c r="I4997">
        <v>90.906620000000004</v>
      </c>
      <c r="J4997">
        <v>-422.13240000000002</v>
      </c>
      <c r="K4997">
        <v>1.112365</v>
      </c>
      <c r="L4997">
        <v>105.0869</v>
      </c>
      <c r="M4997">
        <v>-9.7462739999999992E-3</v>
      </c>
      <c r="N4997">
        <v>0</v>
      </c>
      <c r="O4997">
        <v>-0.99994090000000002</v>
      </c>
      <c r="P4997">
        <v>-2.2452409999999998E-3</v>
      </c>
      <c r="Q4997">
        <v>0.13149949999999999</v>
      </c>
      <c r="R4997">
        <v>-0.99131369999999996</v>
      </c>
      <c r="S4997">
        <v>0.13793949999999999</v>
      </c>
      <c r="T4997">
        <v>-0.2345024</v>
      </c>
      <c r="U4997">
        <v>-3.0574650000000001</v>
      </c>
      <c r="V4997">
        <v>-8.5429229999999991E-3</v>
      </c>
      <c r="W4997">
        <v>0.13623260000000001</v>
      </c>
      <c r="X4997">
        <v>0.99063999999999997</v>
      </c>
      <c r="Y4997">
        <v>-5.4672470000000001E-2</v>
      </c>
      <c r="Z4997">
        <v>7.6372449999999995E-2</v>
      </c>
      <c r="AA4997">
        <v>0.99557929999999994</v>
      </c>
      <c r="AB4997">
        <v>34</v>
      </c>
      <c r="AC4997">
        <v>0.65570000000002404</v>
      </c>
      <c r="AD4997">
        <v>-1.1123659581191001</v>
      </c>
      <c r="AE4997">
        <v>-14.18028</v>
      </c>
      <c r="AF4997">
        <v>-0.78903037517653796</v>
      </c>
      <c r="AG4997">
        <v>-1.1123659581191001</v>
      </c>
      <c r="AH4997">
        <v>14.0867173922486</v>
      </c>
      <c r="AI4997">
        <v>94.507989124367796</v>
      </c>
      <c r="AJ4997">
        <v>93.205922254883006</v>
      </c>
      <c r="AK4997">
        <v>14.152580466007301</v>
      </c>
      <c r="AL4997">
        <v>82.170098446641504</v>
      </c>
      <c r="AM4997">
        <v>90.494085943997504</v>
      </c>
      <c r="AN4997">
        <v>0.99999995621807103</v>
      </c>
    </row>
    <row r="4998" spans="1:40" x14ac:dyDescent="0.25">
      <c r="A4998" t="str">
        <f>"20190312164128851"</f>
        <v>20190312164128851</v>
      </c>
      <c r="B4998" t="str">
        <f>"1552380088841459"</f>
        <v>1552380088841459</v>
      </c>
      <c r="C4998" t="s">
        <v>40</v>
      </c>
      <c r="D4998">
        <v>5.4241299999999999</v>
      </c>
      <c r="E4998">
        <v>0.49238090000000001</v>
      </c>
      <c r="F4998" t="s">
        <v>41</v>
      </c>
      <c r="G4998">
        <v>-421.52379999999999</v>
      </c>
      <c r="H4998" s="1">
        <v>-5.8674449999999999E-7</v>
      </c>
      <c r="I4998">
        <v>90.011709999999994</v>
      </c>
      <c r="J4998">
        <v>-422.13279999999997</v>
      </c>
      <c r="K4998">
        <v>1.112239</v>
      </c>
      <c r="L4998">
        <v>104.7539</v>
      </c>
      <c r="M4998">
        <v>-6.5229349999999997E-3</v>
      </c>
      <c r="N4998">
        <v>0</v>
      </c>
      <c r="O4998">
        <v>-0.99996640000000003</v>
      </c>
      <c r="P4998">
        <v>-2.2278039999999999E-3</v>
      </c>
      <c r="Q4998">
        <v>0.131854799999999</v>
      </c>
      <c r="R4998">
        <v>-0.99126650000000005</v>
      </c>
      <c r="S4998">
        <v>0.1233826</v>
      </c>
      <c r="T4998">
        <v>-0.22553239999999999</v>
      </c>
      <c r="U4998">
        <v>-3.0564879999999999</v>
      </c>
      <c r="V4998">
        <v>-5.3218730000000004E-3</v>
      </c>
      <c r="W4998">
        <v>0.13672379999999901</v>
      </c>
      <c r="X4998">
        <v>0.99059489999999994</v>
      </c>
      <c r="Y4998">
        <v>-4.6742279999999997E-2</v>
      </c>
      <c r="Z4998">
        <v>7.351568E-2</v>
      </c>
      <c r="AA4998">
        <v>0.99619809999999998</v>
      </c>
      <c r="AB4998">
        <v>35</v>
      </c>
      <c r="AC4998">
        <v>0.60899999999998</v>
      </c>
      <c r="AD4998">
        <v>-1.1122395867444901</v>
      </c>
      <c r="AE4998">
        <v>-14.742190000000001</v>
      </c>
      <c r="AF4998">
        <v>-0.70116626508836499</v>
      </c>
      <c r="AG4998">
        <v>-1.1122395867444901</v>
      </c>
      <c r="AH4998">
        <v>14.6546302966675</v>
      </c>
      <c r="AI4998">
        <v>94.335304993594207</v>
      </c>
      <c r="AJ4998">
        <v>92.739288061812502</v>
      </c>
      <c r="AK4998">
        <v>14.7134938121992</v>
      </c>
      <c r="AL4998">
        <v>82.141689182716505</v>
      </c>
      <c r="AM4998">
        <v>90.307812939924304</v>
      </c>
      <c r="AN4998">
        <v>0.99999998786233801</v>
      </c>
    </row>
    <row r="4999" spans="1:40" x14ac:dyDescent="0.25">
      <c r="A4999" t="str">
        <f>"20190312164128864"</f>
        <v>20190312164128864</v>
      </c>
      <c r="B4999" t="str">
        <f>"1552380088851220"</f>
        <v>1552380088851220</v>
      </c>
      <c r="C4999" t="s">
        <v>40</v>
      </c>
      <c r="D4999">
        <v>5.4105759999999998</v>
      </c>
      <c r="E4999">
        <v>0.49295899999999998</v>
      </c>
      <c r="F4999" t="s">
        <v>41</v>
      </c>
      <c r="G4999">
        <v>-421.56279999999998</v>
      </c>
      <c r="H4999" s="1">
        <v>-4.4699579999999997E-6</v>
      </c>
      <c r="I4999">
        <v>89.307360000000003</v>
      </c>
      <c r="J4999">
        <v>-422.13249999999999</v>
      </c>
      <c r="K4999">
        <v>1.1121559999999999</v>
      </c>
      <c r="L4999">
        <v>104.54259999999999</v>
      </c>
      <c r="M4999">
        <v>-4.5894830000000001E-3</v>
      </c>
      <c r="N4999">
        <v>0</v>
      </c>
      <c r="O4999">
        <v>-0.99997689999999995</v>
      </c>
      <c r="P4999">
        <v>-2.208097E-3</v>
      </c>
      <c r="Q4999">
        <v>0.1319755</v>
      </c>
      <c r="R4999">
        <v>-0.99125059999999998</v>
      </c>
      <c r="S4999">
        <v>0.1127625</v>
      </c>
      <c r="T4999">
        <v>-0.2200454</v>
      </c>
      <c r="U4999">
        <v>-3.055939</v>
      </c>
      <c r="V4999">
        <v>-3.3940929999999999E-3</v>
      </c>
      <c r="W4999">
        <v>0.1369359</v>
      </c>
      <c r="X4999">
        <v>0.99057410000000001</v>
      </c>
      <c r="Y4999">
        <v>-4.1365310000000002E-2</v>
      </c>
      <c r="Z4999">
        <v>7.1763729999999998E-2</v>
      </c>
      <c r="AA4999">
        <v>0.99656359999999999</v>
      </c>
      <c r="AB4999">
        <v>35</v>
      </c>
      <c r="AC4999">
        <v>0.56970000000001098</v>
      </c>
      <c r="AD4999">
        <v>-1.1121604699580001</v>
      </c>
      <c r="AE4999">
        <v>-15.2352399999999</v>
      </c>
      <c r="AF4999">
        <v>-0.63623108582176402</v>
      </c>
      <c r="AG4999">
        <v>-1.1121604699580001</v>
      </c>
      <c r="AH4999">
        <v>15.151835243549399</v>
      </c>
      <c r="AI4999">
        <v>94.194358454354003</v>
      </c>
      <c r="AJ4999">
        <v>92.404458161298706</v>
      </c>
      <c r="AK4999">
        <v>15.205913394241399</v>
      </c>
      <c r="AL4999">
        <v>82.129421492009399</v>
      </c>
      <c r="AM4999">
        <v>90.196316906686405</v>
      </c>
      <c r="AN4999">
        <v>1.00000000408345</v>
      </c>
    </row>
    <row r="5000" spans="1:40" x14ac:dyDescent="0.25">
      <c r="A5000" t="str">
        <f>"20190312164128878"</f>
        <v>20190312164128878</v>
      </c>
      <c r="B5000" t="str">
        <f>"1552380088871716"</f>
        <v>1552380088871716</v>
      </c>
      <c r="C5000" t="s">
        <v>40</v>
      </c>
      <c r="D5000">
        <v>5.5012169999999996</v>
      </c>
      <c r="E5000">
        <v>0.49372690000000002</v>
      </c>
      <c r="F5000" t="s">
        <v>41</v>
      </c>
      <c r="G5000">
        <v>-421.58530000000002</v>
      </c>
      <c r="H5000" s="1">
        <v>-4.4186320000000004E-6</v>
      </c>
      <c r="I5000">
        <v>89.144809999999893</v>
      </c>
      <c r="J5000">
        <v>-422.13200000000001</v>
      </c>
      <c r="K5000">
        <v>1.112066</v>
      </c>
      <c r="L5000">
        <v>104.33280000000001</v>
      </c>
      <c r="M5000">
        <v>-2.7376169999999999E-3</v>
      </c>
      <c r="N5000">
        <v>0</v>
      </c>
      <c r="O5000">
        <v>-0.99998339999999997</v>
      </c>
      <c r="P5000">
        <v>-2.1299090000000001E-3</v>
      </c>
      <c r="Q5000">
        <v>0.13211679999999901</v>
      </c>
      <c r="R5000">
        <v>-0.99123220000000001</v>
      </c>
      <c r="S5000">
        <v>0.1086121</v>
      </c>
      <c r="T5000">
        <v>-0.22073880000000001</v>
      </c>
      <c r="U5000">
        <v>-3.0561219999999998</v>
      </c>
      <c r="V5000">
        <v>-1.604332E-3</v>
      </c>
      <c r="W5000">
        <v>0.13717070000000001</v>
      </c>
      <c r="X5000">
        <v>0.99054609999999998</v>
      </c>
      <c r="Y5000">
        <v>-3.8160390000000002E-2</v>
      </c>
      <c r="Z5000">
        <v>7.1991470000000002E-2</v>
      </c>
      <c r="AA5000">
        <v>0.99667499999999998</v>
      </c>
      <c r="AB5000">
        <v>35</v>
      </c>
      <c r="AC5000">
        <v>0.54669999999993002</v>
      </c>
      <c r="AD5000">
        <v>-1.1120704186319901</v>
      </c>
      <c r="AE5000">
        <v>-15.187989999999999</v>
      </c>
      <c r="AF5000">
        <v>-0.58514435464419001</v>
      </c>
      <c r="AG5000">
        <v>-1.1120704186319901</v>
      </c>
      <c r="AH5000">
        <v>15.10555692644</v>
      </c>
      <c r="AI5000">
        <v>94.207372631951401</v>
      </c>
      <c r="AJ5000">
        <v>92.218358965125702</v>
      </c>
      <c r="AK5000">
        <v>15.1577354703692</v>
      </c>
      <c r="AL5000">
        <v>82.115840059711104</v>
      </c>
      <c r="AM5000">
        <v>90.0927986816165</v>
      </c>
      <c r="AN5000">
        <v>0.99999997552243203</v>
      </c>
    </row>
    <row r="5001" spans="1:40" x14ac:dyDescent="0.25">
      <c r="A5001" t="str">
        <f>"20190312164128896"</f>
        <v>20190312164128896</v>
      </c>
      <c r="B5001" t="str">
        <f>"1552380088891235"</f>
        <v>1552380088891235</v>
      </c>
      <c r="C5001" t="s">
        <v>40</v>
      </c>
      <c r="D5001">
        <v>5.4223229999999996</v>
      </c>
      <c r="E5001">
        <v>0.49436069999999999</v>
      </c>
      <c r="F5001" t="s">
        <v>41</v>
      </c>
      <c r="G5001">
        <v>-421.60789999999997</v>
      </c>
      <c r="H5001" s="1">
        <v>-4.308527E-6</v>
      </c>
      <c r="I5001">
        <v>88.809460000000001</v>
      </c>
      <c r="J5001">
        <v>-422.13080000000002</v>
      </c>
      <c r="K5001">
        <v>1.1119349999999999</v>
      </c>
      <c r="L5001">
        <v>104.05240000000001</v>
      </c>
      <c r="M5001">
        <v>-4.5048830000000002E-4</v>
      </c>
      <c r="N5001">
        <v>0</v>
      </c>
      <c r="O5001">
        <v>-0.9999865</v>
      </c>
      <c r="P5001">
        <v>-3.483388E-3</v>
      </c>
      <c r="Q5001">
        <v>0.13253239999999999</v>
      </c>
      <c r="R5001">
        <v>-0.99117319999999998</v>
      </c>
      <c r="S5001">
        <v>0.1031799</v>
      </c>
      <c r="T5001">
        <v>-0.2189229</v>
      </c>
      <c r="U5001">
        <v>-3.055939</v>
      </c>
      <c r="V5001">
        <v>2.0615350000000002E-3</v>
      </c>
      <c r="W5001">
        <v>0.13772470000000001</v>
      </c>
      <c r="X5001">
        <v>0.99046840000000003</v>
      </c>
      <c r="Y5001">
        <v>-3.4108590000000001E-2</v>
      </c>
      <c r="Z5001">
        <v>7.1414320000000003E-2</v>
      </c>
      <c r="AA5001">
        <v>0.99686339999999996</v>
      </c>
      <c r="AB5001">
        <v>35</v>
      </c>
      <c r="AC5001">
        <v>0.52290000000004899</v>
      </c>
      <c r="AD5001">
        <v>-1.111939308527</v>
      </c>
      <c r="AE5001">
        <v>-15.242940000000001</v>
      </c>
      <c r="AF5001">
        <v>-0.52696591260428904</v>
      </c>
      <c r="AG5001">
        <v>-1.111939308527</v>
      </c>
      <c r="AH5001">
        <v>15.162114277339301</v>
      </c>
      <c r="AI5001">
        <v>94.191852250623995</v>
      </c>
      <c r="AJ5001">
        <v>91.990538648297203</v>
      </c>
      <c r="AK5001">
        <v>15.211962774671401</v>
      </c>
      <c r="AL5001">
        <v>82.083794221127903</v>
      </c>
      <c r="AM5001">
        <v>89.880746236575504</v>
      </c>
      <c r="AN5001">
        <v>0.99999999715760302</v>
      </c>
    </row>
    <row r="5002" spans="1:40" x14ac:dyDescent="0.25">
      <c r="A5002" t="str">
        <f>"20190312164128919"</f>
        <v>20190312164128919</v>
      </c>
      <c r="B5002" t="str">
        <f>"1552380088911731"</f>
        <v>1552380088911731</v>
      </c>
      <c r="C5002" t="s">
        <v>40</v>
      </c>
      <c r="D5002">
        <v>5.3981279999999998</v>
      </c>
      <c r="E5002">
        <v>0.49496839999999998</v>
      </c>
      <c r="F5002" t="s">
        <v>41</v>
      </c>
      <c r="G5002">
        <v>-421.6429</v>
      </c>
      <c r="H5002" s="1">
        <v>-4.1214999999999901E-6</v>
      </c>
      <c r="I5002">
        <v>88.241650000000007</v>
      </c>
      <c r="J5002">
        <v>-422.12860000000001</v>
      </c>
      <c r="K5002">
        <v>1.1117549999999901</v>
      </c>
      <c r="L5002">
        <v>103.69580000000001</v>
      </c>
      <c r="M5002">
        <v>2.220769E-3</v>
      </c>
      <c r="N5002">
        <v>0</v>
      </c>
      <c r="O5002">
        <v>-0.99998310000000001</v>
      </c>
      <c r="P5002">
        <v>-4.9575940000000001E-3</v>
      </c>
      <c r="Q5002">
        <v>0.13303380000000001</v>
      </c>
      <c r="R5002">
        <v>-0.99109930000000002</v>
      </c>
      <c r="S5002">
        <v>9.4299320000000006E-2</v>
      </c>
      <c r="T5002">
        <v>-0.2149073</v>
      </c>
      <c r="U5002">
        <v>-3.0557859999999999</v>
      </c>
      <c r="V5002">
        <v>6.2454850000000003E-3</v>
      </c>
      <c r="W5002">
        <v>0.1383944</v>
      </c>
      <c r="X5002">
        <v>0.9903575</v>
      </c>
      <c r="Y5002">
        <v>-2.8548839999999999E-2</v>
      </c>
      <c r="Z5002">
        <v>7.0123550000000007E-2</v>
      </c>
      <c r="AA5002">
        <v>0.99712970000000001</v>
      </c>
      <c r="AB5002">
        <v>35</v>
      </c>
      <c r="AC5002">
        <v>0.48570000000000801</v>
      </c>
      <c r="AD5002">
        <v>-1.11175912149999</v>
      </c>
      <c r="AE5002">
        <v>-15.454149999999901</v>
      </c>
      <c r="AF5002">
        <v>-0.44905652406093299</v>
      </c>
      <c r="AG5002">
        <v>-1.11175912149999</v>
      </c>
      <c r="AH5002">
        <v>15.375696015719701</v>
      </c>
      <c r="AI5002">
        <v>94.133889859932907</v>
      </c>
      <c r="AJ5002">
        <v>91.672882447813393</v>
      </c>
      <c r="AK5002">
        <v>15.4223762136014</v>
      </c>
      <c r="AL5002">
        <v>82.0450522388781</v>
      </c>
      <c r="AM5002">
        <v>89.638680791593004</v>
      </c>
      <c r="AN5002">
        <v>0.99999999692024699</v>
      </c>
    </row>
    <row r="5003" spans="1:40" x14ac:dyDescent="0.25">
      <c r="A5003" t="str">
        <f>"20190312164128940"</f>
        <v>20190312164128940</v>
      </c>
      <c r="B5003" t="str">
        <f>"1552380088931251"</f>
        <v>1552380088931251</v>
      </c>
      <c r="C5003" t="s">
        <v>40</v>
      </c>
      <c r="D5003">
        <v>5.359591</v>
      </c>
      <c r="E5003">
        <v>0.49543229999999999</v>
      </c>
      <c r="F5003" t="s">
        <v>41</v>
      </c>
      <c r="G5003">
        <v>-421.68490000000003</v>
      </c>
      <c r="H5003" s="1">
        <v>-3.9419149999999997E-6</v>
      </c>
      <c r="I5003">
        <v>87.732770000000002</v>
      </c>
      <c r="J5003">
        <v>-422.1259</v>
      </c>
      <c r="K5003">
        <v>1.111575</v>
      </c>
      <c r="L5003">
        <v>103.3706</v>
      </c>
      <c r="M5003">
        <v>4.383919E-3</v>
      </c>
      <c r="N5003">
        <v>0</v>
      </c>
      <c r="O5003">
        <v>-0.99997539999999996</v>
      </c>
      <c r="P5003">
        <v>-6.5095539999999999E-3</v>
      </c>
      <c r="Q5003">
        <v>0.13397439999999999</v>
      </c>
      <c r="R5003">
        <v>-0.99096379999999995</v>
      </c>
      <c r="S5003">
        <v>8.4930420000000006E-2</v>
      </c>
      <c r="T5003">
        <v>-0.21283389999999999</v>
      </c>
      <c r="U5003">
        <v>-3.055939</v>
      </c>
      <c r="V5003">
        <v>1.000156E-2</v>
      </c>
      <c r="W5003">
        <v>0.13948189999999999</v>
      </c>
      <c r="X5003">
        <v>0.99017409999999995</v>
      </c>
      <c r="Y5003">
        <v>-2.333155E-2</v>
      </c>
      <c r="Z5003">
        <v>6.9453899999999999E-2</v>
      </c>
      <c r="AA5003">
        <v>0.99731230000000004</v>
      </c>
      <c r="AB5003">
        <v>35</v>
      </c>
      <c r="AC5003">
        <v>0.44099999999997402</v>
      </c>
      <c r="AD5003">
        <v>-1.111578941915</v>
      </c>
      <c r="AE5003">
        <v>-15.6378299999999</v>
      </c>
      <c r="AF5003">
        <v>-0.37056885123032102</v>
      </c>
      <c r="AG5003">
        <v>-1.111578941915</v>
      </c>
      <c r="AH5003">
        <v>15.5610494799267</v>
      </c>
      <c r="AI5003">
        <v>94.084738878373301</v>
      </c>
      <c r="AJ5003">
        <v>91.364176562872402</v>
      </c>
      <c r="AK5003">
        <v>15.605101407371199</v>
      </c>
      <c r="AL5003">
        <v>81.982132767455596</v>
      </c>
      <c r="AM5003">
        <v>89.421285924261298</v>
      </c>
      <c r="AN5003">
        <v>0.99999998997042605</v>
      </c>
    </row>
    <row r="5004" spans="1:40" x14ac:dyDescent="0.25">
      <c r="A5004" t="str">
        <f>"20190312164128962"</f>
        <v>20190312164128962</v>
      </c>
      <c r="B5004" t="str">
        <f>"1552380088950771"</f>
        <v>1552380088950771</v>
      </c>
      <c r="C5004" t="s">
        <v>40</v>
      </c>
      <c r="D5004">
        <v>5.4674239999999896</v>
      </c>
      <c r="E5004">
        <v>0.49616389999999999</v>
      </c>
      <c r="F5004" t="s">
        <v>41</v>
      </c>
      <c r="G5004">
        <v>-421.72460000000001</v>
      </c>
      <c r="H5004" s="1">
        <v>-3.6661910000000001E-6</v>
      </c>
      <c r="I5004">
        <v>87.06541</v>
      </c>
      <c r="J5004">
        <v>-422.1223</v>
      </c>
      <c r="K5004">
        <v>1.111372</v>
      </c>
      <c r="L5004">
        <v>103.0134</v>
      </c>
      <c r="M5004">
        <v>6.503694E-3</v>
      </c>
      <c r="N5004">
        <v>0</v>
      </c>
      <c r="O5004">
        <v>-0.99996300000000005</v>
      </c>
      <c r="P5004">
        <v>-8.6224769999999999E-3</v>
      </c>
      <c r="Q5004">
        <v>0.1350027</v>
      </c>
      <c r="R5004">
        <v>-0.99080789999999996</v>
      </c>
      <c r="S5004">
        <v>7.5195310000000001E-2</v>
      </c>
      <c r="T5004">
        <v>-0.2083372</v>
      </c>
      <c r="U5004">
        <v>-3.056</v>
      </c>
      <c r="V5004">
        <v>1.428078E-2</v>
      </c>
      <c r="W5004">
        <v>0.14066129999999999</v>
      </c>
      <c r="X5004">
        <v>0.98995480000000002</v>
      </c>
      <c r="Y5004">
        <v>-1.8039070000000001E-2</v>
      </c>
      <c r="Z5004">
        <v>6.7997370000000001E-2</v>
      </c>
      <c r="AA5004">
        <v>0.99752240000000003</v>
      </c>
      <c r="AB5004">
        <v>35</v>
      </c>
      <c r="AC5004">
        <v>0.39769999999998601</v>
      </c>
      <c r="AD5004">
        <v>-1.1113756661909999</v>
      </c>
      <c r="AE5004">
        <v>-15.947990000000001</v>
      </c>
      <c r="AF5004">
        <v>-0.29254925951383998</v>
      </c>
      <c r="AG5004">
        <v>-1.1113756661909999</v>
      </c>
      <c r="AH5004">
        <v>15.8732013690845</v>
      </c>
      <c r="AI5004">
        <v>94.004398743376598</v>
      </c>
      <c r="AJ5004">
        <v>91.055863904467799</v>
      </c>
      <c r="AK5004">
        <v>15.9147498454782</v>
      </c>
      <c r="AL5004">
        <v>81.913885571239604</v>
      </c>
      <c r="AM5004">
        <v>89.173526234404093</v>
      </c>
      <c r="AN5004">
        <v>1.0000000240190601</v>
      </c>
    </row>
    <row r="5005" spans="1:40" x14ac:dyDescent="0.25">
      <c r="A5005" t="str">
        <f>"20190312164128975"</f>
        <v>20190312164128975</v>
      </c>
      <c r="B5005" t="str">
        <f>"1552380088971268"</f>
        <v>1552380088971268</v>
      </c>
      <c r="C5005" t="s">
        <v>40</v>
      </c>
      <c r="D5005">
        <v>5.4199330000000003</v>
      </c>
      <c r="E5005">
        <v>0.4964015</v>
      </c>
      <c r="F5005" t="s">
        <v>41</v>
      </c>
      <c r="G5005">
        <v>-421.78449999999998</v>
      </c>
      <c r="H5005" s="1">
        <v>-3.387563E-6</v>
      </c>
      <c r="I5005">
        <v>86.378829999999994</v>
      </c>
      <c r="J5005">
        <v>-422.12009999999998</v>
      </c>
      <c r="K5005">
        <v>1.111262</v>
      </c>
      <c r="L5005">
        <v>102.81529999999999</v>
      </c>
      <c r="M5005">
        <v>7.5768659999999998E-3</v>
      </c>
      <c r="N5005">
        <v>0</v>
      </c>
      <c r="O5005">
        <v>-0.99995520000000004</v>
      </c>
      <c r="P5005">
        <v>-9.8444970000000007E-3</v>
      </c>
      <c r="Q5005">
        <v>0.13539010000000001</v>
      </c>
      <c r="R5005">
        <v>-0.99074379999999995</v>
      </c>
      <c r="S5005">
        <v>6.2072750000000003E-2</v>
      </c>
      <c r="T5005">
        <v>-0.20418929999999999</v>
      </c>
      <c r="U5005">
        <v>-3.0562130000000001</v>
      </c>
      <c r="V5005">
        <v>1.6603960000000001E-2</v>
      </c>
      <c r="W5005">
        <v>0.14112769999999999</v>
      </c>
      <c r="X5005">
        <v>0.98985210000000001</v>
      </c>
      <c r="Y5005">
        <v>-1.2685E-2</v>
      </c>
      <c r="Z5005">
        <v>6.6650210000000001E-2</v>
      </c>
      <c r="AA5005">
        <v>0.99769569999999996</v>
      </c>
      <c r="AB5005">
        <v>35</v>
      </c>
      <c r="AC5005">
        <v>0.33559999999999901</v>
      </c>
      <c r="AD5005">
        <v>-1.1112653875630001</v>
      </c>
      <c r="AE5005">
        <v>-16.4364699999999</v>
      </c>
      <c r="AF5005">
        <v>-0.21009148719527401</v>
      </c>
      <c r="AG5005">
        <v>-1.1112653875630001</v>
      </c>
      <c r="AH5005">
        <v>16.363772134839898</v>
      </c>
      <c r="AI5005">
        <v>93.884677967522407</v>
      </c>
      <c r="AJ5005">
        <v>90.735569653541702</v>
      </c>
      <c r="AK5005">
        <v>16.402807310809699</v>
      </c>
      <c r="AL5005">
        <v>81.886892956057693</v>
      </c>
      <c r="AM5005">
        <v>89.039000251283497</v>
      </c>
      <c r="AN5005">
        <v>0.99999994953468896</v>
      </c>
    </row>
    <row r="5006" spans="1:40" x14ac:dyDescent="0.25">
      <c r="A5006" t="str">
        <f>"20190312164128997"</f>
        <v>20190312164128997</v>
      </c>
      <c r="B5006" t="str">
        <f>"1552380088990787"</f>
        <v>1552380088990787</v>
      </c>
      <c r="C5006" t="s">
        <v>40</v>
      </c>
      <c r="D5006">
        <v>5.3928849999999997</v>
      </c>
      <c r="E5006">
        <v>0.49674010000000002</v>
      </c>
      <c r="F5006" t="s">
        <v>41</v>
      </c>
      <c r="G5006">
        <v>-421.80779999999999</v>
      </c>
      <c r="H5006" s="1">
        <v>-3.2417549999999998E-6</v>
      </c>
      <c r="I5006">
        <v>86.02449</v>
      </c>
      <c r="J5006">
        <v>-422.11599999999999</v>
      </c>
      <c r="K5006">
        <v>1.1110719999999901</v>
      </c>
      <c r="L5006">
        <v>102.47320000000001</v>
      </c>
      <c r="M5006">
        <v>9.2307650000000002E-3</v>
      </c>
      <c r="N5006">
        <v>0</v>
      </c>
      <c r="O5006">
        <v>-0.99994079999999996</v>
      </c>
      <c r="P5006">
        <v>-1.2201299999999899E-2</v>
      </c>
      <c r="Q5006">
        <v>0.13680590000000001</v>
      </c>
      <c r="R5006">
        <v>-0.99052320000000005</v>
      </c>
      <c r="S5006">
        <v>5.6854250000000002E-2</v>
      </c>
      <c r="T5006">
        <v>-0.20227110000000001</v>
      </c>
      <c r="U5006">
        <v>-3.056244</v>
      </c>
      <c r="V5006">
        <v>2.0660830000000002E-2</v>
      </c>
      <c r="W5006">
        <v>0.1426684</v>
      </c>
      <c r="X5006">
        <v>0.98955490000000002</v>
      </c>
      <c r="Y5006">
        <v>-9.328734E-3</v>
      </c>
      <c r="Z5006">
        <v>6.6027100000000005E-2</v>
      </c>
      <c r="AA5006">
        <v>0.99777420000000006</v>
      </c>
      <c r="AB5006">
        <v>35</v>
      </c>
      <c r="AC5006">
        <v>0.30819999999999897</v>
      </c>
      <c r="AD5006">
        <v>-1.1110752417549901</v>
      </c>
      <c r="AE5006">
        <v>-16.448709999999998</v>
      </c>
      <c r="AF5006">
        <v>-0.155640279742216</v>
      </c>
      <c r="AG5006">
        <v>-1.1110752417549901</v>
      </c>
      <c r="AH5006">
        <v>16.376160642710399</v>
      </c>
      <c r="AI5006">
        <v>93.881230171813002</v>
      </c>
      <c r="AJ5006">
        <v>90.544527063530893</v>
      </c>
      <c r="AK5006">
        <v>16.4145468863864</v>
      </c>
      <c r="AL5006">
        <v>81.7977155589668</v>
      </c>
      <c r="AM5006">
        <v>88.803900227482103</v>
      </c>
      <c r="AN5006">
        <v>1.00000002118442</v>
      </c>
    </row>
    <row r="5007" spans="1:40" x14ac:dyDescent="0.25">
      <c r="A5007" t="str">
        <f>"20190312164129019"</f>
        <v>20190312164129019</v>
      </c>
      <c r="B5007" t="str">
        <f>"1552380089011287"</f>
        <v>1552380089011287</v>
      </c>
      <c r="C5007" t="s">
        <v>40</v>
      </c>
      <c r="D5007">
        <v>5.4605800000000002</v>
      </c>
      <c r="E5007">
        <v>0.49684499999999998</v>
      </c>
      <c r="F5007" t="s">
        <v>41</v>
      </c>
      <c r="G5007">
        <v>-421.85379999999998</v>
      </c>
      <c r="H5007" s="1">
        <v>-2.9601799999999999E-6</v>
      </c>
      <c r="I5007">
        <v>85.339579999999998</v>
      </c>
      <c r="J5007">
        <v>-422.11149999999998</v>
      </c>
      <c r="K5007">
        <v>1.1108579999999999</v>
      </c>
      <c r="L5007">
        <v>102.1242</v>
      </c>
      <c r="M5007">
        <v>1.061981E-2</v>
      </c>
      <c r="N5007">
        <v>0</v>
      </c>
      <c r="O5007">
        <v>-0.99992630000000005</v>
      </c>
      <c r="P5007">
        <v>-1.474778E-2</v>
      </c>
      <c r="Q5007">
        <v>0.13972999999999999</v>
      </c>
      <c r="R5007">
        <v>-0.99007990000000001</v>
      </c>
      <c r="S5007">
        <v>4.6783449999999997E-2</v>
      </c>
      <c r="T5007">
        <v>-0.19821749999999999</v>
      </c>
      <c r="U5007">
        <v>-3.0566710000000001</v>
      </c>
      <c r="V5007">
        <v>2.464614E-2</v>
      </c>
      <c r="W5007">
        <v>0.14570520000000001</v>
      </c>
      <c r="X5007">
        <v>0.98902100000000004</v>
      </c>
      <c r="Y5007">
        <v>-4.6518849999999997E-3</v>
      </c>
      <c r="Z5007">
        <v>6.4702010000000004E-2</v>
      </c>
      <c r="AA5007">
        <v>0.99789380000000005</v>
      </c>
      <c r="AB5007">
        <v>35</v>
      </c>
      <c r="AC5007">
        <v>0.25769999999999899</v>
      </c>
      <c r="AD5007">
        <v>-1.1108609601799999</v>
      </c>
      <c r="AE5007">
        <v>-16.78462</v>
      </c>
      <c r="AF5007">
        <v>-7.9086571644833403E-2</v>
      </c>
      <c r="AG5007">
        <v>-1.1108609601799999</v>
      </c>
      <c r="AH5007">
        <v>16.713219821050799</v>
      </c>
      <c r="AI5007">
        <v>93.802586066764803</v>
      </c>
      <c r="AJ5007">
        <v>90.271120286764003</v>
      </c>
      <c r="AK5007">
        <v>16.750283088516198</v>
      </c>
      <c r="AL5007">
        <v>81.621882014764395</v>
      </c>
      <c r="AM5007">
        <v>88.572499869480595</v>
      </c>
      <c r="AN5007">
        <v>0.99999998798246903</v>
      </c>
    </row>
    <row r="5008" spans="1:40" x14ac:dyDescent="0.25">
      <c r="A5008" t="str">
        <f>"20190312164129041"</f>
        <v>20190312164129041</v>
      </c>
      <c r="B5008" t="str">
        <f>"1552380089030803"</f>
        <v>1552380089030803</v>
      </c>
      <c r="C5008" t="s">
        <v>40</v>
      </c>
      <c r="D5008">
        <v>5.3597210000000004</v>
      </c>
      <c r="E5008">
        <v>0.49687179999999997</v>
      </c>
      <c r="F5008" t="s">
        <v>42</v>
      </c>
      <c r="G5008">
        <v>-422.09870000000001</v>
      </c>
      <c r="H5008">
        <v>1.046783</v>
      </c>
      <c r="I5008">
        <v>101.0878</v>
      </c>
      <c r="J5008">
        <v>-422.10660000000001</v>
      </c>
      <c r="K5008">
        <v>1.110619</v>
      </c>
      <c r="L5008">
        <v>101.768</v>
      </c>
      <c r="M5008">
        <v>1.1716529999999999E-2</v>
      </c>
      <c r="N5008">
        <v>0</v>
      </c>
      <c r="O5008">
        <v>-0.9999133</v>
      </c>
      <c r="P5008">
        <v>-1.6804739999999999E-2</v>
      </c>
      <c r="Q5008">
        <v>0.14249819999999999</v>
      </c>
      <c r="R5008">
        <v>-0.98965270000000005</v>
      </c>
      <c r="S5008">
        <v>3.7780759999999997E-2</v>
      </c>
      <c r="T5008">
        <v>-0.18901660000000001</v>
      </c>
      <c r="U5008">
        <v>-3.057312</v>
      </c>
      <c r="V5008">
        <v>2.786489E-2</v>
      </c>
      <c r="W5008">
        <v>0.14857239999999999</v>
      </c>
      <c r="X5008">
        <v>0.98850890000000002</v>
      </c>
      <c r="Y5008">
        <v>-6.163246E-4</v>
      </c>
      <c r="Z5008">
        <v>6.1697929999999998E-2</v>
      </c>
      <c r="AA5008">
        <v>0.9980947</v>
      </c>
      <c r="AB5008">
        <v>35</v>
      </c>
      <c r="AC5008">
        <v>7.9000000000064505E-3</v>
      </c>
      <c r="AD5008">
        <v>-6.3836000000000004E-2</v>
      </c>
      <c r="AE5008">
        <v>-0.68019999999998404</v>
      </c>
      <c r="AF5008" s="1">
        <v>6.9656480546898699E-5</v>
      </c>
      <c r="AG5008">
        <v>-6.3836000000000004E-2</v>
      </c>
      <c r="AH5008">
        <v>0.67430763337840904</v>
      </c>
      <c r="AI5008">
        <v>95.4080141379266</v>
      </c>
      <c r="AJ5008">
        <v>89.994081303340906</v>
      </c>
      <c r="AK5008">
        <v>0.67732254072961195</v>
      </c>
      <c r="AL5008">
        <v>81.455796128092402</v>
      </c>
      <c r="AM5008">
        <v>88.385327719455702</v>
      </c>
      <c r="AN5008">
        <v>1.00000002775784</v>
      </c>
    </row>
    <row r="5009" spans="1:40" x14ac:dyDescent="0.25">
      <c r="A5009" t="str">
        <f>"20190312164129063"</f>
        <v>20190312164129063</v>
      </c>
      <c r="B5009" t="str">
        <f>"1552380089051300"</f>
        <v>1552380089051300</v>
      </c>
      <c r="C5009" t="s">
        <v>40</v>
      </c>
      <c r="D5009">
        <v>5.2527039999999996</v>
      </c>
      <c r="E5009">
        <v>0.49692550000000002</v>
      </c>
      <c r="F5009" t="s">
        <v>41</v>
      </c>
      <c r="G5009">
        <v>-421.92380000000003</v>
      </c>
      <c r="H5009" s="1">
        <v>-2.0317080000000002E-6</v>
      </c>
      <c r="I5009">
        <v>83.131879999999995</v>
      </c>
      <c r="J5009">
        <v>-422.10169999999999</v>
      </c>
      <c r="K5009">
        <v>1.1103879999999999</v>
      </c>
      <c r="L5009">
        <v>101.4203</v>
      </c>
      <c r="M5009">
        <v>1.254504E-2</v>
      </c>
      <c r="N5009">
        <v>0</v>
      </c>
      <c r="O5009">
        <v>-0.99990259999999997</v>
      </c>
      <c r="P5009">
        <v>-1.942002E-2</v>
      </c>
      <c r="Q5009">
        <v>0.1456606</v>
      </c>
      <c r="R5009">
        <v>-0.98914440000000003</v>
      </c>
      <c r="S5009">
        <v>2.9998779999999999E-2</v>
      </c>
      <c r="T5009">
        <v>-0.18224979999999999</v>
      </c>
      <c r="U5009">
        <v>-3.0581360000000002</v>
      </c>
      <c r="V5009">
        <v>3.1371879999999998E-2</v>
      </c>
      <c r="W5009">
        <v>0.1518214</v>
      </c>
      <c r="X5009">
        <v>0.98790999999999995</v>
      </c>
      <c r="Y5009">
        <v>2.7537820000000002E-3</v>
      </c>
      <c r="Z5009">
        <v>5.9480959999999999E-2</v>
      </c>
      <c r="AA5009">
        <v>0.99822560000000005</v>
      </c>
      <c r="AB5009">
        <v>36</v>
      </c>
      <c r="AC5009">
        <v>0.177899999999965</v>
      </c>
      <c r="AD5009">
        <v>-1.110390031708</v>
      </c>
      <c r="AE5009">
        <v>-18.288419999999899</v>
      </c>
      <c r="AF5009">
        <v>5.1357945765606997E-2</v>
      </c>
      <c r="AG5009">
        <v>-1.110390031708</v>
      </c>
      <c r="AH5009">
        <v>18.222045777931601</v>
      </c>
      <c r="AI5009">
        <v>93.487085889027796</v>
      </c>
      <c r="AJ5009">
        <v>89.838515072288303</v>
      </c>
      <c r="AK5009">
        <v>18.255918382654599</v>
      </c>
      <c r="AL5009">
        <v>81.267506311502501</v>
      </c>
      <c r="AM5009">
        <v>88.181137477871502</v>
      </c>
      <c r="AN5009">
        <v>1.00000005022634</v>
      </c>
    </row>
    <row r="5010" spans="1:40" x14ac:dyDescent="0.25">
      <c r="A5010" t="str">
        <f>"20190312164129075"</f>
        <v>20190312164129075</v>
      </c>
      <c r="B5010" t="str">
        <f>"1552380089070820"</f>
        <v>1552380089070820</v>
      </c>
      <c r="C5010" t="s">
        <v>40</v>
      </c>
      <c r="D5010">
        <v>5.2823039999999999</v>
      </c>
      <c r="E5010">
        <v>0.49693530000000002</v>
      </c>
      <c r="F5010" t="s">
        <v>41</v>
      </c>
      <c r="G5010">
        <v>-421.96730000000002</v>
      </c>
      <c r="H5010" s="1">
        <v>-1.5963029999999999E-6</v>
      </c>
      <c r="I5010">
        <v>82.089969999999994</v>
      </c>
      <c r="J5010">
        <v>-422.09890000000001</v>
      </c>
      <c r="K5010">
        <v>1.1102669999999999</v>
      </c>
      <c r="L5010">
        <v>101.22669999999999</v>
      </c>
      <c r="M5010">
        <v>1.291368E-2</v>
      </c>
      <c r="N5010">
        <v>0</v>
      </c>
      <c r="O5010">
        <v>-0.99989740000000005</v>
      </c>
      <c r="P5010">
        <v>-2.0692680000000001E-2</v>
      </c>
      <c r="Q5010">
        <v>0.146652799999999</v>
      </c>
      <c r="R5010">
        <v>-0.98897170000000001</v>
      </c>
      <c r="S5010">
        <v>2.1270750000000001E-2</v>
      </c>
      <c r="T5010">
        <v>-0.17573069999999999</v>
      </c>
      <c r="U5010">
        <v>-3.0592350000000001</v>
      </c>
      <c r="V5010">
        <v>3.3052789999999999E-2</v>
      </c>
      <c r="W5010">
        <v>0.15285869999999999</v>
      </c>
      <c r="X5010">
        <v>0.9876952</v>
      </c>
      <c r="Y5010">
        <v>5.9728330000000003E-3</v>
      </c>
      <c r="Z5010">
        <v>5.7339790000000002E-2</v>
      </c>
      <c r="AA5010">
        <v>0.99833689999999997</v>
      </c>
      <c r="AB5010">
        <v>36</v>
      </c>
      <c r="AC5010">
        <v>0.131599999999991</v>
      </c>
      <c r="AD5010">
        <v>-1.1102685963029999</v>
      </c>
      <c r="AE5010">
        <v>-19.13673</v>
      </c>
      <c r="AF5010">
        <v>0.115153734583714</v>
      </c>
      <c r="AG5010">
        <v>-1.1102685963029999</v>
      </c>
      <c r="AH5010">
        <v>19.072637266440001</v>
      </c>
      <c r="AI5010">
        <v>93.331518230817494</v>
      </c>
      <c r="AJ5010">
        <v>89.654072862288601</v>
      </c>
      <c r="AK5010">
        <v>19.105272807152499</v>
      </c>
      <c r="AL5010">
        <v>81.207371411463896</v>
      </c>
      <c r="AM5010">
        <v>88.083336937203001</v>
      </c>
      <c r="AN5010">
        <v>1.0000000385977501</v>
      </c>
    </row>
    <row r="5011" spans="1:40" x14ac:dyDescent="0.25">
      <c r="A5011" t="str">
        <f>"20190312164129098"</f>
        <v>20190312164129098</v>
      </c>
      <c r="B5011" t="str">
        <f>"1552380089091315"</f>
        <v>1552380089091315</v>
      </c>
      <c r="C5011" t="s">
        <v>40</v>
      </c>
      <c r="D5011">
        <v>5.6264320000000003</v>
      </c>
      <c r="E5011">
        <v>0.49703530000000001</v>
      </c>
      <c r="F5011" t="s">
        <v>41</v>
      </c>
      <c r="G5011">
        <v>-421.99149999999997</v>
      </c>
      <c r="H5011" s="1">
        <v>-1.4241069999999901E-6</v>
      </c>
      <c r="I5011">
        <v>81.673569999999998</v>
      </c>
      <c r="J5011">
        <v>-422.09379999999999</v>
      </c>
      <c r="K5011">
        <v>1.1100570000000001</v>
      </c>
      <c r="L5011">
        <v>100.8681</v>
      </c>
      <c r="M5011">
        <v>1.340975E-2</v>
      </c>
      <c r="N5011">
        <v>0</v>
      </c>
      <c r="O5011">
        <v>-0.99989059999999996</v>
      </c>
      <c r="P5011">
        <v>-2.348861E-2</v>
      </c>
      <c r="Q5011">
        <v>0.14910129999999999</v>
      </c>
      <c r="R5011">
        <v>-0.98854330000000001</v>
      </c>
      <c r="S5011">
        <v>1.6815190000000001E-2</v>
      </c>
      <c r="T5011">
        <v>-0.17372850000000001</v>
      </c>
      <c r="U5011">
        <v>-3.0595699999999999</v>
      </c>
      <c r="V5011">
        <v>3.6413540000000001E-2</v>
      </c>
      <c r="W5011">
        <v>0.15538829999999901</v>
      </c>
      <c r="X5011">
        <v>0.98718209999999995</v>
      </c>
      <c r="Y5011">
        <v>7.9232959999999998E-3</v>
      </c>
      <c r="Z5011">
        <v>5.6681710000000003E-2</v>
      </c>
      <c r="AA5011">
        <v>0.9983609</v>
      </c>
      <c r="AB5011">
        <v>36</v>
      </c>
      <c r="AC5011">
        <v>0.10230000000001301</v>
      </c>
      <c r="AD5011">
        <v>-1.110058424107</v>
      </c>
      <c r="AE5011">
        <v>-19.19453</v>
      </c>
      <c r="AF5011">
        <v>0.15459104072858501</v>
      </c>
      <c r="AG5011">
        <v>-1.110058424107</v>
      </c>
      <c r="AH5011">
        <v>19.130195971069799</v>
      </c>
      <c r="AI5011">
        <v>93.320841731566802</v>
      </c>
      <c r="AJ5011">
        <v>89.537003102243702</v>
      </c>
      <c r="AK5011">
        <v>19.162998877689802</v>
      </c>
      <c r="AL5011">
        <v>81.060682790091093</v>
      </c>
      <c r="AM5011">
        <v>87.887525813724196</v>
      </c>
      <c r="AN5011">
        <v>0.99999998411631497</v>
      </c>
    </row>
    <row r="5012" spans="1:40" x14ac:dyDescent="0.25">
      <c r="A5012" t="str">
        <f>"20190312164129120"</f>
        <v>20190312164129120</v>
      </c>
      <c r="B5012" t="str">
        <f>"1552380089110835"</f>
        <v>1552380089110835</v>
      </c>
      <c r="C5012" t="s">
        <v>40</v>
      </c>
      <c r="D5012">
        <v>5.3035059999999996</v>
      </c>
      <c r="E5012">
        <v>0.49702619999999997</v>
      </c>
      <c r="F5012" t="s">
        <v>41</v>
      </c>
      <c r="G5012">
        <v>-422.04300000000001</v>
      </c>
      <c r="H5012" s="1">
        <v>-9.2921010000000004E-7</v>
      </c>
      <c r="I5012">
        <v>80.487989999999996</v>
      </c>
      <c r="J5012">
        <v>-422.08870000000002</v>
      </c>
      <c r="K5012">
        <v>1.1098440000000001</v>
      </c>
      <c r="L5012">
        <v>100.5129</v>
      </c>
      <c r="M5012">
        <v>1.3614650000000001E-2</v>
      </c>
      <c r="N5012">
        <v>0</v>
      </c>
      <c r="O5012">
        <v>-0.99988690000000002</v>
      </c>
      <c r="P5012">
        <v>-2.60466E-2</v>
      </c>
      <c r="Q5012">
        <v>0.15097829999999901</v>
      </c>
      <c r="R5012">
        <v>-0.98819409999999996</v>
      </c>
      <c r="S5012">
        <v>7.6293949999999998E-3</v>
      </c>
      <c r="T5012">
        <v>-0.16667580000000001</v>
      </c>
      <c r="U5012">
        <v>-3.0600890000000001</v>
      </c>
      <c r="V5012">
        <v>3.9253669999999997E-2</v>
      </c>
      <c r="W5012">
        <v>0.15734229999999999</v>
      </c>
      <c r="X5012">
        <v>0.98676370000000002</v>
      </c>
      <c r="Y5012">
        <v>1.1125619999999999E-2</v>
      </c>
      <c r="Z5012">
        <v>5.4377700000000001E-2</v>
      </c>
      <c r="AA5012">
        <v>0.99845839999999997</v>
      </c>
      <c r="AB5012">
        <v>36</v>
      </c>
      <c r="AC5012">
        <v>4.5700000000010697E-2</v>
      </c>
      <c r="AD5012">
        <v>-1.1098449292101</v>
      </c>
      <c r="AE5012">
        <v>-20.024909999999998</v>
      </c>
      <c r="AF5012">
        <v>0.22624697582549599</v>
      </c>
      <c r="AG5012">
        <v>-1.1098449292101</v>
      </c>
      <c r="AH5012">
        <v>19.962357432795699</v>
      </c>
      <c r="AI5012">
        <v>93.181987001496495</v>
      </c>
      <c r="AJ5012">
        <v>89.350655758643398</v>
      </c>
      <c r="AK5012">
        <v>19.9944656776734</v>
      </c>
      <c r="AL5012">
        <v>80.947332898532807</v>
      </c>
      <c r="AM5012">
        <v>87.721962828269398</v>
      </c>
      <c r="AN5012">
        <v>1.0000000248077201</v>
      </c>
    </row>
    <row r="5013" spans="1:40" x14ac:dyDescent="0.25">
      <c r="A5013" t="str">
        <f>"20190312164129141"</f>
        <v>20190312164129141</v>
      </c>
      <c r="B5013" t="str">
        <f>"1552380089131332"</f>
        <v>1552380089131332</v>
      </c>
      <c r="C5013" t="s">
        <v>40</v>
      </c>
      <c r="D5013">
        <v>5.2846330000000004</v>
      </c>
      <c r="E5013">
        <v>0.49700529999999998</v>
      </c>
      <c r="F5013" t="s">
        <v>41</v>
      </c>
      <c r="G5013">
        <v>-422.09570000000002</v>
      </c>
      <c r="H5013" s="1">
        <v>-4.5970129999999999E-6</v>
      </c>
      <c r="I5013">
        <v>79.402940000000001</v>
      </c>
      <c r="J5013">
        <v>-422.084</v>
      </c>
      <c r="K5013">
        <v>1.109626</v>
      </c>
      <c r="L5013">
        <v>100.16679999999999</v>
      </c>
      <c r="M5013">
        <v>1.3558789999999999E-2</v>
      </c>
      <c r="N5013">
        <v>0</v>
      </c>
      <c r="O5013">
        <v>-0.99988719999999998</v>
      </c>
      <c r="P5013">
        <v>-2.889605E-2</v>
      </c>
      <c r="Q5013">
        <v>0.15342999999999901</v>
      </c>
      <c r="R5013">
        <v>-0.98773710000000003</v>
      </c>
      <c r="S5013">
        <v>-1.00708E-3</v>
      </c>
      <c r="T5013">
        <v>-0.16089899999999999</v>
      </c>
      <c r="U5013">
        <v>-3.0603940000000001</v>
      </c>
      <c r="V5013">
        <v>4.2128810000000003E-2</v>
      </c>
      <c r="W5013">
        <v>0.159866799999999</v>
      </c>
      <c r="X5013">
        <v>0.98623919999999998</v>
      </c>
      <c r="Y5013">
        <v>1.388766E-2</v>
      </c>
      <c r="Z5013">
        <v>5.2492339999999998E-2</v>
      </c>
      <c r="AA5013">
        <v>0.99852479999999999</v>
      </c>
      <c r="AB5013">
        <v>36</v>
      </c>
      <c r="AC5013">
        <v>-1.17000000000189E-2</v>
      </c>
      <c r="AD5013">
        <v>-1.109630597013</v>
      </c>
      <c r="AE5013">
        <v>-20.763859999999902</v>
      </c>
      <c r="AF5013">
        <v>0.29240255076117599</v>
      </c>
      <c r="AG5013">
        <v>-1.109630597013</v>
      </c>
      <c r="AH5013">
        <v>20.7026681557156</v>
      </c>
      <c r="AI5013">
        <v>93.067722997620706</v>
      </c>
      <c r="AJ5013">
        <v>89.190813567275697</v>
      </c>
      <c r="AK5013">
        <v>20.734445931328899</v>
      </c>
      <c r="AL5013">
        <v>80.800835049055706</v>
      </c>
      <c r="AM5013">
        <v>87.554004697169404</v>
      </c>
      <c r="AN5013">
        <v>0.999999994995448</v>
      </c>
    </row>
    <row r="5014" spans="1:40" x14ac:dyDescent="0.25">
      <c r="A5014" t="str">
        <f>"20190312164129153"</f>
        <v>20190312164129153</v>
      </c>
      <c r="B5014" t="str">
        <f>"1552380089141092"</f>
        <v>1552380089141092</v>
      </c>
      <c r="C5014" t="s">
        <v>40</v>
      </c>
      <c r="D5014">
        <v>5.2528220000000001</v>
      </c>
      <c r="E5014">
        <v>0.49699670000000001</v>
      </c>
      <c r="F5014" t="s">
        <v>41</v>
      </c>
      <c r="G5014">
        <v>-422.15289999999999</v>
      </c>
      <c r="H5014" s="1">
        <v>-4.1562040000000002E-6</v>
      </c>
      <c r="I5014">
        <v>78.077789999999993</v>
      </c>
      <c r="J5014">
        <v>-422.0813</v>
      </c>
      <c r="K5014">
        <v>1.1095029999999999</v>
      </c>
      <c r="L5014">
        <v>99.965850000000003</v>
      </c>
      <c r="M5014">
        <v>1.343137E-2</v>
      </c>
      <c r="N5014">
        <v>0</v>
      </c>
      <c r="O5014">
        <v>-0.99988860000000002</v>
      </c>
      <c r="P5014">
        <v>-3.0137319999999999E-2</v>
      </c>
      <c r="Q5014">
        <v>0.15456619999999999</v>
      </c>
      <c r="R5014">
        <v>-0.98752300000000004</v>
      </c>
      <c r="S5014">
        <v>-9.5520020000000004E-3</v>
      </c>
      <c r="T5014">
        <v>-0.15376020000000001</v>
      </c>
      <c r="U5014">
        <v>-3.0608520000000001</v>
      </c>
      <c r="V5014">
        <v>4.3291749999999997E-2</v>
      </c>
      <c r="W5014">
        <v>0.1610434</v>
      </c>
      <c r="X5014">
        <v>0.98599740000000002</v>
      </c>
      <c r="Y5014">
        <v>1.6548070000000002E-2</v>
      </c>
      <c r="Z5014">
        <v>5.0160839999999998E-2</v>
      </c>
      <c r="AA5014">
        <v>0.99860409999999999</v>
      </c>
      <c r="AB5014">
        <v>36</v>
      </c>
      <c r="AC5014">
        <v>-7.1599999999989394E-2</v>
      </c>
      <c r="AD5014">
        <v>-1.109507156204</v>
      </c>
      <c r="AE5014">
        <v>-21.888059999999999</v>
      </c>
      <c r="AF5014">
        <v>0.364649453750782</v>
      </c>
      <c r="AG5014">
        <v>-1.109507156204</v>
      </c>
      <c r="AH5014">
        <v>21.829035074417298</v>
      </c>
      <c r="AI5014">
        <v>92.909270827104095</v>
      </c>
      <c r="AJ5014">
        <v>89.042975029813704</v>
      </c>
      <c r="AK5014">
        <v>21.860254976416201</v>
      </c>
      <c r="AL5014">
        <v>80.732536051735096</v>
      </c>
      <c r="AM5014">
        <v>87.485954335733595</v>
      </c>
      <c r="AN5014">
        <v>1.0000000125541899</v>
      </c>
    </row>
    <row r="5015" spans="1:40" x14ac:dyDescent="0.25">
      <c r="A5015" t="str">
        <f>"20190312164129165"</f>
        <v>20190312164129165</v>
      </c>
      <c r="B5015" t="str">
        <f>"1552380089161587"</f>
        <v>1552380089161587</v>
      </c>
      <c r="C5015" t="s">
        <v>40</v>
      </c>
      <c r="D5015">
        <v>5.4046459999999996</v>
      </c>
      <c r="E5015">
        <v>0.49693199999999998</v>
      </c>
      <c r="F5015" t="s">
        <v>41</v>
      </c>
      <c r="G5015">
        <v>-422.18040000000002</v>
      </c>
      <c r="H5015" s="1">
        <v>-3.92222E-6</v>
      </c>
      <c r="I5015">
        <v>77.379549999999995</v>
      </c>
      <c r="J5015">
        <v>-422.07889999999998</v>
      </c>
      <c r="K5015">
        <v>1.1093949999999999</v>
      </c>
      <c r="L5015">
        <v>99.779269999999997</v>
      </c>
      <c r="M5015">
        <v>1.324965E-2</v>
      </c>
      <c r="N5015">
        <v>0</v>
      </c>
      <c r="O5015">
        <v>-0.99989059999999996</v>
      </c>
      <c r="P5015">
        <v>-3.2931750000000003E-2</v>
      </c>
      <c r="Q5015">
        <v>0.15638479999999999</v>
      </c>
      <c r="R5015">
        <v>-0.98714729999999995</v>
      </c>
      <c r="S5015">
        <v>-1.3427730000000001E-2</v>
      </c>
      <c r="T5015">
        <v>-0.15036729999999901</v>
      </c>
      <c r="U5015">
        <v>-3.061035</v>
      </c>
      <c r="V5015">
        <v>4.5947509999999997E-2</v>
      </c>
      <c r="W5015">
        <v>0.16289729999999999</v>
      </c>
      <c r="X5015">
        <v>0.98557260000000002</v>
      </c>
      <c r="Y5015">
        <v>1.7630759999999999E-2</v>
      </c>
      <c r="Z5015">
        <v>4.9053340000000001E-2</v>
      </c>
      <c r="AA5015">
        <v>0.99864050000000004</v>
      </c>
      <c r="AB5015">
        <v>36</v>
      </c>
      <c r="AC5015">
        <v>-0.101500000000044</v>
      </c>
      <c r="AD5015">
        <v>-1.10939892222</v>
      </c>
      <c r="AE5015">
        <v>-22.399719999999999</v>
      </c>
      <c r="AF5015">
        <v>0.397311387442007</v>
      </c>
      <c r="AG5015">
        <v>-1.10939892222</v>
      </c>
      <c r="AH5015">
        <v>22.3416068668271</v>
      </c>
      <c r="AI5015">
        <v>92.8423060904518</v>
      </c>
      <c r="AJ5015">
        <v>88.981189379258495</v>
      </c>
      <c r="AK5015">
        <v>22.372662329259601</v>
      </c>
      <c r="AL5015">
        <v>80.624894181319803</v>
      </c>
      <c r="AM5015">
        <v>87.330796711794804</v>
      </c>
      <c r="AN5015">
        <v>1.00000002694662</v>
      </c>
    </row>
    <row r="5016" spans="1:40" x14ac:dyDescent="0.25">
      <c r="A5016" t="str">
        <f>"20190312164129199"</f>
        <v>20190312164129199</v>
      </c>
      <c r="B5016" t="str">
        <f>"1552380089190868"</f>
        <v>1552380089190868</v>
      </c>
      <c r="C5016" t="s">
        <v>40</v>
      </c>
      <c r="D5016">
        <v>5.3403700000000001</v>
      </c>
      <c r="E5016">
        <v>0.49696289999999999</v>
      </c>
      <c r="F5016" t="s">
        <v>41</v>
      </c>
      <c r="G5016">
        <v>-422.24029999999999</v>
      </c>
      <c r="H5016" s="1">
        <v>-3.5821730000000001E-6</v>
      </c>
      <c r="I5016">
        <v>76.549769999999995</v>
      </c>
      <c r="J5016">
        <v>-422.07220000000001</v>
      </c>
      <c r="K5016">
        <v>1.109067</v>
      </c>
      <c r="L5016">
        <v>99.229920000000007</v>
      </c>
      <c r="M5016">
        <v>1.2390689999999999E-2</v>
      </c>
      <c r="N5016">
        <v>0</v>
      </c>
      <c r="O5016">
        <v>-0.99990069999999998</v>
      </c>
      <c r="P5016">
        <v>-3.6870159999999999E-2</v>
      </c>
      <c r="Q5016">
        <v>0.1586882</v>
      </c>
      <c r="R5016">
        <v>-0.98664039999999997</v>
      </c>
      <c r="S5016">
        <v>-2.1270750000000001E-2</v>
      </c>
      <c r="T5016">
        <v>-0.1462128</v>
      </c>
      <c r="U5016">
        <v>-3.0615230000000002</v>
      </c>
      <c r="V5016">
        <v>4.9170709999999999E-2</v>
      </c>
      <c r="W5016">
        <v>0.16529630000000001</v>
      </c>
      <c r="X5016">
        <v>0.98501749999999999</v>
      </c>
      <c r="Y5016">
        <v>1.9329829999999999E-2</v>
      </c>
      <c r="Z5016">
        <v>4.7693289999999999E-2</v>
      </c>
      <c r="AA5016">
        <v>0.99867499999999998</v>
      </c>
      <c r="AB5016">
        <v>36</v>
      </c>
      <c r="AC5016">
        <v>-0.16809999999998099</v>
      </c>
      <c r="AD5016">
        <v>-1.109070582173</v>
      </c>
      <c r="AE5016">
        <v>-22.680150000000001</v>
      </c>
      <c r="AF5016">
        <v>0.44804480229642002</v>
      </c>
      <c r="AG5016">
        <v>-1.109070582173</v>
      </c>
      <c r="AH5016">
        <v>22.622233264128798</v>
      </c>
      <c r="AI5016">
        <v>92.806168428211095</v>
      </c>
      <c r="AJ5016">
        <v>88.865376369706794</v>
      </c>
      <c r="AK5016">
        <v>22.6538345442391</v>
      </c>
      <c r="AL5016">
        <v>80.485552919062997</v>
      </c>
      <c r="AM5016">
        <v>87.142246143632306</v>
      </c>
      <c r="AN5016">
        <v>1.0000000504109201</v>
      </c>
    </row>
    <row r="5017" spans="1:40" x14ac:dyDescent="0.25">
      <c r="A5017" t="str">
        <f>"20190312164129220"</f>
        <v>20190312164129220</v>
      </c>
      <c r="B5017" t="str">
        <f>"1552380089211364"</f>
        <v>1552380089211364</v>
      </c>
      <c r="C5017" t="s">
        <v>40</v>
      </c>
      <c r="D5017">
        <v>5.2298309999999999</v>
      </c>
      <c r="E5017">
        <v>0.49730279999999999</v>
      </c>
      <c r="F5017" t="s">
        <v>41</v>
      </c>
      <c r="G5017">
        <v>-422.33330000000001</v>
      </c>
      <c r="H5017" s="1">
        <v>-3.0554380000000002E-6</v>
      </c>
      <c r="I5017">
        <v>75.264240000000001</v>
      </c>
      <c r="J5017">
        <v>-422.06869999999998</v>
      </c>
      <c r="K5017">
        <v>1.108868</v>
      </c>
      <c r="L5017">
        <v>98.892849999999996</v>
      </c>
      <c r="M5017">
        <v>1.15903E-2</v>
      </c>
      <c r="N5017">
        <v>0</v>
      </c>
      <c r="O5017">
        <v>-0.99990990000000002</v>
      </c>
      <c r="P5017">
        <v>-3.8917609999999998E-2</v>
      </c>
      <c r="Q5017">
        <v>0.1600509</v>
      </c>
      <c r="R5017">
        <v>-0.98634169999999999</v>
      </c>
      <c r="S5017">
        <v>-3.3355709999999997E-2</v>
      </c>
      <c r="T5017">
        <v>-0.1417091</v>
      </c>
      <c r="U5017">
        <v>-3.0621640000000001</v>
      </c>
      <c r="V5017">
        <v>5.0511109999999998E-2</v>
      </c>
      <c r="W5017">
        <v>0.16671629999999901</v>
      </c>
      <c r="X5017">
        <v>0.98471030000000004</v>
      </c>
      <c r="Y5017">
        <v>2.2469719999999999E-2</v>
      </c>
      <c r="Z5017">
        <v>4.6216090000000001E-2</v>
      </c>
      <c r="AA5017">
        <v>0.99867870000000003</v>
      </c>
      <c r="AB5017">
        <v>36</v>
      </c>
      <c r="AC5017">
        <v>-0.26460000000002898</v>
      </c>
      <c r="AD5017">
        <v>-1.1088710554379999</v>
      </c>
      <c r="AE5017">
        <v>-23.628609999999899</v>
      </c>
      <c r="AF5017">
        <v>0.537268081613406</v>
      </c>
      <c r="AG5017">
        <v>-1.1088710554379999</v>
      </c>
      <c r="AH5017">
        <v>23.5720486137104</v>
      </c>
      <c r="AI5017">
        <v>92.692611467294398</v>
      </c>
      <c r="AJ5017">
        <v>88.694306758701202</v>
      </c>
      <c r="AK5017">
        <v>23.6042311430861</v>
      </c>
      <c r="AL5017">
        <v>80.403047989026106</v>
      </c>
      <c r="AM5017">
        <v>87.063563660868297</v>
      </c>
      <c r="AN5017">
        <v>1.0000000359226</v>
      </c>
    </row>
    <row r="5018" spans="1:40" x14ac:dyDescent="0.25">
      <c r="A5018" t="str">
        <f>"20190312164129242"</f>
        <v>20190312164129242</v>
      </c>
      <c r="B5018" t="str">
        <f>"1552380089230884"</f>
        <v>1552380089230884</v>
      </c>
      <c r="C5018" t="s">
        <v>40</v>
      </c>
      <c r="D5018">
        <v>5.2749100000000002</v>
      </c>
      <c r="E5018">
        <v>0.49765720000000002</v>
      </c>
      <c r="F5018" t="s">
        <v>41</v>
      </c>
      <c r="G5018">
        <v>-422.4074</v>
      </c>
      <c r="H5018" s="1">
        <v>-2.804072E-6</v>
      </c>
      <c r="I5018">
        <v>74.632339999999999</v>
      </c>
      <c r="J5018">
        <v>-422.06529999999998</v>
      </c>
      <c r="K5018">
        <v>1.108676</v>
      </c>
      <c r="L5018">
        <v>98.529110000000003</v>
      </c>
      <c r="M5018">
        <v>1.054777E-2</v>
      </c>
      <c r="N5018">
        <v>0</v>
      </c>
      <c r="O5018">
        <v>-0.99992049999999999</v>
      </c>
      <c r="P5018">
        <v>-4.119482E-2</v>
      </c>
      <c r="Q5018">
        <v>0.16038160000000001</v>
      </c>
      <c r="R5018">
        <v>-0.9861953</v>
      </c>
      <c r="S5018">
        <v>-4.2755130000000002E-2</v>
      </c>
      <c r="T5018">
        <v>-0.13997999999999999</v>
      </c>
      <c r="U5018">
        <v>-3.0625610000000001</v>
      </c>
      <c r="V5018">
        <v>5.1843640000000003E-2</v>
      </c>
      <c r="W5018">
        <v>0.1671089</v>
      </c>
      <c r="X5018">
        <v>0.98457439999999996</v>
      </c>
      <c r="Y5018">
        <v>2.4490890000000001E-2</v>
      </c>
      <c r="Z5018">
        <v>4.5646279999999997E-2</v>
      </c>
      <c r="AA5018">
        <v>0.99865740000000003</v>
      </c>
      <c r="AB5018">
        <v>36</v>
      </c>
      <c r="AC5018">
        <v>-0.342100000000016</v>
      </c>
      <c r="AD5018">
        <v>-1.1086788040719999</v>
      </c>
      <c r="AE5018">
        <v>-23.89677</v>
      </c>
      <c r="AF5018">
        <v>0.59286875971091901</v>
      </c>
      <c r="AG5018">
        <v>-1.1086788040719999</v>
      </c>
      <c r="AH5018">
        <v>23.840527069111701</v>
      </c>
      <c r="AI5018">
        <v>92.661740375183996</v>
      </c>
      <c r="AJ5018">
        <v>88.575456076950999</v>
      </c>
      <c r="AK5018">
        <v>23.873654789116099</v>
      </c>
      <c r="AL5018">
        <v>80.380232768830396</v>
      </c>
      <c r="AM5018">
        <v>86.985823500354201</v>
      </c>
      <c r="AN5018">
        <v>0.99999994830150796</v>
      </c>
    </row>
    <row r="5019" spans="1:40" x14ac:dyDescent="0.25">
      <c r="A5019" t="str">
        <f>"20190312164129265"</f>
        <v>20190312164129265</v>
      </c>
      <c r="B5019" t="str">
        <f>"1552380089261139"</f>
        <v>1552380089261139</v>
      </c>
      <c r="C5019" t="s">
        <v>40</v>
      </c>
      <c r="D5019">
        <v>5.2708640000000004</v>
      </c>
      <c r="E5019">
        <v>0.4980888</v>
      </c>
      <c r="F5019" t="s">
        <v>41</v>
      </c>
      <c r="G5019">
        <v>-422.48250000000002</v>
      </c>
      <c r="H5019" s="1">
        <v>-2.8000299999999999E-6</v>
      </c>
      <c r="I5019">
        <v>74.576329999999999</v>
      </c>
      <c r="J5019">
        <v>-422.0625</v>
      </c>
      <c r="K5019">
        <v>1.1084940000000001</v>
      </c>
      <c r="L5019">
        <v>98.172820000000002</v>
      </c>
      <c r="M5019">
        <v>9.3445290000000007E-3</v>
      </c>
      <c r="N5019">
        <v>0</v>
      </c>
      <c r="O5019">
        <v>-0.99993189999999998</v>
      </c>
      <c r="P5019">
        <v>-4.2766470000000001E-2</v>
      </c>
      <c r="Q5019">
        <v>0.15995299999999901</v>
      </c>
      <c r="R5019">
        <v>-0.98619769999999896</v>
      </c>
      <c r="S5019">
        <v>-5.334473E-2</v>
      </c>
      <c r="T5019">
        <v>-0.1417651</v>
      </c>
      <c r="U5019">
        <v>-3.062805</v>
      </c>
      <c r="V5019">
        <v>5.2307649999999997E-2</v>
      </c>
      <c r="W5019">
        <v>0.1667389</v>
      </c>
      <c r="X5019">
        <v>0.98461259999999995</v>
      </c>
      <c r="Y5019">
        <v>2.673828E-2</v>
      </c>
      <c r="Z5019">
        <v>4.6221749999999999E-2</v>
      </c>
      <c r="AA5019">
        <v>0.9985733</v>
      </c>
      <c r="AB5019">
        <v>36</v>
      </c>
      <c r="AC5019">
        <v>-0.42000000000001497</v>
      </c>
      <c r="AD5019">
        <v>-1.10849680003</v>
      </c>
      <c r="AE5019">
        <v>-23.596489999999999</v>
      </c>
      <c r="AF5019">
        <v>0.63907523459634696</v>
      </c>
      <c r="AG5019">
        <v>-1.10849680003</v>
      </c>
      <c r="AH5019">
        <v>23.539602833206001</v>
      </c>
      <c r="AI5019">
        <v>92.6951160808688</v>
      </c>
      <c r="AJ5019">
        <v>88.444862397640193</v>
      </c>
      <c r="AK5019">
        <v>23.574352246800601</v>
      </c>
      <c r="AL5019">
        <v>80.401734002062696</v>
      </c>
      <c r="AM5019">
        <v>86.959014251750204</v>
      </c>
      <c r="AN5019">
        <v>0.99999996155024495</v>
      </c>
    </row>
    <row r="5020" spans="1:40" x14ac:dyDescent="0.25">
      <c r="A5020" t="str">
        <f>"20190312164129287"</f>
        <v>20190312164129287</v>
      </c>
      <c r="B5020" t="str">
        <f>"1552380089281636"</f>
        <v>1552380089281636</v>
      </c>
      <c r="C5020" t="s">
        <v>40</v>
      </c>
      <c r="D5020">
        <v>5.2711959999999998</v>
      </c>
      <c r="E5020">
        <v>0.49833569999999999</v>
      </c>
      <c r="F5020" t="s">
        <v>41</v>
      </c>
      <c r="G5020">
        <v>-422.53199999999998</v>
      </c>
      <c r="H5020" s="1">
        <v>-2.9732979999999999E-6</v>
      </c>
      <c r="I5020">
        <v>74.949519999999893</v>
      </c>
      <c r="J5020">
        <v>-422.06020000000001</v>
      </c>
      <c r="K5020">
        <v>1.1082970000000001</v>
      </c>
      <c r="L5020">
        <v>97.794160000000005</v>
      </c>
      <c r="M5020">
        <v>7.8718439999999994E-3</v>
      </c>
      <c r="N5020">
        <v>0</v>
      </c>
      <c r="O5020">
        <v>-0.99994400000000006</v>
      </c>
      <c r="P5020">
        <v>-4.4149430000000003E-2</v>
      </c>
      <c r="Q5020">
        <v>0.15984799999999999</v>
      </c>
      <c r="R5020">
        <v>-0.98615410000000003</v>
      </c>
      <c r="S5020">
        <v>-6.1920169999999997E-2</v>
      </c>
      <c r="T5020">
        <v>-0.14620439999999901</v>
      </c>
      <c r="U5020">
        <v>-3.0630190000000002</v>
      </c>
      <c r="V5020">
        <v>5.23198E-2</v>
      </c>
      <c r="W5020">
        <v>0.16669519999999999</v>
      </c>
      <c r="X5020">
        <v>0.98461940000000003</v>
      </c>
      <c r="Y5020">
        <v>2.8058110000000001E-2</v>
      </c>
      <c r="Z5020">
        <v>4.7661370000000002E-2</v>
      </c>
      <c r="AA5020">
        <v>0.99846939999999995</v>
      </c>
      <c r="AB5020">
        <v>36</v>
      </c>
      <c r="AC5020">
        <v>-0.47179999999997302</v>
      </c>
      <c r="AD5020">
        <v>-1.1082999732979999</v>
      </c>
      <c r="AE5020">
        <v>-22.844639999999998</v>
      </c>
      <c r="AF5020">
        <v>0.65008987605678503</v>
      </c>
      <c r="AG5020">
        <v>-1.1082999732979999</v>
      </c>
      <c r="AH5020">
        <v>22.786608784511898</v>
      </c>
      <c r="AI5020">
        <v>92.783439268745695</v>
      </c>
      <c r="AJ5020">
        <v>88.365825038531</v>
      </c>
      <c r="AK5020">
        <v>22.822806259883102</v>
      </c>
      <c r="AL5020">
        <v>80.4042738070941</v>
      </c>
      <c r="AM5020">
        <v>86.958330186189301</v>
      </c>
      <c r="AN5020">
        <v>1.00000000701572</v>
      </c>
    </row>
    <row r="5021" spans="1:40" x14ac:dyDescent="0.25">
      <c r="A5021" t="str">
        <f>"20190312164129311"</f>
        <v>20190312164129311</v>
      </c>
      <c r="B5021" t="str">
        <f>"1552380089301156"</f>
        <v>1552380089301156</v>
      </c>
      <c r="C5021" t="s">
        <v>40</v>
      </c>
      <c r="D5021">
        <v>5.3020940000000003</v>
      </c>
      <c r="E5021">
        <v>0.4984712</v>
      </c>
      <c r="F5021" t="s">
        <v>41</v>
      </c>
      <c r="G5021">
        <v>-422.5668</v>
      </c>
      <c r="H5021" s="1">
        <v>-2.9664789999999999E-6</v>
      </c>
      <c r="I5021">
        <v>74.912059999999997</v>
      </c>
      <c r="J5021">
        <v>-422.05849999999998</v>
      </c>
      <c r="K5021">
        <v>1.108104</v>
      </c>
      <c r="L5021">
        <v>97.400970000000001</v>
      </c>
      <c r="M5021">
        <v>6.154105E-3</v>
      </c>
      <c r="N5021">
        <v>0</v>
      </c>
      <c r="O5021">
        <v>-0.9999555</v>
      </c>
      <c r="P5021">
        <v>-4.5926950000000001E-2</v>
      </c>
      <c r="Q5021">
        <v>0.1593126</v>
      </c>
      <c r="R5021">
        <v>-0.98615940000000002</v>
      </c>
      <c r="S5021">
        <v>-6.7810060000000005E-2</v>
      </c>
      <c r="T5021">
        <v>-0.14836389999999999</v>
      </c>
      <c r="U5021">
        <v>-3.0631409999999999</v>
      </c>
      <c r="V5021">
        <v>5.24839E-2</v>
      </c>
      <c r="W5021">
        <v>0.1662226</v>
      </c>
      <c r="X5021">
        <v>0.98469050000000002</v>
      </c>
      <c r="Y5021">
        <v>2.8258439999999999E-2</v>
      </c>
      <c r="Z5021">
        <v>4.836157E-2</v>
      </c>
      <c r="AA5021">
        <v>0.99843009999999999</v>
      </c>
      <c r="AB5021">
        <v>37</v>
      </c>
      <c r="AC5021">
        <v>-0.50830000000001896</v>
      </c>
      <c r="AD5021">
        <v>-1.108106966479</v>
      </c>
      <c r="AE5021">
        <v>-22.488910000000001</v>
      </c>
      <c r="AF5021">
        <v>0.64512753531975797</v>
      </c>
      <c r="AG5021">
        <v>-1.108106966479</v>
      </c>
      <c r="AH5021">
        <v>22.430924198907501</v>
      </c>
      <c r="AI5021">
        <v>92.826994603241403</v>
      </c>
      <c r="AJ5021">
        <v>88.352591354866703</v>
      </c>
      <c r="AK5021">
        <v>22.4675421664925</v>
      </c>
      <c r="AL5021">
        <v>80.43173433618</v>
      </c>
      <c r="AM5021">
        <v>86.949027944774699</v>
      </c>
      <c r="AN5021">
        <v>0.99999994665010805</v>
      </c>
    </row>
    <row r="5022" spans="1:40" x14ac:dyDescent="0.25">
      <c r="A5022" t="str">
        <f>"20190312164129331"</f>
        <v>20190312164129331</v>
      </c>
      <c r="B5022" t="str">
        <f>"1552380089321652"</f>
        <v>1552380089321652</v>
      </c>
      <c r="C5022" t="s">
        <v>40</v>
      </c>
      <c r="D5022">
        <v>5.3069810000000004</v>
      </c>
      <c r="E5022">
        <v>0.49867010000000001</v>
      </c>
      <c r="F5022" t="s">
        <v>41</v>
      </c>
      <c r="G5022">
        <v>-422.60390000000001</v>
      </c>
      <c r="H5022" s="1">
        <v>-2.983329E-6</v>
      </c>
      <c r="I5022">
        <v>74.928280000000001</v>
      </c>
      <c r="J5022">
        <v>-422.05779999999999</v>
      </c>
      <c r="K5022">
        <v>1.1079479999999999</v>
      </c>
      <c r="L5022">
        <v>97.069270000000003</v>
      </c>
      <c r="M5022">
        <v>4.573354E-3</v>
      </c>
      <c r="N5022">
        <v>0</v>
      </c>
      <c r="O5022">
        <v>-0.9999633</v>
      </c>
      <c r="P5022">
        <v>-4.7152289999999999E-2</v>
      </c>
      <c r="Q5022">
        <v>0.1594631</v>
      </c>
      <c r="R5022">
        <v>-0.98607719999999999</v>
      </c>
      <c r="S5022">
        <v>-7.4340820000000002E-2</v>
      </c>
      <c r="T5022">
        <v>-0.151036</v>
      </c>
      <c r="U5022">
        <v>-3.0630489999999999</v>
      </c>
      <c r="V5022">
        <v>5.2214679999999999E-2</v>
      </c>
      <c r="W5022">
        <v>0.16642950000000001</v>
      </c>
      <c r="X5022">
        <v>0.98466989999999999</v>
      </c>
      <c r="Y5022">
        <v>2.8805509999999999E-2</v>
      </c>
      <c r="Z5022">
        <v>4.9230980000000001E-2</v>
      </c>
      <c r="AA5022">
        <v>0.99837200000000004</v>
      </c>
      <c r="AB5022">
        <v>37</v>
      </c>
      <c r="AC5022">
        <v>-0.54610000000002401</v>
      </c>
      <c r="AD5022">
        <v>-1.107950983329</v>
      </c>
      <c r="AE5022">
        <v>-22.140989999999899</v>
      </c>
      <c r="AF5022">
        <v>0.64573953515077198</v>
      </c>
      <c r="AG5022">
        <v>-1.107950983329</v>
      </c>
      <c r="AH5022">
        <v>22.082997044862299</v>
      </c>
      <c r="AI5022">
        <v>92.871017694990002</v>
      </c>
      <c r="AJ5022">
        <v>88.325063844548893</v>
      </c>
      <c r="AK5022">
        <v>22.120201025581</v>
      </c>
      <c r="AL5022">
        <v>80.419712720864197</v>
      </c>
      <c r="AM5022">
        <v>86.964585405097495</v>
      </c>
      <c r="AN5022">
        <v>0.99999998162188097</v>
      </c>
    </row>
    <row r="5023" spans="1:40" x14ac:dyDescent="0.25">
      <c r="A5023" t="str">
        <f>"20190312164129353"</f>
        <v>20190312164129353</v>
      </c>
      <c r="B5023" t="str">
        <f>"1552380089341172"</f>
        <v>1552380089341172</v>
      </c>
      <c r="C5023" t="s">
        <v>40</v>
      </c>
      <c r="D5023">
        <v>5.3044279999999997</v>
      </c>
      <c r="E5023">
        <v>0.4988784</v>
      </c>
      <c r="F5023" t="s">
        <v>41</v>
      </c>
      <c r="G5023">
        <v>-422.62920000000003</v>
      </c>
      <c r="H5023" s="1">
        <v>-2.9954550000000002E-6</v>
      </c>
      <c r="I5023">
        <v>74.940889999999996</v>
      </c>
      <c r="J5023">
        <v>-422.05770000000001</v>
      </c>
      <c r="K5023">
        <v>1.107809</v>
      </c>
      <c r="L5023">
        <v>96.707059999999998</v>
      </c>
      <c r="M5023">
        <v>2.741495E-3</v>
      </c>
      <c r="N5023">
        <v>0</v>
      </c>
      <c r="O5023">
        <v>-0.99996940000000001</v>
      </c>
      <c r="P5023">
        <v>-4.8614780000000003E-2</v>
      </c>
      <c r="Q5023">
        <v>0.15983020000000001</v>
      </c>
      <c r="R5023">
        <v>-0.98594700000000002</v>
      </c>
      <c r="S5023">
        <v>-7.9101560000000001E-2</v>
      </c>
      <c r="T5023">
        <v>-0.15337979999999901</v>
      </c>
      <c r="U5023">
        <v>-3.0633539999999999</v>
      </c>
      <c r="V5023">
        <v>5.1934059999999997E-2</v>
      </c>
      <c r="W5023">
        <v>0.1668625</v>
      </c>
      <c r="X5023">
        <v>0.98461149999999997</v>
      </c>
      <c r="Y5023">
        <v>2.8521560000000001E-2</v>
      </c>
      <c r="Z5023">
        <v>4.9987820000000002E-2</v>
      </c>
      <c r="AA5023">
        <v>0.99834250000000002</v>
      </c>
      <c r="AB5023">
        <v>37</v>
      </c>
      <c r="AC5023">
        <v>-0.571500000000014</v>
      </c>
      <c r="AD5023">
        <v>-1.1078119954549901</v>
      </c>
      <c r="AE5023">
        <v>-21.766169999999999</v>
      </c>
      <c r="AF5023">
        <v>0.62954165425230602</v>
      </c>
      <c r="AG5023">
        <v>-1.1078119954549901</v>
      </c>
      <c r="AH5023">
        <v>21.708326721410199</v>
      </c>
      <c r="AI5023">
        <v>92.920139118440204</v>
      </c>
      <c r="AJ5023">
        <v>88.338887481890197</v>
      </c>
      <c r="AK5023">
        <v>21.745689668419502</v>
      </c>
      <c r="AL5023">
        <v>80.394552220749702</v>
      </c>
      <c r="AM5023">
        <v>86.980689783846799</v>
      </c>
      <c r="AN5023">
        <v>1.00000002321329</v>
      </c>
    </row>
    <row r="5024" spans="1:40" x14ac:dyDescent="0.25">
      <c r="A5024" t="str">
        <f>"20190312164129376"</f>
        <v>20190312164129376</v>
      </c>
      <c r="B5024" t="str">
        <f>"1552380089371431"</f>
        <v>1552380089371431</v>
      </c>
      <c r="C5024" t="s">
        <v>40</v>
      </c>
      <c r="D5024">
        <v>5.3473759999999997</v>
      </c>
      <c r="E5024">
        <v>0.49924209999999902</v>
      </c>
      <c r="F5024" t="s">
        <v>41</v>
      </c>
      <c r="G5024">
        <v>-422.66469999999998</v>
      </c>
      <c r="H5024" s="1">
        <v>-2.9049330000000002E-6</v>
      </c>
      <c r="I5024">
        <v>74.707859999999997</v>
      </c>
      <c r="J5024">
        <v>-422.05829999999997</v>
      </c>
      <c r="K5024">
        <v>1.1076889999999999</v>
      </c>
      <c r="L5024">
        <v>96.332549999999998</v>
      </c>
      <c r="M5024">
        <v>7.593961E-4</v>
      </c>
      <c r="N5024">
        <v>0</v>
      </c>
      <c r="O5024">
        <v>-0.99997230000000004</v>
      </c>
      <c r="P5024">
        <v>-5.0159740000000001E-2</v>
      </c>
      <c r="Q5024">
        <v>0.1602915</v>
      </c>
      <c r="R5024">
        <v>-0.98579459999999997</v>
      </c>
      <c r="S5024">
        <v>-8.4533689999999995E-2</v>
      </c>
      <c r="T5024">
        <v>-0.15427170000000001</v>
      </c>
      <c r="U5024">
        <v>-3.0635680000000001</v>
      </c>
      <c r="V5024">
        <v>5.1579809999999997E-2</v>
      </c>
      <c r="W5024">
        <v>0.16739519999999999</v>
      </c>
      <c r="X5024">
        <v>0.98453970000000002</v>
      </c>
      <c r="Y5024">
        <v>2.8306959999999999E-2</v>
      </c>
      <c r="Z5024">
        <v>5.027351E-2</v>
      </c>
      <c r="AA5024">
        <v>0.99833419999999895</v>
      </c>
      <c r="AB5024">
        <v>37</v>
      </c>
      <c r="AC5024">
        <v>-0.60640000000000704</v>
      </c>
      <c r="AD5024">
        <v>-1.1076919049329901</v>
      </c>
      <c r="AE5024">
        <v>-21.624690000000001</v>
      </c>
      <c r="AF5024">
        <v>0.621193346151801</v>
      </c>
      <c r="AG5024">
        <v>-1.1076919049329901</v>
      </c>
      <c r="AH5024">
        <v>21.5676774753953</v>
      </c>
      <c r="AI5024">
        <v>92.938847648060701</v>
      </c>
      <c r="AJ5024">
        <v>88.350220132797006</v>
      </c>
      <c r="AK5024">
        <v>21.6050358530652</v>
      </c>
      <c r="AL5024">
        <v>80.363595373503898</v>
      </c>
      <c r="AM5024">
        <v>87.001028939969302</v>
      </c>
      <c r="AN5024">
        <v>1.0000000253293799</v>
      </c>
    </row>
    <row r="5025" spans="1:40" x14ac:dyDescent="0.25">
      <c r="A5025" t="str">
        <f>"20190312164129399"</f>
        <v>20190312164129399</v>
      </c>
      <c r="B5025" t="str">
        <f>"1552380089390947"</f>
        <v>1552380089390947</v>
      </c>
      <c r="C5025" t="s">
        <v>40</v>
      </c>
      <c r="D5025">
        <v>5.3786060000000004</v>
      </c>
      <c r="E5025">
        <v>0.49946410000000002</v>
      </c>
      <c r="F5025" t="s">
        <v>41</v>
      </c>
      <c r="G5025">
        <v>-422.70979999999997</v>
      </c>
      <c r="H5025" s="1">
        <v>-2.7372689999999998E-6</v>
      </c>
      <c r="I5025">
        <v>74.289069999999995</v>
      </c>
      <c r="J5025">
        <v>-422.05970000000002</v>
      </c>
      <c r="K5025">
        <v>1.10759599999999</v>
      </c>
      <c r="L5025">
        <v>95.95917</v>
      </c>
      <c r="M5025">
        <v>-1.2802130000000001E-3</v>
      </c>
      <c r="N5025">
        <v>0</v>
      </c>
      <c r="O5025">
        <v>-0.9999711</v>
      </c>
      <c r="P5025">
        <v>-5.1742660000000003E-2</v>
      </c>
      <c r="Q5025">
        <v>0.16050010000000001</v>
      </c>
      <c r="R5025">
        <v>-0.98567890000000002</v>
      </c>
      <c r="S5025">
        <v>-9.0545650000000005E-2</v>
      </c>
      <c r="T5025">
        <v>-0.1539499</v>
      </c>
      <c r="U5025">
        <v>-3.06366</v>
      </c>
      <c r="V5025">
        <v>5.1194450000000002E-2</v>
      </c>
      <c r="W5025">
        <v>0.1676754</v>
      </c>
      <c r="X5025">
        <v>0.9845121</v>
      </c>
      <c r="Y5025">
        <v>2.8224929999999999E-2</v>
      </c>
      <c r="Z5025">
        <v>5.0166009999999997E-2</v>
      </c>
      <c r="AA5025">
        <v>0.99834199999999995</v>
      </c>
      <c r="AB5025">
        <v>37</v>
      </c>
      <c r="AC5025">
        <v>-0.65009999999995205</v>
      </c>
      <c r="AD5025">
        <v>-1.1075987372689899</v>
      </c>
      <c r="AE5025">
        <v>-21.670100000000001</v>
      </c>
      <c r="AF5025">
        <v>0.62073617871334197</v>
      </c>
      <c r="AG5025">
        <v>-1.1075987372689899</v>
      </c>
      <c r="AH5025">
        <v>21.614499144805499</v>
      </c>
      <c r="AI5025">
        <v>92.9322534003378</v>
      </c>
      <c r="AJ5025">
        <v>88.355002804818298</v>
      </c>
      <c r="AK5025">
        <v>21.6517588580504</v>
      </c>
      <c r="AL5025">
        <v>80.347310620927601</v>
      </c>
      <c r="AM5025">
        <v>87.023310932690407</v>
      </c>
      <c r="AN5025">
        <v>0.99999999326118605</v>
      </c>
    </row>
    <row r="5026" spans="1:40" x14ac:dyDescent="0.25">
      <c r="A5026" t="str">
        <f>"20190312164129420"</f>
        <v>20190312164129420</v>
      </c>
      <c r="B5026" t="str">
        <f>"1552380089411444"</f>
        <v>1552380089411444</v>
      </c>
      <c r="C5026" t="s">
        <v>40</v>
      </c>
      <c r="D5026">
        <v>5.344563</v>
      </c>
      <c r="E5026">
        <v>0.49970419999999999</v>
      </c>
      <c r="F5026" t="s">
        <v>41</v>
      </c>
      <c r="G5026">
        <v>-422.75819999999999</v>
      </c>
      <c r="H5026" s="1">
        <v>-2.551091E-6</v>
      </c>
      <c r="I5026">
        <v>73.825019999999995</v>
      </c>
      <c r="J5026">
        <v>-422.06200000000001</v>
      </c>
      <c r="K5026">
        <v>1.1075299999999999</v>
      </c>
      <c r="L5026">
        <v>95.594970000000004</v>
      </c>
      <c r="M5026">
        <v>-3.299008E-3</v>
      </c>
      <c r="N5026">
        <v>0</v>
      </c>
      <c r="O5026">
        <v>-0.99996580000000002</v>
      </c>
      <c r="P5026">
        <v>-5.4012270000000001E-2</v>
      </c>
      <c r="Q5026">
        <v>0.1605386</v>
      </c>
      <c r="R5026">
        <v>-0.98555079999999995</v>
      </c>
      <c r="S5026">
        <v>-9.6679689999999999E-2</v>
      </c>
      <c r="T5026">
        <v>-0.15329719999999999</v>
      </c>
      <c r="U5026">
        <v>-3.0634769999999998</v>
      </c>
      <c r="V5026">
        <v>5.1503720000000003E-2</v>
      </c>
      <c r="W5026">
        <v>0.16778109999999999</v>
      </c>
      <c r="X5026">
        <v>0.98447790000000002</v>
      </c>
      <c r="Y5026">
        <v>2.820609E-2</v>
      </c>
      <c r="Z5026">
        <v>4.9954980000000003E-2</v>
      </c>
      <c r="AA5026">
        <v>0.99835309999999999</v>
      </c>
      <c r="AB5026">
        <v>37</v>
      </c>
      <c r="AC5026">
        <v>-0.69620000000003202</v>
      </c>
      <c r="AD5026">
        <v>-1.1075325510909999</v>
      </c>
      <c r="AE5026">
        <v>-21.769949999999898</v>
      </c>
      <c r="AF5026">
        <v>0.62276471259966604</v>
      </c>
      <c r="AG5026">
        <v>-1.1075325510909999</v>
      </c>
      <c r="AH5026">
        <v>21.715980445547199</v>
      </c>
      <c r="AI5026">
        <v>92.918403691705905</v>
      </c>
      <c r="AJ5026">
        <v>88.357338142214601</v>
      </c>
      <c r="AK5026">
        <v>21.753120947357701</v>
      </c>
      <c r="AL5026">
        <v>80.341166841758906</v>
      </c>
      <c r="AM5026">
        <v>87.005257293670695</v>
      </c>
      <c r="AN5026">
        <v>0.99999993313972602</v>
      </c>
    </row>
    <row r="5027" spans="1:40" x14ac:dyDescent="0.25">
      <c r="A5027" t="str">
        <f>"20190312164129442"</f>
        <v>20190312164129442</v>
      </c>
      <c r="B5027" t="str">
        <f>"1552380089430963"</f>
        <v>1552380089430963</v>
      </c>
      <c r="C5027" t="s">
        <v>40</v>
      </c>
      <c r="D5027">
        <v>5.3383909999999997</v>
      </c>
      <c r="E5027">
        <v>0.4999055</v>
      </c>
      <c r="F5027" t="s">
        <v>41</v>
      </c>
      <c r="G5027">
        <v>-422.82940000000002</v>
      </c>
      <c r="H5027" s="1">
        <v>-2.415845E-6</v>
      </c>
      <c r="I5027">
        <v>73.465620000000001</v>
      </c>
      <c r="J5027">
        <v>-422.06479999999999</v>
      </c>
      <c r="K5027">
        <v>1.1074839999999999</v>
      </c>
      <c r="L5027">
        <v>95.227999999999994</v>
      </c>
      <c r="M5027">
        <v>-5.340465E-3</v>
      </c>
      <c r="N5027">
        <v>0</v>
      </c>
      <c r="O5027">
        <v>-0.99995639999999997</v>
      </c>
      <c r="P5027">
        <v>-5.637752E-2</v>
      </c>
      <c r="Q5027">
        <v>0.1597171</v>
      </c>
      <c r="R5027">
        <v>-0.98555170000000003</v>
      </c>
      <c r="S5027">
        <v>-0.1062317</v>
      </c>
      <c r="T5027">
        <v>-0.15330450000000001</v>
      </c>
      <c r="U5027">
        <v>-3.0631409999999999</v>
      </c>
      <c r="V5027">
        <v>5.1874190000000001E-2</v>
      </c>
      <c r="W5027">
        <v>0.16702800000000001</v>
      </c>
      <c r="X5027">
        <v>0.98458650000000003</v>
      </c>
      <c r="Y5027">
        <v>2.9278620000000002E-2</v>
      </c>
      <c r="Z5027">
        <v>4.9958809999999999E-2</v>
      </c>
      <c r="AA5027">
        <v>0.99832200000000004</v>
      </c>
      <c r="AB5027">
        <v>37</v>
      </c>
      <c r="AC5027">
        <v>-0.76460000000002903</v>
      </c>
      <c r="AD5027">
        <v>-1.107486415845</v>
      </c>
      <c r="AE5027">
        <v>-21.76238</v>
      </c>
      <c r="AF5027">
        <v>0.64669172824695198</v>
      </c>
      <c r="AG5027">
        <v>-1.107486415845</v>
      </c>
      <c r="AH5027">
        <v>21.709998129155601</v>
      </c>
      <c r="AI5027">
        <v>92.918990617050696</v>
      </c>
      <c r="AJ5027">
        <v>88.293792877622906</v>
      </c>
      <c r="AK5027">
        <v>21.747844838525999</v>
      </c>
      <c r="AL5027">
        <v>80.384933897144407</v>
      </c>
      <c r="AM5027">
        <v>86.984087604850103</v>
      </c>
      <c r="AN5027">
        <v>0.99999993017720001</v>
      </c>
    </row>
    <row r="5028" spans="1:40" x14ac:dyDescent="0.25">
      <c r="A5028" t="str">
        <f>"20190312164129466"</f>
        <v>20190312164129466</v>
      </c>
      <c r="B5028" t="str">
        <f>"1552380089461220"</f>
        <v>1552380089461220</v>
      </c>
      <c r="C5028" t="s">
        <v>40</v>
      </c>
      <c r="D5028">
        <v>5.5630410000000001</v>
      </c>
      <c r="E5028">
        <v>0.50009459999999994</v>
      </c>
      <c r="F5028" t="s">
        <v>41</v>
      </c>
      <c r="G5028">
        <v>-422.8904</v>
      </c>
      <c r="H5028" s="1">
        <v>-2.4440860000000001E-6</v>
      </c>
      <c r="I5028">
        <v>73.493600000000001</v>
      </c>
      <c r="J5028">
        <v>-422.0686</v>
      </c>
      <c r="K5028">
        <v>1.107453</v>
      </c>
      <c r="L5028">
        <v>94.848269999999999</v>
      </c>
      <c r="M5028">
        <v>-7.4384259999999997E-3</v>
      </c>
      <c r="N5028">
        <v>0</v>
      </c>
      <c r="O5028">
        <v>-0.99994240000000001</v>
      </c>
      <c r="P5028">
        <v>-5.8731770000000003E-2</v>
      </c>
      <c r="Q5028">
        <v>0.1584816</v>
      </c>
      <c r="R5028">
        <v>-0.98561359999999998</v>
      </c>
      <c r="S5028">
        <v>-0.11633300000000001</v>
      </c>
      <c r="T5028">
        <v>-0.15605579999999999</v>
      </c>
      <c r="U5028">
        <v>-3.062592</v>
      </c>
      <c r="V5028">
        <v>5.216813E-2</v>
      </c>
      <c r="W5028">
        <v>0.16586010000000001</v>
      </c>
      <c r="X5028">
        <v>0.98476850000000005</v>
      </c>
      <c r="Y5028">
        <v>3.0474330000000001E-2</v>
      </c>
      <c r="Z5028">
        <v>5.0857239999999998E-2</v>
      </c>
      <c r="AA5028">
        <v>0.99824089999999999</v>
      </c>
      <c r="AB5028">
        <v>37</v>
      </c>
      <c r="AC5028">
        <v>-0.82179999999999598</v>
      </c>
      <c r="AD5028">
        <v>-1.1074554440860001</v>
      </c>
      <c r="AE5028">
        <v>-21.354669999999999</v>
      </c>
      <c r="AF5028">
        <v>0.661151856672202</v>
      </c>
      <c r="AG5028">
        <v>-1.1074554440860001</v>
      </c>
      <c r="AH5028">
        <v>21.302983237550499</v>
      </c>
      <c r="AI5028">
        <v>92.974466019273393</v>
      </c>
      <c r="AJ5028">
        <v>88.222359043848101</v>
      </c>
      <c r="AK5028">
        <v>21.341993209575602</v>
      </c>
      <c r="AL5028">
        <v>80.452797349167298</v>
      </c>
      <c r="AM5028">
        <v>86.967589542854796</v>
      </c>
      <c r="AN5028">
        <v>1.0000000425759701</v>
      </c>
    </row>
    <row r="5029" spans="1:40" x14ac:dyDescent="0.25">
      <c r="A5029" t="str">
        <f>"20190312164129488"</f>
        <v>20190312164129488</v>
      </c>
      <c r="B5029" t="str">
        <f>"1552380089481716"</f>
        <v>1552380089481716</v>
      </c>
      <c r="C5029" t="s">
        <v>40</v>
      </c>
      <c r="D5029">
        <v>5.3725630000000004</v>
      </c>
      <c r="E5029">
        <v>0.50025399999999998</v>
      </c>
      <c r="F5029" t="s">
        <v>41</v>
      </c>
      <c r="G5029">
        <v>-422.93950000000001</v>
      </c>
      <c r="H5029" s="1">
        <v>-2.5460299999999998E-6</v>
      </c>
      <c r="I5029">
        <v>73.700819999999993</v>
      </c>
      <c r="J5029">
        <v>-422.07310000000001</v>
      </c>
      <c r="K5029">
        <v>1.1074409999999999</v>
      </c>
      <c r="L5029">
        <v>94.474029999999999</v>
      </c>
      <c r="M5029">
        <v>-9.4720029999999997E-3</v>
      </c>
      <c r="N5029">
        <v>0</v>
      </c>
      <c r="O5029">
        <v>-0.9999247</v>
      </c>
      <c r="P5029">
        <v>-6.0905639999999997E-2</v>
      </c>
      <c r="Q5029">
        <v>0.15744159999999999</v>
      </c>
      <c r="R5029">
        <v>-0.98564850000000004</v>
      </c>
      <c r="S5029">
        <v>-0.12609860000000001</v>
      </c>
      <c r="T5029">
        <v>-0.16035389999999999</v>
      </c>
      <c r="U5029">
        <v>-3.0620419999999999</v>
      </c>
      <c r="V5029">
        <v>5.2338889999999999E-2</v>
      </c>
      <c r="W5029">
        <v>0.16488429999999901</v>
      </c>
      <c r="X5029">
        <v>0.9849232</v>
      </c>
      <c r="Y5029">
        <v>3.1624020000000003E-2</v>
      </c>
      <c r="Z5029">
        <v>5.2257949999999997E-2</v>
      </c>
      <c r="AA5029">
        <v>0.99813280000000004</v>
      </c>
      <c r="AB5029">
        <v>37</v>
      </c>
      <c r="AC5029">
        <v>-0.86639999999999795</v>
      </c>
      <c r="AD5029">
        <v>-1.1074435460299901</v>
      </c>
      <c r="AE5029">
        <v>-20.773209999999999</v>
      </c>
      <c r="AF5029">
        <v>0.66769688254033199</v>
      </c>
      <c r="AG5029">
        <v>-1.1074435460299901</v>
      </c>
      <c r="AH5029">
        <v>20.7216944397411</v>
      </c>
      <c r="AI5029">
        <v>93.057602900457994</v>
      </c>
      <c r="AJ5029">
        <v>88.154447181477806</v>
      </c>
      <c r="AK5029">
        <v>20.762005461626199</v>
      </c>
      <c r="AL5029">
        <v>80.509486240732301</v>
      </c>
      <c r="AM5029">
        <v>86.958159236158806</v>
      </c>
      <c r="AN5029">
        <v>0.99999995084557902</v>
      </c>
    </row>
    <row r="5030" spans="1:40" x14ac:dyDescent="0.25">
      <c r="A5030" t="str">
        <f>"20190312164129510"</f>
        <v>20190312164129510</v>
      </c>
      <c r="B5030" t="str">
        <f>"1552380089501235"</f>
        <v>1552380089501235</v>
      </c>
      <c r="C5030" t="s">
        <v>40</v>
      </c>
      <c r="D5030">
        <v>5.3503129999999999</v>
      </c>
      <c r="E5030">
        <v>0.50039369999999905</v>
      </c>
      <c r="F5030" t="s">
        <v>41</v>
      </c>
      <c r="G5030">
        <v>-422.98860000000002</v>
      </c>
      <c r="H5030" s="1">
        <v>-2.5727969999999999E-6</v>
      </c>
      <c r="I5030">
        <v>73.73272</v>
      </c>
      <c r="J5030">
        <v>-422.07839999999999</v>
      </c>
      <c r="K5030">
        <v>1.1074329999999999</v>
      </c>
      <c r="L5030">
        <v>94.096710000000002</v>
      </c>
      <c r="M5030">
        <v>-1.147426E-2</v>
      </c>
      <c r="N5030">
        <v>0</v>
      </c>
      <c r="O5030">
        <v>-0.99990349999999995</v>
      </c>
      <c r="P5030">
        <v>-6.2447009999999997E-2</v>
      </c>
      <c r="Q5030">
        <v>0.1576516</v>
      </c>
      <c r="R5030">
        <v>-0.98551869999999997</v>
      </c>
      <c r="S5030">
        <v>-0.1351318</v>
      </c>
      <c r="T5030">
        <v>-0.16345950000000001</v>
      </c>
      <c r="U5030">
        <v>-3.0614319999999999</v>
      </c>
      <c r="V5030">
        <v>5.1909240000000002E-2</v>
      </c>
      <c r="W5030">
        <v>0.16515850000000001</v>
      </c>
      <c r="X5030">
        <v>0.98490009999999995</v>
      </c>
      <c r="Y5030">
        <v>3.256817E-2</v>
      </c>
      <c r="Z5030">
        <v>5.3271970000000002E-2</v>
      </c>
      <c r="AA5030">
        <v>0.99804879999999996</v>
      </c>
      <c r="AB5030">
        <v>37</v>
      </c>
      <c r="AC5030">
        <v>-0.91020000000003098</v>
      </c>
      <c r="AD5030">
        <v>-1.10743557279699</v>
      </c>
      <c r="AE5030">
        <v>-20.363990000000001</v>
      </c>
      <c r="AF5030">
        <v>0.67448045820335301</v>
      </c>
      <c r="AG5030">
        <v>-1.10743557279699</v>
      </c>
      <c r="AH5030">
        <v>20.313139061147801</v>
      </c>
      <c r="AI5030">
        <v>93.118857520175695</v>
      </c>
      <c r="AJ5030">
        <v>88.098241207458699</v>
      </c>
      <c r="AK5030">
        <v>20.354482453600301</v>
      </c>
      <c r="AL5030">
        <v>80.493558333433398</v>
      </c>
      <c r="AM5030">
        <v>86.983012761952395</v>
      </c>
      <c r="AN5030">
        <v>1.0000000531498101</v>
      </c>
    </row>
    <row r="5031" spans="1:40" x14ac:dyDescent="0.25">
      <c r="A5031" t="str">
        <f>"20190312164129532"</f>
        <v>20190312164129532</v>
      </c>
      <c r="B5031" t="str">
        <f>"1552380089521732"</f>
        <v>1552380089521732</v>
      </c>
      <c r="C5031" t="s">
        <v>40</v>
      </c>
      <c r="D5031">
        <v>5.3744769999999997</v>
      </c>
      <c r="E5031">
        <v>0.50053619999999999</v>
      </c>
      <c r="F5031" t="s">
        <v>41</v>
      </c>
      <c r="G5031">
        <v>-423.04140000000001</v>
      </c>
      <c r="H5031" s="1">
        <v>-2.393321E-6</v>
      </c>
      <c r="I5031">
        <v>73.281619999999904</v>
      </c>
      <c r="J5031">
        <v>-422.08420000000001</v>
      </c>
      <c r="K5031">
        <v>1.1074649999999999</v>
      </c>
      <c r="L5031">
        <v>93.72833</v>
      </c>
      <c r="M5031">
        <v>-1.336967E-2</v>
      </c>
      <c r="N5031">
        <v>0</v>
      </c>
      <c r="O5031">
        <v>-0.99987919999999997</v>
      </c>
      <c r="P5031">
        <v>-6.4206170000000007E-2</v>
      </c>
      <c r="Q5031">
        <v>0.15880729999999901</v>
      </c>
      <c r="R5031">
        <v>-0.98521990000000004</v>
      </c>
      <c r="S5031">
        <v>-0.14163210000000001</v>
      </c>
      <c r="T5031">
        <v>-0.16286419999999999</v>
      </c>
      <c r="U5031">
        <v>-3.0611570000000001</v>
      </c>
      <c r="V5031">
        <v>5.1803540000000002E-2</v>
      </c>
      <c r="W5031">
        <v>0.16637589999999999</v>
      </c>
      <c r="X5031">
        <v>0.98470069999999998</v>
      </c>
      <c r="Y5031">
        <v>3.2792969999999998E-2</v>
      </c>
      <c r="Z5031">
        <v>5.3078630000000002E-2</v>
      </c>
      <c r="AA5031">
        <v>0.99805180000000004</v>
      </c>
      <c r="AB5031">
        <v>37</v>
      </c>
      <c r="AC5031">
        <v>-0.95720000000000005</v>
      </c>
      <c r="AD5031">
        <v>-1.107467393321</v>
      </c>
      <c r="AE5031">
        <v>-20.446709999999999</v>
      </c>
      <c r="AF5031">
        <v>0.68174443063664703</v>
      </c>
      <c r="AG5031">
        <v>-1.107467393321</v>
      </c>
      <c r="AH5031">
        <v>20.397969679405001</v>
      </c>
      <c r="AI5031">
        <v>93.105978912582003</v>
      </c>
      <c r="AJ5031">
        <v>88.085763208114699</v>
      </c>
      <c r="AK5031">
        <v>20.4393842015335</v>
      </c>
      <c r="AL5031">
        <v>80.422827449398</v>
      </c>
      <c r="AM5031">
        <v>86.988536206066897</v>
      </c>
      <c r="AN5031">
        <v>1.00000000771891</v>
      </c>
    </row>
    <row r="5032" spans="1:40" x14ac:dyDescent="0.25">
      <c r="A5032" t="str">
        <f>"20190312164129554"</f>
        <v>20190312164129554</v>
      </c>
      <c r="B5032" t="str">
        <f>"1552380089551012"</f>
        <v>1552380089551012</v>
      </c>
      <c r="C5032" t="s">
        <v>40</v>
      </c>
      <c r="D5032">
        <v>5.3390700000000004</v>
      </c>
      <c r="E5032">
        <v>0.50072470000000002</v>
      </c>
      <c r="F5032" t="s">
        <v>41</v>
      </c>
      <c r="G5032">
        <v>-423.11489999999998</v>
      </c>
      <c r="H5032" s="1">
        <v>-2.0717360000000001E-6</v>
      </c>
      <c r="I5032">
        <v>72.486450000000005</v>
      </c>
      <c r="J5032">
        <v>-422.09070000000003</v>
      </c>
      <c r="K5032">
        <v>1.107507</v>
      </c>
      <c r="L5032">
        <v>93.35812</v>
      </c>
      <c r="M5032">
        <v>-1.5199900000000001E-2</v>
      </c>
      <c r="N5032">
        <v>0</v>
      </c>
      <c r="O5032">
        <v>-0.99985239999999997</v>
      </c>
      <c r="P5032">
        <v>-6.5533430000000004E-2</v>
      </c>
      <c r="Q5032">
        <v>0.1603223</v>
      </c>
      <c r="R5032">
        <v>-0.9848867</v>
      </c>
      <c r="S5032">
        <v>-0.1485291</v>
      </c>
      <c r="T5032">
        <v>-0.1595917</v>
      </c>
      <c r="U5032">
        <v>-3.0610659999999998</v>
      </c>
      <c r="V5032">
        <v>5.132652E-2</v>
      </c>
      <c r="W5032">
        <v>0.1679668</v>
      </c>
      <c r="X5032">
        <v>0.98445550000000004</v>
      </c>
      <c r="Y5032">
        <v>3.3211259999999999E-2</v>
      </c>
      <c r="Z5032">
        <v>5.2011389999999998E-2</v>
      </c>
      <c r="AA5032">
        <v>0.99809409999999998</v>
      </c>
      <c r="AB5032">
        <v>37</v>
      </c>
      <c r="AC5032">
        <v>-1.02419999999995</v>
      </c>
      <c r="AD5032">
        <v>-1.1075090717360001</v>
      </c>
      <c r="AE5032">
        <v>-20.871669999999899</v>
      </c>
      <c r="AF5032">
        <v>0.70484436536463202</v>
      </c>
      <c r="AG5032">
        <v>-1.1075090717360001</v>
      </c>
      <c r="AH5032">
        <v>20.826327889550001</v>
      </c>
      <c r="AI5032">
        <v>93.042287306772707</v>
      </c>
      <c r="AJ5032">
        <v>88.061626650165607</v>
      </c>
      <c r="AK5032">
        <v>20.867661950645399</v>
      </c>
      <c r="AL5032">
        <v>80.330373956700299</v>
      </c>
      <c r="AM5032">
        <v>87.015474346588505</v>
      </c>
      <c r="AN5032">
        <v>0.99999994451889795</v>
      </c>
    </row>
    <row r="5033" spans="1:40" x14ac:dyDescent="0.25">
      <c r="A5033" t="str">
        <f>"20190312164129577"</f>
        <v>20190312164129577</v>
      </c>
      <c r="B5033" t="str">
        <f>"1552380089571508"</f>
        <v>1552380089571508</v>
      </c>
      <c r="C5033" t="s">
        <v>40</v>
      </c>
      <c r="D5033">
        <v>5.4436790000000004</v>
      </c>
      <c r="E5033">
        <v>0.50087919999999997</v>
      </c>
      <c r="F5033" t="s">
        <v>41</v>
      </c>
      <c r="G5033">
        <v>-423.19670000000002</v>
      </c>
      <c r="H5033" s="1">
        <v>-1.6389690000000001E-6</v>
      </c>
      <c r="I5033">
        <v>71.426929999999999</v>
      </c>
      <c r="J5033">
        <v>-422.09800000000001</v>
      </c>
      <c r="K5033">
        <v>1.1075790000000001</v>
      </c>
      <c r="L5033">
        <v>92.975160000000002</v>
      </c>
      <c r="M5033">
        <v>-1.6997559999999998E-2</v>
      </c>
      <c r="N5033">
        <v>0</v>
      </c>
      <c r="O5033">
        <v>-0.99982300000000002</v>
      </c>
      <c r="P5033">
        <v>-6.7434729999999998E-2</v>
      </c>
      <c r="Q5033">
        <v>0.16185910000000001</v>
      </c>
      <c r="R5033">
        <v>-0.98450740000000003</v>
      </c>
      <c r="S5033">
        <v>-0.15435789999999999</v>
      </c>
      <c r="T5033">
        <v>-0.15457379999999901</v>
      </c>
      <c r="U5033">
        <v>-3.0609130000000002</v>
      </c>
      <c r="V5033">
        <v>5.1448929999999997E-2</v>
      </c>
      <c r="W5033">
        <v>0.16959959999999999</v>
      </c>
      <c r="X5033">
        <v>0.98416919999999997</v>
      </c>
      <c r="Y5033">
        <v>3.3316949999999998E-2</v>
      </c>
      <c r="Z5033">
        <v>5.0378149999999997E-2</v>
      </c>
      <c r="AA5033">
        <v>0.99817440000000002</v>
      </c>
      <c r="AB5033">
        <v>37</v>
      </c>
      <c r="AC5033">
        <v>-1.0987</v>
      </c>
      <c r="AD5033">
        <v>-1.1075806389689999</v>
      </c>
      <c r="AE5033">
        <v>-21.54823</v>
      </c>
      <c r="AF5033">
        <v>0.73033749083747401</v>
      </c>
      <c r="AG5033">
        <v>-1.1075806389689999</v>
      </c>
      <c r="AH5033">
        <v>21.507118799072199</v>
      </c>
      <c r="AI5033">
        <v>92.946337210528199</v>
      </c>
      <c r="AJ5033">
        <v>88.055100599452402</v>
      </c>
      <c r="AK5033">
        <v>21.547999599956999</v>
      </c>
      <c r="AL5033">
        <v>80.235460374370703</v>
      </c>
      <c r="AM5033">
        <v>87.007500685959101</v>
      </c>
      <c r="AN5033">
        <v>1.0000000154734701</v>
      </c>
    </row>
    <row r="5034" spans="1:40" x14ac:dyDescent="0.25">
      <c r="A5034" t="str">
        <f>"20190312164129600"</f>
        <v>20190312164129600</v>
      </c>
      <c r="B5034" t="str">
        <f>"1552380089591535"</f>
        <v>1552380089591535</v>
      </c>
      <c r="C5034" t="s">
        <v>40</v>
      </c>
      <c r="D5034">
        <v>5.3414270000000004</v>
      </c>
      <c r="E5034">
        <v>0.50100549999999999</v>
      </c>
      <c r="F5034" t="s">
        <v>41</v>
      </c>
      <c r="G5034">
        <v>-423.29259999999999</v>
      </c>
      <c r="H5034" s="1">
        <v>-1.2069949999999999E-6</v>
      </c>
      <c r="I5034">
        <v>70.360469999999907</v>
      </c>
      <c r="J5034">
        <v>-422.10570000000001</v>
      </c>
      <c r="K5034">
        <v>1.107674</v>
      </c>
      <c r="L5034">
        <v>92.603819999999999</v>
      </c>
      <c r="M5034">
        <v>-1.8615619999999999E-2</v>
      </c>
      <c r="N5034">
        <v>0</v>
      </c>
      <c r="O5034">
        <v>-0.99979340000000005</v>
      </c>
      <c r="P5034">
        <v>-6.8799109999999997E-2</v>
      </c>
      <c r="Q5034">
        <v>0.16214519999999999</v>
      </c>
      <c r="R5034">
        <v>-0.98436579999999996</v>
      </c>
      <c r="S5034">
        <v>-0.1616821</v>
      </c>
      <c r="T5034">
        <v>-0.14990580000000001</v>
      </c>
      <c r="U5034">
        <v>-3.060791</v>
      </c>
      <c r="V5034">
        <v>5.1193309999999999E-2</v>
      </c>
      <c r="W5034">
        <v>0.17000599999999999</v>
      </c>
      <c r="X5034">
        <v>0.9841124</v>
      </c>
      <c r="Y5034">
        <v>3.4087630000000001E-2</v>
      </c>
      <c r="Z5034">
        <v>4.8856650000000001E-2</v>
      </c>
      <c r="AA5034">
        <v>0.998224</v>
      </c>
      <c r="AB5034">
        <v>37</v>
      </c>
      <c r="AC5034">
        <v>-1.1868999999999801</v>
      </c>
      <c r="AD5034">
        <v>-1.107675206995</v>
      </c>
      <c r="AE5034">
        <v>-22.24335</v>
      </c>
      <c r="AF5034">
        <v>0.77070097733512999</v>
      </c>
      <c r="AG5034">
        <v>-1.107675206995</v>
      </c>
      <c r="AH5034">
        <v>22.2066781434965</v>
      </c>
      <c r="AI5034">
        <v>92.853847179539102</v>
      </c>
      <c r="AJ5034">
        <v>88.012300783059899</v>
      </c>
      <c r="AK5034">
        <v>22.247639841778799</v>
      </c>
      <c r="AL5034">
        <v>80.211832144215293</v>
      </c>
      <c r="AM5034">
        <v>87.022170310280998</v>
      </c>
      <c r="AN5034">
        <v>1.0000000054292499</v>
      </c>
    </row>
    <row r="5035" spans="1:40" x14ac:dyDescent="0.25">
      <c r="A5035" t="str">
        <f>"20190312164129622"</f>
        <v>20190312164129622</v>
      </c>
      <c r="B5035" t="str">
        <f>"1552380089611055"</f>
        <v>1552380089611055</v>
      </c>
      <c r="C5035" t="s">
        <v>40</v>
      </c>
      <c r="D5035">
        <v>5.3950300000000002</v>
      </c>
      <c r="E5035">
        <v>0.50109409999999999</v>
      </c>
      <c r="F5035" t="s">
        <v>41</v>
      </c>
      <c r="G5035">
        <v>-423.34050000000002</v>
      </c>
      <c r="H5035" s="1">
        <v>-1.01275E-6</v>
      </c>
      <c r="I5035">
        <v>69.878010000000003</v>
      </c>
      <c r="J5035">
        <v>-422.11410000000001</v>
      </c>
      <c r="K5035">
        <v>1.1077840000000001</v>
      </c>
      <c r="L5035">
        <v>92.223479999999995</v>
      </c>
      <c r="M5035">
        <v>-2.0127800000000001E-2</v>
      </c>
      <c r="N5035">
        <v>0</v>
      </c>
      <c r="O5035">
        <v>-0.99976279999999995</v>
      </c>
      <c r="P5035">
        <v>-6.8696350000000003E-2</v>
      </c>
      <c r="Q5035">
        <v>0.16108410000000001</v>
      </c>
      <c r="R5035">
        <v>-0.98454730000000001</v>
      </c>
      <c r="S5035">
        <v>-0.166290299999999</v>
      </c>
      <c r="T5035">
        <v>-0.14917649999999999</v>
      </c>
      <c r="U5035">
        <v>-3.0606080000000002</v>
      </c>
      <c r="V5035">
        <v>4.955329E-2</v>
      </c>
      <c r="W5035">
        <v>0.16909859999999999</v>
      </c>
      <c r="X5035">
        <v>0.98435260000000002</v>
      </c>
      <c r="Y5035">
        <v>3.4078419999999998E-2</v>
      </c>
      <c r="Z5035">
        <v>4.8618330000000001E-2</v>
      </c>
      <c r="AA5035">
        <v>0.99823589999999995</v>
      </c>
      <c r="AB5035">
        <v>38</v>
      </c>
      <c r="AC5035">
        <v>-1.2264000000000099</v>
      </c>
      <c r="AD5035">
        <v>-1.10778501275</v>
      </c>
      <c r="AE5035">
        <v>-22.345469999999999</v>
      </c>
      <c r="AF5035">
        <v>0.77447309588604896</v>
      </c>
      <c r="AG5035">
        <v>-1.10778501275</v>
      </c>
      <c r="AH5035">
        <v>22.3109590632383</v>
      </c>
      <c r="AI5035">
        <v>92.840810710350098</v>
      </c>
      <c r="AJ5035">
        <v>88.011908436453496</v>
      </c>
      <c r="AK5035">
        <v>22.351865482152</v>
      </c>
      <c r="AL5035">
        <v>80.264585637044206</v>
      </c>
      <c r="AM5035">
        <v>87.118106214100905</v>
      </c>
      <c r="AN5035">
        <v>0.99999995309927103</v>
      </c>
    </row>
    <row r="5036" spans="1:40" x14ac:dyDescent="0.25">
      <c r="A5036" t="str">
        <f>"20190312164129644"</f>
        <v>20190312164129644</v>
      </c>
      <c r="B5036" t="str">
        <f>"1552380089631555"</f>
        <v>1552380089631555</v>
      </c>
      <c r="C5036" t="s">
        <v>40</v>
      </c>
      <c r="D5036">
        <v>5.4392769999999997</v>
      </c>
      <c r="E5036">
        <v>0.4883845</v>
      </c>
      <c r="F5036" t="s">
        <v>41</v>
      </c>
      <c r="G5036">
        <v>-423.322</v>
      </c>
      <c r="H5036" s="1">
        <v>-1.076225E-6</v>
      </c>
      <c r="I5036">
        <v>70.037409999999994</v>
      </c>
      <c r="J5036">
        <v>-422.12270000000001</v>
      </c>
      <c r="K5036">
        <v>1.107896</v>
      </c>
      <c r="L5036">
        <v>91.853359999999995</v>
      </c>
      <c r="M5036">
        <v>-2.1476930000000002E-2</v>
      </c>
      <c r="N5036">
        <v>0</v>
      </c>
      <c r="O5036">
        <v>-0.99973350000000005</v>
      </c>
      <c r="P5036">
        <v>-6.8538199999999994E-2</v>
      </c>
      <c r="Q5036">
        <v>0.15939690000000001</v>
      </c>
      <c r="R5036">
        <v>-0.98483259999999995</v>
      </c>
      <c r="S5036">
        <v>-0.166626</v>
      </c>
      <c r="T5036">
        <v>-0.15281320000000001</v>
      </c>
      <c r="U5036">
        <v>-3.0604550000000001</v>
      </c>
      <c r="V5036">
        <v>4.8012119999999998E-2</v>
      </c>
      <c r="W5036">
        <v>0.16756960000000001</v>
      </c>
      <c r="X5036">
        <v>0.98469039999999997</v>
      </c>
      <c r="Y5036">
        <v>3.2838369999999999E-2</v>
      </c>
      <c r="Z5036">
        <v>4.9801940000000003E-2</v>
      </c>
      <c r="AA5036">
        <v>0.99821910000000003</v>
      </c>
      <c r="AB5036">
        <v>38</v>
      </c>
      <c r="AC5036">
        <v>-1.1992999999999301</v>
      </c>
      <c r="AD5036">
        <v>-1.107897076225</v>
      </c>
      <c r="AE5036">
        <v>-21.815950000000001</v>
      </c>
      <c r="AF5036">
        <v>0.72859355450044905</v>
      </c>
      <c r="AG5036">
        <v>-1.107897076225</v>
      </c>
      <c r="AH5036">
        <v>21.780672858023799</v>
      </c>
      <c r="AI5036">
        <v>92.910276045595694</v>
      </c>
      <c r="AJ5036">
        <v>88.084091550637297</v>
      </c>
      <c r="AK5036">
        <v>21.8209989378906</v>
      </c>
      <c r="AL5036">
        <v>80.3534591816655</v>
      </c>
      <c r="AM5036">
        <v>87.2085490472505</v>
      </c>
      <c r="AN5036">
        <v>0.999999959181606</v>
      </c>
    </row>
    <row r="5037" spans="1:40" x14ac:dyDescent="0.25">
      <c r="A5037" t="str">
        <f>"20190312164129666"</f>
        <v>20190312164129666</v>
      </c>
      <c r="B5037" t="str">
        <f>"1552380089661808"</f>
        <v>1552380089661808</v>
      </c>
      <c r="C5037" t="s">
        <v>40</v>
      </c>
      <c r="D5037">
        <v>5.557131</v>
      </c>
      <c r="E5037">
        <v>0.48596200000000001</v>
      </c>
      <c r="F5037" t="s">
        <v>42</v>
      </c>
      <c r="G5037">
        <v>-422.1431</v>
      </c>
      <c r="H5037">
        <v>1.0425139999999999</v>
      </c>
      <c r="I5037">
        <v>90.875900000000001</v>
      </c>
      <c r="J5037">
        <v>-422.13200000000001</v>
      </c>
      <c r="K5037">
        <v>1.108026</v>
      </c>
      <c r="L5037">
        <v>91.472899999999996</v>
      </c>
      <c r="M5037">
        <v>-2.2720980000000002E-2</v>
      </c>
      <c r="N5037">
        <v>0</v>
      </c>
      <c r="O5037">
        <v>-0.99970479999999995</v>
      </c>
      <c r="P5037">
        <v>-6.8471459999999998E-2</v>
      </c>
      <c r="Q5037">
        <v>0.15830559999999999</v>
      </c>
      <c r="R5037">
        <v>-0.98501380000000005</v>
      </c>
      <c r="S5037">
        <v>-6.2255860000000003E-2</v>
      </c>
      <c r="T5037">
        <v>-0.20567750000000001</v>
      </c>
      <c r="U5037">
        <v>-3.0751650000000001</v>
      </c>
      <c r="V5037">
        <v>4.6665770000000002E-2</v>
      </c>
      <c r="W5037">
        <v>0.16664579999999901</v>
      </c>
      <c r="X5037">
        <v>0.98491189999999995</v>
      </c>
      <c r="Y5037">
        <v>-2.526903E-3</v>
      </c>
      <c r="Z5037">
        <v>6.6701609999999995E-2</v>
      </c>
      <c r="AA5037">
        <v>0.99776980000000004</v>
      </c>
      <c r="AB5037">
        <v>38</v>
      </c>
      <c r="AC5037">
        <v>-1.11000000000558E-2</v>
      </c>
      <c r="AD5037">
        <v>-6.5512000000000001E-2</v>
      </c>
      <c r="AE5037">
        <v>-0.59699999999999398</v>
      </c>
      <c r="AF5037">
        <v>-2.4384400055847302E-3</v>
      </c>
      <c r="AG5037">
        <v>-6.5512000000000001E-2</v>
      </c>
      <c r="AH5037">
        <v>0.58999589810362296</v>
      </c>
      <c r="AI5037">
        <v>96.336003567818096</v>
      </c>
      <c r="AJ5037">
        <v>90.236800841961994</v>
      </c>
      <c r="AK5037">
        <v>0.59362692653952398</v>
      </c>
      <c r="AL5037">
        <v>80.407144144903896</v>
      </c>
      <c r="AM5037">
        <v>87.287317203183704</v>
      </c>
      <c r="AN5037">
        <v>0.99999998375447097</v>
      </c>
    </row>
    <row r="5038" spans="1:40" x14ac:dyDescent="0.25">
      <c r="A5038" t="str">
        <f>"20190312164129688"</f>
        <v>20190312164129688</v>
      </c>
      <c r="B5038" t="str">
        <f>"1552380089680857"</f>
        <v>1552380089680857</v>
      </c>
      <c r="C5038" t="s">
        <v>40</v>
      </c>
      <c r="D5038">
        <v>5.5128949999999897</v>
      </c>
      <c r="E5038">
        <v>0.48576530000000001</v>
      </c>
      <c r="F5038" t="s">
        <v>41</v>
      </c>
      <c r="G5038">
        <v>-422.41809999999998</v>
      </c>
      <c r="H5038" s="1">
        <v>-1.7328609999999999E-6</v>
      </c>
      <c r="I5038">
        <v>72.128690000000006</v>
      </c>
      <c r="J5038">
        <v>-422.14150000000001</v>
      </c>
      <c r="K5038">
        <v>1.108171</v>
      </c>
      <c r="L5038">
        <v>91.094759999999994</v>
      </c>
      <c r="M5038">
        <v>-2.3796970000000001E-2</v>
      </c>
      <c r="N5038">
        <v>0</v>
      </c>
      <c r="O5038">
        <v>-0.99967810000000001</v>
      </c>
      <c r="P5038">
        <v>-6.8808729999999999E-2</v>
      </c>
      <c r="Q5038">
        <v>0.15793940000000001</v>
      </c>
      <c r="R5038">
        <v>-0.98504840000000005</v>
      </c>
      <c r="S5038">
        <v>-4.5410159999999998E-2</v>
      </c>
      <c r="T5038">
        <v>-0.1758924</v>
      </c>
      <c r="U5038">
        <v>-3.07077</v>
      </c>
      <c r="V5038">
        <v>4.5889970000000002E-2</v>
      </c>
      <c r="W5038">
        <v>0.1664506</v>
      </c>
      <c r="X5038">
        <v>0.98498140000000001</v>
      </c>
      <c r="Y5038">
        <v>-9.0374059999999996E-3</v>
      </c>
      <c r="Z5038">
        <v>5.7157260000000001E-2</v>
      </c>
      <c r="AA5038">
        <v>0.99832430000000005</v>
      </c>
      <c r="AB5038">
        <v>38</v>
      </c>
      <c r="AC5038">
        <v>-0.27659999999997298</v>
      </c>
      <c r="AD5038">
        <v>-1.108172732861</v>
      </c>
      <c r="AE5038">
        <v>-18.966069999999899</v>
      </c>
      <c r="AF5038">
        <v>-0.17423609147014299</v>
      </c>
      <c r="AG5038">
        <v>-1.108172732861</v>
      </c>
      <c r="AH5038">
        <v>18.9027613029922</v>
      </c>
      <c r="AI5038">
        <v>93.354977683792001</v>
      </c>
      <c r="AJ5038">
        <v>90.528108555613898</v>
      </c>
      <c r="AK5038">
        <v>18.9360183222167</v>
      </c>
      <c r="AL5038">
        <v>80.418487097756795</v>
      </c>
      <c r="AM5038">
        <v>87.332536745625504</v>
      </c>
      <c r="AN5038">
        <v>1.00000002496646</v>
      </c>
    </row>
    <row r="5039" spans="1:40" x14ac:dyDescent="0.25">
      <c r="A5039" t="str">
        <f>"20190312164129712"</f>
        <v>20190312164129712</v>
      </c>
      <c r="B5039" t="str">
        <f>"1552380089701354"</f>
        <v>1552380089701354</v>
      </c>
      <c r="C5039" t="s">
        <v>40</v>
      </c>
      <c r="D5039">
        <v>5.425942</v>
      </c>
      <c r="E5039">
        <v>0.48521160000000002</v>
      </c>
      <c r="F5039" t="s">
        <v>41</v>
      </c>
      <c r="G5039">
        <v>-422.42950000000002</v>
      </c>
      <c r="H5039" s="1">
        <v>-1.531107E-6</v>
      </c>
      <c r="I5039">
        <v>71.651319999999998</v>
      </c>
      <c r="J5039">
        <v>-422.15159999999997</v>
      </c>
      <c r="K5039">
        <v>1.10833</v>
      </c>
      <c r="L5039">
        <v>90.710970000000003</v>
      </c>
      <c r="M5039">
        <v>-2.4713990000000002E-2</v>
      </c>
      <c r="N5039">
        <v>0</v>
      </c>
      <c r="O5039">
        <v>-0.99965490000000001</v>
      </c>
      <c r="P5039">
        <v>-6.9340269999999996E-2</v>
      </c>
      <c r="Q5039">
        <v>0.1578475</v>
      </c>
      <c r="R5039">
        <v>-0.98502650000000003</v>
      </c>
      <c r="S5039">
        <v>-4.5471190000000002E-2</v>
      </c>
      <c r="T5039">
        <v>-0.1749985</v>
      </c>
      <c r="U5039">
        <v>-3.0704349999999998</v>
      </c>
      <c r="V5039">
        <v>4.5460159999999999E-2</v>
      </c>
      <c r="W5039">
        <v>0.16653200000000001</v>
      </c>
      <c r="X5039">
        <v>0.98498759999999996</v>
      </c>
      <c r="Y5039">
        <v>-9.9330159999999994E-3</v>
      </c>
      <c r="Z5039">
        <v>5.68718E-2</v>
      </c>
      <c r="AA5039">
        <v>0.99833209999999994</v>
      </c>
      <c r="AB5039">
        <v>38</v>
      </c>
      <c r="AC5039">
        <v>-0.277900000000045</v>
      </c>
      <c r="AD5039">
        <v>-1.1083315311069999</v>
      </c>
      <c r="AE5039">
        <v>-19.059649999999898</v>
      </c>
      <c r="AF5039">
        <v>-0.1925924518454</v>
      </c>
      <c r="AG5039">
        <v>-1.1083315311069999</v>
      </c>
      <c r="AH5039">
        <v>18.996473357881801</v>
      </c>
      <c r="AI5039">
        <v>93.338912298434494</v>
      </c>
      <c r="AJ5039">
        <v>90.5808634266685</v>
      </c>
      <c r="AK5039">
        <v>19.029752774854099</v>
      </c>
      <c r="AL5039">
        <v>80.413757473967493</v>
      </c>
      <c r="AM5039">
        <v>87.357501499450905</v>
      </c>
      <c r="AN5039">
        <v>1.0000000526624899</v>
      </c>
    </row>
    <row r="5040" spans="1:40" x14ac:dyDescent="0.25">
      <c r="A5040" t="str">
        <f>"20190312164129734"</f>
        <v>20190312164129734</v>
      </c>
      <c r="B5040" t="str">
        <f>"1552380089720874"</f>
        <v>1552380089720874</v>
      </c>
      <c r="C5040" t="s">
        <v>40</v>
      </c>
      <c r="D5040">
        <v>5.4144540000000001</v>
      </c>
      <c r="E5040">
        <v>0.48508829999999997</v>
      </c>
      <c r="F5040" t="s">
        <v>41</v>
      </c>
      <c r="G5040">
        <v>-422.43810000000002</v>
      </c>
      <c r="H5040" s="1">
        <v>-1.092888E-6</v>
      </c>
      <c r="I5040">
        <v>70.624470000000002</v>
      </c>
      <c r="J5040">
        <v>-422.16140000000001</v>
      </c>
      <c r="K5040">
        <v>1.108501</v>
      </c>
      <c r="L5040">
        <v>90.336759999999998</v>
      </c>
      <c r="M5040">
        <v>-2.5432369999999999E-2</v>
      </c>
      <c r="N5040">
        <v>0</v>
      </c>
      <c r="O5040">
        <v>-0.9996353</v>
      </c>
      <c r="P5040">
        <v>-6.9710369999999994E-2</v>
      </c>
      <c r="Q5040">
        <v>0.15793450000000001</v>
      </c>
      <c r="R5040">
        <v>-0.98498609999999998</v>
      </c>
      <c r="S5040">
        <v>-4.379272E-2</v>
      </c>
      <c r="T5040">
        <v>-0.16937820000000001</v>
      </c>
      <c r="U5040">
        <v>-3.0696720000000002</v>
      </c>
      <c r="V5040">
        <v>4.506143E-2</v>
      </c>
      <c r="W5040">
        <v>0.1667816</v>
      </c>
      <c r="X5040">
        <v>0.9849637</v>
      </c>
      <c r="Y5040">
        <v>-1.1192280000000001E-2</v>
      </c>
      <c r="Z5040">
        <v>5.506291E-2</v>
      </c>
      <c r="AA5040">
        <v>0.99842019999999998</v>
      </c>
      <c r="AB5040">
        <v>38</v>
      </c>
      <c r="AC5040">
        <v>-0.276700000000005</v>
      </c>
      <c r="AD5040">
        <v>-1.1085020928880001</v>
      </c>
      <c r="AE5040">
        <v>-19.712289999999999</v>
      </c>
      <c r="AF5040">
        <v>-0.22403212135470199</v>
      </c>
      <c r="AG5040">
        <v>-1.1085020928880001</v>
      </c>
      <c r="AH5040">
        <v>19.6508219090022</v>
      </c>
      <c r="AI5040">
        <v>93.228421628070393</v>
      </c>
      <c r="AJ5040">
        <v>90.653180768155494</v>
      </c>
      <c r="AK5040">
        <v>19.683337343566901</v>
      </c>
      <c r="AL5040">
        <v>80.399253705910894</v>
      </c>
      <c r="AM5040">
        <v>87.380582899829903</v>
      </c>
      <c r="AN5040">
        <v>1.0000000624449401</v>
      </c>
    </row>
    <row r="5041" spans="1:40" x14ac:dyDescent="0.25">
      <c r="A5041" t="str">
        <f>"20190312164129756"</f>
        <v>20190312164129756</v>
      </c>
      <c r="B5041" t="str">
        <f>"1552380089751129"</f>
        <v>1552380089751129</v>
      </c>
      <c r="C5041" t="s">
        <v>40</v>
      </c>
      <c r="D5041">
        <v>5.5051350000000001</v>
      </c>
      <c r="E5041">
        <v>0.48524659999999897</v>
      </c>
      <c r="F5041" t="s">
        <v>41</v>
      </c>
      <c r="G5041">
        <v>-422.43920000000003</v>
      </c>
      <c r="H5041" s="1">
        <v>-1.252388E-6</v>
      </c>
      <c r="I5041">
        <v>70.995609999999999</v>
      </c>
      <c r="J5041">
        <v>-422.17149999999998</v>
      </c>
      <c r="K5041">
        <v>1.108676</v>
      </c>
      <c r="L5041">
        <v>89.962339999999998</v>
      </c>
      <c r="M5041">
        <v>-2.597928E-2</v>
      </c>
      <c r="N5041">
        <v>0</v>
      </c>
      <c r="O5041">
        <v>-0.99962010000000001</v>
      </c>
      <c r="P5041">
        <v>-6.9730009999999995E-2</v>
      </c>
      <c r="Q5041">
        <v>0.15734790000000001</v>
      </c>
      <c r="R5041">
        <v>-0.98507880000000003</v>
      </c>
      <c r="S5041">
        <v>-4.4097900000000002E-2</v>
      </c>
      <c r="T5041">
        <v>-0.17599890000000001</v>
      </c>
      <c r="U5041">
        <v>-3.0708310000000001</v>
      </c>
      <c r="V5041">
        <v>4.4472909999999997E-2</v>
      </c>
      <c r="W5041">
        <v>0.16634860000000001</v>
      </c>
      <c r="X5041">
        <v>0.98506360000000004</v>
      </c>
      <c r="Y5041">
        <v>-1.1647289999999999E-2</v>
      </c>
      <c r="Z5041">
        <v>5.7185409999999999E-2</v>
      </c>
      <c r="AA5041">
        <v>0.99829559999999995</v>
      </c>
      <c r="AB5041">
        <v>38</v>
      </c>
      <c r="AC5041">
        <v>-0.26770000000004701</v>
      </c>
      <c r="AD5041">
        <v>-1.108677252388</v>
      </c>
      <c r="AE5041">
        <v>-18.966729999999998</v>
      </c>
      <c r="AF5041">
        <v>-0.22438668575630799</v>
      </c>
      <c r="AG5041">
        <v>-1.108677252388</v>
      </c>
      <c r="AH5041">
        <v>18.9027080138783</v>
      </c>
      <c r="AI5041">
        <v>93.356417388578194</v>
      </c>
      <c r="AJ5041">
        <v>90.6801039429279</v>
      </c>
      <c r="AK5041">
        <v>18.9365225131925</v>
      </c>
      <c r="AL5041">
        <v>80.424413618547206</v>
      </c>
      <c r="AM5041">
        <v>87.415008623734295</v>
      </c>
      <c r="AN5041">
        <v>0.99999999624539404</v>
      </c>
    </row>
    <row r="5042" spans="1:40" x14ac:dyDescent="0.25">
      <c r="A5042" t="str">
        <f>"20190312164129778"</f>
        <v>20190312164129778</v>
      </c>
      <c r="B5042" t="str">
        <f>"1552380089771626"</f>
        <v>1552380089771626</v>
      </c>
      <c r="C5042" t="s">
        <v>40</v>
      </c>
      <c r="D5042">
        <v>5.5241959999999999</v>
      </c>
      <c r="E5042">
        <v>0.48537370000000002</v>
      </c>
      <c r="F5042" t="s">
        <v>41</v>
      </c>
      <c r="G5042">
        <v>-422.44740000000002</v>
      </c>
      <c r="H5042" s="1">
        <v>-1.4261709999999901E-6</v>
      </c>
      <c r="I5042">
        <v>71.395569999999907</v>
      </c>
      <c r="J5042">
        <v>-422.18189999999998</v>
      </c>
      <c r="K5042">
        <v>1.108851</v>
      </c>
      <c r="L5042">
        <v>89.575289999999995</v>
      </c>
      <c r="M5042">
        <v>-2.6373239999999999E-2</v>
      </c>
      <c r="N5042">
        <v>0</v>
      </c>
      <c r="O5042">
        <v>-0.99960839999999995</v>
      </c>
      <c r="P5042">
        <v>-6.9538740000000002E-2</v>
      </c>
      <c r="Q5042">
        <v>0.15677469999999999</v>
      </c>
      <c r="R5042">
        <v>-0.98518360000000005</v>
      </c>
      <c r="S5042">
        <v>-4.5654300000000002E-2</v>
      </c>
      <c r="T5042">
        <v>-0.1834086</v>
      </c>
      <c r="U5042">
        <v>-3.0715029999999999</v>
      </c>
      <c r="V5042">
        <v>4.3821819999999997E-2</v>
      </c>
      <c r="W5042">
        <v>0.16592119999999999</v>
      </c>
      <c r="X5042">
        <v>0.98516490000000001</v>
      </c>
      <c r="Y5042">
        <v>-1.154087E-2</v>
      </c>
      <c r="Z5042">
        <v>5.9570480000000002E-2</v>
      </c>
      <c r="AA5042">
        <v>0.99815739999999997</v>
      </c>
      <c r="AB5042">
        <v>38</v>
      </c>
      <c r="AC5042">
        <v>-0.26550000000003099</v>
      </c>
      <c r="AD5042">
        <v>-1.108852426171</v>
      </c>
      <c r="AE5042">
        <v>-18.17972</v>
      </c>
      <c r="AF5042">
        <v>-0.213278173448881</v>
      </c>
      <c r="AG5042">
        <v>-1.108852426171</v>
      </c>
      <c r="AH5042">
        <v>18.1130275399819</v>
      </c>
      <c r="AI5042">
        <v>93.5029476693242</v>
      </c>
      <c r="AJ5042">
        <v>90.674618004522799</v>
      </c>
      <c r="AK5042">
        <v>18.148190211325101</v>
      </c>
      <c r="AL5042">
        <v>80.449247348803596</v>
      </c>
      <c r="AM5042">
        <v>87.453064638183093</v>
      </c>
      <c r="AN5042">
        <v>1.00000003835478</v>
      </c>
    </row>
    <row r="5043" spans="1:40" x14ac:dyDescent="0.25">
      <c r="A5043" t="str">
        <f>"20190312164129800"</f>
        <v>20190312164129800</v>
      </c>
      <c r="B5043" t="str">
        <f>"1552380089791653"</f>
        <v>1552380089791653</v>
      </c>
      <c r="C5043" t="s">
        <v>40</v>
      </c>
      <c r="D5043">
        <v>5.5567449999999896</v>
      </c>
      <c r="E5043">
        <v>0.48533730000000003</v>
      </c>
      <c r="F5043" t="s">
        <v>41</v>
      </c>
      <c r="G5043">
        <v>-422.44920000000002</v>
      </c>
      <c r="H5043" s="1">
        <v>-1.675926E-6</v>
      </c>
      <c r="I5043">
        <v>71.976669999999999</v>
      </c>
      <c r="J5043">
        <v>-422.19189999999998</v>
      </c>
      <c r="K5043">
        <v>1.108997</v>
      </c>
      <c r="L5043">
        <v>89.207520000000002</v>
      </c>
      <c r="M5043">
        <v>-2.6607289999999999E-2</v>
      </c>
      <c r="N5043">
        <v>0</v>
      </c>
      <c r="O5043">
        <v>-0.99960150000000003</v>
      </c>
      <c r="P5043">
        <v>-6.9122059999999999E-2</v>
      </c>
      <c r="Q5043">
        <v>0.15668940000000001</v>
      </c>
      <c r="R5043">
        <v>-0.98522659999999995</v>
      </c>
      <c r="S5043">
        <v>-4.6661380000000002E-2</v>
      </c>
      <c r="T5043">
        <v>-0.1936021</v>
      </c>
      <c r="U5043">
        <v>-3.0726619999999998</v>
      </c>
      <c r="V5043">
        <v>4.3115260000000002E-2</v>
      </c>
      <c r="W5043">
        <v>0.16595979999999999</v>
      </c>
      <c r="X5043">
        <v>0.9851896</v>
      </c>
      <c r="Y5043">
        <v>-1.1456579999999999E-2</v>
      </c>
      <c r="Z5043">
        <v>6.2844209999999998E-2</v>
      </c>
      <c r="AA5043">
        <v>0.9979576</v>
      </c>
      <c r="AB5043">
        <v>38</v>
      </c>
      <c r="AC5043">
        <v>-0.25730000000004299</v>
      </c>
      <c r="AD5043">
        <v>-1.108998675926</v>
      </c>
      <c r="AE5043">
        <v>-17.23085</v>
      </c>
      <c r="AF5043">
        <v>-0.20044756086063301</v>
      </c>
      <c r="AG5043">
        <v>-1.108998675926</v>
      </c>
      <c r="AH5043">
        <v>17.1605261030425</v>
      </c>
      <c r="AI5043">
        <v>93.697345334211704</v>
      </c>
      <c r="AJ5043">
        <v>90.669226391881097</v>
      </c>
      <c r="AK5043">
        <v>17.197491486291302</v>
      </c>
      <c r="AL5043">
        <v>80.447004889525601</v>
      </c>
      <c r="AM5043">
        <v>87.494140055240095</v>
      </c>
      <c r="AN5043">
        <v>1.0000000644045299</v>
      </c>
    </row>
    <row r="5044" spans="1:40" x14ac:dyDescent="0.25">
      <c r="A5044" t="str">
        <f>"20190312164129815"</f>
        <v>20190312164129815</v>
      </c>
      <c r="B5044" t="str">
        <f>"1552380089801413"</f>
        <v>1552380089801413</v>
      </c>
      <c r="C5044" t="s">
        <v>40</v>
      </c>
      <c r="D5044">
        <v>5.4624259999999998</v>
      </c>
      <c r="E5044">
        <v>0.48534070000000001</v>
      </c>
      <c r="F5044" t="s">
        <v>41</v>
      </c>
      <c r="G5044">
        <v>-422.45819999999998</v>
      </c>
      <c r="H5044" s="1">
        <v>-1.5079420000000001E-6</v>
      </c>
      <c r="I5044">
        <v>71.579509999999999</v>
      </c>
      <c r="J5044">
        <v>-422.1986</v>
      </c>
      <c r="K5044">
        <v>1.109084</v>
      </c>
      <c r="L5044">
        <v>88.96011</v>
      </c>
      <c r="M5044">
        <v>-2.6710419999999999E-2</v>
      </c>
      <c r="N5044">
        <v>0</v>
      </c>
      <c r="O5044">
        <v>-0.99959810000000004</v>
      </c>
      <c r="P5044">
        <v>-6.899574E-2</v>
      </c>
      <c r="Q5044">
        <v>0.15677099999999999</v>
      </c>
      <c r="R5044">
        <v>-0.98522220000000005</v>
      </c>
      <c r="S5044">
        <v>-4.6417239999999999E-2</v>
      </c>
      <c r="T5044">
        <v>-0.1932932</v>
      </c>
      <c r="U5044">
        <v>-3.072479</v>
      </c>
      <c r="V5044">
        <v>4.285373E-2</v>
      </c>
      <c r="W5044">
        <v>0.16611589999999901</v>
      </c>
      <c r="X5044">
        <v>0.98517469999999996</v>
      </c>
      <c r="Y5044">
        <v>-1.163805E-2</v>
      </c>
      <c r="Z5044">
        <v>6.2747789999999998E-2</v>
      </c>
      <c r="AA5044">
        <v>0.9979616</v>
      </c>
      <c r="AB5044">
        <v>38</v>
      </c>
      <c r="AC5044">
        <v>-0.25959999999997702</v>
      </c>
      <c r="AD5044">
        <v>-1.1090855079419999</v>
      </c>
      <c r="AE5044">
        <v>-17.380600000000001</v>
      </c>
      <c r="AF5044">
        <v>-0.20392650332602699</v>
      </c>
      <c r="AG5044">
        <v>-1.1090855079419999</v>
      </c>
      <c r="AH5044">
        <v>17.310859683524299</v>
      </c>
      <c r="AI5044">
        <v>93.665606138659498</v>
      </c>
      <c r="AJ5044">
        <v>90.674928209412997</v>
      </c>
      <c r="AK5044">
        <v>17.3475508261355</v>
      </c>
      <c r="AL5044">
        <v>80.437935101417494</v>
      </c>
      <c r="AM5044">
        <v>87.5092833629041</v>
      </c>
      <c r="AN5044">
        <v>1.0000000619639</v>
      </c>
    </row>
    <row r="5045" spans="1:40" x14ac:dyDescent="0.25">
      <c r="A5045" t="str">
        <f>"20190312164129834"</f>
        <v>20190312164129834</v>
      </c>
      <c r="B5045" t="str">
        <f>"1552380089820933"</f>
        <v>1552380089820933</v>
      </c>
      <c r="C5045" t="s">
        <v>40</v>
      </c>
      <c r="D5045">
        <v>5.4586169999999896</v>
      </c>
      <c r="E5045">
        <v>0.48539789999999999</v>
      </c>
      <c r="F5045" t="s">
        <v>41</v>
      </c>
      <c r="G5045">
        <v>-422.46409999999997</v>
      </c>
      <c r="H5045" s="1">
        <v>-1.3198700000000001E-6</v>
      </c>
      <c r="I5045">
        <v>71.137429999999995</v>
      </c>
      <c r="J5045">
        <v>-422.20729999999998</v>
      </c>
      <c r="K5045">
        <v>1.1091899999999999</v>
      </c>
      <c r="L5045">
        <v>88.636780000000002</v>
      </c>
      <c r="M5045">
        <v>-2.6795739999999998E-2</v>
      </c>
      <c r="N5045">
        <v>0</v>
      </c>
      <c r="O5045">
        <v>-0.99959480000000001</v>
      </c>
      <c r="P5045">
        <v>-6.8663929999999998E-2</v>
      </c>
      <c r="Q5045">
        <v>0.15739839999999999</v>
      </c>
      <c r="R5045">
        <v>-0.98514539999999995</v>
      </c>
      <c r="S5045">
        <v>-4.5776369999999997E-2</v>
      </c>
      <c r="T5045">
        <v>-0.19118170000000001</v>
      </c>
      <c r="U5045">
        <v>-3.072235</v>
      </c>
      <c r="V5045">
        <v>4.2403820000000002E-2</v>
      </c>
      <c r="W5045">
        <v>0.1668338</v>
      </c>
      <c r="X5045">
        <v>0.98507279999999997</v>
      </c>
      <c r="Y5045">
        <v>-1.192972E-2</v>
      </c>
      <c r="Z5045">
        <v>6.2069649999999997E-2</v>
      </c>
      <c r="AA5045">
        <v>0.99800049999999996</v>
      </c>
      <c r="AB5045">
        <v>38</v>
      </c>
      <c r="AC5045">
        <v>-0.25679999999999797</v>
      </c>
      <c r="AD5045">
        <v>-1.1091913198700001</v>
      </c>
      <c r="AE5045">
        <v>-17.4993499999999</v>
      </c>
      <c r="AF5045">
        <v>-0.21137284097577799</v>
      </c>
      <c r="AG5045">
        <v>-1.1091913198700001</v>
      </c>
      <c r="AH5045">
        <v>17.429935568623002</v>
      </c>
      <c r="AI5045">
        <v>93.640962792222894</v>
      </c>
      <c r="AJ5045">
        <v>90.694791900379499</v>
      </c>
      <c r="AK5045">
        <v>17.4664718185536</v>
      </c>
      <c r="AL5045">
        <v>80.396219869275996</v>
      </c>
      <c r="AM5045">
        <v>87.535145690192394</v>
      </c>
      <c r="AN5045">
        <v>1.00000001103643</v>
      </c>
    </row>
    <row r="5046" spans="1:40" x14ac:dyDescent="0.25">
      <c r="A5046" t="str">
        <f>"20190312164129857"</f>
        <v>20190312164129857</v>
      </c>
      <c r="B5046" t="str">
        <f>"1552380089851189"</f>
        <v>1552380089851189</v>
      </c>
      <c r="C5046" t="s">
        <v>40</v>
      </c>
      <c r="D5046">
        <v>5.4739959999999996</v>
      </c>
      <c r="E5046">
        <v>0.4852168</v>
      </c>
      <c r="F5046" t="s">
        <v>41</v>
      </c>
      <c r="G5046">
        <v>-422.47910000000002</v>
      </c>
      <c r="H5046" s="1">
        <v>-1.0125259999999999E-6</v>
      </c>
      <c r="I5046">
        <v>70.411739999999995</v>
      </c>
      <c r="J5046">
        <v>-422.21769999999998</v>
      </c>
      <c r="K5046">
        <v>1.1092850000000001</v>
      </c>
      <c r="L5046">
        <v>88.250609999999995</v>
      </c>
      <c r="M5046">
        <v>-2.683843E-2</v>
      </c>
      <c r="N5046">
        <v>0</v>
      </c>
      <c r="O5046">
        <v>-0.9995927</v>
      </c>
      <c r="P5046">
        <v>-6.8178730000000007E-2</v>
      </c>
      <c r="Q5046">
        <v>0.1581177</v>
      </c>
      <c r="R5046">
        <v>-0.98506389999999999</v>
      </c>
      <c r="S5046">
        <v>-4.5806880000000001E-2</v>
      </c>
      <c r="T5046">
        <v>-0.18696019999999999</v>
      </c>
      <c r="U5046">
        <v>-3.07193</v>
      </c>
      <c r="V5046">
        <v>4.1843110000000003E-2</v>
      </c>
      <c r="W5046">
        <v>0.16765329999999901</v>
      </c>
      <c r="X5046">
        <v>0.98495759999999999</v>
      </c>
      <c r="Y5046">
        <v>-1.195981E-2</v>
      </c>
      <c r="Z5046">
        <v>6.0710100000000003E-2</v>
      </c>
      <c r="AA5046">
        <v>0.99808379999999997</v>
      </c>
      <c r="AB5046">
        <v>38</v>
      </c>
      <c r="AC5046">
        <v>-0.26140000000003699</v>
      </c>
      <c r="AD5046">
        <v>-1.109286012526</v>
      </c>
      <c r="AE5046">
        <v>-17.838869999999901</v>
      </c>
      <c r="AF5046">
        <v>-0.21664641857296199</v>
      </c>
      <c r="AG5046">
        <v>-1.109286012526</v>
      </c>
      <c r="AH5046">
        <v>17.770758128747701</v>
      </c>
      <c r="AI5046">
        <v>93.571617146213498</v>
      </c>
      <c r="AJ5046">
        <v>90.6984682611632</v>
      </c>
      <c r="AK5046">
        <v>17.806664359130199</v>
      </c>
      <c r="AL5046">
        <v>80.348594855223894</v>
      </c>
      <c r="AM5046">
        <v>87.567415163568597</v>
      </c>
      <c r="AN5046">
        <v>0.99999997432655996</v>
      </c>
    </row>
    <row r="5047" spans="1:40" x14ac:dyDescent="0.25">
      <c r="A5047" t="str">
        <f>"20190312164129879"</f>
        <v>20190312164129879</v>
      </c>
      <c r="B5047" t="str">
        <f>"1552380089871702"</f>
        <v>1552380089871702</v>
      </c>
      <c r="C5047" t="s">
        <v>40</v>
      </c>
      <c r="D5047">
        <v>5.6932410000000004</v>
      </c>
      <c r="E5047">
        <v>0.48510500000000001</v>
      </c>
      <c r="F5047" t="s">
        <v>41</v>
      </c>
      <c r="G5047">
        <v>-422.48910000000001</v>
      </c>
      <c r="H5047" s="1">
        <v>-4.6491530000000001E-6</v>
      </c>
      <c r="I5047">
        <v>69.351100000000002</v>
      </c>
      <c r="J5047">
        <v>-422.22789999999998</v>
      </c>
      <c r="K5047">
        <v>1.1093630000000001</v>
      </c>
      <c r="L5047">
        <v>87.873930000000001</v>
      </c>
      <c r="M5047">
        <v>-2.682814E-2</v>
      </c>
      <c r="N5047">
        <v>0</v>
      </c>
      <c r="O5047">
        <v>-0.99959219999999904</v>
      </c>
      <c r="P5047">
        <v>-6.7526619999999996E-2</v>
      </c>
      <c r="Q5047">
        <v>0.1577876</v>
      </c>
      <c r="R5047">
        <v>-0.98516170000000003</v>
      </c>
      <c r="S5047">
        <v>-4.4097900000000002E-2</v>
      </c>
      <c r="T5047">
        <v>-0.18027190000000001</v>
      </c>
      <c r="U5047">
        <v>-3.0713810000000001</v>
      </c>
      <c r="V5047">
        <v>4.1169200000000003E-2</v>
      </c>
      <c r="W5047">
        <v>0.16741259999999999</v>
      </c>
      <c r="X5047">
        <v>0.98502699999999999</v>
      </c>
      <c r="Y5047">
        <v>-1.2500259999999999E-2</v>
      </c>
      <c r="Z5047">
        <v>5.8556339999999998E-2</v>
      </c>
      <c r="AA5047">
        <v>0.99820580000000003</v>
      </c>
      <c r="AB5047">
        <v>38</v>
      </c>
      <c r="AC5047">
        <v>-0.26120000000003002</v>
      </c>
      <c r="AD5047">
        <v>-1.10936764915299</v>
      </c>
      <c r="AE5047">
        <v>-18.522829999999999</v>
      </c>
      <c r="AF5047">
        <v>-0.23500806181314299</v>
      </c>
      <c r="AG5047">
        <v>-1.10936764915299</v>
      </c>
      <c r="AH5047">
        <v>18.4569773448472</v>
      </c>
      <c r="AI5047">
        <v>93.4393807851513</v>
      </c>
      <c r="AJ5047">
        <v>90.729493364631296</v>
      </c>
      <c r="AK5047">
        <v>18.4917802841778</v>
      </c>
      <c r="AL5047">
        <v>80.3625842628296</v>
      </c>
      <c r="AM5047">
        <v>87.606715995086901</v>
      </c>
      <c r="AN5047">
        <v>1.00000003619819</v>
      </c>
    </row>
    <row r="5048" spans="1:40" x14ac:dyDescent="0.25">
      <c r="A5048" t="str">
        <f>"20190312164129901"</f>
        <v>20190312164129901</v>
      </c>
      <c r="B5048" t="str">
        <f>"1552380089891712"</f>
        <v>1552380089891712</v>
      </c>
      <c r="C5048" t="s">
        <v>40</v>
      </c>
      <c r="D5048">
        <v>5.4856629999999997</v>
      </c>
      <c r="E5048">
        <v>0.48350680000000001</v>
      </c>
      <c r="F5048" t="s">
        <v>41</v>
      </c>
      <c r="G5048">
        <v>-422.48540000000003</v>
      </c>
      <c r="H5048" s="1">
        <v>-4.4858570000000004E-6</v>
      </c>
      <c r="I5048">
        <v>68.873140000000006</v>
      </c>
      <c r="J5048">
        <v>-422.23790000000002</v>
      </c>
      <c r="K5048">
        <v>1.109429</v>
      </c>
      <c r="L5048">
        <v>87.499390000000005</v>
      </c>
      <c r="M5048">
        <v>-2.6782920000000002E-2</v>
      </c>
      <c r="N5048">
        <v>0</v>
      </c>
      <c r="O5048">
        <v>-0.99959260000000005</v>
      </c>
      <c r="P5048">
        <v>-6.699977E-2</v>
      </c>
      <c r="Q5048">
        <v>0.157725</v>
      </c>
      <c r="R5048">
        <v>-0.98520759999999996</v>
      </c>
      <c r="S5048">
        <v>-4.162598E-2</v>
      </c>
      <c r="T5048">
        <v>-0.17930399999999999</v>
      </c>
      <c r="U5048">
        <v>-3.0710449999999998</v>
      </c>
      <c r="V5048">
        <v>4.0660700000000001E-2</v>
      </c>
      <c r="W5048">
        <v>0.16742860000000001</v>
      </c>
      <c r="X5048">
        <v>0.98504539999999996</v>
      </c>
      <c r="Y5048">
        <v>-1.3256550000000001E-2</v>
      </c>
      <c r="Z5048">
        <v>5.8249519999999999E-2</v>
      </c>
      <c r="AA5048">
        <v>0.99821400000000005</v>
      </c>
      <c r="AB5048">
        <v>38</v>
      </c>
      <c r="AC5048">
        <v>-0.247500000000002</v>
      </c>
      <c r="AD5048">
        <v>-1.1094334858570001</v>
      </c>
      <c r="AE5048">
        <v>-18.626249999999999</v>
      </c>
      <c r="AF5048">
        <v>-0.250589561567925</v>
      </c>
      <c r="AG5048">
        <v>-1.1094334858570001</v>
      </c>
      <c r="AH5048">
        <v>18.560361014976301</v>
      </c>
      <c r="AI5048">
        <v>93.420436687651801</v>
      </c>
      <c r="AJ5048">
        <v>90.773522236343197</v>
      </c>
      <c r="AK5048">
        <v>18.595177837121099</v>
      </c>
      <c r="AL5048">
        <v>80.361654387922101</v>
      </c>
      <c r="AM5048">
        <v>87.636286926636899</v>
      </c>
      <c r="AN5048">
        <v>1.0000000343418001</v>
      </c>
    </row>
    <row r="5049" spans="1:40" x14ac:dyDescent="0.25">
      <c r="A5049" t="str">
        <f>"20190312164129947"</f>
        <v>20190312164129947</v>
      </c>
      <c r="B5049" t="str">
        <f>"1552380089941489"</f>
        <v>1552380089941489</v>
      </c>
      <c r="C5049" t="s">
        <v>40</v>
      </c>
      <c r="D5049">
        <v>5.550605</v>
      </c>
      <c r="E5049">
        <v>0.48217870000000002</v>
      </c>
      <c r="F5049" t="s">
        <v>42</v>
      </c>
      <c r="G5049">
        <v>-422.24509999999998</v>
      </c>
      <c r="H5049">
        <v>1.018219</v>
      </c>
      <c r="I5049">
        <v>86.488140000000001</v>
      </c>
      <c r="J5049">
        <v>-422.25880000000001</v>
      </c>
      <c r="K5049">
        <v>1.1095469999999901</v>
      </c>
      <c r="L5049">
        <v>86.720060000000004</v>
      </c>
      <c r="M5049">
        <v>-2.663981E-2</v>
      </c>
      <c r="N5049">
        <v>0</v>
      </c>
      <c r="O5049">
        <v>-0.99959520000000002</v>
      </c>
      <c r="P5049">
        <v>-6.5664559999999997E-2</v>
      </c>
      <c r="Q5049">
        <v>0.1583019</v>
      </c>
      <c r="R5049">
        <v>-0.98520479999999999</v>
      </c>
      <c r="S5049">
        <v>-2.157593E-2</v>
      </c>
      <c r="T5049">
        <v>-0.27856110000000001</v>
      </c>
      <c r="U5049">
        <v>-3.0881959999999999</v>
      </c>
      <c r="V5049">
        <v>3.9424870000000001E-2</v>
      </c>
      <c r="W5049">
        <v>0.16814209999999999</v>
      </c>
      <c r="X5049">
        <v>0.98497409999999996</v>
      </c>
      <c r="Y5049">
        <v>-1.9684770000000001E-2</v>
      </c>
      <c r="Z5049">
        <v>8.9779620000000004E-2</v>
      </c>
      <c r="AA5049">
        <v>0.99576710000000002</v>
      </c>
      <c r="AB5049">
        <v>38</v>
      </c>
      <c r="AC5049">
        <v>1.37000000000284E-2</v>
      </c>
      <c r="AD5049">
        <v>-9.1327999999999798E-2</v>
      </c>
      <c r="AE5049">
        <v>-0.23192000000000201</v>
      </c>
      <c r="AF5049">
        <v>-1.7213683885857901E-2</v>
      </c>
      <c r="AG5049">
        <v>-9.1327999999999798E-2</v>
      </c>
      <c r="AH5049">
        <v>0.200490487064547</v>
      </c>
      <c r="AI5049">
        <v>114.411071069076</v>
      </c>
      <c r="AJ5049">
        <v>94.907258477459607</v>
      </c>
      <c r="AK5049">
        <v>0.22098314392799601</v>
      </c>
      <c r="AL5049">
        <v>80.320185951248106</v>
      </c>
      <c r="AM5049">
        <v>87.707885418497199</v>
      </c>
      <c r="AN5049">
        <v>1.00000003191886</v>
      </c>
    </row>
    <row r="5050" spans="1:40" x14ac:dyDescent="0.25">
      <c r="A5050" t="str">
        <f>"20190312164129968"</f>
        <v>20190312164129968</v>
      </c>
      <c r="B5050" t="str">
        <f>"1552380089961008"</f>
        <v>1552380089961008</v>
      </c>
      <c r="C5050" t="s">
        <v>40</v>
      </c>
      <c r="D5050">
        <v>5.6014889999999999</v>
      </c>
      <c r="E5050">
        <v>0.48248269999999999</v>
      </c>
      <c r="F5050" t="s">
        <v>41</v>
      </c>
      <c r="G5050">
        <v>-422.3048</v>
      </c>
      <c r="H5050" s="1">
        <v>-1.7171259999999999E-6</v>
      </c>
      <c r="I5050">
        <v>72.162269999999907</v>
      </c>
      <c r="J5050">
        <v>-422.26870000000002</v>
      </c>
      <c r="K5050">
        <v>1.10959599999999</v>
      </c>
      <c r="L5050">
        <v>86.346919999999997</v>
      </c>
      <c r="M5050">
        <v>-2.6557000000000001E-2</v>
      </c>
      <c r="N5050">
        <v>0</v>
      </c>
      <c r="O5050">
        <v>-0.99959679999999995</v>
      </c>
      <c r="P5050">
        <v>-6.5265190000000001E-2</v>
      </c>
      <c r="Q5050">
        <v>0.15892970000000001</v>
      </c>
      <c r="R5050">
        <v>-0.98513030000000001</v>
      </c>
      <c r="S5050">
        <v>-9.7351069999999998E-3</v>
      </c>
      <c r="T5050">
        <v>-0.23491190000000001</v>
      </c>
      <c r="U5050">
        <v>-3.0821529999999999</v>
      </c>
      <c r="V5050">
        <v>3.9093450000000002E-2</v>
      </c>
      <c r="W5050">
        <v>0.168829799999999</v>
      </c>
      <c r="X5050">
        <v>0.98486969999999996</v>
      </c>
      <c r="Y5050">
        <v>-2.3409909999999999E-2</v>
      </c>
      <c r="Z5050">
        <v>7.5945639999999995E-2</v>
      </c>
      <c r="AA5050">
        <v>0.99683710000000003</v>
      </c>
      <c r="AB5050">
        <v>38</v>
      </c>
      <c r="AC5050">
        <v>-3.60999999999762E-2</v>
      </c>
      <c r="AD5050">
        <v>-1.1095977171260001</v>
      </c>
      <c r="AE5050">
        <v>-14.18465</v>
      </c>
      <c r="AF5050">
        <v>-0.338561791584092</v>
      </c>
      <c r="AG5050">
        <v>-1.1095977171260001</v>
      </c>
      <c r="AH5050">
        <v>14.094359842613001</v>
      </c>
      <c r="AI5050">
        <v>94.500111319920507</v>
      </c>
      <c r="AJ5050">
        <v>91.376042067630493</v>
      </c>
      <c r="AK5050">
        <v>14.142022859323699</v>
      </c>
      <c r="AL5050">
        <v>80.280212482303199</v>
      </c>
      <c r="AM5050">
        <v>87.726892805911305</v>
      </c>
      <c r="AN5050">
        <v>1.00000006258951</v>
      </c>
    </row>
    <row r="5051" spans="1:40" x14ac:dyDescent="0.25">
      <c r="A5051" t="str">
        <f>"20190312164129990"</f>
        <v>20190312164129990</v>
      </c>
      <c r="B5051" t="str">
        <f>"1552380089981036"</f>
        <v>1552380089981036</v>
      </c>
      <c r="C5051" t="s">
        <v>40</v>
      </c>
      <c r="D5051">
        <v>5.8675680000000003</v>
      </c>
      <c r="E5051">
        <v>0.48102260000000002</v>
      </c>
      <c r="F5051" t="s">
        <v>41</v>
      </c>
      <c r="G5051">
        <v>-422.33179999999999</v>
      </c>
      <c r="H5051" s="1">
        <v>-8.9430939999999996E-7</v>
      </c>
      <c r="I5051">
        <v>70.227490000000003</v>
      </c>
      <c r="J5051">
        <v>-422.27890000000002</v>
      </c>
      <c r="K5051">
        <v>1.1096360000000001</v>
      </c>
      <c r="L5051">
        <v>85.964230000000001</v>
      </c>
      <c r="M5051">
        <v>-2.6461829999999999E-2</v>
      </c>
      <c r="N5051">
        <v>0</v>
      </c>
      <c r="O5051">
        <v>-0.99959869999999995</v>
      </c>
      <c r="P5051">
        <v>-6.432831E-2</v>
      </c>
      <c r="Q5051">
        <v>0.1589776</v>
      </c>
      <c r="R5051">
        <v>-0.98518419999999896</v>
      </c>
      <c r="S5051">
        <v>-1.205444E-2</v>
      </c>
      <c r="T5051">
        <v>-0.21192340000000001</v>
      </c>
      <c r="U5051">
        <v>-3.0786739999999999</v>
      </c>
      <c r="V5051">
        <v>3.8235980000000003E-2</v>
      </c>
      <c r="W5051">
        <v>0.1689407</v>
      </c>
      <c r="X5051">
        <v>0.98488430000000005</v>
      </c>
      <c r="Y5051">
        <v>-2.2558140000000001E-2</v>
      </c>
      <c r="Z5051">
        <v>6.8628359999999999E-2</v>
      </c>
      <c r="AA5051">
        <v>0.99738720000000003</v>
      </c>
      <c r="AB5051">
        <v>38</v>
      </c>
      <c r="AC5051">
        <v>-5.2899999999965502E-2</v>
      </c>
      <c r="AD5051">
        <v>-1.1096368943093999</v>
      </c>
      <c r="AE5051">
        <v>-15.7367399999999</v>
      </c>
      <c r="AF5051">
        <v>-0.36176407257515603</v>
      </c>
      <c r="AG5051">
        <v>-1.1096368943093999</v>
      </c>
      <c r="AH5051">
        <v>15.654793762315901</v>
      </c>
      <c r="AI5051">
        <v>94.053357203813604</v>
      </c>
      <c r="AJ5051">
        <v>91.323803200670497</v>
      </c>
      <c r="AK5051">
        <v>15.6982398701912</v>
      </c>
      <c r="AL5051">
        <v>80.273765334066198</v>
      </c>
      <c r="AM5051">
        <v>87.776733137177203</v>
      </c>
      <c r="AN5051">
        <v>1.0000000173347701</v>
      </c>
    </row>
    <row r="5052" spans="1:40" x14ac:dyDescent="0.25">
      <c r="A5052" t="str">
        <f>"20190312164130013"</f>
        <v>20190312164130013</v>
      </c>
      <c r="B5052" t="str">
        <f>"1552380090001533"</f>
        <v>1552380090001533</v>
      </c>
      <c r="C5052" t="s">
        <v>40</v>
      </c>
      <c r="D5052">
        <v>5.4525499999999996</v>
      </c>
      <c r="E5052">
        <v>0.42324079999999897</v>
      </c>
      <c r="F5052" t="s">
        <v>41</v>
      </c>
      <c r="G5052">
        <v>-422.2688</v>
      </c>
      <c r="H5052" s="1">
        <v>-4.5206119999999999E-6</v>
      </c>
      <c r="I5052">
        <v>69.088179999999994</v>
      </c>
      <c r="J5052">
        <v>-422.28879999999998</v>
      </c>
      <c r="K5052">
        <v>1.1096710000000001</v>
      </c>
      <c r="L5052">
        <v>85.586299999999994</v>
      </c>
      <c r="M5052">
        <v>-2.6356939999999999E-2</v>
      </c>
      <c r="N5052">
        <v>0</v>
      </c>
      <c r="O5052">
        <v>-0.99960090000000001</v>
      </c>
      <c r="P5052">
        <v>-6.3614809999999994E-2</v>
      </c>
      <c r="Q5052">
        <v>0.158478799999999</v>
      </c>
      <c r="R5052">
        <v>-0.98531100000000005</v>
      </c>
      <c r="S5052">
        <v>1.8310550000000001E-3</v>
      </c>
      <c r="T5052">
        <v>-0.202378</v>
      </c>
      <c r="U5052">
        <v>-3.0778810000000001</v>
      </c>
      <c r="V5052">
        <v>3.7611720000000001E-2</v>
      </c>
      <c r="W5052">
        <v>0.16850499999999999</v>
      </c>
      <c r="X5052">
        <v>0.98498300000000005</v>
      </c>
      <c r="Y5052">
        <v>-2.6951699999999999E-2</v>
      </c>
      <c r="Z5052">
        <v>6.5564620000000004E-2</v>
      </c>
      <c r="AA5052">
        <v>0.99748429999999999</v>
      </c>
      <c r="AB5052">
        <v>38</v>
      </c>
      <c r="AC5052">
        <v>1.99999999999818E-2</v>
      </c>
      <c r="AD5052">
        <v>-1.1096755206119999</v>
      </c>
      <c r="AE5052">
        <v>-16.498119999999901</v>
      </c>
      <c r="AF5052">
        <v>-0.45280698463017099</v>
      </c>
      <c r="AG5052">
        <v>-1.1096755206119999</v>
      </c>
      <c r="AH5052">
        <v>16.417587578151501</v>
      </c>
      <c r="AI5052">
        <v>93.865312633275707</v>
      </c>
      <c r="AJ5052">
        <v>91.579851705004998</v>
      </c>
      <c r="AK5052">
        <v>16.461275643541398</v>
      </c>
      <c r="AL5052">
        <v>80.299092458076501</v>
      </c>
      <c r="AM5052">
        <v>87.8132147160036</v>
      </c>
      <c r="AN5052">
        <v>1.0000000433976699</v>
      </c>
    </row>
    <row r="5053" spans="1:40" x14ac:dyDescent="0.25">
      <c r="A5053" t="str">
        <f>"20190312164130035"</f>
        <v>20190312164130035</v>
      </c>
      <c r="B5053" t="str">
        <f>"1552380090031789"</f>
        <v>1552380090031789</v>
      </c>
      <c r="C5053" t="s">
        <v>40</v>
      </c>
      <c r="D5053">
        <v>5.4461370000000002</v>
      </c>
      <c r="E5053">
        <v>0.41094540000000002</v>
      </c>
      <c r="F5053" t="s">
        <v>41</v>
      </c>
      <c r="G5053">
        <v>-419.97469999999998</v>
      </c>
      <c r="H5053" s="1">
        <v>-2.372556E-7</v>
      </c>
      <c r="I5053">
        <v>70.157830000000004</v>
      </c>
      <c r="J5053">
        <v>-422.29880000000003</v>
      </c>
      <c r="K5053">
        <v>1.1097049999999999</v>
      </c>
      <c r="L5053">
        <v>85.202730000000003</v>
      </c>
      <c r="M5053">
        <v>-2.6235990000000001E-2</v>
      </c>
      <c r="N5053">
        <v>0</v>
      </c>
      <c r="O5053">
        <v>-0.99960360000000004</v>
      </c>
      <c r="P5053">
        <v>-6.3147629999999996E-2</v>
      </c>
      <c r="Q5053">
        <v>0.1585646</v>
      </c>
      <c r="R5053">
        <v>-0.98532719999999896</v>
      </c>
      <c r="S5053">
        <v>0.46658329999999998</v>
      </c>
      <c r="T5053">
        <v>-0.22374260000000001</v>
      </c>
      <c r="U5053">
        <v>-3.11084</v>
      </c>
      <c r="V5053">
        <v>3.725353E-2</v>
      </c>
      <c r="W5053">
        <v>0.16865539999999901</v>
      </c>
      <c r="X5053">
        <v>0.98497080000000004</v>
      </c>
      <c r="Y5053">
        <v>-0.173850799999999</v>
      </c>
      <c r="Z5053">
        <v>7.0761080000000004E-2</v>
      </c>
      <c r="AA5053">
        <v>0.98222640000000006</v>
      </c>
      <c r="AB5053">
        <v>38</v>
      </c>
      <c r="AC5053">
        <v>2.32410000000004</v>
      </c>
      <c r="AD5053">
        <v>-1.1097052372556</v>
      </c>
      <c r="AE5053">
        <v>-15.044899999999901</v>
      </c>
      <c r="AF5053">
        <v>-2.7036719199912902</v>
      </c>
      <c r="AG5053">
        <v>-1.1097052372556</v>
      </c>
      <c r="AH5053">
        <v>14.899570996255401</v>
      </c>
      <c r="AI5053">
        <v>94.191272820860107</v>
      </c>
      <c r="AJ5053">
        <v>100.28496386557499</v>
      </c>
      <c r="AK5053">
        <v>15.1834944409051</v>
      </c>
      <c r="AL5053">
        <v>80.290349362679805</v>
      </c>
      <c r="AM5053">
        <v>87.833993529047603</v>
      </c>
      <c r="AN5053">
        <v>0.99999997314962996</v>
      </c>
    </row>
    <row r="5054" spans="1:40" x14ac:dyDescent="0.25">
      <c r="A5054" t="str">
        <f>"20190312164130049"</f>
        <v>20190312164130049</v>
      </c>
      <c r="B5054" t="str">
        <f>"1552380090041550"</f>
        <v>1552380090041550</v>
      </c>
      <c r="C5054" t="s">
        <v>40</v>
      </c>
      <c r="D5054">
        <v>5.4113179999999996</v>
      </c>
      <c r="E5054">
        <v>0.40970380000000001</v>
      </c>
      <c r="F5054" t="s">
        <v>41</v>
      </c>
      <c r="G5054">
        <v>-419.68579999999997</v>
      </c>
      <c r="H5054" s="1">
        <v>-5.6620769999999995E-7</v>
      </c>
      <c r="I5054">
        <v>70.822689999999994</v>
      </c>
      <c r="J5054">
        <v>-422.30500000000001</v>
      </c>
      <c r="K5054">
        <v>1.109728</v>
      </c>
      <c r="L5054">
        <v>84.963840000000005</v>
      </c>
      <c r="M5054">
        <v>-2.6150130000000001E-2</v>
      </c>
      <c r="N5054">
        <v>0</v>
      </c>
      <c r="O5054">
        <v>-0.99960550000000004</v>
      </c>
      <c r="P5054">
        <v>-6.3044619999999996E-2</v>
      </c>
      <c r="Q5054">
        <v>0.15884309999999999</v>
      </c>
      <c r="R5054">
        <v>-0.98528930000000003</v>
      </c>
      <c r="S5054">
        <v>0.56689449999999997</v>
      </c>
      <c r="T5054">
        <v>-0.2407484</v>
      </c>
      <c r="U5054">
        <v>-3.11972</v>
      </c>
      <c r="V5054">
        <v>3.7230020000000003E-2</v>
      </c>
      <c r="W5054">
        <v>0.1689764</v>
      </c>
      <c r="X5054">
        <v>0.98491669999999998</v>
      </c>
      <c r="Y5054">
        <v>-0.2039436</v>
      </c>
      <c r="Z5054">
        <v>7.5478459999999997E-2</v>
      </c>
      <c r="AA5054">
        <v>0.97606870000000001</v>
      </c>
      <c r="AB5054">
        <v>38</v>
      </c>
      <c r="AC5054">
        <v>2.6192000000000299</v>
      </c>
      <c r="AD5054">
        <v>-1.1097285662076899</v>
      </c>
      <c r="AE5054">
        <v>-14.1411499999999</v>
      </c>
      <c r="AF5054">
        <v>-2.9704303415139099</v>
      </c>
      <c r="AG5054">
        <v>-1.1097285662076899</v>
      </c>
      <c r="AH5054">
        <v>13.984552354359099</v>
      </c>
      <c r="AI5054">
        <v>94.438521979049199</v>
      </c>
      <c r="AJ5054">
        <v>101.991853962384</v>
      </c>
      <c r="AK5054">
        <v>14.3395487535785</v>
      </c>
      <c r="AL5054">
        <v>80.271689888363397</v>
      </c>
      <c r="AM5054">
        <v>87.835240366758697</v>
      </c>
      <c r="AN5054">
        <v>1.0000000020425199</v>
      </c>
    </row>
    <row r="5055" spans="1:40" x14ac:dyDescent="0.25">
      <c r="A5055" t="str">
        <f>"20190312164130068"</f>
        <v>20190312164130068</v>
      </c>
      <c r="B5055" t="str">
        <f>"1552380090061069"</f>
        <v>1552380090061069</v>
      </c>
      <c r="C5055" t="s">
        <v>40</v>
      </c>
      <c r="D5055">
        <v>5.392557</v>
      </c>
      <c r="E5055">
        <v>0.40861540000000002</v>
      </c>
      <c r="F5055" t="s">
        <v>41</v>
      </c>
      <c r="G5055">
        <v>-419.64640000000003</v>
      </c>
      <c r="H5055" s="1">
        <v>-4.7186230000000002E-7</v>
      </c>
      <c r="I5055">
        <v>70.586460000000002</v>
      </c>
      <c r="J5055">
        <v>-422.31369999999998</v>
      </c>
      <c r="K5055">
        <v>1.1097549999999901</v>
      </c>
      <c r="L5055">
        <v>84.626980000000003</v>
      </c>
      <c r="M5055">
        <v>-2.6015779999999999E-2</v>
      </c>
      <c r="N5055">
        <v>0</v>
      </c>
      <c r="O5055">
        <v>-0.9996081</v>
      </c>
      <c r="P5055">
        <v>-6.2528879999999995E-2</v>
      </c>
      <c r="Q5055">
        <v>0.15927929999999901</v>
      </c>
      <c r="R5055">
        <v>-0.9852514</v>
      </c>
      <c r="S5055">
        <v>0.57705689999999998</v>
      </c>
      <c r="T5055">
        <v>-0.24086399999999999</v>
      </c>
      <c r="U5055">
        <v>-3.1205750000000001</v>
      </c>
      <c r="V5055">
        <v>3.6838540000000003E-2</v>
      </c>
      <c r="W5055">
        <v>0.16947499999999999</v>
      </c>
      <c r="X5055">
        <v>0.98484579999999999</v>
      </c>
      <c r="Y5055">
        <v>-0.20683979999999999</v>
      </c>
      <c r="Z5055">
        <v>7.5449630000000004E-2</v>
      </c>
      <c r="AA5055">
        <v>0.97546120000000003</v>
      </c>
      <c r="AB5055">
        <v>38</v>
      </c>
      <c r="AC5055">
        <v>2.6672999999999498</v>
      </c>
      <c r="AD5055">
        <v>-1.10975547186229</v>
      </c>
      <c r="AE5055">
        <v>-14.040520000000001</v>
      </c>
      <c r="AF5055">
        <v>-3.0135212653714598</v>
      </c>
      <c r="AG5055">
        <v>-1.10975547186229</v>
      </c>
      <c r="AH5055">
        <v>13.882664228872001</v>
      </c>
      <c r="AI5055">
        <v>94.466813548074995</v>
      </c>
      <c r="AJ5055">
        <v>102.24723862174901</v>
      </c>
      <c r="AK5055">
        <v>14.2492537950511</v>
      </c>
      <c r="AL5055">
        <v>80.242704650099498</v>
      </c>
      <c r="AM5055">
        <v>87.857827804306197</v>
      </c>
      <c r="AN5055">
        <v>1.0000000517159799</v>
      </c>
    </row>
    <row r="5056" spans="1:40" x14ac:dyDescent="0.25">
      <c r="A5056" t="str">
        <f>"20190312164130083"</f>
        <v>20190312164130083</v>
      </c>
      <c r="B5056" t="str">
        <f>"1552380090070829"</f>
        <v>1552380090070829</v>
      </c>
      <c r="C5056" t="s">
        <v>40</v>
      </c>
      <c r="D5056">
        <v>5.4332849999999997</v>
      </c>
      <c r="E5056">
        <v>0.40788410000000003</v>
      </c>
      <c r="F5056" t="s">
        <v>41</v>
      </c>
      <c r="G5056">
        <v>-419.67610000000002</v>
      </c>
      <c r="H5056" s="1">
        <v>-4.7755649999999995E-7</v>
      </c>
      <c r="I5056">
        <v>70.612049999999996</v>
      </c>
      <c r="J5056">
        <v>-422.31990000000002</v>
      </c>
      <c r="K5056">
        <v>1.1097809999999999</v>
      </c>
      <c r="L5056">
        <v>84.38843</v>
      </c>
      <c r="M5056">
        <v>-2.5909560000000002E-2</v>
      </c>
      <c r="N5056">
        <v>0</v>
      </c>
      <c r="O5056">
        <v>-0.99961049999999996</v>
      </c>
      <c r="P5056">
        <v>-6.2227419999999999E-2</v>
      </c>
      <c r="Q5056">
        <v>0.1594632</v>
      </c>
      <c r="R5056">
        <v>-0.98524100000000003</v>
      </c>
      <c r="S5056">
        <v>0.58758540000000004</v>
      </c>
      <c r="T5056">
        <v>-0.24722469999999999</v>
      </c>
      <c r="U5056">
        <v>-3.1221619999999999</v>
      </c>
      <c r="V5056">
        <v>3.6635029999999999E-2</v>
      </c>
      <c r="W5056">
        <v>0.169705299999999</v>
      </c>
      <c r="X5056">
        <v>0.98481370000000001</v>
      </c>
      <c r="Y5056">
        <v>-0.20979819999999999</v>
      </c>
      <c r="Z5056">
        <v>7.7343620000000002E-2</v>
      </c>
      <c r="AA5056">
        <v>0.97468080000000001</v>
      </c>
      <c r="AB5056">
        <v>38</v>
      </c>
      <c r="AC5056">
        <v>2.6438000000000001</v>
      </c>
      <c r="AD5056">
        <v>-1.10978147755649</v>
      </c>
      <c r="AE5056">
        <v>-13.77638</v>
      </c>
      <c r="AF5056">
        <v>-2.9812123997505098</v>
      </c>
      <c r="AG5056">
        <v>-1.10978147755649</v>
      </c>
      <c r="AH5056">
        <v>13.6180175236099</v>
      </c>
      <c r="AI5056">
        <v>94.551622886177398</v>
      </c>
      <c r="AJ5056">
        <v>102.34820578454701</v>
      </c>
      <c r="AK5056">
        <v>13.984621681465001</v>
      </c>
      <c r="AL5056">
        <v>80.229315163506499</v>
      </c>
      <c r="AM5056">
        <v>87.869581663201998</v>
      </c>
      <c r="AN5056">
        <v>1.00000001898944</v>
      </c>
    </row>
    <row r="5057" spans="1:40" x14ac:dyDescent="0.25">
      <c r="A5057" t="str">
        <f>"20190312164130102"</f>
        <v>20190312164130102</v>
      </c>
      <c r="B5057" t="str">
        <f>"1552380090090856"</f>
        <v>1552380090090856</v>
      </c>
      <c r="C5057" t="s">
        <v>40</v>
      </c>
      <c r="D5057">
        <v>5.3381089999999896</v>
      </c>
      <c r="E5057">
        <v>0.40711720000000001</v>
      </c>
      <c r="F5057" t="s">
        <v>41</v>
      </c>
      <c r="G5057">
        <v>-419.6737</v>
      </c>
      <c r="H5057" s="1">
        <v>-4.254032E-7</v>
      </c>
      <c r="I5057">
        <v>70.489490000000004</v>
      </c>
      <c r="J5057">
        <v>-422.32830000000001</v>
      </c>
      <c r="K5057">
        <v>1.109812</v>
      </c>
      <c r="L5057">
        <v>84.059019999999904</v>
      </c>
      <c r="M5057">
        <v>-2.574427E-2</v>
      </c>
      <c r="N5057">
        <v>0</v>
      </c>
      <c r="O5057">
        <v>-0.99961440000000001</v>
      </c>
      <c r="P5057">
        <v>-6.1544000000000001E-2</v>
      </c>
      <c r="Q5057">
        <v>0.1595345</v>
      </c>
      <c r="R5057">
        <v>-0.98527229999999999</v>
      </c>
      <c r="S5057">
        <v>0.5945435</v>
      </c>
      <c r="T5057">
        <v>-0.24934719999999999</v>
      </c>
      <c r="U5057">
        <v>-3.122833</v>
      </c>
      <c r="V5057">
        <v>3.6103389999999999E-2</v>
      </c>
      <c r="W5057">
        <v>0.16984109999999999</v>
      </c>
      <c r="X5057">
        <v>0.98480990000000002</v>
      </c>
      <c r="Y5057">
        <v>-0.2116857</v>
      </c>
      <c r="Z5057">
        <v>7.7955679999999999E-2</v>
      </c>
      <c r="AA5057">
        <v>0.97422390000000003</v>
      </c>
      <c r="AB5057">
        <v>38</v>
      </c>
      <c r="AC5057">
        <v>2.6546000000000101</v>
      </c>
      <c r="AD5057">
        <v>-1.1098124254032</v>
      </c>
      <c r="AE5057">
        <v>-13.569529999999901</v>
      </c>
      <c r="AF5057">
        <v>-2.9838529574991801</v>
      </c>
      <c r="AG5057">
        <v>-1.1098124254032</v>
      </c>
      <c r="AH5057">
        <v>13.4102909222996</v>
      </c>
      <c r="AI5057">
        <v>94.618479442104402</v>
      </c>
      <c r="AJ5057">
        <v>102.54423074359499</v>
      </c>
      <c r="AK5057">
        <v>13.7829954912663</v>
      </c>
      <c r="AL5057">
        <v>80.221419559492702</v>
      </c>
      <c r="AM5057">
        <v>87.900461889351604</v>
      </c>
      <c r="AN5057">
        <v>0.99999999657835603</v>
      </c>
    </row>
    <row r="5058" spans="1:40" x14ac:dyDescent="0.25">
      <c r="A5058" t="str">
        <f>"20190312164130125"</f>
        <v>20190312164130125</v>
      </c>
      <c r="B5058" t="str">
        <f>"1552380090121111"</f>
        <v>1552380090121111</v>
      </c>
      <c r="C5058" t="s">
        <v>40</v>
      </c>
      <c r="D5058">
        <v>5.3905969999999996</v>
      </c>
      <c r="E5058">
        <v>0.40677370000000002</v>
      </c>
      <c r="F5058" t="s">
        <v>41</v>
      </c>
      <c r="G5058">
        <v>-419.65140000000002</v>
      </c>
      <c r="H5058" s="1">
        <v>-2.99778E-7</v>
      </c>
      <c r="I5058">
        <v>70.187399999999997</v>
      </c>
      <c r="J5058">
        <v>-422.3381</v>
      </c>
      <c r="K5058">
        <v>1.1098570000000001</v>
      </c>
      <c r="L5058">
        <v>83.667659999999998</v>
      </c>
      <c r="M5058">
        <v>-2.5514789999999999E-2</v>
      </c>
      <c r="N5058">
        <v>0</v>
      </c>
      <c r="O5058">
        <v>-0.99961909999999998</v>
      </c>
      <c r="P5058">
        <v>-6.0670460000000002E-2</v>
      </c>
      <c r="Q5058">
        <v>0.15980749999999999</v>
      </c>
      <c r="R5058">
        <v>-0.98528199999999999</v>
      </c>
      <c r="S5058">
        <v>0.60266109999999995</v>
      </c>
      <c r="T5058">
        <v>-0.24985499999999999</v>
      </c>
      <c r="U5058">
        <v>-3.1229550000000001</v>
      </c>
      <c r="V5058">
        <v>3.5442130000000002E-2</v>
      </c>
      <c r="W5058">
        <v>0.17019210000000001</v>
      </c>
      <c r="X5058">
        <v>0.98477329999999996</v>
      </c>
      <c r="Y5058">
        <v>-0.21389469999999999</v>
      </c>
      <c r="Z5058">
        <v>7.807335E-2</v>
      </c>
      <c r="AA5058">
        <v>0.97373180000000004</v>
      </c>
      <c r="AB5058">
        <v>38</v>
      </c>
      <c r="AC5058">
        <v>2.6866999999999699</v>
      </c>
      <c r="AD5058">
        <v>-1.1098572997780001</v>
      </c>
      <c r="AE5058">
        <v>-13.480259999999999</v>
      </c>
      <c r="AF5058">
        <v>-3.0101652323677799</v>
      </c>
      <c r="AG5058">
        <v>-1.1098572997780001</v>
      </c>
      <c r="AH5058">
        <v>13.320472581712799</v>
      </c>
      <c r="AI5058">
        <v>94.646238382599506</v>
      </c>
      <c r="AJ5058">
        <v>102.733836311115</v>
      </c>
      <c r="AK5058">
        <v>13.7013819650497</v>
      </c>
      <c r="AL5058">
        <v>80.201011401589298</v>
      </c>
      <c r="AM5058">
        <v>87.938806452749404</v>
      </c>
      <c r="AN5058">
        <v>0.99999997393711804</v>
      </c>
    </row>
    <row r="5059" spans="1:40" x14ac:dyDescent="0.25">
      <c r="A5059" t="str">
        <f>"20190312164130148"</f>
        <v>20190312164130148</v>
      </c>
      <c r="B5059" t="str">
        <f>"1552380090141607"</f>
        <v>1552380090141607</v>
      </c>
      <c r="C5059" t="s">
        <v>40</v>
      </c>
      <c r="D5059">
        <v>5.335216</v>
      </c>
      <c r="E5059">
        <v>0.40658</v>
      </c>
      <c r="F5059" t="s">
        <v>41</v>
      </c>
      <c r="G5059">
        <v>-419.66739999999999</v>
      </c>
      <c r="H5059" s="1">
        <v>-2.0381719999999999E-7</v>
      </c>
      <c r="I5059">
        <v>69.970330000000004</v>
      </c>
      <c r="J5059">
        <v>-422.34820000000002</v>
      </c>
      <c r="K5059">
        <v>1.1099060000000001</v>
      </c>
      <c r="L5059">
        <v>83.265050000000002</v>
      </c>
      <c r="M5059">
        <v>-2.5240229999999999E-2</v>
      </c>
      <c r="N5059">
        <v>0</v>
      </c>
      <c r="O5059">
        <v>-0.9996254</v>
      </c>
      <c r="P5059">
        <v>-6.0445829999999999E-2</v>
      </c>
      <c r="Q5059">
        <v>0.15979489999999999</v>
      </c>
      <c r="R5059">
        <v>-0.98529809999999995</v>
      </c>
      <c r="S5059">
        <v>0.60900880000000002</v>
      </c>
      <c r="T5059">
        <v>-0.25307659999999998</v>
      </c>
      <c r="U5059">
        <v>-3.1233520000000001</v>
      </c>
      <c r="V5059">
        <v>3.5473060000000001E-2</v>
      </c>
      <c r="W5059">
        <v>0.17026350000000001</v>
      </c>
      <c r="X5059">
        <v>0.98475990000000002</v>
      </c>
      <c r="Y5059">
        <v>-0.21549579999999999</v>
      </c>
      <c r="Z5059">
        <v>7.9035469999999997E-2</v>
      </c>
      <c r="AA5059">
        <v>0.97330110000000003</v>
      </c>
      <c r="AB5059">
        <v>38</v>
      </c>
      <c r="AC5059">
        <v>2.6808000000000298</v>
      </c>
      <c r="AD5059">
        <v>-1.1099062038171901</v>
      </c>
      <c r="AE5059">
        <v>-13.2947199999999</v>
      </c>
      <c r="AF5059">
        <v>-2.9954646464002201</v>
      </c>
      <c r="AG5059">
        <v>-1.1099062038171901</v>
      </c>
      <c r="AH5059">
        <v>13.134847112698401</v>
      </c>
      <c r="AI5059">
        <v>94.709713265497797</v>
      </c>
      <c r="AJ5059">
        <v>102.84686628447299</v>
      </c>
      <c r="AK5059">
        <v>13.5177257296879</v>
      </c>
      <c r="AL5059">
        <v>80.196860435870505</v>
      </c>
      <c r="AM5059">
        <v>87.936981175259504</v>
      </c>
      <c r="AN5059">
        <v>1.00000002903301</v>
      </c>
    </row>
    <row r="5060" spans="1:40" x14ac:dyDescent="0.25">
      <c r="A5060" t="str">
        <f>"20190312164130168"</f>
        <v>20190312164130168</v>
      </c>
      <c r="B5060" t="str">
        <f>"1552380090161127"</f>
        <v>1552380090161127</v>
      </c>
      <c r="C5060" t="s">
        <v>40</v>
      </c>
      <c r="D5060">
        <v>5.3227010000000003</v>
      </c>
      <c r="E5060">
        <v>0.40653159999999999</v>
      </c>
      <c r="F5060" t="s">
        <v>41</v>
      </c>
      <c r="G5060">
        <v>-419.68009999999998</v>
      </c>
      <c r="H5060" s="1">
        <v>-9.4129830000000002E-8</v>
      </c>
      <c r="I5060">
        <v>69.674580000000006</v>
      </c>
      <c r="J5060">
        <v>-422.3569</v>
      </c>
      <c r="K5060">
        <v>1.109961</v>
      </c>
      <c r="L5060">
        <v>82.909210000000002</v>
      </c>
      <c r="M5060">
        <v>-2.4963570000000001E-2</v>
      </c>
      <c r="N5060">
        <v>0</v>
      </c>
      <c r="O5060">
        <v>-0.99963139999999995</v>
      </c>
      <c r="P5060">
        <v>-6.0035940000000003E-2</v>
      </c>
      <c r="Q5060">
        <v>0.1603019</v>
      </c>
      <c r="R5060">
        <v>-0.98524069999999997</v>
      </c>
      <c r="S5060">
        <v>0.61325069999999904</v>
      </c>
      <c r="T5060">
        <v>-0.25511040000000001</v>
      </c>
      <c r="U5060">
        <v>-3.1237490000000001</v>
      </c>
      <c r="V5060">
        <v>3.5323899999999998E-2</v>
      </c>
      <c r="W5060">
        <v>0.1708452</v>
      </c>
      <c r="X5060">
        <v>0.98466450000000005</v>
      </c>
      <c r="Y5060">
        <v>-0.21646599999999999</v>
      </c>
      <c r="Z5060">
        <v>7.9638609999999999E-2</v>
      </c>
      <c r="AA5060">
        <v>0.97303660000000003</v>
      </c>
      <c r="AB5060">
        <v>38</v>
      </c>
      <c r="AC5060">
        <v>2.6768000000000098</v>
      </c>
      <c r="AD5060">
        <v>-1.1099610941298299</v>
      </c>
      <c r="AE5060">
        <v>-13.2346299999999</v>
      </c>
      <c r="AF5060">
        <v>-2.9861892657745002</v>
      </c>
      <c r="AG5060">
        <v>-1.1099610941298299</v>
      </c>
      <c r="AH5060">
        <v>13.075323642881701</v>
      </c>
      <c r="AI5060">
        <v>94.730953429122394</v>
      </c>
      <c r="AJ5060">
        <v>102.86477277832</v>
      </c>
      <c r="AK5060">
        <v>13.457838917434399</v>
      </c>
      <c r="AL5060">
        <v>80.163035792843203</v>
      </c>
      <c r="AM5060">
        <v>87.945449608673897</v>
      </c>
      <c r="AN5060">
        <v>1.00000001891725</v>
      </c>
    </row>
    <row r="5061" spans="1:40" x14ac:dyDescent="0.25">
      <c r="A5061" t="str">
        <f>"20190312164130205"</f>
        <v>20190312164130205</v>
      </c>
      <c r="B5061" t="str">
        <f>"1552380090201651"</f>
        <v>1552380090201651</v>
      </c>
      <c r="C5061" t="s">
        <v>40</v>
      </c>
      <c r="D5061">
        <v>5.316681</v>
      </c>
      <c r="E5061">
        <v>0.40611429999999998</v>
      </c>
      <c r="F5061" t="s">
        <v>41</v>
      </c>
      <c r="G5061">
        <v>-419.68239999999997</v>
      </c>
      <c r="H5061" s="1">
        <v>-4.2155279999999996E-6</v>
      </c>
      <c r="I5061">
        <v>69.327929999999995</v>
      </c>
      <c r="J5061">
        <v>-422.37079999999997</v>
      </c>
      <c r="K5061">
        <v>1.110034</v>
      </c>
      <c r="L5061">
        <v>82.333860000000001</v>
      </c>
      <c r="M5061">
        <v>-2.4453329999999999E-2</v>
      </c>
      <c r="N5061">
        <v>0</v>
      </c>
      <c r="O5061">
        <v>-0.9996427</v>
      </c>
      <c r="P5061">
        <v>-5.8924379999999998E-2</v>
      </c>
      <c r="Q5061">
        <v>0.16133339999999999</v>
      </c>
      <c r="R5061">
        <v>-0.98513949999999995</v>
      </c>
      <c r="S5061">
        <v>0.61520390000000003</v>
      </c>
      <c r="T5061">
        <v>-0.25531389999999998</v>
      </c>
      <c r="U5061">
        <v>-3.1239620000000001</v>
      </c>
      <c r="V5061">
        <v>3.4696579999999998E-2</v>
      </c>
      <c r="W5061">
        <v>0.17200370000000001</v>
      </c>
      <c r="X5061">
        <v>0.9844851</v>
      </c>
      <c r="Y5061">
        <v>-0.21654010000000001</v>
      </c>
      <c r="Z5061">
        <v>7.9692559999999996E-2</v>
      </c>
      <c r="AA5061">
        <v>0.97301570000000004</v>
      </c>
      <c r="AB5061">
        <v>38</v>
      </c>
      <c r="AC5061">
        <v>2.6884000000000001</v>
      </c>
      <c r="AD5061">
        <v>-1.110038215528</v>
      </c>
      <c r="AE5061">
        <v>-13.0059299999999</v>
      </c>
      <c r="AF5061">
        <v>-2.98480130682877</v>
      </c>
      <c r="AG5061">
        <v>-1.110038215528</v>
      </c>
      <c r="AH5061">
        <v>12.846551541472699</v>
      </c>
      <c r="AI5061">
        <v>94.8109940608892</v>
      </c>
      <c r="AJ5061">
        <v>103.080177145143</v>
      </c>
      <c r="AK5061">
        <v>13.235373443499601</v>
      </c>
      <c r="AL5061">
        <v>80.095661301741799</v>
      </c>
      <c r="AM5061">
        <v>87.981538645501203</v>
      </c>
      <c r="AN5061">
        <v>1.00000001879969</v>
      </c>
    </row>
    <row r="5062" spans="1:40" x14ac:dyDescent="0.25">
      <c r="A5062" t="str">
        <f>"20190312164130225"</f>
        <v>20190312164130225</v>
      </c>
      <c r="B5062" t="str">
        <f>"1552380090221171"</f>
        <v>1552380090221171</v>
      </c>
      <c r="C5062" t="s">
        <v>40</v>
      </c>
      <c r="D5062">
        <v>5.266572</v>
      </c>
      <c r="E5062">
        <v>0.40608470000000002</v>
      </c>
      <c r="F5062" t="s">
        <v>41</v>
      </c>
      <c r="G5062">
        <v>-419.69970000000001</v>
      </c>
      <c r="H5062" s="1">
        <v>-4.0200660000000002E-6</v>
      </c>
      <c r="I5062">
        <v>68.879459999999995</v>
      </c>
      <c r="J5062">
        <v>-422.37990000000002</v>
      </c>
      <c r="K5062">
        <v>1.1100779999999999</v>
      </c>
      <c r="L5062">
        <v>81.948549999999997</v>
      </c>
      <c r="M5062">
        <v>-2.4076710000000001E-2</v>
      </c>
      <c r="N5062">
        <v>0</v>
      </c>
      <c r="O5062">
        <v>-0.99965090000000001</v>
      </c>
      <c r="P5062">
        <v>-5.8487240000000003E-2</v>
      </c>
      <c r="Q5062">
        <v>0.16124379999999999</v>
      </c>
      <c r="R5062">
        <v>-0.98518039999999996</v>
      </c>
      <c r="S5062">
        <v>0.62033079999999996</v>
      </c>
      <c r="T5062">
        <v>-0.25778889999999999</v>
      </c>
      <c r="U5062">
        <v>-3.1245729999999998</v>
      </c>
      <c r="V5062">
        <v>3.4617729999999999E-2</v>
      </c>
      <c r="W5062">
        <v>0.17200979999999999</v>
      </c>
      <c r="X5062">
        <v>0.9844868</v>
      </c>
      <c r="Y5062">
        <v>-0.2176612</v>
      </c>
      <c r="Z5062">
        <v>8.0423030000000006E-2</v>
      </c>
      <c r="AA5062">
        <v>0.97270540000000005</v>
      </c>
      <c r="AB5062">
        <v>38</v>
      </c>
      <c r="AC5062">
        <v>2.6802000000000099</v>
      </c>
      <c r="AD5062">
        <v>-1.110082020066</v>
      </c>
      <c r="AE5062">
        <v>-13.069089999999999</v>
      </c>
      <c r="AF5062">
        <v>-2.9735150449087699</v>
      </c>
      <c r="AG5062">
        <v>-1.110082020066</v>
      </c>
      <c r="AH5062">
        <v>12.9113744639338</v>
      </c>
      <c r="AI5062">
        <v>94.789275973215794</v>
      </c>
      <c r="AJ5062">
        <v>102.96919606194</v>
      </c>
      <c r="AK5062">
        <v>13.2957761849955</v>
      </c>
      <c r="AL5062">
        <v>80.095306411051496</v>
      </c>
      <c r="AM5062">
        <v>87.986125409840994</v>
      </c>
      <c r="AN5062">
        <v>1.00000000895031</v>
      </c>
    </row>
    <row r="5063" spans="1:40" x14ac:dyDescent="0.25">
      <c r="A5063" t="str">
        <f>"20190312164130248"</f>
        <v>20190312164130248</v>
      </c>
      <c r="B5063" t="str">
        <f>"1552380090241667"</f>
        <v>1552380090241667</v>
      </c>
      <c r="C5063" t="s">
        <v>40</v>
      </c>
      <c r="D5063">
        <v>5.2639279999999999</v>
      </c>
      <c r="E5063">
        <v>0.40583439999999998</v>
      </c>
      <c r="F5063" t="s">
        <v>41</v>
      </c>
      <c r="G5063">
        <v>-419.73349999999999</v>
      </c>
      <c r="H5063" s="1">
        <v>-3.913575E-6</v>
      </c>
      <c r="I5063">
        <v>68.645219999999995</v>
      </c>
      <c r="J5063">
        <v>-422.38909999999998</v>
      </c>
      <c r="K5063">
        <v>1.1101129999999999</v>
      </c>
      <c r="L5063">
        <v>81.549530000000004</v>
      </c>
      <c r="M5063">
        <v>-2.3668000000000002E-2</v>
      </c>
      <c r="N5063">
        <v>0</v>
      </c>
      <c r="O5063">
        <v>-0.99965950000000003</v>
      </c>
      <c r="P5063">
        <v>-5.7977630000000002E-2</v>
      </c>
      <c r="Q5063">
        <v>0.1608608</v>
      </c>
      <c r="R5063">
        <v>-0.98527290000000001</v>
      </c>
      <c r="S5063">
        <v>0.62158199999999997</v>
      </c>
      <c r="T5063">
        <v>-0.26073679999999999</v>
      </c>
      <c r="U5063">
        <v>-3.124695</v>
      </c>
      <c r="V5063">
        <v>3.449895E-2</v>
      </c>
      <c r="W5063">
        <v>0.171735</v>
      </c>
      <c r="X5063">
        <v>0.98453889999999999</v>
      </c>
      <c r="Y5063">
        <v>-0.21761530000000001</v>
      </c>
      <c r="Z5063">
        <v>8.1331909999999993E-2</v>
      </c>
      <c r="AA5063">
        <v>0.97264010000000001</v>
      </c>
      <c r="AB5063">
        <v>38</v>
      </c>
      <c r="AC5063">
        <v>2.65559999999999</v>
      </c>
      <c r="AD5063">
        <v>-1.110116913575</v>
      </c>
      <c r="AE5063">
        <v>-12.904310000000001</v>
      </c>
      <c r="AF5063">
        <v>-2.9394239404082301</v>
      </c>
      <c r="AG5063">
        <v>-1.110116913575</v>
      </c>
      <c r="AH5063">
        <v>12.7473329923289</v>
      </c>
      <c r="AI5063">
        <v>94.850461591320993</v>
      </c>
      <c r="AJ5063">
        <v>102.98493657162901</v>
      </c>
      <c r="AK5063">
        <v>13.1288640437993</v>
      </c>
      <c r="AL5063">
        <v>80.111288704386496</v>
      </c>
      <c r="AM5063">
        <v>87.993135853433202</v>
      </c>
      <c r="AN5063">
        <v>0.99999996669465496</v>
      </c>
    </row>
    <row r="5064" spans="1:40" x14ac:dyDescent="0.25">
      <c r="A5064" t="str">
        <f>"20190312164130269"</f>
        <v>20190312164130269</v>
      </c>
      <c r="B5064" t="str">
        <f>"1552380090261186"</f>
        <v>1552380090261186</v>
      </c>
      <c r="C5064" t="s">
        <v>40</v>
      </c>
      <c r="D5064">
        <v>5.2306169999999996</v>
      </c>
      <c r="E5064">
        <v>0.40553990000000001</v>
      </c>
      <c r="F5064" t="s">
        <v>41</v>
      </c>
      <c r="G5064">
        <v>-419.73230000000001</v>
      </c>
      <c r="H5064" s="1">
        <v>-3.765724E-6</v>
      </c>
      <c r="I5064">
        <v>68.300079999999994</v>
      </c>
      <c r="J5064">
        <v>-422.39760000000001</v>
      </c>
      <c r="K5064">
        <v>1.110155</v>
      </c>
      <c r="L5064">
        <v>81.176029999999997</v>
      </c>
      <c r="M5064">
        <v>-2.3272279999999999E-2</v>
      </c>
      <c r="N5064">
        <v>0</v>
      </c>
      <c r="O5064">
        <v>-0.99966739999999998</v>
      </c>
      <c r="P5064">
        <v>-5.724137E-2</v>
      </c>
      <c r="Q5064">
        <v>0.16159389999999901</v>
      </c>
      <c r="R5064">
        <v>-0.98519619999999997</v>
      </c>
      <c r="S5064">
        <v>0.62652589999999997</v>
      </c>
      <c r="T5064">
        <v>-0.26178479999999998</v>
      </c>
      <c r="U5064">
        <v>-3.1244510000000001</v>
      </c>
      <c r="V5064">
        <v>3.4146170000000003E-2</v>
      </c>
      <c r="W5064">
        <v>0.1725843</v>
      </c>
      <c r="X5064">
        <v>0.98440269999999996</v>
      </c>
      <c r="Y5064">
        <v>-0.21871840000000001</v>
      </c>
      <c r="Z5064">
        <v>8.16413E-2</v>
      </c>
      <c r="AA5064">
        <v>0.97236670000000003</v>
      </c>
      <c r="AB5064">
        <v>38</v>
      </c>
      <c r="AC5064">
        <v>2.6652999999999998</v>
      </c>
      <c r="AD5064">
        <v>-1.110158765724</v>
      </c>
      <c r="AE5064">
        <v>-12.87595</v>
      </c>
      <c r="AF5064">
        <v>-2.9432685493927</v>
      </c>
      <c r="AG5064">
        <v>-1.110158765724</v>
      </c>
      <c r="AH5064">
        <v>12.719759652865999</v>
      </c>
      <c r="AI5064">
        <v>94.860257375762004</v>
      </c>
      <c r="AJ5064">
        <v>103.028566700018</v>
      </c>
      <c r="AK5064">
        <v>13.102960271085101</v>
      </c>
      <c r="AL5064">
        <v>80.0618900442648</v>
      </c>
      <c r="AM5064">
        <v>88.013366549042999</v>
      </c>
      <c r="AN5064">
        <v>0.99999998864972395</v>
      </c>
    </row>
    <row r="5065" spans="1:40" x14ac:dyDescent="0.25">
      <c r="A5065" t="str">
        <f>"20190312164130291"</f>
        <v>20190312164130291</v>
      </c>
      <c r="B5065" t="str">
        <f>"1552380090281214"</f>
        <v>1552380090281214</v>
      </c>
      <c r="C5065" t="s">
        <v>40</v>
      </c>
      <c r="D5065">
        <v>5.2436829999999999</v>
      </c>
      <c r="E5065">
        <v>0.40548830000000002</v>
      </c>
      <c r="F5065" t="s">
        <v>41</v>
      </c>
      <c r="G5065">
        <v>-419.70949999999999</v>
      </c>
      <c r="H5065" s="1">
        <v>-3.5909249999999998E-6</v>
      </c>
      <c r="I5065">
        <v>67.883189999999999</v>
      </c>
      <c r="J5065">
        <v>-422.40589999999997</v>
      </c>
      <c r="K5065">
        <v>1.110201</v>
      </c>
      <c r="L5065">
        <v>80.806269999999998</v>
      </c>
      <c r="M5065">
        <v>-2.287467E-2</v>
      </c>
      <c r="N5065">
        <v>0</v>
      </c>
      <c r="O5065">
        <v>-0.99967490000000003</v>
      </c>
      <c r="P5065">
        <v>-5.6136220000000001E-2</v>
      </c>
      <c r="Q5065">
        <v>0.16236439999999999</v>
      </c>
      <c r="R5065">
        <v>-0.98513260000000002</v>
      </c>
      <c r="S5065">
        <v>0.6318665</v>
      </c>
      <c r="T5065">
        <v>-0.26095279999999998</v>
      </c>
      <c r="U5065">
        <v>-3.124603</v>
      </c>
      <c r="V5065">
        <v>3.3427039999999998E-2</v>
      </c>
      <c r="W5065">
        <v>0.17349020000000001</v>
      </c>
      <c r="X5065">
        <v>0.98426809999999998</v>
      </c>
      <c r="Y5065">
        <v>-0.2199229</v>
      </c>
      <c r="Z5065">
        <v>8.1356209999999998E-2</v>
      </c>
      <c r="AA5065">
        <v>0.97211890000000001</v>
      </c>
      <c r="AB5065">
        <v>38</v>
      </c>
      <c r="AC5065">
        <v>2.6963999999999801</v>
      </c>
      <c r="AD5065">
        <v>-1.110204590925</v>
      </c>
      <c r="AE5065">
        <v>-12.923080000000001</v>
      </c>
      <c r="AF5065">
        <v>-2.9703170314215899</v>
      </c>
      <c r="AG5065">
        <v>-1.110204590925</v>
      </c>
      <c r="AH5065">
        <v>12.767716508149899</v>
      </c>
      <c r="AI5065">
        <v>94.840962183594698</v>
      </c>
      <c r="AJ5065">
        <v>103.096493564629</v>
      </c>
      <c r="AK5065">
        <v>13.1556042177221</v>
      </c>
      <c r="AL5065">
        <v>80.009190498536199</v>
      </c>
      <c r="AM5065">
        <v>88.054907499466196</v>
      </c>
      <c r="AN5065">
        <v>0.99999995458840396</v>
      </c>
    </row>
    <row r="5066" spans="1:40" x14ac:dyDescent="0.25">
      <c r="A5066" t="str">
        <f>"20190312164130314"</f>
        <v>20190312164130314</v>
      </c>
      <c r="B5066" t="str">
        <f>"1552380090311470"</f>
        <v>1552380090311470</v>
      </c>
      <c r="C5066" t="s">
        <v>40</v>
      </c>
      <c r="D5066">
        <v>5.1609600000000002</v>
      </c>
      <c r="E5066">
        <v>0.40535949999999998</v>
      </c>
      <c r="F5066" t="s">
        <v>41</v>
      </c>
      <c r="G5066">
        <v>-419.71859999999998</v>
      </c>
      <c r="H5066" s="1">
        <v>-3.4632269999999998E-6</v>
      </c>
      <c r="I5066">
        <v>67.589290000000005</v>
      </c>
      <c r="J5066">
        <v>-422.4144</v>
      </c>
      <c r="K5066">
        <v>1.11025</v>
      </c>
      <c r="L5066">
        <v>80.416629999999998</v>
      </c>
      <c r="M5066">
        <v>-2.2460480000000001E-2</v>
      </c>
      <c r="N5066">
        <v>0</v>
      </c>
      <c r="O5066">
        <v>-0.99968250000000003</v>
      </c>
      <c r="P5066">
        <v>-5.5317579999999998E-2</v>
      </c>
      <c r="Q5066">
        <v>0.16267129999999999</v>
      </c>
      <c r="R5066">
        <v>-0.98512849999999996</v>
      </c>
      <c r="S5066">
        <v>0.63531490000000002</v>
      </c>
      <c r="T5066">
        <v>-0.26247429999999999</v>
      </c>
      <c r="U5066">
        <v>-3.1247560000000001</v>
      </c>
      <c r="V5066">
        <v>3.3010850000000001E-2</v>
      </c>
      <c r="W5066">
        <v>0.1739687</v>
      </c>
      <c r="X5066">
        <v>0.98419769999999895</v>
      </c>
      <c r="Y5066">
        <v>-0.2205327</v>
      </c>
      <c r="Z5066">
        <v>8.1810069999999999E-2</v>
      </c>
      <c r="AA5066">
        <v>0.97194259999999999</v>
      </c>
      <c r="AB5066">
        <v>38</v>
      </c>
      <c r="AC5066">
        <v>2.6958000000000202</v>
      </c>
      <c r="AD5066">
        <v>-1.110253463227</v>
      </c>
      <c r="AE5066">
        <v>-12.8273399999999</v>
      </c>
      <c r="AF5066">
        <v>-2.9619955587412101</v>
      </c>
      <c r="AG5066">
        <v>-1.110253463227</v>
      </c>
      <c r="AH5066">
        <v>12.6726290150189</v>
      </c>
      <c r="AI5066">
        <v>94.876156015944801</v>
      </c>
      <c r="AJ5066">
        <v>103.155668477425</v>
      </c>
      <c r="AK5066">
        <v>13.061454995325301</v>
      </c>
      <c r="AL5066">
        <v>79.981351268026202</v>
      </c>
      <c r="AM5066">
        <v>88.078969703633106</v>
      </c>
      <c r="AN5066">
        <v>0.99999996874135</v>
      </c>
    </row>
    <row r="5067" spans="1:40" x14ac:dyDescent="0.25">
      <c r="A5067" t="str">
        <f>"20190312164130338"</f>
        <v>20190312164130338</v>
      </c>
      <c r="B5067" t="str">
        <f>"1552380090330990"</f>
        <v>1552380090330990</v>
      </c>
      <c r="C5067" t="s">
        <v>40</v>
      </c>
      <c r="D5067">
        <v>5.1182420000000004</v>
      </c>
      <c r="E5067">
        <v>0.4051632</v>
      </c>
      <c r="F5067" t="s">
        <v>41</v>
      </c>
      <c r="G5067">
        <v>-419.71640000000002</v>
      </c>
      <c r="H5067" s="1">
        <v>-3.3191900000000001E-6</v>
      </c>
      <c r="I5067">
        <v>67.25264</v>
      </c>
      <c r="J5067">
        <v>-422.42320000000001</v>
      </c>
      <c r="K5067">
        <v>1.110295</v>
      </c>
      <c r="L5067">
        <v>80.005369999999999</v>
      </c>
      <c r="M5067">
        <v>-2.2029940000000001E-2</v>
      </c>
      <c r="N5067">
        <v>0</v>
      </c>
      <c r="O5067">
        <v>-0.99968950000000001</v>
      </c>
      <c r="P5067">
        <v>-5.4683559999999999E-2</v>
      </c>
      <c r="Q5067">
        <v>0.16159589999999999</v>
      </c>
      <c r="R5067">
        <v>-0.98534100000000002</v>
      </c>
      <c r="S5067">
        <v>0.64041139999999996</v>
      </c>
      <c r="T5067">
        <v>-0.26354250000000001</v>
      </c>
      <c r="U5067">
        <v>-3.1247560000000001</v>
      </c>
      <c r="V5067">
        <v>3.2794509999999999E-2</v>
      </c>
      <c r="W5067">
        <v>0.17311209999999999</v>
      </c>
      <c r="X5067">
        <v>0.98435600000000001</v>
      </c>
      <c r="Y5067">
        <v>-0.2216293</v>
      </c>
      <c r="Z5067">
        <v>8.2118430000000006E-2</v>
      </c>
      <c r="AA5067">
        <v>0.97166710000000001</v>
      </c>
      <c r="AB5067">
        <v>38</v>
      </c>
      <c r="AC5067">
        <v>2.7067999999999799</v>
      </c>
      <c r="AD5067">
        <v>-1.11029831919</v>
      </c>
      <c r="AE5067">
        <v>-12.75273</v>
      </c>
      <c r="AF5067">
        <v>-2.9655935937756301</v>
      </c>
      <c r="AG5067">
        <v>-1.11029831919</v>
      </c>
      <c r="AH5067">
        <v>12.5986184281373</v>
      </c>
      <c r="AI5067">
        <v>94.903059270526001</v>
      </c>
      <c r="AJ5067">
        <v>103.245745958198</v>
      </c>
      <c r="AK5067">
        <v>12.9904847491862</v>
      </c>
      <c r="AL5067">
        <v>80.031187390315097</v>
      </c>
      <c r="AM5067">
        <v>88.091856714706395</v>
      </c>
      <c r="AN5067">
        <v>1.00000000689427</v>
      </c>
    </row>
    <row r="5068" spans="1:40" x14ac:dyDescent="0.25">
      <c r="A5068" t="str">
        <f>"20190312164130360"</f>
        <v>20190312164130360</v>
      </c>
      <c r="B5068" t="str">
        <f>"1552380090351486"</f>
        <v>1552380090351486</v>
      </c>
      <c r="C5068" t="s">
        <v>40</v>
      </c>
      <c r="D5068">
        <v>5.0740309999999997</v>
      </c>
      <c r="E5068">
        <v>0.39162930000000001</v>
      </c>
      <c r="F5068" t="s">
        <v>41</v>
      </c>
      <c r="G5068">
        <v>-419.77600000000001</v>
      </c>
      <c r="H5068" s="1">
        <v>-3.2644149999999998E-6</v>
      </c>
      <c r="I5068">
        <v>67.149569999999997</v>
      </c>
      <c r="J5068">
        <v>-422.43079999999998</v>
      </c>
      <c r="K5068">
        <v>1.1103320000000001</v>
      </c>
      <c r="L5068">
        <v>79.638549999999995</v>
      </c>
      <c r="M5068">
        <v>-2.1642140000000001E-2</v>
      </c>
      <c r="N5068">
        <v>0</v>
      </c>
      <c r="O5068">
        <v>-0.99969520000000001</v>
      </c>
      <c r="P5068">
        <v>-5.372499E-2</v>
      </c>
      <c r="Q5068">
        <v>0.160695</v>
      </c>
      <c r="R5068">
        <v>-0.985541</v>
      </c>
      <c r="S5068">
        <v>0.64340209999999998</v>
      </c>
      <c r="T5068">
        <v>-0.26985809999999999</v>
      </c>
      <c r="U5068">
        <v>-3.124603</v>
      </c>
      <c r="V5068">
        <v>3.2215550000000003E-2</v>
      </c>
      <c r="W5068">
        <v>0.1724368</v>
      </c>
      <c r="X5068">
        <v>0.98449359999999997</v>
      </c>
      <c r="Y5068">
        <v>-0.22212000000000001</v>
      </c>
      <c r="Z5068">
        <v>8.4064550000000002E-2</v>
      </c>
      <c r="AA5068">
        <v>0.97138860000000005</v>
      </c>
      <c r="AB5068">
        <v>38</v>
      </c>
      <c r="AC5068">
        <v>2.6547999999999599</v>
      </c>
      <c r="AD5068">
        <v>-1.110335264415</v>
      </c>
      <c r="AE5068">
        <v>-12.4889799999999</v>
      </c>
      <c r="AF5068">
        <v>-2.9025352611703301</v>
      </c>
      <c r="AG5068">
        <v>-1.110335264415</v>
      </c>
      <c r="AH5068">
        <v>12.3353100973289</v>
      </c>
      <c r="AI5068">
        <v>95.007455803867202</v>
      </c>
      <c r="AJ5068">
        <v>103.241001210896</v>
      </c>
      <c r="AK5068">
        <v>12.7207480337834</v>
      </c>
      <c r="AL5068">
        <v>80.0704696158422</v>
      </c>
      <c r="AM5068">
        <v>88.125780965596306</v>
      </c>
      <c r="AN5068">
        <v>0.99999997004850005</v>
      </c>
    </row>
    <row r="5069" spans="1:40" x14ac:dyDescent="0.25">
      <c r="A5069" t="str">
        <f>"20190312164130381"</f>
        <v>20190312164130381</v>
      </c>
      <c r="B5069" t="str">
        <f>"1552380090371006"</f>
        <v>1552380090371006</v>
      </c>
      <c r="C5069" t="s">
        <v>40</v>
      </c>
      <c r="D5069">
        <v>5.0036319999999996</v>
      </c>
      <c r="E5069">
        <v>0.3922331</v>
      </c>
      <c r="F5069" t="s">
        <v>41</v>
      </c>
      <c r="G5069">
        <v>-419.85879999999997</v>
      </c>
      <c r="H5069" s="1">
        <v>-4.0322250000000002E-6</v>
      </c>
      <c r="I5069">
        <v>68.973590000000002</v>
      </c>
      <c r="J5069">
        <v>-422.4384</v>
      </c>
      <c r="K5069">
        <v>1.1103510000000001</v>
      </c>
      <c r="L5069">
        <v>79.273219999999995</v>
      </c>
      <c r="M5069">
        <v>-2.124995E-2</v>
      </c>
      <c r="N5069">
        <v>0</v>
      </c>
      <c r="O5069">
        <v>-0.9997009</v>
      </c>
      <c r="P5069">
        <v>-5.2930100000000001E-2</v>
      </c>
      <c r="Q5069">
        <v>0.1602181</v>
      </c>
      <c r="R5069">
        <v>-0.98566189999999998</v>
      </c>
      <c r="S5069">
        <v>0.75692749999999998</v>
      </c>
      <c r="T5069">
        <v>-0.3267564</v>
      </c>
      <c r="U5069">
        <v>-3.13855</v>
      </c>
      <c r="V5069">
        <v>3.1807090000000003E-2</v>
      </c>
      <c r="W5069">
        <v>0.1721935</v>
      </c>
      <c r="X5069">
        <v>0.98454949999999997</v>
      </c>
      <c r="Y5069">
        <v>-0.25386900000000001</v>
      </c>
      <c r="Z5069">
        <v>0.100395</v>
      </c>
      <c r="AA5069">
        <v>0.96201429999999999</v>
      </c>
      <c r="AB5069">
        <v>38</v>
      </c>
      <c r="AC5069">
        <v>2.5796000000000201</v>
      </c>
      <c r="AD5069">
        <v>-1.110355032225</v>
      </c>
      <c r="AE5069">
        <v>-10.299629999999899</v>
      </c>
      <c r="AF5069">
        <v>-2.7676332607538199</v>
      </c>
      <c r="AG5069">
        <v>-1.110355032225</v>
      </c>
      <c r="AH5069">
        <v>10.1316835020348</v>
      </c>
      <c r="AI5069">
        <v>96.034833478350393</v>
      </c>
      <c r="AJ5069">
        <v>105.27852254821001</v>
      </c>
      <c r="AK5069">
        <v>10.561424749957901</v>
      </c>
      <c r="AL5069">
        <v>80.084621715013199</v>
      </c>
      <c r="AM5069">
        <v>88.149632497453496</v>
      </c>
      <c r="AN5069">
        <v>1.0000000051833799</v>
      </c>
    </row>
    <row r="5070" spans="1:40" x14ac:dyDescent="0.25">
      <c r="A5070" t="str">
        <f>"20190312164130403"</f>
        <v>20190312164130403</v>
      </c>
      <c r="B5070" t="str">
        <f>"1552380090391032"</f>
        <v>1552380090391032</v>
      </c>
      <c r="C5070" t="s">
        <v>40</v>
      </c>
      <c r="D5070">
        <v>5.0367220000000001</v>
      </c>
      <c r="E5070">
        <v>0.39265660000000002</v>
      </c>
      <c r="F5070" t="s">
        <v>41</v>
      </c>
      <c r="G5070">
        <v>-419.93509999999998</v>
      </c>
      <c r="H5070" s="1">
        <v>-3.978528E-6</v>
      </c>
      <c r="I5070">
        <v>68.879990000000006</v>
      </c>
      <c r="J5070">
        <v>-422.4461</v>
      </c>
      <c r="K5070">
        <v>1.110376</v>
      </c>
      <c r="L5070">
        <v>78.887419999999906</v>
      </c>
      <c r="M5070">
        <v>-2.083397E-2</v>
      </c>
      <c r="N5070">
        <v>0</v>
      </c>
      <c r="O5070">
        <v>-0.9997064</v>
      </c>
      <c r="P5070">
        <v>-5.17583E-2</v>
      </c>
      <c r="Q5070">
        <v>0.15952259999999999</v>
      </c>
      <c r="R5070">
        <v>-0.98583690000000002</v>
      </c>
      <c r="S5070">
        <v>0.75598140000000003</v>
      </c>
      <c r="T5070">
        <v>-0.33532450000000003</v>
      </c>
      <c r="U5070">
        <v>-3.1387330000000002</v>
      </c>
      <c r="V5070">
        <v>3.1044140000000001E-2</v>
      </c>
      <c r="W5070">
        <v>0.17175660000000001</v>
      </c>
      <c r="X5070">
        <v>0.98465009999999997</v>
      </c>
      <c r="Y5070">
        <v>-0.25311719999999999</v>
      </c>
      <c r="Z5070">
        <v>0.1030084</v>
      </c>
      <c r="AA5070">
        <v>0.96193609999999896</v>
      </c>
      <c r="AB5070">
        <v>38</v>
      </c>
      <c r="AC5070">
        <v>2.5110000000000201</v>
      </c>
      <c r="AD5070">
        <v>-1.110379978528</v>
      </c>
      <c r="AE5070">
        <v>-10.0074299999999</v>
      </c>
      <c r="AF5070">
        <v>-2.6878349515432598</v>
      </c>
      <c r="AG5070">
        <v>-1.110379978528</v>
      </c>
      <c r="AH5070">
        <v>9.8389846883911201</v>
      </c>
      <c r="AI5070">
        <v>96.213092512051801</v>
      </c>
      <c r="AJ5070">
        <v>105.279373904777</v>
      </c>
      <c r="AK5070">
        <v>10.259776806629199</v>
      </c>
      <c r="AL5070">
        <v>80.110032220992593</v>
      </c>
      <c r="AM5070">
        <v>88.194171515736201</v>
      </c>
      <c r="AN5070">
        <v>0.99999994385095303</v>
      </c>
    </row>
    <row r="5071" spans="1:40" x14ac:dyDescent="0.25">
      <c r="A5071" t="str">
        <f>"20190312164130426"</f>
        <v>20190312164130426</v>
      </c>
      <c r="B5071" t="str">
        <f>"1552380090421292"</f>
        <v>1552380090421292</v>
      </c>
      <c r="C5071" t="s">
        <v>40</v>
      </c>
      <c r="D5071">
        <v>5.0431429999999997</v>
      </c>
      <c r="E5071">
        <v>0.39268409999999998</v>
      </c>
      <c r="F5071" t="s">
        <v>41</v>
      </c>
      <c r="G5071">
        <v>-419.99470000000002</v>
      </c>
      <c r="H5071" s="1">
        <v>-3.9140710000000002E-6</v>
      </c>
      <c r="I5071">
        <v>68.716189999999997</v>
      </c>
      <c r="J5071">
        <v>-422.45389999999998</v>
      </c>
      <c r="K5071">
        <v>1.110414</v>
      </c>
      <c r="L5071">
        <v>78.498990000000006</v>
      </c>
      <c r="M5071">
        <v>-2.041838E-2</v>
      </c>
      <c r="N5071">
        <v>0</v>
      </c>
      <c r="O5071">
        <v>-0.99971160000000003</v>
      </c>
      <c r="P5071">
        <v>-5.0365340000000001E-2</v>
      </c>
      <c r="Q5071">
        <v>0.15937309999999999</v>
      </c>
      <c r="R5071">
        <v>-0.98593299999999995</v>
      </c>
      <c r="S5071">
        <v>0.756378199999999</v>
      </c>
      <c r="T5071">
        <v>-0.3426013</v>
      </c>
      <c r="U5071">
        <v>-3.1382750000000001</v>
      </c>
      <c r="V5071">
        <v>3.0059720000000002E-2</v>
      </c>
      <c r="W5071">
        <v>0.1718712</v>
      </c>
      <c r="X5071">
        <v>0.98466070000000006</v>
      </c>
      <c r="Y5071">
        <v>-0.25280740000000002</v>
      </c>
      <c r="Z5071">
        <v>0.10523739999999999</v>
      </c>
      <c r="AA5071">
        <v>0.96177619999999997</v>
      </c>
      <c r="AB5071">
        <v>38</v>
      </c>
      <c r="AC5071">
        <v>2.4591999999999499</v>
      </c>
      <c r="AD5071">
        <v>-1.110417914071</v>
      </c>
      <c r="AE5071">
        <v>-9.7827999999999999</v>
      </c>
      <c r="AF5071">
        <v>-2.6266224210075002</v>
      </c>
      <c r="AG5071">
        <v>-1.110417914071</v>
      </c>
      <c r="AH5071">
        <v>9.6140393018153691</v>
      </c>
      <c r="AI5071">
        <v>96.357462811281806</v>
      </c>
      <c r="AJ5071">
        <v>105.28069673448501</v>
      </c>
      <c r="AK5071">
        <v>10.0280568897109</v>
      </c>
      <c r="AL5071">
        <v>80.103367521436795</v>
      </c>
      <c r="AM5071">
        <v>88.251417617887796</v>
      </c>
      <c r="AN5071">
        <v>0.99999999514020399</v>
      </c>
    </row>
    <row r="5072" spans="1:40" x14ac:dyDescent="0.25">
      <c r="A5072" t="str">
        <f>"20190312164130448"</f>
        <v>20190312164130448</v>
      </c>
      <c r="B5072" t="str">
        <f>"1552380090440808"</f>
        <v>1552380090440808</v>
      </c>
      <c r="C5072" t="s">
        <v>40</v>
      </c>
      <c r="D5072">
        <v>5.0156210000000003</v>
      </c>
      <c r="E5072">
        <v>0.39267089999999999</v>
      </c>
      <c r="F5072" t="s">
        <v>41</v>
      </c>
      <c r="G5072">
        <v>-419.9973</v>
      </c>
      <c r="H5072" s="1">
        <v>-3.761304E-6</v>
      </c>
      <c r="I5072">
        <v>68.358459999999994</v>
      </c>
      <c r="J5072">
        <v>-422.46120000000002</v>
      </c>
      <c r="K5072">
        <v>1.1104480000000001</v>
      </c>
      <c r="L5072">
        <v>78.12</v>
      </c>
      <c r="M5072">
        <v>-2.0017569999999998E-2</v>
      </c>
      <c r="N5072">
        <v>0</v>
      </c>
      <c r="O5072">
        <v>-0.99971659999999996</v>
      </c>
      <c r="P5072">
        <v>-4.8649049999999999E-2</v>
      </c>
      <c r="Q5072">
        <v>0.15861169999999999</v>
      </c>
      <c r="R5072">
        <v>-0.98614199999999996</v>
      </c>
      <c r="S5072">
        <v>0.75997919999999997</v>
      </c>
      <c r="T5072">
        <v>-0.3435301</v>
      </c>
      <c r="U5072">
        <v>-3.1371769999999999</v>
      </c>
      <c r="V5072">
        <v>2.8734800000000001E-2</v>
      </c>
      <c r="W5072">
        <v>0.1713625</v>
      </c>
      <c r="X5072">
        <v>0.98478889999999997</v>
      </c>
      <c r="Y5072">
        <v>-0.25353199999999998</v>
      </c>
      <c r="Z5072">
        <v>0.10553220000000001</v>
      </c>
      <c r="AA5072">
        <v>0.9615532</v>
      </c>
      <c r="AB5072">
        <v>38</v>
      </c>
      <c r="AC5072">
        <v>2.4639000000000202</v>
      </c>
      <c r="AD5072">
        <v>-1.1104517613039999</v>
      </c>
      <c r="AE5072">
        <v>-9.7615400000000001</v>
      </c>
      <c r="AF5072">
        <v>-2.6268669134628002</v>
      </c>
      <c r="AG5072">
        <v>-1.1104517613039999</v>
      </c>
      <c r="AH5072">
        <v>9.5935455495017905</v>
      </c>
      <c r="AI5072">
        <v>96.370145337197698</v>
      </c>
      <c r="AJ5072">
        <v>105.313167124961</v>
      </c>
      <c r="AK5072">
        <v>10.008478860725701</v>
      </c>
      <c r="AL5072">
        <v>80.132952731611994</v>
      </c>
      <c r="AM5072">
        <v>88.328661336342293</v>
      </c>
      <c r="AN5072">
        <v>0.999999986350249</v>
      </c>
    </row>
    <row r="5073" spans="1:40" x14ac:dyDescent="0.25">
      <c r="A5073" t="str">
        <f>"20190312164130470"</f>
        <v>20190312164130470</v>
      </c>
      <c r="B5073" t="str">
        <f>"1552380090461304"</f>
        <v>1552380090461304</v>
      </c>
      <c r="C5073" t="s">
        <v>40</v>
      </c>
      <c r="D5073">
        <v>5.0302160000000002</v>
      </c>
      <c r="E5073">
        <v>0.39269120000000002</v>
      </c>
      <c r="F5073" t="s">
        <v>41</v>
      </c>
      <c r="G5073">
        <v>-420.01260000000002</v>
      </c>
      <c r="H5073" s="1">
        <v>-3.6481209999999998E-6</v>
      </c>
      <c r="I5073">
        <v>68.085139999999996</v>
      </c>
      <c r="J5073">
        <v>-422.4683</v>
      </c>
      <c r="K5073">
        <v>1.1104799999999999</v>
      </c>
      <c r="L5073">
        <v>77.746250000000003</v>
      </c>
      <c r="M5073">
        <v>-1.962552E-2</v>
      </c>
      <c r="N5073">
        <v>0</v>
      </c>
      <c r="O5073">
        <v>-0.99972139999999998</v>
      </c>
      <c r="P5073">
        <v>-4.7543530000000001E-2</v>
      </c>
      <c r="Q5073">
        <v>0.15881670000000001</v>
      </c>
      <c r="R5073">
        <v>-0.98616300000000001</v>
      </c>
      <c r="S5073">
        <v>0.765136699999999</v>
      </c>
      <c r="T5073">
        <v>-0.34699629999999998</v>
      </c>
      <c r="U5073">
        <v>-3.1357119999999998</v>
      </c>
      <c r="V5073">
        <v>2.801443E-2</v>
      </c>
      <c r="W5073">
        <v>0.17179939999999999</v>
      </c>
      <c r="X5073">
        <v>0.98473359999999999</v>
      </c>
      <c r="Y5073">
        <v>-0.2547218</v>
      </c>
      <c r="Z5073">
        <v>0.1065965</v>
      </c>
      <c r="AA5073">
        <v>0.96112120000000001</v>
      </c>
      <c r="AB5073">
        <v>38</v>
      </c>
      <c r="AC5073">
        <v>2.4556999999999798</v>
      </c>
      <c r="AD5073">
        <v>-1.1104836481210001</v>
      </c>
      <c r="AE5073">
        <v>-9.6611100000000008</v>
      </c>
      <c r="AF5073">
        <v>-2.61242674065935</v>
      </c>
      <c r="AG5073">
        <v>-1.1104836481210001</v>
      </c>
      <c r="AH5073">
        <v>9.4932371410968397</v>
      </c>
      <c r="AI5073">
        <v>96.434840157538503</v>
      </c>
      <c r="AJ5073">
        <v>105.386275133588</v>
      </c>
      <c r="AK5073">
        <v>9.9085568487624194</v>
      </c>
      <c r="AL5073">
        <v>80.107544046436004</v>
      </c>
      <c r="AM5073">
        <v>88.370446795619202</v>
      </c>
      <c r="AN5073">
        <v>1.00000005254877</v>
      </c>
    </row>
    <row r="5074" spans="1:40" x14ac:dyDescent="0.25">
      <c r="A5074" t="str">
        <f>"20190312164130493"</f>
        <v>20190312164130493</v>
      </c>
      <c r="B5074" t="str">
        <f>"1552380090481334"</f>
        <v>1552380090481334</v>
      </c>
      <c r="C5074" t="s">
        <v>40</v>
      </c>
      <c r="D5074">
        <v>4.9931590000000003</v>
      </c>
      <c r="E5074">
        <v>0.39267659999999999</v>
      </c>
      <c r="F5074" t="s">
        <v>41</v>
      </c>
      <c r="G5074">
        <v>-420.00779999999997</v>
      </c>
      <c r="H5074" s="1">
        <v>-3.482027E-6</v>
      </c>
      <c r="I5074">
        <v>67.700990000000004</v>
      </c>
      <c r="J5074">
        <v>-422.4753</v>
      </c>
      <c r="K5074">
        <v>1.1105020000000001</v>
      </c>
      <c r="L5074">
        <v>77.368619999999893</v>
      </c>
      <c r="M5074">
        <v>-1.9230569999999999E-2</v>
      </c>
      <c r="N5074">
        <v>0</v>
      </c>
      <c r="O5074">
        <v>-0.99972589999999995</v>
      </c>
      <c r="P5074">
        <v>-4.617479E-2</v>
      </c>
      <c r="Q5074">
        <v>0.15919720000000001</v>
      </c>
      <c r="R5074">
        <v>-0.98616649999999995</v>
      </c>
      <c r="S5074">
        <v>0.76788330000000005</v>
      </c>
      <c r="T5074">
        <v>-0.34655900000000001</v>
      </c>
      <c r="U5074">
        <v>-3.1349179999999999</v>
      </c>
      <c r="V5074">
        <v>2.7034039999999999E-2</v>
      </c>
      <c r="W5074">
        <v>0.17239309999999999</v>
      </c>
      <c r="X5074">
        <v>0.98465720000000001</v>
      </c>
      <c r="Y5074">
        <v>-0.25519370000000002</v>
      </c>
      <c r="Z5074">
        <v>0.10647330000000001</v>
      </c>
      <c r="AA5074">
        <v>0.96100969999999997</v>
      </c>
      <c r="AB5074">
        <v>38</v>
      </c>
      <c r="AC5074">
        <v>2.4675000000000198</v>
      </c>
      <c r="AD5074">
        <v>-1.1105054820269999</v>
      </c>
      <c r="AE5074">
        <v>-9.6676299999999795</v>
      </c>
      <c r="AF5074">
        <v>-2.6205119368902401</v>
      </c>
      <c r="AG5074">
        <v>-1.1105054820269999</v>
      </c>
      <c r="AH5074">
        <v>9.5006938477084901</v>
      </c>
      <c r="AI5074">
        <v>96.428920646670605</v>
      </c>
      <c r="AJ5074">
        <v>105.420092645113</v>
      </c>
      <c r="AK5074">
        <v>9.91783690251469</v>
      </c>
      <c r="AL5074">
        <v>80.073011917250597</v>
      </c>
      <c r="AM5074">
        <v>88.427323357885996</v>
      </c>
      <c r="AN5074">
        <v>1.0000000108790801</v>
      </c>
    </row>
    <row r="5075" spans="1:40" x14ac:dyDescent="0.25">
      <c r="A5075" t="str">
        <f>"20190312164130515"</f>
        <v>20190312164130515</v>
      </c>
      <c r="B5075" t="str">
        <f>"1552380090511587"</f>
        <v>1552380090511587</v>
      </c>
      <c r="C5075" t="s">
        <v>40</v>
      </c>
      <c r="D5075">
        <v>5.044829</v>
      </c>
      <c r="E5075">
        <v>0.39242139999999998</v>
      </c>
      <c r="F5075" t="s">
        <v>41</v>
      </c>
      <c r="G5075">
        <v>-419.99360000000001</v>
      </c>
      <c r="H5075" s="1">
        <v>-3.3110889999999999E-6</v>
      </c>
      <c r="I5075">
        <v>67.31129</v>
      </c>
      <c r="J5075">
        <v>-422.48239999999998</v>
      </c>
      <c r="K5075">
        <v>1.110533</v>
      </c>
      <c r="L5075">
        <v>76.983059999999995</v>
      </c>
      <c r="M5075">
        <v>-1.8826559999999999E-2</v>
      </c>
      <c r="N5075">
        <v>0</v>
      </c>
      <c r="O5075">
        <v>-0.99973089999999998</v>
      </c>
      <c r="P5075">
        <v>-4.4449240000000001E-2</v>
      </c>
      <c r="Q5075">
        <v>0.15888060000000001</v>
      </c>
      <c r="R5075">
        <v>-0.98629699999999998</v>
      </c>
      <c r="S5075">
        <v>0.77337650000000002</v>
      </c>
      <c r="T5075">
        <v>-0.34606579999999998</v>
      </c>
      <c r="U5075">
        <v>-3.1341549999999998</v>
      </c>
      <c r="V5075">
        <v>2.570455E-2</v>
      </c>
      <c r="W5075">
        <v>0.17227329999999999</v>
      </c>
      <c r="X5075">
        <v>0.98471370000000003</v>
      </c>
      <c r="Y5075">
        <v>-0.2564495</v>
      </c>
      <c r="Z5075">
        <v>0.10631</v>
      </c>
      <c r="AA5075">
        <v>0.96069340000000003</v>
      </c>
      <c r="AB5075">
        <v>38</v>
      </c>
      <c r="AC5075">
        <v>2.4887999999999599</v>
      </c>
      <c r="AD5075">
        <v>-1.1105363110889901</v>
      </c>
      <c r="AE5075">
        <v>-9.6717699999999898</v>
      </c>
      <c r="AF5075">
        <v>-2.6378437127818302</v>
      </c>
      <c r="AG5075">
        <v>-1.1105363110889901</v>
      </c>
      <c r="AH5075">
        <v>9.5056544600336199</v>
      </c>
      <c r="AI5075">
        <v>96.423021122573701</v>
      </c>
      <c r="AJ5075">
        <v>105.50947219903099</v>
      </c>
      <c r="AK5075">
        <v>9.9271837428782792</v>
      </c>
      <c r="AL5075">
        <v>80.079979519698099</v>
      </c>
      <c r="AM5075">
        <v>88.504714767160493</v>
      </c>
      <c r="AN5075">
        <v>0.99999994237563905</v>
      </c>
    </row>
    <row r="5076" spans="1:40" x14ac:dyDescent="0.25">
      <c r="A5076" t="str">
        <f>"20190312164130537"</f>
        <v>20190312164130537</v>
      </c>
      <c r="B5076" t="str">
        <f>"1552380090531107"</f>
        <v>1552380090531107</v>
      </c>
      <c r="C5076" t="s">
        <v>40</v>
      </c>
      <c r="D5076">
        <v>5.057442</v>
      </c>
      <c r="E5076">
        <v>0.39227780000000001</v>
      </c>
      <c r="F5076" t="s">
        <v>41</v>
      </c>
      <c r="G5076">
        <v>-419.9776</v>
      </c>
      <c r="H5076" s="1">
        <v>-3.1462340000000001E-6</v>
      </c>
      <c r="I5076">
        <v>66.936959999999999</v>
      </c>
      <c r="J5076">
        <v>-422.48930000000001</v>
      </c>
      <c r="K5076">
        <v>1.110555</v>
      </c>
      <c r="L5076">
        <v>76.596369999999993</v>
      </c>
      <c r="M5076">
        <v>-1.8419669999999999E-2</v>
      </c>
      <c r="N5076">
        <v>0</v>
      </c>
      <c r="O5076">
        <v>-0.99973619999999996</v>
      </c>
      <c r="P5076">
        <v>-4.3067300000000003E-2</v>
      </c>
      <c r="Q5076">
        <v>0.15929589999999999</v>
      </c>
      <c r="R5076">
        <v>-0.98629140000000004</v>
      </c>
      <c r="S5076">
        <v>0.78106690000000001</v>
      </c>
      <c r="T5076">
        <v>-0.3463</v>
      </c>
      <c r="U5076">
        <v>-3.1326900000000002</v>
      </c>
      <c r="V5076">
        <v>2.4723849999999999E-2</v>
      </c>
      <c r="W5076">
        <v>0.172862299999999</v>
      </c>
      <c r="X5076">
        <v>0.9846357</v>
      </c>
      <c r="Y5076">
        <v>-0.25838030000000001</v>
      </c>
      <c r="Z5076">
        <v>0.1063716</v>
      </c>
      <c r="AA5076">
        <v>0.9601691</v>
      </c>
      <c r="AB5076">
        <v>38</v>
      </c>
      <c r="AC5076">
        <v>2.51170000000001</v>
      </c>
      <c r="AD5076">
        <v>-1.110558146234</v>
      </c>
      <c r="AE5076">
        <v>-9.6594099999999905</v>
      </c>
      <c r="AF5076">
        <v>-2.65632485330317</v>
      </c>
      <c r="AG5076">
        <v>-1.110558146234</v>
      </c>
      <c r="AH5076">
        <v>9.4939540933804505</v>
      </c>
      <c r="AI5076">
        <v>96.427223289601599</v>
      </c>
      <c r="AJ5076">
        <v>105.631152487436</v>
      </c>
      <c r="AK5076">
        <v>9.92091555501095</v>
      </c>
      <c r="AL5076">
        <v>80.045719412534297</v>
      </c>
      <c r="AM5076">
        <v>88.561625728792606</v>
      </c>
      <c r="AN5076">
        <v>1.0000000526172901</v>
      </c>
    </row>
    <row r="5077" spans="1:40" x14ac:dyDescent="0.25">
      <c r="A5077" t="str">
        <f>"20190312164130561"</f>
        <v>20190312164130561</v>
      </c>
      <c r="B5077" t="str">
        <f>"1552380090551603"</f>
        <v>1552380090551603</v>
      </c>
      <c r="C5077" t="s">
        <v>40</v>
      </c>
      <c r="D5077">
        <v>5.02813</v>
      </c>
      <c r="E5077">
        <v>0.3921576</v>
      </c>
      <c r="F5077" t="s">
        <v>41</v>
      </c>
      <c r="G5077">
        <v>-419.95620000000002</v>
      </c>
      <c r="H5077" s="1">
        <v>-2.957029E-6</v>
      </c>
      <c r="I5077">
        <v>66.507580000000004</v>
      </c>
      <c r="J5077">
        <v>-422.49579999999997</v>
      </c>
      <c r="K5077">
        <v>1.1105670000000001</v>
      </c>
      <c r="L5077">
        <v>76.219569999999905</v>
      </c>
      <c r="M5077">
        <v>-1.802142E-2</v>
      </c>
      <c r="N5077">
        <v>0</v>
      </c>
      <c r="O5077">
        <v>-0.9997414</v>
      </c>
      <c r="P5077">
        <v>-4.1184850000000002E-2</v>
      </c>
      <c r="Q5077">
        <v>0.1598832</v>
      </c>
      <c r="R5077">
        <v>-0.98627690000000001</v>
      </c>
      <c r="S5077">
        <v>0.78628540000000002</v>
      </c>
      <c r="T5077">
        <v>-0.34473419999999999</v>
      </c>
      <c r="U5077">
        <v>-3.1317140000000001</v>
      </c>
      <c r="V5077">
        <v>2.3234560000000001E-2</v>
      </c>
      <c r="W5077">
        <v>0.17359630000000001</v>
      </c>
      <c r="X5077">
        <v>0.98454280000000005</v>
      </c>
      <c r="Y5077">
        <v>-0.25958399999999998</v>
      </c>
      <c r="Z5077">
        <v>0.105890899999999</v>
      </c>
      <c r="AA5077">
        <v>0.95989749999999996</v>
      </c>
      <c r="AB5077">
        <v>38</v>
      </c>
      <c r="AC5077">
        <v>2.5395999999999499</v>
      </c>
      <c r="AD5077">
        <v>-1.110569957029</v>
      </c>
      <c r="AE5077">
        <v>-9.7119899999999806</v>
      </c>
      <c r="AF5077">
        <v>-2.68141004974526</v>
      </c>
      <c r="AG5077">
        <v>-1.110569957029</v>
      </c>
      <c r="AH5077">
        <v>9.5477842930033496</v>
      </c>
      <c r="AI5077">
        <v>96.389625581979601</v>
      </c>
      <c r="AJ5077">
        <v>105.686923559071</v>
      </c>
      <c r="AK5077">
        <v>9.9791537912816892</v>
      </c>
      <c r="AL5077">
        <v>80.003018439141101</v>
      </c>
      <c r="AM5077">
        <v>88.648108366984701</v>
      </c>
      <c r="AN5077">
        <v>1.0000000225919601</v>
      </c>
    </row>
    <row r="5078" spans="1:40" x14ac:dyDescent="0.25">
      <c r="A5078" t="str">
        <f>"20190312164130581"</f>
        <v>20190312164130581</v>
      </c>
      <c r="B5078" t="str">
        <f>"1552380090571123"</f>
        <v>1552380090571123</v>
      </c>
      <c r="C5078" t="s">
        <v>40</v>
      </c>
      <c r="D5078">
        <v>5.070055</v>
      </c>
      <c r="E5078">
        <v>0.3920805</v>
      </c>
      <c r="F5078" t="s">
        <v>41</v>
      </c>
      <c r="G5078">
        <v>-419.92250000000001</v>
      </c>
      <c r="H5078" s="1">
        <v>-2.7750250000000002E-6</v>
      </c>
      <c r="I5078">
        <v>66.069369999999907</v>
      </c>
      <c r="J5078">
        <v>-422.50209999999998</v>
      </c>
      <c r="K5078">
        <v>1.110581</v>
      </c>
      <c r="L5078">
        <v>75.848939999999999</v>
      </c>
      <c r="M5078">
        <v>-1.762878E-2</v>
      </c>
      <c r="N5078">
        <v>0</v>
      </c>
      <c r="O5078">
        <v>-0.99974640000000004</v>
      </c>
      <c r="P5078">
        <v>-4.0063269999999998E-2</v>
      </c>
      <c r="Q5078">
        <v>0.15992770000000001</v>
      </c>
      <c r="R5078">
        <v>-0.98631570000000002</v>
      </c>
      <c r="S5078">
        <v>0.79364009999999996</v>
      </c>
      <c r="T5078">
        <v>-0.34250809999999998</v>
      </c>
      <c r="U5078">
        <v>-3.1304020000000001</v>
      </c>
      <c r="V5078">
        <v>2.250017E-2</v>
      </c>
      <c r="W5078">
        <v>0.17377010000000001</v>
      </c>
      <c r="X5078">
        <v>0.98452919999999999</v>
      </c>
      <c r="Y5078">
        <v>-0.2614377</v>
      </c>
      <c r="Z5078">
        <v>0.1052022</v>
      </c>
      <c r="AA5078">
        <v>0.95947009999999999</v>
      </c>
      <c r="AB5078">
        <v>38</v>
      </c>
      <c r="AC5078">
        <v>2.5795999999999699</v>
      </c>
      <c r="AD5078">
        <v>-1.1105837750250001</v>
      </c>
      <c r="AE5078">
        <v>-9.7795699999999997</v>
      </c>
      <c r="AF5078">
        <v>-2.7188359716838102</v>
      </c>
      <c r="AG5078">
        <v>-1.1105837750250001</v>
      </c>
      <c r="AH5078">
        <v>9.6166195553102192</v>
      </c>
      <c r="AI5078">
        <v>96.341251423127105</v>
      </c>
      <c r="AJ5078">
        <v>105.78679827092201</v>
      </c>
      <c r="AK5078">
        <v>10.055090105704901</v>
      </c>
      <c r="AL5078">
        <v>79.992906780349998</v>
      </c>
      <c r="AM5078">
        <v>88.690805301705296</v>
      </c>
      <c r="AN5078">
        <v>1.0000000254783299</v>
      </c>
    </row>
    <row r="5079" spans="1:40" x14ac:dyDescent="0.25">
      <c r="A5079" t="str">
        <f>"20190312164130605"</f>
        <v>20190312164130605</v>
      </c>
      <c r="B5079" t="str">
        <f>"1552380090601379"</f>
        <v>1552380090601379</v>
      </c>
      <c r="C5079" t="s">
        <v>40</v>
      </c>
      <c r="D5079">
        <v>5.0874620000000004</v>
      </c>
      <c r="E5079">
        <v>0.39184150000000001</v>
      </c>
      <c r="F5079" t="s">
        <v>41</v>
      </c>
      <c r="G5079">
        <v>-419.90199999999999</v>
      </c>
      <c r="H5079" s="1">
        <v>-2.6043140000000002E-6</v>
      </c>
      <c r="I5079">
        <v>65.662959999999998</v>
      </c>
      <c r="J5079">
        <v>-422.50839999999999</v>
      </c>
      <c r="K5079">
        <v>1.110581</v>
      </c>
      <c r="L5079">
        <v>75.469239999999999</v>
      </c>
      <c r="M5079">
        <v>-1.7226390000000001E-2</v>
      </c>
      <c r="N5079">
        <v>0</v>
      </c>
      <c r="O5079">
        <v>-0.99975190000000003</v>
      </c>
      <c r="P5079">
        <v>-3.8668399999999999E-2</v>
      </c>
      <c r="Q5079">
        <v>0.15973270000000001</v>
      </c>
      <c r="R5079">
        <v>-0.98640300000000003</v>
      </c>
      <c r="S5079">
        <v>0.79882810000000004</v>
      </c>
      <c r="T5079">
        <v>-0.3411999</v>
      </c>
      <c r="U5079">
        <v>-3.1293950000000001</v>
      </c>
      <c r="V5079">
        <v>2.1501610000000001E-2</v>
      </c>
      <c r="W5079">
        <v>0.17369019999999999</v>
      </c>
      <c r="X5079">
        <v>0.98456560000000004</v>
      </c>
      <c r="Y5079">
        <v>-0.26262720000000001</v>
      </c>
      <c r="Z5079">
        <v>0.1048003</v>
      </c>
      <c r="AA5079">
        <v>0.95918919999999996</v>
      </c>
      <c r="AB5079">
        <v>38</v>
      </c>
      <c r="AC5079">
        <v>2.6063999999999998</v>
      </c>
      <c r="AD5079">
        <v>-1.1105836043140001</v>
      </c>
      <c r="AE5079">
        <v>-9.8062799999999992</v>
      </c>
      <c r="AF5079">
        <v>-2.7421069715771802</v>
      </c>
      <c r="AG5079">
        <v>-1.1105836043140001</v>
      </c>
      <c r="AH5079">
        <v>9.6443836364488398</v>
      </c>
      <c r="AI5079">
        <v>96.320512141511799</v>
      </c>
      <c r="AJ5079">
        <v>105.871598160269</v>
      </c>
      <c r="AK5079">
        <v>10.087947378567399</v>
      </c>
      <c r="AL5079">
        <v>79.997555274685396</v>
      </c>
      <c r="AM5079">
        <v>88.748934848914402</v>
      </c>
      <c r="AN5079">
        <v>1.00000001275599</v>
      </c>
    </row>
    <row r="5080" spans="1:40" x14ac:dyDescent="0.25">
      <c r="A5080" t="str">
        <f>"20190312164130627"</f>
        <v>20190312164130627</v>
      </c>
      <c r="B5080" t="str">
        <f>"1552380090621875"</f>
        <v>1552380090621875</v>
      </c>
      <c r="C5080" t="s">
        <v>40</v>
      </c>
      <c r="D5080">
        <v>5.0968629999999999</v>
      </c>
      <c r="E5080">
        <v>0.39178940000000001</v>
      </c>
      <c r="F5080" t="s">
        <v>41</v>
      </c>
      <c r="G5080">
        <v>-419.89120000000003</v>
      </c>
      <c r="H5080" s="1">
        <v>-2.4493509999999999E-6</v>
      </c>
      <c r="I5080">
        <v>65.297290000000004</v>
      </c>
      <c r="J5080">
        <v>-422.5147</v>
      </c>
      <c r="K5080">
        <v>1.1105830000000001</v>
      </c>
      <c r="L5080">
        <v>75.081269999999904</v>
      </c>
      <c r="M5080">
        <v>-1.6815449999999999E-2</v>
      </c>
      <c r="N5080">
        <v>0</v>
      </c>
      <c r="O5080">
        <v>-0.99975720000000001</v>
      </c>
      <c r="P5080">
        <v>-3.746298E-2</v>
      </c>
      <c r="Q5080">
        <v>0.15897339999999999</v>
      </c>
      <c r="R5080">
        <v>-0.98657189999999995</v>
      </c>
      <c r="S5080">
        <v>0.80487059999999999</v>
      </c>
      <c r="T5080">
        <v>-0.34154380000000001</v>
      </c>
      <c r="U5080">
        <v>-3.1282350000000001</v>
      </c>
      <c r="V5080">
        <v>2.0700070000000001E-2</v>
      </c>
      <c r="W5080">
        <v>0.1730351</v>
      </c>
      <c r="X5080">
        <v>0.98469810000000002</v>
      </c>
      <c r="Y5080">
        <v>-0.2640517</v>
      </c>
      <c r="Z5080">
        <v>0.1048979</v>
      </c>
      <c r="AA5080">
        <v>0.95878730000000001</v>
      </c>
      <c r="AB5080">
        <v>38</v>
      </c>
      <c r="AC5080">
        <v>2.6234999999999702</v>
      </c>
      <c r="AD5080">
        <v>-1.1105854493509999</v>
      </c>
      <c r="AE5080">
        <v>-9.7839799999999801</v>
      </c>
      <c r="AF5080">
        <v>-2.7545568609288802</v>
      </c>
      <c r="AG5080">
        <v>-1.1105854493509999</v>
      </c>
      <c r="AH5080">
        <v>9.6228067033212294</v>
      </c>
      <c r="AI5080">
        <v>96.331379291566194</v>
      </c>
      <c r="AJ5080">
        <v>105.973926033574</v>
      </c>
      <c r="AK5080">
        <v>10.070719556709101</v>
      </c>
      <c r="AL5080">
        <v>80.035666628548796</v>
      </c>
      <c r="AM5080">
        <v>88.795720245821698</v>
      </c>
      <c r="AN5080">
        <v>0.99999999343681201</v>
      </c>
    </row>
    <row r="5081" spans="1:40" x14ac:dyDescent="0.25">
      <c r="A5081" t="str">
        <f>"20190312164130649"</f>
        <v>20190312164130649</v>
      </c>
      <c r="B5081" t="str">
        <f>"1552380090641395"</f>
        <v>1552380090641395</v>
      </c>
      <c r="C5081" t="s">
        <v>40</v>
      </c>
      <c r="D5081">
        <v>5.1340029999999999</v>
      </c>
      <c r="E5081">
        <v>0.39172190000000001</v>
      </c>
      <c r="F5081" t="s">
        <v>41</v>
      </c>
      <c r="G5081">
        <v>-419.91</v>
      </c>
      <c r="H5081" s="1">
        <v>-2.321011E-6</v>
      </c>
      <c r="I5081">
        <v>65.005889999999994</v>
      </c>
      <c r="J5081">
        <v>-422.5204</v>
      </c>
      <c r="K5081">
        <v>1.1105830000000001</v>
      </c>
      <c r="L5081">
        <v>74.715519999999998</v>
      </c>
      <c r="M5081">
        <v>-1.642828E-2</v>
      </c>
      <c r="N5081">
        <v>0</v>
      </c>
      <c r="O5081">
        <v>-0.9997627</v>
      </c>
      <c r="P5081">
        <v>-3.690616E-2</v>
      </c>
      <c r="Q5081">
        <v>0.15839679999999901</v>
      </c>
      <c r="R5081">
        <v>-0.98668560000000005</v>
      </c>
      <c r="S5081">
        <v>0.80841059999999998</v>
      </c>
      <c r="T5081">
        <v>-0.3446901</v>
      </c>
      <c r="U5081">
        <v>-3.127075</v>
      </c>
      <c r="V5081">
        <v>2.0524440000000001E-2</v>
      </c>
      <c r="W5081">
        <v>0.1725438</v>
      </c>
      <c r="X5081">
        <v>0.984788</v>
      </c>
      <c r="Y5081">
        <v>-0.26475609999999999</v>
      </c>
      <c r="Z5081">
        <v>0.10586669999999999</v>
      </c>
      <c r="AA5081">
        <v>0.95848659999999997</v>
      </c>
      <c r="AB5081">
        <v>38</v>
      </c>
      <c r="AC5081">
        <v>2.6103999999999701</v>
      </c>
      <c r="AD5081">
        <v>-1.1105853210109999</v>
      </c>
      <c r="AE5081">
        <v>-9.70962999999999</v>
      </c>
      <c r="AF5081">
        <v>-2.73619255206515</v>
      </c>
      <c r="AG5081">
        <v>-1.1105853210109999</v>
      </c>
      <c r="AH5081">
        <v>9.5489253837540105</v>
      </c>
      <c r="AI5081">
        <v>96.379474557246695</v>
      </c>
      <c r="AJ5081">
        <v>105.98936678993999</v>
      </c>
      <c r="AK5081">
        <v>9.9951050730707003</v>
      </c>
      <c r="AL5081">
        <v>80.064246081467502</v>
      </c>
      <c r="AM5081">
        <v>88.806043974452606</v>
      </c>
      <c r="AN5081">
        <v>1.0000000102498701</v>
      </c>
    </row>
    <row r="5082" spans="1:40" x14ac:dyDescent="0.25">
      <c r="A5082" t="str">
        <f>"20190312164130671"</f>
        <v>20190312164130671</v>
      </c>
      <c r="B5082" t="str">
        <f>"1552380090661892"</f>
        <v>1552380090661892</v>
      </c>
      <c r="C5082" t="s">
        <v>40</v>
      </c>
      <c r="D5082">
        <v>5.6386409999999998</v>
      </c>
      <c r="E5082">
        <v>0.39183469999999998</v>
      </c>
      <c r="F5082" t="s">
        <v>41</v>
      </c>
      <c r="G5082">
        <v>-419.91980000000001</v>
      </c>
      <c r="H5082" s="1">
        <v>-2.184371E-6</v>
      </c>
      <c r="I5082">
        <v>64.691419999999994</v>
      </c>
      <c r="J5082">
        <v>-422.52620000000002</v>
      </c>
      <c r="K5082">
        <v>1.110589</v>
      </c>
      <c r="L5082">
        <v>74.342959999999906</v>
      </c>
      <c r="M5082">
        <v>-1.603367E-2</v>
      </c>
      <c r="N5082">
        <v>0</v>
      </c>
      <c r="O5082">
        <v>-0.99976790000000004</v>
      </c>
      <c r="P5082">
        <v>-3.71825E-2</v>
      </c>
      <c r="Q5082">
        <v>0.15834799999999999</v>
      </c>
      <c r="R5082">
        <v>-0.98668319999999998</v>
      </c>
      <c r="S5082">
        <v>0.81112669999999998</v>
      </c>
      <c r="T5082">
        <v>-0.34638249999999998</v>
      </c>
      <c r="U5082">
        <v>-3.1264340000000002</v>
      </c>
      <c r="V5082">
        <v>2.1190710000000001E-2</v>
      </c>
      <c r="W5082">
        <v>0.1725701</v>
      </c>
      <c r="X5082">
        <v>0.98476929999999996</v>
      </c>
      <c r="Y5082">
        <v>-0.26518969999999997</v>
      </c>
      <c r="Z5082">
        <v>0.1063846</v>
      </c>
      <c r="AA5082">
        <v>0.95830939999999998</v>
      </c>
      <c r="AB5082">
        <v>38</v>
      </c>
      <c r="AC5082">
        <v>2.6063999999999998</v>
      </c>
      <c r="AD5082">
        <v>-1.1105911843709999</v>
      </c>
      <c r="AE5082">
        <v>-9.65153999999999</v>
      </c>
      <c r="AF5082">
        <v>-2.7271748655590602</v>
      </c>
      <c r="AG5082">
        <v>-1.1105911843709999</v>
      </c>
      <c r="AH5082">
        <v>9.4913729854547793</v>
      </c>
      <c r="AI5082">
        <v>96.416540859867496</v>
      </c>
      <c r="AJ5082">
        <v>106.03105033129999</v>
      </c>
      <c r="AK5082">
        <v>9.9376585106935806</v>
      </c>
      <c r="AL5082">
        <v>80.062716451761304</v>
      </c>
      <c r="AM5082">
        <v>88.767273817096694</v>
      </c>
      <c r="AN5082">
        <v>1.0000000299134</v>
      </c>
    </row>
    <row r="5083" spans="1:40" x14ac:dyDescent="0.25">
      <c r="A5083" t="str">
        <f>"20190312164130694"</f>
        <v>20190312164130694</v>
      </c>
      <c r="B5083" t="str">
        <f>"1552380090681414"</f>
        <v>1552380090681414</v>
      </c>
      <c r="C5083" t="s">
        <v>40</v>
      </c>
      <c r="D5083">
        <v>5.6119629999999896</v>
      </c>
      <c r="E5083">
        <v>0.43598510000000001</v>
      </c>
      <c r="F5083" t="s">
        <v>41</v>
      </c>
      <c r="G5083">
        <v>-419.93700000000001</v>
      </c>
      <c r="H5083" s="1">
        <v>-2.0324370000000002E-6</v>
      </c>
      <c r="I5083">
        <v>64.344369999999998</v>
      </c>
      <c r="J5083">
        <v>-422.53190000000001</v>
      </c>
      <c r="K5083">
        <v>1.110587</v>
      </c>
      <c r="L5083">
        <v>73.963319999999996</v>
      </c>
      <c r="M5083">
        <v>-1.56309E-2</v>
      </c>
      <c r="N5083">
        <v>0</v>
      </c>
      <c r="O5083">
        <v>-0.99977309999999997</v>
      </c>
      <c r="P5083">
        <v>-3.7721650000000002E-2</v>
      </c>
      <c r="Q5083">
        <v>0.15807760000000001</v>
      </c>
      <c r="R5083">
        <v>-0.98670590000000002</v>
      </c>
      <c r="S5083">
        <v>0.80969239999999998</v>
      </c>
      <c r="T5083">
        <v>-0.347302</v>
      </c>
      <c r="U5083">
        <v>-3.1267399999999999</v>
      </c>
      <c r="V5083">
        <v>2.212778E-2</v>
      </c>
      <c r="W5083">
        <v>0.172366299999999</v>
      </c>
      <c r="X5083">
        <v>0.9847844</v>
      </c>
      <c r="Y5083">
        <v>-0.26435890000000001</v>
      </c>
      <c r="Z5083">
        <v>0.10667310000000001</v>
      </c>
      <c r="AA5083">
        <v>0.95850679999999999</v>
      </c>
      <c r="AB5083">
        <v>38</v>
      </c>
      <c r="AC5083">
        <v>2.5949000000000502</v>
      </c>
      <c r="AD5083">
        <v>-1.110589032437</v>
      </c>
      <c r="AE5083">
        <v>-9.6189499999999892</v>
      </c>
      <c r="AF5083">
        <v>-2.7112605158696002</v>
      </c>
      <c r="AG5083">
        <v>-1.110589032437</v>
      </c>
      <c r="AH5083">
        <v>9.4596609631181003</v>
      </c>
      <c r="AI5083">
        <v>96.439075894674701</v>
      </c>
      <c r="AJ5083">
        <v>105.99298366753</v>
      </c>
      <c r="AK5083">
        <v>9.9030059638992096</v>
      </c>
      <c r="AL5083">
        <v>80.074571144075804</v>
      </c>
      <c r="AM5083">
        <v>88.712799371128199</v>
      </c>
      <c r="AN5083">
        <v>1.0000000472533801</v>
      </c>
    </row>
    <row r="5084" spans="1:40" x14ac:dyDescent="0.25">
      <c r="A5084" t="str">
        <f>"20190312164130716"</f>
        <v>20190312164130716</v>
      </c>
      <c r="B5084" t="str">
        <f>"1552380090711674"</f>
        <v>1552380090711674</v>
      </c>
      <c r="C5084" t="s">
        <v>40</v>
      </c>
      <c r="D5084">
        <v>5.5937720000000004</v>
      </c>
      <c r="E5084">
        <v>0.50261509999999998</v>
      </c>
      <c r="F5084" t="s">
        <v>41</v>
      </c>
      <c r="G5084">
        <v>-419.22590000000002</v>
      </c>
      <c r="H5084" s="1">
        <v>-6.8265769999999896E-7</v>
      </c>
      <c r="I5084">
        <v>50.903959999999998</v>
      </c>
      <c r="J5084">
        <v>-422.53739999999999</v>
      </c>
      <c r="K5084">
        <v>1.1105929999999999</v>
      </c>
      <c r="L5084">
        <v>73.584779999999995</v>
      </c>
      <c r="M5084">
        <v>-1.52292E-2</v>
      </c>
      <c r="N5084">
        <v>0</v>
      </c>
      <c r="O5084">
        <v>-0.99977879999999997</v>
      </c>
      <c r="P5084">
        <v>-3.8049119999999999E-2</v>
      </c>
      <c r="Q5084">
        <v>0.1575751</v>
      </c>
      <c r="R5084">
        <v>-0.98677400000000004</v>
      </c>
      <c r="S5084">
        <v>0.44174190000000002</v>
      </c>
      <c r="T5084">
        <v>-0.14839160000000001</v>
      </c>
      <c r="U5084">
        <v>-3.0810849999999999</v>
      </c>
      <c r="V5084">
        <v>2.2851639999999999E-2</v>
      </c>
      <c r="W5084">
        <v>0.17192099999999999</v>
      </c>
      <c r="X5084">
        <v>0.98484559999999999</v>
      </c>
      <c r="Y5084">
        <v>-0.1568205</v>
      </c>
      <c r="Z5084">
        <v>4.7557759999999998E-2</v>
      </c>
      <c r="AA5084">
        <v>0.98648139999999995</v>
      </c>
      <c r="AB5084">
        <v>38</v>
      </c>
      <c r="AC5084">
        <v>3.3114999999999601</v>
      </c>
      <c r="AD5084">
        <v>-1.1105936826577001</v>
      </c>
      <c r="AE5084">
        <v>-22.680820000000001</v>
      </c>
      <c r="AF5084">
        <v>-3.6479987702115699</v>
      </c>
      <c r="AG5084">
        <v>-1.1105936826577001</v>
      </c>
      <c r="AH5084">
        <v>22.574754842694599</v>
      </c>
      <c r="AI5084">
        <v>92.780455862516206</v>
      </c>
      <c r="AJ5084">
        <v>99.179437669476201</v>
      </c>
      <c r="AK5084">
        <v>22.894559824621801</v>
      </c>
      <c r="AL5084">
        <v>80.100470544586898</v>
      </c>
      <c r="AM5084">
        <v>88.670788974191197</v>
      </c>
      <c r="AN5084">
        <v>0.99999994176552298</v>
      </c>
    </row>
    <row r="5085" spans="1:40" x14ac:dyDescent="0.25">
      <c r="A5085" t="str">
        <f>"20190312164130740"</f>
        <v>20190312164130740</v>
      </c>
      <c r="B5085" t="str">
        <f>"1552380090731187"</f>
        <v>1552380090731187</v>
      </c>
      <c r="C5085" t="s">
        <v>40</v>
      </c>
      <c r="D5085">
        <v>5.3888089999999904</v>
      </c>
      <c r="E5085">
        <v>0.50412979999999996</v>
      </c>
      <c r="F5085" t="s">
        <v>41</v>
      </c>
      <c r="G5085">
        <v>-423.23360000000002</v>
      </c>
      <c r="H5085" s="1">
        <v>-1.195507E-6</v>
      </c>
      <c r="I5085">
        <v>50.370289999999997</v>
      </c>
      <c r="J5085">
        <v>-422.54300000000001</v>
      </c>
      <c r="K5085">
        <v>1.1106049999999901</v>
      </c>
      <c r="L5085">
        <v>73.193209999999993</v>
      </c>
      <c r="M5085">
        <v>-1.4813440000000001E-2</v>
      </c>
      <c r="N5085">
        <v>0</v>
      </c>
      <c r="O5085">
        <v>-0.99978429999999996</v>
      </c>
      <c r="P5085">
        <v>-3.8505810000000001E-2</v>
      </c>
      <c r="Q5085">
        <v>0.15748389999999901</v>
      </c>
      <c r="R5085">
        <v>-0.98677090000000001</v>
      </c>
      <c r="S5085">
        <v>-9.1766360000000005E-2</v>
      </c>
      <c r="T5085">
        <v>-0.14639479999999999</v>
      </c>
      <c r="U5085">
        <v>-3.0600589999999999</v>
      </c>
      <c r="V5085">
        <v>2.371933E-2</v>
      </c>
      <c r="W5085">
        <v>0.1718797</v>
      </c>
      <c r="X5085">
        <v>0.98483229999999999</v>
      </c>
      <c r="Y5085">
        <v>1.5129099999999999E-2</v>
      </c>
      <c r="Z5085">
        <v>4.7764580000000001E-2</v>
      </c>
      <c r="AA5085">
        <v>0.99874399999999997</v>
      </c>
      <c r="AB5085">
        <v>38</v>
      </c>
      <c r="AC5085">
        <v>-0.69060000000001698</v>
      </c>
      <c r="AD5085">
        <v>-1.1106061955069999</v>
      </c>
      <c r="AE5085">
        <v>-22.8229199999999</v>
      </c>
      <c r="AF5085">
        <v>0.35157067301558498</v>
      </c>
      <c r="AG5085">
        <v>-1.1106061955069999</v>
      </c>
      <c r="AH5085">
        <v>22.776760925961199</v>
      </c>
      <c r="AI5085">
        <v>92.791227761000002</v>
      </c>
      <c r="AJ5085">
        <v>89.115681272832902</v>
      </c>
      <c r="AK5085">
        <v>22.806531659549201</v>
      </c>
      <c r="AL5085">
        <v>80.102872684223698</v>
      </c>
      <c r="AM5085">
        <v>88.620318587960099</v>
      </c>
      <c r="AN5085">
        <v>0.99999994850551299</v>
      </c>
    </row>
    <row r="5086" spans="1:40" x14ac:dyDescent="0.25">
      <c r="A5086" t="str">
        <f>"20190312164130761"</f>
        <v>20190312164130761</v>
      </c>
      <c r="B5086" t="str">
        <f>"1552380090751683"</f>
        <v>1552380090751683</v>
      </c>
      <c r="C5086" t="s">
        <v>40</v>
      </c>
      <c r="D5086">
        <v>5.9072870000000002</v>
      </c>
      <c r="E5086">
        <v>0.5042799</v>
      </c>
      <c r="F5086" t="s">
        <v>41</v>
      </c>
      <c r="G5086">
        <v>-423.2355</v>
      </c>
      <c r="H5086" s="1">
        <v>-2.2514230000000002E-6</v>
      </c>
      <c r="I5086">
        <v>52.830509999999997</v>
      </c>
      <c r="J5086">
        <v>-422.548</v>
      </c>
      <c r="K5086">
        <v>1.1106069999999999</v>
      </c>
      <c r="L5086">
        <v>72.833889999999997</v>
      </c>
      <c r="M5086">
        <v>-1.4431970000000001E-2</v>
      </c>
      <c r="N5086">
        <v>0</v>
      </c>
      <c r="O5086">
        <v>-0.99978909999999999</v>
      </c>
      <c r="P5086">
        <v>-3.9220560000000002E-2</v>
      </c>
      <c r="Q5086">
        <v>0.15809200000000001</v>
      </c>
      <c r="R5086">
        <v>-0.98664540000000001</v>
      </c>
      <c r="S5086">
        <v>-0.1041565</v>
      </c>
      <c r="T5086">
        <v>-0.16705100000000001</v>
      </c>
      <c r="U5086">
        <v>-3.0628359999999999</v>
      </c>
      <c r="V5086">
        <v>2.4812190000000001E-2</v>
      </c>
      <c r="W5086">
        <v>0.17252509999999999</v>
      </c>
      <c r="X5086">
        <v>0.98469260000000003</v>
      </c>
      <c r="Y5086">
        <v>1.950781E-2</v>
      </c>
      <c r="Z5086">
        <v>5.4430970000000002E-2</v>
      </c>
      <c r="AA5086">
        <v>0.99832699999999996</v>
      </c>
      <c r="AB5086">
        <v>38</v>
      </c>
      <c r="AC5086">
        <v>-0.6875</v>
      </c>
      <c r="AD5086">
        <v>-1.1106092514229999</v>
      </c>
      <c r="AE5086">
        <v>-20.00338</v>
      </c>
      <c r="AF5086">
        <v>0.39748554603241598</v>
      </c>
      <c r="AG5086">
        <v>-1.1106092514229999</v>
      </c>
      <c r="AH5086">
        <v>19.949794829398598</v>
      </c>
      <c r="AI5086">
        <v>93.185748065127598</v>
      </c>
      <c r="AJ5086">
        <v>88.858573158414004</v>
      </c>
      <c r="AK5086">
        <v>19.984638135421701</v>
      </c>
      <c r="AL5086">
        <v>80.065334080284799</v>
      </c>
      <c r="AM5086">
        <v>88.556571867544406</v>
      </c>
      <c r="AN5086">
        <v>1.00000003569868</v>
      </c>
    </row>
    <row r="5087" spans="1:40" x14ac:dyDescent="0.25">
      <c r="A5087" t="str">
        <f>"20190312164130782"</f>
        <v>20190312164130782</v>
      </c>
      <c r="B5087" t="str">
        <f>"1552380090771203"</f>
        <v>1552380090771203</v>
      </c>
      <c r="C5087" t="s">
        <v>40</v>
      </c>
      <c r="D5087">
        <v>5.4176780000000004</v>
      </c>
      <c r="E5087">
        <v>0.50359179999999903</v>
      </c>
      <c r="F5087" t="s">
        <v>41</v>
      </c>
      <c r="G5087">
        <v>-423.27620000000002</v>
      </c>
      <c r="H5087" s="1">
        <v>-1.9720890000000001E-6</v>
      </c>
      <c r="I5087">
        <v>52.154110000000003</v>
      </c>
      <c r="J5087">
        <v>-422.55290000000002</v>
      </c>
      <c r="K5087">
        <v>1.110614</v>
      </c>
      <c r="L5087">
        <v>72.465299999999999</v>
      </c>
      <c r="M5087">
        <v>-1.4041E-2</v>
      </c>
      <c r="N5087">
        <v>0</v>
      </c>
      <c r="O5087">
        <v>-0.99979430000000002</v>
      </c>
      <c r="P5087">
        <v>-3.9631020000000003E-2</v>
      </c>
      <c r="Q5087">
        <v>0.1579642</v>
      </c>
      <c r="R5087">
        <v>-0.98664960000000002</v>
      </c>
      <c r="S5087">
        <v>-0.1078491</v>
      </c>
      <c r="T5087">
        <v>-0.16447999999999999</v>
      </c>
      <c r="U5087">
        <v>-3.0626530000000001</v>
      </c>
      <c r="V5087">
        <v>2.5608880000000001E-2</v>
      </c>
      <c r="W5087">
        <v>0.17243159999999999</v>
      </c>
      <c r="X5087">
        <v>0.98468849999999997</v>
      </c>
      <c r="Y5087">
        <v>2.1104609999999999E-2</v>
      </c>
      <c r="Z5087">
        <v>5.359734E-2</v>
      </c>
      <c r="AA5087">
        <v>0.99833959999999999</v>
      </c>
      <c r="AB5087">
        <v>38</v>
      </c>
      <c r="AC5087">
        <v>-0.72329999999999395</v>
      </c>
      <c r="AD5087">
        <v>-1.1106159720890001</v>
      </c>
      <c r="AE5087">
        <v>-20.31119</v>
      </c>
      <c r="AF5087">
        <v>0.43670466255379897</v>
      </c>
      <c r="AG5087">
        <v>-1.1106159720890001</v>
      </c>
      <c r="AH5087">
        <v>20.258848967115998</v>
      </c>
      <c r="AI5087">
        <v>93.137159478527195</v>
      </c>
      <c r="AJ5087">
        <v>88.765109527640902</v>
      </c>
      <c r="AK5087">
        <v>20.2939680760607</v>
      </c>
      <c r="AL5087">
        <v>80.070771950918001</v>
      </c>
      <c r="AM5087">
        <v>88.510239462835401</v>
      </c>
      <c r="AN5087">
        <v>0.99999995672283104</v>
      </c>
    </row>
    <row r="5088" spans="1:40" x14ac:dyDescent="0.25">
      <c r="A5088" t="str">
        <f>"20190312164130806"</f>
        <v>20190312164130806</v>
      </c>
      <c r="B5088" t="str">
        <f>"1552380090801459"</f>
        <v>1552380090801459</v>
      </c>
      <c r="C5088" t="s">
        <v>40</v>
      </c>
      <c r="D5088">
        <v>5.4750379999999996</v>
      </c>
      <c r="E5088">
        <v>0.50376369999999904</v>
      </c>
      <c r="F5088" t="s">
        <v>41</v>
      </c>
      <c r="G5088">
        <v>-423.22269999999997</v>
      </c>
      <c r="H5088" s="1">
        <v>-2.1467659999999998E-6</v>
      </c>
      <c r="I5088">
        <v>52.594470000000001</v>
      </c>
      <c r="J5088">
        <v>-422.55779999999999</v>
      </c>
      <c r="K5088">
        <v>1.110622</v>
      </c>
      <c r="L5088">
        <v>72.085269999999994</v>
      </c>
      <c r="M5088">
        <v>-1.363751E-2</v>
      </c>
      <c r="N5088">
        <v>0</v>
      </c>
      <c r="O5088">
        <v>-0.99979929999999995</v>
      </c>
      <c r="P5088">
        <v>-3.9713749999999999E-2</v>
      </c>
      <c r="Q5088">
        <v>0.1576282</v>
      </c>
      <c r="R5088">
        <v>-0.98669980000000002</v>
      </c>
      <c r="S5088">
        <v>-0.1032715</v>
      </c>
      <c r="T5088">
        <v>-0.17124529999999999</v>
      </c>
      <c r="U5088">
        <v>-3.0638730000000001</v>
      </c>
      <c r="V5088">
        <v>2.6089930000000001E-2</v>
      </c>
      <c r="W5088">
        <v>0.172125799999999</v>
      </c>
      <c r="X5088">
        <v>0.98472939999999998</v>
      </c>
      <c r="Y5088">
        <v>2.0000250000000001E-2</v>
      </c>
      <c r="Z5088">
        <v>5.5775560000000002E-2</v>
      </c>
      <c r="AA5088">
        <v>0.99824299999999999</v>
      </c>
      <c r="AB5088">
        <v>37</v>
      </c>
      <c r="AC5088">
        <v>-0.66489999999998795</v>
      </c>
      <c r="AD5088">
        <v>-1.1106241467659901</v>
      </c>
      <c r="AE5088">
        <v>-19.4908</v>
      </c>
      <c r="AF5088">
        <v>0.39771369195508699</v>
      </c>
      <c r="AG5088">
        <v>-1.1106241467659901</v>
      </c>
      <c r="AH5088">
        <v>19.435024517821098</v>
      </c>
      <c r="AI5088">
        <v>93.269955602737099</v>
      </c>
      <c r="AJ5088">
        <v>88.827676500516404</v>
      </c>
      <c r="AK5088">
        <v>19.4707945442515</v>
      </c>
      <c r="AL5088">
        <v>80.088559214496897</v>
      </c>
      <c r="AM5088">
        <v>88.482331033265794</v>
      </c>
      <c r="AN5088">
        <v>0.99999998334870199</v>
      </c>
    </row>
    <row r="5089" spans="1:40" x14ac:dyDescent="0.25">
      <c r="A5089" t="str">
        <f>"20190312164130828"</f>
        <v>20190312164130828</v>
      </c>
      <c r="B5089" t="str">
        <f>"1552380090820979"</f>
        <v>1552380090820979</v>
      </c>
      <c r="C5089" t="s">
        <v>40</v>
      </c>
      <c r="D5089">
        <v>5.5180579999999999</v>
      </c>
      <c r="E5089">
        <v>0.50380020000000003</v>
      </c>
      <c r="F5089" t="s">
        <v>41</v>
      </c>
      <c r="G5089">
        <v>-423.24579999999997</v>
      </c>
      <c r="H5089" s="1">
        <v>-1.881878E-6</v>
      </c>
      <c r="I5089">
        <v>51.962670000000003</v>
      </c>
      <c r="J5089">
        <v>-422.5625</v>
      </c>
      <c r="K5089">
        <v>1.110625</v>
      </c>
      <c r="L5089">
        <v>71.711730000000003</v>
      </c>
      <c r="M5089">
        <v>-1.3240439999999999E-2</v>
      </c>
      <c r="N5089">
        <v>0</v>
      </c>
      <c r="O5089">
        <v>-0.99980429999999998</v>
      </c>
      <c r="P5089">
        <v>-3.9072849999999999E-2</v>
      </c>
      <c r="Q5089">
        <v>0.1569354</v>
      </c>
      <c r="R5089">
        <v>-0.98683589999999999</v>
      </c>
      <c r="S5089">
        <v>-0.1047363</v>
      </c>
      <c r="T5089">
        <v>-0.16906860000000001</v>
      </c>
      <c r="U5089">
        <v>-3.0632320000000002</v>
      </c>
      <c r="V5089">
        <v>2.5840390000000001E-2</v>
      </c>
      <c r="W5089">
        <v>0.17145879999999999</v>
      </c>
      <c r="X5089">
        <v>0.98485239999999996</v>
      </c>
      <c r="Y5089">
        <v>2.088247E-2</v>
      </c>
      <c r="Z5089">
        <v>5.5079719999999999E-2</v>
      </c>
      <c r="AA5089">
        <v>0.99826349999999997</v>
      </c>
      <c r="AB5089">
        <v>37</v>
      </c>
      <c r="AC5089">
        <v>-0.68329999999997404</v>
      </c>
      <c r="AD5089">
        <v>-1.1106268818780001</v>
      </c>
      <c r="AE5089">
        <v>-19.74906</v>
      </c>
      <c r="AF5089">
        <v>0.42039763655540302</v>
      </c>
      <c r="AG5089">
        <v>-1.1106268818780001</v>
      </c>
      <c r="AH5089">
        <v>19.694166434093901</v>
      </c>
      <c r="AI5089">
        <v>93.226968603371304</v>
      </c>
      <c r="AJ5089">
        <v>88.777132668220005</v>
      </c>
      <c r="AK5089">
        <v>19.729937095119201</v>
      </c>
      <c r="AL5089">
        <v>80.127352872062104</v>
      </c>
      <c r="AM5089">
        <v>88.497027899070503</v>
      </c>
      <c r="AN5089">
        <v>1.0000000478192701</v>
      </c>
    </row>
    <row r="5090" spans="1:40" x14ac:dyDescent="0.25">
      <c r="A5090" t="str">
        <f>"20190312164130850"</f>
        <v>20190312164130850</v>
      </c>
      <c r="B5090" t="str">
        <f>"1552380090841475"</f>
        <v>1552380090841475</v>
      </c>
      <c r="C5090" t="s">
        <v>40</v>
      </c>
      <c r="D5090">
        <v>5.4005269999999896</v>
      </c>
      <c r="E5090">
        <v>0.50374449999999904</v>
      </c>
      <c r="F5090" t="s">
        <v>41</v>
      </c>
      <c r="G5090">
        <v>-423.23270000000002</v>
      </c>
      <c r="H5090" s="1">
        <v>-1.836075E-6</v>
      </c>
      <c r="I5090">
        <v>51.864060000000002</v>
      </c>
      <c r="J5090">
        <v>-422.56700000000001</v>
      </c>
      <c r="K5090">
        <v>1.11063</v>
      </c>
      <c r="L5090">
        <v>71.345280000000002</v>
      </c>
      <c r="M5090">
        <v>-1.2850540000000001E-2</v>
      </c>
      <c r="N5090">
        <v>0</v>
      </c>
      <c r="O5090">
        <v>-0.99980910000000001</v>
      </c>
      <c r="P5090">
        <v>-3.8602419999999998E-2</v>
      </c>
      <c r="Q5090">
        <v>0.1574345</v>
      </c>
      <c r="R5090">
        <v>-0.98677499999999996</v>
      </c>
      <c r="S5090">
        <v>-0.1034241</v>
      </c>
      <c r="T5090">
        <v>-0.17140759999999999</v>
      </c>
      <c r="U5090">
        <v>-3.0631710000000001</v>
      </c>
      <c r="V5090">
        <v>2.5755750000000001E-2</v>
      </c>
      <c r="W5090">
        <v>0.17197689999999999</v>
      </c>
      <c r="X5090">
        <v>0.98476419999999998</v>
      </c>
      <c r="Y5090">
        <v>2.0844439999999999E-2</v>
      </c>
      <c r="Z5090">
        <v>5.584132E-2</v>
      </c>
      <c r="AA5090">
        <v>0.9982221</v>
      </c>
      <c r="AB5090">
        <v>37</v>
      </c>
      <c r="AC5090">
        <v>-0.66570000000007201</v>
      </c>
      <c r="AD5090">
        <v>-1.110631836075</v>
      </c>
      <c r="AE5090">
        <v>-19.48122</v>
      </c>
      <c r="AF5090">
        <v>0.41392992396519601</v>
      </c>
      <c r="AG5090">
        <v>-1.110631836075</v>
      </c>
      <c r="AH5090">
        <v>19.425105059276401</v>
      </c>
      <c r="AI5090">
        <v>93.271586777930906</v>
      </c>
      <c r="AJ5090">
        <v>88.779267917060395</v>
      </c>
      <c r="AK5090">
        <v>19.461231914274698</v>
      </c>
      <c r="AL5090">
        <v>80.097219580005699</v>
      </c>
      <c r="AM5090">
        <v>88.501814514524895</v>
      </c>
      <c r="AN5090">
        <v>0.99999997119665496</v>
      </c>
    </row>
    <row r="5091" spans="1:40" x14ac:dyDescent="0.25">
      <c r="A5091" t="str">
        <f>"20190312164130872"</f>
        <v>20190312164130872</v>
      </c>
      <c r="B5091" t="str">
        <f>"1552380090860999"</f>
        <v>1552380090860999</v>
      </c>
      <c r="C5091" t="s">
        <v>40</v>
      </c>
      <c r="D5091">
        <v>5.4103149999999998</v>
      </c>
      <c r="E5091">
        <v>0.50377989999999995</v>
      </c>
      <c r="F5091" t="s">
        <v>41</v>
      </c>
      <c r="G5091">
        <v>-423.24979999999999</v>
      </c>
      <c r="H5091" s="1">
        <v>-1.398568E-6</v>
      </c>
      <c r="I5091">
        <v>50.833570000000002</v>
      </c>
      <c r="J5091">
        <v>-422.57139999999998</v>
      </c>
      <c r="K5091">
        <v>1.1106389999999999</v>
      </c>
      <c r="L5091">
        <v>70.977230000000006</v>
      </c>
      <c r="M5091">
        <v>-1.245887E-2</v>
      </c>
      <c r="N5091">
        <v>0</v>
      </c>
      <c r="O5091">
        <v>-0.99981390000000003</v>
      </c>
      <c r="P5091">
        <v>-3.7955530000000001E-2</v>
      </c>
      <c r="Q5091">
        <v>0.15809019999999999</v>
      </c>
      <c r="R5091">
        <v>-0.98669530000000005</v>
      </c>
      <c r="S5091">
        <v>-0.1019592</v>
      </c>
      <c r="T5091">
        <v>-0.1658326</v>
      </c>
      <c r="U5091">
        <v>-3.0626829999999998</v>
      </c>
      <c r="V5091">
        <v>2.5496370000000001E-2</v>
      </c>
      <c r="W5091">
        <v>0.17264769999999999</v>
      </c>
      <c r="X5091">
        <v>0.98465360000000002</v>
      </c>
      <c r="Y5091">
        <v>2.0767859999999999E-2</v>
      </c>
      <c r="Z5091">
        <v>5.4039959999999998E-2</v>
      </c>
      <c r="AA5091">
        <v>0.99832279999999995</v>
      </c>
      <c r="AB5091">
        <v>37</v>
      </c>
      <c r="AC5091">
        <v>-0.67840000000001</v>
      </c>
      <c r="AD5091">
        <v>-1.110640398568</v>
      </c>
      <c r="AE5091">
        <v>-20.143660000000001</v>
      </c>
      <c r="AF5091">
        <v>0.42605912421585102</v>
      </c>
      <c r="AG5091">
        <v>-1.110640398568</v>
      </c>
      <c r="AH5091">
        <v>20.0895466786478</v>
      </c>
      <c r="AI5091">
        <v>93.163636978732498</v>
      </c>
      <c r="AJ5091">
        <v>88.785053186823603</v>
      </c>
      <c r="AK5091">
        <v>20.124734388951001</v>
      </c>
      <c r="AL5091">
        <v>80.058202273348897</v>
      </c>
      <c r="AM5091">
        <v>88.516729095916503</v>
      </c>
      <c r="AN5091">
        <v>1.0000000025957101</v>
      </c>
    </row>
    <row r="5092" spans="1:40" x14ac:dyDescent="0.25">
      <c r="A5092" t="str">
        <f>"20190312164130895"</f>
        <v>20190312164130895</v>
      </c>
      <c r="B5092" t="str">
        <f>"1552380090891251"</f>
        <v>1552380090891251</v>
      </c>
      <c r="C5092" t="s">
        <v>40</v>
      </c>
      <c r="D5092">
        <v>5.3866870000000002</v>
      </c>
      <c r="E5092">
        <v>0.50390959999999996</v>
      </c>
      <c r="F5092" t="s">
        <v>41</v>
      </c>
      <c r="G5092">
        <v>-423.22969999999998</v>
      </c>
      <c r="H5092" s="1">
        <v>-1.3244420000000001E-6</v>
      </c>
      <c r="I5092">
        <v>50.673259999999999</v>
      </c>
      <c r="J5092">
        <v>-422.57569999999998</v>
      </c>
      <c r="K5092">
        <v>1.110638</v>
      </c>
      <c r="L5092">
        <v>70.595860000000002</v>
      </c>
      <c r="M5092">
        <v>-1.205292E-2</v>
      </c>
      <c r="N5092">
        <v>0</v>
      </c>
      <c r="O5092">
        <v>-0.9998184</v>
      </c>
      <c r="P5092">
        <v>-3.6698349999999998E-2</v>
      </c>
      <c r="Q5092">
        <v>0.1584351</v>
      </c>
      <c r="R5092">
        <v>-0.98668710000000004</v>
      </c>
      <c r="S5092">
        <v>-9.9334720000000001E-2</v>
      </c>
      <c r="T5092">
        <v>-0.167574</v>
      </c>
      <c r="U5092">
        <v>-3.0634769999999998</v>
      </c>
      <c r="V5092">
        <v>2.4640180000000001E-2</v>
      </c>
      <c r="W5092">
        <v>0.17300560000000001</v>
      </c>
      <c r="X5092">
        <v>0.98461259999999995</v>
      </c>
      <c r="Y5092">
        <v>2.0309870000000001E-2</v>
      </c>
      <c r="Z5092">
        <v>5.4593089999999997E-2</v>
      </c>
      <c r="AA5092">
        <v>0.99830209999999997</v>
      </c>
      <c r="AB5092">
        <v>37</v>
      </c>
      <c r="AC5092">
        <v>-0.65399999999999603</v>
      </c>
      <c r="AD5092">
        <v>-1.1106393244419901</v>
      </c>
      <c r="AE5092">
        <v>-19.922599999999999</v>
      </c>
      <c r="AF5092">
        <v>0.41252016139200698</v>
      </c>
      <c r="AG5092">
        <v>-1.1106393244419901</v>
      </c>
      <c r="AH5092">
        <v>19.867358539409398</v>
      </c>
      <c r="AI5092">
        <v>93.198971345390504</v>
      </c>
      <c r="AJ5092">
        <v>88.810497714252605</v>
      </c>
      <c r="AK5092">
        <v>19.902653791039899</v>
      </c>
      <c r="AL5092">
        <v>80.037383044463596</v>
      </c>
      <c r="AM5092">
        <v>88.566457796555298</v>
      </c>
      <c r="AN5092">
        <v>1.00000002409027</v>
      </c>
    </row>
    <row r="5093" spans="1:40" x14ac:dyDescent="0.25">
      <c r="A5093" t="str">
        <f>"20190312164130917"</f>
        <v>20190312164130917</v>
      </c>
      <c r="B5093" t="str">
        <f>"1552380090911747"</f>
        <v>1552380090911747</v>
      </c>
      <c r="C5093" t="s">
        <v>40</v>
      </c>
      <c r="D5093">
        <v>5.4563680000000003</v>
      </c>
      <c r="E5093">
        <v>0.50404380000000004</v>
      </c>
      <c r="F5093" t="s">
        <v>41</v>
      </c>
      <c r="G5093">
        <v>-423.19580000000002</v>
      </c>
      <c r="H5093" s="1">
        <v>-1.4265630000000001E-6</v>
      </c>
      <c r="I5093">
        <v>50.932360000000003</v>
      </c>
      <c r="J5093">
        <v>-422.5797</v>
      </c>
      <c r="K5093">
        <v>1.1106450000000001</v>
      </c>
      <c r="L5093">
        <v>70.223510000000005</v>
      </c>
      <c r="M5093">
        <v>-1.166095E-2</v>
      </c>
      <c r="N5093">
        <v>0</v>
      </c>
      <c r="O5093">
        <v>-0.99982320000000002</v>
      </c>
      <c r="P5093">
        <v>-3.5594510000000003E-2</v>
      </c>
      <c r="Q5093">
        <v>0.15889420000000001</v>
      </c>
      <c r="R5093">
        <v>-0.98665400000000003</v>
      </c>
      <c r="S5093">
        <v>-9.6649170000000006E-2</v>
      </c>
      <c r="T5093">
        <v>-0.17309939999999999</v>
      </c>
      <c r="U5093">
        <v>-3.064667</v>
      </c>
      <c r="V5093">
        <v>2.392443E-2</v>
      </c>
      <c r="W5093">
        <v>0.1734752</v>
      </c>
      <c r="X5093">
        <v>0.98454759999999997</v>
      </c>
      <c r="Y5093">
        <v>1.981225E-2</v>
      </c>
      <c r="Z5093">
        <v>5.6367170000000001E-2</v>
      </c>
      <c r="AA5093">
        <v>0.99821349999999998</v>
      </c>
      <c r="AB5093">
        <v>37</v>
      </c>
      <c r="AC5093">
        <v>-0.61610000000001697</v>
      </c>
      <c r="AD5093">
        <v>-1.1106464265629901</v>
      </c>
      <c r="AE5093">
        <v>-19.291149999999998</v>
      </c>
      <c r="AF5093">
        <v>0.389789794500363</v>
      </c>
      <c r="AG5093">
        <v>-1.1106464265629901</v>
      </c>
      <c r="AH5093">
        <v>19.233336690622998</v>
      </c>
      <c r="AI5093">
        <v>93.304249360816002</v>
      </c>
      <c r="AJ5093">
        <v>88.838981835825905</v>
      </c>
      <c r="AK5093">
        <v>19.269320481625702</v>
      </c>
      <c r="AL5093">
        <v>80.010063626095402</v>
      </c>
      <c r="AM5093">
        <v>88.607990964479797</v>
      </c>
      <c r="AN5093">
        <v>1.00000000001581</v>
      </c>
    </row>
    <row r="5094" spans="1:40" x14ac:dyDescent="0.25">
      <c r="A5094" t="str">
        <f>"20190312164130941"</f>
        <v>20190312164130941</v>
      </c>
      <c r="B5094" t="str">
        <f>"1552380090931267"</f>
        <v>1552380090931267</v>
      </c>
      <c r="C5094" t="s">
        <v>40</v>
      </c>
      <c r="D5094">
        <v>5.3552470000000003</v>
      </c>
      <c r="E5094">
        <v>0.50408260000000005</v>
      </c>
      <c r="F5094" t="s">
        <v>41</v>
      </c>
      <c r="G5094">
        <v>-423.2063</v>
      </c>
      <c r="H5094" s="1">
        <v>-1.1033699999999999E-6</v>
      </c>
      <c r="I5094">
        <v>50.172449999999998</v>
      </c>
      <c r="J5094">
        <v>-422.58370000000002</v>
      </c>
      <c r="K5094">
        <v>1.1106389999999999</v>
      </c>
      <c r="L5094">
        <v>69.851140000000001</v>
      </c>
      <c r="M5094">
        <v>-1.128616E-2</v>
      </c>
      <c r="N5094">
        <v>0</v>
      </c>
      <c r="O5094">
        <v>-0.99982709999999997</v>
      </c>
      <c r="P5094">
        <v>-3.4281539999999999E-2</v>
      </c>
      <c r="Q5094">
        <v>0.15868409999999999</v>
      </c>
      <c r="R5094">
        <v>-0.98673429999999995</v>
      </c>
      <c r="S5094">
        <v>-9.5764160000000001E-2</v>
      </c>
      <c r="T5094">
        <v>-0.1697428</v>
      </c>
      <c r="U5094">
        <v>-3.0644529999999999</v>
      </c>
      <c r="V5094">
        <v>2.2984850000000001E-2</v>
      </c>
      <c r="W5094">
        <v>0.1732737</v>
      </c>
      <c r="X5094">
        <v>0.98460550000000002</v>
      </c>
      <c r="Y5094">
        <v>1.990312E-2</v>
      </c>
      <c r="Z5094">
        <v>5.528193E-2</v>
      </c>
      <c r="AA5094">
        <v>0.99827239999999995</v>
      </c>
      <c r="AB5094">
        <v>37</v>
      </c>
      <c r="AC5094">
        <v>-0.62259999999997695</v>
      </c>
      <c r="AD5094">
        <v>-1.11064010337</v>
      </c>
      <c r="AE5094">
        <v>-19.67869</v>
      </c>
      <c r="AF5094">
        <v>0.39916902409983801</v>
      </c>
      <c r="AG5094">
        <v>-1.11064010337</v>
      </c>
      <c r="AH5094">
        <v>19.622023801119099</v>
      </c>
      <c r="AI5094">
        <v>93.2389137567734</v>
      </c>
      <c r="AJ5094">
        <v>88.834597974308295</v>
      </c>
      <c r="AK5094">
        <v>19.6574839539728</v>
      </c>
      <c r="AL5094">
        <v>80.021786601371005</v>
      </c>
      <c r="AM5094">
        <v>88.662717450281306</v>
      </c>
      <c r="AN5094">
        <v>1.0000000345357301</v>
      </c>
    </row>
    <row r="5095" spans="1:40" x14ac:dyDescent="0.25">
      <c r="A5095" t="str">
        <f>"20190312164130962"</f>
        <v>20190312164130962</v>
      </c>
      <c r="B5095" t="str">
        <f>"1552380090951763"</f>
        <v>1552380090951763</v>
      </c>
      <c r="C5095" t="s">
        <v>40</v>
      </c>
      <c r="D5095">
        <v>5.4268179999999999</v>
      </c>
      <c r="E5095">
        <v>0.50412939999999995</v>
      </c>
      <c r="F5095" t="s">
        <v>41</v>
      </c>
      <c r="G5095">
        <v>-423.19110000000001</v>
      </c>
      <c r="H5095" s="1">
        <v>-8.7833629999999999E-7</v>
      </c>
      <c r="I5095">
        <v>49.657339999999998</v>
      </c>
      <c r="J5095">
        <v>-422.5874</v>
      </c>
      <c r="K5095">
        <v>1.1106290000000001</v>
      </c>
      <c r="L5095">
        <v>69.487399999999994</v>
      </c>
      <c r="M5095">
        <v>-1.094492E-2</v>
      </c>
      <c r="N5095">
        <v>0</v>
      </c>
      <c r="O5095">
        <v>-0.99983089999999997</v>
      </c>
      <c r="P5095">
        <v>-3.3361630000000003E-2</v>
      </c>
      <c r="Q5095">
        <v>0.15885250000000001</v>
      </c>
      <c r="R5095">
        <v>-0.98673860000000002</v>
      </c>
      <c r="S5095">
        <v>-9.2163090000000003E-2</v>
      </c>
      <c r="T5095">
        <v>-0.16853019999999999</v>
      </c>
      <c r="U5095">
        <v>-3.0642399999999999</v>
      </c>
      <c r="V5095">
        <v>2.240928E-2</v>
      </c>
      <c r="W5095">
        <v>0.17344789999999999</v>
      </c>
      <c r="X5095">
        <v>0.98458800000000002</v>
      </c>
      <c r="Y5095">
        <v>1.9075100000000001E-2</v>
      </c>
      <c r="Z5095">
        <v>5.4893740000000003E-2</v>
      </c>
      <c r="AA5095">
        <v>0.99831000000000003</v>
      </c>
      <c r="AB5095">
        <v>37</v>
      </c>
      <c r="AC5095">
        <v>-0.60370000000000301</v>
      </c>
      <c r="AD5095">
        <v>-1.1106298783363</v>
      </c>
      <c r="AE5095">
        <v>-19.8300599999999</v>
      </c>
      <c r="AF5095">
        <v>0.38539391454759397</v>
      </c>
      <c r="AG5095">
        <v>-1.1106298783363</v>
      </c>
      <c r="AH5095">
        <v>19.773511478012299</v>
      </c>
      <c r="AI5095">
        <v>93.214177112239398</v>
      </c>
      <c r="AJ5095">
        <v>88.883422939654693</v>
      </c>
      <c r="AK5095">
        <v>19.808427079581701</v>
      </c>
      <c r="AL5095">
        <v>80.011651270068796</v>
      </c>
      <c r="AM5095">
        <v>88.696169840031104</v>
      </c>
      <c r="AN5095">
        <v>0.99999993979426205</v>
      </c>
    </row>
    <row r="5096" spans="1:40" x14ac:dyDescent="0.25">
      <c r="A5096" t="str">
        <f>"20190312164130985"</f>
        <v>20190312164130985</v>
      </c>
      <c r="B5096" t="str">
        <f>"1552380090981043"</f>
        <v>1552380090981043</v>
      </c>
      <c r="C5096" t="s">
        <v>40</v>
      </c>
      <c r="D5096">
        <v>5.3939380000000003</v>
      </c>
      <c r="E5096">
        <v>0.52542549999999999</v>
      </c>
      <c r="F5096" t="s">
        <v>41</v>
      </c>
      <c r="G5096">
        <v>-423.1925</v>
      </c>
      <c r="H5096" s="1">
        <v>-4.6651380000000002E-6</v>
      </c>
      <c r="I5096">
        <v>49.031399999999998</v>
      </c>
      <c r="J5096">
        <v>-422.59120000000001</v>
      </c>
      <c r="K5096">
        <v>1.1106100000000001</v>
      </c>
      <c r="L5096">
        <v>69.105739999999997</v>
      </c>
      <c r="M5096">
        <v>-1.061401E-2</v>
      </c>
      <c r="N5096">
        <v>0</v>
      </c>
      <c r="O5096">
        <v>-0.99983449999999996</v>
      </c>
      <c r="P5096">
        <v>-3.2272099999999998E-2</v>
      </c>
      <c r="Q5096">
        <v>0.15959319999999999</v>
      </c>
      <c r="R5096">
        <v>-0.98665570000000002</v>
      </c>
      <c r="S5096">
        <v>-9.0637209999999996E-2</v>
      </c>
      <c r="T5096">
        <v>-0.16635920000000001</v>
      </c>
      <c r="U5096">
        <v>-3.0640559999999999</v>
      </c>
      <c r="V5096">
        <v>2.1656849999999998E-2</v>
      </c>
      <c r="W5096">
        <v>0.1741917</v>
      </c>
      <c r="X5096">
        <v>0.98447359999999995</v>
      </c>
      <c r="Y5096">
        <v>1.8912209999999999E-2</v>
      </c>
      <c r="Z5096">
        <v>5.4192690000000002E-2</v>
      </c>
      <c r="AA5096">
        <v>0.9983514</v>
      </c>
      <c r="AB5096">
        <v>37</v>
      </c>
      <c r="AC5096">
        <v>-0.60129999999997996</v>
      </c>
      <c r="AD5096">
        <v>-1.110614665138</v>
      </c>
      <c r="AE5096">
        <v>-20.074339999999999</v>
      </c>
      <c r="AF5096">
        <v>0.38699015079816701</v>
      </c>
      <c r="AG5096">
        <v>-1.110614665138</v>
      </c>
      <c r="AH5096">
        <v>20.018373239890298</v>
      </c>
      <c r="AI5096">
        <v>93.174909058679603</v>
      </c>
      <c r="AJ5096">
        <v>88.892510366303199</v>
      </c>
      <c r="AK5096">
        <v>20.052892396928399</v>
      </c>
      <c r="AL5096">
        <v>79.968376700907299</v>
      </c>
      <c r="AM5096">
        <v>88.739787435828006</v>
      </c>
      <c r="AN5096">
        <v>1.00000001829888</v>
      </c>
    </row>
    <row r="5097" spans="1:40" x14ac:dyDescent="0.25">
      <c r="A5097" t="str">
        <f>"20190312164131007"</f>
        <v>20190312164131007</v>
      </c>
      <c r="B5097" t="str">
        <f>"1552380091001543"</f>
        <v>1552380091001543</v>
      </c>
      <c r="C5097" t="s">
        <v>40</v>
      </c>
      <c r="D5097">
        <v>5.2068450000000004</v>
      </c>
      <c r="E5097">
        <v>0.53136309999999998</v>
      </c>
      <c r="F5097" t="s">
        <v>51</v>
      </c>
      <c r="G5097">
        <v>-425.24369999999999</v>
      </c>
      <c r="H5097" s="1">
        <v>-1.965967E-6</v>
      </c>
      <c r="I5097">
        <v>38.147309999999997</v>
      </c>
      <c r="J5097">
        <v>-422.59480000000002</v>
      </c>
      <c r="K5097">
        <v>1.110595</v>
      </c>
      <c r="L5097">
        <v>68.74521</v>
      </c>
      <c r="M5097">
        <v>-1.0334090000000001E-2</v>
      </c>
      <c r="N5097">
        <v>0</v>
      </c>
      <c r="O5097">
        <v>-0.99983730000000004</v>
      </c>
      <c r="P5097">
        <v>-3.1321080000000001E-2</v>
      </c>
      <c r="Q5097">
        <v>0.16006419999999999</v>
      </c>
      <c r="R5097">
        <v>-0.98660950000000003</v>
      </c>
      <c r="S5097">
        <v>-0.26129150000000001</v>
      </c>
      <c r="T5097">
        <v>-0.1094064</v>
      </c>
      <c r="U5097">
        <v>-3.0497130000000001</v>
      </c>
      <c r="V5097">
        <v>2.0993729999999999E-2</v>
      </c>
      <c r="W5097">
        <v>0.17466409999999999</v>
      </c>
      <c r="X5097">
        <v>0.98440430000000001</v>
      </c>
      <c r="Y5097">
        <v>7.5008099999999994E-2</v>
      </c>
      <c r="Z5097">
        <v>3.5732510000000002E-2</v>
      </c>
      <c r="AA5097">
        <v>0.9965425</v>
      </c>
      <c r="AB5097">
        <v>37</v>
      </c>
      <c r="AC5097">
        <v>-2.6488999999999598</v>
      </c>
      <c r="AD5097">
        <v>-1.1105969659670001</v>
      </c>
      <c r="AE5097">
        <v>-30.597899999999999</v>
      </c>
      <c r="AF5097">
        <v>2.32947639887887</v>
      </c>
      <c r="AG5097">
        <v>-1.1105969659670001</v>
      </c>
      <c r="AH5097">
        <v>30.583650440712699</v>
      </c>
      <c r="AI5097">
        <v>92.073690669798097</v>
      </c>
      <c r="AJ5097">
        <v>85.644340907940702</v>
      </c>
      <c r="AK5097">
        <v>30.692337157561902</v>
      </c>
      <c r="AL5097">
        <v>79.940889158694603</v>
      </c>
      <c r="AM5097">
        <v>88.778276549923405</v>
      </c>
      <c r="AN5097">
        <v>1.0000000551932999</v>
      </c>
    </row>
    <row r="5098" spans="1:40" x14ac:dyDescent="0.25">
      <c r="A5098" t="str">
        <f>"20190312164131028"</f>
        <v>20190312164131028</v>
      </c>
      <c r="B5098" t="str">
        <f>"1552380091021059"</f>
        <v>1552380091021059</v>
      </c>
      <c r="C5098" t="s">
        <v>40</v>
      </c>
      <c r="D5098">
        <v>5.0503920000000004</v>
      </c>
      <c r="E5098">
        <v>0.53338129999999995</v>
      </c>
      <c r="F5098" t="s">
        <v>51</v>
      </c>
      <c r="G5098">
        <v>-426.1139</v>
      </c>
      <c r="H5098" s="1">
        <v>-4.2986099999999997E-6</v>
      </c>
      <c r="I5098">
        <v>33.853290000000001</v>
      </c>
      <c r="J5098">
        <v>-422.59840000000003</v>
      </c>
      <c r="K5098">
        <v>1.110574</v>
      </c>
      <c r="L5098">
        <v>68.379549999999995</v>
      </c>
      <c r="M5098">
        <v>-1.00912E-2</v>
      </c>
      <c r="N5098">
        <v>0</v>
      </c>
      <c r="O5098">
        <v>-0.99983979999999995</v>
      </c>
      <c r="P5098">
        <v>-3.032934E-2</v>
      </c>
      <c r="Q5098">
        <v>0.16030939999999999</v>
      </c>
      <c r="R5098">
        <v>-0.98660119999999896</v>
      </c>
      <c r="S5098">
        <v>-0.30728149999999999</v>
      </c>
      <c r="T5098">
        <v>-9.6975329999999998E-2</v>
      </c>
      <c r="U5098">
        <v>-3.0466920000000002</v>
      </c>
      <c r="V5098">
        <v>2.0255289999999999E-2</v>
      </c>
      <c r="W5098">
        <v>0.17491010000000001</v>
      </c>
      <c r="X5098">
        <v>0.98437600000000003</v>
      </c>
      <c r="Y5098">
        <v>9.025155E-2</v>
      </c>
      <c r="Z5098">
        <v>3.1666010000000001E-2</v>
      </c>
      <c r="AA5098">
        <v>0.99541539999999995</v>
      </c>
      <c r="AB5098">
        <v>37</v>
      </c>
      <c r="AC5098">
        <v>-3.5154999999999701</v>
      </c>
      <c r="AD5098">
        <v>-1.1105782986099999</v>
      </c>
      <c r="AE5098">
        <v>-34.526259999999901</v>
      </c>
      <c r="AF5098">
        <v>3.16363178033092</v>
      </c>
      <c r="AG5098">
        <v>-1.1105782986099999</v>
      </c>
      <c r="AH5098">
        <v>34.524626275234098</v>
      </c>
      <c r="AI5098">
        <v>91.834757263393399</v>
      </c>
      <c r="AJ5098">
        <v>84.764376423208503</v>
      </c>
      <c r="AK5098">
        <v>34.687054784796103</v>
      </c>
      <c r="AL5098">
        <v>79.926573112317698</v>
      </c>
      <c r="AM5098">
        <v>88.821203606511801</v>
      </c>
      <c r="AN5098">
        <v>0.99999996461549601</v>
      </c>
    </row>
    <row r="5099" spans="1:40" x14ac:dyDescent="0.25">
      <c r="A5099" t="str">
        <f>"20190312164131051"</f>
        <v>20190312164131051</v>
      </c>
      <c r="B5099" t="str">
        <f>"1552380091041555"</f>
        <v>1552380091041555</v>
      </c>
      <c r="C5099" t="s">
        <v>40</v>
      </c>
      <c r="D5099">
        <v>5.3102239999999998</v>
      </c>
      <c r="E5099">
        <v>0.52757929999999997</v>
      </c>
      <c r="F5099" t="s">
        <v>51</v>
      </c>
      <c r="G5099">
        <v>-426.40730000000002</v>
      </c>
      <c r="H5099" s="1">
        <v>-4.931719E-6</v>
      </c>
      <c r="I5099">
        <v>32.147179999999999</v>
      </c>
      <c r="J5099">
        <v>-422.60180000000003</v>
      </c>
      <c r="K5099">
        <v>1.1105449999999999</v>
      </c>
      <c r="L5099">
        <v>68.010189999999994</v>
      </c>
      <c r="M5099">
        <v>-9.8899350000000007E-3</v>
      </c>
      <c r="N5099">
        <v>0</v>
      </c>
      <c r="O5099">
        <v>-0.9998416</v>
      </c>
      <c r="P5099">
        <v>-2.998029E-2</v>
      </c>
      <c r="Q5099">
        <v>0.1602846</v>
      </c>
      <c r="R5099">
        <v>-0.98661560000000004</v>
      </c>
      <c r="S5099">
        <v>-0.32022089999999998</v>
      </c>
      <c r="T5099">
        <v>-9.3367220000000001E-2</v>
      </c>
      <c r="U5099">
        <v>-3.0460820000000002</v>
      </c>
      <c r="V5099">
        <v>2.0120079999999999E-2</v>
      </c>
      <c r="W5099">
        <v>0.17488619999999999</v>
      </c>
      <c r="X5099">
        <v>0.98438300000000001</v>
      </c>
      <c r="Y5099">
        <v>9.4658909999999999E-2</v>
      </c>
      <c r="Z5099">
        <v>3.0482260000000001E-2</v>
      </c>
      <c r="AA5099">
        <v>0.99504300000000001</v>
      </c>
      <c r="AB5099">
        <v>37</v>
      </c>
      <c r="AC5099">
        <v>-3.8054999999999901</v>
      </c>
      <c r="AD5099">
        <v>-1.110549931719</v>
      </c>
      <c r="AE5099">
        <v>-35.863010000000003</v>
      </c>
      <c r="AF5099">
        <v>3.4473232669790099</v>
      </c>
      <c r="AG5099">
        <v>-1.110549931719</v>
      </c>
      <c r="AH5099">
        <v>35.864887292975403</v>
      </c>
      <c r="AI5099">
        <v>91.765455449263598</v>
      </c>
      <c r="AJ5099">
        <v>84.509612279435302</v>
      </c>
      <c r="AK5099">
        <v>36.0472953131816</v>
      </c>
      <c r="AL5099">
        <v>79.927963725424405</v>
      </c>
      <c r="AM5099">
        <v>88.829078544176298</v>
      </c>
      <c r="AN5099">
        <v>0.99999994562932104</v>
      </c>
    </row>
    <row r="5100" spans="1:40" x14ac:dyDescent="0.25">
      <c r="A5100" t="str">
        <f>"20190312164131066"</f>
        <v>20190312164131066</v>
      </c>
      <c r="B5100" t="str">
        <f>"1552380091061076"</f>
        <v>1552380091061076</v>
      </c>
      <c r="C5100" t="s">
        <v>40</v>
      </c>
      <c r="D5100">
        <v>4.9928589999999904</v>
      </c>
      <c r="E5100">
        <v>0.53135100000000002</v>
      </c>
      <c r="F5100" t="s">
        <v>41</v>
      </c>
      <c r="G5100">
        <v>-424.33679999999998</v>
      </c>
      <c r="H5100" s="1">
        <v>-4.563884E-6</v>
      </c>
      <c r="I5100">
        <v>48.137410000000003</v>
      </c>
      <c r="J5100">
        <v>-422.60419999999999</v>
      </c>
      <c r="K5100">
        <v>1.1105229999999999</v>
      </c>
      <c r="L5100">
        <v>67.761629999999997</v>
      </c>
      <c r="M5100">
        <v>-9.7786650000000006E-3</v>
      </c>
      <c r="N5100">
        <v>0</v>
      </c>
      <c r="O5100">
        <v>-0.99984260000000003</v>
      </c>
      <c r="P5100">
        <v>-2.9962470000000001E-2</v>
      </c>
      <c r="Q5100">
        <v>0.16032279999999999</v>
      </c>
      <c r="R5100">
        <v>-0.98660979999999998</v>
      </c>
      <c r="S5100">
        <v>-0.26718140000000001</v>
      </c>
      <c r="T5100">
        <v>-0.17102220000000001</v>
      </c>
      <c r="U5100">
        <v>-3.0603639999999999</v>
      </c>
      <c r="V5100">
        <v>2.022268E-2</v>
      </c>
      <c r="W5100">
        <v>0.17492369999999999</v>
      </c>
      <c r="X5100">
        <v>0.98437430000000004</v>
      </c>
      <c r="Y5100">
        <v>7.7091599999999996E-2</v>
      </c>
      <c r="Z5100">
        <v>5.5603479999999997E-2</v>
      </c>
      <c r="AA5100">
        <v>0.99547229999999998</v>
      </c>
      <c r="AB5100">
        <v>37</v>
      </c>
      <c r="AC5100">
        <v>-1.7325999999999899</v>
      </c>
      <c r="AD5100">
        <v>-1.110527563884</v>
      </c>
      <c r="AE5100">
        <v>-19.624220000000001</v>
      </c>
      <c r="AF5100">
        <v>1.53571751408401</v>
      </c>
      <c r="AG5100">
        <v>-1.110527563884</v>
      </c>
      <c r="AH5100">
        <v>19.578014432751299</v>
      </c>
      <c r="AI5100">
        <v>93.236599977491394</v>
      </c>
      <c r="AJ5100">
        <v>85.514850160645807</v>
      </c>
      <c r="AK5100">
        <v>19.669528435685201</v>
      </c>
      <c r="AL5100">
        <v>79.9257821510014</v>
      </c>
      <c r="AM5100">
        <v>88.823098843406001</v>
      </c>
      <c r="AN5100">
        <v>1.0000000100542801</v>
      </c>
    </row>
    <row r="5101" spans="1:40" x14ac:dyDescent="0.25">
      <c r="A5101" t="str">
        <f>"20190312164131085"</f>
        <v>20190312164131085</v>
      </c>
      <c r="B5101" t="str">
        <f>"1552380091081572"</f>
        <v>1552380091081572</v>
      </c>
      <c r="C5101" t="s">
        <v>40</v>
      </c>
      <c r="D5101">
        <v>5.3695529999999998</v>
      </c>
      <c r="E5101">
        <v>0.53459319999999999</v>
      </c>
      <c r="F5101" t="s">
        <v>42</v>
      </c>
      <c r="G5101">
        <v>-422.69439999999997</v>
      </c>
      <c r="H5101">
        <v>1.0520989999999999</v>
      </c>
      <c r="I5101">
        <v>66.830240000000003</v>
      </c>
      <c r="J5101">
        <v>-422.6071</v>
      </c>
      <c r="K5101">
        <v>1.1105</v>
      </c>
      <c r="L5101">
        <v>67.456149999999994</v>
      </c>
      <c r="M5101">
        <v>-9.6639340000000008E-3</v>
      </c>
      <c r="N5101">
        <v>0</v>
      </c>
      <c r="O5101">
        <v>-0.9998437</v>
      </c>
      <c r="P5101">
        <v>-2.9983289999999999E-2</v>
      </c>
      <c r="Q5101">
        <v>0.16041159999999999</v>
      </c>
      <c r="R5101">
        <v>-0.98659470000000005</v>
      </c>
      <c r="S5101">
        <v>-0.29571530000000001</v>
      </c>
      <c r="T5101">
        <v>-0.19216469999999999</v>
      </c>
      <c r="U5101">
        <v>-3.0629580000000001</v>
      </c>
      <c r="V5101">
        <v>2.0369290000000002E-2</v>
      </c>
      <c r="W5101">
        <v>0.175012</v>
      </c>
      <c r="X5101">
        <v>0.9843556</v>
      </c>
      <c r="Y5101">
        <v>8.6287150000000007E-2</v>
      </c>
      <c r="Z5101">
        <v>6.234965E-2</v>
      </c>
      <c r="AA5101">
        <v>0.99431740000000002</v>
      </c>
      <c r="AB5101">
        <v>37</v>
      </c>
      <c r="AC5101">
        <v>-8.7299999999970596E-2</v>
      </c>
      <c r="AD5101">
        <v>-5.8401000000000099E-2</v>
      </c>
      <c r="AE5101">
        <v>-0.62590999999998997</v>
      </c>
      <c r="AF5101">
        <v>8.0558550197700904E-2</v>
      </c>
      <c r="AG5101">
        <v>-5.8401000000000099E-2</v>
      </c>
      <c r="AH5101">
        <v>0.62141771768905796</v>
      </c>
      <c r="AI5101">
        <v>95.3246067596003</v>
      </c>
      <c r="AJ5101">
        <v>82.613557720149601</v>
      </c>
      <c r="AK5101">
        <v>0.629333247706518</v>
      </c>
      <c r="AL5101">
        <v>79.920643847807497</v>
      </c>
      <c r="AM5101">
        <v>88.814546480322704</v>
      </c>
      <c r="AN5101">
        <v>1.0000000276852301</v>
      </c>
    </row>
    <row r="5102" spans="1:40" x14ac:dyDescent="0.25">
      <c r="A5102" t="str">
        <f>"20190312164131107"</f>
        <v>20190312164131107</v>
      </c>
      <c r="B5102" t="str">
        <f>"1552380091101091"</f>
        <v>1552380091101091</v>
      </c>
      <c r="C5102" t="s">
        <v>40</v>
      </c>
      <c r="D5102">
        <v>5.0640460000000003</v>
      </c>
      <c r="E5102">
        <v>0.53578909999999902</v>
      </c>
      <c r="F5102" t="s">
        <v>41</v>
      </c>
      <c r="G5102">
        <v>-424.59930000000003</v>
      </c>
      <c r="H5102" s="1">
        <v>-4.7618940000000004E-6</v>
      </c>
      <c r="I5102">
        <v>48.582439999999998</v>
      </c>
      <c r="J5102">
        <v>-422.61059999999998</v>
      </c>
      <c r="K5102">
        <v>1.1104609999999999</v>
      </c>
      <c r="L5102">
        <v>67.079679999999996</v>
      </c>
      <c r="M5102">
        <v>-9.5504089999999993E-3</v>
      </c>
      <c r="N5102">
        <v>0</v>
      </c>
      <c r="O5102">
        <v>-0.99984510000000004</v>
      </c>
      <c r="P5102">
        <v>-2.959237E-2</v>
      </c>
      <c r="Q5102">
        <v>0.159994</v>
      </c>
      <c r="R5102">
        <v>-0.98667470000000002</v>
      </c>
      <c r="S5102">
        <v>-0.323028599999999</v>
      </c>
      <c r="T5102">
        <v>-0.18005879999999999</v>
      </c>
      <c r="U5102">
        <v>-3.0602109999999998</v>
      </c>
      <c r="V5102">
        <v>2.0103200000000002E-2</v>
      </c>
      <c r="W5102">
        <v>0.1745941</v>
      </c>
      <c r="X5102">
        <v>0.98443530000000001</v>
      </c>
      <c r="Y5102">
        <v>9.5291580000000001E-2</v>
      </c>
      <c r="Z5102">
        <v>5.8437709999999997E-2</v>
      </c>
      <c r="AA5102">
        <v>0.99373259999999997</v>
      </c>
      <c r="AB5102">
        <v>37</v>
      </c>
      <c r="AC5102">
        <v>-1.9887000000000501</v>
      </c>
      <c r="AD5102">
        <v>-1.1104657618939999</v>
      </c>
      <c r="AE5102">
        <v>-18.497240000000001</v>
      </c>
      <c r="AF5102">
        <v>1.8055009244459601</v>
      </c>
      <c r="AG5102">
        <v>-1.1104657618939999</v>
      </c>
      <c r="AH5102">
        <v>18.449656680129898</v>
      </c>
      <c r="AI5102">
        <v>93.428081846035397</v>
      </c>
      <c r="AJ5102">
        <v>84.410777488785399</v>
      </c>
      <c r="AK5102">
        <v>18.5710204192224</v>
      </c>
      <c r="AL5102">
        <v>79.944962390651696</v>
      </c>
      <c r="AM5102">
        <v>88.830122768627206</v>
      </c>
      <c r="AN5102">
        <v>1.0000000491455601</v>
      </c>
    </row>
    <row r="5103" spans="1:40" x14ac:dyDescent="0.25">
      <c r="A5103" t="str">
        <f>"20190312164131129"</f>
        <v>20190312164131129</v>
      </c>
      <c r="B5103" t="str">
        <f>"1552380091121587"</f>
        <v>1552380091121587</v>
      </c>
      <c r="C5103" t="s">
        <v>40</v>
      </c>
      <c r="D5103">
        <v>4.9226530000000004</v>
      </c>
      <c r="E5103">
        <v>0.53674820000000001</v>
      </c>
      <c r="F5103" t="s">
        <v>41</v>
      </c>
      <c r="G5103">
        <v>-424.88749999999999</v>
      </c>
      <c r="H5103" s="1">
        <v>-3.9859110000000003E-6</v>
      </c>
      <c r="I5103">
        <v>46.151960000000003</v>
      </c>
      <c r="J5103">
        <v>-422.61380000000003</v>
      </c>
      <c r="K5103">
        <v>1.110436</v>
      </c>
      <c r="L5103">
        <v>66.730649999999997</v>
      </c>
      <c r="M5103">
        <v>-9.4646020000000008E-3</v>
      </c>
      <c r="N5103">
        <v>0</v>
      </c>
      <c r="O5103">
        <v>-0.99984580000000001</v>
      </c>
      <c r="P5103">
        <v>-2.8922199999999999E-2</v>
      </c>
      <c r="Q5103">
        <v>0.159802</v>
      </c>
      <c r="R5103">
        <v>-0.98672559999999998</v>
      </c>
      <c r="S5103">
        <v>-0.332580599999999</v>
      </c>
      <c r="T5103">
        <v>-0.1622025</v>
      </c>
      <c r="U5103">
        <v>-3.056854</v>
      </c>
      <c r="V5103">
        <v>1.9527180000000002E-2</v>
      </c>
      <c r="W5103">
        <v>0.17440159999999999</v>
      </c>
      <c r="X5103">
        <v>0.98448100000000005</v>
      </c>
      <c r="Y5103">
        <v>9.859482E-2</v>
      </c>
      <c r="Z5103">
        <v>5.2699679999999999E-2</v>
      </c>
      <c r="AA5103">
        <v>0.99373129999999998</v>
      </c>
      <c r="AB5103">
        <v>37</v>
      </c>
      <c r="AC5103">
        <v>-2.2736999999999599</v>
      </c>
      <c r="AD5103">
        <v>-1.1104399859109999</v>
      </c>
      <c r="AE5103">
        <v>-20.578689999999899</v>
      </c>
      <c r="AF5103">
        <v>2.0728448930788801</v>
      </c>
      <c r="AG5103">
        <v>-1.1104399859109999</v>
      </c>
      <c r="AH5103">
        <v>20.540203373094698</v>
      </c>
      <c r="AI5103">
        <v>93.078891624483205</v>
      </c>
      <c r="AJ5103">
        <v>84.237421421757702</v>
      </c>
      <c r="AK5103">
        <v>20.6743734493011</v>
      </c>
      <c r="AL5103">
        <v>79.956163530208997</v>
      </c>
      <c r="AM5103">
        <v>88.863687253463894</v>
      </c>
      <c r="AN5103">
        <v>1.0000000341011499</v>
      </c>
    </row>
    <row r="5104" spans="1:40" x14ac:dyDescent="0.25">
      <c r="A5104" t="str">
        <f>"20190312164131151"</f>
        <v>20190312164131151</v>
      </c>
      <c r="B5104" t="str">
        <f>"1552380091141108"</f>
        <v>1552380091141108</v>
      </c>
      <c r="C5104" t="s">
        <v>40</v>
      </c>
      <c r="D5104">
        <v>5.4448259999999999</v>
      </c>
      <c r="E5104">
        <v>0.53763739999999904</v>
      </c>
      <c r="F5104" t="s">
        <v>41</v>
      </c>
      <c r="G5104">
        <v>-425.09160000000003</v>
      </c>
      <c r="H5104" s="1">
        <v>-3.4161039999999999E-6</v>
      </c>
      <c r="I5104">
        <v>44.394150000000003</v>
      </c>
      <c r="J5104">
        <v>-422.61720000000003</v>
      </c>
      <c r="K5104">
        <v>1.1104179999999999</v>
      </c>
      <c r="L5104">
        <v>66.359989999999996</v>
      </c>
      <c r="M5104">
        <v>-9.3872299999999999E-3</v>
      </c>
      <c r="N5104">
        <v>0</v>
      </c>
      <c r="O5104">
        <v>-0.99984649999999997</v>
      </c>
      <c r="P5104">
        <v>-2.8573379999999999E-2</v>
      </c>
      <c r="Q5104">
        <v>0.1596399</v>
      </c>
      <c r="R5104">
        <v>-0.98676200000000003</v>
      </c>
      <c r="S5104">
        <v>-0.33889770000000002</v>
      </c>
      <c r="T5104">
        <v>-0.15187779999999901</v>
      </c>
      <c r="U5104">
        <v>-3.0550229999999998</v>
      </c>
      <c r="V5104">
        <v>1.926224E-2</v>
      </c>
      <c r="W5104">
        <v>0.17423820000000001</v>
      </c>
      <c r="X5104">
        <v>0.98451509999999998</v>
      </c>
      <c r="Y5104">
        <v>0.1007847</v>
      </c>
      <c r="Z5104">
        <v>4.9372050000000001E-2</v>
      </c>
      <c r="AA5104">
        <v>0.99368239999999997</v>
      </c>
      <c r="AB5104">
        <v>37</v>
      </c>
      <c r="AC5104">
        <v>-2.4744000000000002</v>
      </c>
      <c r="AD5104">
        <v>-1.110421416104</v>
      </c>
      <c r="AE5104">
        <v>-21.96584</v>
      </c>
      <c r="AF5104">
        <v>2.2623609184897502</v>
      </c>
      <c r="AG5104">
        <v>-1.110421416104</v>
      </c>
      <c r="AH5104">
        <v>21.932754895220398</v>
      </c>
      <c r="AI5104">
        <v>92.883050830391895</v>
      </c>
      <c r="AJ5104">
        <v>84.110775503203101</v>
      </c>
      <c r="AK5104">
        <v>22.0770706829658</v>
      </c>
      <c r="AL5104">
        <v>79.965670715718801</v>
      </c>
      <c r="AM5104">
        <v>88.879139320256499</v>
      </c>
      <c r="AN5104">
        <v>0.999999983178533</v>
      </c>
    </row>
    <row r="5105" spans="1:40" x14ac:dyDescent="0.25">
      <c r="A5105" t="str">
        <f>"20190312164131175"</f>
        <v>20190312164131175</v>
      </c>
      <c r="B5105" t="str">
        <f>"1552380091171364"</f>
        <v>1552380091171364</v>
      </c>
      <c r="C5105" t="s">
        <v>40</v>
      </c>
      <c r="D5105">
        <v>4.995609</v>
      </c>
      <c r="E5105">
        <v>0.538601</v>
      </c>
      <c r="F5105" t="s">
        <v>41</v>
      </c>
      <c r="G5105">
        <v>-425.2543</v>
      </c>
      <c r="H5105" s="1">
        <v>-2.9039339999999999E-6</v>
      </c>
      <c r="I5105">
        <v>43.099359999999997</v>
      </c>
      <c r="J5105">
        <v>-422.62060000000002</v>
      </c>
      <c r="K5105">
        <v>1.1104069999999999</v>
      </c>
      <c r="L5105">
        <v>65.989840000000001</v>
      </c>
      <c r="M5105">
        <v>-9.3186280000000007E-3</v>
      </c>
      <c r="N5105">
        <v>0</v>
      </c>
      <c r="O5105">
        <v>-0.99984700000000004</v>
      </c>
      <c r="P5105">
        <v>-2.785992E-2</v>
      </c>
      <c r="Q5105">
        <v>0.15982789999999999</v>
      </c>
      <c r="R5105">
        <v>-0.98675170000000001</v>
      </c>
      <c r="S5105">
        <v>-0.34622190000000003</v>
      </c>
      <c r="T5105">
        <v>-0.14578459999999999</v>
      </c>
      <c r="U5105">
        <v>-3.053833</v>
      </c>
      <c r="V5105">
        <v>1.8621990000000001E-2</v>
      </c>
      <c r="W5105">
        <v>0.1744242</v>
      </c>
      <c r="X5105">
        <v>0.98449450000000005</v>
      </c>
      <c r="Y5105">
        <v>0.1032594</v>
      </c>
      <c r="Z5105">
        <v>4.740192E-2</v>
      </c>
      <c r="AA5105">
        <v>0.99352430000000003</v>
      </c>
      <c r="AB5105">
        <v>37</v>
      </c>
      <c r="AC5105">
        <v>-2.63369999999997</v>
      </c>
      <c r="AD5105">
        <v>-1.1104099039340001</v>
      </c>
      <c r="AE5105">
        <v>-22.89048</v>
      </c>
      <c r="AF5105">
        <v>2.4146464946309099</v>
      </c>
      <c r="AG5105">
        <v>-1.1104099039340001</v>
      </c>
      <c r="AH5105">
        <v>22.860937788842499</v>
      </c>
      <c r="AI5105">
        <v>92.765447046078506</v>
      </c>
      <c r="AJ5105">
        <v>83.970589282476496</v>
      </c>
      <c r="AK5105">
        <v>23.014908308184001</v>
      </c>
      <c r="AL5105">
        <v>79.954848146366203</v>
      </c>
      <c r="AM5105">
        <v>88.916363461825398</v>
      </c>
      <c r="AN5105">
        <v>1.0000000002937199</v>
      </c>
    </row>
    <row r="5106" spans="1:40" x14ac:dyDescent="0.25">
      <c r="A5106" t="str">
        <f>"20190312164131198"</f>
        <v>20190312164131198</v>
      </c>
      <c r="B5106" t="str">
        <f>"1552380091191860"</f>
        <v>1552380091191860</v>
      </c>
      <c r="C5106" t="s">
        <v>40</v>
      </c>
      <c r="D5106">
        <v>5.0266279999999997</v>
      </c>
      <c r="E5106">
        <v>0.53914280000000003</v>
      </c>
      <c r="F5106" t="s">
        <v>41</v>
      </c>
      <c r="G5106">
        <v>-425.4828</v>
      </c>
      <c r="H5106" s="1">
        <v>-2.1584630000000002E-6</v>
      </c>
      <c r="I5106">
        <v>41.219920000000002</v>
      </c>
      <c r="J5106">
        <v>-422.62419999999997</v>
      </c>
      <c r="K5106">
        <v>1.110401</v>
      </c>
      <c r="L5106">
        <v>65.597560000000001</v>
      </c>
      <c r="M5106">
        <v>-9.2493929999999999E-3</v>
      </c>
      <c r="N5106">
        <v>0</v>
      </c>
      <c r="O5106">
        <v>-0.99984770000000001</v>
      </c>
      <c r="P5106">
        <v>-2.6266999999999999E-2</v>
      </c>
      <c r="Q5106">
        <v>0.15999389999999999</v>
      </c>
      <c r="R5106">
        <v>-0.9867686</v>
      </c>
      <c r="S5106">
        <v>-0.35272219999999999</v>
      </c>
      <c r="T5106">
        <v>-0.13683989999999999</v>
      </c>
      <c r="U5106">
        <v>-3.0524900000000001</v>
      </c>
      <c r="V5106">
        <v>1.710155E-2</v>
      </c>
      <c r="W5106">
        <v>0.17458760000000001</v>
      </c>
      <c r="X5106">
        <v>0.98449310000000001</v>
      </c>
      <c r="Y5106">
        <v>0.10548059999999999</v>
      </c>
      <c r="Z5106">
        <v>4.4508390000000002E-2</v>
      </c>
      <c r="AA5106">
        <v>0.9934248</v>
      </c>
      <c r="AB5106">
        <v>37</v>
      </c>
      <c r="AC5106">
        <v>-2.85860000000002</v>
      </c>
      <c r="AD5106">
        <v>-1.1104031584630001</v>
      </c>
      <c r="AE5106">
        <v>-24.37764</v>
      </c>
      <c r="AF5106">
        <v>2.6275968103309699</v>
      </c>
      <c r="AG5106">
        <v>-1.1104031584630001</v>
      </c>
      <c r="AH5106">
        <v>24.353197337587801</v>
      </c>
      <c r="AI5106">
        <v>92.595594228406696</v>
      </c>
      <c r="AJ5106">
        <v>83.841874356178295</v>
      </c>
      <c r="AK5106">
        <v>24.519695771674701</v>
      </c>
      <c r="AL5106">
        <v>79.945339904907399</v>
      </c>
      <c r="AM5106">
        <v>89.004819739099702</v>
      </c>
      <c r="AN5106">
        <v>0.99999997851688505</v>
      </c>
    </row>
    <row r="5107" spans="1:40" x14ac:dyDescent="0.25">
      <c r="A5107" t="str">
        <f>"20190312164131230"</f>
        <v>20190312164131230</v>
      </c>
      <c r="B5107" t="str">
        <f>"1552380091221140"</f>
        <v>1552380091221140</v>
      </c>
      <c r="C5107" t="s">
        <v>40</v>
      </c>
      <c r="D5107">
        <v>5.3028130000000004</v>
      </c>
      <c r="E5107">
        <v>0.53957369999999905</v>
      </c>
      <c r="F5107" t="s">
        <v>41</v>
      </c>
      <c r="G5107">
        <v>-425.57839999999999</v>
      </c>
      <c r="H5107" s="1">
        <v>-1.6934590000000001E-6</v>
      </c>
      <c r="I5107">
        <v>40.076729999999998</v>
      </c>
      <c r="J5107">
        <v>-422.62889999999999</v>
      </c>
      <c r="K5107">
        <v>1.1103959999999999</v>
      </c>
      <c r="L5107">
        <v>65.076629999999994</v>
      </c>
      <c r="M5107">
        <v>-9.1562350000000004E-3</v>
      </c>
      <c r="N5107">
        <v>0</v>
      </c>
      <c r="O5107">
        <v>-0.99984890000000004</v>
      </c>
      <c r="P5107">
        <v>-2.3621940000000001E-2</v>
      </c>
      <c r="Q5107">
        <v>0.159054799999999</v>
      </c>
      <c r="R5107">
        <v>-0.98698750000000002</v>
      </c>
      <c r="S5107">
        <v>-0.35333249999999999</v>
      </c>
      <c r="T5107">
        <v>-0.13280749999999999</v>
      </c>
      <c r="U5107">
        <v>-3.052368</v>
      </c>
      <c r="V5107">
        <v>1.4551049999999999E-2</v>
      </c>
      <c r="W5107">
        <v>0.17364749999999901</v>
      </c>
      <c r="X5107">
        <v>0.98470040000000003</v>
      </c>
      <c r="Y5107">
        <v>0.105780399999999</v>
      </c>
      <c r="Z5107">
        <v>4.3199920000000003E-2</v>
      </c>
      <c r="AA5107">
        <v>0.99345070000000002</v>
      </c>
      <c r="AB5107">
        <v>37</v>
      </c>
      <c r="AC5107">
        <v>-2.9495</v>
      </c>
      <c r="AD5107">
        <v>-1.1103976934590001</v>
      </c>
      <c r="AE5107">
        <v>-24.9999</v>
      </c>
      <c r="AF5107">
        <v>2.7151634704578198</v>
      </c>
      <c r="AG5107">
        <v>-1.1103976934590001</v>
      </c>
      <c r="AH5107">
        <v>24.977262659338201</v>
      </c>
      <c r="AI5107">
        <v>92.530596235449295</v>
      </c>
      <c r="AJ5107">
        <v>83.795999788869693</v>
      </c>
      <c r="AK5107">
        <v>25.148931302592601</v>
      </c>
      <c r="AL5107">
        <v>80.000039755134395</v>
      </c>
      <c r="AM5107">
        <v>89.153394193643905</v>
      </c>
      <c r="AN5107">
        <v>1.0000000325362499</v>
      </c>
    </row>
    <row r="5108" spans="1:40" x14ac:dyDescent="0.25">
      <c r="A5108" t="str">
        <f>"20190312164131252"</f>
        <v>20190312164131252</v>
      </c>
      <c r="B5108" t="str">
        <f>"1552380091241637"</f>
        <v>1552380091241637</v>
      </c>
      <c r="C5108" t="s">
        <v>40</v>
      </c>
      <c r="D5108">
        <v>5.0733519999999999</v>
      </c>
      <c r="E5108">
        <v>0.49617879999999998</v>
      </c>
      <c r="F5108" t="s">
        <v>51</v>
      </c>
      <c r="G5108">
        <v>-425.58760000000001</v>
      </c>
      <c r="H5108" s="1">
        <v>-1.6561849999999999E-6</v>
      </c>
      <c r="I5108">
        <v>39.197920000000003</v>
      </c>
      <c r="J5108">
        <v>-422.63200000000001</v>
      </c>
      <c r="K5108">
        <v>1.1103909999999999</v>
      </c>
      <c r="L5108">
        <v>64.721800000000002</v>
      </c>
      <c r="M5108">
        <v>-9.0907450000000008E-3</v>
      </c>
      <c r="N5108">
        <v>0</v>
      </c>
      <c r="O5108">
        <v>-0.99984930000000005</v>
      </c>
      <c r="P5108">
        <v>-2.1702490000000001E-2</v>
      </c>
      <c r="Q5108">
        <v>0.15770670000000001</v>
      </c>
      <c r="R5108">
        <v>-0.98724800000000001</v>
      </c>
      <c r="S5108">
        <v>-0.34896850000000001</v>
      </c>
      <c r="T5108">
        <v>-0.13096769999999999</v>
      </c>
      <c r="U5108">
        <v>-3.0523069999999999</v>
      </c>
      <c r="V5108">
        <v>1.2696539999999999E-2</v>
      </c>
      <c r="W5108">
        <v>0.1723005</v>
      </c>
      <c r="X5108">
        <v>0.98496260000000002</v>
      </c>
      <c r="Y5108">
        <v>0.10444870000000001</v>
      </c>
      <c r="Z5108">
        <v>4.2609920000000003E-2</v>
      </c>
      <c r="AA5108">
        <v>0.99361710000000003</v>
      </c>
      <c r="AB5108">
        <v>37</v>
      </c>
      <c r="AC5108">
        <v>-2.95560000000006</v>
      </c>
      <c r="AD5108">
        <v>-1.1103926561849999</v>
      </c>
      <c r="AE5108">
        <v>-25.523879999999998</v>
      </c>
      <c r="AF5108">
        <v>2.7183447006580899</v>
      </c>
      <c r="AG5108">
        <v>-1.1103926561849999</v>
      </c>
      <c r="AH5108">
        <v>25.502069931542501</v>
      </c>
      <c r="AI5108">
        <v>92.479129984195794</v>
      </c>
      <c r="AJ5108">
        <v>83.915639496409298</v>
      </c>
      <c r="AK5108">
        <v>25.670565645419501</v>
      </c>
      <c r="AL5108">
        <v>80.078397933435497</v>
      </c>
      <c r="AM5108">
        <v>89.261476660629299</v>
      </c>
      <c r="AN5108">
        <v>0.99999999391349004</v>
      </c>
    </row>
    <row r="5109" spans="1:40" x14ac:dyDescent="0.25">
      <c r="A5109" t="str">
        <f>"20190312164131274"</f>
        <v>20190312164131274</v>
      </c>
      <c r="B5109" t="str">
        <f>"1552380091271893"</f>
        <v>1552380091271893</v>
      </c>
      <c r="C5109" t="s">
        <v>40</v>
      </c>
      <c r="D5109">
        <v>5.2024999999999997</v>
      </c>
      <c r="E5109">
        <v>0.47344190000000003</v>
      </c>
      <c r="F5109" t="s">
        <v>41</v>
      </c>
      <c r="G5109">
        <v>-422.59339999999997</v>
      </c>
      <c r="H5109" s="1">
        <v>-2.3257200000000002E-6</v>
      </c>
      <c r="I5109">
        <v>43.401910000000001</v>
      </c>
      <c r="J5109">
        <v>-422.63529999999997</v>
      </c>
      <c r="K5109">
        <v>1.1103860000000001</v>
      </c>
      <c r="L5109">
        <v>64.357419999999905</v>
      </c>
      <c r="M5109">
        <v>-9.0223079999999997E-3</v>
      </c>
      <c r="N5109">
        <v>0</v>
      </c>
      <c r="O5109">
        <v>-0.99985000000000002</v>
      </c>
      <c r="P5109">
        <v>-1.899992E-2</v>
      </c>
      <c r="Q5109">
        <v>0.1562867</v>
      </c>
      <c r="R5109">
        <v>-0.98752949999999995</v>
      </c>
      <c r="S5109">
        <v>5.5541990000000001E-3</v>
      </c>
      <c r="T5109">
        <v>-0.1596012</v>
      </c>
      <c r="U5109">
        <v>-3.0643919999999998</v>
      </c>
      <c r="V5109">
        <v>1.0061189999999999E-2</v>
      </c>
      <c r="W5109">
        <v>0.17088100000000001</v>
      </c>
      <c r="X5109">
        <v>0.98524029999999996</v>
      </c>
      <c r="Y5109">
        <v>-1.0833239999999999E-2</v>
      </c>
      <c r="Z5109">
        <v>5.2007270000000001E-2</v>
      </c>
      <c r="AA5109">
        <v>0.99858800000000003</v>
      </c>
      <c r="AB5109">
        <v>37</v>
      </c>
      <c r="AC5109">
        <v>4.1899999999998203E-2</v>
      </c>
      <c r="AD5109">
        <v>-1.11038832572</v>
      </c>
      <c r="AE5109">
        <v>-20.955509999999901</v>
      </c>
      <c r="AF5109">
        <v>-0.230339300889814</v>
      </c>
      <c r="AG5109">
        <v>-1.11038832572</v>
      </c>
      <c r="AH5109">
        <v>20.895610088027301</v>
      </c>
      <c r="AI5109">
        <v>93.041640172834093</v>
      </c>
      <c r="AJ5109">
        <v>90.631564966117693</v>
      </c>
      <c r="AK5109">
        <v>20.926359917059099</v>
      </c>
      <c r="AL5109">
        <v>80.1609537651197</v>
      </c>
      <c r="AM5109">
        <v>89.414920718693395</v>
      </c>
      <c r="AN5109">
        <v>0.99999999622465297</v>
      </c>
    </row>
    <row r="5110" spans="1:40" x14ac:dyDescent="0.25">
      <c r="A5110" t="str">
        <f>"20190312164131300"</f>
        <v>20190312164131300</v>
      </c>
      <c r="B5110" t="str">
        <f>"1552380091291411"</f>
        <v>1552380091291411</v>
      </c>
      <c r="C5110" t="s">
        <v>40</v>
      </c>
      <c r="D5110">
        <v>5.1130110000000002</v>
      </c>
      <c r="E5110">
        <v>0.46758149999999998</v>
      </c>
      <c r="F5110" t="s">
        <v>41</v>
      </c>
      <c r="G5110">
        <v>-421.1859</v>
      </c>
      <c r="H5110" s="1">
        <v>-1.0892540000000001E-6</v>
      </c>
      <c r="I5110">
        <v>41.392690000000002</v>
      </c>
      <c r="J5110">
        <v>-422.63889999999998</v>
      </c>
      <c r="K5110">
        <v>1.110376</v>
      </c>
      <c r="L5110">
        <v>63.951450000000001</v>
      </c>
      <c r="M5110">
        <v>-8.9454510000000001E-3</v>
      </c>
      <c r="N5110">
        <v>0</v>
      </c>
      <c r="O5110">
        <v>-0.99985069999999998</v>
      </c>
      <c r="P5110">
        <v>-1.6396299999999999E-2</v>
      </c>
      <c r="Q5110">
        <v>0.15594379999999999</v>
      </c>
      <c r="R5110">
        <v>-0.98763000000000001</v>
      </c>
      <c r="S5110">
        <v>0.19345090000000001</v>
      </c>
      <c r="T5110">
        <v>-0.14820150000000001</v>
      </c>
      <c r="U5110">
        <v>-3.0650629999999999</v>
      </c>
      <c r="V5110">
        <v>7.5342069999999898E-3</v>
      </c>
      <c r="W5110">
        <v>0.17053560000000001</v>
      </c>
      <c r="X5110">
        <v>0.9853227</v>
      </c>
      <c r="Y5110">
        <v>-7.1842439999999994E-2</v>
      </c>
      <c r="Z5110">
        <v>4.8182290000000003E-2</v>
      </c>
      <c r="AA5110">
        <v>0.99625149999999996</v>
      </c>
      <c r="AB5110">
        <v>36</v>
      </c>
      <c r="AC5110">
        <v>1.4529999999999701</v>
      </c>
      <c r="AD5110">
        <v>-1.1103770892539999</v>
      </c>
      <c r="AE5110">
        <v>-22.558759999999999</v>
      </c>
      <c r="AF5110">
        <v>-1.6507792690157901</v>
      </c>
      <c r="AG5110">
        <v>-1.1103770892539999</v>
      </c>
      <c r="AH5110">
        <v>22.490593826568499</v>
      </c>
      <c r="AI5110">
        <v>92.818868980374006</v>
      </c>
      <c r="AJ5110">
        <v>94.197905234629701</v>
      </c>
      <c r="AK5110">
        <v>22.5784149166196</v>
      </c>
      <c r="AL5110">
        <v>80.181038469429097</v>
      </c>
      <c r="AM5110">
        <v>89.561900024982904</v>
      </c>
      <c r="AN5110">
        <v>0.99999998913888399</v>
      </c>
    </row>
    <row r="5111" spans="1:40" x14ac:dyDescent="0.25">
      <c r="A5111" t="str">
        <f>"20190312164131319"</f>
        <v>20190312164131319</v>
      </c>
      <c r="B5111" t="str">
        <f>"1552380091311908"</f>
        <v>1552380091311908</v>
      </c>
      <c r="C5111" t="s">
        <v>40</v>
      </c>
      <c r="D5111">
        <v>5.0689799999999998</v>
      </c>
      <c r="E5111">
        <v>0.46445209999999998</v>
      </c>
      <c r="F5111" t="s">
        <v>41</v>
      </c>
      <c r="G5111">
        <v>-420.96980000000002</v>
      </c>
      <c r="H5111" s="1">
        <v>-1.8850730000000001E-6</v>
      </c>
      <c r="I5111">
        <v>43.381770000000003</v>
      </c>
      <c r="J5111">
        <v>-422.64170000000001</v>
      </c>
      <c r="K5111">
        <v>1.1103730000000001</v>
      </c>
      <c r="L5111">
        <v>63.626800000000003</v>
      </c>
      <c r="M5111">
        <v>-8.8836650000000007E-3</v>
      </c>
      <c r="N5111">
        <v>0</v>
      </c>
      <c r="O5111">
        <v>-0.9998515</v>
      </c>
      <c r="P5111">
        <v>-1.428283E-2</v>
      </c>
      <c r="Q5111">
        <v>0.15586359999999999</v>
      </c>
      <c r="R5111">
        <v>-0.98767570000000005</v>
      </c>
      <c r="S5111">
        <v>0.24893190000000001</v>
      </c>
      <c r="T5111">
        <v>-0.165606</v>
      </c>
      <c r="U5111">
        <v>-3.067841</v>
      </c>
      <c r="V5111">
        <v>5.4823800000000002E-3</v>
      </c>
      <c r="W5111">
        <v>0.17045289999999999</v>
      </c>
      <c r="X5111">
        <v>0.98535050000000002</v>
      </c>
      <c r="Y5111">
        <v>-8.961218E-2</v>
      </c>
      <c r="Z5111">
        <v>5.3703199999999902E-2</v>
      </c>
      <c r="AA5111">
        <v>0.99452779999999996</v>
      </c>
      <c r="AB5111">
        <v>36</v>
      </c>
      <c r="AC5111">
        <v>1.6718999999999899</v>
      </c>
      <c r="AD5111">
        <v>-1.110374885073</v>
      </c>
      <c r="AE5111">
        <v>-20.24503</v>
      </c>
      <c r="AF5111">
        <v>-1.84618766057262</v>
      </c>
      <c r="AG5111">
        <v>-1.110374885073</v>
      </c>
      <c r="AH5111">
        <v>20.169115574138502</v>
      </c>
      <c r="AI5111">
        <v>93.138043940239498</v>
      </c>
      <c r="AJ5111">
        <v>95.2300164926543</v>
      </c>
      <c r="AK5111">
        <v>20.2838498393773</v>
      </c>
      <c r="AL5111">
        <v>80.185846628555097</v>
      </c>
      <c r="AM5111">
        <v>89.681215979098894</v>
      </c>
      <c r="AN5111">
        <v>0.99999992772955903</v>
      </c>
    </row>
    <row r="5112" spans="1:40" x14ac:dyDescent="0.25">
      <c r="A5112" t="str">
        <f>"20190312164131341"</f>
        <v>20190312164131341</v>
      </c>
      <c r="B5112" t="str">
        <f>"1552380091331428"</f>
        <v>1552380091331428</v>
      </c>
      <c r="C5112" t="s">
        <v>40</v>
      </c>
      <c r="D5112">
        <v>5.0833769999999996</v>
      </c>
      <c r="E5112">
        <v>0.46238610000000002</v>
      </c>
      <c r="F5112" t="s">
        <v>41</v>
      </c>
      <c r="G5112">
        <v>-420.91820000000001</v>
      </c>
      <c r="H5112" s="1">
        <v>-2.489116E-6</v>
      </c>
      <c r="I5112">
        <v>44.82179</v>
      </c>
      <c r="J5112">
        <v>-422.64479999999998</v>
      </c>
      <c r="K5112">
        <v>1.110374</v>
      </c>
      <c r="L5112">
        <v>63.269869999999997</v>
      </c>
      <c r="M5112">
        <v>-8.8162840000000006E-3</v>
      </c>
      <c r="N5112">
        <v>0</v>
      </c>
      <c r="O5112">
        <v>-0.99985190000000002</v>
      </c>
      <c r="P5112">
        <v>-1.1739360000000001E-2</v>
      </c>
      <c r="Q5112">
        <v>0.15505559999999999</v>
      </c>
      <c r="R5112">
        <v>-0.9878363</v>
      </c>
      <c r="S5112">
        <v>0.28137210000000001</v>
      </c>
      <c r="T5112">
        <v>-0.18128130000000001</v>
      </c>
      <c r="U5112">
        <v>-3.0701290000000001</v>
      </c>
      <c r="V5112">
        <v>3.004896E-3</v>
      </c>
      <c r="W5112">
        <v>0.16964419999999999</v>
      </c>
      <c r="X5112">
        <v>0.98550079999999995</v>
      </c>
      <c r="Y5112">
        <v>-9.9885440000000006E-2</v>
      </c>
      <c r="Z5112">
        <v>5.8670769999999997E-2</v>
      </c>
      <c r="AA5112">
        <v>0.99326769999999998</v>
      </c>
      <c r="AB5112">
        <v>36</v>
      </c>
      <c r="AC5112">
        <v>1.7265999999999599</v>
      </c>
      <c r="AD5112">
        <v>-1.110376489116</v>
      </c>
      <c r="AE5112">
        <v>-18.448080000000001</v>
      </c>
      <c r="AF5112">
        <v>-1.8824337964395601</v>
      </c>
      <c r="AG5112">
        <v>-1.110376489116</v>
      </c>
      <c r="AH5112">
        <v>18.3661807277362</v>
      </c>
      <c r="AI5112">
        <v>93.441770906420999</v>
      </c>
      <c r="AJ5112">
        <v>95.852071107984202</v>
      </c>
      <c r="AK5112">
        <v>18.495758634601302</v>
      </c>
      <c r="AL5112">
        <v>80.232867309150507</v>
      </c>
      <c r="AM5112">
        <v>89.825299659697905</v>
      </c>
      <c r="AN5112">
        <v>1.0000000053971201</v>
      </c>
    </row>
    <row r="5113" spans="1:40" x14ac:dyDescent="0.25">
      <c r="A5113" t="str">
        <f>"20190312164131364"</f>
        <v>20190312164131364</v>
      </c>
      <c r="B5113" t="str">
        <f>"1552380091361684"</f>
        <v>1552380091361684</v>
      </c>
      <c r="C5113" t="s">
        <v>40</v>
      </c>
      <c r="D5113">
        <v>5.0811080000000004</v>
      </c>
      <c r="E5113">
        <v>0.46099200000000001</v>
      </c>
      <c r="F5113" t="s">
        <v>41</v>
      </c>
      <c r="G5113">
        <v>-420.8716</v>
      </c>
      <c r="H5113" s="1">
        <v>-2.7741470000000001E-6</v>
      </c>
      <c r="I5113">
        <v>45.515079999999998</v>
      </c>
      <c r="J5113">
        <v>-422.64800000000002</v>
      </c>
      <c r="K5113">
        <v>1.110376</v>
      </c>
      <c r="L5113">
        <v>62.893889999999999</v>
      </c>
      <c r="M5113">
        <v>-8.7453840000000001E-3</v>
      </c>
      <c r="N5113">
        <v>0</v>
      </c>
      <c r="O5113">
        <v>-0.99985239999999997</v>
      </c>
      <c r="P5113">
        <v>-9.1747870000000002E-3</v>
      </c>
      <c r="Q5113">
        <v>0.15490660000000001</v>
      </c>
      <c r="R5113">
        <v>-0.98788670000000001</v>
      </c>
      <c r="S5113">
        <v>0.30667109999999997</v>
      </c>
      <c r="T5113">
        <v>-0.19204280000000001</v>
      </c>
      <c r="U5113">
        <v>-3.0707399999999998</v>
      </c>
      <c r="V5113">
        <v>5.1051329999999998E-4</v>
      </c>
      <c r="W5113">
        <v>0.169491899999999</v>
      </c>
      <c r="X5113">
        <v>0.98553139999999995</v>
      </c>
      <c r="Y5113">
        <v>-0.10788200000000001</v>
      </c>
      <c r="Z5113">
        <v>6.2078099999999997E-2</v>
      </c>
      <c r="AA5113">
        <v>0.99222370000000004</v>
      </c>
      <c r="AB5113">
        <v>36</v>
      </c>
      <c r="AC5113">
        <v>1.77640000000002</v>
      </c>
      <c r="AD5113">
        <v>-1.1103787741469999</v>
      </c>
      <c r="AE5113">
        <v>-17.378810000000001</v>
      </c>
      <c r="AF5113">
        <v>-1.92057380174417</v>
      </c>
      <c r="AG5113">
        <v>-1.1103787741469999</v>
      </c>
      <c r="AH5113">
        <v>17.292744478287698</v>
      </c>
      <c r="AI5113">
        <v>93.651566443092904</v>
      </c>
      <c r="AJ5113">
        <v>96.337435144735196</v>
      </c>
      <c r="AK5113">
        <v>17.434464612983401</v>
      </c>
      <c r="AL5113">
        <v>80.241721160716295</v>
      </c>
      <c r="AM5113">
        <v>89.970320321748204</v>
      </c>
      <c r="AN5113">
        <v>0.99999995258769803</v>
      </c>
    </row>
    <row r="5114" spans="1:40" x14ac:dyDescent="0.25">
      <c r="A5114" t="str">
        <f>"20190312164131389"</f>
        <v>20190312164131389</v>
      </c>
      <c r="B5114" t="str">
        <f>"1552380091381204"</f>
        <v>1552380091381204</v>
      </c>
      <c r="C5114" t="s">
        <v>40</v>
      </c>
      <c r="D5114">
        <v>5.1047029999999998</v>
      </c>
      <c r="E5114">
        <v>0.46013270000000001</v>
      </c>
      <c r="F5114" t="s">
        <v>41</v>
      </c>
      <c r="G5114">
        <v>-420.86279999999999</v>
      </c>
      <c r="H5114" s="1">
        <v>-3.019558E-6</v>
      </c>
      <c r="I5114">
        <v>46.092660000000002</v>
      </c>
      <c r="J5114">
        <v>-422.65129999999999</v>
      </c>
      <c r="K5114">
        <v>1.1103780000000001</v>
      </c>
      <c r="L5114">
        <v>62.508609999999997</v>
      </c>
      <c r="M5114">
        <v>-8.6728039999999992E-3</v>
      </c>
      <c r="N5114">
        <v>0</v>
      </c>
      <c r="O5114">
        <v>-0.99985310000000005</v>
      </c>
      <c r="P5114">
        <v>-6.6974879999999997E-3</v>
      </c>
      <c r="Q5114">
        <v>0.1554354</v>
      </c>
      <c r="R5114">
        <v>-0.98782340000000002</v>
      </c>
      <c r="S5114">
        <v>0.3263855</v>
      </c>
      <c r="T5114">
        <v>-0.20300319999999999</v>
      </c>
      <c r="U5114">
        <v>-3.0716549999999998</v>
      </c>
      <c r="V5114">
        <v>-1.8944439999999999E-3</v>
      </c>
      <c r="W5114">
        <v>0.170015</v>
      </c>
      <c r="X5114">
        <v>0.98543970000000003</v>
      </c>
      <c r="Y5114">
        <v>-0.1140563</v>
      </c>
      <c r="Z5114">
        <v>6.5542710000000004E-2</v>
      </c>
      <c r="AA5114">
        <v>0.99130989999999997</v>
      </c>
      <c r="AB5114">
        <v>36</v>
      </c>
      <c r="AC5114">
        <v>1.78849999999999</v>
      </c>
      <c r="AD5114">
        <v>-1.1103810195579999</v>
      </c>
      <c r="AE5114">
        <v>-16.415949999999999</v>
      </c>
      <c r="AF5114">
        <v>-1.9221295932361</v>
      </c>
      <c r="AG5114">
        <v>-1.1103810195579999</v>
      </c>
      <c r="AH5114">
        <v>16.326000633443499</v>
      </c>
      <c r="AI5114">
        <v>93.864260325945494</v>
      </c>
      <c r="AJ5114">
        <v>96.714764773972206</v>
      </c>
      <c r="AK5114">
        <v>16.4762199810814</v>
      </c>
      <c r="AL5114">
        <v>80.211309262896293</v>
      </c>
      <c r="AM5114">
        <v>90.110147289587701</v>
      </c>
      <c r="AN5114">
        <v>1.0000000457395699</v>
      </c>
    </row>
    <row r="5115" spans="1:40" x14ac:dyDescent="0.25">
      <c r="A5115" t="str">
        <f>"20190312164131408"</f>
        <v>20190312164131408</v>
      </c>
      <c r="B5115" t="str">
        <f>"1552380091401704"</f>
        <v>1552380091401704</v>
      </c>
      <c r="C5115" t="s">
        <v>40</v>
      </c>
      <c r="D5115">
        <v>5.2376839999999998</v>
      </c>
      <c r="E5115">
        <v>0.45940550000000002</v>
      </c>
      <c r="F5115" t="s">
        <v>41</v>
      </c>
      <c r="G5115">
        <v>-420.80689999999998</v>
      </c>
      <c r="H5115" s="1">
        <v>-2.9294100000000001E-6</v>
      </c>
      <c r="I5115">
        <v>45.917160000000003</v>
      </c>
      <c r="J5115">
        <v>-422.65410000000003</v>
      </c>
      <c r="K5115">
        <v>1.110371</v>
      </c>
      <c r="L5115">
        <v>62.175170000000001</v>
      </c>
      <c r="M5115">
        <v>-8.6099509999999994E-3</v>
      </c>
      <c r="N5115">
        <v>0</v>
      </c>
      <c r="O5115">
        <v>-0.99985380000000001</v>
      </c>
      <c r="P5115">
        <v>-3.9620139999999998E-3</v>
      </c>
      <c r="Q5115">
        <v>0.15611359999999999</v>
      </c>
      <c r="R5115">
        <v>-0.98773160000000004</v>
      </c>
      <c r="S5115">
        <v>0.34146120000000002</v>
      </c>
      <c r="T5115">
        <v>-0.20557020000000001</v>
      </c>
      <c r="U5115">
        <v>-3.0716549999999998</v>
      </c>
      <c r="V5115">
        <v>-4.5666539999999999E-3</v>
      </c>
      <c r="W5115">
        <v>0.1706878</v>
      </c>
      <c r="X5115">
        <v>0.98531449999999998</v>
      </c>
      <c r="Y5115">
        <v>-0.11879530000000001</v>
      </c>
      <c r="Z5115">
        <v>6.6331970000000004E-2</v>
      </c>
      <c r="AA5115">
        <v>0.99070069999999999</v>
      </c>
      <c r="AB5115">
        <v>36</v>
      </c>
      <c r="AC5115">
        <v>1.8472000000000399</v>
      </c>
      <c r="AD5115">
        <v>-1.1103739294099999</v>
      </c>
      <c r="AE5115">
        <v>-16.258009999999999</v>
      </c>
      <c r="AF5115">
        <v>-1.97801861065295</v>
      </c>
      <c r="AG5115">
        <v>-1.1103739294099999</v>
      </c>
      <c r="AH5115">
        <v>16.1670513062843</v>
      </c>
      <c r="AI5115">
        <v>93.899987240069095</v>
      </c>
      <c r="AJ5115">
        <v>96.975399760721601</v>
      </c>
      <c r="AK5115">
        <v>16.325410739924202</v>
      </c>
      <c r="AL5115">
        <v>80.172187623613098</v>
      </c>
      <c r="AM5115">
        <v>90.265547829910204</v>
      </c>
      <c r="AN5115">
        <v>0.99999992165391904</v>
      </c>
    </row>
    <row r="5116" spans="1:40" x14ac:dyDescent="0.25">
      <c r="A5116" t="str">
        <f>"20190312164131430"</f>
        <v>20190312164131430</v>
      </c>
      <c r="B5116" t="str">
        <f>"1552380091421220"</f>
        <v>1552380091421220</v>
      </c>
      <c r="C5116" t="s">
        <v>40</v>
      </c>
      <c r="D5116">
        <v>5.141508</v>
      </c>
      <c r="E5116">
        <v>0.45895429999999998</v>
      </c>
      <c r="F5116" t="s">
        <v>41</v>
      </c>
      <c r="G5116">
        <v>-420.74770000000001</v>
      </c>
      <c r="H5116" s="1">
        <v>-2.8319139999999999E-6</v>
      </c>
      <c r="I5116">
        <v>45.726599999999998</v>
      </c>
      <c r="J5116">
        <v>-422.65710000000001</v>
      </c>
      <c r="K5116">
        <v>1.1103700000000001</v>
      </c>
      <c r="L5116">
        <v>61.826320000000003</v>
      </c>
      <c r="M5116">
        <v>-8.5441010000000001E-3</v>
      </c>
      <c r="N5116">
        <v>0</v>
      </c>
      <c r="O5116">
        <v>-0.99985460000000004</v>
      </c>
      <c r="P5116">
        <v>-1.312522E-3</v>
      </c>
      <c r="Q5116">
        <v>0.15620880000000001</v>
      </c>
      <c r="R5116">
        <v>-0.98772340000000003</v>
      </c>
      <c r="S5116">
        <v>0.35598750000000001</v>
      </c>
      <c r="T5116">
        <v>-0.2073421</v>
      </c>
      <c r="U5116">
        <v>-3.071472</v>
      </c>
      <c r="V5116">
        <v>-7.1506089999999996E-3</v>
      </c>
      <c r="W5116">
        <v>0.1707795</v>
      </c>
      <c r="X5116">
        <v>0.98528329999999997</v>
      </c>
      <c r="Y5116">
        <v>-0.1233568</v>
      </c>
      <c r="Z5116">
        <v>6.6868759999999999E-2</v>
      </c>
      <c r="AA5116">
        <v>0.99010690000000001</v>
      </c>
      <c r="AB5116">
        <v>36</v>
      </c>
      <c r="AC5116">
        <v>1.9094</v>
      </c>
      <c r="AD5116">
        <v>-1.110372831914</v>
      </c>
      <c r="AE5116">
        <v>-16.099719999999898</v>
      </c>
      <c r="AF5116">
        <v>-2.0373463819323399</v>
      </c>
      <c r="AG5116">
        <v>-1.110372831914</v>
      </c>
      <c r="AH5116">
        <v>16.007729333241201</v>
      </c>
      <c r="AI5116">
        <v>93.936302455912298</v>
      </c>
      <c r="AJ5116">
        <v>97.253191133658703</v>
      </c>
      <c r="AK5116">
        <v>16.1750148844487</v>
      </c>
      <c r="AL5116">
        <v>80.166855837173898</v>
      </c>
      <c r="AM5116">
        <v>90.415811902937804</v>
      </c>
      <c r="AN5116">
        <v>0.99999997504410498</v>
      </c>
    </row>
    <row r="5117" spans="1:40" x14ac:dyDescent="0.25">
      <c r="A5117" t="str">
        <f>"20190312164131453"</f>
        <v>20190312164131453</v>
      </c>
      <c r="B5117" t="str">
        <f>"1552380091441716"</f>
        <v>1552380091441716</v>
      </c>
      <c r="C5117" t="s">
        <v>40</v>
      </c>
      <c r="D5117">
        <v>5.1480769999999998</v>
      </c>
      <c r="E5117">
        <v>0.45868009999999898</v>
      </c>
      <c r="F5117" t="s">
        <v>41</v>
      </c>
      <c r="G5117">
        <v>-420.7133</v>
      </c>
      <c r="H5117" s="1">
        <v>-2.7687170000000001E-6</v>
      </c>
      <c r="I5117">
        <v>45.600630000000002</v>
      </c>
      <c r="J5117">
        <v>-422.66</v>
      </c>
      <c r="K5117">
        <v>1.1103719999999999</v>
      </c>
      <c r="L5117">
        <v>61.464509999999997</v>
      </c>
      <c r="M5117">
        <v>-8.4757800000000005E-3</v>
      </c>
      <c r="N5117">
        <v>0</v>
      </c>
      <c r="O5117">
        <v>-0.99985500000000005</v>
      </c>
      <c r="P5117">
        <v>8.8718249999999999E-4</v>
      </c>
      <c r="Q5117">
        <v>0.155217299999999</v>
      </c>
      <c r="R5117">
        <v>-0.98787990000000003</v>
      </c>
      <c r="S5117">
        <v>0.36788939999999998</v>
      </c>
      <c r="T5117">
        <v>-0.2101587</v>
      </c>
      <c r="U5117">
        <v>-3.0710139999999999</v>
      </c>
      <c r="V5117">
        <v>-9.2837800000000002E-3</v>
      </c>
      <c r="W5117">
        <v>0.1697861</v>
      </c>
      <c r="X5117">
        <v>0.98543720000000001</v>
      </c>
      <c r="Y5117">
        <v>-0.12708249999999999</v>
      </c>
      <c r="Z5117">
        <v>6.7751749999999999E-2</v>
      </c>
      <c r="AA5117">
        <v>0.98957550000000005</v>
      </c>
      <c r="AB5117">
        <v>36</v>
      </c>
      <c r="AC5117">
        <v>1.9467000000000201</v>
      </c>
      <c r="AD5117">
        <v>-1.11037476871699</v>
      </c>
      <c r="AE5117">
        <v>-15.86388</v>
      </c>
      <c r="AF5117">
        <v>-2.0711073534072999</v>
      </c>
      <c r="AG5117">
        <v>-1.11037476871699</v>
      </c>
      <c r="AH5117">
        <v>15.770691726861299</v>
      </c>
      <c r="AI5117">
        <v>93.9932304196779</v>
      </c>
      <c r="AJ5117">
        <v>97.481630614867001</v>
      </c>
      <c r="AK5117">
        <v>15.9448153121958</v>
      </c>
      <c r="AL5117">
        <v>80.224617222469107</v>
      </c>
      <c r="AM5117">
        <v>90.539766182877102</v>
      </c>
      <c r="AN5117">
        <v>0.99999999173406895</v>
      </c>
    </row>
    <row r="5118" spans="1:40" x14ac:dyDescent="0.25">
      <c r="A5118" t="str">
        <f>"20190312164131475"</f>
        <v>20190312164131475</v>
      </c>
      <c r="B5118" t="str">
        <f>"1552380091470999"</f>
        <v>1552380091470999</v>
      </c>
      <c r="C5118" t="s">
        <v>40</v>
      </c>
      <c r="D5118">
        <v>5.329472</v>
      </c>
      <c r="E5118">
        <v>0.45829710000000001</v>
      </c>
      <c r="F5118" t="s">
        <v>41</v>
      </c>
      <c r="G5118">
        <v>-420.7022</v>
      </c>
      <c r="H5118" s="1">
        <v>-2.73202E-6</v>
      </c>
      <c r="I5118">
        <v>45.521970000000003</v>
      </c>
      <c r="J5118">
        <v>-422.66309999999999</v>
      </c>
      <c r="K5118">
        <v>1.1103769999999999</v>
      </c>
      <c r="L5118">
        <v>61.099730000000001</v>
      </c>
      <c r="M5118">
        <v>-8.4069239999999996E-3</v>
      </c>
      <c r="N5118">
        <v>0</v>
      </c>
      <c r="O5118">
        <v>-0.99985579999999996</v>
      </c>
      <c r="P5118">
        <v>3.3128820000000001E-3</v>
      </c>
      <c r="Q5118">
        <v>0.15486</v>
      </c>
      <c r="R5118">
        <v>-0.98793109999999995</v>
      </c>
      <c r="S5118">
        <v>0.37701420000000002</v>
      </c>
      <c r="T5118">
        <v>-0.21382580000000001</v>
      </c>
      <c r="U5118">
        <v>-3.070068</v>
      </c>
      <c r="V5118">
        <v>-1.1641E-2</v>
      </c>
      <c r="W5118">
        <v>0.1694252</v>
      </c>
      <c r="X5118">
        <v>0.98547430000000003</v>
      </c>
      <c r="Y5118">
        <v>-0.12993850000000001</v>
      </c>
      <c r="Z5118">
        <v>6.8924360000000004E-2</v>
      </c>
      <c r="AA5118">
        <v>0.98912359999999999</v>
      </c>
      <c r="AB5118">
        <v>36</v>
      </c>
      <c r="AC5118">
        <v>1.9608999999999801</v>
      </c>
      <c r="AD5118">
        <v>-1.11037973202</v>
      </c>
      <c r="AE5118">
        <v>-15.57776</v>
      </c>
      <c r="AF5118">
        <v>-2.0813957659917399</v>
      </c>
      <c r="AG5118">
        <v>-1.11037973202</v>
      </c>
      <c r="AH5118">
        <v>15.483281890669399</v>
      </c>
      <c r="AI5118">
        <v>94.065485155794903</v>
      </c>
      <c r="AJ5118">
        <v>97.656291997983402</v>
      </c>
      <c r="AK5118">
        <v>15.661965700061399</v>
      </c>
      <c r="AL5118">
        <v>80.245599374143794</v>
      </c>
      <c r="AM5118">
        <v>90.676779850131695</v>
      </c>
      <c r="AN5118">
        <v>1.0000000036182599</v>
      </c>
    </row>
    <row r="5119" spans="1:40" x14ac:dyDescent="0.25">
      <c r="A5119" t="str">
        <f>"20190312164131499"</f>
        <v>20190312164131499</v>
      </c>
      <c r="B5119" t="str">
        <f>"1552380091491491"</f>
        <v>1552380091491491</v>
      </c>
      <c r="C5119" t="s">
        <v>40</v>
      </c>
      <c r="D5119">
        <v>5.3113510000000002</v>
      </c>
      <c r="E5119">
        <v>0.45821030000000001</v>
      </c>
      <c r="F5119" t="s">
        <v>41</v>
      </c>
      <c r="G5119">
        <v>-420.68419999999998</v>
      </c>
      <c r="H5119" s="1">
        <v>-2.6826770000000002E-6</v>
      </c>
      <c r="I5119">
        <v>45.418109999999999</v>
      </c>
      <c r="J5119">
        <v>-422.66609999999997</v>
      </c>
      <c r="K5119">
        <v>1.1103730000000001</v>
      </c>
      <c r="L5119">
        <v>60.728549999999998</v>
      </c>
      <c r="M5119">
        <v>-8.3369199999999994E-3</v>
      </c>
      <c r="N5119">
        <v>0</v>
      </c>
      <c r="O5119">
        <v>-0.99985619999999997</v>
      </c>
      <c r="P5119">
        <v>5.5423919999999897E-3</v>
      </c>
      <c r="Q5119">
        <v>0.15515179999999901</v>
      </c>
      <c r="R5119">
        <v>-0.9878749</v>
      </c>
      <c r="S5119">
        <v>0.38732909999999998</v>
      </c>
      <c r="T5119">
        <v>-0.21733920000000001</v>
      </c>
      <c r="U5119">
        <v>-3.0694270000000001</v>
      </c>
      <c r="V5119">
        <v>-1.3800929999999999E-2</v>
      </c>
      <c r="W5119">
        <v>0.1697119</v>
      </c>
      <c r="X5119">
        <v>0.98539710000000003</v>
      </c>
      <c r="Y5119">
        <v>-0.13315689999999999</v>
      </c>
      <c r="Z5119">
        <v>7.0036340000000002E-2</v>
      </c>
      <c r="AA5119">
        <v>0.98861730000000003</v>
      </c>
      <c r="AB5119">
        <v>36</v>
      </c>
      <c r="AC5119">
        <v>1.98189999999999</v>
      </c>
      <c r="AD5119">
        <v>-1.1103756826769999</v>
      </c>
      <c r="AE5119">
        <v>-15.31044</v>
      </c>
      <c r="AF5119">
        <v>-2.0986306003275899</v>
      </c>
      <c r="AG5119">
        <v>-1.1103756826769999</v>
      </c>
      <c r="AH5119">
        <v>15.2146766279254</v>
      </c>
      <c r="AI5119">
        <v>94.135064494945397</v>
      </c>
      <c r="AJ5119">
        <v>97.853514758191295</v>
      </c>
      <c r="AK5119">
        <v>15.398817144366999</v>
      </c>
      <c r="AL5119">
        <v>80.228931452070796</v>
      </c>
      <c r="AM5119">
        <v>90.802400724390296</v>
      </c>
      <c r="AN5119">
        <v>1.0000000196794401</v>
      </c>
    </row>
    <row r="5120" spans="1:40" x14ac:dyDescent="0.25">
      <c r="A5120" t="str">
        <f>"20190312164131519"</f>
        <v>20190312164131519</v>
      </c>
      <c r="B5120" t="str">
        <f>"1552380091511012"</f>
        <v>1552380091511012</v>
      </c>
      <c r="C5120" t="s">
        <v>40</v>
      </c>
      <c r="D5120">
        <v>5.3700900000000003</v>
      </c>
      <c r="E5120">
        <v>0.45824140000000002</v>
      </c>
      <c r="F5120" t="s">
        <v>41</v>
      </c>
      <c r="G5120">
        <v>-420.66579999999999</v>
      </c>
      <c r="H5120" s="1">
        <v>-2.5599869999999999E-6</v>
      </c>
      <c r="I5120">
        <v>45.143520000000002</v>
      </c>
      <c r="J5120">
        <v>-422.66890000000001</v>
      </c>
      <c r="K5120">
        <v>1.110374</v>
      </c>
      <c r="L5120">
        <v>60.3870199999999</v>
      </c>
      <c r="M5120">
        <v>-8.2725230000000004E-3</v>
      </c>
      <c r="N5120">
        <v>0</v>
      </c>
      <c r="O5120">
        <v>-0.99985690000000005</v>
      </c>
      <c r="P5120">
        <v>7.4895730000000002E-3</v>
      </c>
      <c r="Q5120">
        <v>0.15457939999999901</v>
      </c>
      <c r="R5120">
        <v>-0.9879521</v>
      </c>
      <c r="S5120">
        <v>0.39389039999999997</v>
      </c>
      <c r="T5120">
        <v>-0.2186506</v>
      </c>
      <c r="U5120">
        <v>-3.0689389999999999</v>
      </c>
      <c r="V5120">
        <v>-1.5685259999999999E-2</v>
      </c>
      <c r="W5120">
        <v>0.16913619999999999</v>
      </c>
      <c r="X5120">
        <v>0.98546789999999995</v>
      </c>
      <c r="Y5120">
        <v>-0.13518849999999999</v>
      </c>
      <c r="Z5120">
        <v>7.0448789999999997E-2</v>
      </c>
      <c r="AA5120">
        <v>0.98831219999999997</v>
      </c>
      <c r="AB5120">
        <v>36</v>
      </c>
      <c r="AC5120">
        <v>2.0031000000000101</v>
      </c>
      <c r="AD5120">
        <v>-1.1103765599869999</v>
      </c>
      <c r="AE5120">
        <v>-15.2434999999999</v>
      </c>
      <c r="AF5120">
        <v>-2.11809941504767</v>
      </c>
      <c r="AG5120">
        <v>-1.1103765599869999</v>
      </c>
      <c r="AH5120">
        <v>15.147397272194199</v>
      </c>
      <c r="AI5120">
        <v>94.152299931339996</v>
      </c>
      <c r="AJ5120">
        <v>97.960201278973599</v>
      </c>
      <c r="AK5120">
        <v>15.335022835283601</v>
      </c>
      <c r="AL5120">
        <v>80.262400604235793</v>
      </c>
      <c r="AM5120">
        <v>90.911874774278402</v>
      </c>
      <c r="AN5120">
        <v>1.00000003173105</v>
      </c>
    </row>
    <row r="5121" spans="1:40" x14ac:dyDescent="0.25">
      <c r="A5121" t="str">
        <f>"20190312164131543"</f>
        <v>20190312164131543</v>
      </c>
      <c r="B5121" t="str">
        <f>"1552380091531508"</f>
        <v>1552380091531508</v>
      </c>
      <c r="C5121" t="s">
        <v>40</v>
      </c>
      <c r="D5121">
        <v>5.2442060000000001</v>
      </c>
      <c r="E5121">
        <v>0.45808910000000003</v>
      </c>
      <c r="F5121" t="s">
        <v>41</v>
      </c>
      <c r="G5121">
        <v>-420.67340000000002</v>
      </c>
      <c r="H5121" s="1">
        <v>-2.5044839999999999E-6</v>
      </c>
      <c r="I5121">
        <v>45.00947</v>
      </c>
      <c r="J5121">
        <v>-422.67180000000002</v>
      </c>
      <c r="K5121">
        <v>1.110368</v>
      </c>
      <c r="L5121">
        <v>60.025730000000003</v>
      </c>
      <c r="M5121">
        <v>-8.2043480000000002E-3</v>
      </c>
      <c r="N5121">
        <v>0</v>
      </c>
      <c r="O5121">
        <v>-0.99985769999999996</v>
      </c>
      <c r="P5121">
        <v>9.6017150000000002E-3</v>
      </c>
      <c r="Q5121">
        <v>0.15305820000000001</v>
      </c>
      <c r="R5121">
        <v>-0.98817069999999996</v>
      </c>
      <c r="S5121">
        <v>0.39816279999999998</v>
      </c>
      <c r="T5121">
        <v>-0.2215501</v>
      </c>
      <c r="U5121">
        <v>-3.0682369999999999</v>
      </c>
      <c r="V5121">
        <v>-1.7731179999999999E-2</v>
      </c>
      <c r="W5121">
        <v>0.16761470000000001</v>
      </c>
      <c r="X5121">
        <v>0.98569309999999999</v>
      </c>
      <c r="Y5121">
        <v>-0.13649449999999999</v>
      </c>
      <c r="Z5121">
        <v>7.1381689999999998E-2</v>
      </c>
      <c r="AA5121">
        <v>0.98806570000000005</v>
      </c>
      <c r="AB5121">
        <v>36</v>
      </c>
      <c r="AC5121">
        <v>1.9984</v>
      </c>
      <c r="AD5121">
        <v>-1.110370504484</v>
      </c>
      <c r="AE5121">
        <v>-15.016260000000001</v>
      </c>
      <c r="AF5121">
        <v>-2.1102073483111101</v>
      </c>
      <c r="AG5121">
        <v>-1.110370504484</v>
      </c>
      <c r="AH5121">
        <v>14.919201631748001</v>
      </c>
      <c r="AI5121">
        <v>94.214628587377803</v>
      </c>
      <c r="AJ5121">
        <v>98.050647782118702</v>
      </c>
      <c r="AK5121">
        <v>15.108556351910201</v>
      </c>
      <c r="AL5121">
        <v>80.350838320460198</v>
      </c>
      <c r="AM5121">
        <v>91.030556286908094</v>
      </c>
      <c r="AN5121">
        <v>0.99999998489394604</v>
      </c>
    </row>
    <row r="5122" spans="1:40" x14ac:dyDescent="0.25">
      <c r="A5122" t="str">
        <f>"20190312164131565"</f>
        <v>20190312164131565</v>
      </c>
      <c r="B5122" t="str">
        <f>"1552380091561764"</f>
        <v>1552380091561764</v>
      </c>
      <c r="C5122" t="s">
        <v>40</v>
      </c>
      <c r="D5122">
        <v>5.3377299999999996</v>
      </c>
      <c r="E5122">
        <v>0.45809860000000002</v>
      </c>
      <c r="F5122" t="s">
        <v>41</v>
      </c>
      <c r="G5122">
        <v>-420.70060000000001</v>
      </c>
      <c r="H5122" s="1">
        <v>-2.5742310000000001E-6</v>
      </c>
      <c r="I5122">
        <v>45.155169999999998</v>
      </c>
      <c r="J5122">
        <v>-422.6748</v>
      </c>
      <c r="K5122">
        <v>1.110366</v>
      </c>
      <c r="L5122">
        <v>59.659030000000001</v>
      </c>
      <c r="M5122">
        <v>-8.1351159999999995E-3</v>
      </c>
      <c r="N5122">
        <v>0</v>
      </c>
      <c r="O5122">
        <v>-0.99985840000000004</v>
      </c>
      <c r="P5122">
        <v>1.16112E-2</v>
      </c>
      <c r="Q5122">
        <v>0.15120839999999999</v>
      </c>
      <c r="R5122">
        <v>-0.98843400000000003</v>
      </c>
      <c r="S5122">
        <v>0.40661619999999998</v>
      </c>
      <c r="T5122">
        <v>-0.2290431</v>
      </c>
      <c r="U5122">
        <v>-3.0674440000000001</v>
      </c>
      <c r="V5122">
        <v>-1.967385E-2</v>
      </c>
      <c r="W5122">
        <v>0.16576459999999901</v>
      </c>
      <c r="X5122">
        <v>0.98596910000000004</v>
      </c>
      <c r="Y5122">
        <v>-0.13911200000000001</v>
      </c>
      <c r="Z5122">
        <v>7.3775110000000005E-2</v>
      </c>
      <c r="AA5122">
        <v>0.98752470000000003</v>
      </c>
      <c r="AB5122">
        <v>36</v>
      </c>
      <c r="AC5122">
        <v>1.97419999999999</v>
      </c>
      <c r="AD5122">
        <v>-1.1103685742310001</v>
      </c>
      <c r="AE5122">
        <v>-14.50386</v>
      </c>
      <c r="AF5122">
        <v>-2.0801680824536399</v>
      </c>
      <c r="AG5122">
        <v>-1.1103685742310001</v>
      </c>
      <c r="AH5122">
        <v>14.4044300912702</v>
      </c>
      <c r="AI5122">
        <v>94.362859421354898</v>
      </c>
      <c r="AJ5122">
        <v>98.217370863393896</v>
      </c>
      <c r="AK5122">
        <v>14.596150995251699</v>
      </c>
      <c r="AL5122">
        <v>80.458345632998501</v>
      </c>
      <c r="AM5122">
        <v>91.143117977662598</v>
      </c>
      <c r="AN5122">
        <v>1.0000000145708901</v>
      </c>
    </row>
    <row r="5123" spans="1:40" x14ac:dyDescent="0.25">
      <c r="A5123" t="str">
        <f>"20190312164131588"</f>
        <v>20190312164131588</v>
      </c>
      <c r="B5123" t="str">
        <f>"1552380091581284"</f>
        <v>1552380091581284</v>
      </c>
      <c r="C5123" t="s">
        <v>40</v>
      </c>
      <c r="D5123">
        <v>5.2810329999999999</v>
      </c>
      <c r="E5123">
        <v>0.45802619999999999</v>
      </c>
      <c r="F5123" t="s">
        <v>41</v>
      </c>
      <c r="G5123">
        <v>-420.73570000000001</v>
      </c>
      <c r="H5123" s="1">
        <v>-2.627177E-6</v>
      </c>
      <c r="I5123">
        <v>45.256790000000002</v>
      </c>
      <c r="J5123">
        <v>-422.67759999999998</v>
      </c>
      <c r="K5123">
        <v>1.1103620000000001</v>
      </c>
      <c r="L5123">
        <v>59.297580000000004</v>
      </c>
      <c r="M5123">
        <v>-8.0668619999999993E-3</v>
      </c>
      <c r="N5123">
        <v>0</v>
      </c>
      <c r="O5123">
        <v>-0.99985889999999999</v>
      </c>
      <c r="P5123">
        <v>1.3672149999999999E-2</v>
      </c>
      <c r="Q5123">
        <v>0.14988460000000001</v>
      </c>
      <c r="R5123">
        <v>-0.98860919999999997</v>
      </c>
      <c r="S5123">
        <v>0.41284179999999998</v>
      </c>
      <c r="T5123">
        <v>-0.2364106</v>
      </c>
      <c r="U5123">
        <v>-3.0664060000000002</v>
      </c>
      <c r="V5123">
        <v>-2.166881E-2</v>
      </c>
      <c r="W5123">
        <v>0.1644398</v>
      </c>
      <c r="X5123">
        <v>0.9861491</v>
      </c>
      <c r="Y5123">
        <v>-0.14103370000000001</v>
      </c>
      <c r="Z5123">
        <v>7.6139410000000005E-2</v>
      </c>
      <c r="AA5123">
        <v>0.98707259999999997</v>
      </c>
      <c r="AB5123">
        <v>36</v>
      </c>
      <c r="AC5123">
        <v>1.94189999999997</v>
      </c>
      <c r="AD5123">
        <v>-1.110364627177</v>
      </c>
      <c r="AE5123">
        <v>-14.040789999999999</v>
      </c>
      <c r="AF5123">
        <v>-2.0425799608227302</v>
      </c>
      <c r="AG5123">
        <v>-1.110364627177</v>
      </c>
      <c r="AH5123">
        <v>13.9391291052429</v>
      </c>
      <c r="AI5123">
        <v>94.506530914273597</v>
      </c>
      <c r="AJ5123">
        <v>98.336545303504806</v>
      </c>
      <c r="AK5123">
        <v>14.1316794017651</v>
      </c>
      <c r="AL5123">
        <v>80.535307289001807</v>
      </c>
      <c r="AM5123">
        <v>91.258766657103806</v>
      </c>
      <c r="AN5123">
        <v>1.00000001629083</v>
      </c>
    </row>
    <row r="5124" spans="1:40" x14ac:dyDescent="0.25">
      <c r="A5124" t="str">
        <f>"20190312164131609"</f>
        <v>20190312164131609</v>
      </c>
      <c r="B5124" t="str">
        <f>"1552380091601780"</f>
        <v>1552380091601780</v>
      </c>
      <c r="C5124" t="s">
        <v>40</v>
      </c>
      <c r="D5124">
        <v>5.2878769999999999</v>
      </c>
      <c r="E5124">
        <v>0.45797680000000002</v>
      </c>
      <c r="F5124" t="s">
        <v>41</v>
      </c>
      <c r="G5124">
        <v>-420.75020000000001</v>
      </c>
      <c r="H5124" s="1">
        <v>-2.6147920000000001E-6</v>
      </c>
      <c r="I5124">
        <v>45.218980000000002</v>
      </c>
      <c r="J5124">
        <v>-422.68029999999999</v>
      </c>
      <c r="K5124">
        <v>1.110355</v>
      </c>
      <c r="L5124">
        <v>58.955509999999997</v>
      </c>
      <c r="M5124">
        <v>-8.0022679999999999E-3</v>
      </c>
      <c r="N5124">
        <v>0</v>
      </c>
      <c r="O5124">
        <v>-0.99985959999999996</v>
      </c>
      <c r="P5124">
        <v>1.5494620000000001E-2</v>
      </c>
      <c r="Q5124">
        <v>0.150082299999999</v>
      </c>
      <c r="R5124">
        <v>-0.98855249999999995</v>
      </c>
      <c r="S5124">
        <v>0.41967769999999999</v>
      </c>
      <c r="T5124">
        <v>-0.24176739999999999</v>
      </c>
      <c r="U5124">
        <v>-3.0654300000000001</v>
      </c>
      <c r="V5124">
        <v>-2.3426679999999998E-2</v>
      </c>
      <c r="W5124">
        <v>0.1646331</v>
      </c>
      <c r="X5124">
        <v>0.98607670000000003</v>
      </c>
      <c r="Y5124">
        <v>-0.14315429999999901</v>
      </c>
      <c r="Z5124">
        <v>7.7855209999999994E-2</v>
      </c>
      <c r="AA5124">
        <v>0.98663339999999999</v>
      </c>
      <c r="AB5124">
        <v>36</v>
      </c>
      <c r="AC5124">
        <v>1.9300999999999799</v>
      </c>
      <c r="AD5124">
        <v>-1.110357614792</v>
      </c>
      <c r="AE5124">
        <v>-13.736529999999901</v>
      </c>
      <c r="AF5124">
        <v>-2.02698580993943</v>
      </c>
      <c r="AG5124">
        <v>-1.110357614792</v>
      </c>
      <c r="AH5124">
        <v>13.6332894398844</v>
      </c>
      <c r="AI5124">
        <v>94.605747605721206</v>
      </c>
      <c r="AJ5124">
        <v>98.456737176235606</v>
      </c>
      <c r="AK5124">
        <v>13.8278033851399</v>
      </c>
      <c r="AL5124">
        <v>80.524079427496702</v>
      </c>
      <c r="AM5124">
        <v>91.360946311711501</v>
      </c>
      <c r="AN5124">
        <v>1.0000000626171499</v>
      </c>
    </row>
    <row r="5125" spans="1:40" x14ac:dyDescent="0.25">
      <c r="A5125" t="str">
        <f>"20190312164131632"</f>
        <v>20190312164131632</v>
      </c>
      <c r="B5125" t="str">
        <f>"1552380091621300"</f>
        <v>1552380091621300</v>
      </c>
      <c r="C5125" t="s">
        <v>40</v>
      </c>
      <c r="D5125">
        <v>5.3163809999999998</v>
      </c>
      <c r="E5125">
        <v>0.45804230000000001</v>
      </c>
      <c r="F5125" t="s">
        <v>41</v>
      </c>
      <c r="G5125">
        <v>-420.73669999999998</v>
      </c>
      <c r="H5125" s="1">
        <v>-2.4952229999999998E-6</v>
      </c>
      <c r="I5125">
        <v>44.948599999999999</v>
      </c>
      <c r="J5125">
        <v>-422.68310000000002</v>
      </c>
      <c r="K5125">
        <v>1.1103540000000001</v>
      </c>
      <c r="L5125">
        <v>58.601170000000003</v>
      </c>
      <c r="M5125">
        <v>-7.9353229999999993E-3</v>
      </c>
      <c r="N5125">
        <v>0</v>
      </c>
      <c r="O5125">
        <v>-0.99985999999999997</v>
      </c>
      <c r="P5125">
        <v>1.8216659999999999E-2</v>
      </c>
      <c r="Q5125">
        <v>0.15073539999999999</v>
      </c>
      <c r="R5125">
        <v>-0.98840649999999997</v>
      </c>
      <c r="S5125">
        <v>0.42529299999999998</v>
      </c>
      <c r="T5125">
        <v>-0.24296690000000001</v>
      </c>
      <c r="U5125">
        <v>-3.064972</v>
      </c>
      <c r="V5125">
        <v>-2.608129E-2</v>
      </c>
      <c r="W5125">
        <v>0.16527979999999901</v>
      </c>
      <c r="X5125">
        <v>0.98590180000000005</v>
      </c>
      <c r="Y5125">
        <v>-0.14487749999999999</v>
      </c>
      <c r="Z5125">
        <v>7.8231129999999996E-2</v>
      </c>
      <c r="AA5125">
        <v>0.98635209999999995</v>
      </c>
      <c r="AB5125">
        <v>36</v>
      </c>
      <c r="AC5125">
        <v>1.9464000000000401</v>
      </c>
      <c r="AD5125">
        <v>-1.1103564952230001</v>
      </c>
      <c r="AE5125">
        <v>-13.6525699999999</v>
      </c>
      <c r="AF5125">
        <v>-2.04145383525137</v>
      </c>
      <c r="AG5125">
        <v>-1.1103564952230001</v>
      </c>
      <c r="AH5125">
        <v>13.5488595684486</v>
      </c>
      <c r="AI5125">
        <v>94.632972125426903</v>
      </c>
      <c r="AJ5125">
        <v>98.568500380941003</v>
      </c>
      <c r="AK5125">
        <v>13.7467094576661</v>
      </c>
      <c r="AL5125">
        <v>80.486511025134902</v>
      </c>
      <c r="AM5125">
        <v>91.515363287164703</v>
      </c>
      <c r="AN5125">
        <v>1.00000000260967</v>
      </c>
    </row>
    <row r="5126" spans="1:40" x14ac:dyDescent="0.25">
      <c r="A5126" t="str">
        <f>"20190312164131654"</f>
        <v>20190312164131654</v>
      </c>
      <c r="B5126" t="str">
        <f>"1552380091651556"</f>
        <v>1552380091651556</v>
      </c>
      <c r="C5126" t="s">
        <v>40</v>
      </c>
      <c r="D5126">
        <v>5.2763619999999998</v>
      </c>
      <c r="E5126">
        <v>0.45789010000000002</v>
      </c>
      <c r="F5126" t="s">
        <v>41</v>
      </c>
      <c r="G5126">
        <v>-420.70819999999998</v>
      </c>
      <c r="H5126" s="1">
        <v>-2.3282380000000002E-6</v>
      </c>
      <c r="I5126">
        <v>44.577069999999999</v>
      </c>
      <c r="J5126">
        <v>-422.68579999999997</v>
      </c>
      <c r="K5126">
        <v>1.1103529999999999</v>
      </c>
      <c r="L5126">
        <v>58.242550000000001</v>
      </c>
      <c r="M5126">
        <v>-7.8675489999999997E-3</v>
      </c>
      <c r="N5126">
        <v>0</v>
      </c>
      <c r="O5126">
        <v>-0.99986050000000004</v>
      </c>
      <c r="P5126">
        <v>2.0581780000000001E-2</v>
      </c>
      <c r="Q5126">
        <v>0.1501625</v>
      </c>
      <c r="R5126">
        <v>-0.98844710000000002</v>
      </c>
      <c r="S5126">
        <v>0.43151859999999997</v>
      </c>
      <c r="T5126">
        <v>-0.24261079999999999</v>
      </c>
      <c r="U5126">
        <v>-3.0642399999999999</v>
      </c>
      <c r="V5126">
        <v>-2.8379560000000002E-2</v>
      </c>
      <c r="W5126">
        <v>0.16470319999999999</v>
      </c>
      <c r="X5126">
        <v>0.9859348</v>
      </c>
      <c r="Y5126">
        <v>-0.1468091</v>
      </c>
      <c r="Z5126">
        <v>7.8113569999999993E-2</v>
      </c>
      <c r="AA5126">
        <v>0.98607579999999995</v>
      </c>
      <c r="AB5126">
        <v>36</v>
      </c>
      <c r="AC5126">
        <v>1.97759999999999</v>
      </c>
      <c r="AD5126">
        <v>-1.1103553282379901</v>
      </c>
      <c r="AE5126">
        <v>-13.665480000000001</v>
      </c>
      <c r="AF5126">
        <v>-2.0716677339753602</v>
      </c>
      <c r="AG5126">
        <v>-1.1103553282379901</v>
      </c>
      <c r="AH5126">
        <v>13.561798307931101</v>
      </c>
      <c r="AI5126">
        <v>94.627142216749206</v>
      </c>
      <c r="AJ5126">
        <v>98.685224733055193</v>
      </c>
      <c r="AK5126">
        <v>13.7639772413334</v>
      </c>
      <c r="AL5126">
        <v>80.520006680065194</v>
      </c>
      <c r="AM5126">
        <v>91.648770443409603</v>
      </c>
      <c r="AN5126">
        <v>0.99999998668353596</v>
      </c>
    </row>
    <row r="5127" spans="1:40" x14ac:dyDescent="0.25">
      <c r="A5127" t="str">
        <f>"20190312164131676"</f>
        <v>20190312164131676</v>
      </c>
      <c r="B5127" t="str">
        <f>"1552380091671076"</f>
        <v>1552380091671076</v>
      </c>
      <c r="C5127" t="s">
        <v>40</v>
      </c>
      <c r="D5127">
        <v>5.3540609999999997</v>
      </c>
      <c r="E5127">
        <v>0.45786739999999998</v>
      </c>
      <c r="F5127" t="s">
        <v>41</v>
      </c>
      <c r="G5127">
        <v>-420.70760000000001</v>
      </c>
      <c r="H5127" s="1">
        <v>-2.2853949999999998E-6</v>
      </c>
      <c r="I5127">
        <v>44.477510000000002</v>
      </c>
      <c r="J5127">
        <v>-422.68860000000001</v>
      </c>
      <c r="K5127">
        <v>1.1103559999999999</v>
      </c>
      <c r="L5127">
        <v>57.879119999999901</v>
      </c>
      <c r="M5127">
        <v>-7.7988919999999896E-3</v>
      </c>
      <c r="N5127">
        <v>0</v>
      </c>
      <c r="O5127">
        <v>-0.99986120000000001</v>
      </c>
      <c r="P5127">
        <v>2.2597369999999999E-2</v>
      </c>
      <c r="Q5127">
        <v>0.14894779999999999</v>
      </c>
      <c r="R5127">
        <v>-0.98858679999999999</v>
      </c>
      <c r="S5127">
        <v>0.44024659999999899</v>
      </c>
      <c r="T5127">
        <v>-0.24711250000000001</v>
      </c>
      <c r="U5127">
        <v>-3.0634459999999999</v>
      </c>
      <c r="V5127">
        <v>-3.0328299999999999E-2</v>
      </c>
      <c r="W5127">
        <v>0.16348679999999999</v>
      </c>
      <c r="X5127">
        <v>0.98607920000000004</v>
      </c>
      <c r="Y5127">
        <v>-0.14951349999999999</v>
      </c>
      <c r="Z5127">
        <v>7.9542150000000006E-2</v>
      </c>
      <c r="AA5127">
        <v>0.98555510000000002</v>
      </c>
      <c r="AB5127">
        <v>36</v>
      </c>
      <c r="AC5127">
        <v>1.9809999999999901</v>
      </c>
      <c r="AD5127">
        <v>-1.11035828539499</v>
      </c>
      <c r="AE5127">
        <v>-13.4016099999999</v>
      </c>
      <c r="AF5127">
        <v>-2.0715525668296801</v>
      </c>
      <c r="AG5127">
        <v>-1.11035828539499</v>
      </c>
      <c r="AH5127">
        <v>13.296428721061201</v>
      </c>
      <c r="AI5127">
        <v>94.716938407551496</v>
      </c>
      <c r="AJ5127">
        <v>98.855358258101205</v>
      </c>
      <c r="AK5127">
        <v>13.5025642858438</v>
      </c>
      <c r="AL5127">
        <v>80.590658782339403</v>
      </c>
      <c r="AM5127">
        <v>91.761659686657794</v>
      </c>
      <c r="AN5127">
        <v>0.99999996411388403</v>
      </c>
    </row>
    <row r="5128" spans="1:40" x14ac:dyDescent="0.25">
      <c r="A5128" t="str">
        <f>"20190312164131699"</f>
        <v>20190312164131699</v>
      </c>
      <c r="B5128" t="str">
        <f>"1552380091691572"</f>
        <v>1552380091691572</v>
      </c>
      <c r="C5128" t="s">
        <v>40</v>
      </c>
      <c r="D5128">
        <v>5.3372140000000003</v>
      </c>
      <c r="E5128">
        <v>0.45788020000000001</v>
      </c>
      <c r="F5128" t="s">
        <v>41</v>
      </c>
      <c r="G5128">
        <v>-420.72199999999998</v>
      </c>
      <c r="H5128" s="1">
        <v>-2.2496239999999998E-6</v>
      </c>
      <c r="I5128">
        <v>44.385240000000003</v>
      </c>
      <c r="J5128">
        <v>-422.69130000000001</v>
      </c>
      <c r="K5128">
        <v>1.110355</v>
      </c>
      <c r="L5128">
        <v>57.529600000000002</v>
      </c>
      <c r="M5128">
        <v>-7.7311009999999998E-3</v>
      </c>
      <c r="N5128">
        <v>0</v>
      </c>
      <c r="O5128">
        <v>-0.99986169999999996</v>
      </c>
      <c r="P5128">
        <v>2.4309279999999999E-2</v>
      </c>
      <c r="Q5128">
        <v>0.1491992</v>
      </c>
      <c r="R5128">
        <v>-0.98850830000000001</v>
      </c>
      <c r="S5128">
        <v>0.44631959999999998</v>
      </c>
      <c r="T5128">
        <v>-0.25199369999999999</v>
      </c>
      <c r="U5128">
        <v>-3.062408</v>
      </c>
      <c r="V5128">
        <v>-3.1972639999999997E-2</v>
      </c>
      <c r="W5128">
        <v>0.16373279999999901</v>
      </c>
      <c r="X5128">
        <v>0.98598649999999999</v>
      </c>
      <c r="Y5128">
        <v>-0.15138929999999901</v>
      </c>
      <c r="Z5128">
        <v>8.1107029999999997E-2</v>
      </c>
      <c r="AA5128">
        <v>0.98514109999999999</v>
      </c>
      <c r="AB5128">
        <v>36</v>
      </c>
      <c r="AC5128">
        <v>1.96930000000003</v>
      </c>
      <c r="AD5128">
        <v>-1.110357249624</v>
      </c>
      <c r="AE5128">
        <v>-13.144360000000001</v>
      </c>
      <c r="AF5128">
        <v>-2.0565196507885499</v>
      </c>
      <c r="AG5128">
        <v>-1.110357249624</v>
      </c>
      <c r="AH5128">
        <v>13.037747447189</v>
      </c>
      <c r="AI5128">
        <v>94.808668073029096</v>
      </c>
      <c r="AJ5128">
        <v>98.963742039032795</v>
      </c>
      <c r="AK5128">
        <v>13.245566231481201</v>
      </c>
      <c r="AL5128">
        <v>80.576372116313607</v>
      </c>
      <c r="AM5128">
        <v>91.857282678945793</v>
      </c>
      <c r="AN5128">
        <v>1.00000002884332</v>
      </c>
    </row>
    <row r="5129" spans="1:40" x14ac:dyDescent="0.25">
      <c r="A5129" t="str">
        <f>"20190312164131720"</f>
        <v>20190312164131720</v>
      </c>
      <c r="B5129" t="str">
        <f>"1552380091711092"</f>
        <v>1552380091711092</v>
      </c>
      <c r="C5129" t="s">
        <v>40</v>
      </c>
      <c r="D5129">
        <v>5.2965999999999998</v>
      </c>
      <c r="E5129">
        <v>0.45796569999999998</v>
      </c>
      <c r="F5129" t="s">
        <v>41</v>
      </c>
      <c r="G5129">
        <v>-420.69900000000001</v>
      </c>
      <c r="H5129" s="1">
        <v>-2.0929119999999998E-6</v>
      </c>
      <c r="I5129">
        <v>44.034190000000002</v>
      </c>
      <c r="J5129">
        <v>-422.69389999999999</v>
      </c>
      <c r="K5129">
        <v>1.1103620000000001</v>
      </c>
      <c r="L5129">
        <v>57.182009999999998</v>
      </c>
      <c r="M5129">
        <v>-7.6591380000000002E-3</v>
      </c>
      <c r="N5129">
        <v>0</v>
      </c>
      <c r="O5129">
        <v>-0.99986240000000004</v>
      </c>
      <c r="P5129">
        <v>2.6213719999999999E-2</v>
      </c>
      <c r="Q5129">
        <v>0.15031429999999901</v>
      </c>
      <c r="R5129">
        <v>-0.98829080000000002</v>
      </c>
      <c r="S5129">
        <v>0.4519958</v>
      </c>
      <c r="T5129">
        <v>-0.25191200000000002</v>
      </c>
      <c r="U5129">
        <v>-3.0617679999999998</v>
      </c>
      <c r="V5129">
        <v>-3.380503E-2</v>
      </c>
      <c r="W5129">
        <v>0.16484009999999999</v>
      </c>
      <c r="X5129">
        <v>0.98574079999999997</v>
      </c>
      <c r="Y5129">
        <v>-0.15313560000000001</v>
      </c>
      <c r="Z5129">
        <v>8.1075899999999895E-2</v>
      </c>
      <c r="AA5129">
        <v>0.98487369999999996</v>
      </c>
      <c r="AB5129">
        <v>36</v>
      </c>
      <c r="AC5129">
        <v>1.9948999999999699</v>
      </c>
      <c r="AD5129">
        <v>-1.110364092912</v>
      </c>
      <c r="AE5129">
        <v>-13.1478199999999</v>
      </c>
      <c r="AF5129">
        <v>-2.0810449294035398</v>
      </c>
      <c r="AG5129">
        <v>-1.110364092912</v>
      </c>
      <c r="AH5129">
        <v>13.0412338638503</v>
      </c>
      <c r="AI5129">
        <v>94.806056874216907</v>
      </c>
      <c r="AJ5129">
        <v>99.066489768586194</v>
      </c>
      <c r="AK5129">
        <v>13.252827513729301</v>
      </c>
      <c r="AL5129">
        <v>80.512054143364296</v>
      </c>
      <c r="AM5129">
        <v>91.964133745223407</v>
      </c>
      <c r="AN5129">
        <v>0.99999998170297499</v>
      </c>
    </row>
    <row r="5130" spans="1:40" x14ac:dyDescent="0.25">
      <c r="A5130" t="str">
        <f>"20190312164131743"</f>
        <v>20190312164131743</v>
      </c>
      <c r="B5130" t="str">
        <f>"1552380091731592"</f>
        <v>1552380091731592</v>
      </c>
      <c r="C5130" t="s">
        <v>40</v>
      </c>
      <c r="D5130">
        <v>5.312449</v>
      </c>
      <c r="E5130">
        <v>0.4580611</v>
      </c>
      <c r="F5130" t="s">
        <v>41</v>
      </c>
      <c r="G5130">
        <v>-420.66180000000003</v>
      </c>
      <c r="H5130" s="1">
        <v>-1.8812249999999999E-6</v>
      </c>
      <c r="I5130">
        <v>43.56382</v>
      </c>
      <c r="J5130">
        <v>-422.69650000000001</v>
      </c>
      <c r="K5130">
        <v>1.11036</v>
      </c>
      <c r="L5130">
        <v>56.825409999999998</v>
      </c>
      <c r="M5130">
        <v>-7.5803019999999997E-3</v>
      </c>
      <c r="N5130">
        <v>0</v>
      </c>
      <c r="O5130">
        <v>-0.9998629</v>
      </c>
      <c r="P5130">
        <v>2.9058529999999999E-2</v>
      </c>
      <c r="Q5130">
        <v>0.15087039999999999</v>
      </c>
      <c r="R5130">
        <v>-0.98812650000000002</v>
      </c>
      <c r="S5130">
        <v>0.45681759999999899</v>
      </c>
      <c r="T5130">
        <v>-0.24961249999999999</v>
      </c>
      <c r="U5130">
        <v>-3.061401</v>
      </c>
      <c r="V5130">
        <v>-3.6572359999999998E-2</v>
      </c>
      <c r="W5130">
        <v>0.16538889999999901</v>
      </c>
      <c r="X5130">
        <v>0.98555009999999998</v>
      </c>
      <c r="Y5130">
        <v>-0.15460119999999999</v>
      </c>
      <c r="Z5130">
        <v>8.033179E-2</v>
      </c>
      <c r="AA5130">
        <v>0.98470570000000002</v>
      </c>
      <c r="AB5130">
        <v>36</v>
      </c>
      <c r="AC5130">
        <v>2.03469999999998</v>
      </c>
      <c r="AD5130">
        <v>-1.110361881225</v>
      </c>
      <c r="AE5130">
        <v>-13.261589999999901</v>
      </c>
      <c r="AF5130">
        <v>-2.1206547212511802</v>
      </c>
      <c r="AG5130">
        <v>-1.110361881225</v>
      </c>
      <c r="AH5130">
        <v>13.1556791306162</v>
      </c>
      <c r="AI5130">
        <v>94.763228238012402</v>
      </c>
      <c r="AJ5130">
        <v>99.157130086439906</v>
      </c>
      <c r="AK5130">
        <v>13.371685508632501</v>
      </c>
      <c r="AL5130">
        <v>80.480172923420398</v>
      </c>
      <c r="AM5130">
        <v>92.125189605839196</v>
      </c>
      <c r="AN5130">
        <v>1.00000001268459</v>
      </c>
    </row>
    <row r="5131" spans="1:40" x14ac:dyDescent="0.25">
      <c r="A5131" t="str">
        <f>"20190312164131757"</f>
        <v>20190312164131757</v>
      </c>
      <c r="B5131" t="str">
        <f>"1552380091751109"</f>
        <v>1552380091751109</v>
      </c>
      <c r="C5131" t="s">
        <v>40</v>
      </c>
      <c r="D5131">
        <v>5.2699860000000003</v>
      </c>
      <c r="E5131">
        <v>0.458229</v>
      </c>
      <c r="F5131" t="s">
        <v>41</v>
      </c>
      <c r="G5131">
        <v>-420.62880000000001</v>
      </c>
      <c r="H5131" s="1">
        <v>-1.70895E-6</v>
      </c>
      <c r="I5131">
        <v>43.182749999999999</v>
      </c>
      <c r="J5131">
        <v>-422.69819999999999</v>
      </c>
      <c r="K5131">
        <v>1.1103620000000001</v>
      </c>
      <c r="L5131">
        <v>56.595730000000003</v>
      </c>
      <c r="M5131">
        <v>-7.5266739999999997E-3</v>
      </c>
      <c r="N5131">
        <v>0</v>
      </c>
      <c r="O5131">
        <v>-0.99986359999999996</v>
      </c>
      <c r="P5131">
        <v>3.0478749999999999E-2</v>
      </c>
      <c r="Q5131">
        <v>0.1510716</v>
      </c>
      <c r="R5131">
        <v>-0.98805330000000002</v>
      </c>
      <c r="S5131">
        <v>0.46386719999999998</v>
      </c>
      <c r="T5131">
        <v>-0.24908710000000001</v>
      </c>
      <c r="U5131">
        <v>-3.0604550000000001</v>
      </c>
      <c r="V5131">
        <v>-3.7940010000000003E-2</v>
      </c>
      <c r="W5131">
        <v>0.16558589999999901</v>
      </c>
      <c r="X5131">
        <v>0.98546529999999999</v>
      </c>
      <c r="Y5131">
        <v>-0.15681229999999999</v>
      </c>
      <c r="Z5131">
        <v>8.0160590000000004E-2</v>
      </c>
      <c r="AA5131">
        <v>0.98436990000000002</v>
      </c>
      <c r="AB5131">
        <v>35</v>
      </c>
      <c r="AC5131">
        <v>2.0693999999999702</v>
      </c>
      <c r="AD5131">
        <v>-1.11036370895</v>
      </c>
      <c r="AE5131">
        <v>-13.412979999999999</v>
      </c>
      <c r="AF5131">
        <v>-2.1558767114114401</v>
      </c>
      <c r="AG5131">
        <v>-1.11036370895</v>
      </c>
      <c r="AH5131">
        <v>13.3079437992553</v>
      </c>
      <c r="AI5131">
        <v>94.708391023732503</v>
      </c>
      <c r="AJ5131">
        <v>99.201930442926596</v>
      </c>
      <c r="AK5131">
        <v>13.527086904618301</v>
      </c>
      <c r="AL5131">
        <v>80.468727689378895</v>
      </c>
      <c r="AM5131">
        <v>92.204775130232505</v>
      </c>
      <c r="AN5131">
        <v>0.99999999607084999</v>
      </c>
    </row>
    <row r="5132" spans="1:40" x14ac:dyDescent="0.25">
      <c r="A5132" t="str">
        <f>"20190312164131770"</f>
        <v>20190312164131770</v>
      </c>
      <c r="B5132" t="str">
        <f>"1552380091761844"</f>
        <v>1552380091761844</v>
      </c>
      <c r="C5132" t="s">
        <v>40</v>
      </c>
      <c r="D5132">
        <v>5.3202850000000002</v>
      </c>
      <c r="E5132">
        <v>0.45826929999999999</v>
      </c>
      <c r="F5132" t="s">
        <v>41</v>
      </c>
      <c r="G5132">
        <v>-420.61860000000001</v>
      </c>
      <c r="H5132" s="1">
        <v>-1.613206E-6</v>
      </c>
      <c r="I5132">
        <v>42.96584</v>
      </c>
      <c r="J5132">
        <v>-422.69970000000001</v>
      </c>
      <c r="K5132">
        <v>1.110363</v>
      </c>
      <c r="L5132">
        <v>56.391629999999999</v>
      </c>
      <c r="M5132">
        <v>-7.4748009999999997E-3</v>
      </c>
      <c r="N5132">
        <v>0</v>
      </c>
      <c r="O5132">
        <v>-0.99986410000000003</v>
      </c>
      <c r="P5132">
        <v>3.1728979999999997E-2</v>
      </c>
      <c r="Q5132">
        <v>0.1510013</v>
      </c>
      <c r="R5132">
        <v>-0.98802469999999998</v>
      </c>
      <c r="S5132">
        <v>0.46688839999999998</v>
      </c>
      <c r="T5132">
        <v>-0.2492837</v>
      </c>
      <c r="U5132">
        <v>-3.0599980000000002</v>
      </c>
      <c r="V5132">
        <v>-3.9139680000000003E-2</v>
      </c>
      <c r="W5132">
        <v>0.16551260000000001</v>
      </c>
      <c r="X5132">
        <v>0.98543069999999999</v>
      </c>
      <c r="Y5132">
        <v>-0.15773199999999901</v>
      </c>
      <c r="Z5132">
        <v>8.0223459999999996E-2</v>
      </c>
      <c r="AA5132">
        <v>0.98421789999999998</v>
      </c>
      <c r="AB5132">
        <v>35</v>
      </c>
      <c r="AC5132">
        <v>2.08109999999999</v>
      </c>
      <c r="AD5132">
        <v>-1.1103646132060001</v>
      </c>
      <c r="AE5132">
        <v>-13.425789999999999</v>
      </c>
      <c r="AF5132">
        <v>-2.1669338905344699</v>
      </c>
      <c r="AG5132">
        <v>-1.1103646132060001</v>
      </c>
      <c r="AH5132">
        <v>13.320881349554501</v>
      </c>
      <c r="AI5132">
        <v>94.703344235344701</v>
      </c>
      <c r="AJ5132">
        <v>99.239485140443307</v>
      </c>
      <c r="AK5132">
        <v>13.541580114193399</v>
      </c>
      <c r="AL5132">
        <v>80.472986268302506</v>
      </c>
      <c r="AM5132">
        <v>92.274498200274607</v>
      </c>
      <c r="AN5132">
        <v>0.99999999990587596</v>
      </c>
    </row>
    <row r="5133" spans="1:40" x14ac:dyDescent="0.25">
      <c r="A5133" t="str">
        <f>"20190312164131789"</f>
        <v>20190312164131789</v>
      </c>
      <c r="B5133" t="str">
        <f>"1552380091781364"</f>
        <v>1552380091781364</v>
      </c>
      <c r="C5133" t="s">
        <v>40</v>
      </c>
      <c r="D5133">
        <v>5.2982430000000003</v>
      </c>
      <c r="E5133">
        <v>0.45841359999999998</v>
      </c>
      <c r="F5133" t="s">
        <v>41</v>
      </c>
      <c r="G5133">
        <v>-420.61309999999997</v>
      </c>
      <c r="H5133" s="1">
        <v>-1.5445880000000001E-6</v>
      </c>
      <c r="I5133">
        <v>42.80932</v>
      </c>
      <c r="J5133">
        <v>-422.70179999999999</v>
      </c>
      <c r="K5133">
        <v>1.1103730000000001</v>
      </c>
      <c r="L5133">
        <v>56.1057699999999</v>
      </c>
      <c r="M5133">
        <v>-7.3987289999999997E-3</v>
      </c>
      <c r="N5133">
        <v>0</v>
      </c>
      <c r="O5133">
        <v>-0.99986430000000004</v>
      </c>
      <c r="P5133">
        <v>3.4066069999999997E-2</v>
      </c>
      <c r="Q5133">
        <v>0.15013109999999999</v>
      </c>
      <c r="R5133">
        <v>-0.98807909999999999</v>
      </c>
      <c r="S5133">
        <v>0.4700317</v>
      </c>
      <c r="T5133">
        <v>-0.25011739999999999</v>
      </c>
      <c r="U5133">
        <v>-3.0595089999999998</v>
      </c>
      <c r="V5133">
        <v>-4.1404459999999997E-2</v>
      </c>
      <c r="W5133">
        <v>0.1646397</v>
      </c>
      <c r="X5133">
        <v>0.98548440000000004</v>
      </c>
      <c r="Y5133">
        <v>-0.158665</v>
      </c>
      <c r="Z5133">
        <v>8.0490480000000003E-2</v>
      </c>
      <c r="AA5133">
        <v>0.98404610000000003</v>
      </c>
      <c r="AB5133">
        <v>35</v>
      </c>
      <c r="AC5133">
        <v>2.08870000000001</v>
      </c>
      <c r="AD5133">
        <v>-1.110374544588</v>
      </c>
      <c r="AE5133">
        <v>-13.296449999999901</v>
      </c>
      <c r="AF5133">
        <v>-2.1722463739670999</v>
      </c>
      <c r="AG5133">
        <v>-1.110374544588</v>
      </c>
      <c r="AH5133">
        <v>13.19085590759</v>
      </c>
      <c r="AI5133">
        <v>94.748025723626796</v>
      </c>
      <c r="AJ5133">
        <v>99.351434911056103</v>
      </c>
      <c r="AK5133">
        <v>13.414554242064201</v>
      </c>
      <c r="AL5133">
        <v>80.523695745141097</v>
      </c>
      <c r="AM5133">
        <v>92.405828466796805</v>
      </c>
      <c r="AN5133">
        <v>1.0000000313836701</v>
      </c>
    </row>
    <row r="5134" spans="1:40" x14ac:dyDescent="0.25">
      <c r="A5134" t="str">
        <f>"20190312164131811"</f>
        <v>20190312164131811</v>
      </c>
      <c r="B5134" t="str">
        <f>"1552380091801861"</f>
        <v>1552380091801861</v>
      </c>
      <c r="C5134" t="s">
        <v>40</v>
      </c>
      <c r="D5134">
        <v>5.3299059999999896</v>
      </c>
      <c r="E5134">
        <v>0.45867750000000002</v>
      </c>
      <c r="F5134" t="s">
        <v>41</v>
      </c>
      <c r="G5134">
        <v>-420.61360000000002</v>
      </c>
      <c r="H5134" s="1">
        <v>-1.497246E-6</v>
      </c>
      <c r="I5134">
        <v>42.698680000000003</v>
      </c>
      <c r="J5134">
        <v>-422.70429999999999</v>
      </c>
      <c r="K5134">
        <v>1.110385</v>
      </c>
      <c r="L5134">
        <v>55.755400000000002</v>
      </c>
      <c r="M5134">
        <v>-7.2985810000000002E-3</v>
      </c>
      <c r="N5134">
        <v>0</v>
      </c>
      <c r="O5134">
        <v>-0.99986549999999996</v>
      </c>
      <c r="P5134">
        <v>3.6413510000000003E-2</v>
      </c>
      <c r="Q5134">
        <v>0.14935499999999999</v>
      </c>
      <c r="R5134">
        <v>-0.98811340000000003</v>
      </c>
      <c r="S5134">
        <v>0.47634890000000002</v>
      </c>
      <c r="T5134">
        <v>-0.25328479999999998</v>
      </c>
      <c r="U5134">
        <v>-3.0582579999999999</v>
      </c>
      <c r="V5134">
        <v>-4.3654900000000003E-2</v>
      </c>
      <c r="W5134">
        <v>0.1638589</v>
      </c>
      <c r="X5134">
        <v>0.98551739999999999</v>
      </c>
      <c r="Y5134">
        <v>-0.16059860000000001</v>
      </c>
      <c r="Z5134">
        <v>8.1510239999999998E-2</v>
      </c>
      <c r="AA5134">
        <v>0.98364839999999998</v>
      </c>
      <c r="AB5134">
        <v>35</v>
      </c>
      <c r="AC5134">
        <v>2.0906999999999698</v>
      </c>
      <c r="AD5134">
        <v>-1.110386497246</v>
      </c>
      <c r="AE5134">
        <v>-13.05672</v>
      </c>
      <c r="AF5134">
        <v>-2.1706436837529002</v>
      </c>
      <c r="AG5134">
        <v>-1.110386497246</v>
      </c>
      <c r="AH5134">
        <v>12.949795096860401</v>
      </c>
      <c r="AI5134">
        <v>94.833758055744795</v>
      </c>
      <c r="AJ5134">
        <v>99.515455508774906</v>
      </c>
      <c r="AK5134">
        <v>13.177323143406401</v>
      </c>
      <c r="AL5134">
        <v>80.569048096397097</v>
      </c>
      <c r="AM5134">
        <v>92.536340293727505</v>
      </c>
      <c r="AN5134">
        <v>1.00000001755299</v>
      </c>
    </row>
    <row r="5135" spans="1:40" x14ac:dyDescent="0.25">
      <c r="A5135" t="str">
        <f>"20190312164131833"</f>
        <v>20190312164131833</v>
      </c>
      <c r="B5135" t="str">
        <f>"1552380091821380"</f>
        <v>1552380091821380</v>
      </c>
      <c r="C5135" t="s">
        <v>40</v>
      </c>
      <c r="D5135">
        <v>5.3560619999999997</v>
      </c>
      <c r="E5135">
        <v>0.45880159999999998</v>
      </c>
      <c r="F5135" t="s">
        <v>41</v>
      </c>
      <c r="G5135">
        <v>-420.6071</v>
      </c>
      <c r="H5135" s="1">
        <v>-1.399059E-6</v>
      </c>
      <c r="I5135">
        <v>42.47381</v>
      </c>
      <c r="J5135">
        <v>-422.70670000000001</v>
      </c>
      <c r="K5135">
        <v>1.1103940000000001</v>
      </c>
      <c r="L5135">
        <v>55.411290000000001</v>
      </c>
      <c r="M5135">
        <v>-7.1943370000000003E-3</v>
      </c>
      <c r="N5135">
        <v>0</v>
      </c>
      <c r="O5135">
        <v>-0.99986629999999999</v>
      </c>
      <c r="P5135">
        <v>3.9079379999999997E-2</v>
      </c>
      <c r="Q5135">
        <v>0.1489394</v>
      </c>
      <c r="R5135">
        <v>-0.98807400000000001</v>
      </c>
      <c r="S5135">
        <v>0.48269649999999997</v>
      </c>
      <c r="T5135">
        <v>-0.2555711</v>
      </c>
      <c r="U5135">
        <v>-3.0569459999999999</v>
      </c>
      <c r="V5135">
        <v>-4.62196E-2</v>
      </c>
      <c r="W5135">
        <v>0.1634379</v>
      </c>
      <c r="X5135">
        <v>0.98547039999999997</v>
      </c>
      <c r="Y5135">
        <v>-0.16254360000000001</v>
      </c>
      <c r="Z5135">
        <v>8.224948E-2</v>
      </c>
      <c r="AA5135">
        <v>0.98326729999999996</v>
      </c>
      <c r="AB5135">
        <v>35</v>
      </c>
      <c r="AC5135">
        <v>2.0996000000000001</v>
      </c>
      <c r="AD5135">
        <v>-1.1103953990590001</v>
      </c>
      <c r="AE5135">
        <v>-12.937480000000001</v>
      </c>
      <c r="AF5135">
        <v>-2.17700707880996</v>
      </c>
      <c r="AG5135">
        <v>-1.1103953990590001</v>
      </c>
      <c r="AH5135">
        <v>12.829952846382801</v>
      </c>
      <c r="AI5135">
        <v>94.877090097638401</v>
      </c>
      <c r="AJ5135">
        <v>99.630314480340104</v>
      </c>
      <c r="AK5135">
        <v>13.060628920685501</v>
      </c>
      <c r="AL5135">
        <v>80.593499597281394</v>
      </c>
      <c r="AM5135">
        <v>92.685264643178499</v>
      </c>
      <c r="AN5135">
        <v>1.00000005392836</v>
      </c>
    </row>
    <row r="5136" spans="1:40" x14ac:dyDescent="0.25">
      <c r="A5136" t="str">
        <f>"20190312164131848"</f>
        <v>20190312164131848</v>
      </c>
      <c r="B5136" t="str">
        <f>"1552380091841876"</f>
        <v>1552380091841876</v>
      </c>
      <c r="C5136" t="s">
        <v>40</v>
      </c>
      <c r="D5136">
        <v>5.3797800000000002</v>
      </c>
      <c r="E5136">
        <v>0.45891029999999999</v>
      </c>
      <c r="F5136" t="s">
        <v>41</v>
      </c>
      <c r="G5136">
        <v>-420.5949</v>
      </c>
      <c r="H5136" s="1">
        <v>-1.29858E-6</v>
      </c>
      <c r="I5136">
        <v>42.247169999999997</v>
      </c>
      <c r="J5136">
        <v>-422.70839999999998</v>
      </c>
      <c r="K5136">
        <v>1.1103959999999999</v>
      </c>
      <c r="L5136">
        <v>55.168729999999996</v>
      </c>
      <c r="M5136">
        <v>-7.1181009999999999E-3</v>
      </c>
      <c r="N5136">
        <v>0</v>
      </c>
      <c r="O5136">
        <v>-0.99986679999999994</v>
      </c>
      <c r="P5136">
        <v>4.0435600000000002E-2</v>
      </c>
      <c r="Q5136">
        <v>0.149094</v>
      </c>
      <c r="R5136">
        <v>-0.98799630000000005</v>
      </c>
      <c r="S5136">
        <v>0.49020390000000003</v>
      </c>
      <c r="T5136">
        <v>-0.25774849999999999</v>
      </c>
      <c r="U5136">
        <v>-3.0556950000000001</v>
      </c>
      <c r="V5136">
        <v>-4.7501219999999997E-2</v>
      </c>
      <c r="W5136">
        <v>0.16358789999999901</v>
      </c>
      <c r="X5136">
        <v>0.9853845</v>
      </c>
      <c r="Y5136">
        <v>-0.16487669999999999</v>
      </c>
      <c r="Z5136">
        <v>8.294675E-2</v>
      </c>
      <c r="AA5136">
        <v>0.98282020000000003</v>
      </c>
      <c r="AB5136">
        <v>35</v>
      </c>
      <c r="AC5136">
        <v>2.1134999999999802</v>
      </c>
      <c r="AD5136">
        <v>-1.1103972985799999</v>
      </c>
      <c r="AE5136">
        <v>-12.921559999999999</v>
      </c>
      <c r="AF5136">
        <v>-2.1896847182346</v>
      </c>
      <c r="AG5136">
        <v>-1.1103972985799999</v>
      </c>
      <c r="AH5136">
        <v>12.8140259974153</v>
      </c>
      <c r="AI5136">
        <v>94.882165849363304</v>
      </c>
      <c r="AJ5136">
        <v>99.697146323808298</v>
      </c>
      <c r="AK5136">
        <v>13.047105563625999</v>
      </c>
      <c r="AL5136">
        <v>80.584787374434498</v>
      </c>
      <c r="AM5136">
        <v>92.759850798417702</v>
      </c>
      <c r="AN5136">
        <v>0.99999998988407401</v>
      </c>
    </row>
    <row r="5137" spans="1:40" x14ac:dyDescent="0.25">
      <c r="A5137" t="str">
        <f>"20190312164131868"</f>
        <v>20190312164131868</v>
      </c>
      <c r="B5137" t="str">
        <f>"1552380091861399"</f>
        <v>1552380091861399</v>
      </c>
      <c r="C5137" t="s">
        <v>40</v>
      </c>
      <c r="D5137">
        <v>5.4232529999999999</v>
      </c>
      <c r="E5137">
        <v>0.45899079999999898</v>
      </c>
      <c r="F5137" t="s">
        <v>41</v>
      </c>
      <c r="G5137">
        <v>-420.59120000000001</v>
      </c>
      <c r="H5137" s="1">
        <v>-1.2047699999999999E-6</v>
      </c>
      <c r="I5137">
        <v>42.030740000000002</v>
      </c>
      <c r="J5137">
        <v>-422.71039999999999</v>
      </c>
      <c r="K5137">
        <v>1.1103970000000001</v>
      </c>
      <c r="L5137">
        <v>54.866239999999998</v>
      </c>
      <c r="M5137">
        <v>-7.021078E-3</v>
      </c>
      <c r="N5137">
        <v>0</v>
      </c>
      <c r="O5137">
        <v>-0.99986750000000002</v>
      </c>
      <c r="P5137">
        <v>4.280805E-2</v>
      </c>
      <c r="Q5137">
        <v>0.1487947</v>
      </c>
      <c r="R5137">
        <v>-0.98794110000000002</v>
      </c>
      <c r="S5137">
        <v>0.4923401</v>
      </c>
      <c r="T5137">
        <v>-0.25822519999999999</v>
      </c>
      <c r="U5137">
        <v>-3.0552670000000002</v>
      </c>
      <c r="V5137">
        <v>-4.9778269999999999E-2</v>
      </c>
      <c r="W5137">
        <v>0.1632836</v>
      </c>
      <c r="X5137">
        <v>0.98532260000000005</v>
      </c>
      <c r="Y5137">
        <v>-0.16547029999999999</v>
      </c>
      <c r="Z5137">
        <v>8.3101850000000005E-2</v>
      </c>
      <c r="AA5137">
        <v>0.98270729999999995</v>
      </c>
      <c r="AB5137">
        <v>35</v>
      </c>
      <c r="AC5137">
        <v>2.11919999999997</v>
      </c>
      <c r="AD5137">
        <v>-1.1103982047699901</v>
      </c>
      <c r="AE5137">
        <v>-12.8355</v>
      </c>
      <c r="AF5137">
        <v>-2.1932975327244502</v>
      </c>
      <c r="AG5137">
        <v>-1.1103982047699901</v>
      </c>
      <c r="AH5137">
        <v>12.7275777473528</v>
      </c>
      <c r="AI5137">
        <v>94.913990969986102</v>
      </c>
      <c r="AJ5137">
        <v>99.777543726088695</v>
      </c>
      <c r="AK5137">
        <v>12.9628227464207</v>
      </c>
      <c r="AL5137">
        <v>80.602460376195197</v>
      </c>
      <c r="AM5137">
        <v>92.892110749371597</v>
      </c>
      <c r="AN5137">
        <v>1.0000000181319499</v>
      </c>
    </row>
    <row r="5138" spans="1:40" x14ac:dyDescent="0.25">
      <c r="A5138" t="str">
        <f>"20190312164131888"</f>
        <v>20190312164131888</v>
      </c>
      <c r="B5138" t="str">
        <f>"1552380091881892"</f>
        <v>1552380091881892</v>
      </c>
      <c r="C5138" t="s">
        <v>40</v>
      </c>
      <c r="D5138">
        <v>5.3980540000000001</v>
      </c>
      <c r="E5138">
        <v>0.4591209</v>
      </c>
      <c r="F5138" t="s">
        <v>41</v>
      </c>
      <c r="G5138">
        <v>-420.58229999999998</v>
      </c>
      <c r="H5138" s="1">
        <v>-1.114688E-6</v>
      </c>
      <c r="I5138">
        <v>41.826320000000003</v>
      </c>
      <c r="J5138">
        <v>-422.71260000000001</v>
      </c>
      <c r="K5138">
        <v>1.1103940000000001</v>
      </c>
      <c r="L5138">
        <v>54.5274</v>
      </c>
      <c r="M5138">
        <v>-6.9102030000000002E-3</v>
      </c>
      <c r="N5138">
        <v>0</v>
      </c>
      <c r="O5138">
        <v>-0.99986850000000005</v>
      </c>
      <c r="P5138">
        <v>4.564381E-2</v>
      </c>
      <c r="Q5138">
        <v>0.14835429999999999</v>
      </c>
      <c r="R5138">
        <v>-0.9878808</v>
      </c>
      <c r="S5138">
        <v>0.49844359999999999</v>
      </c>
      <c r="T5138">
        <v>-0.26007649999999999</v>
      </c>
      <c r="U5138">
        <v>-3.0541990000000001</v>
      </c>
      <c r="V5138">
        <v>-5.2505179999999999E-2</v>
      </c>
      <c r="W5138">
        <v>0.1628376</v>
      </c>
      <c r="X5138">
        <v>0.98525479999999999</v>
      </c>
      <c r="Y5138">
        <v>-0.1673201</v>
      </c>
      <c r="Z5138">
        <v>8.3695839999999994E-2</v>
      </c>
      <c r="AA5138">
        <v>0.98234359999999998</v>
      </c>
      <c r="AB5138">
        <v>35</v>
      </c>
      <c r="AC5138">
        <v>2.1303000000000298</v>
      </c>
      <c r="AD5138">
        <v>-1.110395114688</v>
      </c>
      <c r="AE5138">
        <v>-12.7010799999999</v>
      </c>
      <c r="AF5138">
        <v>-2.2016583969218999</v>
      </c>
      <c r="AG5138">
        <v>-1.110395114688</v>
      </c>
      <c r="AH5138">
        <v>12.592441578033799</v>
      </c>
      <c r="AI5138">
        <v>94.964357148291398</v>
      </c>
      <c r="AJ5138">
        <v>99.917332295905197</v>
      </c>
      <c r="AK5138">
        <v>12.8315962336591</v>
      </c>
      <c r="AL5138">
        <v>80.628360295575504</v>
      </c>
      <c r="AM5138">
        <v>93.0504619223764</v>
      </c>
      <c r="AN5138">
        <v>0.99999994941181403</v>
      </c>
    </row>
    <row r="5139" spans="1:40" x14ac:dyDescent="0.25">
      <c r="A5139" t="str">
        <f>"20190312164131904"</f>
        <v>20190312164131904</v>
      </c>
      <c r="B5139" t="str">
        <f>"1552380091891652"</f>
        <v>1552380091891652</v>
      </c>
      <c r="C5139" t="s">
        <v>40</v>
      </c>
      <c r="D5139">
        <v>5.4392809999999896</v>
      </c>
      <c r="E5139">
        <v>0.4591594</v>
      </c>
      <c r="F5139" t="s">
        <v>41</v>
      </c>
      <c r="G5139">
        <v>-420.56470000000002</v>
      </c>
      <c r="H5139" s="1">
        <v>-1.0059260000000001E-6</v>
      </c>
      <c r="I5139">
        <v>41.583710000000004</v>
      </c>
      <c r="J5139">
        <v>-422.71420000000001</v>
      </c>
      <c r="K5139">
        <v>1.110395</v>
      </c>
      <c r="L5139">
        <v>54.294159999999998</v>
      </c>
      <c r="M5139">
        <v>-6.8330769999999999E-3</v>
      </c>
      <c r="N5139">
        <v>0</v>
      </c>
      <c r="O5139">
        <v>-0.99986870000000005</v>
      </c>
      <c r="P5139">
        <v>4.7021800000000002E-2</v>
      </c>
      <c r="Q5139">
        <v>0.14798510000000001</v>
      </c>
      <c r="R5139">
        <v>-0.98787130000000001</v>
      </c>
      <c r="S5139">
        <v>0.50659179999999904</v>
      </c>
      <c r="T5139">
        <v>-0.26188349999999999</v>
      </c>
      <c r="U5139">
        <v>-3.0527340000000001</v>
      </c>
      <c r="V5139">
        <v>-5.3807029999999999E-2</v>
      </c>
      <c r="W5139">
        <v>0.162465</v>
      </c>
      <c r="X5139">
        <v>0.98524610000000001</v>
      </c>
      <c r="Y5139">
        <v>-0.16986329999999999</v>
      </c>
      <c r="Z5139">
        <v>8.4276390000000007E-2</v>
      </c>
      <c r="AA5139">
        <v>0.98185739999999999</v>
      </c>
      <c r="AB5139">
        <v>35</v>
      </c>
      <c r="AC5139">
        <v>2.1494999999999802</v>
      </c>
      <c r="AD5139">
        <v>-1.1103960059260001</v>
      </c>
      <c r="AE5139">
        <v>-12.71045</v>
      </c>
      <c r="AF5139">
        <v>-2.2198400664749198</v>
      </c>
      <c r="AG5139">
        <v>-1.1103960059260001</v>
      </c>
      <c r="AH5139">
        <v>12.601960840824001</v>
      </c>
      <c r="AI5139">
        <v>94.959528546489196</v>
      </c>
      <c r="AJ5139">
        <v>99.990185789336195</v>
      </c>
      <c r="AK5139">
        <v>12.8440681345268</v>
      </c>
      <c r="AL5139">
        <v>80.649997067294805</v>
      </c>
      <c r="AM5139">
        <v>93.125976556390398</v>
      </c>
      <c r="AN5139">
        <v>0.999999975133815</v>
      </c>
    </row>
    <row r="5140" spans="1:40" x14ac:dyDescent="0.25">
      <c r="A5140" t="str">
        <f>"20190312164131922"</f>
        <v>20190312164131922</v>
      </c>
      <c r="B5140" t="str">
        <f>"1552380091911172"</f>
        <v>1552380091911172</v>
      </c>
      <c r="C5140" t="s">
        <v>40</v>
      </c>
      <c r="D5140">
        <v>5.4904380000000002</v>
      </c>
      <c r="E5140">
        <v>0.4592774</v>
      </c>
      <c r="F5140" t="s">
        <v>41</v>
      </c>
      <c r="G5140">
        <v>-420.56220000000002</v>
      </c>
      <c r="H5140" s="1">
        <v>-9.3734040000000002E-7</v>
      </c>
      <c r="I5140">
        <v>41.42539</v>
      </c>
      <c r="J5140">
        <v>-422.71600000000001</v>
      </c>
      <c r="K5140">
        <v>1.110392</v>
      </c>
      <c r="L5140">
        <v>54.00385</v>
      </c>
      <c r="M5140">
        <v>-6.7370249999999998E-3</v>
      </c>
      <c r="N5140">
        <v>0</v>
      </c>
      <c r="O5140">
        <v>-0.99986940000000002</v>
      </c>
      <c r="P5140">
        <v>4.9607730000000003E-2</v>
      </c>
      <c r="Q5140">
        <v>0.14655770000000001</v>
      </c>
      <c r="R5140">
        <v>-0.98795739999999999</v>
      </c>
      <c r="S5140">
        <v>0.51037600000000005</v>
      </c>
      <c r="T5140">
        <v>-0.26334540000000001</v>
      </c>
      <c r="U5140">
        <v>-3.0520019999999999</v>
      </c>
      <c r="V5140">
        <v>-5.6298899999999999E-2</v>
      </c>
      <c r="W5140">
        <v>0.1610354</v>
      </c>
      <c r="X5140">
        <v>0.98534160000000004</v>
      </c>
      <c r="Y5140">
        <v>-0.17098450000000001</v>
      </c>
      <c r="Z5140">
        <v>8.474661E-2</v>
      </c>
      <c r="AA5140">
        <v>0.98162229999999995</v>
      </c>
      <c r="AB5140">
        <v>35</v>
      </c>
      <c r="AC5140">
        <v>2.15379999999998</v>
      </c>
      <c r="AD5140">
        <v>-1.1103929373404</v>
      </c>
      <c r="AE5140">
        <v>-12.57846</v>
      </c>
      <c r="AF5140">
        <v>-2.2216814980723201</v>
      </c>
      <c r="AG5140">
        <v>-1.1103929373404</v>
      </c>
      <c r="AH5140">
        <v>12.4692590367584</v>
      </c>
      <c r="AI5140">
        <v>95.010296307440797</v>
      </c>
      <c r="AJ5140">
        <v>100.102530413542</v>
      </c>
      <c r="AK5140">
        <v>12.7142149612138</v>
      </c>
      <c r="AL5140">
        <v>80.733000525387894</v>
      </c>
      <c r="AM5140">
        <v>93.270120794913893</v>
      </c>
      <c r="AN5140">
        <v>1.0000000174424599</v>
      </c>
    </row>
    <row r="5141" spans="1:40" x14ac:dyDescent="0.25">
      <c r="A5141" t="str">
        <f>"20190312164131945"</f>
        <v>20190312164131945</v>
      </c>
      <c r="B5141" t="str">
        <f>"1552380091941429"</f>
        <v>1552380091941429</v>
      </c>
      <c r="C5141" t="s">
        <v>40</v>
      </c>
      <c r="D5141">
        <v>5.4168190000000003</v>
      </c>
      <c r="E5141">
        <v>0.47747289999999998</v>
      </c>
      <c r="F5141" t="s">
        <v>41</v>
      </c>
      <c r="G5141">
        <v>-420.57650000000001</v>
      </c>
      <c r="H5141" s="1">
        <v>-9.243498E-7</v>
      </c>
      <c r="I5141">
        <v>41.386209999999998</v>
      </c>
      <c r="J5141">
        <v>-422.7183</v>
      </c>
      <c r="K5141">
        <v>1.110387</v>
      </c>
      <c r="L5141">
        <v>53.652949999999997</v>
      </c>
      <c r="M5141">
        <v>-6.620974E-3</v>
      </c>
      <c r="N5141">
        <v>0</v>
      </c>
      <c r="O5141">
        <v>-0.99987060000000005</v>
      </c>
      <c r="P5141">
        <v>5.2131240000000002E-2</v>
      </c>
      <c r="Q5141">
        <v>0.14479629999999999</v>
      </c>
      <c r="R5141">
        <v>-0.98808759999999995</v>
      </c>
      <c r="S5141">
        <v>0.51724239999999999</v>
      </c>
      <c r="T5141">
        <v>-0.26844639999999997</v>
      </c>
      <c r="U5141">
        <v>-3.0504150000000001</v>
      </c>
      <c r="V5141">
        <v>-5.8708209999999997E-2</v>
      </c>
      <c r="W5141">
        <v>0.15927079999999999</v>
      </c>
      <c r="X5141">
        <v>0.98548780000000002</v>
      </c>
      <c r="Y5141">
        <v>-0.17307790000000001</v>
      </c>
      <c r="Z5141">
        <v>8.6388099999999995E-2</v>
      </c>
      <c r="AA5141">
        <v>0.98111219999999999</v>
      </c>
      <c r="AB5141">
        <v>35</v>
      </c>
      <c r="AC5141">
        <v>2.1417999999999799</v>
      </c>
      <c r="AD5141">
        <v>-1.1103879243498</v>
      </c>
      <c r="AE5141">
        <v>-12.26674</v>
      </c>
      <c r="AF5141">
        <v>-2.2054429607245698</v>
      </c>
      <c r="AG5141">
        <v>-1.1103879243498</v>
      </c>
      <c r="AH5141">
        <v>12.1556332230709</v>
      </c>
      <c r="AI5141">
        <v>95.135957263291701</v>
      </c>
      <c r="AJ5141">
        <v>100.283527388347</v>
      </c>
      <c r="AK5141">
        <v>12.403884836992599</v>
      </c>
      <c r="AL5141">
        <v>80.835426819029706</v>
      </c>
      <c r="AM5141">
        <v>93.409237446569705</v>
      </c>
      <c r="AN5141">
        <v>1.0000000228014401</v>
      </c>
    </row>
    <row r="5142" spans="1:40" x14ac:dyDescent="0.25">
      <c r="A5142" t="str">
        <f>"20190312164131959"</f>
        <v>20190312164131959</v>
      </c>
      <c r="B5142" t="str">
        <f>"1552380091951188"</f>
        <v>1552380091951188</v>
      </c>
      <c r="C5142" t="s">
        <v>40</v>
      </c>
      <c r="D5142">
        <v>5.5449320000000002</v>
      </c>
      <c r="E5142">
        <v>0.47764469999999998</v>
      </c>
      <c r="F5142" t="s">
        <v>51</v>
      </c>
      <c r="G5142">
        <v>-420.81760000000003</v>
      </c>
      <c r="H5142" s="1">
        <v>-9.888899999999999E-7</v>
      </c>
      <c r="I5142">
        <v>38.246420000000001</v>
      </c>
      <c r="J5142">
        <v>-422.71980000000002</v>
      </c>
      <c r="K5142">
        <v>1.1103860000000001</v>
      </c>
      <c r="L5142">
        <v>53.421840000000003</v>
      </c>
      <c r="M5142">
        <v>-6.5445499999999997E-3</v>
      </c>
      <c r="N5142">
        <v>0</v>
      </c>
      <c r="O5142">
        <v>-0.99987110000000001</v>
      </c>
      <c r="P5142">
        <v>5.3284529999999997E-2</v>
      </c>
      <c r="Q5142">
        <v>0.14413210000000001</v>
      </c>
      <c r="R5142">
        <v>-0.98812310000000003</v>
      </c>
      <c r="S5142">
        <v>0.37609860000000001</v>
      </c>
      <c r="T5142">
        <v>-0.21971479999999999</v>
      </c>
      <c r="U5142">
        <v>-3.0485229999999999</v>
      </c>
      <c r="V5142">
        <v>-5.978609E-2</v>
      </c>
      <c r="W5142">
        <v>0.15860469999999999</v>
      </c>
      <c r="X5142">
        <v>0.98553040000000003</v>
      </c>
      <c r="Y5142">
        <v>-0.12862399999999999</v>
      </c>
      <c r="Z5142">
        <v>7.1316210000000005E-2</v>
      </c>
      <c r="AA5142">
        <v>0.98912580000000005</v>
      </c>
      <c r="AB5142">
        <v>35</v>
      </c>
      <c r="AC5142">
        <v>1.9021999999999899</v>
      </c>
      <c r="AD5142">
        <v>-1.11038698889</v>
      </c>
      <c r="AE5142">
        <v>-15.175420000000001</v>
      </c>
      <c r="AF5142">
        <v>-1.9909916187363801</v>
      </c>
      <c r="AG5142">
        <v>-1.11038698889</v>
      </c>
      <c r="AH5142">
        <v>15.0831406438658</v>
      </c>
      <c r="AI5142">
        <v>94.174311074597995</v>
      </c>
      <c r="AJ5142">
        <v>97.519633997205702</v>
      </c>
      <c r="AK5142">
        <v>15.254446518101201</v>
      </c>
      <c r="AL5142">
        <v>80.874082685610801</v>
      </c>
      <c r="AM5142">
        <v>93.471529472043699</v>
      </c>
      <c r="AN5142">
        <v>0.99999999837186904</v>
      </c>
    </row>
    <row r="5143" spans="1:40" x14ac:dyDescent="0.25">
      <c r="A5143" t="str">
        <f>"20190312164131979"</f>
        <v>20190312164131979</v>
      </c>
      <c r="B5143" t="str">
        <f>"1552380091971684"</f>
        <v>1552380091971684</v>
      </c>
      <c r="C5143" t="s">
        <v>40</v>
      </c>
      <c r="D5143">
        <v>5.5669979999999999</v>
      </c>
      <c r="E5143">
        <v>0.47767379999999998</v>
      </c>
      <c r="F5143" t="s">
        <v>51</v>
      </c>
      <c r="G5143">
        <v>-420.81509999999997</v>
      </c>
      <c r="H5143" s="1">
        <v>-1.097673E-6</v>
      </c>
      <c r="I5143">
        <v>38.074719999999999</v>
      </c>
      <c r="J5143">
        <v>-422.72160000000002</v>
      </c>
      <c r="K5143">
        <v>1.1103860000000001</v>
      </c>
      <c r="L5143">
        <v>53.11835</v>
      </c>
      <c r="M5143">
        <v>-6.4448719999999999E-3</v>
      </c>
      <c r="N5143">
        <v>0</v>
      </c>
      <c r="O5143">
        <v>-0.99987179999999998</v>
      </c>
      <c r="P5143">
        <v>5.5274320000000002E-2</v>
      </c>
      <c r="Q5143">
        <v>0.14296510000000001</v>
      </c>
      <c r="R5143">
        <v>-0.98818320000000004</v>
      </c>
      <c r="S5143">
        <v>0.37826539999999997</v>
      </c>
      <c r="T5143">
        <v>-0.2205144</v>
      </c>
      <c r="U5143">
        <v>-3.0478209999999999</v>
      </c>
      <c r="V5143">
        <v>-6.1677889999999999E-2</v>
      </c>
      <c r="W5143">
        <v>0.15743509999999999</v>
      </c>
      <c r="X5143">
        <v>0.98560139999999996</v>
      </c>
      <c r="Y5143">
        <v>-0.129243</v>
      </c>
      <c r="Z5143">
        <v>7.1584789999999995E-2</v>
      </c>
      <c r="AA5143">
        <v>0.98902570000000001</v>
      </c>
      <c r="AB5143">
        <v>35</v>
      </c>
      <c r="AC5143">
        <v>1.90650000000005</v>
      </c>
      <c r="AD5143">
        <v>-1.1103870976729999</v>
      </c>
      <c r="AE5143">
        <v>-15.043629999999901</v>
      </c>
      <c r="AF5143">
        <v>-1.99274008456644</v>
      </c>
      <c r="AG5143">
        <v>-1.1103870976729999</v>
      </c>
      <c r="AH5143">
        <v>14.950863057676299</v>
      </c>
      <c r="AI5143">
        <v>94.210408704311206</v>
      </c>
      <c r="AJ5143">
        <v>97.591976279521106</v>
      </c>
      <c r="AK5143">
        <v>15.123897603485201</v>
      </c>
      <c r="AL5143">
        <v>80.941948942093703</v>
      </c>
      <c r="AM5143">
        <v>93.580839632096598</v>
      </c>
      <c r="AN5143">
        <v>1.0000000462544001</v>
      </c>
    </row>
    <row r="5144" spans="1:40" x14ac:dyDescent="0.25">
      <c r="A5144" t="str">
        <f>"20190312164132000"</f>
        <v>20190312164132000</v>
      </c>
      <c r="B5144" t="str">
        <f>"1552380091991205"</f>
        <v>1552380091991205</v>
      </c>
      <c r="C5144" t="s">
        <v>40</v>
      </c>
      <c r="D5144">
        <v>5.5515290000000004</v>
      </c>
      <c r="E5144">
        <v>0.47889680000000001</v>
      </c>
      <c r="F5144" t="s">
        <v>51</v>
      </c>
      <c r="G5144">
        <v>-420.82010000000002</v>
      </c>
      <c r="H5144" s="1">
        <v>-1.1323670000000001E-6</v>
      </c>
      <c r="I5144">
        <v>38.021239999999999</v>
      </c>
      <c r="J5144">
        <v>-422.72379999999998</v>
      </c>
      <c r="K5144">
        <v>1.110387</v>
      </c>
      <c r="L5144">
        <v>52.773679999999999</v>
      </c>
      <c r="M5144">
        <v>-6.3319450000000003E-3</v>
      </c>
      <c r="N5144">
        <v>0</v>
      </c>
      <c r="O5144">
        <v>-0.99987250000000005</v>
      </c>
      <c r="P5144">
        <v>5.7259600000000001E-2</v>
      </c>
      <c r="Q5144">
        <v>0.14231359999999901</v>
      </c>
      <c r="R5144">
        <v>-0.98816440000000005</v>
      </c>
      <c r="S5144">
        <v>0.3837585</v>
      </c>
      <c r="T5144">
        <v>-0.2240945</v>
      </c>
      <c r="U5144">
        <v>-3.0468440000000001</v>
      </c>
      <c r="V5144">
        <v>-6.3551220000000005E-2</v>
      </c>
      <c r="W5144">
        <v>0.15677859999999999</v>
      </c>
      <c r="X5144">
        <v>0.98558699999999999</v>
      </c>
      <c r="Y5144">
        <v>-0.1309148</v>
      </c>
      <c r="Z5144">
        <v>7.2747839999999994E-2</v>
      </c>
      <c r="AA5144">
        <v>0.98872099999999996</v>
      </c>
      <c r="AB5144">
        <v>35</v>
      </c>
      <c r="AC5144">
        <v>1.90369999999995</v>
      </c>
      <c r="AD5144">
        <v>-1.110388132367</v>
      </c>
      <c r="AE5144">
        <v>-14.75244</v>
      </c>
      <c r="AF5144">
        <v>-1.9860164423384099</v>
      </c>
      <c r="AG5144">
        <v>-1.110388132367</v>
      </c>
      <c r="AH5144">
        <v>14.6584049149808</v>
      </c>
      <c r="AI5144">
        <v>94.292863273944704</v>
      </c>
      <c r="AJ5144">
        <v>97.715823264922605</v>
      </c>
      <c r="AK5144">
        <v>14.833949499889499</v>
      </c>
      <c r="AL5144">
        <v>80.980036285076196</v>
      </c>
      <c r="AM5144">
        <v>93.689357533962095</v>
      </c>
      <c r="AN5144">
        <v>1.00000001077522</v>
      </c>
    </row>
    <row r="5145" spans="1:40" x14ac:dyDescent="0.25">
      <c r="A5145" t="str">
        <f>"20190312164132024"</f>
        <v>20190312164132024</v>
      </c>
      <c r="B5145" t="str">
        <f>"1552380092011700"</f>
        <v>1552380092011700</v>
      </c>
      <c r="C5145" t="s">
        <v>40</v>
      </c>
      <c r="D5145">
        <v>5.4862820000000001</v>
      </c>
      <c r="E5145">
        <v>0.47917019999999999</v>
      </c>
      <c r="F5145" t="s">
        <v>41</v>
      </c>
      <c r="G5145">
        <v>-421.1019</v>
      </c>
      <c r="H5145" s="1">
        <v>-3.8106780000000002E-7</v>
      </c>
      <c r="I5145">
        <v>39.793950000000002</v>
      </c>
      <c r="J5145">
        <v>-422.72590000000002</v>
      </c>
      <c r="K5145">
        <v>1.1103889999999901</v>
      </c>
      <c r="L5145">
        <v>52.420560000000002</v>
      </c>
      <c r="M5145">
        <v>-6.2165010000000001E-3</v>
      </c>
      <c r="N5145">
        <v>0</v>
      </c>
      <c r="O5145">
        <v>-0.99987300000000001</v>
      </c>
      <c r="P5145">
        <v>5.9229829999999997E-2</v>
      </c>
      <c r="Q5145">
        <v>0.14215810000000001</v>
      </c>
      <c r="R5145">
        <v>-0.98807040000000002</v>
      </c>
      <c r="S5145">
        <v>0.38128659999999998</v>
      </c>
      <c r="T5145">
        <v>-0.26104500000000003</v>
      </c>
      <c r="U5145">
        <v>-3.051453</v>
      </c>
      <c r="V5145">
        <v>-6.5407279999999998E-2</v>
      </c>
      <c r="W5145">
        <v>0.1566176</v>
      </c>
      <c r="X5145">
        <v>0.98549120000000001</v>
      </c>
      <c r="Y5145">
        <v>-0.1297111</v>
      </c>
      <c r="Z5145">
        <v>8.4547520000000001E-2</v>
      </c>
      <c r="AA5145">
        <v>0.9879407</v>
      </c>
      <c r="AB5145">
        <v>35</v>
      </c>
      <c r="AC5145">
        <v>1.6240000000000201</v>
      </c>
      <c r="AD5145">
        <v>-1.1103893810677901</v>
      </c>
      <c r="AE5145">
        <v>-12.6266099999999</v>
      </c>
      <c r="AF5145">
        <v>-1.6896163588711099</v>
      </c>
      <c r="AG5145">
        <v>-1.1103893810677901</v>
      </c>
      <c r="AH5145">
        <v>12.5210135653601</v>
      </c>
      <c r="AI5145">
        <v>95.022563799548706</v>
      </c>
      <c r="AJ5145">
        <v>97.685209894867199</v>
      </c>
      <c r="AK5145">
        <v>12.683199467077801</v>
      </c>
      <c r="AL5145">
        <v>80.989376598532303</v>
      </c>
      <c r="AM5145">
        <v>93.797165223671797</v>
      </c>
      <c r="AN5145">
        <v>1.0000000450920901</v>
      </c>
    </row>
    <row r="5146" spans="1:40" x14ac:dyDescent="0.25">
      <c r="A5146" t="str">
        <f>"20190312164132045"</f>
        <v>20190312164132045</v>
      </c>
      <c r="B5146" t="str">
        <f>"1552380092040980"</f>
        <v>1552380092040980</v>
      </c>
      <c r="C5146" t="s">
        <v>40</v>
      </c>
      <c r="D5146">
        <v>5.513261</v>
      </c>
      <c r="E5146">
        <v>0.4796453</v>
      </c>
      <c r="F5146" t="s">
        <v>51</v>
      </c>
      <c r="G5146">
        <v>-420.99919999999997</v>
      </c>
      <c r="H5146" s="1">
        <v>-7.2941140000000001E-7</v>
      </c>
      <c r="I5146">
        <v>38.694420000000001</v>
      </c>
      <c r="J5146">
        <v>-422.72789999999998</v>
      </c>
      <c r="K5146">
        <v>1.1103889999999901</v>
      </c>
      <c r="L5146">
        <v>52.077759999999998</v>
      </c>
      <c r="M5146">
        <v>-6.1046729999999997E-3</v>
      </c>
      <c r="N5146">
        <v>0</v>
      </c>
      <c r="O5146">
        <v>-0.99987420000000005</v>
      </c>
      <c r="P5146">
        <v>6.1307449999999999E-2</v>
      </c>
      <c r="Q5146">
        <v>0.14191489999999901</v>
      </c>
      <c r="R5146">
        <v>-0.98797880000000005</v>
      </c>
      <c r="S5146">
        <v>0.38351439999999998</v>
      </c>
      <c r="T5146">
        <v>-0.24662819999999999</v>
      </c>
      <c r="U5146">
        <v>-3.0487060000000001</v>
      </c>
      <c r="V5146">
        <v>-6.7373630000000004E-2</v>
      </c>
      <c r="W5146">
        <v>0.15636839999999999</v>
      </c>
      <c r="X5146">
        <v>0.9853982</v>
      </c>
      <c r="Y5146">
        <v>-0.13046749999999999</v>
      </c>
      <c r="Z5146">
        <v>7.997261E-2</v>
      </c>
      <c r="AA5146">
        <v>0.98822189999999999</v>
      </c>
      <c r="AB5146">
        <v>35</v>
      </c>
      <c r="AC5146">
        <v>1.7286999999999999</v>
      </c>
      <c r="AD5146">
        <v>-1.11038972941139</v>
      </c>
      <c r="AE5146">
        <v>-13.383339999999899</v>
      </c>
      <c r="AF5146">
        <v>-1.7982023038472099</v>
      </c>
      <c r="AG5146">
        <v>-1.11038972941139</v>
      </c>
      <c r="AH5146">
        <v>13.2826033240211</v>
      </c>
      <c r="AI5146">
        <v>94.735660090558099</v>
      </c>
      <c r="AJ5146">
        <v>97.709844069400404</v>
      </c>
      <c r="AK5146">
        <v>13.4496857933574</v>
      </c>
      <c r="AL5146">
        <v>81.003831935513404</v>
      </c>
      <c r="AM5146">
        <v>93.9113388860426</v>
      </c>
      <c r="AN5146">
        <v>0.99999994755058697</v>
      </c>
    </row>
    <row r="5147" spans="1:40" x14ac:dyDescent="0.25">
      <c r="A5147" t="str">
        <f>"20190312164132060"</f>
        <v>20190312164132060</v>
      </c>
      <c r="B5147" t="str">
        <f>"1552380092051717"</f>
        <v>1552380092051717</v>
      </c>
      <c r="C5147" t="s">
        <v>40</v>
      </c>
      <c r="D5147">
        <v>5.4762529999999998</v>
      </c>
      <c r="E5147">
        <v>0.47965580000000002</v>
      </c>
      <c r="F5147" t="s">
        <v>51</v>
      </c>
      <c r="G5147">
        <v>-420.9248</v>
      </c>
      <c r="H5147" s="1">
        <v>-1.2715710000000001E-6</v>
      </c>
      <c r="I5147">
        <v>37.82517</v>
      </c>
      <c r="J5147">
        <v>-422.72919999999999</v>
      </c>
      <c r="K5147">
        <v>1.11039</v>
      </c>
      <c r="L5147">
        <v>51.838619999999999</v>
      </c>
      <c r="M5147">
        <v>-6.0263900000000004E-3</v>
      </c>
      <c r="N5147">
        <v>0</v>
      </c>
      <c r="O5147">
        <v>-0.99987470000000001</v>
      </c>
      <c r="P5147">
        <v>6.2672210000000006E-2</v>
      </c>
      <c r="Q5147">
        <v>0.14176839999999999</v>
      </c>
      <c r="R5147">
        <v>-0.98791430000000002</v>
      </c>
      <c r="S5147">
        <v>0.38543699999999997</v>
      </c>
      <c r="T5147">
        <v>-0.23736160000000001</v>
      </c>
      <c r="U5147">
        <v>-3.0466920000000002</v>
      </c>
      <c r="V5147">
        <v>-6.8660819999999997E-2</v>
      </c>
      <c r="W5147">
        <v>0.1562182</v>
      </c>
      <c r="X5147">
        <v>0.98533320000000002</v>
      </c>
      <c r="Y5147">
        <v>-0.1311137</v>
      </c>
      <c r="Z5147">
        <v>7.7030039999999994E-2</v>
      </c>
      <c r="AA5147">
        <v>0.98837019999999998</v>
      </c>
      <c r="AB5147">
        <v>35</v>
      </c>
      <c r="AC5147">
        <v>1.80439999999998</v>
      </c>
      <c r="AD5147">
        <v>-1.110391271571</v>
      </c>
      <c r="AE5147">
        <v>-14.013450000000001</v>
      </c>
      <c r="AF5147">
        <v>-1.87723264870804</v>
      </c>
      <c r="AG5147">
        <v>-1.110391271571</v>
      </c>
      <c r="AH5147">
        <v>13.9163701714551</v>
      </c>
      <c r="AI5147">
        <v>94.521205026466504</v>
      </c>
      <c r="AJ5147">
        <v>97.682474186971504</v>
      </c>
      <c r="AK5147">
        <v>14.086246126712499</v>
      </c>
      <c r="AL5147">
        <v>81.012545082919999</v>
      </c>
      <c r="AM5147">
        <v>93.986089468171599</v>
      </c>
      <c r="AN5147">
        <v>0.99999997461827494</v>
      </c>
    </row>
    <row r="5148" spans="1:40" x14ac:dyDescent="0.25">
      <c r="A5148" t="str">
        <f>"20190312164132080"</f>
        <v>20190312164132080</v>
      </c>
      <c r="B5148" t="str">
        <f>"1552380092071236"</f>
        <v>1552380092071236</v>
      </c>
      <c r="C5148" t="s">
        <v>40</v>
      </c>
      <c r="D5148">
        <v>5.602932</v>
      </c>
      <c r="E5148">
        <v>0.4800082</v>
      </c>
      <c r="F5148" t="s">
        <v>51</v>
      </c>
      <c r="G5148">
        <v>-420.91410000000002</v>
      </c>
      <c r="H5148" s="1">
        <v>-1.4023919999999999E-6</v>
      </c>
      <c r="I5148">
        <v>37.617019999999997</v>
      </c>
      <c r="J5148">
        <v>-422.73090000000002</v>
      </c>
      <c r="K5148">
        <v>1.110392</v>
      </c>
      <c r="L5148">
        <v>51.548490000000001</v>
      </c>
      <c r="M5148">
        <v>-5.9310319999999897E-3</v>
      </c>
      <c r="N5148">
        <v>0</v>
      </c>
      <c r="O5148">
        <v>-0.99987539999999997</v>
      </c>
      <c r="P5148">
        <v>6.5422330000000001E-2</v>
      </c>
      <c r="Q5148">
        <v>0.1414407</v>
      </c>
      <c r="R5148">
        <v>-0.98778279999999996</v>
      </c>
      <c r="S5148">
        <v>0.38879390000000003</v>
      </c>
      <c r="T5148">
        <v>-0.23783840000000001</v>
      </c>
      <c r="U5148">
        <v>-3.046173</v>
      </c>
      <c r="V5148">
        <v>-7.1315680000000006E-2</v>
      </c>
      <c r="W5148">
        <v>0.15588469999999999</v>
      </c>
      <c r="X5148">
        <v>0.98519749999999995</v>
      </c>
      <c r="Y5148">
        <v>-0.13211039999999999</v>
      </c>
      <c r="Z5148">
        <v>7.7186439999999995E-2</v>
      </c>
      <c r="AA5148">
        <v>0.98822520000000003</v>
      </c>
      <c r="AB5148">
        <v>35</v>
      </c>
      <c r="AC5148">
        <v>1.8168</v>
      </c>
      <c r="AD5148">
        <v>-1.1103934023919999</v>
      </c>
      <c r="AE5148">
        <v>-13.9314699999999</v>
      </c>
      <c r="AF5148">
        <v>-1.8876139141185699</v>
      </c>
      <c r="AG5148">
        <v>-1.1103934023919999</v>
      </c>
      <c r="AH5148">
        <v>13.834034105099599</v>
      </c>
      <c r="AI5148">
        <v>94.547072986227704</v>
      </c>
      <c r="AJ5148">
        <v>97.769861101734804</v>
      </c>
      <c r="AK5148">
        <v>14.006304274072701</v>
      </c>
      <c r="AL5148">
        <v>81.031890815503601</v>
      </c>
      <c r="AM5148">
        <v>94.1402591129538</v>
      </c>
      <c r="AN5148">
        <v>1.0000000399571001</v>
      </c>
    </row>
    <row r="5149" spans="1:40" x14ac:dyDescent="0.25">
      <c r="A5149" t="str">
        <f>"20190312164132101"</f>
        <v>20190312164132101</v>
      </c>
      <c r="B5149" t="str">
        <f>"1552380092091733"</f>
        <v>1552380092091733</v>
      </c>
      <c r="C5149" t="s">
        <v>40</v>
      </c>
      <c r="D5149">
        <v>5.4843310000000001</v>
      </c>
      <c r="E5149">
        <v>0.4801955</v>
      </c>
      <c r="F5149" t="s">
        <v>51</v>
      </c>
      <c r="G5149">
        <v>-420.88799999999998</v>
      </c>
      <c r="H5149" s="1">
        <v>-1.590122E-6</v>
      </c>
      <c r="I5149">
        <v>37.315950000000001</v>
      </c>
      <c r="J5149">
        <v>-422.73270000000002</v>
      </c>
      <c r="K5149">
        <v>1.1103940000000001</v>
      </c>
      <c r="L5149">
        <v>51.217440000000003</v>
      </c>
      <c r="M5149">
        <v>-5.8224189999999997E-3</v>
      </c>
      <c r="N5149">
        <v>0</v>
      </c>
      <c r="O5149">
        <v>-0.99987579999999998</v>
      </c>
      <c r="P5149">
        <v>6.7973480000000003E-2</v>
      </c>
      <c r="Q5149">
        <v>0.14083899999999999</v>
      </c>
      <c r="R5149">
        <v>-0.98769660000000004</v>
      </c>
      <c r="S5149">
        <v>0.3942871</v>
      </c>
      <c r="T5149">
        <v>-0.23756579999999999</v>
      </c>
      <c r="U5149">
        <v>-3.045013</v>
      </c>
      <c r="V5149">
        <v>-7.3758879999999999E-2</v>
      </c>
      <c r="W5149">
        <v>0.1552771</v>
      </c>
      <c r="X5149">
        <v>0.98511349999999998</v>
      </c>
      <c r="Y5149">
        <v>-0.13380439999999999</v>
      </c>
      <c r="Z5149">
        <v>7.7109949999999997E-2</v>
      </c>
      <c r="AA5149">
        <v>0.98800330000000003</v>
      </c>
      <c r="AB5149">
        <v>35</v>
      </c>
      <c r="AC5149">
        <v>1.84469999999998</v>
      </c>
      <c r="AD5149">
        <v>-1.110395590122</v>
      </c>
      <c r="AE5149">
        <v>-13.901490000000001</v>
      </c>
      <c r="AF5149">
        <v>-1.91361974182144</v>
      </c>
      <c r="AG5149">
        <v>-1.110395590122</v>
      </c>
      <c r="AH5149">
        <v>13.8039647994189</v>
      </c>
      <c r="AI5149">
        <v>94.555609365085402</v>
      </c>
      <c r="AJ5149">
        <v>97.892512345311403</v>
      </c>
      <c r="AK5149">
        <v>13.9801417398554</v>
      </c>
      <c r="AL5149">
        <v>81.067132318566195</v>
      </c>
      <c r="AM5149">
        <v>94.281944981526195</v>
      </c>
      <c r="AN5149">
        <v>0.99999997902275695</v>
      </c>
    </row>
    <row r="5150" spans="1:40" x14ac:dyDescent="0.25">
      <c r="A5150" t="str">
        <f>"20190312164132123"</f>
        <v>20190312164132123</v>
      </c>
      <c r="B5150" t="str">
        <f>"1552380092111253"</f>
        <v>1552380092111253</v>
      </c>
      <c r="C5150" t="s">
        <v>40</v>
      </c>
      <c r="D5150">
        <v>5.5980270000000001</v>
      </c>
      <c r="E5150">
        <v>0.48033720000000002</v>
      </c>
      <c r="F5150" t="s">
        <v>51</v>
      </c>
      <c r="G5150">
        <v>-420.87049999999999</v>
      </c>
      <c r="H5150" s="1">
        <v>-1.7574239999999999E-6</v>
      </c>
      <c r="I5150">
        <v>37.048920000000003</v>
      </c>
      <c r="J5150">
        <v>-422.7346</v>
      </c>
      <c r="K5150">
        <v>1.110395</v>
      </c>
      <c r="L5150">
        <v>50.868650000000002</v>
      </c>
      <c r="M5150">
        <v>-5.7078850000000002E-3</v>
      </c>
      <c r="N5150">
        <v>0</v>
      </c>
      <c r="O5150">
        <v>-0.9998766</v>
      </c>
      <c r="P5150">
        <v>7.1040240000000004E-2</v>
      </c>
      <c r="Q5150">
        <v>0.14000179999999901</v>
      </c>
      <c r="R5150">
        <v>-0.98759980000000003</v>
      </c>
      <c r="S5150">
        <v>0.40005489999999999</v>
      </c>
      <c r="T5150">
        <v>-0.23854890000000001</v>
      </c>
      <c r="U5150">
        <v>-3.0438540000000001</v>
      </c>
      <c r="V5150">
        <v>-7.6711719999999997E-2</v>
      </c>
      <c r="W5150">
        <v>0.15443390000000001</v>
      </c>
      <c r="X5150">
        <v>0.98502060000000002</v>
      </c>
      <c r="Y5150">
        <v>-0.1355761</v>
      </c>
      <c r="Z5150">
        <v>7.7437510000000001E-2</v>
      </c>
      <c r="AA5150">
        <v>0.98773599999999995</v>
      </c>
      <c r="AB5150">
        <v>35</v>
      </c>
      <c r="AC5150">
        <v>1.8641000000000001</v>
      </c>
      <c r="AD5150">
        <v>-1.1103967574239999</v>
      </c>
      <c r="AE5150">
        <v>-13.8197299999999</v>
      </c>
      <c r="AF5150">
        <v>-1.9307177058356699</v>
      </c>
      <c r="AG5150">
        <v>-1.1103967574239999</v>
      </c>
      <c r="AH5150">
        <v>13.7218595641961</v>
      </c>
      <c r="AI5150">
        <v>94.581459747175103</v>
      </c>
      <c r="AJ5150">
        <v>98.009155844919903</v>
      </c>
      <c r="AK5150">
        <v>13.901441713651399</v>
      </c>
      <c r="AL5150">
        <v>81.116034652386304</v>
      </c>
      <c r="AM5150">
        <v>94.453109106554606</v>
      </c>
      <c r="AN5150">
        <v>1.0000000499394599</v>
      </c>
    </row>
    <row r="5151" spans="1:40" x14ac:dyDescent="0.25">
      <c r="A5151" t="str">
        <f>"20190312164132146"</f>
        <v>20190312164132146</v>
      </c>
      <c r="B5151" t="str">
        <f>"1552380092141513"</f>
        <v>1552380092141513</v>
      </c>
      <c r="C5151" t="s">
        <v>40</v>
      </c>
      <c r="D5151">
        <v>5.5149650000000001</v>
      </c>
      <c r="E5151">
        <v>0.48052080000000003</v>
      </c>
      <c r="F5151" t="s">
        <v>51</v>
      </c>
      <c r="G5151">
        <v>-420.85</v>
      </c>
      <c r="H5151" s="1">
        <v>-1.9013229999999999E-6</v>
      </c>
      <c r="I5151">
        <v>36.818040000000003</v>
      </c>
      <c r="J5151">
        <v>-422.73649999999998</v>
      </c>
      <c r="K5151">
        <v>1.1103909999999999</v>
      </c>
      <c r="L5151">
        <v>50.516570000000002</v>
      </c>
      <c r="M5151">
        <v>-5.5915579999999999E-3</v>
      </c>
      <c r="N5151">
        <v>0</v>
      </c>
      <c r="O5151">
        <v>-0.99987700000000002</v>
      </c>
      <c r="P5151">
        <v>7.3961959999999993E-2</v>
      </c>
      <c r="Q5151">
        <v>0.13958999999999999</v>
      </c>
      <c r="R5151">
        <v>-0.98744350000000003</v>
      </c>
      <c r="S5151">
        <v>0.40808109999999997</v>
      </c>
      <c r="T5151">
        <v>-0.2404374</v>
      </c>
      <c r="U5151">
        <v>-3.0424190000000002</v>
      </c>
      <c r="V5151">
        <v>-7.9517450000000003E-2</v>
      </c>
      <c r="W5151">
        <v>0.1540155</v>
      </c>
      <c r="X5151">
        <v>0.98486359999999995</v>
      </c>
      <c r="Y5151">
        <v>-0.13807469999999999</v>
      </c>
      <c r="Z5151">
        <v>7.8056169999999994E-2</v>
      </c>
      <c r="AA5151">
        <v>0.98734120000000003</v>
      </c>
      <c r="AB5151">
        <v>35</v>
      </c>
      <c r="AC5151">
        <v>1.8864999999999501</v>
      </c>
      <c r="AD5151">
        <v>-1.1103929013229901</v>
      </c>
      <c r="AE5151">
        <v>-13.6985299999999</v>
      </c>
      <c r="AF5151">
        <v>-1.9504974394880601</v>
      </c>
      <c r="AG5151">
        <v>-1.1103929013229901</v>
      </c>
      <c r="AH5151">
        <v>13.6000687385338</v>
      </c>
      <c r="AI5151">
        <v>94.620555227210602</v>
      </c>
      <c r="AJ5151">
        <v>98.161603411230502</v>
      </c>
      <c r="AK5151">
        <v>13.7840227201497</v>
      </c>
      <c r="AL5151">
        <v>81.1402975348105</v>
      </c>
      <c r="AM5151">
        <v>94.616022761795094</v>
      </c>
      <c r="AN5151">
        <v>1.00000005484985</v>
      </c>
    </row>
    <row r="5152" spans="1:40" x14ac:dyDescent="0.25">
      <c r="A5152" t="str">
        <f>"20190312164132162"</f>
        <v>20190312164132162</v>
      </c>
      <c r="B5152" t="str">
        <f>"1552380092151269"</f>
        <v>1552380092151269</v>
      </c>
      <c r="C5152" t="s">
        <v>40</v>
      </c>
      <c r="D5152">
        <v>5.54617</v>
      </c>
      <c r="E5152">
        <v>0.48056480000000001</v>
      </c>
      <c r="F5152" t="s">
        <v>51</v>
      </c>
      <c r="G5152">
        <v>-420.82139999999998</v>
      </c>
      <c r="H5152" s="1">
        <v>-2.1221509999999999E-6</v>
      </c>
      <c r="I5152">
        <v>36.46434</v>
      </c>
      <c r="J5152">
        <v>-422.73779999999999</v>
      </c>
      <c r="K5152">
        <v>1.11039</v>
      </c>
      <c r="L5152">
        <v>50.279510000000002</v>
      </c>
      <c r="M5152">
        <v>-5.511274E-3</v>
      </c>
      <c r="N5152">
        <v>0</v>
      </c>
      <c r="O5152">
        <v>-0.99987780000000004</v>
      </c>
      <c r="P5152">
        <v>7.5541300000000006E-2</v>
      </c>
      <c r="Q5152">
        <v>0.13958309999999999</v>
      </c>
      <c r="R5152">
        <v>-0.98732489999999995</v>
      </c>
      <c r="S5152">
        <v>0.41445920000000003</v>
      </c>
      <c r="T5152">
        <v>-0.24030280000000001</v>
      </c>
      <c r="U5152">
        <v>-3.041077</v>
      </c>
      <c r="V5152">
        <v>-8.1017469999999994E-2</v>
      </c>
      <c r="W5152">
        <v>0.15400369999999999</v>
      </c>
      <c r="X5152">
        <v>0.98474309999999998</v>
      </c>
      <c r="Y5152">
        <v>-0.14008619999999999</v>
      </c>
      <c r="Z5152">
        <v>7.802481E-2</v>
      </c>
      <c r="AA5152">
        <v>0.98706020000000005</v>
      </c>
      <c r="AB5152">
        <v>35</v>
      </c>
      <c r="AC5152">
        <v>1.9164000000000101</v>
      </c>
      <c r="AD5152">
        <v>-1.110392122151</v>
      </c>
      <c r="AE5152">
        <v>-13.815169999999901</v>
      </c>
      <c r="AF5152">
        <v>-1.9799688773344399</v>
      </c>
      <c r="AG5152">
        <v>-1.110392122151</v>
      </c>
      <c r="AH5152">
        <v>13.7174538712821</v>
      </c>
      <c r="AI5152">
        <v>94.580589019363899</v>
      </c>
      <c r="AJ5152">
        <v>98.213312812103197</v>
      </c>
      <c r="AK5152">
        <v>13.9040205743123</v>
      </c>
      <c r="AL5152">
        <v>81.140981044475097</v>
      </c>
      <c r="AM5152">
        <v>94.703285493202202</v>
      </c>
      <c r="AN5152">
        <v>0.99999997152825004</v>
      </c>
    </row>
    <row r="5153" spans="1:40" x14ac:dyDescent="0.25">
      <c r="A5153" t="str">
        <f>"20190312164132179"</f>
        <v>20190312164132179</v>
      </c>
      <c r="B5153" t="str">
        <f>"1552380092171764"</f>
        <v>1552380092171764</v>
      </c>
      <c r="C5153" t="s">
        <v>40</v>
      </c>
      <c r="D5153">
        <v>5.5432750000000004</v>
      </c>
      <c r="E5153">
        <v>0.48072480000000001</v>
      </c>
      <c r="F5153" t="s">
        <v>51</v>
      </c>
      <c r="G5153">
        <v>-420.83760000000001</v>
      </c>
      <c r="H5153" s="1">
        <v>-2.1092789999999999E-6</v>
      </c>
      <c r="I5153">
        <v>36.488140000000001</v>
      </c>
      <c r="J5153">
        <v>-422.73919999999998</v>
      </c>
      <c r="K5153">
        <v>1.1103889999999901</v>
      </c>
      <c r="L5153">
        <v>49.99579</v>
      </c>
      <c r="M5153">
        <v>-5.4096730000000003E-3</v>
      </c>
      <c r="N5153">
        <v>0</v>
      </c>
      <c r="O5153">
        <v>-0.99987820000000005</v>
      </c>
      <c r="P5153">
        <v>8.0742040000000001E-2</v>
      </c>
      <c r="Q5153">
        <v>0.1387476</v>
      </c>
      <c r="R5153">
        <v>-0.98703070000000004</v>
      </c>
      <c r="S5153">
        <v>0.4190063</v>
      </c>
      <c r="T5153">
        <v>-0.24484790000000001</v>
      </c>
      <c r="U5153">
        <v>-3.041077</v>
      </c>
      <c r="V5153">
        <v>-8.611692E-2</v>
      </c>
      <c r="W5153">
        <v>0.15315889999999999</v>
      </c>
      <c r="X5153">
        <v>0.98444209999999999</v>
      </c>
      <c r="Y5153">
        <v>-0.1414185</v>
      </c>
      <c r="Z5153">
        <v>7.9475760000000006E-2</v>
      </c>
      <c r="AA5153">
        <v>0.98675449999999998</v>
      </c>
      <c r="AB5153">
        <v>35</v>
      </c>
      <c r="AC5153">
        <v>1.90159999999997</v>
      </c>
      <c r="AD5153">
        <v>-1.11039110927899</v>
      </c>
      <c r="AE5153">
        <v>-13.5076499999999</v>
      </c>
      <c r="AF5153">
        <v>-1.9616535188623401</v>
      </c>
      <c r="AG5153">
        <v>-1.11039110927899</v>
      </c>
      <c r="AH5153">
        <v>13.4083170051975</v>
      </c>
      <c r="AI5153">
        <v>94.684425762524199</v>
      </c>
      <c r="AJ5153">
        <v>98.323394486103794</v>
      </c>
      <c r="AK5153">
        <v>13.596470786770301</v>
      </c>
      <c r="AL5153">
        <v>81.189966020156305</v>
      </c>
      <c r="AM5153">
        <v>94.999387541592696</v>
      </c>
      <c r="AN5153">
        <v>1.0000000104059501</v>
      </c>
    </row>
    <row r="5154" spans="1:40" x14ac:dyDescent="0.25">
      <c r="A5154" t="str">
        <f>"20190312164132203"</f>
        <v>20190312164132203</v>
      </c>
      <c r="B5154" t="str">
        <f>"1552380092191792"</f>
        <v>1552380092191792</v>
      </c>
      <c r="C5154" t="s">
        <v>40</v>
      </c>
      <c r="D5154">
        <v>5.671214</v>
      </c>
      <c r="E5154">
        <v>0.48089199999999999</v>
      </c>
      <c r="F5154" t="s">
        <v>51</v>
      </c>
      <c r="G5154">
        <v>-420.7928</v>
      </c>
      <c r="H5154" s="1">
        <v>-2.2065500000000001E-6</v>
      </c>
      <c r="I5154">
        <v>36.325299999999999</v>
      </c>
      <c r="J5154">
        <v>-422.74090000000001</v>
      </c>
      <c r="K5154">
        <v>1.110395</v>
      </c>
      <c r="L5154">
        <v>49.646389999999997</v>
      </c>
      <c r="M5154">
        <v>-5.2641939999999998E-3</v>
      </c>
      <c r="N5154">
        <v>0</v>
      </c>
      <c r="O5154">
        <v>-0.99987890000000001</v>
      </c>
      <c r="P5154">
        <v>8.5105719999999996E-2</v>
      </c>
      <c r="Q5154">
        <v>0.1373326</v>
      </c>
      <c r="R5154">
        <v>-0.98686209999999996</v>
      </c>
      <c r="S5154">
        <v>0.43264770000000002</v>
      </c>
      <c r="T5154">
        <v>-0.24682190000000001</v>
      </c>
      <c r="U5154">
        <v>-3.0387270000000002</v>
      </c>
      <c r="V5154">
        <v>-9.0339870000000003E-2</v>
      </c>
      <c r="W5154">
        <v>0.15173420000000001</v>
      </c>
      <c r="X5154">
        <v>0.98428419999999905</v>
      </c>
      <c r="Y5154">
        <v>-0.14571339999999999</v>
      </c>
      <c r="Z5154">
        <v>8.0123639999999996E-2</v>
      </c>
      <c r="AA5154">
        <v>0.98607699999999998</v>
      </c>
      <c r="AB5154">
        <v>35</v>
      </c>
      <c r="AC5154">
        <v>1.9481000000000099</v>
      </c>
      <c r="AD5154">
        <v>-1.1103972065500001</v>
      </c>
      <c r="AE5154">
        <v>-13.32109</v>
      </c>
      <c r="AF5154">
        <v>-2.0045686665137898</v>
      </c>
      <c r="AG5154">
        <v>-1.1103972065500001</v>
      </c>
      <c r="AH5154">
        <v>13.22071139468</v>
      </c>
      <c r="AI5154">
        <v>94.746956709249204</v>
      </c>
      <c r="AJ5154">
        <v>98.621708769826</v>
      </c>
      <c r="AK5154">
        <v>13.417842124444</v>
      </c>
      <c r="AL5154">
        <v>81.272560384801693</v>
      </c>
      <c r="AM5154">
        <v>95.244046223700806</v>
      </c>
      <c r="AN5154">
        <v>0.99999997296544796</v>
      </c>
    </row>
    <row r="5155" spans="1:40" x14ac:dyDescent="0.25">
      <c r="A5155" t="str">
        <f>"20190312164132224"</f>
        <v>20190312164132224</v>
      </c>
      <c r="B5155" t="str">
        <f>"1552380092211313"</f>
        <v>1552380092211313</v>
      </c>
      <c r="C5155" t="s">
        <v>40</v>
      </c>
      <c r="D5155">
        <v>5.5968530000000003</v>
      </c>
      <c r="E5155">
        <v>0.48109390000000002</v>
      </c>
      <c r="F5155" t="s">
        <v>51</v>
      </c>
      <c r="G5155">
        <v>-420.77300000000002</v>
      </c>
      <c r="H5155" s="1">
        <v>-2.2870100000000001E-6</v>
      </c>
      <c r="I5155">
        <v>36.194380000000002</v>
      </c>
      <c r="J5155">
        <v>-422.74250000000001</v>
      </c>
      <c r="K5155">
        <v>1.110409</v>
      </c>
      <c r="L5155">
        <v>49.307279999999999</v>
      </c>
      <c r="M5155">
        <v>-5.0891779999999998E-3</v>
      </c>
      <c r="N5155">
        <v>0</v>
      </c>
      <c r="O5155">
        <v>-0.99988010000000005</v>
      </c>
      <c r="P5155">
        <v>8.9895729999999993E-2</v>
      </c>
      <c r="Q5155">
        <v>0.13546810000000001</v>
      </c>
      <c r="R5155">
        <v>-0.98669549999999995</v>
      </c>
      <c r="S5155">
        <v>0.44421389999999999</v>
      </c>
      <c r="T5155">
        <v>-0.25064809999999998</v>
      </c>
      <c r="U5155">
        <v>-3.0364990000000001</v>
      </c>
      <c r="V5155">
        <v>-9.4964030000000005E-2</v>
      </c>
      <c r="W5155">
        <v>0.14985770000000001</v>
      </c>
      <c r="X5155">
        <v>0.98413649999999997</v>
      </c>
      <c r="Y5155">
        <v>-0.14930489999999999</v>
      </c>
      <c r="Z5155">
        <v>8.1372479999999997E-2</v>
      </c>
      <c r="AA5155">
        <v>0.98543729999999996</v>
      </c>
      <c r="AB5155">
        <v>35</v>
      </c>
      <c r="AC5155">
        <v>1.96949999999998</v>
      </c>
      <c r="AD5155">
        <v>-1.11041128701</v>
      </c>
      <c r="AE5155">
        <v>-13.1129</v>
      </c>
      <c r="AF5155">
        <v>-2.02203568712704</v>
      </c>
      <c r="AG5155">
        <v>-1.11041128701</v>
      </c>
      <c r="AH5155">
        <v>13.0114611597108</v>
      </c>
      <c r="AI5155">
        <v>94.820279630891207</v>
      </c>
      <c r="AJ5155">
        <v>98.833347106725199</v>
      </c>
      <c r="AK5155">
        <v>13.2143771346589</v>
      </c>
      <c r="AL5155">
        <v>81.381320483653695</v>
      </c>
      <c r="AM5155">
        <v>95.511678757495901</v>
      </c>
      <c r="AN5155">
        <v>1.00000007393768</v>
      </c>
    </row>
    <row r="5156" spans="1:40" x14ac:dyDescent="0.25">
      <c r="A5156" t="str">
        <f>"20190312164132247"</f>
        <v>20190312164132247</v>
      </c>
      <c r="B5156" t="str">
        <f>"1552380092241569"</f>
        <v>1552380092241569</v>
      </c>
      <c r="C5156" t="s">
        <v>40</v>
      </c>
      <c r="D5156">
        <v>5.6362129999999997</v>
      </c>
      <c r="E5156">
        <v>0.48152440000000002</v>
      </c>
      <c r="F5156" t="s">
        <v>51</v>
      </c>
      <c r="G5156">
        <v>-420.7611</v>
      </c>
      <c r="H5156" s="1">
        <v>-2.315528E-6</v>
      </c>
      <c r="I5156">
        <v>36.146909999999998</v>
      </c>
      <c r="J5156">
        <v>-422.74400000000003</v>
      </c>
      <c r="K5156">
        <v>1.110447</v>
      </c>
      <c r="L5156">
        <v>48.960970000000003</v>
      </c>
      <c r="M5156">
        <v>-4.8493929999999996E-3</v>
      </c>
      <c r="N5156">
        <v>0</v>
      </c>
      <c r="O5156">
        <v>-0.99988109999999997</v>
      </c>
      <c r="P5156">
        <v>9.4445970000000004E-2</v>
      </c>
      <c r="Q5156">
        <v>0.13475970000000001</v>
      </c>
      <c r="R5156">
        <v>-0.98636699999999999</v>
      </c>
      <c r="S5156">
        <v>0.4567871</v>
      </c>
      <c r="T5156">
        <v>-0.2559921</v>
      </c>
      <c r="U5156">
        <v>-3.0339659999999999</v>
      </c>
      <c r="V5156">
        <v>-9.9291000000000004E-2</v>
      </c>
      <c r="W5156">
        <v>0.14913019999999999</v>
      </c>
      <c r="X5156">
        <v>0.98381980000000002</v>
      </c>
      <c r="Y5156">
        <v>-0.15315870000000001</v>
      </c>
      <c r="Z5156">
        <v>8.3114069999999998E-2</v>
      </c>
      <c r="AA5156">
        <v>0.98470020000000003</v>
      </c>
      <c r="AB5156">
        <v>35</v>
      </c>
      <c r="AC5156">
        <v>1.9829000000000201</v>
      </c>
      <c r="AD5156">
        <v>-1.110449315528</v>
      </c>
      <c r="AE5156">
        <v>-12.81406</v>
      </c>
      <c r="AF5156">
        <v>-2.0301345338399899</v>
      </c>
      <c r="AG5156">
        <v>-1.110449315528</v>
      </c>
      <c r="AH5156">
        <v>12.711068114199</v>
      </c>
      <c r="AI5156">
        <v>94.930554855213202</v>
      </c>
      <c r="AJ5156">
        <v>99.074294250281795</v>
      </c>
      <c r="AK5156">
        <v>12.919976645166701</v>
      </c>
      <c r="AL5156">
        <v>81.423475895036304</v>
      </c>
      <c r="AM5156">
        <v>95.763003756486199</v>
      </c>
      <c r="AN5156">
        <v>0.99999995905253902</v>
      </c>
    </row>
    <row r="5157" spans="1:40" x14ac:dyDescent="0.25">
      <c r="A5157" t="str">
        <f>"20190312164132268"</f>
        <v>20190312164132268</v>
      </c>
      <c r="B5157" t="str">
        <f>"1552380092261089"</f>
        <v>1552380092261089</v>
      </c>
      <c r="C5157" t="s">
        <v>40</v>
      </c>
      <c r="D5157">
        <v>5.5460739999999999</v>
      </c>
      <c r="E5157">
        <v>0.48172500000000001</v>
      </c>
      <c r="F5157" t="s">
        <v>51</v>
      </c>
      <c r="G5157">
        <v>-420.72789999999998</v>
      </c>
      <c r="H5157" s="1">
        <v>-2.4786709999999999E-6</v>
      </c>
      <c r="I5157">
        <v>35.88297</v>
      </c>
      <c r="J5157">
        <v>-422.74540000000002</v>
      </c>
      <c r="K5157">
        <v>1.1105160000000001</v>
      </c>
      <c r="L5157">
        <v>48.6203</v>
      </c>
      <c r="M5157">
        <v>-4.5108609999999997E-3</v>
      </c>
      <c r="N5157">
        <v>0</v>
      </c>
      <c r="O5157">
        <v>-0.99988310000000002</v>
      </c>
      <c r="P5157">
        <v>9.920342E-2</v>
      </c>
      <c r="Q5157">
        <v>0.1348152</v>
      </c>
      <c r="R5157">
        <v>-0.98589260000000001</v>
      </c>
      <c r="S5157">
        <v>0.46740720000000002</v>
      </c>
      <c r="T5157">
        <v>-0.25743709999999997</v>
      </c>
      <c r="U5157">
        <v>-3.0318909999999999</v>
      </c>
      <c r="V5157">
        <v>-0.1037373</v>
      </c>
      <c r="W5157">
        <v>0.14915610000000001</v>
      </c>
      <c r="X5157">
        <v>0.98335700000000004</v>
      </c>
      <c r="Y5157">
        <v>-0.15628739999999999</v>
      </c>
      <c r="Z5157">
        <v>8.3593890000000004E-2</v>
      </c>
      <c r="AA5157">
        <v>0.98416780000000004</v>
      </c>
      <c r="AB5157">
        <v>34</v>
      </c>
      <c r="AC5157">
        <v>2.01750000000004</v>
      </c>
      <c r="AD5157">
        <v>-1.1105184786710001</v>
      </c>
      <c r="AE5157">
        <v>-12.73733</v>
      </c>
      <c r="AF5157">
        <v>-2.05966869738837</v>
      </c>
      <c r="AG5157">
        <v>-1.1105184786710001</v>
      </c>
      <c r="AH5157">
        <v>12.634409775591999</v>
      </c>
      <c r="AI5157">
        <v>94.958063020179495</v>
      </c>
      <c r="AJ5157">
        <v>99.258943030543904</v>
      </c>
      <c r="AK5157">
        <v>12.849272228886999</v>
      </c>
      <c r="AL5157">
        <v>81.421975326207701</v>
      </c>
      <c r="AM5157">
        <v>96.022031463008503</v>
      </c>
      <c r="AN5157">
        <v>0.99999997951374897</v>
      </c>
    </row>
    <row r="5158" spans="1:40" x14ac:dyDescent="0.25">
      <c r="A5158" t="str">
        <f>"20190312164132291"</f>
        <v>20190312164132291</v>
      </c>
      <c r="B5158" t="str">
        <f>"1552380092281585"</f>
        <v>1552380092281585</v>
      </c>
      <c r="C5158" t="s">
        <v>40</v>
      </c>
      <c r="D5158">
        <v>6.4172510000000003</v>
      </c>
      <c r="E5158">
        <v>0.48210049999999999</v>
      </c>
      <c r="F5158" t="s">
        <v>51</v>
      </c>
      <c r="G5158">
        <v>-420.66809999999998</v>
      </c>
      <c r="H5158" s="1">
        <v>-2.6944130000000001E-6</v>
      </c>
      <c r="I5158">
        <v>35.530450000000002</v>
      </c>
      <c r="J5158">
        <v>-422.74639999999999</v>
      </c>
      <c r="K5158">
        <v>1.1106229999999999</v>
      </c>
      <c r="L5158">
        <v>48.283450000000002</v>
      </c>
      <c r="M5158">
        <v>-4.0218570000000002E-3</v>
      </c>
      <c r="N5158">
        <v>0</v>
      </c>
      <c r="O5158">
        <v>-0.99988520000000003</v>
      </c>
      <c r="P5158">
        <v>0.1041579</v>
      </c>
      <c r="Q5158">
        <v>0.13454279999999999</v>
      </c>
      <c r="R5158">
        <v>-0.98541880000000004</v>
      </c>
      <c r="S5158">
        <v>0.48080440000000002</v>
      </c>
      <c r="T5158">
        <v>-0.25703369999999998</v>
      </c>
      <c r="U5158">
        <v>-3.0296940000000001</v>
      </c>
      <c r="V5158">
        <v>-0.1082466</v>
      </c>
      <c r="W5158">
        <v>0.14884349999999999</v>
      </c>
      <c r="X5158">
        <v>0.98291830000000002</v>
      </c>
      <c r="Y5158">
        <v>-0.1601602</v>
      </c>
      <c r="Z5158">
        <v>8.3469249999999995E-2</v>
      </c>
      <c r="AA5158">
        <v>0.98355559999999997</v>
      </c>
      <c r="AB5158">
        <v>34</v>
      </c>
      <c r="AC5158">
        <v>2.0783000000000098</v>
      </c>
      <c r="AD5158">
        <v>-1.110625694413</v>
      </c>
      <c r="AE5158">
        <v>-12.753</v>
      </c>
      <c r="AF5158">
        <v>-2.1139614414092498</v>
      </c>
      <c r="AG5158">
        <v>-1.110625694413</v>
      </c>
      <c r="AH5158">
        <v>12.6510711124218</v>
      </c>
      <c r="AI5158">
        <v>94.948814687122095</v>
      </c>
      <c r="AJ5158">
        <v>99.4863342739838</v>
      </c>
      <c r="AK5158">
        <v>12.874467860863501</v>
      </c>
      <c r="AL5158">
        <v>81.440088777891802</v>
      </c>
      <c r="AM5158">
        <v>96.284531522484897</v>
      </c>
      <c r="AN5158">
        <v>1.0000000491893399</v>
      </c>
    </row>
    <row r="5159" spans="1:40" x14ac:dyDescent="0.25">
      <c r="A5159" t="str">
        <f>"20190312164132314"</f>
        <v>20190312164132314</v>
      </c>
      <c r="B5159" t="str">
        <f>"1552380092301105"</f>
        <v>1552380092301105</v>
      </c>
      <c r="C5159" t="s">
        <v>40</v>
      </c>
      <c r="D5159">
        <v>5.5505139999999997</v>
      </c>
      <c r="E5159">
        <v>0.48238779999999998</v>
      </c>
      <c r="F5159" t="s">
        <v>51</v>
      </c>
      <c r="G5159">
        <v>-420.62959999999998</v>
      </c>
      <c r="H5159" s="1">
        <v>-2.8524489999999999E-6</v>
      </c>
      <c r="I5159">
        <v>35.273389999999999</v>
      </c>
      <c r="J5159">
        <v>-422.74720000000002</v>
      </c>
      <c r="K5159">
        <v>1.110778</v>
      </c>
      <c r="L5159">
        <v>47.941960000000002</v>
      </c>
      <c r="M5159">
        <v>-3.309013E-3</v>
      </c>
      <c r="N5159">
        <v>0</v>
      </c>
      <c r="O5159">
        <v>-0.99988750000000004</v>
      </c>
      <c r="P5159">
        <v>0.109834</v>
      </c>
      <c r="Q5159">
        <v>0.1344167</v>
      </c>
      <c r="R5159">
        <v>-0.984819</v>
      </c>
      <c r="S5159">
        <v>0.49261470000000002</v>
      </c>
      <c r="T5159">
        <v>-0.25845780000000002</v>
      </c>
      <c r="U5159">
        <v>-3.0276179999999999</v>
      </c>
      <c r="V5159">
        <v>-0.1132755</v>
      </c>
      <c r="W5159">
        <v>0.1486596</v>
      </c>
      <c r="X5159">
        <v>0.98237929999999996</v>
      </c>
      <c r="Y5159">
        <v>-0.16329389999999999</v>
      </c>
      <c r="Z5159">
        <v>8.3937810000000002E-2</v>
      </c>
      <c r="AA5159">
        <v>0.98300030000000005</v>
      </c>
      <c r="AB5159">
        <v>34</v>
      </c>
      <c r="AC5159">
        <v>2.1176000000000301</v>
      </c>
      <c r="AD5159">
        <v>-1.1107808524489999</v>
      </c>
      <c r="AE5159">
        <v>-12.6685699999999</v>
      </c>
      <c r="AF5159">
        <v>-2.1434826125420998</v>
      </c>
      <c r="AG5159">
        <v>-1.1107808524489999</v>
      </c>
      <c r="AH5159">
        <v>12.5675025007204</v>
      </c>
      <c r="AI5159">
        <v>94.979434850242299</v>
      </c>
      <c r="AJ5159">
        <v>99.679091210009204</v>
      </c>
      <c r="AK5159">
        <v>12.7972837320289</v>
      </c>
      <c r="AL5159">
        <v>81.450744041964398</v>
      </c>
      <c r="AM5159">
        <v>96.577572705658</v>
      </c>
      <c r="AN5159">
        <v>1.00000005232044</v>
      </c>
    </row>
    <row r="5160" spans="1:40" x14ac:dyDescent="0.25">
      <c r="A5160" t="str">
        <f>"20190312164132336"</f>
        <v>20190312164132336</v>
      </c>
      <c r="B5160" t="str">
        <f>"1552380092331360"</f>
        <v>1552380092331360</v>
      </c>
      <c r="C5160" t="s">
        <v>40</v>
      </c>
      <c r="D5160">
        <v>5.5473189999999999</v>
      </c>
      <c r="E5160">
        <v>0.48311189999999998</v>
      </c>
      <c r="F5160" t="s">
        <v>51</v>
      </c>
      <c r="G5160">
        <v>-420.57049999999998</v>
      </c>
      <c r="H5160" s="1">
        <v>-3.0377339999999998E-6</v>
      </c>
      <c r="I5160">
        <v>34.968960000000003</v>
      </c>
      <c r="J5160">
        <v>-422.74740000000003</v>
      </c>
      <c r="K5160">
        <v>1.1109960000000001</v>
      </c>
      <c r="L5160">
        <v>47.592320000000001</v>
      </c>
      <c r="M5160">
        <v>-2.288909E-3</v>
      </c>
      <c r="N5160">
        <v>0</v>
      </c>
      <c r="O5160">
        <v>-0.99989050000000002</v>
      </c>
      <c r="P5160">
        <v>0.1156438</v>
      </c>
      <c r="Q5160">
        <v>0.1348327</v>
      </c>
      <c r="R5160">
        <v>-0.98409679999999999</v>
      </c>
      <c r="S5160">
        <v>0.50753779999999904</v>
      </c>
      <c r="T5160">
        <v>-0.25900770000000001</v>
      </c>
      <c r="U5160">
        <v>-3.024994</v>
      </c>
      <c r="V5160">
        <v>-0.1181594</v>
      </c>
      <c r="W5160">
        <v>0.1489963</v>
      </c>
      <c r="X5160">
        <v>0.98175279999999998</v>
      </c>
      <c r="Y5160">
        <v>-0.16713919999999999</v>
      </c>
      <c r="Z5160">
        <v>8.4126339999999994E-2</v>
      </c>
      <c r="AA5160">
        <v>0.98233769999999998</v>
      </c>
      <c r="AB5160">
        <v>34</v>
      </c>
      <c r="AC5160">
        <v>2.1769000000000398</v>
      </c>
      <c r="AD5160">
        <v>-1.11099903773399</v>
      </c>
      <c r="AE5160">
        <v>-12.62336</v>
      </c>
      <c r="AF5160">
        <v>-2.18932238250314</v>
      </c>
      <c r="AG5160">
        <v>-1.11099903773399</v>
      </c>
      <c r="AH5160">
        <v>12.524133464405599</v>
      </c>
      <c r="AI5160">
        <v>94.994024332595302</v>
      </c>
      <c r="AJ5160">
        <v>99.9155875041006</v>
      </c>
      <c r="AK5160">
        <v>12.762498595126999</v>
      </c>
      <c r="AL5160">
        <v>81.431235273558798</v>
      </c>
      <c r="AM5160">
        <v>96.862854999131699</v>
      </c>
      <c r="AN5160">
        <v>1.00000005076494</v>
      </c>
    </row>
    <row r="5161" spans="1:40" x14ac:dyDescent="0.25">
      <c r="A5161" t="str">
        <f>"20190312164132358"</f>
        <v>20190312164132358</v>
      </c>
      <c r="B5161" t="str">
        <f>"1552380092351857"</f>
        <v>1552380092351857</v>
      </c>
      <c r="C5161" t="s">
        <v>40</v>
      </c>
      <c r="D5161">
        <v>5.5448199999999996</v>
      </c>
      <c r="E5161">
        <v>0.48315200000000003</v>
      </c>
      <c r="F5161" t="s">
        <v>51</v>
      </c>
      <c r="G5161">
        <v>-420.5104</v>
      </c>
      <c r="H5161" s="1">
        <v>-3.2671180000000001E-6</v>
      </c>
      <c r="I5161">
        <v>34.577129999999997</v>
      </c>
      <c r="J5161">
        <v>-422.74689999999998</v>
      </c>
      <c r="K5161">
        <v>1.11127</v>
      </c>
      <c r="L5161">
        <v>47.251860000000001</v>
      </c>
      <c r="M5161">
        <v>-9.3563119999999999E-4</v>
      </c>
      <c r="N5161">
        <v>0</v>
      </c>
      <c r="O5161">
        <v>-0.99989280000000003</v>
      </c>
      <c r="P5161">
        <v>0.1212123</v>
      </c>
      <c r="Q5161">
        <v>0.1363394</v>
      </c>
      <c r="R5161">
        <v>-0.98321890000000001</v>
      </c>
      <c r="S5161">
        <v>0.51953130000000003</v>
      </c>
      <c r="T5161">
        <v>-0.25803110000000001</v>
      </c>
      <c r="U5161">
        <v>-3.0227970000000002</v>
      </c>
      <c r="V5161">
        <v>-0.1224972</v>
      </c>
      <c r="W5161">
        <v>0.15040499999999901</v>
      </c>
      <c r="X5161">
        <v>0.98100600000000004</v>
      </c>
      <c r="Y5161">
        <v>-0.16971339999999999</v>
      </c>
      <c r="Z5161">
        <v>8.382531E-2</v>
      </c>
      <c r="AA5161">
        <v>0.98192190000000001</v>
      </c>
      <c r="AB5161">
        <v>34</v>
      </c>
      <c r="AC5161">
        <v>2.2364999999999702</v>
      </c>
      <c r="AD5161">
        <v>-1.1112732671179999</v>
      </c>
      <c r="AE5161">
        <v>-12.67473</v>
      </c>
      <c r="AF5161">
        <v>-2.2317216452816702</v>
      </c>
      <c r="AG5161">
        <v>-1.1112732671179999</v>
      </c>
      <c r="AH5161">
        <v>12.5788561480304</v>
      </c>
      <c r="AI5161">
        <v>94.971422886867103</v>
      </c>
      <c r="AJ5161">
        <v>100.060641674493</v>
      </c>
      <c r="AK5161">
        <v>12.823538192288099</v>
      </c>
      <c r="AL5161">
        <v>81.349602377456804</v>
      </c>
      <c r="AM5161">
        <v>97.117623758075695</v>
      </c>
      <c r="AN5161">
        <v>1.00000000003442</v>
      </c>
    </row>
    <row r="5162" spans="1:40" x14ac:dyDescent="0.25">
      <c r="A5162" t="str">
        <f>"20190312164132380"</f>
        <v>20190312164132380</v>
      </c>
      <c r="B5162" t="str">
        <f>"1552380092371376"</f>
        <v>1552380092371376</v>
      </c>
      <c r="C5162" t="s">
        <v>40</v>
      </c>
      <c r="D5162">
        <v>5.6217769999999998</v>
      </c>
      <c r="E5162">
        <v>0.44065399999999999</v>
      </c>
      <c r="F5162" t="s">
        <v>51</v>
      </c>
      <c r="G5162">
        <v>-420.38240000000002</v>
      </c>
      <c r="H5162" s="1">
        <v>-3.5315329999999998E-6</v>
      </c>
      <c r="I5162">
        <v>33.968029999999999</v>
      </c>
      <c r="J5162">
        <v>-422.74549999999999</v>
      </c>
      <c r="K5162">
        <v>1.1115900000000001</v>
      </c>
      <c r="L5162">
        <v>46.91724</v>
      </c>
      <c r="M5162">
        <v>8.1747869999999998E-4</v>
      </c>
      <c r="N5162">
        <v>0</v>
      </c>
      <c r="O5162">
        <v>-0.99989300000000003</v>
      </c>
      <c r="P5162">
        <v>0.12824369999999999</v>
      </c>
      <c r="Q5162">
        <v>0.13842160000000001</v>
      </c>
      <c r="R5162">
        <v>-0.98203549999999995</v>
      </c>
      <c r="S5162">
        <v>0.53753660000000003</v>
      </c>
      <c r="T5162">
        <v>-0.25263809999999998</v>
      </c>
      <c r="U5162">
        <v>-3.0199579999999999</v>
      </c>
      <c r="V5162">
        <v>-0.1279256</v>
      </c>
      <c r="W5162">
        <v>0.15236769999999999</v>
      </c>
      <c r="X5162">
        <v>0.98000969999999998</v>
      </c>
      <c r="Y5162">
        <v>-0.173844</v>
      </c>
      <c r="Z5162">
        <v>8.2089560000000006E-2</v>
      </c>
      <c r="AA5162">
        <v>0.98134580000000005</v>
      </c>
      <c r="AB5162">
        <v>34</v>
      </c>
      <c r="AC5162">
        <v>2.36309999999997</v>
      </c>
      <c r="AD5162">
        <v>-1.1115935315329999</v>
      </c>
      <c r="AE5162">
        <v>-12.949210000000001</v>
      </c>
      <c r="AF5162">
        <v>-2.3358543443344302</v>
      </c>
      <c r="AG5162">
        <v>-1.1115935315329999</v>
      </c>
      <c r="AH5162">
        <v>12.859431244752599</v>
      </c>
      <c r="AI5162">
        <v>94.861316333520904</v>
      </c>
      <c r="AJ5162">
        <v>100.295253861004</v>
      </c>
      <c r="AK5162">
        <v>13.117043402985701</v>
      </c>
      <c r="AL5162">
        <v>81.235836246416696</v>
      </c>
      <c r="AM5162">
        <v>97.437055819414994</v>
      </c>
      <c r="AN5162">
        <v>0.99999994361636801</v>
      </c>
    </row>
    <row r="5163" spans="1:40" x14ac:dyDescent="0.25">
      <c r="A5163" t="str">
        <f>"20190312164132403"</f>
        <v>20190312164132403</v>
      </c>
      <c r="B5163" t="str">
        <f>"1552380092391404"</f>
        <v>1552380092391404</v>
      </c>
      <c r="C5163" t="s">
        <v>40</v>
      </c>
      <c r="D5163">
        <v>5.3521199999999904</v>
      </c>
      <c r="E5163">
        <v>0.41670469999999998</v>
      </c>
      <c r="F5163" t="s">
        <v>51</v>
      </c>
      <c r="G5163">
        <v>-419.03870000000001</v>
      </c>
      <c r="H5163" s="1">
        <v>-3.3793399999999998E-6</v>
      </c>
      <c r="I5163">
        <v>34.618139999999997</v>
      </c>
      <c r="J5163">
        <v>-422.74299999999999</v>
      </c>
      <c r="K5163">
        <v>1.111909</v>
      </c>
      <c r="L5163">
        <v>46.574620000000003</v>
      </c>
      <c r="M5163">
        <v>2.9757199999999998E-3</v>
      </c>
      <c r="N5163">
        <v>0</v>
      </c>
      <c r="O5163">
        <v>-0.99988849999999996</v>
      </c>
      <c r="P5163">
        <v>0.13650019999999999</v>
      </c>
      <c r="Q5163">
        <v>0.13952709999999999</v>
      </c>
      <c r="R5163">
        <v>-0.980765</v>
      </c>
      <c r="S5163">
        <v>0.89682009999999901</v>
      </c>
      <c r="T5163">
        <v>-0.26894200000000001</v>
      </c>
      <c r="U5163">
        <v>-2.9756770000000001</v>
      </c>
      <c r="V5163">
        <v>-0.13418529999999901</v>
      </c>
      <c r="W5163">
        <v>0.1533436</v>
      </c>
      <c r="X5163">
        <v>0.97901990000000005</v>
      </c>
      <c r="Y5163">
        <v>-0.28463709999999998</v>
      </c>
      <c r="Z5163">
        <v>8.6250190000000004E-2</v>
      </c>
      <c r="AA5163">
        <v>0.95474740000000002</v>
      </c>
      <c r="AB5163">
        <v>34</v>
      </c>
      <c r="AC5163">
        <v>3.7043000000000399</v>
      </c>
      <c r="AD5163">
        <v>-1.1119123793400001</v>
      </c>
      <c r="AE5163">
        <v>-11.956480000000001</v>
      </c>
      <c r="AF5163">
        <v>-3.6399777438024299</v>
      </c>
      <c r="AG5163">
        <v>-1.1119123793400001</v>
      </c>
      <c r="AH5163">
        <v>11.8737559024304</v>
      </c>
      <c r="AI5163">
        <v>95.116165439794898</v>
      </c>
      <c r="AJ5163">
        <v>107.0432643525</v>
      </c>
      <c r="AK5163">
        <v>12.468835805527601</v>
      </c>
      <c r="AL5163">
        <v>81.179256534073204</v>
      </c>
      <c r="AM5163">
        <v>97.804380507467499</v>
      </c>
      <c r="AN5163">
        <v>0.99999995949652898</v>
      </c>
    </row>
    <row r="5164" spans="1:40" x14ac:dyDescent="0.25">
      <c r="A5164" t="str">
        <f>"20190312164132426"</f>
        <v>20190312164132426</v>
      </c>
      <c r="B5164" t="str">
        <f>"1552380092421660"</f>
        <v>1552380092421660</v>
      </c>
      <c r="C5164" t="s">
        <v>40</v>
      </c>
      <c r="D5164">
        <v>5.3970690000000001</v>
      </c>
      <c r="E5164">
        <v>0.39978010000000003</v>
      </c>
      <c r="F5164" t="s">
        <v>51</v>
      </c>
      <c r="G5164">
        <v>-418.41</v>
      </c>
      <c r="H5164" s="1">
        <v>-3.2626279999999998E-6</v>
      </c>
      <c r="I5164">
        <v>35.086419999999997</v>
      </c>
      <c r="J5164">
        <v>-422.73930000000001</v>
      </c>
      <c r="K5164">
        <v>1.1122320000000001</v>
      </c>
      <c r="L5164">
        <v>46.218629999999997</v>
      </c>
      <c r="M5164">
        <v>5.6216110000000003E-3</v>
      </c>
      <c r="N5164">
        <v>0</v>
      </c>
      <c r="O5164">
        <v>-0.99987709999999996</v>
      </c>
      <c r="P5164">
        <v>0.14534739999999999</v>
      </c>
      <c r="Q5164">
        <v>0.1404984</v>
      </c>
      <c r="R5164">
        <v>-0.97935410000000001</v>
      </c>
      <c r="S5164">
        <v>1.110687</v>
      </c>
      <c r="T5164">
        <v>-0.28501890000000002</v>
      </c>
      <c r="U5164">
        <v>-2.9447939999999999</v>
      </c>
      <c r="V5164">
        <v>-0.14056569999999999</v>
      </c>
      <c r="W5164">
        <v>0.15417429999999999</v>
      </c>
      <c r="X5164">
        <v>0.97799369999999997</v>
      </c>
      <c r="Y5164">
        <v>-0.34619620000000001</v>
      </c>
      <c r="Z5164">
        <v>9.0280379999999993E-2</v>
      </c>
      <c r="AA5164">
        <v>0.93380810000000003</v>
      </c>
      <c r="AB5164">
        <v>34</v>
      </c>
      <c r="AC5164">
        <v>4.3292999999999804</v>
      </c>
      <c r="AD5164">
        <v>-1.1122352626280001</v>
      </c>
      <c r="AE5164">
        <v>-11.132209999999899</v>
      </c>
      <c r="AF5164">
        <v>-4.2299663284165696</v>
      </c>
      <c r="AG5164">
        <v>-1.1122352626280001</v>
      </c>
      <c r="AH5164">
        <v>11.0604701379561</v>
      </c>
      <c r="AI5164">
        <v>95.365767125018905</v>
      </c>
      <c r="AJ5164">
        <v>110.928854085582</v>
      </c>
      <c r="AK5164">
        <v>11.8938505998516</v>
      </c>
      <c r="AL5164">
        <v>81.131088971578293</v>
      </c>
      <c r="AM5164">
        <v>98.179030564244997</v>
      </c>
      <c r="AN5164">
        <v>1.00000005401833</v>
      </c>
    </row>
    <row r="5165" spans="1:40" x14ac:dyDescent="0.25">
      <c r="A5165" t="str">
        <f>"20190312164132448"</f>
        <v>20190312164132448</v>
      </c>
      <c r="B5165" t="str">
        <f>"1552380092441179"</f>
        <v>1552380092441179</v>
      </c>
      <c r="C5165" t="s">
        <v>40</v>
      </c>
      <c r="D5165">
        <v>5.3707500000000001</v>
      </c>
      <c r="E5165">
        <v>0.39562629999999999</v>
      </c>
      <c r="F5165" t="s">
        <v>51</v>
      </c>
      <c r="G5165">
        <v>-418.17739999999998</v>
      </c>
      <c r="H5165" s="1">
        <v>-2.936257E-6</v>
      </c>
      <c r="I5165">
        <v>35.739649999999997</v>
      </c>
      <c r="J5165">
        <v>-422.73480000000001</v>
      </c>
      <c r="K5165">
        <v>1.11253</v>
      </c>
      <c r="L5165">
        <v>45.892760000000003</v>
      </c>
      <c r="M5165">
        <v>8.4149359999999996E-3</v>
      </c>
      <c r="N5165">
        <v>0</v>
      </c>
      <c r="O5165">
        <v>-0.99985740000000001</v>
      </c>
      <c r="P5165">
        <v>0.15440960000000001</v>
      </c>
      <c r="Q5165">
        <v>0.1424318</v>
      </c>
      <c r="R5165">
        <v>-0.97768650000000001</v>
      </c>
      <c r="S5165">
        <v>1.270813</v>
      </c>
      <c r="T5165">
        <v>-0.309832</v>
      </c>
      <c r="U5165">
        <v>-2.919098</v>
      </c>
      <c r="V5165">
        <v>-0.14702119999999999</v>
      </c>
      <c r="W5165">
        <v>0.1559624</v>
      </c>
      <c r="X5165">
        <v>0.97676019999999997</v>
      </c>
      <c r="Y5165">
        <v>-0.38954709999999998</v>
      </c>
      <c r="Z5165">
        <v>9.7022230000000001E-2</v>
      </c>
      <c r="AA5165">
        <v>0.91588190000000003</v>
      </c>
      <c r="AB5165">
        <v>34</v>
      </c>
      <c r="AC5165">
        <v>4.5574000000000296</v>
      </c>
      <c r="AD5165">
        <v>-1.112532936257</v>
      </c>
      <c r="AE5165">
        <v>-10.1531099999999</v>
      </c>
      <c r="AF5165">
        <v>-4.4275457397277203</v>
      </c>
      <c r="AG5165">
        <v>-1.112532936257</v>
      </c>
      <c r="AH5165">
        <v>10.0902693663159</v>
      </c>
      <c r="AI5165">
        <v>95.765368072219999</v>
      </c>
      <c r="AJ5165">
        <v>113.691559105008</v>
      </c>
      <c r="AK5165">
        <v>11.074945900384799</v>
      </c>
      <c r="AL5165">
        <v>81.027383410269195</v>
      </c>
      <c r="AM5165">
        <v>98.559858830543703</v>
      </c>
      <c r="AN5165">
        <v>0.99999999588361999</v>
      </c>
    </row>
    <row r="5166" spans="1:40" x14ac:dyDescent="0.25">
      <c r="A5166" t="str">
        <f>"20190312164132469"</f>
        <v>20190312164132469</v>
      </c>
      <c r="B5166" t="str">
        <f>"1552380092461676"</f>
        <v>1552380092461676</v>
      </c>
      <c r="C5166" t="s">
        <v>40</v>
      </c>
      <c r="D5166">
        <v>5.3622639999999997</v>
      </c>
      <c r="E5166">
        <v>0.392957</v>
      </c>
      <c r="F5166" t="s">
        <v>51</v>
      </c>
      <c r="G5166">
        <v>-418.14159999999998</v>
      </c>
      <c r="H5166" s="1">
        <v>-2.8715960000000001E-6</v>
      </c>
      <c r="I5166">
        <v>35.856349999999999</v>
      </c>
      <c r="J5166">
        <v>-422.72890000000001</v>
      </c>
      <c r="K5166">
        <v>1.1128439999999999</v>
      </c>
      <c r="L5166">
        <v>45.56259</v>
      </c>
      <c r="M5166">
        <v>1.1606429999999999E-2</v>
      </c>
      <c r="N5166">
        <v>0</v>
      </c>
      <c r="O5166">
        <v>-0.99982539999999998</v>
      </c>
      <c r="P5166">
        <v>0.163804799999999</v>
      </c>
      <c r="Q5166">
        <v>0.14402139999999999</v>
      </c>
      <c r="R5166">
        <v>-0.9759234</v>
      </c>
      <c r="S5166">
        <v>1.3296509999999999</v>
      </c>
      <c r="T5166">
        <v>-0.32206200000000001</v>
      </c>
      <c r="U5166">
        <v>-2.9053960000000001</v>
      </c>
      <c r="V5166">
        <v>-0.15343419999999999</v>
      </c>
      <c r="W5166">
        <v>0.15739649999999999</v>
      </c>
      <c r="X5166">
        <v>0.9755431</v>
      </c>
      <c r="Y5166">
        <v>-0.40345170000000002</v>
      </c>
      <c r="Z5166">
        <v>0.1005267</v>
      </c>
      <c r="AA5166">
        <v>0.90946199999999999</v>
      </c>
      <c r="AB5166">
        <v>34</v>
      </c>
      <c r="AC5166">
        <v>4.5873000000000204</v>
      </c>
      <c r="AD5166">
        <v>-1.112846871596</v>
      </c>
      <c r="AE5166">
        <v>-9.7062399999999993</v>
      </c>
      <c r="AF5166">
        <v>-4.4267578104599403</v>
      </c>
      <c r="AG5166">
        <v>-1.112846871596</v>
      </c>
      <c r="AH5166">
        <v>9.6550884092339597</v>
      </c>
      <c r="AI5166">
        <v>95.981213517284203</v>
      </c>
      <c r="AJ5166">
        <v>114.630964365221</v>
      </c>
      <c r="AK5166">
        <v>10.679669707543001</v>
      </c>
      <c r="AL5166">
        <v>80.944188295300094</v>
      </c>
      <c r="AM5166">
        <v>98.938303060651293</v>
      </c>
      <c r="AN5166">
        <v>1.0000000259497399</v>
      </c>
    </row>
    <row r="5167" spans="1:40" x14ac:dyDescent="0.25">
      <c r="A5167" t="str">
        <f>"20190312164132492"</f>
        <v>20190312164132492</v>
      </c>
      <c r="B5167" t="str">
        <f>"1552380092481196"</f>
        <v>1552380092481196</v>
      </c>
      <c r="C5167" t="s">
        <v>40</v>
      </c>
      <c r="D5167">
        <v>5.3387840000000004</v>
      </c>
      <c r="E5167">
        <v>0.3912832</v>
      </c>
      <c r="F5167" t="s">
        <v>51</v>
      </c>
      <c r="G5167">
        <v>-417.93180000000001</v>
      </c>
      <c r="H5167" s="1">
        <v>-3.1444439999999999E-6</v>
      </c>
      <c r="I5167">
        <v>35.496380000000002</v>
      </c>
      <c r="J5167">
        <v>-422.72140000000002</v>
      </c>
      <c r="K5167">
        <v>1.113159</v>
      </c>
      <c r="L5167">
        <v>45.220280000000002</v>
      </c>
      <c r="M5167">
        <v>1.526626E-2</v>
      </c>
      <c r="N5167">
        <v>0</v>
      </c>
      <c r="O5167">
        <v>-0.999776</v>
      </c>
      <c r="P5167">
        <v>0.1740746</v>
      </c>
      <c r="Q5167">
        <v>0.14533869999999999</v>
      </c>
      <c r="R5167">
        <v>-0.97394840000000005</v>
      </c>
      <c r="S5167">
        <v>1.3772580000000001</v>
      </c>
      <c r="T5167">
        <v>-0.31949569999999999</v>
      </c>
      <c r="U5167">
        <v>-2.8899840000000001</v>
      </c>
      <c r="V5167">
        <v>-0.16028100000000001</v>
      </c>
      <c r="W5167">
        <v>0.15854209999999999</v>
      </c>
      <c r="X5167">
        <v>0.97425589999999995</v>
      </c>
      <c r="Y5167">
        <v>-0.41423729999999997</v>
      </c>
      <c r="Z5167">
        <v>9.9624219999999999E-2</v>
      </c>
      <c r="AA5167">
        <v>0.90470019999999995</v>
      </c>
      <c r="AB5167">
        <v>34</v>
      </c>
      <c r="AC5167">
        <v>4.7896000000000001</v>
      </c>
      <c r="AD5167">
        <v>-1.1131621444440001</v>
      </c>
      <c r="AE5167">
        <v>-9.7238999999999898</v>
      </c>
      <c r="AF5167">
        <v>-4.5921480979020002</v>
      </c>
      <c r="AG5167">
        <v>-1.1131621444440001</v>
      </c>
      <c r="AH5167">
        <v>9.6936616315291193</v>
      </c>
      <c r="AI5167">
        <v>95.924840006359105</v>
      </c>
      <c r="AJ5167">
        <v>115.348172748409</v>
      </c>
      <c r="AK5167">
        <v>10.7839709726736</v>
      </c>
      <c r="AL5167">
        <v>80.877716093546098</v>
      </c>
      <c r="AM5167">
        <v>99.342404927953694</v>
      </c>
      <c r="AN5167">
        <v>1.0000000775591</v>
      </c>
    </row>
    <row r="5168" spans="1:40" x14ac:dyDescent="0.25">
      <c r="A5168" t="str">
        <f>"20190312164132514"</f>
        <v>20190312164132514</v>
      </c>
      <c r="B5168" t="str">
        <f>"1552380092510978"</f>
        <v>1552380092510978</v>
      </c>
      <c r="C5168" t="s">
        <v>40</v>
      </c>
      <c r="D5168">
        <v>5.3459469999999998</v>
      </c>
      <c r="E5168">
        <v>0.39016820000000002</v>
      </c>
      <c r="F5168" t="s">
        <v>51</v>
      </c>
      <c r="G5168">
        <v>-417.81420000000003</v>
      </c>
      <c r="H5168" s="1">
        <v>-3.2870800000000001E-6</v>
      </c>
      <c r="I5168">
        <v>35.283250000000002</v>
      </c>
      <c r="J5168">
        <v>-422.71260000000001</v>
      </c>
      <c r="K5168">
        <v>1.1134550000000001</v>
      </c>
      <c r="L5168">
        <v>44.887300000000003</v>
      </c>
      <c r="M5168">
        <v>1.914184E-2</v>
      </c>
      <c r="N5168">
        <v>0</v>
      </c>
      <c r="O5168">
        <v>-0.99970910000000002</v>
      </c>
      <c r="P5168">
        <v>0.18542040000000001</v>
      </c>
      <c r="Q5168">
        <v>0.1468904</v>
      </c>
      <c r="R5168">
        <v>-0.9716186</v>
      </c>
      <c r="S5168">
        <v>1.419556</v>
      </c>
      <c r="T5168">
        <v>-0.32201449999999998</v>
      </c>
      <c r="U5168">
        <v>-2.8745729999999998</v>
      </c>
      <c r="V5168">
        <v>-0.1680072</v>
      </c>
      <c r="W5168">
        <v>0.1599091</v>
      </c>
      <c r="X5168">
        <v>0.97272950000000002</v>
      </c>
      <c r="Y5168">
        <v>-0.42330659999999998</v>
      </c>
      <c r="Z5168">
        <v>0.1003469</v>
      </c>
      <c r="AA5168">
        <v>0.90041209999999905</v>
      </c>
      <c r="AB5168">
        <v>34</v>
      </c>
      <c r="AC5168">
        <v>4.8983999999999801</v>
      </c>
      <c r="AD5168">
        <v>-1.1134582870799901</v>
      </c>
      <c r="AE5168">
        <v>-9.6040500000000009</v>
      </c>
      <c r="AF5168">
        <v>-4.6638958980957002</v>
      </c>
      <c r="AG5168">
        <v>-1.1134582870799901</v>
      </c>
      <c r="AH5168">
        <v>9.59373290919401</v>
      </c>
      <c r="AI5168">
        <v>95.958974959680106</v>
      </c>
      <c r="AJ5168">
        <v>115.92623347923799</v>
      </c>
      <c r="AK5168">
        <v>10.7252704132946</v>
      </c>
      <c r="AL5168">
        <v>80.798379989677997</v>
      </c>
      <c r="AM5168">
        <v>99.799293090166003</v>
      </c>
      <c r="AN5168">
        <v>1.00000000984245</v>
      </c>
    </row>
    <row r="5169" spans="1:40" x14ac:dyDescent="0.25">
      <c r="A5169" t="str">
        <f>"20190312164132537"</f>
        <v>20190312164132537</v>
      </c>
      <c r="B5169" t="str">
        <f>"1552380092531477"</f>
        <v>1552380092531477</v>
      </c>
      <c r="C5169" t="s">
        <v>40</v>
      </c>
      <c r="D5169">
        <v>5.359057</v>
      </c>
      <c r="E5169">
        <v>0.38952759999999997</v>
      </c>
      <c r="F5169" t="s">
        <v>51</v>
      </c>
      <c r="G5169">
        <v>-417.7792</v>
      </c>
      <c r="H5169" s="1">
        <v>-3.3270270000000002E-6</v>
      </c>
      <c r="I5169">
        <v>35.22439</v>
      </c>
      <c r="J5169">
        <v>-422.70170000000002</v>
      </c>
      <c r="K5169">
        <v>1.1137520000000001</v>
      </c>
      <c r="L5169">
        <v>44.538150000000002</v>
      </c>
      <c r="M5169">
        <v>2.3509309999999999E-2</v>
      </c>
      <c r="N5169">
        <v>0</v>
      </c>
      <c r="O5169">
        <v>-0.99961560000000005</v>
      </c>
      <c r="P5169">
        <v>0.19694829999999999</v>
      </c>
      <c r="Q5169">
        <v>0.1482011</v>
      </c>
      <c r="R5169">
        <v>-0.96914789999999995</v>
      </c>
      <c r="S5169">
        <v>1.459595</v>
      </c>
      <c r="T5169">
        <v>-0.32943</v>
      </c>
      <c r="U5169">
        <v>-2.8588870000000002</v>
      </c>
      <c r="V5169">
        <v>-0.17545179999999999</v>
      </c>
      <c r="W5169">
        <v>0.1610297</v>
      </c>
      <c r="X5169">
        <v>0.97122909999999996</v>
      </c>
      <c r="Y5169">
        <v>-0.431251</v>
      </c>
      <c r="Z5169">
        <v>0.10261000000000001</v>
      </c>
      <c r="AA5169">
        <v>0.89637809999999996</v>
      </c>
      <c r="AB5169">
        <v>34</v>
      </c>
      <c r="AC5169">
        <v>4.9225000000000101</v>
      </c>
      <c r="AD5169">
        <v>-1.113755327027</v>
      </c>
      <c r="AE5169">
        <v>-9.3137600000000003</v>
      </c>
      <c r="AF5169">
        <v>-4.6501779633530402</v>
      </c>
      <c r="AG5169">
        <v>-1.113755327027</v>
      </c>
      <c r="AH5169">
        <v>9.3227173521606392</v>
      </c>
      <c r="AI5169">
        <v>96.102063736167693</v>
      </c>
      <c r="AJ5169">
        <v>116.510053056736</v>
      </c>
      <c r="AK5169">
        <v>10.4774837078189</v>
      </c>
      <c r="AL5169">
        <v>80.733330626941495</v>
      </c>
      <c r="AM5169">
        <v>100.24000100634601</v>
      </c>
      <c r="AN5169">
        <v>0.99999993154606703</v>
      </c>
    </row>
    <row r="5170" spans="1:40" x14ac:dyDescent="0.25">
      <c r="A5170" t="str">
        <f>"20190312164132559"</f>
        <v>20190312164132559</v>
      </c>
      <c r="B5170" t="str">
        <f>"1552380092550997"</f>
        <v>1552380092550997</v>
      </c>
      <c r="C5170" t="s">
        <v>40</v>
      </c>
      <c r="D5170">
        <v>5.3347129999999998</v>
      </c>
      <c r="E5170">
        <v>0.38964120000000002</v>
      </c>
      <c r="F5170" t="s">
        <v>51</v>
      </c>
      <c r="G5170">
        <v>-417.58260000000001</v>
      </c>
      <c r="H5170" s="1">
        <v>-3.584871E-6</v>
      </c>
      <c r="I5170">
        <v>34.832700000000003</v>
      </c>
      <c r="J5170">
        <v>-422.68990000000002</v>
      </c>
      <c r="K5170">
        <v>1.114007</v>
      </c>
      <c r="L5170">
        <v>44.213839999999998</v>
      </c>
      <c r="M5170">
        <v>2.7851730000000002E-2</v>
      </c>
      <c r="N5170">
        <v>0</v>
      </c>
      <c r="O5170">
        <v>-0.99950410000000001</v>
      </c>
      <c r="P5170">
        <v>0.2084955</v>
      </c>
      <c r="Q5170">
        <v>0.14978159999999999</v>
      </c>
      <c r="R5170">
        <v>-0.96648619999999996</v>
      </c>
      <c r="S5170">
        <v>1.498413</v>
      </c>
      <c r="T5170">
        <v>-0.32600370000000001</v>
      </c>
      <c r="U5170">
        <v>-2.8408509999999998</v>
      </c>
      <c r="V5170">
        <v>-0.18294869999999999</v>
      </c>
      <c r="W5170">
        <v>0.16242400000000001</v>
      </c>
      <c r="X5170">
        <v>0.96961240000000004</v>
      </c>
      <c r="Y5170">
        <v>-0.4393068</v>
      </c>
      <c r="Z5170">
        <v>0.1015969</v>
      </c>
      <c r="AA5170">
        <v>0.89257359999999897</v>
      </c>
      <c r="AB5170">
        <v>34</v>
      </c>
      <c r="AC5170">
        <v>5.1073000000000004</v>
      </c>
      <c r="AD5170">
        <v>-1.114010584871</v>
      </c>
      <c r="AE5170">
        <v>-9.3811400000000003</v>
      </c>
      <c r="AF5170">
        <v>-4.7918852636569698</v>
      </c>
      <c r="AG5170">
        <v>-1.114010584871</v>
      </c>
      <c r="AH5170">
        <v>9.4173252902349205</v>
      </c>
      <c r="AI5170">
        <v>96.018450571410995</v>
      </c>
      <c r="AJ5170">
        <v>116.968684274438</v>
      </c>
      <c r="AK5170">
        <v>10.624932921452</v>
      </c>
      <c r="AL5170">
        <v>80.652377998081704</v>
      </c>
      <c r="AM5170">
        <v>100.68508153464199</v>
      </c>
      <c r="AN5170">
        <v>0.99999999442072496</v>
      </c>
    </row>
    <row r="5171" spans="1:40" x14ac:dyDescent="0.25">
      <c r="A5171" t="str">
        <f>"20190312164132581"</f>
        <v>20190312164132581</v>
      </c>
      <c r="B5171" t="str">
        <f>"1552380092571490"</f>
        <v>1552380092571490</v>
      </c>
      <c r="C5171" t="s">
        <v>40</v>
      </c>
      <c r="D5171">
        <v>5.3347439999999997</v>
      </c>
      <c r="E5171">
        <v>0.38966430000000002</v>
      </c>
      <c r="F5171" t="s">
        <v>42</v>
      </c>
      <c r="G5171">
        <v>-422.15679999999998</v>
      </c>
      <c r="H5171">
        <v>1.000019</v>
      </c>
      <c r="I5171">
        <v>43.229979999999998</v>
      </c>
      <c r="J5171">
        <v>-422.67579999999998</v>
      </c>
      <c r="K5171">
        <v>1.114249</v>
      </c>
      <c r="L5171">
        <v>43.879390000000001</v>
      </c>
      <c r="M5171">
        <v>3.2598580000000002E-2</v>
      </c>
      <c r="N5171">
        <v>0</v>
      </c>
      <c r="O5171">
        <v>-0.99936049999999998</v>
      </c>
      <c r="P5171">
        <v>0.2212103</v>
      </c>
      <c r="Q5171">
        <v>0.15144460000000001</v>
      </c>
      <c r="R5171">
        <v>-0.96339549999999996</v>
      </c>
      <c r="S5171">
        <v>1.531433</v>
      </c>
      <c r="T5171">
        <v>-0.32723219999999997</v>
      </c>
      <c r="U5171">
        <v>-2.8243710000000002</v>
      </c>
      <c r="V5171">
        <v>-0.19124910000000001</v>
      </c>
      <c r="W5171">
        <v>0.16388620000000001</v>
      </c>
      <c r="X5171">
        <v>0.96776289999999998</v>
      </c>
      <c r="Y5171">
        <v>-0.44526480000000002</v>
      </c>
      <c r="Z5171">
        <v>0.102052</v>
      </c>
      <c r="AA5171">
        <v>0.88956429999999997</v>
      </c>
      <c r="AB5171">
        <v>34</v>
      </c>
      <c r="AC5171">
        <v>0.51900000000000501</v>
      </c>
      <c r="AD5171">
        <v>-0.11423</v>
      </c>
      <c r="AE5171">
        <v>-0.64941000000000304</v>
      </c>
      <c r="AF5171">
        <v>-0.488331824038299</v>
      </c>
      <c r="AG5171">
        <v>-0.11423</v>
      </c>
      <c r="AH5171">
        <v>0.65364387641479205</v>
      </c>
      <c r="AI5171">
        <v>97.969735341853195</v>
      </c>
      <c r="AJ5171">
        <v>126.763098256912</v>
      </c>
      <c r="AK5171">
        <v>0.82387303660402</v>
      </c>
      <c r="AL5171">
        <v>80.567462012157804</v>
      </c>
      <c r="AM5171">
        <v>101.17874183505199</v>
      </c>
      <c r="AN5171">
        <v>0.99999996770882904</v>
      </c>
    </row>
    <row r="5172" spans="1:40" x14ac:dyDescent="0.25">
      <c r="A5172" t="str">
        <f>"20190312164132604"</f>
        <v>20190312164132604</v>
      </c>
      <c r="B5172" t="str">
        <f>"1552380092601277"</f>
        <v>1552380092601277</v>
      </c>
      <c r="C5172" t="s">
        <v>40</v>
      </c>
      <c r="D5172">
        <v>5.2788779999999997</v>
      </c>
      <c r="E5172">
        <v>0.38981959999999999</v>
      </c>
      <c r="F5172" t="s">
        <v>42</v>
      </c>
      <c r="G5172">
        <v>-422.1465</v>
      </c>
      <c r="H5172">
        <v>1.00282</v>
      </c>
      <c r="I5172">
        <v>42.930990000000001</v>
      </c>
      <c r="J5172">
        <v>-422.65969999999999</v>
      </c>
      <c r="K5172">
        <v>1.114473</v>
      </c>
      <c r="L5172">
        <v>43.537480000000002</v>
      </c>
      <c r="M5172">
        <v>3.767554E-2</v>
      </c>
      <c r="N5172">
        <v>0</v>
      </c>
      <c r="O5172">
        <v>-0.99918169999999995</v>
      </c>
      <c r="P5172">
        <v>0.2336771</v>
      </c>
      <c r="Q5172">
        <v>0.15237039999999999</v>
      </c>
      <c r="R5172">
        <v>-0.96030139999999997</v>
      </c>
      <c r="S5172">
        <v>1.566589</v>
      </c>
      <c r="T5172">
        <v>-0.32969110000000001</v>
      </c>
      <c r="U5172">
        <v>-2.8060909999999999</v>
      </c>
      <c r="V5172">
        <v>-0.19898940000000001</v>
      </c>
      <c r="W5172">
        <v>0.16461809999999999</v>
      </c>
      <c r="X5172">
        <v>0.96607670000000001</v>
      </c>
      <c r="Y5172">
        <v>-0.45163560000000003</v>
      </c>
      <c r="Z5172">
        <v>0.1028999</v>
      </c>
      <c r="AA5172">
        <v>0.88624879999999995</v>
      </c>
      <c r="AB5172">
        <v>34</v>
      </c>
      <c r="AC5172">
        <v>0.513199999999983</v>
      </c>
      <c r="AD5172">
        <v>-0.111653</v>
      </c>
      <c r="AE5172">
        <v>-0.60648999999999997</v>
      </c>
      <c r="AF5172">
        <v>-0.48049342380348298</v>
      </c>
      <c r="AG5172">
        <v>-0.111653</v>
      </c>
      <c r="AH5172">
        <v>0.61328403131685905</v>
      </c>
      <c r="AI5172">
        <v>98.155578465976703</v>
      </c>
      <c r="AJ5172">
        <v>128.07785332789501</v>
      </c>
      <c r="AK5172">
        <v>0.787056304082276</v>
      </c>
      <c r="AL5172">
        <v>80.524950586034393</v>
      </c>
      <c r="AM5172">
        <v>101.638825997659</v>
      </c>
      <c r="AN5172">
        <v>1.0000000452214199</v>
      </c>
    </row>
    <row r="5173" spans="1:40" x14ac:dyDescent="0.25">
      <c r="A5173" t="str">
        <f>"20190312164132627"</f>
        <v>20190312164132627</v>
      </c>
      <c r="B5173" t="str">
        <f>"1552380092621774"</f>
        <v>1552380092621774</v>
      </c>
      <c r="C5173" t="s">
        <v>40</v>
      </c>
      <c r="D5173">
        <v>5.2877980000000004</v>
      </c>
      <c r="E5173">
        <v>0.39000430000000003</v>
      </c>
      <c r="F5173" t="s">
        <v>42</v>
      </c>
      <c r="G5173">
        <v>-422.13959999999997</v>
      </c>
      <c r="H5173">
        <v>1.0061599999999999</v>
      </c>
      <c r="I5173">
        <v>42.631250000000001</v>
      </c>
      <c r="J5173">
        <v>-422.64139999999998</v>
      </c>
      <c r="K5173">
        <v>1.11469</v>
      </c>
      <c r="L5173">
        <v>43.19229</v>
      </c>
      <c r="M5173">
        <v>4.3029789999999998E-2</v>
      </c>
      <c r="N5173">
        <v>0</v>
      </c>
      <c r="O5173">
        <v>-0.9989652</v>
      </c>
      <c r="P5173">
        <v>0.24651989999999999</v>
      </c>
      <c r="Q5173">
        <v>0.15098499999999901</v>
      </c>
      <c r="R5173">
        <v>-0.95730440000000006</v>
      </c>
      <c r="S5173">
        <v>1.599915</v>
      </c>
      <c r="T5173">
        <v>-0.3331788</v>
      </c>
      <c r="U5173">
        <v>-2.7875670000000001</v>
      </c>
      <c r="V5173">
        <v>-0.2068257</v>
      </c>
      <c r="W5173">
        <v>0.16303889999999999</v>
      </c>
      <c r="X5173">
        <v>0.96469760000000004</v>
      </c>
      <c r="Y5173">
        <v>-0.45730480000000001</v>
      </c>
      <c r="Z5173">
        <v>0.10409259999999999</v>
      </c>
      <c r="AA5173">
        <v>0.88319709999999996</v>
      </c>
      <c r="AB5173">
        <v>34</v>
      </c>
      <c r="AC5173">
        <v>0.50180000000000202</v>
      </c>
      <c r="AD5173">
        <v>-0.10853</v>
      </c>
      <c r="AE5173">
        <v>-0.56103999999999798</v>
      </c>
      <c r="AF5173">
        <v>-0.46747249502916499</v>
      </c>
      <c r="AG5173">
        <v>-0.10853</v>
      </c>
      <c r="AH5173">
        <v>0.57025945595960603</v>
      </c>
      <c r="AI5173">
        <v>98.372887235764594</v>
      </c>
      <c r="AJ5173">
        <v>129.343325244856</v>
      </c>
      <c r="AK5173">
        <v>0.74532217303669301</v>
      </c>
      <c r="AL5173">
        <v>80.616670972712399</v>
      </c>
      <c r="AM5173">
        <v>102.10070720156099</v>
      </c>
      <c r="AN5173">
        <v>1.0000000062697301</v>
      </c>
    </row>
    <row r="5174" spans="1:40" x14ac:dyDescent="0.25">
      <c r="A5174" t="str">
        <f>"20190312164132649"</f>
        <v>20190312164132649</v>
      </c>
      <c r="B5174" t="str">
        <f>"1552380092641293"</f>
        <v>1552380092641293</v>
      </c>
      <c r="C5174" t="s">
        <v>40</v>
      </c>
      <c r="D5174">
        <v>5.3522889999999999</v>
      </c>
      <c r="E5174">
        <v>0.3903838</v>
      </c>
      <c r="F5174" t="s">
        <v>42</v>
      </c>
      <c r="G5174">
        <v>-422.13299999999998</v>
      </c>
      <c r="H5174">
        <v>1.0090950000000001</v>
      </c>
      <c r="I5174">
        <v>42.331519999999998</v>
      </c>
      <c r="J5174">
        <v>-422.62220000000002</v>
      </c>
      <c r="K5174">
        <v>1.1148819999999999</v>
      </c>
      <c r="L5174">
        <v>42.867400000000004</v>
      </c>
      <c r="M5174">
        <v>4.830243E-2</v>
      </c>
      <c r="N5174">
        <v>0</v>
      </c>
      <c r="O5174">
        <v>-0.99872399999999995</v>
      </c>
      <c r="P5174">
        <v>0.25886769999999998</v>
      </c>
      <c r="Q5174">
        <v>0.14680379999999901</v>
      </c>
      <c r="R5174">
        <v>-0.95469159999999997</v>
      </c>
      <c r="S5174">
        <v>1.633759</v>
      </c>
      <c r="T5174">
        <v>-0.33938829999999998</v>
      </c>
      <c r="U5174">
        <v>-2.7666019999999998</v>
      </c>
      <c r="V5174">
        <v>-0.2142115</v>
      </c>
      <c r="W5174">
        <v>0.15867149999999999</v>
      </c>
      <c r="X5174">
        <v>0.9638137</v>
      </c>
      <c r="Y5174">
        <v>-0.4634337</v>
      </c>
      <c r="Z5174">
        <v>0.10617509999999999</v>
      </c>
      <c r="AA5174">
        <v>0.87974769999999902</v>
      </c>
      <c r="AB5174">
        <v>34</v>
      </c>
      <c r="AC5174">
        <v>0.48919999999998198</v>
      </c>
      <c r="AD5174">
        <v>-0.10578699999999901</v>
      </c>
      <c r="AE5174">
        <v>-0.53587999999999802</v>
      </c>
      <c r="AF5174">
        <v>-0.45311047297262502</v>
      </c>
      <c r="AG5174">
        <v>-0.10578699999999901</v>
      </c>
      <c r="AH5174">
        <v>0.54725410123003904</v>
      </c>
      <c r="AI5174">
        <v>98.468724878017099</v>
      </c>
      <c r="AJ5174">
        <v>129.623767577785</v>
      </c>
      <c r="AK5174">
        <v>0.71832237985432001</v>
      </c>
      <c r="AL5174">
        <v>80.870206530317901</v>
      </c>
      <c r="AM5174">
        <v>102.530545576405</v>
      </c>
      <c r="AN5174">
        <v>1.0000000299760901</v>
      </c>
    </row>
    <row r="5175" spans="1:40" x14ac:dyDescent="0.25">
      <c r="A5175" t="str">
        <f>"20190312164132670"</f>
        <v>20190312164132670</v>
      </c>
      <c r="B5175" t="str">
        <f>"1552380092661789"</f>
        <v>1552380092661789</v>
      </c>
      <c r="C5175" t="s">
        <v>40</v>
      </c>
      <c r="D5175">
        <v>5.1979240000000004</v>
      </c>
      <c r="E5175">
        <v>0.39078859999999999</v>
      </c>
      <c r="F5175" t="s">
        <v>42</v>
      </c>
      <c r="G5175">
        <v>-422.11770000000001</v>
      </c>
      <c r="H5175">
        <v>1.005976</v>
      </c>
      <c r="I5175">
        <v>42.034260000000003</v>
      </c>
      <c r="J5175">
        <v>-422.601</v>
      </c>
      <c r="K5175">
        <v>1.1150850000000001</v>
      </c>
      <c r="L5175">
        <v>42.540469999999999</v>
      </c>
      <c r="M5175">
        <v>5.3866049999999999E-2</v>
      </c>
      <c r="N5175">
        <v>0</v>
      </c>
      <c r="O5175">
        <v>-0.99843930000000003</v>
      </c>
      <c r="P5175">
        <v>0.27142280000000002</v>
      </c>
      <c r="Q5175">
        <v>0.1434607</v>
      </c>
      <c r="R5175">
        <v>-0.95170840000000001</v>
      </c>
      <c r="S5175">
        <v>1.6639710000000001</v>
      </c>
      <c r="T5175">
        <v>-0.35900530000000003</v>
      </c>
      <c r="U5175">
        <v>-2.7463989999999998</v>
      </c>
      <c r="V5175">
        <v>-0.22157019999999999</v>
      </c>
      <c r="W5175">
        <v>0.15512400000000001</v>
      </c>
      <c r="X5175">
        <v>0.962727</v>
      </c>
      <c r="Y5175">
        <v>-0.46808509999999998</v>
      </c>
      <c r="Z5175">
        <v>0.1124401</v>
      </c>
      <c r="AA5175">
        <v>0.87650079999999997</v>
      </c>
      <c r="AB5175">
        <v>34</v>
      </c>
      <c r="AC5175">
        <v>0.48329999999998502</v>
      </c>
      <c r="AD5175">
        <v>-0.109109</v>
      </c>
      <c r="AE5175">
        <v>-0.50621000000000205</v>
      </c>
      <c r="AF5175">
        <v>-0.444523963111424</v>
      </c>
      <c r="AG5175">
        <v>-0.109109</v>
      </c>
      <c r="AH5175">
        <v>0.51889985196734401</v>
      </c>
      <c r="AI5175">
        <v>99.072755760213994</v>
      </c>
      <c r="AJ5175">
        <v>130.58554718975799</v>
      </c>
      <c r="AK5175">
        <v>0.69192729678270304</v>
      </c>
      <c r="AL5175">
        <v>81.076012469643999</v>
      </c>
      <c r="AM5175">
        <v>102.960846607943</v>
      </c>
      <c r="AN5175">
        <v>1.0000000427165101</v>
      </c>
    </row>
    <row r="5176" spans="1:40" x14ac:dyDescent="0.25">
      <c r="A5176" t="str">
        <f>"20190312164132693"</f>
        <v>20190312164132693</v>
      </c>
      <c r="B5176" t="str">
        <f>"1552380092681309"</f>
        <v>1552380092681309</v>
      </c>
      <c r="C5176" t="s">
        <v>40</v>
      </c>
      <c r="D5176">
        <v>5.3366680000000004</v>
      </c>
      <c r="E5176">
        <v>0.3913584</v>
      </c>
      <c r="F5176" t="s">
        <v>42</v>
      </c>
      <c r="G5176">
        <v>-422.1019</v>
      </c>
      <c r="H5176">
        <v>1.005112</v>
      </c>
      <c r="I5176">
        <v>41.737270000000002</v>
      </c>
      <c r="J5176">
        <v>-422.57749999999999</v>
      </c>
      <c r="K5176">
        <v>1.1153299999999999</v>
      </c>
      <c r="L5176">
        <v>42.209530000000001</v>
      </c>
      <c r="M5176">
        <v>5.9792350000000001E-2</v>
      </c>
      <c r="N5176">
        <v>0</v>
      </c>
      <c r="O5176">
        <v>-0.99810169999999998</v>
      </c>
      <c r="P5176">
        <v>0.2802695</v>
      </c>
      <c r="Q5176">
        <v>0.14265810000000001</v>
      </c>
      <c r="R5176">
        <v>-0.94926180000000004</v>
      </c>
      <c r="S5176">
        <v>1.6936040000000001</v>
      </c>
      <c r="T5176">
        <v>-0.37316569999999999</v>
      </c>
      <c r="U5176">
        <v>-2.7254640000000001</v>
      </c>
      <c r="V5176">
        <v>-0.2249005</v>
      </c>
      <c r="W5176">
        <v>0.1541526</v>
      </c>
      <c r="X5176">
        <v>0.96211060000000004</v>
      </c>
      <c r="Y5176">
        <v>-0.47245039999999999</v>
      </c>
      <c r="Z5176">
        <v>0.1170525</v>
      </c>
      <c r="AA5176">
        <v>0.87354979999999904</v>
      </c>
      <c r="AB5176">
        <v>34</v>
      </c>
      <c r="AC5176">
        <v>0.47559999999998498</v>
      </c>
      <c r="AD5176">
        <v>-0.110217999999999</v>
      </c>
      <c r="AE5176">
        <v>-0.47225999999999801</v>
      </c>
      <c r="AF5176">
        <v>-0.43475165591489401</v>
      </c>
      <c r="AG5176">
        <v>-0.110217999999999</v>
      </c>
      <c r="AH5176">
        <v>0.48669395326468201</v>
      </c>
      <c r="AI5176">
        <v>99.586329599030805</v>
      </c>
      <c r="AJ5176">
        <v>131.77362603008601</v>
      </c>
      <c r="AK5176">
        <v>0.66183684846731405</v>
      </c>
      <c r="AL5176">
        <v>81.132347143599603</v>
      </c>
      <c r="AM5176">
        <v>103.15706438739601</v>
      </c>
      <c r="AN5176">
        <v>1.0000000328096801</v>
      </c>
    </row>
    <row r="5177" spans="1:40" x14ac:dyDescent="0.25">
      <c r="A5177" t="str">
        <f>"20190312164132715"</f>
        <v>20190312164132715</v>
      </c>
      <c r="B5177" t="str">
        <f>"1552380092711565"</f>
        <v>1552380092711565</v>
      </c>
      <c r="C5177" t="s">
        <v>40</v>
      </c>
      <c r="D5177">
        <v>5.1114829999999998</v>
      </c>
      <c r="E5177">
        <v>0.39201760000000002</v>
      </c>
      <c r="F5177" t="s">
        <v>42</v>
      </c>
      <c r="G5177">
        <v>-422.09100000000001</v>
      </c>
      <c r="H5177">
        <v>1.0072289999999999</v>
      </c>
      <c r="I5177">
        <v>41.438980000000001</v>
      </c>
      <c r="J5177">
        <v>-422.5514</v>
      </c>
      <c r="K5177">
        <v>1.1156029999999999</v>
      </c>
      <c r="L5177">
        <v>41.876190000000001</v>
      </c>
      <c r="M5177">
        <v>6.6091230000000001E-2</v>
      </c>
      <c r="N5177">
        <v>0</v>
      </c>
      <c r="O5177">
        <v>-0.99770400000000004</v>
      </c>
      <c r="P5177">
        <v>0.29223510000000003</v>
      </c>
      <c r="Q5177">
        <v>0.1419011</v>
      </c>
      <c r="R5177">
        <v>-0.9457605</v>
      </c>
      <c r="S5177">
        <v>1.712494</v>
      </c>
      <c r="T5177">
        <v>-0.38045329999999999</v>
      </c>
      <c r="U5177">
        <v>-2.7119140000000002</v>
      </c>
      <c r="V5177">
        <v>-0.23107520000000001</v>
      </c>
      <c r="W5177">
        <v>0.15316450000000001</v>
      </c>
      <c r="X5177">
        <v>0.96080429999999994</v>
      </c>
      <c r="Y5177">
        <v>-0.47306310000000001</v>
      </c>
      <c r="Z5177">
        <v>0.119504399999999</v>
      </c>
      <c r="AA5177">
        <v>0.872886099999999</v>
      </c>
      <c r="AB5177">
        <v>34</v>
      </c>
      <c r="AC5177">
        <v>0.46039999999999198</v>
      </c>
      <c r="AD5177">
        <v>-0.108373999999999</v>
      </c>
      <c r="AE5177">
        <v>-0.43720999999999999</v>
      </c>
      <c r="AF5177">
        <v>-0.41830687540236999</v>
      </c>
      <c r="AG5177">
        <v>-0.108373999999999</v>
      </c>
      <c r="AH5177">
        <v>0.45347364210488</v>
      </c>
      <c r="AI5177">
        <v>99.963090309370102</v>
      </c>
      <c r="AJ5177">
        <v>132.68999716488599</v>
      </c>
      <c r="AK5177">
        <v>0.62638958322178295</v>
      </c>
      <c r="AL5177">
        <v>81.189641307109497</v>
      </c>
      <c r="AM5177">
        <v>103.522917392652</v>
      </c>
      <c r="AN5177">
        <v>1.00000000750688</v>
      </c>
    </row>
    <row r="5178" spans="1:40" x14ac:dyDescent="0.25">
      <c r="A5178" t="str">
        <f>"20190312164132731"</f>
        <v>20190312164132731</v>
      </c>
      <c r="B5178" t="str">
        <f>"1552380092721325"</f>
        <v>1552380092721325</v>
      </c>
      <c r="C5178" t="s">
        <v>40</v>
      </c>
      <c r="D5178">
        <v>5.0520139999999998</v>
      </c>
      <c r="E5178">
        <v>0.39225749999999998</v>
      </c>
      <c r="F5178" t="s">
        <v>42</v>
      </c>
      <c r="G5178">
        <v>-422.07650000000001</v>
      </c>
      <c r="H5178">
        <v>1.0095149999999999</v>
      </c>
      <c r="I5178">
        <v>41.140720000000002</v>
      </c>
      <c r="J5178">
        <v>-422.53300000000002</v>
      </c>
      <c r="K5178">
        <v>1.115793</v>
      </c>
      <c r="L5178">
        <v>41.659520000000001</v>
      </c>
      <c r="M5178">
        <v>7.0406949999999996E-2</v>
      </c>
      <c r="N5178">
        <v>0</v>
      </c>
      <c r="O5178">
        <v>-0.99740839999999997</v>
      </c>
      <c r="P5178">
        <v>0.298763</v>
      </c>
      <c r="Q5178">
        <v>0.1414337</v>
      </c>
      <c r="R5178">
        <v>-0.94378870000000004</v>
      </c>
      <c r="S5178">
        <v>1.7388920000000001</v>
      </c>
      <c r="T5178">
        <v>-0.38845239999999998</v>
      </c>
      <c r="U5178">
        <v>-2.6930540000000001</v>
      </c>
      <c r="V5178">
        <v>-0.23362359999999999</v>
      </c>
      <c r="W5178">
        <v>0.1525628</v>
      </c>
      <c r="X5178">
        <v>0.96028360000000001</v>
      </c>
      <c r="Y5178">
        <v>-0.47789870000000001</v>
      </c>
      <c r="Z5178">
        <v>0.1221657</v>
      </c>
      <c r="AA5178">
        <v>0.86987839999999905</v>
      </c>
      <c r="AB5178">
        <v>34</v>
      </c>
      <c r="AC5178">
        <v>0.45650000000000501</v>
      </c>
      <c r="AD5178">
        <v>-0.106278</v>
      </c>
      <c r="AE5178">
        <v>-0.51879999999999804</v>
      </c>
      <c r="AF5178">
        <v>-0.40915824742692303</v>
      </c>
      <c r="AG5178">
        <v>-0.106278</v>
      </c>
      <c r="AH5178">
        <v>0.53695632960846995</v>
      </c>
      <c r="AI5178">
        <v>98.946662079939998</v>
      </c>
      <c r="AJ5178">
        <v>127.307233532761</v>
      </c>
      <c r="AK5178">
        <v>0.68339416490636795</v>
      </c>
      <c r="AL5178">
        <v>81.224526045099097</v>
      </c>
      <c r="AM5178">
        <v>103.673622524987</v>
      </c>
      <c r="AN5178">
        <v>0.99999999342488</v>
      </c>
    </row>
    <row r="5179" spans="1:40" x14ac:dyDescent="0.25">
      <c r="A5179" t="str">
        <f>"20190312164132749"</f>
        <v>20190312164132749</v>
      </c>
      <c r="B5179" t="str">
        <f>"1552380092741821"</f>
        <v>1552380092741821</v>
      </c>
      <c r="C5179" t="s">
        <v>40</v>
      </c>
      <c r="D5179">
        <v>5.0588879999999996</v>
      </c>
      <c r="E5179">
        <v>0.3929164</v>
      </c>
      <c r="F5179" t="s">
        <v>42</v>
      </c>
      <c r="G5179">
        <v>-422.00990000000002</v>
      </c>
      <c r="H5179">
        <v>0.99898339999999997</v>
      </c>
      <c r="I5179">
        <v>40.859870000000001</v>
      </c>
      <c r="J5179">
        <v>-422.50740000000002</v>
      </c>
      <c r="K5179">
        <v>1.116047</v>
      </c>
      <c r="L5179">
        <v>41.377079999999999</v>
      </c>
      <c r="M5179">
        <v>7.6251340000000001E-2</v>
      </c>
      <c r="N5179">
        <v>0</v>
      </c>
      <c r="O5179">
        <v>-0.99697829999999998</v>
      </c>
      <c r="P5179">
        <v>0.30913780000000002</v>
      </c>
      <c r="Q5179">
        <v>0.13994789999999999</v>
      </c>
      <c r="R5179">
        <v>-0.9406641</v>
      </c>
      <c r="S5179">
        <v>1.755463</v>
      </c>
      <c r="T5179">
        <v>-0.39174680000000001</v>
      </c>
      <c r="U5179">
        <v>-2.681702</v>
      </c>
      <c r="V5179">
        <v>-0.2386363</v>
      </c>
      <c r="W5179">
        <v>0.15086840000000001</v>
      </c>
      <c r="X5179">
        <v>0.95931820000000001</v>
      </c>
      <c r="Y5179">
        <v>-0.47813480000000003</v>
      </c>
      <c r="Z5179">
        <v>0.1233361</v>
      </c>
      <c r="AA5179">
        <v>0.86958340000000001</v>
      </c>
      <c r="AB5179">
        <v>33</v>
      </c>
      <c r="AC5179">
        <v>0.497500000000002</v>
      </c>
      <c r="AD5179">
        <v>-0.117063599999999</v>
      </c>
      <c r="AE5179">
        <v>-0.51720999999999795</v>
      </c>
      <c r="AF5179">
        <v>-0.44477405476485998</v>
      </c>
      <c r="AG5179">
        <v>-0.117063599999999</v>
      </c>
      <c r="AH5179">
        <v>0.53929312535447305</v>
      </c>
      <c r="AI5179">
        <v>99.506691662226402</v>
      </c>
      <c r="AJ5179">
        <v>129.51360452065501</v>
      </c>
      <c r="AK5179">
        <v>0.70877706035927102</v>
      </c>
      <c r="AL5179">
        <v>81.322744902951698</v>
      </c>
      <c r="AM5179">
        <v>103.969148588256</v>
      </c>
      <c r="AN5179">
        <v>0.99999998332374396</v>
      </c>
    </row>
    <row r="5180" spans="1:40" x14ac:dyDescent="0.25">
      <c r="A5180" t="str">
        <f>"20190312164132764"</f>
        <v>20190312164132764</v>
      </c>
      <c r="B5180" t="str">
        <f>"1552380092761341"</f>
        <v>1552380092761341</v>
      </c>
      <c r="C5180" t="s">
        <v>40</v>
      </c>
      <c r="D5180">
        <v>5.0100319999999998</v>
      </c>
      <c r="E5180">
        <v>0.393399</v>
      </c>
      <c r="F5180" t="s">
        <v>42</v>
      </c>
      <c r="G5180">
        <v>-421.9692</v>
      </c>
      <c r="H5180">
        <v>0.99518200000000001</v>
      </c>
      <c r="I5180">
        <v>40.570880000000002</v>
      </c>
      <c r="J5180">
        <v>-422.48610000000002</v>
      </c>
      <c r="K5180">
        <v>1.116247</v>
      </c>
      <c r="L5180">
        <v>41.156100000000002</v>
      </c>
      <c r="M5180">
        <v>8.1010949999999998E-2</v>
      </c>
      <c r="N5180">
        <v>0</v>
      </c>
      <c r="O5180">
        <v>-0.99660280000000001</v>
      </c>
      <c r="P5180">
        <v>0.31616060000000001</v>
      </c>
      <c r="Q5180">
        <v>0.13952139999999999</v>
      </c>
      <c r="R5180">
        <v>-0.93839059999999996</v>
      </c>
      <c r="S5180">
        <v>1.7785949999999999</v>
      </c>
      <c r="T5180">
        <v>-0.39940750000000003</v>
      </c>
      <c r="U5180">
        <v>-2.6641240000000002</v>
      </c>
      <c r="V5180">
        <v>-0.2412947</v>
      </c>
      <c r="W5180">
        <v>0.15029609999999999</v>
      </c>
      <c r="X5180">
        <v>0.95874289999999995</v>
      </c>
      <c r="Y5180">
        <v>-0.4816377</v>
      </c>
      <c r="Z5180">
        <v>0.12591179999999999</v>
      </c>
      <c r="AA5180">
        <v>0.86727809999999905</v>
      </c>
      <c r="AB5180">
        <v>33</v>
      </c>
      <c r="AC5180">
        <v>0.51690000000002101</v>
      </c>
      <c r="AD5180">
        <v>-0.12106499999999901</v>
      </c>
      <c r="AE5180">
        <v>-0.58522000000000596</v>
      </c>
      <c r="AF5180">
        <v>-0.456804424649358</v>
      </c>
      <c r="AG5180">
        <v>-0.12106499999999901</v>
      </c>
      <c r="AH5180">
        <v>0.61049855062208402</v>
      </c>
      <c r="AI5180">
        <v>99.021969536779494</v>
      </c>
      <c r="AJ5180">
        <v>126.805605314581</v>
      </c>
      <c r="AK5180">
        <v>0.77203335220435698</v>
      </c>
      <c r="AL5180">
        <v>81.355913621399495</v>
      </c>
      <c r="AM5180">
        <v>104.126706056437</v>
      </c>
      <c r="AN5180">
        <v>0.999999999111854</v>
      </c>
    </row>
    <row r="5181" spans="1:40" x14ac:dyDescent="0.25">
      <c r="A5181" t="str">
        <f>"20190312164132782"</f>
        <v>20190312164132782</v>
      </c>
      <c r="B5181" t="str">
        <f>"1552380092771101"</f>
        <v>1552380092771101</v>
      </c>
      <c r="C5181" t="s">
        <v>40</v>
      </c>
      <c r="D5181">
        <v>5.2505959999999998</v>
      </c>
      <c r="E5181">
        <v>0.39369959999999998</v>
      </c>
      <c r="F5181" t="s">
        <v>42</v>
      </c>
      <c r="G5181">
        <v>-421.90100000000001</v>
      </c>
      <c r="H5181">
        <v>0.98493869999999895</v>
      </c>
      <c r="I5181">
        <v>40.290730000000003</v>
      </c>
      <c r="J5181">
        <v>-422.4588</v>
      </c>
      <c r="K5181">
        <v>1.1164829999999999</v>
      </c>
      <c r="L5181">
        <v>40.888890000000004</v>
      </c>
      <c r="M5181">
        <v>8.6985339999999994E-2</v>
      </c>
      <c r="N5181">
        <v>0</v>
      </c>
      <c r="O5181">
        <v>-0.99609859999999995</v>
      </c>
      <c r="P5181">
        <v>0.32637490000000002</v>
      </c>
      <c r="Q5181">
        <v>0.13821369999999999</v>
      </c>
      <c r="R5181">
        <v>-0.9350811</v>
      </c>
      <c r="S5181">
        <v>1.794281</v>
      </c>
      <c r="T5181">
        <v>-0.40245429999999999</v>
      </c>
      <c r="U5181">
        <v>-2.6522519999999998</v>
      </c>
      <c r="V5181">
        <v>-0.2460611</v>
      </c>
      <c r="W5181">
        <v>0.1487841</v>
      </c>
      <c r="X5181">
        <v>0.95776680000000003</v>
      </c>
      <c r="Y5181">
        <v>-0.48163709999999998</v>
      </c>
      <c r="Z5181">
        <v>0.1270307</v>
      </c>
      <c r="AA5181">
        <v>0.86711530000000003</v>
      </c>
      <c r="AB5181">
        <v>33</v>
      </c>
      <c r="AC5181">
        <v>0.55779999999998597</v>
      </c>
      <c r="AD5181">
        <v>-0.1315443</v>
      </c>
      <c r="AE5181">
        <v>-0.59816000000000702</v>
      </c>
      <c r="AF5181">
        <v>-0.49094858140881598</v>
      </c>
      <c r="AG5181">
        <v>-0.1315443</v>
      </c>
      <c r="AH5181">
        <v>0.628168678693516</v>
      </c>
      <c r="AI5181">
        <v>99.369112308060707</v>
      </c>
      <c r="AJ5181">
        <v>128.009594512478</v>
      </c>
      <c r="AK5181">
        <v>0.80804102701618896</v>
      </c>
      <c r="AL5181">
        <v>81.443530116649001</v>
      </c>
      <c r="AM5181">
        <v>104.40832727143</v>
      </c>
      <c r="AN5181">
        <v>1.0000000082641201</v>
      </c>
    </row>
    <row r="5182" spans="1:40" x14ac:dyDescent="0.25">
      <c r="A5182" t="str">
        <f>"20190312164132806"</f>
        <v>20190312164132806</v>
      </c>
      <c r="B5182" t="str">
        <f>"1552380092801357"</f>
        <v>1552380092801357</v>
      </c>
      <c r="C5182" t="s">
        <v>40</v>
      </c>
      <c r="D5182">
        <v>4.9967110000000003</v>
      </c>
      <c r="E5182">
        <v>0.39460000000000001</v>
      </c>
      <c r="F5182" t="s">
        <v>42</v>
      </c>
      <c r="G5182">
        <v>-421.84930000000003</v>
      </c>
      <c r="H5182">
        <v>0.97961290000000001</v>
      </c>
      <c r="I5182">
        <v>40.006019999999999</v>
      </c>
      <c r="J5182">
        <v>-422.42169999999999</v>
      </c>
      <c r="K5182">
        <v>1.1167750000000001</v>
      </c>
      <c r="L5182">
        <v>40.553739999999998</v>
      </c>
      <c r="M5182">
        <v>9.4829620000000003E-2</v>
      </c>
      <c r="N5182">
        <v>0</v>
      </c>
      <c r="O5182">
        <v>-0.99538210000000005</v>
      </c>
      <c r="P5182">
        <v>0.33795770000000003</v>
      </c>
      <c r="Q5182">
        <v>0.13856370000000001</v>
      </c>
      <c r="R5182">
        <v>-0.9309056</v>
      </c>
      <c r="S5182">
        <v>1.818085</v>
      </c>
      <c r="T5182">
        <v>-0.40834330000000002</v>
      </c>
      <c r="U5182">
        <v>-2.634064</v>
      </c>
      <c r="V5182">
        <v>-0.25053009999999998</v>
      </c>
      <c r="W5182">
        <v>0.14890200000000001</v>
      </c>
      <c r="X5182">
        <v>0.95658920000000003</v>
      </c>
      <c r="Y5182">
        <v>-0.4827051</v>
      </c>
      <c r="Z5182">
        <v>0.12909769999999901</v>
      </c>
      <c r="AA5182">
        <v>0.86621569999999903</v>
      </c>
      <c r="AB5182">
        <v>33</v>
      </c>
      <c r="AC5182">
        <v>0.57239999999995905</v>
      </c>
      <c r="AD5182">
        <v>-0.13716209999999901</v>
      </c>
      <c r="AE5182">
        <v>-0.54772000000000498</v>
      </c>
      <c r="AF5182">
        <v>-0.50280259581053799</v>
      </c>
      <c r="AG5182">
        <v>-0.13716209999999901</v>
      </c>
      <c r="AH5182">
        <v>0.58208955522453898</v>
      </c>
      <c r="AI5182">
        <v>100.11084227921999</v>
      </c>
      <c r="AJ5182">
        <v>130.820095018134</v>
      </c>
      <c r="AK5182">
        <v>0.78131436844059599</v>
      </c>
      <c r="AL5182">
        <v>81.436698925760396</v>
      </c>
      <c r="AM5182">
        <v>104.676103539553</v>
      </c>
      <c r="AN5182">
        <v>1.0000000170833201</v>
      </c>
    </row>
    <row r="5183" spans="1:40" x14ac:dyDescent="0.25">
      <c r="A5183" t="str">
        <f>"20190312164132828"</f>
        <v>20190312164132828</v>
      </c>
      <c r="B5183" t="str">
        <f>"1552380092821853"</f>
        <v>1552380092821853</v>
      </c>
      <c r="C5183" t="s">
        <v>40</v>
      </c>
      <c r="D5183">
        <v>4.9911029999999998</v>
      </c>
      <c r="E5183">
        <v>0.3951905</v>
      </c>
      <c r="F5183" t="s">
        <v>42</v>
      </c>
      <c r="G5183">
        <v>-421.82870000000003</v>
      </c>
      <c r="H5183">
        <v>0.98522520000000002</v>
      </c>
      <c r="I5183">
        <v>39.711680000000001</v>
      </c>
      <c r="J5183">
        <v>-422.38220000000001</v>
      </c>
      <c r="K5183">
        <v>1.117057</v>
      </c>
      <c r="L5183">
        <v>40.222560000000001</v>
      </c>
      <c r="M5183">
        <v>0.1029272</v>
      </c>
      <c r="N5183">
        <v>0</v>
      </c>
      <c r="O5183">
        <v>-0.99457680000000004</v>
      </c>
      <c r="P5183">
        <v>0.34964889999999998</v>
      </c>
      <c r="Q5183">
        <v>0.1395951</v>
      </c>
      <c r="R5183">
        <v>-0.926423</v>
      </c>
      <c r="S5183">
        <v>1.842133</v>
      </c>
      <c r="T5183">
        <v>-0.40848000000000001</v>
      </c>
      <c r="U5183">
        <v>-2.6146850000000001</v>
      </c>
      <c r="V5183">
        <v>-0.25492609999999999</v>
      </c>
      <c r="W5183">
        <v>0.14970539999999999</v>
      </c>
      <c r="X5183">
        <v>0.95530150000000003</v>
      </c>
      <c r="Y5183">
        <v>-0.4839176</v>
      </c>
      <c r="Z5183">
        <v>0.1293994</v>
      </c>
      <c r="AA5183">
        <v>0.86549379999999998</v>
      </c>
      <c r="AB5183">
        <v>33</v>
      </c>
      <c r="AC5183">
        <v>0.553499999999985</v>
      </c>
      <c r="AD5183">
        <v>-0.131831799999999</v>
      </c>
      <c r="AE5183">
        <v>-0.51087999999999301</v>
      </c>
      <c r="AF5183">
        <v>-0.483169680816258</v>
      </c>
      <c r="AG5183">
        <v>-0.131831799999999</v>
      </c>
      <c r="AH5183">
        <v>0.54834546872148104</v>
      </c>
      <c r="AI5183">
        <v>100.225199694365</v>
      </c>
      <c r="AJ5183">
        <v>131.384599889871</v>
      </c>
      <c r="AK5183">
        <v>0.74264077252646599</v>
      </c>
      <c r="AL5183">
        <v>81.390145460172604</v>
      </c>
      <c r="AM5183">
        <v>104.941441644862</v>
      </c>
      <c r="AN5183">
        <v>0.99999998957630998</v>
      </c>
    </row>
    <row r="5184" spans="1:40" x14ac:dyDescent="0.25">
      <c r="A5184" t="str">
        <f>"20190312164132850"</f>
        <v>20190312164132850</v>
      </c>
      <c r="B5184" t="str">
        <f>"1552380092841373"</f>
        <v>1552380092841373</v>
      </c>
      <c r="C5184" t="s">
        <v>40</v>
      </c>
      <c r="D5184">
        <v>5.1436970000000004</v>
      </c>
      <c r="E5184">
        <v>0.39578639999999998</v>
      </c>
      <c r="F5184" t="s">
        <v>42</v>
      </c>
      <c r="G5184">
        <v>-421.803</v>
      </c>
      <c r="H5184">
        <v>0.99120529999999996</v>
      </c>
      <c r="I5184">
        <v>39.418869999999998</v>
      </c>
      <c r="J5184">
        <v>-422.34249999999997</v>
      </c>
      <c r="K5184">
        <v>1.117316</v>
      </c>
      <c r="L5184">
        <v>39.91263</v>
      </c>
      <c r="M5184">
        <v>0.1108068</v>
      </c>
      <c r="N5184">
        <v>0</v>
      </c>
      <c r="O5184">
        <v>-0.99372930000000004</v>
      </c>
      <c r="P5184">
        <v>0.36140739999999999</v>
      </c>
      <c r="Q5184">
        <v>0.14092189999999999</v>
      </c>
      <c r="R5184">
        <v>-0.9216974</v>
      </c>
      <c r="S5184">
        <v>1.8694459999999999</v>
      </c>
      <c r="T5184">
        <v>-0.40618339999999997</v>
      </c>
      <c r="U5184">
        <v>-2.5939030000000001</v>
      </c>
      <c r="V5184">
        <v>-0.25965189999999999</v>
      </c>
      <c r="W5184">
        <v>0.1508062</v>
      </c>
      <c r="X5184">
        <v>0.95385450000000005</v>
      </c>
      <c r="Y5184">
        <v>-0.48632370000000003</v>
      </c>
      <c r="Z5184">
        <v>0.12889829999999999</v>
      </c>
      <c r="AA5184">
        <v>0.86421909999999902</v>
      </c>
      <c r="AB5184">
        <v>33</v>
      </c>
      <c r="AC5184">
        <v>0.53949999999991805</v>
      </c>
      <c r="AD5184">
        <v>-0.12611069999999999</v>
      </c>
      <c r="AE5184">
        <v>-0.49376000000000098</v>
      </c>
      <c r="AF5184">
        <v>-0.46755623019700998</v>
      </c>
      <c r="AG5184">
        <v>-0.12611069999999999</v>
      </c>
      <c r="AH5184">
        <v>0.53460921324508004</v>
      </c>
      <c r="AI5184">
        <v>100.068784620065</v>
      </c>
      <c r="AJ5184">
        <v>131.17215363538099</v>
      </c>
      <c r="AK5184">
        <v>0.72133192632591303</v>
      </c>
      <c r="AL5184">
        <v>81.326350207953695</v>
      </c>
      <c r="AM5184">
        <v>105.227706453905</v>
      </c>
      <c r="AN5184">
        <v>1.0000000131511499</v>
      </c>
    </row>
    <row r="5185" spans="1:40" x14ac:dyDescent="0.25">
      <c r="A5185" t="str">
        <f>"20190312164132863"</f>
        <v>20190312164132863</v>
      </c>
      <c r="B5185" t="str">
        <f>"1552380092861869"</f>
        <v>1552380092861869</v>
      </c>
      <c r="C5185" t="s">
        <v>40</v>
      </c>
      <c r="D5185">
        <v>5.0257579999999997</v>
      </c>
      <c r="E5185">
        <v>0.39642749999999999</v>
      </c>
      <c r="F5185" t="s">
        <v>42</v>
      </c>
      <c r="G5185">
        <v>-421.76549999999997</v>
      </c>
      <c r="H5185">
        <v>0.99386169999999996</v>
      </c>
      <c r="I5185">
        <v>39.130009999999999</v>
      </c>
      <c r="J5185">
        <v>-422.31389999999999</v>
      </c>
      <c r="K5185">
        <v>1.117486</v>
      </c>
      <c r="L5185">
        <v>39.701689999999999</v>
      </c>
      <c r="M5185">
        <v>0.116329</v>
      </c>
      <c r="N5185">
        <v>0</v>
      </c>
      <c r="O5185">
        <v>-0.99309780000000003</v>
      </c>
      <c r="P5185">
        <v>0.368977</v>
      </c>
      <c r="Q5185">
        <v>0.14139019999999999</v>
      </c>
      <c r="R5185">
        <v>-0.91862120000000003</v>
      </c>
      <c r="S5185">
        <v>1.896973</v>
      </c>
      <c r="T5185">
        <v>-0.40588049999999998</v>
      </c>
      <c r="U5185">
        <v>-2.5730900000000001</v>
      </c>
      <c r="V5185">
        <v>-0.26227840000000002</v>
      </c>
      <c r="W5185">
        <v>0.15113370000000001</v>
      </c>
      <c r="X5185">
        <v>0.95308380000000004</v>
      </c>
      <c r="Y5185">
        <v>-0.4907975</v>
      </c>
      <c r="Z5185">
        <v>0.1289708</v>
      </c>
      <c r="AA5185">
        <v>0.86167530000000003</v>
      </c>
      <c r="AB5185">
        <v>33</v>
      </c>
      <c r="AC5185">
        <v>0.54840000000001499</v>
      </c>
      <c r="AD5185">
        <v>-0.12362429999999899</v>
      </c>
      <c r="AE5185">
        <v>-0.57167999999999997</v>
      </c>
      <c r="AF5185">
        <v>-0.46679759521639203</v>
      </c>
      <c r="AG5185">
        <v>-0.12362429999999899</v>
      </c>
      <c r="AH5185">
        <v>0.61658416017696305</v>
      </c>
      <c r="AI5185">
        <v>99.082164405062102</v>
      </c>
      <c r="AJ5185">
        <v>127.128284310496</v>
      </c>
      <c r="AK5185">
        <v>0.78317238781217702</v>
      </c>
      <c r="AL5185">
        <v>81.307368529721501</v>
      </c>
      <c r="AM5185">
        <v>105.386330721889</v>
      </c>
      <c r="AN5185">
        <v>1.0000000421023401</v>
      </c>
    </row>
    <row r="5186" spans="1:40" x14ac:dyDescent="0.25">
      <c r="A5186" t="str">
        <f>"20190312164132877"</f>
        <v>20190312164132877</v>
      </c>
      <c r="B5186" t="str">
        <f>"1552380092871629"</f>
        <v>1552380092871629</v>
      </c>
      <c r="C5186" t="s">
        <v>40</v>
      </c>
      <c r="D5186">
        <v>5.0107710000000001</v>
      </c>
      <c r="E5186">
        <v>0.39642749999999999</v>
      </c>
      <c r="F5186" t="s">
        <v>42</v>
      </c>
      <c r="G5186">
        <v>-421.68279999999999</v>
      </c>
      <c r="H5186">
        <v>0.98284499999999997</v>
      </c>
      <c r="I5186">
        <v>38.856900000000003</v>
      </c>
      <c r="J5186">
        <v>-422.28550000000001</v>
      </c>
      <c r="K5186">
        <v>1.1176429999999999</v>
      </c>
      <c r="L5186">
        <v>39.499110000000002</v>
      </c>
      <c r="M5186">
        <v>0.1217323</v>
      </c>
      <c r="N5186">
        <v>0</v>
      </c>
      <c r="O5186">
        <v>-0.99244960000000004</v>
      </c>
      <c r="P5186">
        <v>0.37662610000000002</v>
      </c>
      <c r="Q5186">
        <v>0.1418682</v>
      </c>
      <c r="R5186">
        <v>-0.91543790000000003</v>
      </c>
      <c r="S5186">
        <v>1.912598</v>
      </c>
      <c r="T5186">
        <v>-0.40806750000000003</v>
      </c>
      <c r="U5186">
        <v>-2.5603940000000001</v>
      </c>
      <c r="V5186">
        <v>-0.26512029999999998</v>
      </c>
      <c r="W5186">
        <v>0.15146789999999999</v>
      </c>
      <c r="X5186">
        <v>0.95224399999999998</v>
      </c>
      <c r="Y5186">
        <v>-0.49142819999999998</v>
      </c>
      <c r="Z5186">
        <v>0.12979540000000001</v>
      </c>
      <c r="AA5186">
        <v>0.86119190000000001</v>
      </c>
      <c r="AB5186">
        <v>33</v>
      </c>
      <c r="AC5186">
        <v>0.60270000000002699</v>
      </c>
      <c r="AD5186">
        <v>-0.134797999999999</v>
      </c>
      <c r="AE5186">
        <v>-0.64220999999999095</v>
      </c>
      <c r="AF5186">
        <v>-0.50812719670537498</v>
      </c>
      <c r="AG5186">
        <v>-0.134797999999999</v>
      </c>
      <c r="AH5186">
        <v>0.69453935880164497</v>
      </c>
      <c r="AI5186">
        <v>98.902376297039496</v>
      </c>
      <c r="AJ5186">
        <v>126.189320701797</v>
      </c>
      <c r="AK5186">
        <v>0.87106180593587201</v>
      </c>
      <c r="AL5186">
        <v>81.287996614026994</v>
      </c>
      <c r="AM5186">
        <v>105.558072080496</v>
      </c>
      <c r="AN5186">
        <v>0.99999996686924897</v>
      </c>
    </row>
    <row r="5187" spans="1:40" x14ac:dyDescent="0.25">
      <c r="A5187" t="str">
        <f>"20190312164132891"</f>
        <v>20190312164132891</v>
      </c>
      <c r="B5187" t="str">
        <f>"1552380092881389"</f>
        <v>1552380092881389</v>
      </c>
      <c r="C5187" t="s">
        <v>40</v>
      </c>
      <c r="D5187">
        <v>4.9379119999999999</v>
      </c>
      <c r="E5187">
        <v>0.41463800000000001</v>
      </c>
      <c r="F5187" t="s">
        <v>42</v>
      </c>
      <c r="G5187">
        <v>-421.77280000000002</v>
      </c>
      <c r="H5187">
        <v>1.009671</v>
      </c>
      <c r="I5187">
        <v>38.824480000000001</v>
      </c>
      <c r="J5187">
        <v>-422.25779999999997</v>
      </c>
      <c r="K5187">
        <v>1.1177870000000001</v>
      </c>
      <c r="L5187">
        <v>39.313200000000002</v>
      </c>
      <c r="M5187">
        <v>0.12684309999999999</v>
      </c>
      <c r="N5187">
        <v>0</v>
      </c>
      <c r="O5187">
        <v>-0.99180900000000005</v>
      </c>
      <c r="P5187">
        <v>0.38415630000000001</v>
      </c>
      <c r="Q5187">
        <v>0.14217009999999999</v>
      </c>
      <c r="R5187">
        <v>-0.91225639999999997</v>
      </c>
      <c r="S5187">
        <v>1.933319</v>
      </c>
      <c r="T5187">
        <v>-0.40727970000000002</v>
      </c>
      <c r="U5187">
        <v>-2.5448300000000001</v>
      </c>
      <c r="V5187">
        <v>-0.26813039999999999</v>
      </c>
      <c r="W5187">
        <v>0.1516306</v>
      </c>
      <c r="X5187">
        <v>0.95137490000000002</v>
      </c>
      <c r="Y5187">
        <v>-0.49394860000000002</v>
      </c>
      <c r="Z5187">
        <v>0.12966279999999999</v>
      </c>
      <c r="AA5187">
        <v>0.8597688</v>
      </c>
      <c r="AB5187">
        <v>33</v>
      </c>
      <c r="AC5187">
        <v>0.48499999999995602</v>
      </c>
      <c r="AD5187">
        <v>-0.108116</v>
      </c>
      <c r="AE5187">
        <v>-0.48871999999999999</v>
      </c>
      <c r="AF5187">
        <v>-0.40899932447181298</v>
      </c>
      <c r="AG5187">
        <v>-0.108116</v>
      </c>
      <c r="AH5187">
        <v>0.53315168560654302</v>
      </c>
      <c r="AI5187">
        <v>99.140343212227904</v>
      </c>
      <c r="AJ5187">
        <v>127.49307620472101</v>
      </c>
      <c r="AK5187">
        <v>0.68060284802482096</v>
      </c>
      <c r="AL5187">
        <v>81.278565734246897</v>
      </c>
      <c r="AM5187">
        <v>105.73967489881301</v>
      </c>
      <c r="AN5187">
        <v>0.99999997530526397</v>
      </c>
    </row>
    <row r="5188" spans="1:40" x14ac:dyDescent="0.25">
      <c r="A5188" t="str">
        <f>"20190312164132903"</f>
        <v>20190312164132903</v>
      </c>
      <c r="B5188" t="str">
        <f>"1552380092901885"</f>
        <v>1552380092901885</v>
      </c>
      <c r="C5188" t="s">
        <v>40</v>
      </c>
      <c r="D5188">
        <v>4.9147999999999996</v>
      </c>
      <c r="E5188">
        <v>0.41657169999999999</v>
      </c>
      <c r="F5188" t="s">
        <v>42</v>
      </c>
      <c r="G5188">
        <v>-421.7165</v>
      </c>
      <c r="H5188">
        <v>0.98791379999999995</v>
      </c>
      <c r="I5188">
        <v>38.543170000000003</v>
      </c>
      <c r="J5188">
        <v>-422.22890000000001</v>
      </c>
      <c r="K5188">
        <v>1.1179220000000001</v>
      </c>
      <c r="L5188">
        <v>39.124209999999998</v>
      </c>
      <c r="M5188">
        <v>0.13210459999999999</v>
      </c>
      <c r="N5188">
        <v>0</v>
      </c>
      <c r="O5188">
        <v>-0.99112169999999999</v>
      </c>
      <c r="P5188">
        <v>0.3916308</v>
      </c>
      <c r="Q5188">
        <v>0.1423461</v>
      </c>
      <c r="R5188">
        <v>-0.90904529999999995</v>
      </c>
      <c r="S5188">
        <v>1.820648</v>
      </c>
      <c r="T5188">
        <v>-0.4368126</v>
      </c>
      <c r="U5188">
        <v>-2.5899350000000001</v>
      </c>
      <c r="V5188">
        <v>-0.27095380000000002</v>
      </c>
      <c r="W5188">
        <v>0.1516692</v>
      </c>
      <c r="X5188">
        <v>0.95056850000000004</v>
      </c>
      <c r="Y5188">
        <v>-0.45632739999999999</v>
      </c>
      <c r="Z5188">
        <v>0.13988299999999901</v>
      </c>
      <c r="AA5188">
        <v>0.87874799999999997</v>
      </c>
      <c r="AB5188">
        <v>33</v>
      </c>
      <c r="AC5188">
        <v>0.51240000000001296</v>
      </c>
      <c r="AD5188">
        <v>-0.13000819999999899</v>
      </c>
      <c r="AE5188">
        <v>-0.58103999999999401</v>
      </c>
      <c r="AF5188">
        <v>-0.41933195658996603</v>
      </c>
      <c r="AG5188">
        <v>-0.13000819999999899</v>
      </c>
      <c r="AH5188">
        <v>0.62601431091691195</v>
      </c>
      <c r="AI5188">
        <v>99.789623847432594</v>
      </c>
      <c r="AJ5188">
        <v>123.81591753173799</v>
      </c>
      <c r="AK5188">
        <v>0.76461450375832296</v>
      </c>
      <c r="AL5188">
        <v>81.276328373106296</v>
      </c>
      <c r="AM5188">
        <v>105.909880882599</v>
      </c>
      <c r="AN5188">
        <v>0.99999999057766498</v>
      </c>
    </row>
    <row r="5189" spans="1:40" x14ac:dyDescent="0.25">
      <c r="A5189" t="str">
        <f>"20190312164132916"</f>
        <v>20190312164132916</v>
      </c>
      <c r="B5189" t="str">
        <f>"1552380092911646"</f>
        <v>1552380092911646</v>
      </c>
      <c r="C5189" t="s">
        <v>40</v>
      </c>
      <c r="D5189">
        <v>5.0873309999999998</v>
      </c>
      <c r="E5189">
        <v>0.41703689999999999</v>
      </c>
      <c r="F5189" t="s">
        <v>42</v>
      </c>
      <c r="G5189">
        <v>-421.6266</v>
      </c>
      <c r="H5189">
        <v>0.97885549999999999</v>
      </c>
      <c r="I5189">
        <v>38.273099999999999</v>
      </c>
      <c r="J5189">
        <v>-422.19909999999999</v>
      </c>
      <c r="K5189">
        <v>1.1180650000000001</v>
      </c>
      <c r="L5189">
        <v>38.936219999999999</v>
      </c>
      <c r="M5189">
        <v>0.1374213</v>
      </c>
      <c r="N5189">
        <v>0</v>
      </c>
      <c r="O5189">
        <v>-0.990398</v>
      </c>
      <c r="P5189">
        <v>0.4022017</v>
      </c>
      <c r="Q5189">
        <v>0.1430167</v>
      </c>
      <c r="R5189">
        <v>-0.9043118</v>
      </c>
      <c r="S5189">
        <v>1.8254090000000001</v>
      </c>
      <c r="T5189">
        <v>-0.42151450000000001</v>
      </c>
      <c r="U5189">
        <v>-2.579742</v>
      </c>
      <c r="V5189">
        <v>-0.27702080000000001</v>
      </c>
      <c r="W5189">
        <v>0.15212539999999999</v>
      </c>
      <c r="X5189">
        <v>0.94874510000000001</v>
      </c>
      <c r="Y5189">
        <v>-0.45463979999999998</v>
      </c>
      <c r="Z5189">
        <v>0.1353606</v>
      </c>
      <c r="AA5189">
        <v>0.88032949999999999</v>
      </c>
      <c r="AB5189">
        <v>33</v>
      </c>
      <c r="AC5189">
        <v>0.57249999999999002</v>
      </c>
      <c r="AD5189">
        <v>-0.13920949999999899</v>
      </c>
      <c r="AE5189">
        <v>-0.66311999999999904</v>
      </c>
      <c r="AF5189">
        <v>-0.46420865585207399</v>
      </c>
      <c r="AG5189">
        <v>-0.13920949999999899</v>
      </c>
      <c r="AH5189">
        <v>0.71739545077550404</v>
      </c>
      <c r="AI5189">
        <v>99.253112983599195</v>
      </c>
      <c r="AJ5189">
        <v>122.905895922513</v>
      </c>
      <c r="AK5189">
        <v>0.86575123092700701</v>
      </c>
      <c r="AL5189">
        <v>81.249882930990694</v>
      </c>
      <c r="AM5189">
        <v>106.2770938307</v>
      </c>
      <c r="AN5189">
        <v>0.99999996286590398</v>
      </c>
    </row>
    <row r="5190" spans="1:40" x14ac:dyDescent="0.25">
      <c r="A5190" t="str">
        <f>"20190312164132939"</f>
        <v>20190312164132939</v>
      </c>
      <c r="B5190" t="str">
        <f>"1552380092931182"</f>
        <v>1552380092931182</v>
      </c>
      <c r="C5190" t="s">
        <v>40</v>
      </c>
      <c r="D5190">
        <v>4.9928220000000003</v>
      </c>
      <c r="E5190">
        <v>0.41806310000000002</v>
      </c>
      <c r="F5190" t="s">
        <v>42</v>
      </c>
      <c r="G5190">
        <v>-421.6472</v>
      </c>
      <c r="H5190">
        <v>0.98706930000000004</v>
      </c>
      <c r="I5190">
        <v>38.171550000000003</v>
      </c>
      <c r="J5190">
        <v>-422.14519999999999</v>
      </c>
      <c r="K5190">
        <v>1.1182909999999999</v>
      </c>
      <c r="L5190">
        <v>38.61365</v>
      </c>
      <c r="M5190">
        <v>0.14677750000000001</v>
      </c>
      <c r="N5190">
        <v>0</v>
      </c>
      <c r="O5190">
        <v>-0.98905449999999995</v>
      </c>
      <c r="P5190">
        <v>0.41646270000000002</v>
      </c>
      <c r="Q5190">
        <v>0.14374899999999999</v>
      </c>
      <c r="R5190">
        <v>-0.89771669999999903</v>
      </c>
      <c r="S5190">
        <v>1.8505860000000001</v>
      </c>
      <c r="T5190">
        <v>-0.43921169999999998</v>
      </c>
      <c r="U5190">
        <v>-2.563812</v>
      </c>
      <c r="V5190">
        <v>-0.28319090000000002</v>
      </c>
      <c r="W5190">
        <v>0.15258959999999999</v>
      </c>
      <c r="X5190">
        <v>0.94684710000000005</v>
      </c>
      <c r="Y5190">
        <v>-0.45406839999999998</v>
      </c>
      <c r="Z5190">
        <v>0.1409897</v>
      </c>
      <c r="AA5190">
        <v>0.87974079999999999</v>
      </c>
      <c r="AB5190">
        <v>33</v>
      </c>
      <c r="AC5190">
        <v>0.49799999999999001</v>
      </c>
      <c r="AD5190">
        <v>-0.131221699999999</v>
      </c>
      <c r="AE5190">
        <v>-0.442099999999996</v>
      </c>
      <c r="AF5190">
        <v>-0.41172062210997601</v>
      </c>
      <c r="AG5190">
        <v>-0.131221699999999</v>
      </c>
      <c r="AH5190">
        <v>0.49133599908270698</v>
      </c>
      <c r="AI5190">
        <v>101.568800028966</v>
      </c>
      <c r="AJ5190">
        <v>129.96170971784599</v>
      </c>
      <c r="AK5190">
        <v>0.654327188198777</v>
      </c>
      <c r="AL5190">
        <v>81.222972839013806</v>
      </c>
      <c r="AM5190">
        <v>106.65130934861401</v>
      </c>
      <c r="AN5190">
        <v>1.0000000513246801</v>
      </c>
    </row>
    <row r="5191" spans="1:40" x14ac:dyDescent="0.25">
      <c r="A5191" t="str">
        <f>"20190312164132961"</f>
        <v>20190312164132961</v>
      </c>
      <c r="B5191" t="str">
        <f>"1552380092951664"</f>
        <v>1552380092951664</v>
      </c>
      <c r="C5191" t="s">
        <v>40</v>
      </c>
      <c r="D5191">
        <v>5.0379350000000001</v>
      </c>
      <c r="E5191">
        <v>0.4131399</v>
      </c>
      <c r="F5191" t="s">
        <v>42</v>
      </c>
      <c r="G5191">
        <v>-421.48259999999999</v>
      </c>
      <c r="H5191">
        <v>0.97334129999999996</v>
      </c>
      <c r="I5191">
        <v>37.720500000000001</v>
      </c>
      <c r="J5191">
        <v>-422.0881</v>
      </c>
      <c r="K5191">
        <v>1.1184940000000001</v>
      </c>
      <c r="L5191">
        <v>38.293489999999998</v>
      </c>
      <c r="M5191">
        <v>0.15631349999999999</v>
      </c>
      <c r="N5191">
        <v>0</v>
      </c>
      <c r="O5191">
        <v>-0.98759169999999996</v>
      </c>
      <c r="P5191">
        <v>0.43168109999999998</v>
      </c>
      <c r="Q5191">
        <v>0.1434724</v>
      </c>
      <c r="R5191">
        <v>-0.89054310000000003</v>
      </c>
      <c r="S5191">
        <v>1.880676</v>
      </c>
      <c r="T5191">
        <v>-0.41144120000000001</v>
      </c>
      <c r="U5191">
        <v>-2.5352480000000002</v>
      </c>
      <c r="V5191">
        <v>-0.29024349999999999</v>
      </c>
      <c r="W5191">
        <v>0.15202979999999899</v>
      </c>
      <c r="X5191">
        <v>0.94479919999999995</v>
      </c>
      <c r="Y5191">
        <v>-0.45764519999999997</v>
      </c>
      <c r="Z5191">
        <v>0.13259479999999901</v>
      </c>
      <c r="AA5191">
        <v>0.87919249999999904</v>
      </c>
      <c r="AB5191">
        <v>33</v>
      </c>
      <c r="AC5191">
        <v>0.60550000000000603</v>
      </c>
      <c r="AD5191">
        <v>-0.1451527</v>
      </c>
      <c r="AE5191">
        <v>-0.572990000000004</v>
      </c>
      <c r="AF5191">
        <v>-0.493516508199142</v>
      </c>
      <c r="AG5191">
        <v>-0.1451527</v>
      </c>
      <c r="AH5191">
        <v>0.64116482102441996</v>
      </c>
      <c r="AI5191">
        <v>100.170621309925</v>
      </c>
      <c r="AJ5191">
        <v>127.586149070109</v>
      </c>
      <c r="AK5191">
        <v>0.82202200572833795</v>
      </c>
      <c r="AL5191">
        <v>81.255424656804095</v>
      </c>
      <c r="AM5191">
        <v>107.077023496666</v>
      </c>
      <c r="AN5191">
        <v>0.99999993885046301</v>
      </c>
    </row>
    <row r="5192" spans="1:40" x14ac:dyDescent="0.25">
      <c r="A5192" t="str">
        <f>"20190312164132974"</f>
        <v>20190312164132974</v>
      </c>
      <c r="B5192" t="str">
        <f>"1552380092971185"</f>
        <v>1552380092971185</v>
      </c>
      <c r="C5192" t="s">
        <v>40</v>
      </c>
      <c r="D5192">
        <v>4.962561</v>
      </c>
      <c r="E5192">
        <v>0.4060936</v>
      </c>
      <c r="F5192" t="s">
        <v>42</v>
      </c>
      <c r="G5192">
        <v>-421.41919999999999</v>
      </c>
      <c r="H5192">
        <v>0.97683589999999998</v>
      </c>
      <c r="I5192">
        <v>37.442909999999998</v>
      </c>
      <c r="J5192">
        <v>-422.0539</v>
      </c>
      <c r="K5192">
        <v>1.1185989999999999</v>
      </c>
      <c r="L5192">
        <v>38.109830000000002</v>
      </c>
      <c r="M5192">
        <v>0.16187299999999999</v>
      </c>
      <c r="N5192">
        <v>0</v>
      </c>
      <c r="O5192">
        <v>-0.98669519999999999</v>
      </c>
      <c r="P5192">
        <v>0.44001010000000002</v>
      </c>
      <c r="Q5192">
        <v>0.14304459999999999</v>
      </c>
      <c r="R5192">
        <v>-0.88652679999999995</v>
      </c>
      <c r="S5192">
        <v>1.957001</v>
      </c>
      <c r="T5192">
        <v>-0.41416989999999998</v>
      </c>
      <c r="U5192">
        <v>-2.4867859999999999</v>
      </c>
      <c r="V5192">
        <v>-0.293805599999999</v>
      </c>
      <c r="W5192">
        <v>0.15145520000000001</v>
      </c>
      <c r="X5192">
        <v>0.94379000000000002</v>
      </c>
      <c r="Y5192">
        <v>-0.47752230000000001</v>
      </c>
      <c r="Z5192">
        <v>0.13344839999999999</v>
      </c>
      <c r="AA5192">
        <v>0.86842609999999998</v>
      </c>
      <c r="AB5192">
        <v>33</v>
      </c>
      <c r="AC5192">
        <v>0.63470000000000903</v>
      </c>
      <c r="AD5192">
        <v>-0.141763099999999</v>
      </c>
      <c r="AE5192">
        <v>-0.66692000000000395</v>
      </c>
      <c r="AF5192">
        <v>-0.50635327252145401</v>
      </c>
      <c r="AG5192">
        <v>-0.141763099999999</v>
      </c>
      <c r="AH5192">
        <v>0.74325281853825798</v>
      </c>
      <c r="AI5192">
        <v>98.957802676247894</v>
      </c>
      <c r="AJ5192">
        <v>124.26529485433301</v>
      </c>
      <c r="AK5192">
        <v>0.91044778289579098</v>
      </c>
      <c r="AL5192">
        <v>81.288732932554197</v>
      </c>
      <c r="AM5192">
        <v>107.29157412207201</v>
      </c>
      <c r="AN5192">
        <v>0.99999998614919905</v>
      </c>
    </row>
    <row r="5193" spans="1:40" x14ac:dyDescent="0.25">
      <c r="A5193" t="str">
        <f>"20190312164132988"</f>
        <v>20190312164132988</v>
      </c>
      <c r="B5193" t="str">
        <f>"1552380092981920"</f>
        <v>1552380092981920</v>
      </c>
      <c r="C5193" t="s">
        <v>40</v>
      </c>
      <c r="D5193">
        <v>4.9813489999999998</v>
      </c>
      <c r="E5193">
        <v>0.40323290000000001</v>
      </c>
      <c r="F5193" t="s">
        <v>42</v>
      </c>
      <c r="G5193">
        <v>-421.48039999999997</v>
      </c>
      <c r="H5193">
        <v>0.99987150000000002</v>
      </c>
      <c r="I5193">
        <v>37.418619999999997</v>
      </c>
      <c r="J5193">
        <v>-422.01589999999999</v>
      </c>
      <c r="K5193">
        <v>1.1187020000000001</v>
      </c>
      <c r="L5193">
        <v>37.912840000000003</v>
      </c>
      <c r="M5193">
        <v>0.16791439999999999</v>
      </c>
      <c r="N5193">
        <v>0</v>
      </c>
      <c r="O5193">
        <v>-0.98568489999999997</v>
      </c>
      <c r="P5193">
        <v>0.44933149999999999</v>
      </c>
      <c r="Q5193">
        <v>0.14219219999999999</v>
      </c>
      <c r="R5193">
        <v>-0.88197680000000001</v>
      </c>
      <c r="S5193">
        <v>2.0297550000000002</v>
      </c>
      <c r="T5193">
        <v>-0.41988229999999999</v>
      </c>
      <c r="U5193">
        <v>-2.4443049999999999</v>
      </c>
      <c r="V5193">
        <v>-0.29797889999999999</v>
      </c>
      <c r="W5193">
        <v>0.150441299999999</v>
      </c>
      <c r="X5193">
        <v>0.94264309999999996</v>
      </c>
      <c r="Y5193">
        <v>-0.49473889999999998</v>
      </c>
      <c r="Z5193">
        <v>0.1350314</v>
      </c>
      <c r="AA5193">
        <v>0.858487</v>
      </c>
      <c r="AB5193">
        <v>33</v>
      </c>
      <c r="AC5193">
        <v>0.53550000000001297</v>
      </c>
      <c r="AD5193">
        <v>-0.11883050000000001</v>
      </c>
      <c r="AE5193">
        <v>-0.49421999999999799</v>
      </c>
      <c r="AF5193">
        <v>-0.433374510094302</v>
      </c>
      <c r="AG5193">
        <v>-0.11883050000000001</v>
      </c>
      <c r="AH5193">
        <v>0.56218026693092804</v>
      </c>
      <c r="AI5193">
        <v>99.5035741494722</v>
      </c>
      <c r="AJ5193">
        <v>127.62797385210099</v>
      </c>
      <c r="AK5193">
        <v>0.71970883436029598</v>
      </c>
      <c r="AL5193">
        <v>81.347498705743305</v>
      </c>
      <c r="AM5193">
        <v>107.54226574766</v>
      </c>
      <c r="AN5193">
        <v>1.00000001178425</v>
      </c>
    </row>
    <row r="5194" spans="1:40" x14ac:dyDescent="0.25">
      <c r="A5194" t="str">
        <f>"20190312164133008"</f>
        <v>20190312164133008</v>
      </c>
      <c r="B5194" t="str">
        <f>"1552380093001440"</f>
        <v>1552380093001440</v>
      </c>
      <c r="C5194" t="s">
        <v>40</v>
      </c>
      <c r="D5194">
        <v>4.9643689999999996</v>
      </c>
      <c r="E5194">
        <v>0.3993216</v>
      </c>
      <c r="F5194" t="s">
        <v>42</v>
      </c>
      <c r="G5194">
        <v>-421.36790000000002</v>
      </c>
      <c r="H5194">
        <v>0.98636100000000004</v>
      </c>
      <c r="I5194">
        <v>37.159419999999997</v>
      </c>
      <c r="J5194">
        <v>-421.96089999999998</v>
      </c>
      <c r="K5194">
        <v>1.1188389999999999</v>
      </c>
      <c r="L5194">
        <v>37.638339999999999</v>
      </c>
      <c r="M5194">
        <v>0.1764481</v>
      </c>
      <c r="N5194">
        <v>0</v>
      </c>
      <c r="O5194">
        <v>-0.98419279999999998</v>
      </c>
      <c r="P5194">
        <v>0.46428530000000001</v>
      </c>
      <c r="Q5194">
        <v>0.1402041</v>
      </c>
      <c r="R5194">
        <v>-0.87451829999999997</v>
      </c>
      <c r="S5194">
        <v>2.0747070000000001</v>
      </c>
      <c r="T5194">
        <v>-0.42381799999999997</v>
      </c>
      <c r="U5194">
        <v>-2.4128419999999999</v>
      </c>
      <c r="V5194">
        <v>-0.3058245</v>
      </c>
      <c r="W5194">
        <v>0.1481777</v>
      </c>
      <c r="X5194">
        <v>0.94048639999999994</v>
      </c>
      <c r="Y5194">
        <v>-0.50186249999999999</v>
      </c>
      <c r="Z5194">
        <v>0.1362749</v>
      </c>
      <c r="AA5194">
        <v>0.85414469999999998</v>
      </c>
      <c r="AB5194">
        <v>33</v>
      </c>
      <c r="AC5194">
        <v>0.59299999999996</v>
      </c>
      <c r="AD5194">
        <v>-0.13247799999999901</v>
      </c>
      <c r="AE5194">
        <v>-0.47891999999999502</v>
      </c>
      <c r="AF5194">
        <v>-0.48454298395891199</v>
      </c>
      <c r="AG5194">
        <v>-0.13247799999999901</v>
      </c>
      <c r="AH5194">
        <v>0.55915947225100904</v>
      </c>
      <c r="AI5194">
        <v>100.15125803991199</v>
      </c>
      <c r="AJ5194">
        <v>130.91076136139699</v>
      </c>
      <c r="AK5194">
        <v>0.75165925737386696</v>
      </c>
      <c r="AL5194">
        <v>81.478663327520096</v>
      </c>
      <c r="AM5194">
        <v>108.01333109603701</v>
      </c>
      <c r="AN5194">
        <v>0.99999996208124897</v>
      </c>
    </row>
    <row r="5195" spans="1:40" x14ac:dyDescent="0.25">
      <c r="A5195" t="str">
        <f>"20190312164133029"</f>
        <v>20190312164133029</v>
      </c>
      <c r="B5195" t="str">
        <f>"1552380093021936"</f>
        <v>1552380093021936</v>
      </c>
      <c r="C5195" t="s">
        <v>40</v>
      </c>
      <c r="D5195">
        <v>4.9857230000000001</v>
      </c>
      <c r="E5195">
        <v>0.39676440000000002</v>
      </c>
      <c r="F5195" t="s">
        <v>42</v>
      </c>
      <c r="G5195">
        <v>-421.2835</v>
      </c>
      <c r="H5195">
        <v>0.98015399999999997</v>
      </c>
      <c r="I5195">
        <v>36.889670000000002</v>
      </c>
      <c r="J5195">
        <v>-421.89620000000002</v>
      </c>
      <c r="K5195">
        <v>1.1189770000000001</v>
      </c>
      <c r="L5195">
        <v>37.331090000000003</v>
      </c>
      <c r="M5195">
        <v>0.18616289999999999</v>
      </c>
      <c r="N5195">
        <v>0</v>
      </c>
      <c r="O5195">
        <v>-0.98240119999999997</v>
      </c>
      <c r="P5195">
        <v>0.48032799999999998</v>
      </c>
      <c r="Q5195">
        <v>0.138456</v>
      </c>
      <c r="R5195">
        <v>-0.86609230000000004</v>
      </c>
      <c r="S5195">
        <v>2.1403500000000002</v>
      </c>
      <c r="T5195">
        <v>-0.43800139999999999</v>
      </c>
      <c r="U5195">
        <v>-2.3643800000000001</v>
      </c>
      <c r="V5195">
        <v>-0.3138416</v>
      </c>
      <c r="W5195">
        <v>0.1461392</v>
      </c>
      <c r="X5195">
        <v>0.93816140000000003</v>
      </c>
      <c r="Y5195">
        <v>-0.51466480000000003</v>
      </c>
      <c r="Z5195">
        <v>0.14077020000000001</v>
      </c>
      <c r="AA5195">
        <v>0.84575639999999996</v>
      </c>
      <c r="AB5195">
        <v>33</v>
      </c>
      <c r="AC5195">
        <v>0.61270000000001801</v>
      </c>
      <c r="AD5195">
        <v>-0.138823</v>
      </c>
      <c r="AE5195">
        <v>-0.44141999999999998</v>
      </c>
      <c r="AF5195">
        <v>-0.50280875999552999</v>
      </c>
      <c r="AG5195">
        <v>-0.138823</v>
      </c>
      <c r="AH5195">
        <v>0.52986981898928698</v>
      </c>
      <c r="AI5195">
        <v>100.760594578609</v>
      </c>
      <c r="AJ5195">
        <v>133.49892333618601</v>
      </c>
      <c r="AK5195">
        <v>0.74353917148525706</v>
      </c>
      <c r="AL5195">
        <v>81.596746818874394</v>
      </c>
      <c r="AM5195">
        <v>108.496549999679</v>
      </c>
      <c r="AN5195">
        <v>1.0000000140585701</v>
      </c>
    </row>
    <row r="5196" spans="1:40" x14ac:dyDescent="0.25">
      <c r="A5196" t="str">
        <f>"20190312164133051"</f>
        <v>20190312164133051</v>
      </c>
      <c r="B5196" t="str">
        <f>"1552380093041457"</f>
        <v>1552380093041457</v>
      </c>
      <c r="C5196" t="s">
        <v>40</v>
      </c>
      <c r="D5196">
        <v>5.0227009999999996</v>
      </c>
      <c r="E5196">
        <v>0.39526410000000001</v>
      </c>
      <c r="F5196" t="s">
        <v>42</v>
      </c>
      <c r="G5196">
        <v>-421.21480000000003</v>
      </c>
      <c r="H5196">
        <v>0.98088900000000001</v>
      </c>
      <c r="I5196">
        <v>36.613599999999998</v>
      </c>
      <c r="J5196">
        <v>-421.82909999999998</v>
      </c>
      <c r="K5196">
        <v>1.119102</v>
      </c>
      <c r="L5196">
        <v>37.027619999999999</v>
      </c>
      <c r="M5196">
        <v>0.1959149</v>
      </c>
      <c r="N5196">
        <v>0</v>
      </c>
      <c r="O5196">
        <v>-0.98050250000000005</v>
      </c>
      <c r="P5196">
        <v>0.49649379999999999</v>
      </c>
      <c r="Q5196">
        <v>0.136877</v>
      </c>
      <c r="R5196">
        <v>-0.85718099999999997</v>
      </c>
      <c r="S5196">
        <v>2.1990050000000001</v>
      </c>
      <c r="T5196">
        <v>-0.4456505</v>
      </c>
      <c r="U5196">
        <v>-2.3155519999999998</v>
      </c>
      <c r="V5196">
        <v>-0.32209359999999998</v>
      </c>
      <c r="W5196">
        <v>0.14426429999999901</v>
      </c>
      <c r="X5196">
        <v>0.93565140000000002</v>
      </c>
      <c r="Y5196">
        <v>-0.52608169999999899</v>
      </c>
      <c r="Z5196">
        <v>0.14331920000000001</v>
      </c>
      <c r="AA5196">
        <v>0.83827059999999998</v>
      </c>
      <c r="AB5196">
        <v>33</v>
      </c>
      <c r="AC5196">
        <v>0.61429999999995699</v>
      </c>
      <c r="AD5196">
        <v>-0.138213</v>
      </c>
      <c r="AE5196">
        <v>-0.41402</v>
      </c>
      <c r="AF5196">
        <v>-0.50373557428549698</v>
      </c>
      <c r="AG5196">
        <v>-0.138213</v>
      </c>
      <c r="AH5196">
        <v>0.508653154289604</v>
      </c>
      <c r="AI5196">
        <v>100.927558674116</v>
      </c>
      <c r="AJ5196">
        <v>134.72169349996</v>
      </c>
      <c r="AK5196">
        <v>0.72909559972509996</v>
      </c>
      <c r="AL5196">
        <v>81.705321313693304</v>
      </c>
      <c r="AM5196">
        <v>108.995783751703</v>
      </c>
      <c r="AN5196">
        <v>1.0000000088687</v>
      </c>
    </row>
    <row r="5197" spans="1:40" x14ac:dyDescent="0.25">
      <c r="A5197" t="str">
        <f>"20190312164133063"</f>
        <v>20190312164133063</v>
      </c>
      <c r="B5197" t="str">
        <f>"1552380093061953"</f>
        <v>1552380093061953</v>
      </c>
      <c r="C5197" t="s">
        <v>40</v>
      </c>
      <c r="D5197">
        <v>5.0377029999999996</v>
      </c>
      <c r="E5197">
        <v>0.39425900000000003</v>
      </c>
      <c r="F5197" t="s">
        <v>42</v>
      </c>
      <c r="G5197">
        <v>-421.14519999999999</v>
      </c>
      <c r="H5197">
        <v>0.98210439999999999</v>
      </c>
      <c r="I5197">
        <v>36.33802</v>
      </c>
      <c r="J5197">
        <v>-421.78550000000001</v>
      </c>
      <c r="K5197">
        <v>1.119175</v>
      </c>
      <c r="L5197">
        <v>36.838169999999998</v>
      </c>
      <c r="M5197">
        <v>0.20207839999999999</v>
      </c>
      <c r="N5197">
        <v>0</v>
      </c>
      <c r="O5197">
        <v>-0.97925050000000002</v>
      </c>
      <c r="P5197">
        <v>0.50539239999999996</v>
      </c>
      <c r="Q5197">
        <v>0.1360441</v>
      </c>
      <c r="R5197">
        <v>-0.85209789999999996</v>
      </c>
      <c r="S5197">
        <v>2.2502439999999999</v>
      </c>
      <c r="T5197">
        <v>-0.45067020000000002</v>
      </c>
      <c r="U5197">
        <v>-2.268402</v>
      </c>
      <c r="V5197">
        <v>-0.32594020000000001</v>
      </c>
      <c r="W5197">
        <v>0.14328050000000001</v>
      </c>
      <c r="X5197">
        <v>0.93446980000000002</v>
      </c>
      <c r="Y5197">
        <v>-0.53878190000000004</v>
      </c>
      <c r="Z5197">
        <v>0.14512749999999999</v>
      </c>
      <c r="AA5197">
        <v>0.82985059999999999</v>
      </c>
      <c r="AB5197">
        <v>33</v>
      </c>
      <c r="AC5197">
        <v>0.64030000000002396</v>
      </c>
      <c r="AD5197">
        <v>-0.13707059999999999</v>
      </c>
      <c r="AE5197">
        <v>-0.50014999999999699</v>
      </c>
      <c r="AF5197">
        <v>-0.511449240489255</v>
      </c>
      <c r="AG5197">
        <v>-0.13707059999999999</v>
      </c>
      <c r="AH5197">
        <v>0.60209844138940805</v>
      </c>
      <c r="AI5197">
        <v>99.843206641316897</v>
      </c>
      <c r="AJ5197">
        <v>130.34605553934199</v>
      </c>
      <c r="AK5197">
        <v>0.80180496887020503</v>
      </c>
      <c r="AL5197">
        <v>81.762281102367396</v>
      </c>
      <c r="AM5197">
        <v>109.228615024742</v>
      </c>
      <c r="AN5197">
        <v>1.00000006138416</v>
      </c>
    </row>
    <row r="5198" spans="1:40" x14ac:dyDescent="0.25">
      <c r="A5198" t="str">
        <f>"20190312164133084"</f>
        <v>20190312164133084</v>
      </c>
      <c r="B5198" t="str">
        <f>"1552380093081472"</f>
        <v>1552380093081472</v>
      </c>
      <c r="C5198" t="s">
        <v>40</v>
      </c>
      <c r="D5198">
        <v>5.0694949999999999</v>
      </c>
      <c r="E5198">
        <v>0.39363110000000001</v>
      </c>
      <c r="F5198" t="s">
        <v>51</v>
      </c>
      <c r="G5198">
        <v>-416.13569999999999</v>
      </c>
      <c r="H5198" s="1">
        <v>-5.6896319999999997E-6</v>
      </c>
      <c r="I5198">
        <v>31.285129999999999</v>
      </c>
      <c r="J5198">
        <v>-421.71800000000002</v>
      </c>
      <c r="K5198">
        <v>1.119281</v>
      </c>
      <c r="L5198">
        <v>36.555390000000003</v>
      </c>
      <c r="M5198">
        <v>0.21138599999999999</v>
      </c>
      <c r="N5198">
        <v>0</v>
      </c>
      <c r="O5198">
        <v>-0.97728320000000002</v>
      </c>
      <c r="P5198">
        <v>0.52056939999999996</v>
      </c>
      <c r="Q5198">
        <v>0.1342527</v>
      </c>
      <c r="R5198">
        <v>-0.84319859999999902</v>
      </c>
      <c r="S5198">
        <v>2.2797239999999999</v>
      </c>
      <c r="T5198">
        <v>-0.4515921</v>
      </c>
      <c r="U5198">
        <v>-2.2406619999999999</v>
      </c>
      <c r="V5198">
        <v>-0.33372869999999999</v>
      </c>
      <c r="W5198">
        <v>0.14120849999999999</v>
      </c>
      <c r="X5198">
        <v>0.93203290000000005</v>
      </c>
      <c r="Y5198">
        <v>-0.54126859999999999</v>
      </c>
      <c r="Z5198">
        <v>0.1455195</v>
      </c>
      <c r="AA5198">
        <v>0.82816199999999995</v>
      </c>
      <c r="AB5198">
        <v>33</v>
      </c>
      <c r="AC5198">
        <v>5.5823000000000302</v>
      </c>
      <c r="AD5198">
        <v>-1.119286689632</v>
      </c>
      <c r="AE5198">
        <v>-5.2702600000000004</v>
      </c>
      <c r="AF5198">
        <v>-4.2515629349939497</v>
      </c>
      <c r="AG5198">
        <v>-1.119286689632</v>
      </c>
      <c r="AH5198">
        <v>6.1995165598892301</v>
      </c>
      <c r="AI5198">
        <v>98.468824765439194</v>
      </c>
      <c r="AJ5198">
        <v>124.44191772215</v>
      </c>
      <c r="AK5198">
        <v>7.6001707651961699</v>
      </c>
      <c r="AL5198">
        <v>81.882217089314096</v>
      </c>
      <c r="AM5198">
        <v>109.700686968599</v>
      </c>
      <c r="AN5198">
        <v>1.0000000061791701</v>
      </c>
    </row>
    <row r="5199" spans="1:40" x14ac:dyDescent="0.25">
      <c r="A5199" t="str">
        <f>"20190312164133097"</f>
        <v>20190312164133097</v>
      </c>
      <c r="B5199" t="str">
        <f>"1552380093091232"</f>
        <v>1552380093091232</v>
      </c>
      <c r="C5199" t="s">
        <v>40</v>
      </c>
      <c r="D5199">
        <v>5.0512480000000002</v>
      </c>
      <c r="E5199">
        <v>0.39340199999999997</v>
      </c>
      <c r="F5199" t="s">
        <v>51</v>
      </c>
      <c r="G5199">
        <v>-416.02910000000003</v>
      </c>
      <c r="H5199" s="1">
        <v>-5.748871E-6</v>
      </c>
      <c r="I5199">
        <v>31.172599999999999</v>
      </c>
      <c r="J5199">
        <v>-421.6728</v>
      </c>
      <c r="K5199">
        <v>1.119346</v>
      </c>
      <c r="L5199">
        <v>36.371400000000001</v>
      </c>
      <c r="M5199">
        <v>0.2174971</v>
      </c>
      <c r="N5199">
        <v>0</v>
      </c>
      <c r="O5199">
        <v>-0.97594119999999995</v>
      </c>
      <c r="P5199">
        <v>0.52950209999999998</v>
      </c>
      <c r="Q5199">
        <v>0.13289619999999999</v>
      </c>
      <c r="R5199">
        <v>-0.83783469999999904</v>
      </c>
      <c r="S5199">
        <v>2.3219910000000001</v>
      </c>
      <c r="T5199">
        <v>-0.45685110000000001</v>
      </c>
      <c r="U5199">
        <v>-2.1970519999999998</v>
      </c>
      <c r="V5199">
        <v>-0.33775699999999997</v>
      </c>
      <c r="W5199">
        <v>0.13969579999999901</v>
      </c>
      <c r="X5199">
        <v>0.930809</v>
      </c>
      <c r="Y5199">
        <v>-0.55152199999999996</v>
      </c>
      <c r="Z5199">
        <v>0.14745229999999901</v>
      </c>
      <c r="AA5199">
        <v>0.82102459999999899</v>
      </c>
      <c r="AB5199">
        <v>33</v>
      </c>
      <c r="AC5199">
        <v>5.64369999999996</v>
      </c>
      <c r="AD5199">
        <v>-1.1193517488710001</v>
      </c>
      <c r="AE5199">
        <v>-5.1988000000000003</v>
      </c>
      <c r="AF5199">
        <v>-4.2864902333281902</v>
      </c>
      <c r="AG5199">
        <v>-1.1193517488710001</v>
      </c>
      <c r="AH5199">
        <v>6.1706364216862397</v>
      </c>
      <c r="AI5199">
        <v>98.473673390918293</v>
      </c>
      <c r="AJ5199">
        <v>124.786137272318</v>
      </c>
      <c r="AK5199">
        <v>7.5962951961307601</v>
      </c>
      <c r="AL5199">
        <v>81.969756519791105</v>
      </c>
      <c r="AM5199">
        <v>109.94400772086099</v>
      </c>
      <c r="AN5199">
        <v>1.0000000510338101</v>
      </c>
    </row>
    <row r="5200" spans="1:40" x14ac:dyDescent="0.25">
      <c r="A5200" t="str">
        <f>"20190312164133118"</f>
        <v>20190312164133118</v>
      </c>
      <c r="B5200" t="str">
        <f>"1552380093111728"</f>
        <v>1552380093111728</v>
      </c>
      <c r="C5200" t="s">
        <v>40</v>
      </c>
      <c r="D5200">
        <v>5.0884919999999996</v>
      </c>
      <c r="E5200">
        <v>0.39324409999999999</v>
      </c>
      <c r="F5200" t="s">
        <v>42</v>
      </c>
      <c r="G5200">
        <v>-421.02949999999998</v>
      </c>
      <c r="H5200">
        <v>0.99318459999999997</v>
      </c>
      <c r="I5200">
        <v>35.7759</v>
      </c>
      <c r="J5200">
        <v>-421.59769999999997</v>
      </c>
      <c r="K5200">
        <v>1.1194390000000001</v>
      </c>
      <c r="L5200">
        <v>36.078699999999998</v>
      </c>
      <c r="M5200">
        <v>0.22734560000000001</v>
      </c>
      <c r="N5200">
        <v>0</v>
      </c>
      <c r="O5200">
        <v>-0.97369349999999999</v>
      </c>
      <c r="P5200">
        <v>0.54824499999999998</v>
      </c>
      <c r="Q5200">
        <v>0.12930619999999901</v>
      </c>
      <c r="R5200">
        <v>-0.82626129999999998</v>
      </c>
      <c r="S5200">
        <v>2.3456419999999998</v>
      </c>
      <c r="T5200">
        <v>-0.4600012</v>
      </c>
      <c r="U5200">
        <v>-2.1712340000000001</v>
      </c>
      <c r="V5200">
        <v>-0.34915259999999998</v>
      </c>
      <c r="W5200">
        <v>0.13572049999999999</v>
      </c>
      <c r="X5200">
        <v>0.92718520000000004</v>
      </c>
      <c r="Y5200">
        <v>-0.55200669999999996</v>
      </c>
      <c r="Z5200">
        <v>0.14858640000000001</v>
      </c>
      <c r="AA5200">
        <v>0.82049419999999995</v>
      </c>
      <c r="AB5200">
        <v>33</v>
      </c>
      <c r="AC5200">
        <v>0.56819999999999005</v>
      </c>
      <c r="AD5200">
        <v>-0.12625439999999899</v>
      </c>
      <c r="AE5200">
        <v>-0.30279999999999702</v>
      </c>
      <c r="AF5200">
        <v>-0.46652994835601402</v>
      </c>
      <c r="AG5200">
        <v>-0.12625439999999899</v>
      </c>
      <c r="AH5200">
        <v>0.40835943157059401</v>
      </c>
      <c r="AI5200">
        <v>101.510002641063</v>
      </c>
      <c r="AJ5200">
        <v>138.80393999856901</v>
      </c>
      <c r="AK5200">
        <v>0.63273042568307403</v>
      </c>
      <c r="AL5200">
        <v>82.199714984824794</v>
      </c>
      <c r="AM5200">
        <v>110.635002229492</v>
      </c>
      <c r="AN5200">
        <v>0.99999999365302505</v>
      </c>
    </row>
    <row r="5201" spans="1:40" x14ac:dyDescent="0.25">
      <c r="A5201" t="str">
        <f>"20190312164133140"</f>
        <v>20190312164133140</v>
      </c>
      <c r="B5201" t="str">
        <f>"1552380093131248"</f>
        <v>1552380093131248</v>
      </c>
      <c r="C5201" t="s">
        <v>40</v>
      </c>
      <c r="D5201">
        <v>5.1039469999999998</v>
      </c>
      <c r="E5201">
        <v>0.39324360000000003</v>
      </c>
      <c r="F5201" t="s">
        <v>51</v>
      </c>
      <c r="G5201">
        <v>-415.91079999999999</v>
      </c>
      <c r="H5201" s="1">
        <v>-5.8168519999999997E-6</v>
      </c>
      <c r="I5201">
        <v>31.04177</v>
      </c>
      <c r="J5201">
        <v>-421.51729999999998</v>
      </c>
      <c r="K5201">
        <v>1.119545</v>
      </c>
      <c r="L5201">
        <v>35.77881</v>
      </c>
      <c r="M5201">
        <v>0.23759440000000001</v>
      </c>
      <c r="N5201">
        <v>0</v>
      </c>
      <c r="O5201">
        <v>-0.97124339999999998</v>
      </c>
      <c r="P5201">
        <v>0.56342040000000004</v>
      </c>
      <c r="Q5201">
        <v>0.12614700000000001</v>
      </c>
      <c r="R5201">
        <v>-0.81648319999999996</v>
      </c>
      <c r="S5201">
        <v>2.3911739999999999</v>
      </c>
      <c r="T5201">
        <v>-0.47069499999999997</v>
      </c>
      <c r="U5201">
        <v>-2.1178889999999999</v>
      </c>
      <c r="V5201">
        <v>-0.35637020000000003</v>
      </c>
      <c r="W5201">
        <v>0.13228190000000001</v>
      </c>
      <c r="X5201">
        <v>0.92493340000000002</v>
      </c>
      <c r="Y5201">
        <v>-0.56080559999999902</v>
      </c>
      <c r="Z5201">
        <v>0.152373799999999</v>
      </c>
      <c r="AA5201">
        <v>0.81380549999999996</v>
      </c>
      <c r="AB5201">
        <v>33</v>
      </c>
      <c r="AC5201">
        <v>5.6064999999999801</v>
      </c>
      <c r="AD5201">
        <v>-1.1195508168520001</v>
      </c>
      <c r="AE5201">
        <v>-4.7370400000000004</v>
      </c>
      <c r="AF5201">
        <v>-4.2220595928391003</v>
      </c>
      <c r="AG5201">
        <v>-1.1195508168520001</v>
      </c>
      <c r="AH5201">
        <v>5.7986776227572996</v>
      </c>
      <c r="AI5201">
        <v>98.8711903265812</v>
      </c>
      <c r="AJ5201">
        <v>126.05863674877</v>
      </c>
      <c r="AK5201">
        <v>7.2597412770473397</v>
      </c>
      <c r="AL5201">
        <v>82.398525500867905</v>
      </c>
      <c r="AM5201">
        <v>111.07131581665401</v>
      </c>
      <c r="AN5201">
        <v>1.0000000074755999</v>
      </c>
    </row>
    <row r="5202" spans="1:40" x14ac:dyDescent="0.25">
      <c r="A5202" t="str">
        <f>"20190312164133162"</f>
        <v>20190312164133162</v>
      </c>
      <c r="B5202" t="str">
        <f>"1552380093151744"</f>
        <v>1552380093151744</v>
      </c>
      <c r="C5202" t="s">
        <v>40</v>
      </c>
      <c r="D5202">
        <v>5.1186680000000004</v>
      </c>
      <c r="E5202">
        <v>0.39357789999999998</v>
      </c>
      <c r="F5202" t="s">
        <v>51</v>
      </c>
      <c r="G5202">
        <v>-415.85539999999997</v>
      </c>
      <c r="H5202" s="1">
        <v>-5.8629820000000004E-6</v>
      </c>
      <c r="I5202">
        <v>30.942769999999999</v>
      </c>
      <c r="J5202">
        <v>-421.43150000000003</v>
      </c>
      <c r="K5202">
        <v>1.119645</v>
      </c>
      <c r="L5202">
        <v>35.472659999999998</v>
      </c>
      <c r="M5202">
        <v>0.24820130000000001</v>
      </c>
      <c r="N5202">
        <v>0</v>
      </c>
      <c r="O5202">
        <v>-0.96858670000000002</v>
      </c>
      <c r="P5202">
        <v>0.5782581</v>
      </c>
      <c r="Q5202">
        <v>0.1227601</v>
      </c>
      <c r="R5202">
        <v>-0.80656569999999905</v>
      </c>
      <c r="S5202">
        <v>2.4274290000000001</v>
      </c>
      <c r="T5202">
        <v>-0.47998669999999999</v>
      </c>
      <c r="U5202">
        <v>-2.0733640000000002</v>
      </c>
      <c r="V5202">
        <v>-0.36300470000000001</v>
      </c>
      <c r="W5202">
        <v>0.12863069999999999</v>
      </c>
      <c r="X5202">
        <v>0.92286599999999996</v>
      </c>
      <c r="Y5202">
        <v>-0.56603110000000001</v>
      </c>
      <c r="Z5202">
        <v>0.15563879999999999</v>
      </c>
      <c r="AA5202">
        <v>0.80955880000000002</v>
      </c>
      <c r="AB5202">
        <v>33</v>
      </c>
      <c r="AC5202">
        <v>5.57610000000005</v>
      </c>
      <c r="AD5202">
        <v>-1.1196508629819999</v>
      </c>
      <c r="AE5202">
        <v>-4.5298899999999902</v>
      </c>
      <c r="AF5202">
        <v>-4.1756932677601499</v>
      </c>
      <c r="AG5202">
        <v>-1.1196508629819999</v>
      </c>
      <c r="AH5202">
        <v>5.6353899811692703</v>
      </c>
      <c r="AI5202">
        <v>99.069849524059194</v>
      </c>
      <c r="AJ5202">
        <v>126.537587873482</v>
      </c>
      <c r="AK5202">
        <v>7.1026510938702803</v>
      </c>
      <c r="AL5202">
        <v>82.609526840336201</v>
      </c>
      <c r="AM5202">
        <v>111.471945772339</v>
      </c>
      <c r="AN5202">
        <v>0.99999996158028903</v>
      </c>
    </row>
    <row r="5203" spans="1:40" x14ac:dyDescent="0.25">
      <c r="A5203" t="str">
        <f>"20190312164133184"</f>
        <v>20190312164133184</v>
      </c>
      <c r="B5203" t="str">
        <f>"1552380093182002"</f>
        <v>1552380093182002</v>
      </c>
      <c r="C5203" t="s">
        <v>40</v>
      </c>
      <c r="D5203">
        <v>5.1966299999999999</v>
      </c>
      <c r="E5203">
        <v>0.3941577</v>
      </c>
      <c r="F5203" t="s">
        <v>51</v>
      </c>
      <c r="G5203">
        <v>-415.7921</v>
      </c>
      <c r="H5203" s="1">
        <v>-5.9184190000000003E-6</v>
      </c>
      <c r="I5203">
        <v>30.822420000000001</v>
      </c>
      <c r="J5203">
        <v>-421.34120000000001</v>
      </c>
      <c r="K5203">
        <v>1.119742</v>
      </c>
      <c r="L5203">
        <v>35.163730000000001</v>
      </c>
      <c r="M5203">
        <v>0.25905440000000002</v>
      </c>
      <c r="N5203">
        <v>0</v>
      </c>
      <c r="O5203">
        <v>-0.9657403</v>
      </c>
      <c r="P5203">
        <v>0.59226859999999903</v>
      </c>
      <c r="Q5203">
        <v>0.1198458</v>
      </c>
      <c r="R5203">
        <v>-0.79677819999999899</v>
      </c>
      <c r="S5203">
        <v>2.46109</v>
      </c>
      <c r="T5203">
        <v>-0.4886218</v>
      </c>
      <c r="U5203">
        <v>-2.029388</v>
      </c>
      <c r="V5203">
        <v>-0.36863849999999998</v>
      </c>
      <c r="W5203">
        <v>0.12547839999999999</v>
      </c>
      <c r="X5203">
        <v>0.92106509999999997</v>
      </c>
      <c r="Y5203">
        <v>-0.57048669999999901</v>
      </c>
      <c r="Z5203">
        <v>0.15871009999999999</v>
      </c>
      <c r="AA5203">
        <v>0.8058263</v>
      </c>
      <c r="AB5203">
        <v>33</v>
      </c>
      <c r="AC5203">
        <v>5.5491000000000099</v>
      </c>
      <c r="AD5203">
        <v>-1.119747918419</v>
      </c>
      <c r="AE5203">
        <v>-4.34131</v>
      </c>
      <c r="AF5203">
        <v>-4.1305226430851896</v>
      </c>
      <c r="AG5203">
        <v>-1.119747918419</v>
      </c>
      <c r="AH5203">
        <v>5.4920401217812804</v>
      </c>
      <c r="AI5203">
        <v>99.254706702855898</v>
      </c>
      <c r="AJ5203">
        <v>126.946554167711</v>
      </c>
      <c r="AK5203">
        <v>6.9625826677389302</v>
      </c>
      <c r="AL5203">
        <v>82.791616721424703</v>
      </c>
      <c r="AM5203">
        <v>111.81280193147001</v>
      </c>
      <c r="AN5203">
        <v>1.0000000454933999</v>
      </c>
    </row>
    <row r="5204" spans="1:40" x14ac:dyDescent="0.25">
      <c r="A5204" t="str">
        <f>"20190312164133208"</f>
        <v>20190312164133208</v>
      </c>
      <c r="B5204" t="str">
        <f>"1552380093201520"</f>
        <v>1552380093201520</v>
      </c>
      <c r="C5204" t="s">
        <v>40</v>
      </c>
      <c r="D5204">
        <v>5.1021979999999996</v>
      </c>
      <c r="E5204">
        <v>0.39442470000000002</v>
      </c>
      <c r="F5204" t="s">
        <v>51</v>
      </c>
      <c r="G5204">
        <v>-415.67860000000002</v>
      </c>
      <c r="H5204" s="1">
        <v>-6.0021349999999996E-6</v>
      </c>
      <c r="I5204">
        <v>30.648029999999999</v>
      </c>
      <c r="J5204">
        <v>-421.24380000000002</v>
      </c>
      <c r="K5204">
        <v>1.1198440000000001</v>
      </c>
      <c r="L5204">
        <v>34.844819999999999</v>
      </c>
      <c r="M5204">
        <v>0.27042690000000003</v>
      </c>
      <c r="N5204">
        <v>0</v>
      </c>
      <c r="O5204">
        <v>-0.96261699999999994</v>
      </c>
      <c r="P5204">
        <v>0.60654619999999904</v>
      </c>
      <c r="Q5204">
        <v>0.1179752</v>
      </c>
      <c r="R5204">
        <v>-0.78624669999999997</v>
      </c>
      <c r="S5204">
        <v>2.4917600000000002</v>
      </c>
      <c r="T5204">
        <v>-0.49273470000000003</v>
      </c>
      <c r="U5204">
        <v>-1.9870909999999999</v>
      </c>
      <c r="V5204">
        <v>-0.37431009999999998</v>
      </c>
      <c r="W5204">
        <v>0.1233601</v>
      </c>
      <c r="X5204">
        <v>0.91906160000000003</v>
      </c>
      <c r="Y5204">
        <v>-0.57383899999999999</v>
      </c>
      <c r="Z5204">
        <v>0.16033020000000001</v>
      </c>
      <c r="AA5204">
        <v>0.80312079999999997</v>
      </c>
      <c r="AB5204">
        <v>32</v>
      </c>
      <c r="AC5204">
        <v>5.5651999999999999</v>
      </c>
      <c r="AD5204">
        <v>-1.119850002135</v>
      </c>
      <c r="AE5204">
        <v>-4.19679</v>
      </c>
      <c r="AF5204">
        <v>-4.11647870651076</v>
      </c>
      <c r="AG5204">
        <v>-1.119850002135</v>
      </c>
      <c r="AH5204">
        <v>5.4060007940518897</v>
      </c>
      <c r="AI5204">
        <v>99.358685967760195</v>
      </c>
      <c r="AJ5204">
        <v>127.287991453836</v>
      </c>
      <c r="AK5204">
        <v>6.8865307342469597</v>
      </c>
      <c r="AL5204">
        <v>82.913936489060106</v>
      </c>
      <c r="AM5204">
        <v>112.159800946698</v>
      </c>
      <c r="AN5204">
        <v>0.99999999491429004</v>
      </c>
    </row>
    <row r="5205" spans="1:40" x14ac:dyDescent="0.25">
      <c r="A5205" t="str">
        <f>"20190312164133230"</f>
        <v>20190312164133230</v>
      </c>
      <c r="B5205" t="str">
        <f>"1552380093222016"</f>
        <v>1552380093222016</v>
      </c>
      <c r="C5205" t="s">
        <v>40</v>
      </c>
      <c r="D5205">
        <v>5.1079480000000004</v>
      </c>
      <c r="E5205">
        <v>0.42775360000000001</v>
      </c>
      <c r="F5205" t="s">
        <v>51</v>
      </c>
      <c r="G5205">
        <v>-415.54719999999998</v>
      </c>
      <c r="H5205" s="1">
        <v>-6.093131E-6</v>
      </c>
      <c r="I5205">
        <v>30.461819999999999</v>
      </c>
      <c r="J5205">
        <v>-421.14699999999999</v>
      </c>
      <c r="K5205">
        <v>1.1199570000000001</v>
      </c>
      <c r="L5205">
        <v>34.540709999999997</v>
      </c>
      <c r="M5205">
        <v>0.28144350000000001</v>
      </c>
      <c r="N5205">
        <v>0</v>
      </c>
      <c r="O5205">
        <v>-0.95945349999999996</v>
      </c>
      <c r="P5205">
        <v>0.62064109999999995</v>
      </c>
      <c r="Q5205">
        <v>0.1156571</v>
      </c>
      <c r="R5205">
        <v>-0.77551809999999999</v>
      </c>
      <c r="S5205">
        <v>2.5246279999999999</v>
      </c>
      <c r="T5205">
        <v>-0.49630010000000002</v>
      </c>
      <c r="U5205">
        <v>-1.942474</v>
      </c>
      <c r="V5205">
        <v>-0.38025130000000001</v>
      </c>
      <c r="W5205">
        <v>0.12078270000000001</v>
      </c>
      <c r="X5205">
        <v>0.91696270000000002</v>
      </c>
      <c r="Y5205">
        <v>-0.578287199999999</v>
      </c>
      <c r="Z5205">
        <v>0.16173959999999901</v>
      </c>
      <c r="AA5205">
        <v>0.79964009999999996</v>
      </c>
      <c r="AB5205">
        <v>32</v>
      </c>
      <c r="AC5205">
        <v>5.5998000000000099</v>
      </c>
      <c r="AD5205">
        <v>-1.1199630931309901</v>
      </c>
      <c r="AE5205">
        <v>-4.0788899999999897</v>
      </c>
      <c r="AF5205">
        <v>-4.1176624738314702</v>
      </c>
      <c r="AG5205">
        <v>-1.1199630931309901</v>
      </c>
      <c r="AH5205">
        <v>5.3503596641005799</v>
      </c>
      <c r="AI5205">
        <v>99.418790388111205</v>
      </c>
      <c r="AJ5205">
        <v>127.58205325791801</v>
      </c>
      <c r="AK5205">
        <v>6.8436693457245497</v>
      </c>
      <c r="AL5205">
        <v>83.062723806168805</v>
      </c>
      <c r="AM5205">
        <v>112.5230850194</v>
      </c>
      <c r="AN5205">
        <v>1.0000000524811301</v>
      </c>
    </row>
    <row r="5206" spans="1:40" x14ac:dyDescent="0.25">
      <c r="A5206" t="str">
        <f>"20190312164133253"</f>
        <v>20190312164133253</v>
      </c>
      <c r="B5206" t="str">
        <f>"1552380093241537"</f>
        <v>1552380093241537</v>
      </c>
      <c r="C5206" t="s">
        <v>40</v>
      </c>
      <c r="D5206">
        <v>5.1758930000000003</v>
      </c>
      <c r="E5206">
        <v>0.4333689</v>
      </c>
      <c r="F5206" t="s">
        <v>42</v>
      </c>
      <c r="G5206">
        <v>-420.41860000000003</v>
      </c>
      <c r="H5206">
        <v>1.0027649999999999</v>
      </c>
      <c r="I5206">
        <v>33.904559999999996</v>
      </c>
      <c r="J5206">
        <v>-421.04719999999998</v>
      </c>
      <c r="K5206">
        <v>1.12007099999999</v>
      </c>
      <c r="L5206">
        <v>34.239289999999997</v>
      </c>
      <c r="M5206">
        <v>0.29254059999999998</v>
      </c>
      <c r="N5206">
        <v>0</v>
      </c>
      <c r="O5206">
        <v>-0.95612810000000004</v>
      </c>
      <c r="P5206">
        <v>0.63375709999999996</v>
      </c>
      <c r="Q5206">
        <v>0.11237800000000001</v>
      </c>
      <c r="R5206">
        <v>-0.7653259</v>
      </c>
      <c r="S5206">
        <v>2.3450009999999999</v>
      </c>
      <c r="T5206">
        <v>-0.37728909999999999</v>
      </c>
      <c r="U5206">
        <v>-2.0480040000000002</v>
      </c>
      <c r="V5206">
        <v>-0.38506010000000002</v>
      </c>
      <c r="W5206">
        <v>0.1172721</v>
      </c>
      <c r="X5206">
        <v>0.91541030000000001</v>
      </c>
      <c r="Y5206">
        <v>-0.52174889999999996</v>
      </c>
      <c r="Z5206">
        <v>0.1250426</v>
      </c>
      <c r="AA5206">
        <v>0.84388539999999901</v>
      </c>
      <c r="AB5206">
        <v>32</v>
      </c>
      <c r="AC5206">
        <v>0.62859999999994898</v>
      </c>
      <c r="AD5206">
        <v>-0.11730599999999899</v>
      </c>
      <c r="AE5206">
        <v>-0.33473000000000702</v>
      </c>
      <c r="AF5206">
        <v>-0.48986918490968001</v>
      </c>
      <c r="AG5206">
        <v>-0.11730599999999899</v>
      </c>
      <c r="AH5206">
        <v>0.49068297674525302</v>
      </c>
      <c r="AI5206">
        <v>99.602709385326307</v>
      </c>
      <c r="AJ5206">
        <v>134.952448397241</v>
      </c>
      <c r="AK5206">
        <v>0.70320857476829601</v>
      </c>
      <c r="AL5206">
        <v>83.265306427476602</v>
      </c>
      <c r="AM5206">
        <v>112.813671030763</v>
      </c>
      <c r="AN5206">
        <v>1.0000000216982501</v>
      </c>
    </row>
    <row r="5207" spans="1:40" x14ac:dyDescent="0.25">
      <c r="A5207" t="str">
        <f>"20190312164133274"</f>
        <v>20190312164133274</v>
      </c>
      <c r="B5207" t="str">
        <f>"1552380093271793"</f>
        <v>1552380093271793</v>
      </c>
      <c r="C5207" t="s">
        <v>40</v>
      </c>
      <c r="D5207">
        <v>5.2090300000000003</v>
      </c>
      <c r="E5207">
        <v>0.43651040000000002</v>
      </c>
      <c r="F5207" t="s">
        <v>42</v>
      </c>
      <c r="G5207">
        <v>-420.34550000000002</v>
      </c>
      <c r="H5207">
        <v>1.0042279999999999</v>
      </c>
      <c r="I5207">
        <v>33.629199999999997</v>
      </c>
      <c r="J5207">
        <v>-420.94709999999998</v>
      </c>
      <c r="K5207">
        <v>1.1201810000000001</v>
      </c>
      <c r="L5207">
        <v>33.949159999999999</v>
      </c>
      <c r="M5207">
        <v>0.3034057</v>
      </c>
      <c r="N5207">
        <v>0</v>
      </c>
      <c r="O5207">
        <v>-0.95273560000000002</v>
      </c>
      <c r="P5207">
        <v>0.64576269999999902</v>
      </c>
      <c r="Q5207">
        <v>0.1098891</v>
      </c>
      <c r="R5207">
        <v>-0.75558939999999997</v>
      </c>
      <c r="S5207">
        <v>2.3432620000000002</v>
      </c>
      <c r="T5207">
        <v>-0.38669439999999999</v>
      </c>
      <c r="U5207">
        <v>-2.0362550000000001</v>
      </c>
      <c r="V5207">
        <v>-0.38896199999999997</v>
      </c>
      <c r="W5207">
        <v>0.1145724</v>
      </c>
      <c r="X5207">
        <v>0.91410159999999996</v>
      </c>
      <c r="Y5207">
        <v>-0.51381619999999995</v>
      </c>
      <c r="Z5207">
        <v>0.1282606</v>
      </c>
      <c r="AA5207">
        <v>0.84825830000000002</v>
      </c>
      <c r="AB5207">
        <v>32</v>
      </c>
      <c r="AC5207">
        <v>0.60159999999996205</v>
      </c>
      <c r="AD5207">
        <v>-0.115952999999999</v>
      </c>
      <c r="AE5207">
        <v>-0.31996000000000102</v>
      </c>
      <c r="AF5207">
        <v>-0.462744999615605</v>
      </c>
      <c r="AG5207">
        <v>-0.115952999999999</v>
      </c>
      <c r="AH5207">
        <v>0.47370701714501601</v>
      </c>
      <c r="AI5207">
        <v>99.931705189801207</v>
      </c>
      <c r="AJ5207">
        <v>134.329331730403</v>
      </c>
      <c r="AK5207">
        <v>0.672291879298474</v>
      </c>
      <c r="AL5207">
        <v>83.421037666229296</v>
      </c>
      <c r="AM5207">
        <v>113.050377264792</v>
      </c>
      <c r="AN5207">
        <v>1.0000000037041501</v>
      </c>
    </row>
    <row r="5208" spans="1:40" x14ac:dyDescent="0.25">
      <c r="A5208" t="str">
        <f>"20190312164133297"</f>
        <v>20190312164133297</v>
      </c>
      <c r="B5208" t="str">
        <f>"1552380093291312"</f>
        <v>1552380093291312</v>
      </c>
      <c r="C5208" t="s">
        <v>40</v>
      </c>
      <c r="D5208">
        <v>5.2913940000000004</v>
      </c>
      <c r="E5208">
        <v>0.43819619999999998</v>
      </c>
      <c r="F5208" t="s">
        <v>42</v>
      </c>
      <c r="G5208">
        <v>-420.25889999999998</v>
      </c>
      <c r="H5208">
        <v>1.0065980000000001</v>
      </c>
      <c r="I5208">
        <v>33.360889999999998</v>
      </c>
      <c r="J5208">
        <v>-420.83749999999998</v>
      </c>
      <c r="K5208">
        <v>1.1203160000000001</v>
      </c>
      <c r="L5208">
        <v>33.643039999999999</v>
      </c>
      <c r="M5208">
        <v>0.31506719999999999</v>
      </c>
      <c r="N5208">
        <v>0</v>
      </c>
      <c r="O5208">
        <v>-0.94894230000000002</v>
      </c>
      <c r="P5208">
        <v>0.65784929999999997</v>
      </c>
      <c r="Q5208">
        <v>0.10844139999999999</v>
      </c>
      <c r="R5208">
        <v>-0.74530180000000001</v>
      </c>
      <c r="S5208">
        <v>2.3555600000000001</v>
      </c>
      <c r="T5208">
        <v>-0.38881019999999999</v>
      </c>
      <c r="U5208">
        <v>-2.013763</v>
      </c>
      <c r="V5208">
        <v>-0.39241540000000003</v>
      </c>
      <c r="W5208">
        <v>0.1129129</v>
      </c>
      <c r="X5208">
        <v>0.91283119999999995</v>
      </c>
      <c r="Y5208">
        <v>-0.51009539999999998</v>
      </c>
      <c r="Z5208">
        <v>0.1290163</v>
      </c>
      <c r="AA5208">
        <v>0.85038670000000005</v>
      </c>
      <c r="AB5208">
        <v>32</v>
      </c>
      <c r="AC5208">
        <v>0.57859999999999401</v>
      </c>
      <c r="AD5208">
        <v>-0.113718</v>
      </c>
      <c r="AE5208">
        <v>-0.28214999999999402</v>
      </c>
      <c r="AF5208">
        <v>-0.44628991078289298</v>
      </c>
      <c r="AG5208">
        <v>-0.113718</v>
      </c>
      <c r="AH5208">
        <v>0.43647512824738</v>
      </c>
      <c r="AI5208">
        <v>100.324250593024</v>
      </c>
      <c r="AJ5208">
        <v>135.637001264812</v>
      </c>
      <c r="AK5208">
        <v>0.63452108362856696</v>
      </c>
      <c r="AL5208">
        <v>83.516740989701503</v>
      </c>
      <c r="AM5208">
        <v>113.262300548485</v>
      </c>
      <c r="AN5208">
        <v>0.99999998441850402</v>
      </c>
    </row>
    <row r="5209" spans="1:40" x14ac:dyDescent="0.25">
      <c r="A5209" t="str">
        <f>"20190312164133319"</f>
        <v>20190312164133319</v>
      </c>
      <c r="B5209" t="str">
        <f>"1552380093311808"</f>
        <v>1552380093311808</v>
      </c>
      <c r="C5209" t="s">
        <v>40</v>
      </c>
      <c r="D5209">
        <v>5.1720119999999996</v>
      </c>
      <c r="E5209">
        <v>0.43848549999999997</v>
      </c>
      <c r="F5209" t="s">
        <v>42</v>
      </c>
      <c r="G5209">
        <v>-420.17540000000002</v>
      </c>
      <c r="H5209">
        <v>1.008359</v>
      </c>
      <c r="I5209">
        <v>33.090470000000003</v>
      </c>
      <c r="J5209">
        <v>-420.72949999999997</v>
      </c>
      <c r="K5209">
        <v>1.120452</v>
      </c>
      <c r="L5209">
        <v>33.353549999999998</v>
      </c>
      <c r="M5209">
        <v>0.32630879999999901</v>
      </c>
      <c r="N5209">
        <v>0</v>
      </c>
      <c r="O5209">
        <v>-0.94513519999999895</v>
      </c>
      <c r="P5209">
        <v>0.66930469999999997</v>
      </c>
      <c r="Q5209">
        <v>0.109108399999999</v>
      </c>
      <c r="R5209">
        <v>-0.73493310000000001</v>
      </c>
      <c r="S5209">
        <v>2.3782960000000002</v>
      </c>
      <c r="T5209">
        <v>-0.40209250000000002</v>
      </c>
      <c r="U5209">
        <v>-1.984467</v>
      </c>
      <c r="V5209">
        <v>-0.39579809999999999</v>
      </c>
      <c r="W5209">
        <v>0.1133673</v>
      </c>
      <c r="X5209">
        <v>0.91131320000000005</v>
      </c>
      <c r="Y5209">
        <v>-0.50963159999999996</v>
      </c>
      <c r="Z5209">
        <v>0.13332639999999901</v>
      </c>
      <c r="AA5209">
        <v>0.84999979999999997</v>
      </c>
      <c r="AB5209">
        <v>32</v>
      </c>
      <c r="AC5209">
        <v>0.55409999999994797</v>
      </c>
      <c r="AD5209">
        <v>-0.112093</v>
      </c>
      <c r="AE5209">
        <v>-0.26307999999999498</v>
      </c>
      <c r="AF5209">
        <v>-0.423755356013999</v>
      </c>
      <c r="AG5209">
        <v>-0.112093</v>
      </c>
      <c r="AH5209">
        <v>0.41562561928050201</v>
      </c>
      <c r="AI5209">
        <v>100.69428739755701</v>
      </c>
      <c r="AJ5209">
        <v>135.554914934744</v>
      </c>
      <c r="AK5209">
        <v>0.60405140327777795</v>
      </c>
      <c r="AL5209">
        <v>83.490537732840494</v>
      </c>
      <c r="AM5209">
        <v>113.476087861775</v>
      </c>
      <c r="AN5209">
        <v>1.0000000145835699</v>
      </c>
    </row>
    <row r="5210" spans="1:40" x14ac:dyDescent="0.25">
      <c r="A5210" t="str">
        <f>"20190312164133341"</f>
        <v>20190312164133341</v>
      </c>
      <c r="B5210" t="str">
        <f>"1552380093331329"</f>
        <v>1552380093331329</v>
      </c>
      <c r="C5210" t="s">
        <v>40</v>
      </c>
      <c r="D5210">
        <v>5.0687379999999997</v>
      </c>
      <c r="E5210">
        <v>0.4395326</v>
      </c>
      <c r="F5210" t="s">
        <v>51</v>
      </c>
      <c r="G5210">
        <v>-414.16930000000002</v>
      </c>
      <c r="H5210" s="1">
        <v>-9.141091E-6</v>
      </c>
      <c r="I5210">
        <v>28.03708</v>
      </c>
      <c r="J5210">
        <v>-420.61750000000001</v>
      </c>
      <c r="K5210">
        <v>1.120595</v>
      </c>
      <c r="L5210">
        <v>33.064639999999997</v>
      </c>
      <c r="M5210">
        <v>0.33772669999999999</v>
      </c>
      <c r="N5210">
        <v>0</v>
      </c>
      <c r="O5210">
        <v>-0.94111520000000004</v>
      </c>
      <c r="P5210">
        <v>0.68048980000000003</v>
      </c>
      <c r="Q5210">
        <v>0.1098836</v>
      </c>
      <c r="R5210">
        <v>-0.724472</v>
      </c>
      <c r="S5210">
        <v>2.4071660000000001</v>
      </c>
      <c r="T5210">
        <v>-0.4111378</v>
      </c>
      <c r="U5210">
        <v>-1.950806</v>
      </c>
      <c r="V5210">
        <v>-0.3988331</v>
      </c>
      <c r="W5210">
        <v>0.11394</v>
      </c>
      <c r="X5210">
        <v>0.90991750000000005</v>
      </c>
      <c r="Y5210">
        <v>-0.51109890000000002</v>
      </c>
      <c r="Z5210">
        <v>0.13617209999999999</v>
      </c>
      <c r="AA5210">
        <v>0.84866659999999905</v>
      </c>
      <c r="AB5210">
        <v>32</v>
      </c>
      <c r="AC5210">
        <v>6.4481999999999804</v>
      </c>
      <c r="AD5210">
        <v>-1.1206041410909999</v>
      </c>
      <c r="AE5210">
        <v>-5.0275600000000003</v>
      </c>
      <c r="AF5210">
        <v>-4.2904998682147202</v>
      </c>
      <c r="AG5210">
        <v>-1.1206041410909999</v>
      </c>
      <c r="AH5210">
        <v>6.7826820387566604</v>
      </c>
      <c r="AI5210">
        <v>97.948567465558696</v>
      </c>
      <c r="AJ5210">
        <v>122.316089098392</v>
      </c>
      <c r="AK5210">
        <v>8.1036361220783508</v>
      </c>
      <c r="AL5210">
        <v>83.457510413958104</v>
      </c>
      <c r="AM5210">
        <v>113.668697981317</v>
      </c>
      <c r="AN5210">
        <v>1.0000000110309299</v>
      </c>
    </row>
    <row r="5211" spans="1:40" x14ac:dyDescent="0.25">
      <c r="A5211" t="str">
        <f>"20190312164133363"</f>
        <v>20190312164133363</v>
      </c>
      <c r="B5211" t="str">
        <f>"1552380093351824"</f>
        <v>1552380093351824</v>
      </c>
      <c r="C5211" t="s">
        <v>40</v>
      </c>
      <c r="D5211">
        <v>5.1458870000000001</v>
      </c>
      <c r="E5211">
        <v>0.44028390000000001</v>
      </c>
      <c r="F5211" t="s">
        <v>51</v>
      </c>
      <c r="G5211">
        <v>-414.01409999999998</v>
      </c>
      <c r="H5211" s="1">
        <v>-9.174302E-6</v>
      </c>
      <c r="I5211">
        <v>27.84796</v>
      </c>
      <c r="J5211">
        <v>-420.49860000000001</v>
      </c>
      <c r="K5211">
        <v>1.1207339999999999</v>
      </c>
      <c r="L5211">
        <v>32.769350000000003</v>
      </c>
      <c r="M5211">
        <v>0.34957820000000001</v>
      </c>
      <c r="N5211">
        <v>0</v>
      </c>
      <c r="O5211">
        <v>-0.93677699999999997</v>
      </c>
      <c r="P5211">
        <v>0.69120680000000001</v>
      </c>
      <c r="Q5211">
        <v>0.110795699999999</v>
      </c>
      <c r="R5211">
        <v>-0.71411369999999996</v>
      </c>
      <c r="S5211">
        <v>2.4307859999999999</v>
      </c>
      <c r="T5211">
        <v>-0.41250750000000003</v>
      </c>
      <c r="U5211">
        <v>-1.9203190000000001</v>
      </c>
      <c r="V5211">
        <v>-0.40101579999999998</v>
      </c>
      <c r="W5211">
        <v>0.1146833</v>
      </c>
      <c r="X5211">
        <v>0.90886409999999995</v>
      </c>
      <c r="Y5211">
        <v>-0.51080769999999998</v>
      </c>
      <c r="Z5211">
        <v>0.13650199999999901</v>
      </c>
      <c r="AA5211">
        <v>0.84878899999999902</v>
      </c>
      <c r="AB5211">
        <v>32</v>
      </c>
      <c r="AC5211">
        <v>6.4845000000000201</v>
      </c>
      <c r="AD5211">
        <v>-1.120743174302</v>
      </c>
      <c r="AE5211">
        <v>-4.9213899999999997</v>
      </c>
      <c r="AF5211">
        <v>-4.2736478441169297</v>
      </c>
      <c r="AG5211">
        <v>-1.120743174302</v>
      </c>
      <c r="AH5211">
        <v>6.7499839183499901</v>
      </c>
      <c r="AI5211">
        <v>97.985531969346397</v>
      </c>
      <c r="AJ5211">
        <v>122.339312771621</v>
      </c>
      <c r="AK5211">
        <v>8.0673672320189702</v>
      </c>
      <c r="AL5211">
        <v>83.4146409932913</v>
      </c>
      <c r="AM5211">
        <v>113.808389055685</v>
      </c>
      <c r="AN5211">
        <v>0.99999994170866802</v>
      </c>
    </row>
    <row r="5212" spans="1:40" x14ac:dyDescent="0.25">
      <c r="A5212" t="str">
        <f>"20190312164133385"</f>
        <v>20190312164133385</v>
      </c>
      <c r="B5212" t="str">
        <f>"1552380093381105"</f>
        <v>1552380093381105</v>
      </c>
      <c r="C5212" t="s">
        <v>40</v>
      </c>
      <c r="D5212">
        <v>5.2258389999999997</v>
      </c>
      <c r="E5212">
        <v>0.4416387</v>
      </c>
      <c r="F5212" t="s">
        <v>42</v>
      </c>
      <c r="G5212">
        <v>-419.65600000000001</v>
      </c>
      <c r="H5212">
        <v>0.9801512</v>
      </c>
      <c r="I5212">
        <v>32.12162</v>
      </c>
      <c r="J5212">
        <v>-420.37709999999998</v>
      </c>
      <c r="K5212">
        <v>1.120851</v>
      </c>
      <c r="L5212">
        <v>32.47842</v>
      </c>
      <c r="M5212">
        <v>0.36143130000000001</v>
      </c>
      <c r="N5212">
        <v>0</v>
      </c>
      <c r="O5212">
        <v>-0.93226730000000002</v>
      </c>
      <c r="P5212">
        <v>0.7012621</v>
      </c>
      <c r="Q5212">
        <v>0.1099411</v>
      </c>
      <c r="R5212">
        <v>-0.70437559999999999</v>
      </c>
      <c r="S5212">
        <v>2.4560550000000001</v>
      </c>
      <c r="T5212">
        <v>-0.40966590000000003</v>
      </c>
      <c r="U5212">
        <v>-1.887329</v>
      </c>
      <c r="V5212">
        <v>-0.40233989999999997</v>
      </c>
      <c r="W5212">
        <v>0.11369799999999999</v>
      </c>
      <c r="X5212">
        <v>0.90840270000000001</v>
      </c>
      <c r="Y5212">
        <v>-0.51144009999999995</v>
      </c>
      <c r="Z5212">
        <v>0.13545309999999999</v>
      </c>
      <c r="AA5212">
        <v>0.84857610000000006</v>
      </c>
      <c r="AB5212">
        <v>32</v>
      </c>
      <c r="AC5212">
        <v>0.72109999999997798</v>
      </c>
      <c r="AD5212">
        <v>-0.14069980000000001</v>
      </c>
      <c r="AE5212">
        <v>-0.35679999999999901</v>
      </c>
      <c r="AF5212">
        <v>-0.52724098377661799</v>
      </c>
      <c r="AG5212">
        <v>-0.14069980000000001</v>
      </c>
      <c r="AH5212">
        <v>0.57572608476105003</v>
      </c>
      <c r="AI5212">
        <v>100.21672947869</v>
      </c>
      <c r="AJ5212">
        <v>132.48296714168899</v>
      </c>
      <c r="AK5212">
        <v>0.79324650227282001</v>
      </c>
      <c r="AL5212">
        <v>83.471466928721</v>
      </c>
      <c r="AM5212">
        <v>113.88899278402501</v>
      </c>
      <c r="AN5212">
        <v>1.00000004785164</v>
      </c>
    </row>
    <row r="5213" spans="1:40" x14ac:dyDescent="0.25">
      <c r="A5213" t="str">
        <f>"20190312164133410"</f>
        <v>20190312164133410</v>
      </c>
      <c r="B5213" t="str">
        <f>"1552380093401606"</f>
        <v>1552380093401606</v>
      </c>
      <c r="C5213" t="s">
        <v>40</v>
      </c>
      <c r="D5213">
        <v>5.2530219999999996</v>
      </c>
      <c r="E5213">
        <v>0.44327309999999998</v>
      </c>
      <c r="F5213" t="s">
        <v>42</v>
      </c>
      <c r="G5213">
        <v>-419.55619999999999</v>
      </c>
      <c r="H5213">
        <v>0.98596289999999998</v>
      </c>
      <c r="I5213">
        <v>31.86223</v>
      </c>
      <c r="J5213">
        <v>-420.24299999999999</v>
      </c>
      <c r="K5213">
        <v>1.120968</v>
      </c>
      <c r="L5213">
        <v>32.1691</v>
      </c>
      <c r="M5213">
        <v>0.37422230000000001</v>
      </c>
      <c r="N5213">
        <v>0</v>
      </c>
      <c r="O5213">
        <v>-0.92720650000000004</v>
      </c>
      <c r="P5213">
        <v>0.71135150000000003</v>
      </c>
      <c r="Q5213">
        <v>0.1098041</v>
      </c>
      <c r="R5213">
        <v>-0.69420669999999995</v>
      </c>
      <c r="S5213">
        <v>2.475006</v>
      </c>
      <c r="T5213">
        <v>-0.4068059</v>
      </c>
      <c r="U5213">
        <v>-1.8584590000000001</v>
      </c>
      <c r="V5213">
        <v>-0.40297230000000001</v>
      </c>
      <c r="W5213">
        <v>0.1134502</v>
      </c>
      <c r="X5213">
        <v>0.90815319999999999</v>
      </c>
      <c r="Y5213">
        <v>-0.50921260000000002</v>
      </c>
      <c r="Z5213">
        <v>0.1343617</v>
      </c>
      <c r="AA5213">
        <v>0.85008790000000001</v>
      </c>
      <c r="AB5213">
        <v>32</v>
      </c>
      <c r="AC5213">
        <v>0.68680000000006203</v>
      </c>
      <c r="AD5213">
        <v>-0.13500509999999899</v>
      </c>
      <c r="AE5213">
        <v>-0.30686999999999998</v>
      </c>
      <c r="AF5213">
        <v>-0.50574210467930802</v>
      </c>
      <c r="AG5213">
        <v>-0.13500509999999899</v>
      </c>
      <c r="AH5213">
        <v>0.52471335733719404</v>
      </c>
      <c r="AI5213">
        <v>100.495165308076</v>
      </c>
      <c r="AJ5213">
        <v>133.945272294445</v>
      </c>
      <c r="AK5213">
        <v>0.74116500243841499</v>
      </c>
      <c r="AL5213">
        <v>83.485756507126993</v>
      </c>
      <c r="AM5213">
        <v>113.928164564771</v>
      </c>
      <c r="AN5213">
        <v>0.99999992855878195</v>
      </c>
    </row>
    <row r="5214" spans="1:40" x14ac:dyDescent="0.25">
      <c r="A5214" t="str">
        <f>"20190312164133431"</f>
        <v>20190312164133431</v>
      </c>
      <c r="B5214" t="str">
        <f>"1552380093421120"</f>
        <v>1552380093421120</v>
      </c>
      <c r="C5214" t="s">
        <v>40</v>
      </c>
      <c r="D5214">
        <v>5.2405480000000004</v>
      </c>
      <c r="E5214">
        <v>0.44489909999999999</v>
      </c>
      <c r="F5214" t="s">
        <v>42</v>
      </c>
      <c r="G5214">
        <v>-419.4633</v>
      </c>
      <c r="H5214">
        <v>0.99702639999999998</v>
      </c>
      <c r="I5214">
        <v>31.59639</v>
      </c>
      <c r="J5214">
        <v>-420.12099999999998</v>
      </c>
      <c r="K5214">
        <v>1.1210719999999901</v>
      </c>
      <c r="L5214">
        <v>31.897549999999999</v>
      </c>
      <c r="M5214">
        <v>0.38561289999999998</v>
      </c>
      <c r="N5214">
        <v>0</v>
      </c>
      <c r="O5214">
        <v>-0.92252690000000004</v>
      </c>
      <c r="P5214">
        <v>0.71997639999999996</v>
      </c>
      <c r="Q5214">
        <v>0.11080230000000001</v>
      </c>
      <c r="R5214">
        <v>-0.68509659999999994</v>
      </c>
      <c r="S5214">
        <v>2.4926149999999998</v>
      </c>
      <c r="T5214">
        <v>-0.39608100000000002</v>
      </c>
      <c r="U5214">
        <v>-1.8299559999999999</v>
      </c>
      <c r="V5214">
        <v>-0.4032616</v>
      </c>
      <c r="W5214">
        <v>0.1143607</v>
      </c>
      <c r="X5214">
        <v>0.90791060000000001</v>
      </c>
      <c r="Y5214">
        <v>-0.50821879999999997</v>
      </c>
      <c r="Z5214">
        <v>0.13076579999999999</v>
      </c>
      <c r="AA5214">
        <v>0.85124259999999996</v>
      </c>
      <c r="AB5214">
        <v>32</v>
      </c>
      <c r="AC5214">
        <v>0.65769999999997697</v>
      </c>
      <c r="AD5214">
        <v>-0.12404559999999901</v>
      </c>
      <c r="AE5214">
        <v>-0.30115999999999499</v>
      </c>
      <c r="AF5214">
        <v>-0.47665857426873698</v>
      </c>
      <c r="AG5214">
        <v>-0.12404559999999901</v>
      </c>
      <c r="AH5214">
        <v>0.51632812548261298</v>
      </c>
      <c r="AI5214">
        <v>100.01101275104899</v>
      </c>
      <c r="AJ5214">
        <v>132.71226558259301</v>
      </c>
      <c r="AK5214">
        <v>0.71357230920745096</v>
      </c>
      <c r="AL5214">
        <v>83.433247231572807</v>
      </c>
      <c r="AM5214">
        <v>113.949090619977</v>
      </c>
      <c r="AN5214">
        <v>0.99999997266570395</v>
      </c>
    </row>
    <row r="5215" spans="1:40" x14ac:dyDescent="0.25">
      <c r="A5215" t="str">
        <f>"20190312164133453"</f>
        <v>20190312164133453</v>
      </c>
      <c r="B5215" t="str">
        <f>"1552380093441617"</f>
        <v>1552380093441617</v>
      </c>
      <c r="C5215" t="s">
        <v>40</v>
      </c>
      <c r="D5215">
        <v>5.0943870000000002</v>
      </c>
      <c r="E5215">
        <v>0.44640170000000001</v>
      </c>
      <c r="F5215" t="s">
        <v>42</v>
      </c>
      <c r="G5215">
        <v>-419.35140000000001</v>
      </c>
      <c r="H5215">
        <v>1.0032049999999999</v>
      </c>
      <c r="I5215">
        <v>31.342970000000001</v>
      </c>
      <c r="J5215">
        <v>-419.99059999999997</v>
      </c>
      <c r="K5215">
        <v>1.1211880000000001</v>
      </c>
      <c r="L5215">
        <v>31.61713</v>
      </c>
      <c r="M5215">
        <v>0.39752680000000001</v>
      </c>
      <c r="N5215">
        <v>0</v>
      </c>
      <c r="O5215">
        <v>-0.91745569999999999</v>
      </c>
      <c r="P5215">
        <v>0.72831360000000001</v>
      </c>
      <c r="Q5215">
        <v>0.1125618</v>
      </c>
      <c r="R5215">
        <v>-0.67593630000000005</v>
      </c>
      <c r="S5215">
        <v>2.5072939999999999</v>
      </c>
      <c r="T5215">
        <v>-0.3839246</v>
      </c>
      <c r="U5215">
        <v>-1.8061830000000001</v>
      </c>
      <c r="V5215">
        <v>-0.40281699999999998</v>
      </c>
      <c r="W5215">
        <v>0.1160545</v>
      </c>
      <c r="X5215">
        <v>0.90789310000000001</v>
      </c>
      <c r="Y5215">
        <v>-0.50522199999999995</v>
      </c>
      <c r="Z5215">
        <v>0.12658050000000001</v>
      </c>
      <c r="AA5215">
        <v>0.85365569999999902</v>
      </c>
      <c r="AB5215">
        <v>32</v>
      </c>
      <c r="AC5215">
        <v>0.63919999999995902</v>
      </c>
      <c r="AD5215">
        <v>-0.11798299999999901</v>
      </c>
      <c r="AE5215">
        <v>-0.27415999999999802</v>
      </c>
      <c r="AF5215">
        <v>-0.46415443800394002</v>
      </c>
      <c r="AG5215">
        <v>-0.11798299999999901</v>
      </c>
      <c r="AH5215">
        <v>0.49154674073725402</v>
      </c>
      <c r="AI5215">
        <v>99.899308142621393</v>
      </c>
      <c r="AJ5215">
        <v>133.35823811063099</v>
      </c>
      <c r="AK5215">
        <v>0.68627802597574905</v>
      </c>
      <c r="AL5215">
        <v>83.335549491552399</v>
      </c>
      <c r="AM5215">
        <v>113.926061436252</v>
      </c>
      <c r="AN5215">
        <v>1.0000000317434199</v>
      </c>
    </row>
    <row r="5216" spans="1:40" x14ac:dyDescent="0.25">
      <c r="A5216" t="str">
        <f>"20190312164133475"</f>
        <v>20190312164133475</v>
      </c>
      <c r="B5216" t="str">
        <f>"1552380093471873"</f>
        <v>1552380093471873</v>
      </c>
      <c r="C5216" t="s">
        <v>40</v>
      </c>
      <c r="D5216">
        <v>5.1609099999999897</v>
      </c>
      <c r="E5216">
        <v>0.44859320000000003</v>
      </c>
      <c r="F5216" t="s">
        <v>42</v>
      </c>
      <c r="G5216">
        <v>-419.24169999999998</v>
      </c>
      <c r="H5216">
        <v>1.0107189999999999</v>
      </c>
      <c r="I5216">
        <v>31.087579999999999</v>
      </c>
      <c r="J5216">
        <v>-419.85489999999999</v>
      </c>
      <c r="K5216">
        <v>1.1212850000000001</v>
      </c>
      <c r="L5216">
        <v>31.33521</v>
      </c>
      <c r="M5216">
        <v>0.4096572</v>
      </c>
      <c r="N5216">
        <v>0</v>
      </c>
      <c r="O5216">
        <v>-0.9121032</v>
      </c>
      <c r="P5216">
        <v>0.736234099999999</v>
      </c>
      <c r="Q5216">
        <v>0.11470959999999999</v>
      </c>
      <c r="R5216">
        <v>-0.66693429999999998</v>
      </c>
      <c r="S5216">
        <v>2.5220950000000002</v>
      </c>
      <c r="T5216">
        <v>-0.37194290000000002</v>
      </c>
      <c r="U5216">
        <v>-1.7826839999999999</v>
      </c>
      <c r="V5216">
        <v>-0.40172099999999999</v>
      </c>
      <c r="W5216">
        <v>0.1181614</v>
      </c>
      <c r="X5216">
        <v>0.90810690000000005</v>
      </c>
      <c r="Y5216">
        <v>-0.50190979999999996</v>
      </c>
      <c r="Z5216">
        <v>0.12239899999999999</v>
      </c>
      <c r="AA5216">
        <v>0.85621550000000002</v>
      </c>
      <c r="AB5216">
        <v>32</v>
      </c>
      <c r="AC5216">
        <v>0.61320000000000596</v>
      </c>
      <c r="AD5216">
        <v>-0.110565999999999</v>
      </c>
      <c r="AE5216">
        <v>-0.24762999999999699</v>
      </c>
      <c r="AF5216">
        <v>-0.44546317074209302</v>
      </c>
      <c r="AG5216">
        <v>-0.110565999999999</v>
      </c>
      <c r="AH5216">
        <v>0.46415082382516298</v>
      </c>
      <c r="AI5216">
        <v>99.751876922511897</v>
      </c>
      <c r="AJ5216">
        <v>133.82304686235099</v>
      </c>
      <c r="AK5216">
        <v>0.65276202715934495</v>
      </c>
      <c r="AL5216">
        <v>83.2139964640415</v>
      </c>
      <c r="AM5216">
        <v>113.86325333114399</v>
      </c>
      <c r="AN5216">
        <v>1.0000000100592801</v>
      </c>
    </row>
    <row r="5217" spans="1:40" x14ac:dyDescent="0.25">
      <c r="A5217" t="str">
        <f>"20190312164133499"</f>
        <v>20190312164133499</v>
      </c>
      <c r="B5217" t="str">
        <f>"1552380093491392"</f>
        <v>1552380093491392</v>
      </c>
      <c r="C5217" t="s">
        <v>40</v>
      </c>
      <c r="D5217">
        <v>5.5780250000000002</v>
      </c>
      <c r="E5217">
        <v>0.4499824</v>
      </c>
      <c r="F5217" t="s">
        <v>42</v>
      </c>
      <c r="G5217">
        <v>-419.13170000000002</v>
      </c>
      <c r="H5217">
        <v>1.0198879999999999</v>
      </c>
      <c r="I5217">
        <v>30.83182</v>
      </c>
      <c r="J5217">
        <v>-419.71260000000001</v>
      </c>
      <c r="K5217">
        <v>1.1213839999999999</v>
      </c>
      <c r="L5217">
        <v>31.049679999999999</v>
      </c>
      <c r="M5217">
        <v>0.42208980000000001</v>
      </c>
      <c r="N5217">
        <v>0</v>
      </c>
      <c r="O5217">
        <v>-0.90641640000000001</v>
      </c>
      <c r="P5217">
        <v>0.74415249999999999</v>
      </c>
      <c r="Q5217">
        <v>0.1153904</v>
      </c>
      <c r="R5217">
        <v>-0.65796849999999996</v>
      </c>
      <c r="S5217">
        <v>2.53302</v>
      </c>
      <c r="T5217">
        <v>-0.35514089999999998</v>
      </c>
      <c r="U5217">
        <v>-1.763031</v>
      </c>
      <c r="V5217">
        <v>-0.40025329999999998</v>
      </c>
      <c r="W5217">
        <v>0.1188205</v>
      </c>
      <c r="X5217">
        <v>0.90866880000000005</v>
      </c>
      <c r="Y5217">
        <v>-0.49690260000000003</v>
      </c>
      <c r="Z5217">
        <v>0.1166064</v>
      </c>
      <c r="AA5217">
        <v>0.85993649999999999</v>
      </c>
      <c r="AB5217">
        <v>32</v>
      </c>
      <c r="AC5217">
        <v>0.58089999999998498</v>
      </c>
      <c r="AD5217">
        <v>-0.101496</v>
      </c>
      <c r="AE5217">
        <v>-0.217859999999998</v>
      </c>
      <c r="AF5217">
        <v>-0.42330592691375302</v>
      </c>
      <c r="AG5217">
        <v>-0.101496</v>
      </c>
      <c r="AH5217">
        <v>0.43117925727037398</v>
      </c>
      <c r="AI5217">
        <v>99.535162996135796</v>
      </c>
      <c r="AJ5217">
        <v>134.472084662475</v>
      </c>
      <c r="AK5217">
        <v>0.61270294407366999</v>
      </c>
      <c r="AL5217">
        <v>83.175964830945702</v>
      </c>
      <c r="AM5217">
        <v>113.772683014291</v>
      </c>
      <c r="AN5217">
        <v>1.0000000017372801</v>
      </c>
    </row>
    <row r="5218" spans="1:40" x14ac:dyDescent="0.25">
      <c r="A5218" t="str">
        <f>"20190312164133520"</f>
        <v>20190312164133520</v>
      </c>
      <c r="B5218" t="str">
        <f>"1552380093511889"</f>
        <v>1552380093511889</v>
      </c>
      <c r="C5218" t="s">
        <v>40</v>
      </c>
      <c r="D5218">
        <v>5.1609420000000004</v>
      </c>
      <c r="E5218">
        <v>0.45120329999999897</v>
      </c>
      <c r="F5218" t="s">
        <v>42</v>
      </c>
      <c r="G5218">
        <v>-418.78449999999998</v>
      </c>
      <c r="H5218">
        <v>0.99455570000000004</v>
      </c>
      <c r="I5218">
        <v>30.416720000000002</v>
      </c>
      <c r="J5218">
        <v>-419.57380000000001</v>
      </c>
      <c r="K5218">
        <v>1.121467</v>
      </c>
      <c r="L5218">
        <v>30.781279999999999</v>
      </c>
      <c r="M5218">
        <v>0.43392059999999999</v>
      </c>
      <c r="N5218">
        <v>0</v>
      </c>
      <c r="O5218">
        <v>-0.9008121</v>
      </c>
      <c r="P5218">
        <v>0.75137319999999996</v>
      </c>
      <c r="Q5218">
        <v>0.114825</v>
      </c>
      <c r="R5218">
        <v>-0.64981060000000002</v>
      </c>
      <c r="S5218">
        <v>2.5486759999999999</v>
      </c>
      <c r="T5218">
        <v>-0.34827829999999999</v>
      </c>
      <c r="U5218">
        <v>-1.7380679999999999</v>
      </c>
      <c r="V5218">
        <v>-0.39835419999999999</v>
      </c>
      <c r="W5218">
        <v>0.1182599</v>
      </c>
      <c r="X5218">
        <v>0.9095761</v>
      </c>
      <c r="Y5218">
        <v>-0.4940175</v>
      </c>
      <c r="Z5218">
        <v>0.11406570000000001</v>
      </c>
      <c r="AA5218">
        <v>0.86193719999999996</v>
      </c>
      <c r="AB5218">
        <v>32</v>
      </c>
      <c r="AC5218">
        <v>0.78930000000002498</v>
      </c>
      <c r="AD5218">
        <v>-0.1269113</v>
      </c>
      <c r="AE5218">
        <v>-0.364559999999997</v>
      </c>
      <c r="AF5218">
        <v>-0.54135509678196003</v>
      </c>
      <c r="AG5218">
        <v>-0.1269113</v>
      </c>
      <c r="AH5218">
        <v>0.65697889842634305</v>
      </c>
      <c r="AI5218">
        <v>98.479317856647</v>
      </c>
      <c r="AJ5218">
        <v>129.48875552030901</v>
      </c>
      <c r="AK5218">
        <v>0.860693378536739</v>
      </c>
      <c r="AL5218">
        <v>83.208313438095004</v>
      </c>
      <c r="AM5218">
        <v>113.651297663327</v>
      </c>
      <c r="AN5218">
        <v>1.0000000771484201</v>
      </c>
    </row>
    <row r="5219" spans="1:40" x14ac:dyDescent="0.25">
      <c r="A5219" t="str">
        <f>"20190312164133543"</f>
        <v>20190312164133543</v>
      </c>
      <c r="B5219" t="str">
        <f>"1552380093531409"</f>
        <v>1552380093531409</v>
      </c>
      <c r="C5219" t="s">
        <v>40</v>
      </c>
      <c r="D5219">
        <v>5.2982259999999997</v>
      </c>
      <c r="E5219">
        <v>0.45178859999999899</v>
      </c>
      <c r="F5219" t="s">
        <v>42</v>
      </c>
      <c r="G5219">
        <v>-418.66210000000001</v>
      </c>
      <c r="H5219">
        <v>0.99864549999999996</v>
      </c>
      <c r="I5219">
        <v>30.170729999999999</v>
      </c>
      <c r="J5219">
        <v>-419.42860000000002</v>
      </c>
      <c r="K5219">
        <v>1.1215459999999999</v>
      </c>
      <c r="L5219">
        <v>30.509340000000002</v>
      </c>
      <c r="M5219">
        <v>0.4460208</v>
      </c>
      <c r="N5219">
        <v>0</v>
      </c>
      <c r="O5219">
        <v>-0.89488250000000003</v>
      </c>
      <c r="P5219">
        <v>0.75885380000000002</v>
      </c>
      <c r="Q5219">
        <v>0.1144395</v>
      </c>
      <c r="R5219">
        <v>-0.64112819999999904</v>
      </c>
      <c r="S5219">
        <v>2.5625</v>
      </c>
      <c r="T5219">
        <v>-0.34502159999999998</v>
      </c>
      <c r="U5219">
        <v>-1.714661</v>
      </c>
      <c r="V5219">
        <v>-0.396617</v>
      </c>
      <c r="W5219">
        <v>0.1178825</v>
      </c>
      <c r="X5219">
        <v>0.91038379999999997</v>
      </c>
      <c r="Y5219">
        <v>-0.49003439999999998</v>
      </c>
      <c r="Z5219">
        <v>0.1126487</v>
      </c>
      <c r="AA5219">
        <v>0.86439379999999999</v>
      </c>
      <c r="AB5219">
        <v>32</v>
      </c>
      <c r="AC5219">
        <v>0.76650000000000695</v>
      </c>
      <c r="AD5219">
        <v>-0.122900499999999</v>
      </c>
      <c r="AE5219">
        <v>-0.33861000000000202</v>
      </c>
      <c r="AF5219">
        <v>-0.52370208450627198</v>
      </c>
      <c r="AG5219">
        <v>-0.122900499999999</v>
      </c>
      <c r="AH5219">
        <v>0.63139017837256295</v>
      </c>
      <c r="AI5219">
        <v>98.520736421357</v>
      </c>
      <c r="AJ5219">
        <v>129.67376754434301</v>
      </c>
      <c r="AK5219">
        <v>0.82947089373997995</v>
      </c>
      <c r="AL5219">
        <v>83.230088629560996</v>
      </c>
      <c r="AM5219">
        <v>113.54078809558</v>
      </c>
      <c r="AN5219">
        <v>0.99999999589884403</v>
      </c>
    </row>
    <row r="5220" spans="1:40" x14ac:dyDescent="0.25">
      <c r="A5220" t="str">
        <f>"20190312164133565"</f>
        <v>20190312164133565</v>
      </c>
      <c r="B5220" t="str">
        <f>"1552380093561666"</f>
        <v>1552380093561666</v>
      </c>
      <c r="C5220" t="s">
        <v>40</v>
      </c>
      <c r="D5220">
        <v>5.2731019999999997</v>
      </c>
      <c r="E5220">
        <v>0.47276279999999998</v>
      </c>
      <c r="F5220" t="s">
        <v>42</v>
      </c>
      <c r="G5220">
        <v>-418.53660000000002</v>
      </c>
      <c r="H5220">
        <v>1.003145</v>
      </c>
      <c r="I5220">
        <v>29.926639999999999</v>
      </c>
      <c r="J5220">
        <v>-419.27850000000001</v>
      </c>
      <c r="K5220">
        <v>1.121632</v>
      </c>
      <c r="L5220">
        <v>30.23752</v>
      </c>
      <c r="M5220">
        <v>0.45823370000000002</v>
      </c>
      <c r="N5220">
        <v>0</v>
      </c>
      <c r="O5220">
        <v>-0.88868989999999903</v>
      </c>
      <c r="P5220">
        <v>0.76602530000000002</v>
      </c>
      <c r="Q5220">
        <v>0.11564670000000001</v>
      </c>
      <c r="R5220">
        <v>-0.6323221</v>
      </c>
      <c r="S5220">
        <v>2.5807799999999999</v>
      </c>
      <c r="T5220">
        <v>-0.34254230000000002</v>
      </c>
      <c r="U5220">
        <v>-1.68573</v>
      </c>
      <c r="V5220">
        <v>-0.39455309999999999</v>
      </c>
      <c r="W5220">
        <v>0.1191088</v>
      </c>
      <c r="X5220">
        <v>0.91112070000000001</v>
      </c>
      <c r="Y5220">
        <v>-0.4878189</v>
      </c>
      <c r="Z5220">
        <v>0.1114778</v>
      </c>
      <c r="AA5220">
        <v>0.86579759999999995</v>
      </c>
      <c r="AB5220">
        <v>32</v>
      </c>
      <c r="AC5220">
        <v>0.74189999999998602</v>
      </c>
      <c r="AD5220">
        <v>-0.118486999999999</v>
      </c>
      <c r="AE5220">
        <v>-0.31087999999999699</v>
      </c>
      <c r="AF5220">
        <v>-0.50595100328906595</v>
      </c>
      <c r="AG5220">
        <v>-0.118486999999999</v>
      </c>
      <c r="AH5220">
        <v>0.60322906601478898</v>
      </c>
      <c r="AI5220">
        <v>98.558456636298104</v>
      </c>
      <c r="AJ5220">
        <v>129.987831231293</v>
      </c>
      <c r="AK5220">
        <v>0.79618521273839804</v>
      </c>
      <c r="AL5220">
        <v>83.159328249542099</v>
      </c>
      <c r="AM5220">
        <v>113.41461525848101</v>
      </c>
      <c r="AN5220">
        <v>0.99999999246276905</v>
      </c>
    </row>
    <row r="5221" spans="1:40" x14ac:dyDescent="0.25">
      <c r="A5221" t="str">
        <f>"20190312164133588"</f>
        <v>20190312164133588</v>
      </c>
      <c r="B5221" t="str">
        <f>"1552380093581184"</f>
        <v>1552380093581184</v>
      </c>
      <c r="C5221" t="s">
        <v>40</v>
      </c>
      <c r="D5221">
        <v>5.2392469999999998</v>
      </c>
      <c r="E5221">
        <v>0.47296670000000002</v>
      </c>
      <c r="F5221" t="s">
        <v>42</v>
      </c>
      <c r="G5221">
        <v>-418.45249999999999</v>
      </c>
      <c r="H5221">
        <v>1.023128</v>
      </c>
      <c r="I5221">
        <v>29.647400000000001</v>
      </c>
      <c r="J5221">
        <v>-419.11709999999999</v>
      </c>
      <c r="K5221">
        <v>1.1217189999999999</v>
      </c>
      <c r="L5221">
        <v>29.954619999999998</v>
      </c>
      <c r="M5221">
        <v>0.47108240000000001</v>
      </c>
      <c r="N5221">
        <v>0</v>
      </c>
      <c r="O5221">
        <v>-0.88194609999999996</v>
      </c>
      <c r="P5221">
        <v>0.77341000000000004</v>
      </c>
      <c r="Q5221">
        <v>0.11722440000000001</v>
      </c>
      <c r="R5221">
        <v>-0.62297329999999995</v>
      </c>
      <c r="S5221">
        <v>2.4921570000000002</v>
      </c>
      <c r="T5221">
        <v>-0.29707739999999999</v>
      </c>
      <c r="U5221">
        <v>-1.779633</v>
      </c>
      <c r="V5221">
        <v>-0.39224890000000001</v>
      </c>
      <c r="W5221">
        <v>0.12070980000000001</v>
      </c>
      <c r="X5221">
        <v>0.91190459999999995</v>
      </c>
      <c r="Y5221">
        <v>-0.43990560000000001</v>
      </c>
      <c r="Z5221">
        <v>9.5795939999999996E-2</v>
      </c>
      <c r="AA5221">
        <v>0.892920099999999</v>
      </c>
      <c r="AB5221">
        <v>32</v>
      </c>
      <c r="AC5221">
        <v>0.66460000000000696</v>
      </c>
      <c r="AD5221">
        <v>-9.8591000000000095E-2</v>
      </c>
      <c r="AE5221">
        <v>-0.30721999999999999</v>
      </c>
      <c r="AF5221">
        <v>-0.43360894791423499</v>
      </c>
      <c r="AG5221">
        <v>-9.8591000000000095E-2</v>
      </c>
      <c r="AH5221">
        <v>0.57370413954298904</v>
      </c>
      <c r="AI5221">
        <v>97.806408717048498</v>
      </c>
      <c r="AJ5221">
        <v>127.082201666109</v>
      </c>
      <c r="AK5221">
        <v>0.72586041683029701</v>
      </c>
      <c r="AL5221">
        <v>83.066931279422604</v>
      </c>
      <c r="AM5221">
        <v>113.27459373999299</v>
      </c>
      <c r="AN5221">
        <v>1.0000000274342</v>
      </c>
    </row>
    <row r="5222" spans="1:40" x14ac:dyDescent="0.25">
      <c r="A5222" t="str">
        <f>"20190312164133609"</f>
        <v>20190312164133609</v>
      </c>
      <c r="B5222" t="str">
        <f>"1552380093601681"</f>
        <v>1552380093601681</v>
      </c>
      <c r="C5222" t="s">
        <v>40</v>
      </c>
      <c r="D5222">
        <v>5.2543379999999997</v>
      </c>
      <c r="E5222">
        <v>0.47320220000000002</v>
      </c>
      <c r="F5222" t="s">
        <v>42</v>
      </c>
      <c r="G5222">
        <v>-418.32490000000001</v>
      </c>
      <c r="H5222">
        <v>1.0323610000000001</v>
      </c>
      <c r="I5222">
        <v>29.402920000000002</v>
      </c>
      <c r="J5222">
        <v>-418.96699999999998</v>
      </c>
      <c r="K5222">
        <v>1.1218109999999999</v>
      </c>
      <c r="L5222">
        <v>29.70007</v>
      </c>
      <c r="M5222">
        <v>0.48277389999999998</v>
      </c>
      <c r="N5222">
        <v>0</v>
      </c>
      <c r="O5222">
        <v>-0.875600499999999</v>
      </c>
      <c r="P5222">
        <v>0.7801998</v>
      </c>
      <c r="Q5222">
        <v>0.1192522</v>
      </c>
      <c r="R5222">
        <v>-0.61405859999999901</v>
      </c>
      <c r="S5222">
        <v>2.5123899999999999</v>
      </c>
      <c r="T5222">
        <v>-0.2833946</v>
      </c>
      <c r="U5222">
        <v>-1.74981699999999</v>
      </c>
      <c r="V5222">
        <v>-0.3903894</v>
      </c>
      <c r="W5222">
        <v>0.1227454</v>
      </c>
      <c r="X5222">
        <v>0.91243059999999998</v>
      </c>
      <c r="Y5222">
        <v>-0.43886740000000002</v>
      </c>
      <c r="Z5222">
        <v>9.1074459999999996E-2</v>
      </c>
      <c r="AA5222">
        <v>0.89392439999999995</v>
      </c>
      <c r="AB5222">
        <v>32</v>
      </c>
      <c r="AC5222">
        <v>0.64209999999997003</v>
      </c>
      <c r="AD5222">
        <v>-8.9450000000000002E-2</v>
      </c>
      <c r="AE5222">
        <v>-0.29714999999999803</v>
      </c>
      <c r="AF5222">
        <v>-0.41223084177824498</v>
      </c>
      <c r="AG5222">
        <v>-8.9450000000000002E-2</v>
      </c>
      <c r="AH5222">
        <v>0.56127472427541802</v>
      </c>
      <c r="AI5222">
        <v>97.3194235208598</v>
      </c>
      <c r="AJ5222">
        <v>126.295595036346</v>
      </c>
      <c r="AK5222">
        <v>0.70211458147772998</v>
      </c>
      <c r="AL5222">
        <v>82.949425661299799</v>
      </c>
      <c r="AM5222">
        <v>113.16397736413801</v>
      </c>
      <c r="AN5222">
        <v>0.99999995833493904</v>
      </c>
    </row>
    <row r="5223" spans="1:40" x14ac:dyDescent="0.25">
      <c r="A5223" t="str">
        <f>"20190312164133632"</f>
        <v>20190312164133632</v>
      </c>
      <c r="B5223" t="str">
        <f>"1552380093621201"</f>
        <v>1552380093621201</v>
      </c>
      <c r="C5223" t="s">
        <v>40</v>
      </c>
      <c r="D5223">
        <v>5.0774720000000002</v>
      </c>
      <c r="E5223">
        <v>0.47342770000000001</v>
      </c>
      <c r="F5223" t="s">
        <v>42</v>
      </c>
      <c r="G5223">
        <v>-418.17910000000001</v>
      </c>
      <c r="H5223">
        <v>1.0363659999999999</v>
      </c>
      <c r="I5223">
        <v>29.164159999999999</v>
      </c>
      <c r="J5223">
        <v>-418.80520000000001</v>
      </c>
      <c r="K5223">
        <v>1.1219110000000001</v>
      </c>
      <c r="L5223">
        <v>29.434229999999999</v>
      </c>
      <c r="M5223">
        <v>0.49512899999999999</v>
      </c>
      <c r="N5223">
        <v>0</v>
      </c>
      <c r="O5223">
        <v>-0.86867309999999998</v>
      </c>
      <c r="P5223">
        <v>0.78790260000000001</v>
      </c>
      <c r="Q5223">
        <v>0.12157179999999999</v>
      </c>
      <c r="R5223">
        <v>-0.60368029999999995</v>
      </c>
      <c r="S5223">
        <v>2.5320740000000002</v>
      </c>
      <c r="T5223">
        <v>-0.27452840000000001</v>
      </c>
      <c r="U5223">
        <v>-1.7216800000000001</v>
      </c>
      <c r="V5223">
        <v>-0.3893238</v>
      </c>
      <c r="W5223">
        <v>0.12503510000000001</v>
      </c>
      <c r="X5223">
        <v>0.91257509999999997</v>
      </c>
      <c r="Y5223">
        <v>-0.43643169999999998</v>
      </c>
      <c r="Z5223">
        <v>8.7811780000000006E-2</v>
      </c>
      <c r="AA5223">
        <v>0.89544210000000002</v>
      </c>
      <c r="AB5223">
        <v>31</v>
      </c>
      <c r="AC5223">
        <v>0.62610000000000798</v>
      </c>
      <c r="AD5223">
        <v>-8.5545000000000204E-2</v>
      </c>
      <c r="AE5223">
        <v>-0.27006999999999998</v>
      </c>
      <c r="AF5223">
        <v>-0.40385243447769897</v>
      </c>
      <c r="AG5223">
        <v>-8.5545000000000204E-2</v>
      </c>
      <c r="AH5223">
        <v>0.536232006459755</v>
      </c>
      <c r="AI5223">
        <v>97.262183121839797</v>
      </c>
      <c r="AJ5223">
        <v>126.98450181835</v>
      </c>
      <c r="AK5223">
        <v>0.67672705030197999</v>
      </c>
      <c r="AL5223">
        <v>82.8172176334038</v>
      </c>
      <c r="AM5223">
        <v>113.104118497331</v>
      </c>
      <c r="AN5223">
        <v>1.0000000553092201</v>
      </c>
    </row>
    <row r="5224" spans="1:40" x14ac:dyDescent="0.25">
      <c r="A5224" t="str">
        <f>"20190312164133655"</f>
        <v>20190312164133655</v>
      </c>
      <c r="B5224" t="str">
        <f>"1552380093651456"</f>
        <v>1552380093651456</v>
      </c>
      <c r="C5224" t="s">
        <v>40</v>
      </c>
      <c r="D5224">
        <v>5.2493949999999998</v>
      </c>
      <c r="E5224">
        <v>0.47397400000000001</v>
      </c>
      <c r="F5224" t="s">
        <v>42</v>
      </c>
      <c r="G5224">
        <v>-417.99009999999998</v>
      </c>
      <c r="H5224">
        <v>1.036737</v>
      </c>
      <c r="I5224">
        <v>28.894950000000001</v>
      </c>
      <c r="J5224">
        <v>-418.64060000000001</v>
      </c>
      <c r="K5224">
        <v>1.12202</v>
      </c>
      <c r="L5224">
        <v>29.17239</v>
      </c>
      <c r="M5224">
        <v>0.50744889999999998</v>
      </c>
      <c r="N5224">
        <v>0</v>
      </c>
      <c r="O5224">
        <v>-0.86153389999999996</v>
      </c>
      <c r="P5224">
        <v>0.79498190000000002</v>
      </c>
      <c r="Q5224">
        <v>0.12524169999999901</v>
      </c>
      <c r="R5224">
        <v>-0.59356450000000005</v>
      </c>
      <c r="S5224">
        <v>2.5538020000000001</v>
      </c>
      <c r="T5224">
        <v>-0.26689930000000001</v>
      </c>
      <c r="U5224">
        <v>-1.69009399999999</v>
      </c>
      <c r="V5224">
        <v>-0.38763180000000003</v>
      </c>
      <c r="W5224">
        <v>0.12869079999999999</v>
      </c>
      <c r="X5224">
        <v>0.91278709999999996</v>
      </c>
      <c r="Y5224">
        <v>-0.43505850000000001</v>
      </c>
      <c r="Z5224">
        <v>8.4966669999999994E-2</v>
      </c>
      <c r="AA5224">
        <v>0.89638419999999897</v>
      </c>
      <c r="AB5224">
        <v>31</v>
      </c>
      <c r="AC5224">
        <v>0.65050000000002195</v>
      </c>
      <c r="AD5224">
        <v>-8.5282999999999998E-2</v>
      </c>
      <c r="AE5224">
        <v>-0.27744000000000202</v>
      </c>
      <c r="AF5224">
        <v>-0.41367863939862398</v>
      </c>
      <c r="AG5224">
        <v>-8.5282999999999998E-2</v>
      </c>
      <c r="AH5224">
        <v>0.56103304833176904</v>
      </c>
      <c r="AI5224">
        <v>96.975316774011901</v>
      </c>
      <c r="AJ5224">
        <v>126.403268475551</v>
      </c>
      <c r="AK5224">
        <v>0.70225443259842402</v>
      </c>
      <c r="AL5224">
        <v>82.606054880116005</v>
      </c>
      <c r="AM5224">
        <v>113.009395542741</v>
      </c>
      <c r="AN5224">
        <v>1.0000000121511401</v>
      </c>
    </row>
    <row r="5225" spans="1:40" x14ac:dyDescent="0.25">
      <c r="A5225" t="str">
        <f>"20190312164133669"</f>
        <v>20190312164133669</v>
      </c>
      <c r="B5225" t="str">
        <f>"1552380093661216"</f>
        <v>1552380093661216</v>
      </c>
      <c r="C5225" t="s">
        <v>40</v>
      </c>
      <c r="D5225">
        <v>5.0216159999999999</v>
      </c>
      <c r="E5225">
        <v>0.4736322</v>
      </c>
      <c r="F5225" t="s">
        <v>51</v>
      </c>
      <c r="G5225">
        <v>-407.37610000000001</v>
      </c>
      <c r="H5225" s="1">
        <v>-2.9088200000000001E-6</v>
      </c>
      <c r="I5225">
        <v>21.898579999999999</v>
      </c>
      <c r="J5225">
        <v>-418.53800000000001</v>
      </c>
      <c r="K5225">
        <v>1.122088</v>
      </c>
      <c r="L5225">
        <v>29.013819999999999</v>
      </c>
      <c r="M5225">
        <v>0.51500420000000002</v>
      </c>
      <c r="N5225">
        <v>0</v>
      </c>
      <c r="O5225">
        <v>-0.85703859999999998</v>
      </c>
      <c r="P5225">
        <v>0.79937230000000004</v>
      </c>
      <c r="Q5225">
        <v>0.12700620000000001</v>
      </c>
      <c r="R5225">
        <v>-0.5872598</v>
      </c>
      <c r="S5225">
        <v>2.5733950000000001</v>
      </c>
      <c r="T5225">
        <v>-0.25632759999999999</v>
      </c>
      <c r="U5225">
        <v>-1.661713</v>
      </c>
      <c r="V5225">
        <v>-0.38665519999999998</v>
      </c>
      <c r="W5225">
        <v>0.130445899999999</v>
      </c>
      <c r="X5225">
        <v>0.91295219999999999</v>
      </c>
      <c r="Y5225">
        <v>-0.43751139999999999</v>
      </c>
      <c r="Z5225">
        <v>8.1429559999999998E-2</v>
      </c>
      <c r="AA5225">
        <v>0.89551829999999999</v>
      </c>
      <c r="AB5225">
        <v>31</v>
      </c>
      <c r="AC5225">
        <v>11.161899999999999</v>
      </c>
      <c r="AD5225">
        <v>-1.12209090882</v>
      </c>
      <c r="AE5225">
        <v>-7.11524</v>
      </c>
      <c r="AF5225">
        <v>-5.8604418155507201</v>
      </c>
      <c r="AG5225">
        <v>-1.12209090882</v>
      </c>
      <c r="AH5225">
        <v>11.763442657202299</v>
      </c>
      <c r="AI5225">
        <v>94.880037656735198</v>
      </c>
      <c r="AJ5225">
        <v>116.482074904337</v>
      </c>
      <c r="AK5225">
        <v>13.190240688872899</v>
      </c>
      <c r="AL5225">
        <v>82.504640439160994</v>
      </c>
      <c r="AM5225">
        <v>112.953718925204</v>
      </c>
      <c r="AN5225">
        <v>1.0000000479993401</v>
      </c>
    </row>
    <row r="5226" spans="1:40" x14ac:dyDescent="0.25">
      <c r="A5226" t="str">
        <f>"20190312164133680"</f>
        <v>20190312164133680</v>
      </c>
      <c r="B5226" t="str">
        <f>"1552380093671953"</f>
        <v>1552380093671953</v>
      </c>
      <c r="C5226" t="s">
        <v>40</v>
      </c>
      <c r="D5226">
        <v>5.1995909999999999</v>
      </c>
      <c r="E5226">
        <v>0.4736322</v>
      </c>
      <c r="F5226" t="s">
        <v>42</v>
      </c>
      <c r="G5226">
        <v>-417.72500000000002</v>
      </c>
      <c r="H5226">
        <v>1.0426690000000001</v>
      </c>
      <c r="I5226">
        <v>28.498909999999999</v>
      </c>
      <c r="J5226">
        <v>-418.4452</v>
      </c>
      <c r="K5226">
        <v>1.122147</v>
      </c>
      <c r="L5226">
        <v>28.872440000000001</v>
      </c>
      <c r="M5226">
        <v>0.5217659</v>
      </c>
      <c r="N5226">
        <v>0</v>
      </c>
      <c r="O5226">
        <v>-0.85293859999999999</v>
      </c>
      <c r="P5226">
        <v>0.80324410000000002</v>
      </c>
      <c r="Q5226">
        <v>0.12842709999999999</v>
      </c>
      <c r="R5226">
        <v>-0.58164069999999901</v>
      </c>
      <c r="S5226">
        <v>2.588562</v>
      </c>
      <c r="T5226">
        <v>-0.25288319999999997</v>
      </c>
      <c r="U5226">
        <v>-1.6395869999999999</v>
      </c>
      <c r="V5226">
        <v>-0.38570140000000003</v>
      </c>
      <c r="W5226">
        <v>0.1318617</v>
      </c>
      <c r="X5226">
        <v>0.91315219999999997</v>
      </c>
      <c r="Y5226">
        <v>-0.43833719999999998</v>
      </c>
      <c r="Z5226">
        <v>8.0131690000000005E-2</v>
      </c>
      <c r="AA5226">
        <v>0.89523149999999996</v>
      </c>
      <c r="AB5226">
        <v>31</v>
      </c>
      <c r="AC5226">
        <v>0.72019999999997697</v>
      </c>
      <c r="AD5226">
        <v>-7.9477999999999896E-2</v>
      </c>
      <c r="AE5226">
        <v>-0.37353000000000203</v>
      </c>
      <c r="AF5226">
        <v>-0.415457798372381</v>
      </c>
      <c r="AG5226">
        <v>-7.9477999999999896E-2</v>
      </c>
      <c r="AH5226">
        <v>0.687861596942829</v>
      </c>
      <c r="AI5226">
        <v>95.648385119038593</v>
      </c>
      <c r="AJ5226">
        <v>121.131328882467</v>
      </c>
      <c r="AK5226">
        <v>0.80751192638942904</v>
      </c>
      <c r="AL5226">
        <v>82.422813963129897</v>
      </c>
      <c r="AM5226">
        <v>112.89844571274701</v>
      </c>
      <c r="AN5226">
        <v>1.00000000912684</v>
      </c>
    </row>
    <row r="5227" spans="1:40" x14ac:dyDescent="0.25">
      <c r="A5227" t="str">
        <f>"20190312164133692"</f>
        <v>20190312164133692</v>
      </c>
      <c r="B5227" t="str">
        <f>"1552380093681713"</f>
        <v>1552380093681713</v>
      </c>
      <c r="C5227" t="s">
        <v>40</v>
      </c>
      <c r="D5227">
        <v>5.0393309999999998</v>
      </c>
      <c r="E5227">
        <v>0.4630224</v>
      </c>
      <c r="F5227" t="s">
        <v>42</v>
      </c>
      <c r="G5227">
        <v>-417.54020000000003</v>
      </c>
      <c r="H5227">
        <v>1.035693</v>
      </c>
      <c r="I5227">
        <v>28.30799</v>
      </c>
      <c r="J5227">
        <v>-418.3528</v>
      </c>
      <c r="K5227">
        <v>1.1222030000000001</v>
      </c>
      <c r="L5227">
        <v>28.734770000000001</v>
      </c>
      <c r="M5227">
        <v>0.52841629999999995</v>
      </c>
      <c r="N5227">
        <v>0</v>
      </c>
      <c r="O5227">
        <v>-0.84883419999999898</v>
      </c>
      <c r="P5227">
        <v>0.80706169999999899</v>
      </c>
      <c r="Q5227">
        <v>0.12998599999999999</v>
      </c>
      <c r="R5227">
        <v>-0.57598179999999999</v>
      </c>
      <c r="S5227">
        <v>2.6003419999999999</v>
      </c>
      <c r="T5227">
        <v>-0.2483987</v>
      </c>
      <c r="U5227">
        <v>-1.621613</v>
      </c>
      <c r="V5227">
        <v>-0.38483119999999998</v>
      </c>
      <c r="W5227">
        <v>0.13341329999999901</v>
      </c>
      <c r="X5227">
        <v>0.91329400000000005</v>
      </c>
      <c r="Y5227">
        <v>-0.43771490000000002</v>
      </c>
      <c r="Z5227">
        <v>7.8485349999999995E-2</v>
      </c>
      <c r="AA5227">
        <v>0.89568169999999903</v>
      </c>
      <c r="AB5227">
        <v>31</v>
      </c>
      <c r="AC5227">
        <v>0.81259999999997401</v>
      </c>
      <c r="AD5227">
        <v>-8.6510000000000004E-2</v>
      </c>
      <c r="AE5227">
        <v>-0.426779999999997</v>
      </c>
      <c r="AF5227">
        <v>-0.46021643738657803</v>
      </c>
      <c r="AG5227">
        <v>-8.6510000000000004E-2</v>
      </c>
      <c r="AH5227">
        <v>0.78478654037727502</v>
      </c>
      <c r="AI5227">
        <v>95.431896236247198</v>
      </c>
      <c r="AJ5227">
        <v>120.388316378993</v>
      </c>
      <c r="AK5227">
        <v>0.91387803524219102</v>
      </c>
      <c r="AL5227">
        <v>82.333121636798495</v>
      </c>
      <c r="AM5227">
        <v>112.84891193696301</v>
      </c>
      <c r="AN5227">
        <v>1.0000000457731599</v>
      </c>
    </row>
    <row r="5228" spans="1:40" x14ac:dyDescent="0.25">
      <c r="A5228" t="str">
        <f>"20190312164133710"</f>
        <v>20190312164133710</v>
      </c>
      <c r="B5228" t="str">
        <f>"1552380093701233"</f>
        <v>1552380093701233</v>
      </c>
      <c r="C5228" t="s">
        <v>40</v>
      </c>
      <c r="D5228">
        <v>5.1069360000000001</v>
      </c>
      <c r="E5228">
        <v>0.4600532</v>
      </c>
      <c r="F5228" t="s">
        <v>42</v>
      </c>
      <c r="G5228">
        <v>-417.56670000000003</v>
      </c>
      <c r="H5228">
        <v>1.0306070000000001</v>
      </c>
      <c r="I5228">
        <v>28.281020000000002</v>
      </c>
      <c r="J5228">
        <v>-418.21480000000003</v>
      </c>
      <c r="K5228">
        <v>1.122285</v>
      </c>
      <c r="L5228">
        <v>28.533259999999999</v>
      </c>
      <c r="M5228">
        <v>0.53822289999999995</v>
      </c>
      <c r="N5228">
        <v>0</v>
      </c>
      <c r="O5228">
        <v>-0.84264989999999995</v>
      </c>
      <c r="P5228">
        <v>0.81231239999999905</v>
      </c>
      <c r="Q5228">
        <v>0.1320279</v>
      </c>
      <c r="R5228">
        <v>-0.56808239999999999</v>
      </c>
      <c r="S5228">
        <v>2.6684269999999999</v>
      </c>
      <c r="T5228">
        <v>-0.31087140000000002</v>
      </c>
      <c r="U5228">
        <v>-1.5397339999999999</v>
      </c>
      <c r="V5228">
        <v>-0.38295499999999999</v>
      </c>
      <c r="W5228">
        <v>0.1354696</v>
      </c>
      <c r="X5228">
        <v>0.91377980000000003</v>
      </c>
      <c r="Y5228">
        <v>-0.45616709999999999</v>
      </c>
      <c r="Z5228">
        <v>9.7772100000000001E-2</v>
      </c>
      <c r="AA5228">
        <v>0.88450680000000004</v>
      </c>
      <c r="AB5228">
        <v>31</v>
      </c>
      <c r="AC5228">
        <v>0.64809999999999901</v>
      </c>
      <c r="AD5228">
        <v>-9.1677999999999898E-2</v>
      </c>
      <c r="AE5228">
        <v>-0.25223999999999602</v>
      </c>
      <c r="AF5228">
        <v>-0.40340265526131802</v>
      </c>
      <c r="AG5228">
        <v>-9.1677999999999898E-2</v>
      </c>
      <c r="AH5228">
        <v>0.55185455301887099</v>
      </c>
      <c r="AI5228">
        <v>97.638651528144294</v>
      </c>
      <c r="AJ5228">
        <v>126.166599167884</v>
      </c>
      <c r="AK5228">
        <v>0.68969703902767299</v>
      </c>
      <c r="AL5228">
        <v>82.214224814835205</v>
      </c>
      <c r="AM5228">
        <v>112.738018315687</v>
      </c>
      <c r="AN5228">
        <v>1.0000000337185899</v>
      </c>
    </row>
    <row r="5229" spans="1:40" x14ac:dyDescent="0.25">
      <c r="A5229" t="str">
        <f>"20190312164133722"</f>
        <v>20190312164133722</v>
      </c>
      <c r="B5229" t="str">
        <f>"1552380093711969"</f>
        <v>1552380093711969</v>
      </c>
      <c r="C5229" t="s">
        <v>40</v>
      </c>
      <c r="D5229">
        <v>5.0136399999999997</v>
      </c>
      <c r="E5229">
        <v>0.46038899999999999</v>
      </c>
      <c r="F5229" t="s">
        <v>42</v>
      </c>
      <c r="G5229">
        <v>-417.39400000000001</v>
      </c>
      <c r="H5229">
        <v>1.028078</v>
      </c>
      <c r="I5229">
        <v>28.07865</v>
      </c>
      <c r="J5229">
        <v>-418.12419999999997</v>
      </c>
      <c r="K5229">
        <v>1.122333</v>
      </c>
      <c r="L5229">
        <v>28.403379999999999</v>
      </c>
      <c r="M5229">
        <v>0.54458439999999997</v>
      </c>
      <c r="N5229">
        <v>0</v>
      </c>
      <c r="O5229">
        <v>-0.83855239999999998</v>
      </c>
      <c r="P5229">
        <v>0.81577849999999996</v>
      </c>
      <c r="Q5229">
        <v>0.1326987</v>
      </c>
      <c r="R5229">
        <v>-0.56293590000000004</v>
      </c>
      <c r="S5229">
        <v>2.6984249999999999</v>
      </c>
      <c r="T5229">
        <v>-0.30969479999999999</v>
      </c>
      <c r="U5229">
        <v>-1.4944459999999999</v>
      </c>
      <c r="V5229">
        <v>-0.38175880000000001</v>
      </c>
      <c r="W5229">
        <v>0.13615139999999901</v>
      </c>
      <c r="X5229">
        <v>0.91417890000000002</v>
      </c>
      <c r="Y5229">
        <v>-0.46500780000000003</v>
      </c>
      <c r="Z5229">
        <v>9.7320019999999993E-2</v>
      </c>
      <c r="AA5229">
        <v>0.87994119999999998</v>
      </c>
      <c r="AB5229">
        <v>31</v>
      </c>
      <c r="AC5229">
        <v>0.73019999999996799</v>
      </c>
      <c r="AD5229">
        <v>-9.4254999999999894E-2</v>
      </c>
      <c r="AE5229">
        <v>-0.32472999999999802</v>
      </c>
      <c r="AF5229">
        <v>-0.429548831318531</v>
      </c>
      <c r="AG5229">
        <v>-9.4254999999999894E-2</v>
      </c>
      <c r="AH5229">
        <v>0.66085202262251497</v>
      </c>
      <c r="AI5229">
        <v>96.819313781679</v>
      </c>
      <c r="AJ5229">
        <v>123.023563822665</v>
      </c>
      <c r="AK5229">
        <v>0.79380198999270901</v>
      </c>
      <c r="AL5229">
        <v>82.174795147987794</v>
      </c>
      <c r="AM5229">
        <v>112.66529203872101</v>
      </c>
      <c r="AN5229">
        <v>1.0000000231523001</v>
      </c>
    </row>
    <row r="5230" spans="1:40" x14ac:dyDescent="0.25">
      <c r="A5230" t="str">
        <f>"20190312164133735"</f>
        <v>20190312164133735</v>
      </c>
      <c r="B5230" t="str">
        <f>"1552380093731489"</f>
        <v>1552380093731489</v>
      </c>
      <c r="C5230" t="s">
        <v>40</v>
      </c>
      <c r="D5230">
        <v>4.9383819999999998</v>
      </c>
      <c r="E5230">
        <v>0.46091939999999998</v>
      </c>
      <c r="F5230" t="s">
        <v>42</v>
      </c>
      <c r="G5230">
        <v>-417.19929999999999</v>
      </c>
      <c r="H5230">
        <v>1.0154299999999901</v>
      </c>
      <c r="I5230">
        <v>27.898129999999998</v>
      </c>
      <c r="J5230">
        <v>-418.02379999999999</v>
      </c>
      <c r="K5230">
        <v>1.1223810000000001</v>
      </c>
      <c r="L5230">
        <v>28.262080000000001</v>
      </c>
      <c r="M5230">
        <v>0.551550599999999</v>
      </c>
      <c r="N5230">
        <v>0</v>
      </c>
      <c r="O5230">
        <v>-0.83398660000000002</v>
      </c>
      <c r="P5230">
        <v>0.81965330000000003</v>
      </c>
      <c r="Q5230">
        <v>0.13322809999999999</v>
      </c>
      <c r="R5230">
        <v>-0.55715269999999995</v>
      </c>
      <c r="S5230">
        <v>2.7075200000000001</v>
      </c>
      <c r="T5230">
        <v>-0.3129807</v>
      </c>
      <c r="U5230">
        <v>-1.4793700000000001</v>
      </c>
      <c r="V5230">
        <v>-0.38056699999999999</v>
      </c>
      <c r="W5230">
        <v>0.1366889</v>
      </c>
      <c r="X5230">
        <v>0.91459550000000001</v>
      </c>
      <c r="Y5230">
        <v>-0.46258310000000002</v>
      </c>
      <c r="Z5230">
        <v>9.7955929999999997E-2</v>
      </c>
      <c r="AA5230">
        <v>0.88114780000000004</v>
      </c>
      <c r="AB5230">
        <v>31</v>
      </c>
      <c r="AC5230">
        <v>0.82450000000000001</v>
      </c>
      <c r="AD5230">
        <v>-0.106951</v>
      </c>
      <c r="AE5230">
        <v>-0.363949999999999</v>
      </c>
      <c r="AF5230">
        <v>-0.48018586218271703</v>
      </c>
      <c r="AG5230">
        <v>-0.106951</v>
      </c>
      <c r="AH5230">
        <v>0.74784937256029804</v>
      </c>
      <c r="AI5230">
        <v>96.861985532959494</v>
      </c>
      <c r="AJ5230">
        <v>122.70407413705399</v>
      </c>
      <c r="AK5230">
        <v>0.89515119543013</v>
      </c>
      <c r="AL5230">
        <v>82.143707953322604</v>
      </c>
      <c r="AM5230">
        <v>112.592398261474</v>
      </c>
      <c r="AN5230">
        <v>1.0000000127462301</v>
      </c>
    </row>
    <row r="5231" spans="1:40" x14ac:dyDescent="0.25">
      <c r="A5231" t="str">
        <f>"20190312164133749"</f>
        <v>20190312164133749</v>
      </c>
      <c r="B5231" t="str">
        <f>"1552380093741249"</f>
        <v>1552380093741249</v>
      </c>
      <c r="C5231" t="s">
        <v>40</v>
      </c>
      <c r="D5231">
        <v>5.0568780000000002</v>
      </c>
      <c r="E5231">
        <v>0.46184910000000001</v>
      </c>
      <c r="F5231" t="s">
        <v>42</v>
      </c>
      <c r="G5231">
        <v>-417.21820000000002</v>
      </c>
      <c r="H5231">
        <v>1.0317799999999999</v>
      </c>
      <c r="I5231">
        <v>27.828240000000001</v>
      </c>
      <c r="J5231">
        <v>-417.91379999999998</v>
      </c>
      <c r="K5231">
        <v>1.12242999999999</v>
      </c>
      <c r="L5231">
        <v>28.110749999999999</v>
      </c>
      <c r="M5231">
        <v>0.55908009999999997</v>
      </c>
      <c r="N5231">
        <v>0</v>
      </c>
      <c r="O5231">
        <v>-0.82895769999999902</v>
      </c>
      <c r="P5231">
        <v>0.82380849999999906</v>
      </c>
      <c r="Q5231">
        <v>0.1332855</v>
      </c>
      <c r="R5231">
        <v>-0.55097659999999904</v>
      </c>
      <c r="S5231">
        <v>2.7154539999999998</v>
      </c>
      <c r="T5231">
        <v>-0.30542659999999899</v>
      </c>
      <c r="U5231">
        <v>-1.4627079999999999</v>
      </c>
      <c r="V5231">
        <v>-0.37916729999999998</v>
      </c>
      <c r="W5231">
        <v>0.13675979999999999</v>
      </c>
      <c r="X5231">
        <v>0.91516609999999998</v>
      </c>
      <c r="Y5231">
        <v>-0.4600822</v>
      </c>
      <c r="Z5231">
        <v>9.5244659999999995E-2</v>
      </c>
      <c r="AA5231">
        <v>0.88275300000000001</v>
      </c>
      <c r="AB5231">
        <v>31</v>
      </c>
      <c r="AC5231">
        <v>0.69559999999995603</v>
      </c>
      <c r="AD5231">
        <v>-9.0649999999999897E-2</v>
      </c>
      <c r="AE5231">
        <v>-0.28250999999999798</v>
      </c>
      <c r="AF5231">
        <v>-0.41271467919164501</v>
      </c>
      <c r="AG5231">
        <v>-9.0649999999999897E-2</v>
      </c>
      <c r="AH5231">
        <v>0.61421131421701802</v>
      </c>
      <c r="AI5231">
        <v>96.984007261541095</v>
      </c>
      <c r="AJ5231">
        <v>123.898830657503</v>
      </c>
      <c r="AK5231">
        <v>0.74552422323654899</v>
      </c>
      <c r="AL5231">
        <v>82.139607368025096</v>
      </c>
      <c r="AM5231">
        <v>112.504974377484</v>
      </c>
      <c r="AN5231">
        <v>1.00000003743726</v>
      </c>
    </row>
    <row r="5232" spans="1:40" x14ac:dyDescent="0.25">
      <c r="A5232" t="str">
        <f>"20190312164133759"</f>
        <v>20190312164133759</v>
      </c>
      <c r="B5232" t="str">
        <f>"1552380093751985"</f>
        <v>1552380093751985</v>
      </c>
      <c r="C5232" t="s">
        <v>40</v>
      </c>
      <c r="D5232">
        <v>4.9922180000000003</v>
      </c>
      <c r="E5232">
        <v>0.46187030000000001</v>
      </c>
      <c r="F5232" t="s">
        <v>42</v>
      </c>
      <c r="G5232">
        <v>-417.06229999999999</v>
      </c>
      <c r="H5232">
        <v>1.02881</v>
      </c>
      <c r="I5232">
        <v>27.658159999999999</v>
      </c>
      <c r="J5232">
        <v>-417.82240000000002</v>
      </c>
      <c r="K5232">
        <v>1.1224670000000001</v>
      </c>
      <c r="L5232">
        <v>27.986329999999999</v>
      </c>
      <c r="M5232">
        <v>0.5652779</v>
      </c>
      <c r="N5232">
        <v>0</v>
      </c>
      <c r="O5232">
        <v>-0.82474360000000002</v>
      </c>
      <c r="P5232">
        <v>0.82701460000000004</v>
      </c>
      <c r="Q5232">
        <v>0.13364989999999999</v>
      </c>
      <c r="R5232">
        <v>-0.54606319999999997</v>
      </c>
      <c r="S5232">
        <v>2.722229</v>
      </c>
      <c r="T5232">
        <v>-0.29934100000000002</v>
      </c>
      <c r="U5232">
        <v>-1.4471130000000001</v>
      </c>
      <c r="V5232">
        <v>-0.37772790000000001</v>
      </c>
      <c r="W5232">
        <v>0.1371433</v>
      </c>
      <c r="X5232">
        <v>0.91570379999999996</v>
      </c>
      <c r="Y5232">
        <v>-0.45848430000000001</v>
      </c>
      <c r="Z5232">
        <v>9.3089839999999993E-2</v>
      </c>
      <c r="AA5232">
        <v>0.88381359999999998</v>
      </c>
      <c r="AB5232">
        <v>31</v>
      </c>
      <c r="AC5232">
        <v>0.76010000000002198</v>
      </c>
      <c r="AD5232">
        <v>-9.3657000000000101E-2</v>
      </c>
      <c r="AE5232">
        <v>-0.32817000000000002</v>
      </c>
      <c r="AF5232">
        <v>-0.43585983385493099</v>
      </c>
      <c r="AG5232">
        <v>-9.3657000000000101E-2</v>
      </c>
      <c r="AH5232">
        <v>0.69156459699820605</v>
      </c>
      <c r="AI5232">
        <v>96.5359481477537</v>
      </c>
      <c r="AJ5232">
        <v>122.221254580595</v>
      </c>
      <c r="AK5232">
        <v>0.82280436328348405</v>
      </c>
      <c r="AL5232">
        <v>82.117425535146893</v>
      </c>
      <c r="AM5232">
        <v>112.416151890756</v>
      </c>
      <c r="AN5232">
        <v>1.00000005025386</v>
      </c>
    </row>
    <row r="5233" spans="1:40" x14ac:dyDescent="0.25">
      <c r="A5233" t="str">
        <f>"20190312164133771"</f>
        <v>20190312164133771</v>
      </c>
      <c r="B5233" t="str">
        <f>"1552380093761745"</f>
        <v>1552380093761745</v>
      </c>
      <c r="C5233" t="s">
        <v>40</v>
      </c>
      <c r="D5233">
        <v>5.1174929999999996</v>
      </c>
      <c r="E5233">
        <v>0.46216479999999999</v>
      </c>
      <c r="F5233" t="s">
        <v>42</v>
      </c>
      <c r="G5233">
        <v>-416.86309999999997</v>
      </c>
      <c r="H5233">
        <v>1.0178049999999901</v>
      </c>
      <c r="I5233">
        <v>27.483809999999998</v>
      </c>
      <c r="J5233">
        <v>-417.726</v>
      </c>
      <c r="K5233">
        <v>1.1224989999999999</v>
      </c>
      <c r="L5233">
        <v>27.858149999999998</v>
      </c>
      <c r="M5233">
        <v>0.5717276</v>
      </c>
      <c r="N5233">
        <v>0</v>
      </c>
      <c r="O5233">
        <v>-0.82028570000000001</v>
      </c>
      <c r="P5233">
        <v>0.83017770000000002</v>
      </c>
      <c r="Q5233">
        <v>0.13455439999999999</v>
      </c>
      <c r="R5233">
        <v>-0.54101809999999995</v>
      </c>
      <c r="S5233">
        <v>2.7311709999999998</v>
      </c>
      <c r="T5233">
        <v>-0.29794670000000001</v>
      </c>
      <c r="U5233">
        <v>-1.43042</v>
      </c>
      <c r="V5233">
        <v>-0.37603890000000001</v>
      </c>
      <c r="W5233">
        <v>0.13806949999999901</v>
      </c>
      <c r="X5233">
        <v>0.91625959999999995</v>
      </c>
      <c r="Y5233">
        <v>-0.45701340000000001</v>
      </c>
      <c r="Z5233">
        <v>9.2330700000000002E-2</v>
      </c>
      <c r="AA5233">
        <v>0.88465459999999996</v>
      </c>
      <c r="AB5233">
        <v>31</v>
      </c>
      <c r="AC5233">
        <v>0.86290000000002398</v>
      </c>
      <c r="AD5233">
        <v>-0.104694</v>
      </c>
      <c r="AE5233">
        <v>-0.37434000000000001</v>
      </c>
      <c r="AF5233">
        <v>-0.48782433187704699</v>
      </c>
      <c r="AG5233">
        <v>-0.104694</v>
      </c>
      <c r="AH5233">
        <v>0.79071698631737297</v>
      </c>
      <c r="AI5233">
        <v>96.429231387509006</v>
      </c>
      <c r="AJ5233">
        <v>121.67206407896499</v>
      </c>
      <c r="AK5233">
        <v>0.93496885769426397</v>
      </c>
      <c r="AL5233">
        <v>82.063848486998793</v>
      </c>
      <c r="AM5233">
        <v>112.31356554388699</v>
      </c>
      <c r="AN5233">
        <v>1.0000000478677999</v>
      </c>
    </row>
    <row r="5234" spans="1:40" x14ac:dyDescent="0.25">
      <c r="A5234" t="str">
        <f>"20190312164133784"</f>
        <v>20190312164133784</v>
      </c>
      <c r="B5234" t="str">
        <f>"1552380093781265"</f>
        <v>1552380093781265</v>
      </c>
      <c r="C5234" t="s">
        <v>40</v>
      </c>
      <c r="D5234">
        <v>4.9725109999999999</v>
      </c>
      <c r="E5234">
        <v>0.46238000000000001</v>
      </c>
      <c r="F5234" t="s">
        <v>42</v>
      </c>
      <c r="G5234">
        <v>-416.90690000000001</v>
      </c>
      <c r="H5234">
        <v>1.0341260000000001</v>
      </c>
      <c r="I5234">
        <v>27.43497</v>
      </c>
      <c r="J5234">
        <v>-417.62569999999999</v>
      </c>
      <c r="K5234">
        <v>1.1225320000000001</v>
      </c>
      <c r="L5234">
        <v>27.726649999999999</v>
      </c>
      <c r="M5234">
        <v>0.57835969999999903</v>
      </c>
      <c r="N5234">
        <v>0</v>
      </c>
      <c r="O5234">
        <v>-0.81562349999999995</v>
      </c>
      <c r="P5234">
        <v>0.83363989999999999</v>
      </c>
      <c r="Q5234">
        <v>0.13521549999999999</v>
      </c>
      <c r="R5234">
        <v>-0.53550120000000001</v>
      </c>
      <c r="S5234">
        <v>2.739471</v>
      </c>
      <c r="T5234">
        <v>-0.29554160000000002</v>
      </c>
      <c r="U5234">
        <v>-1.4150389999999999</v>
      </c>
      <c r="V5234">
        <v>-0.37462810000000002</v>
      </c>
      <c r="W5234">
        <v>0.13873820000000001</v>
      </c>
      <c r="X5234">
        <v>0.91673629999999995</v>
      </c>
      <c r="Y5234">
        <v>-0.45491740000000003</v>
      </c>
      <c r="Z5234">
        <v>9.1223239999999997E-2</v>
      </c>
      <c r="AA5234">
        <v>0.88584909999999994</v>
      </c>
      <c r="AB5234">
        <v>31</v>
      </c>
      <c r="AC5234">
        <v>0.718799999999987</v>
      </c>
      <c r="AD5234">
        <v>-8.8405999999999693E-2</v>
      </c>
      <c r="AE5234">
        <v>-0.291679999999999</v>
      </c>
      <c r="AF5234">
        <v>-0.41227350268331803</v>
      </c>
      <c r="AG5234">
        <v>-8.8405999999999693E-2</v>
      </c>
      <c r="AH5234">
        <v>0.64532884747951103</v>
      </c>
      <c r="AI5234">
        <v>96.585399305487996</v>
      </c>
      <c r="AJ5234">
        <v>122.57280068265</v>
      </c>
      <c r="AK5234">
        <v>0.77086599564386504</v>
      </c>
      <c r="AL5234">
        <v>82.025161877185297</v>
      </c>
      <c r="AM5234">
        <v>112.227583851175</v>
      </c>
      <c r="AN5234">
        <v>0.999999972593269</v>
      </c>
    </row>
    <row r="5235" spans="1:40" x14ac:dyDescent="0.25">
      <c r="A5235" t="str">
        <f>"20190312164133800"</f>
        <v>20190312164133800</v>
      </c>
      <c r="B5235" t="str">
        <f>"1552380093792004"</f>
        <v>1552380093792004</v>
      </c>
      <c r="C5235" t="s">
        <v>40</v>
      </c>
      <c r="D5235">
        <v>4.8966050000000001</v>
      </c>
      <c r="E5235">
        <v>0.4626864</v>
      </c>
      <c r="F5235" t="s">
        <v>42</v>
      </c>
      <c r="G5235">
        <v>-416.70940000000002</v>
      </c>
      <c r="H5235">
        <v>1.0242770000000001</v>
      </c>
      <c r="I5235">
        <v>27.260459999999998</v>
      </c>
      <c r="J5235">
        <v>-417.48779999999999</v>
      </c>
      <c r="K5235">
        <v>1.1225689999999999</v>
      </c>
      <c r="L5235">
        <v>27.549040000000002</v>
      </c>
      <c r="M5235">
        <v>0.58735749999999998</v>
      </c>
      <c r="N5235">
        <v>0</v>
      </c>
      <c r="O5235">
        <v>-0.80916860000000002</v>
      </c>
      <c r="P5235">
        <v>0.83746390000000004</v>
      </c>
      <c r="Q5235">
        <v>0.13589279999999901</v>
      </c>
      <c r="R5235">
        <v>-0.52932789999999996</v>
      </c>
      <c r="S5235">
        <v>2.7484739999999999</v>
      </c>
      <c r="T5235">
        <v>-0.29466389999999998</v>
      </c>
      <c r="U5235">
        <v>-1.3979490000000001</v>
      </c>
      <c r="V5235">
        <v>-0.37118580000000001</v>
      </c>
      <c r="W5235">
        <v>0.1394753</v>
      </c>
      <c r="X5235">
        <v>0.91802379999999995</v>
      </c>
      <c r="Y5235">
        <v>-0.45066980000000001</v>
      </c>
      <c r="Z5235">
        <v>9.040028E-2</v>
      </c>
      <c r="AA5235">
        <v>0.88810159999999905</v>
      </c>
      <c r="AB5235">
        <v>31</v>
      </c>
      <c r="AC5235">
        <v>0.778399999999976</v>
      </c>
      <c r="AD5235">
        <v>-9.8292000000000004E-2</v>
      </c>
      <c r="AE5235">
        <v>-0.288580000000003</v>
      </c>
      <c r="AF5235">
        <v>-0.45405135321583401</v>
      </c>
      <c r="AG5235">
        <v>-9.8292000000000004E-2</v>
      </c>
      <c r="AH5235">
        <v>0.68124779449978001</v>
      </c>
      <c r="AI5235">
        <v>96.846127931714904</v>
      </c>
      <c r="AJ5235">
        <v>123.683438389578</v>
      </c>
      <c r="AK5235">
        <v>0.82457413622544895</v>
      </c>
      <c r="AL5235">
        <v>81.982514551044304</v>
      </c>
      <c r="AM5235">
        <v>112.015027309269</v>
      </c>
      <c r="AN5235">
        <v>0.99999997739908497</v>
      </c>
    </row>
    <row r="5236" spans="1:40" x14ac:dyDescent="0.25">
      <c r="A5236" t="str">
        <f>"20190312164133812"</f>
        <v>20190312164133812</v>
      </c>
      <c r="B5236" t="str">
        <f>"1552380093801761"</f>
        <v>1552380093801761</v>
      </c>
      <c r="C5236" t="s">
        <v>40</v>
      </c>
      <c r="D5236">
        <v>4.9913679999999996</v>
      </c>
      <c r="E5236">
        <v>0.46256740000000002</v>
      </c>
      <c r="F5236" t="s">
        <v>42</v>
      </c>
      <c r="G5236">
        <v>-416.52699999999999</v>
      </c>
      <c r="H5236">
        <v>1.020745</v>
      </c>
      <c r="I5236">
        <v>27.06842</v>
      </c>
      <c r="J5236">
        <v>-417.3854</v>
      </c>
      <c r="K5236">
        <v>1.1225879999999999</v>
      </c>
      <c r="L5236">
        <v>27.420470000000002</v>
      </c>
      <c r="M5236">
        <v>0.5939181</v>
      </c>
      <c r="N5236">
        <v>0</v>
      </c>
      <c r="O5236">
        <v>-0.80436609999999997</v>
      </c>
      <c r="P5236">
        <v>0.84098300000000004</v>
      </c>
      <c r="Q5236">
        <v>0.13595079999999901</v>
      </c>
      <c r="R5236">
        <v>-0.52370349999999999</v>
      </c>
      <c r="S5236">
        <v>2.7581180000000001</v>
      </c>
      <c r="T5236">
        <v>-0.29222579999999998</v>
      </c>
      <c r="U5236">
        <v>-1.3788450000000001</v>
      </c>
      <c r="V5236">
        <v>-0.36987320000000001</v>
      </c>
      <c r="W5236">
        <v>0.13952439999999999</v>
      </c>
      <c r="X5236">
        <v>0.91854599999999997</v>
      </c>
      <c r="Y5236">
        <v>-0.4496732</v>
      </c>
      <c r="Z5236">
        <v>8.9319490000000001E-2</v>
      </c>
      <c r="AA5236">
        <v>0.8887159</v>
      </c>
      <c r="AB5236">
        <v>31</v>
      </c>
      <c r="AC5236">
        <v>0.85840000000001704</v>
      </c>
      <c r="AD5236">
        <v>-0.101842999999999</v>
      </c>
      <c r="AE5236">
        <v>-0.35205000000000197</v>
      </c>
      <c r="AF5236">
        <v>-0.47570873124039698</v>
      </c>
      <c r="AG5236">
        <v>-0.101842999999999</v>
      </c>
      <c r="AH5236">
        <v>0.78365551550544998</v>
      </c>
      <c r="AI5236">
        <v>96.339132721850405</v>
      </c>
      <c r="AJ5236">
        <v>121.259344675828</v>
      </c>
      <c r="AK5236">
        <v>0.92238102788894205</v>
      </c>
      <c r="AL5236">
        <v>81.979673717036803</v>
      </c>
      <c r="AM5236">
        <v>111.93328951788899</v>
      </c>
      <c r="AN5236">
        <v>0.99999999819480001</v>
      </c>
    </row>
    <row r="5237" spans="1:40" x14ac:dyDescent="0.25">
      <c r="A5237" t="str">
        <f>"20190312164133824"</f>
        <v>20190312164133824</v>
      </c>
      <c r="B5237" t="str">
        <f>"1552380093811522"</f>
        <v>1552380093811522</v>
      </c>
      <c r="C5237" t="s">
        <v>40</v>
      </c>
      <c r="D5237">
        <v>4.9606300000000001</v>
      </c>
      <c r="E5237">
        <v>0.46259660000000002</v>
      </c>
      <c r="F5237" t="s">
        <v>42</v>
      </c>
      <c r="G5237">
        <v>-416.53539999999998</v>
      </c>
      <c r="H5237">
        <v>1.032756</v>
      </c>
      <c r="I5237">
        <v>27.002829999999999</v>
      </c>
      <c r="J5237">
        <v>-417.29079999999999</v>
      </c>
      <c r="K5237">
        <v>1.122598</v>
      </c>
      <c r="L5237">
        <v>27.303159999999998</v>
      </c>
      <c r="M5237">
        <v>0.59991459999999996</v>
      </c>
      <c r="N5237">
        <v>0</v>
      </c>
      <c r="O5237">
        <v>-0.79990430000000001</v>
      </c>
      <c r="P5237">
        <v>0.84395069999999905</v>
      </c>
      <c r="Q5237">
        <v>0.13612489999999999</v>
      </c>
      <c r="R5237">
        <v>-0.51886140000000003</v>
      </c>
      <c r="S5237">
        <v>2.7681580000000001</v>
      </c>
      <c r="T5237">
        <v>-0.29245290000000002</v>
      </c>
      <c r="U5237">
        <v>-1.3591610000000001</v>
      </c>
      <c r="V5237">
        <v>-0.3682725</v>
      </c>
      <c r="W5237">
        <v>0.13970050000000001</v>
      </c>
      <c r="X5237">
        <v>0.91916220000000004</v>
      </c>
      <c r="Y5237">
        <v>-0.44938230000000001</v>
      </c>
      <c r="Z5237">
        <v>8.9085830000000005E-2</v>
      </c>
      <c r="AA5237">
        <v>0.88888650000000002</v>
      </c>
      <c r="AB5237">
        <v>31</v>
      </c>
      <c r="AC5237">
        <v>0.75540000000000795</v>
      </c>
      <c r="AD5237">
        <v>-8.9841999999999894E-2</v>
      </c>
      <c r="AE5237">
        <v>-0.30032999999999799</v>
      </c>
      <c r="AF5237">
        <v>-0.41901159983223402</v>
      </c>
      <c r="AG5237">
        <v>-8.9841999999999894E-2</v>
      </c>
      <c r="AH5237">
        <v>0.68513093761202204</v>
      </c>
      <c r="AI5237">
        <v>96.383055823296303</v>
      </c>
      <c r="AJ5237">
        <v>121.449074515136</v>
      </c>
      <c r="AK5237">
        <v>0.80811305362003505</v>
      </c>
      <c r="AL5237">
        <v>81.969484206376407</v>
      </c>
      <c r="AM5237">
        <v>111.834053647563</v>
      </c>
      <c r="AN5237">
        <v>1.00000000693267</v>
      </c>
    </row>
    <row r="5238" spans="1:40" x14ac:dyDescent="0.25">
      <c r="A5238" t="str">
        <f>"20190312164133836"</f>
        <v>20190312164133836</v>
      </c>
      <c r="B5238" t="str">
        <f>"1552380093832018"</f>
        <v>1552380093832018</v>
      </c>
      <c r="C5238" t="s">
        <v>40</v>
      </c>
      <c r="D5238">
        <v>5.086614</v>
      </c>
      <c r="E5238">
        <v>0.46260960000000001</v>
      </c>
      <c r="F5238" t="s">
        <v>42</v>
      </c>
      <c r="G5238">
        <v>-416.36340000000001</v>
      </c>
      <c r="H5238">
        <v>1.0235019999999999</v>
      </c>
      <c r="I5238">
        <v>26.854299999999999</v>
      </c>
      <c r="J5238">
        <v>-417.17169999999999</v>
      </c>
      <c r="K5238">
        <v>1.1226080000000001</v>
      </c>
      <c r="L5238">
        <v>27.157679999999999</v>
      </c>
      <c r="M5238">
        <v>0.60736330000000005</v>
      </c>
      <c r="N5238">
        <v>0</v>
      </c>
      <c r="O5238">
        <v>-0.79426459999999999</v>
      </c>
      <c r="P5238">
        <v>0.84806510000000002</v>
      </c>
      <c r="Q5238">
        <v>0.13605159999999999</v>
      </c>
      <c r="R5238">
        <v>-0.51212840000000004</v>
      </c>
      <c r="S5238">
        <v>2.7765810000000002</v>
      </c>
      <c r="T5238">
        <v>-0.2966839</v>
      </c>
      <c r="U5238">
        <v>-1.343628</v>
      </c>
      <c r="V5238">
        <v>-0.36701050000000002</v>
      </c>
      <c r="W5238">
        <v>0.1395981</v>
      </c>
      <c r="X5238">
        <v>0.91968240000000001</v>
      </c>
      <c r="Y5238">
        <v>-0.44603540000000003</v>
      </c>
      <c r="Z5238">
        <v>8.9859369999999994E-2</v>
      </c>
      <c r="AA5238">
        <v>0.89049299999999998</v>
      </c>
      <c r="AB5238">
        <v>31</v>
      </c>
      <c r="AC5238">
        <v>0.80829999999997404</v>
      </c>
      <c r="AD5238">
        <v>-9.9105999999999903E-2</v>
      </c>
      <c r="AE5238">
        <v>-0.30337999999999998</v>
      </c>
      <c r="AF5238">
        <v>-0.45184625476581303</v>
      </c>
      <c r="AG5238">
        <v>-9.9105999999999903E-2</v>
      </c>
      <c r="AH5238">
        <v>0.72246857440672796</v>
      </c>
      <c r="AI5238">
        <v>96.633913944390699</v>
      </c>
      <c r="AJ5238">
        <v>122.02268221508901</v>
      </c>
      <c r="AK5238">
        <v>0.85787404564258896</v>
      </c>
      <c r="AL5238">
        <v>81.975409514617795</v>
      </c>
      <c r="AM5238">
        <v>111.75507481395501</v>
      </c>
      <c r="AN5238">
        <v>1.0000000267518001</v>
      </c>
    </row>
    <row r="5239" spans="1:40" x14ac:dyDescent="0.25">
      <c r="A5239" t="str">
        <f>"20190312164133851"</f>
        <v>20190312164133851</v>
      </c>
      <c r="B5239" t="str">
        <f>"1552380093841778"</f>
        <v>1552380093841778</v>
      </c>
      <c r="C5239" t="s">
        <v>40</v>
      </c>
      <c r="D5239">
        <v>4.9696199999999999</v>
      </c>
      <c r="E5239">
        <v>0.46272370000000002</v>
      </c>
      <c r="F5239" t="s">
        <v>51</v>
      </c>
      <c r="G5239">
        <v>-406.74549999999999</v>
      </c>
      <c r="H5239" s="1">
        <v>-3.3527870000000002E-6</v>
      </c>
      <c r="I5239">
        <v>22.216560000000001</v>
      </c>
      <c r="J5239">
        <v>-417.04919999999998</v>
      </c>
      <c r="K5239">
        <v>1.1226100000000001</v>
      </c>
      <c r="L5239">
        <v>27.011959999999998</v>
      </c>
      <c r="M5239">
        <v>0.61487729999999996</v>
      </c>
      <c r="N5239">
        <v>0</v>
      </c>
      <c r="O5239">
        <v>-0.78846369999999999</v>
      </c>
      <c r="P5239">
        <v>0.85221990000000003</v>
      </c>
      <c r="Q5239">
        <v>0.13602839999999999</v>
      </c>
      <c r="R5239">
        <v>-0.50519130000000001</v>
      </c>
      <c r="S5239">
        <v>2.7877809999999998</v>
      </c>
      <c r="T5239">
        <v>-0.30016589999999999</v>
      </c>
      <c r="U5239">
        <v>-1.321167</v>
      </c>
      <c r="V5239">
        <v>-0.36578850000000002</v>
      </c>
      <c r="W5239">
        <v>0.13952909999999999</v>
      </c>
      <c r="X5239">
        <v>0.92017950000000004</v>
      </c>
      <c r="Y5239">
        <v>-0.44471430000000001</v>
      </c>
      <c r="Z5239">
        <v>9.0459869999999998E-2</v>
      </c>
      <c r="AA5239">
        <v>0.89109269999999996</v>
      </c>
      <c r="AB5239">
        <v>31</v>
      </c>
      <c r="AC5239">
        <v>10.3036999999999</v>
      </c>
      <c r="AD5239">
        <v>-1.1226133527869999</v>
      </c>
      <c r="AE5239">
        <v>-4.7953999999999901</v>
      </c>
      <c r="AF5239">
        <v>-5.1261433904968898</v>
      </c>
      <c r="AG5239">
        <v>-1.1226133527869999</v>
      </c>
      <c r="AH5239">
        <v>10.020012127337401</v>
      </c>
      <c r="AI5239">
        <v>95.695977019403998</v>
      </c>
      <c r="AJ5239">
        <v>117.09385554860501</v>
      </c>
      <c r="AK5239">
        <v>11.3109791721044</v>
      </c>
      <c r="AL5239">
        <v>81.979401412757397</v>
      </c>
      <c r="AM5239">
        <v>111.678742933064</v>
      </c>
      <c r="AN5239">
        <v>0.99999995434965405</v>
      </c>
    </row>
    <row r="5240" spans="1:40" x14ac:dyDescent="0.25">
      <c r="A5240" t="str">
        <f>"20190312164133865"</f>
        <v>20190312164133865</v>
      </c>
      <c r="B5240" t="str">
        <f>"1552380093861297"</f>
        <v>1552380093861297</v>
      </c>
      <c r="C5240" t="s">
        <v>40</v>
      </c>
      <c r="D5240">
        <v>4.9988739999999998</v>
      </c>
      <c r="E5240">
        <v>0.46293289999999998</v>
      </c>
      <c r="F5240" t="s">
        <v>42</v>
      </c>
      <c r="G5240">
        <v>-416.18279999999999</v>
      </c>
      <c r="H5240">
        <v>1.0295939999999999</v>
      </c>
      <c r="I5240">
        <v>26.609850000000002</v>
      </c>
      <c r="J5240">
        <v>-416.9273</v>
      </c>
      <c r="K5240">
        <v>1.1226050000000001</v>
      </c>
      <c r="L5240">
        <v>26.86908</v>
      </c>
      <c r="M5240">
        <v>0.62225200000000003</v>
      </c>
      <c r="N5240">
        <v>0</v>
      </c>
      <c r="O5240">
        <v>-0.78265850000000003</v>
      </c>
      <c r="P5240">
        <v>0.85607369999999905</v>
      </c>
      <c r="Q5240">
        <v>0.136602799999999</v>
      </c>
      <c r="R5240">
        <v>-0.49847560000000002</v>
      </c>
      <c r="S5240">
        <v>2.7984619999999998</v>
      </c>
      <c r="T5240">
        <v>-0.30039179999999999</v>
      </c>
      <c r="U5240">
        <v>-1.298462</v>
      </c>
      <c r="V5240">
        <v>-0.36433189999999999</v>
      </c>
      <c r="W5240">
        <v>0.1400575</v>
      </c>
      <c r="X5240">
        <v>0.92067699999999997</v>
      </c>
      <c r="Y5240">
        <v>-0.4435827</v>
      </c>
      <c r="Z5240">
        <v>9.0092930000000002E-2</v>
      </c>
      <c r="AA5240">
        <v>0.89169370000000003</v>
      </c>
      <c r="AB5240">
        <v>31</v>
      </c>
      <c r="AC5240">
        <v>0.74450000000001604</v>
      </c>
      <c r="AD5240">
        <v>-9.3010999999999705E-2</v>
      </c>
      <c r="AE5240">
        <v>-0.25922999999999802</v>
      </c>
      <c r="AF5240">
        <v>-0.41564929019085101</v>
      </c>
      <c r="AG5240">
        <v>-9.3010999999999705E-2</v>
      </c>
      <c r="AH5240">
        <v>0.657091087350129</v>
      </c>
      <c r="AI5240">
        <v>96.821628061266594</v>
      </c>
      <c r="AJ5240">
        <v>122.315792999176</v>
      </c>
      <c r="AK5240">
        <v>0.78306071005518696</v>
      </c>
      <c r="AL5240">
        <v>81.948826361702402</v>
      </c>
      <c r="AM5240">
        <v>111.58978227879101</v>
      </c>
      <c r="AN5240">
        <v>0.99999998749642904</v>
      </c>
    </row>
    <row r="5241" spans="1:40" x14ac:dyDescent="0.25">
      <c r="A5241" t="str">
        <f>"20190312164133880"</f>
        <v>20190312164133880</v>
      </c>
      <c r="B5241" t="str">
        <f>"1552380093872032"</f>
        <v>1552380093872032</v>
      </c>
      <c r="C5241" t="s">
        <v>40</v>
      </c>
      <c r="D5241">
        <v>4.9284999999999997</v>
      </c>
      <c r="E5241">
        <v>0.4633351</v>
      </c>
      <c r="F5241" t="s">
        <v>42</v>
      </c>
      <c r="G5241">
        <v>-416.01119999999997</v>
      </c>
      <c r="H5241">
        <v>1.0251539999999999</v>
      </c>
      <c r="I5241">
        <v>26.452470000000002</v>
      </c>
      <c r="J5241">
        <v>-416.7903</v>
      </c>
      <c r="K5241">
        <v>1.1225909999999999</v>
      </c>
      <c r="L5241">
        <v>26.71143</v>
      </c>
      <c r="M5241">
        <v>0.63039919999999905</v>
      </c>
      <c r="N5241">
        <v>0</v>
      </c>
      <c r="O5241">
        <v>-0.77611359999999996</v>
      </c>
      <c r="P5241">
        <v>0.85962830000000001</v>
      </c>
      <c r="Q5241">
        <v>0.13786889999999999</v>
      </c>
      <c r="R5241">
        <v>-0.4919674</v>
      </c>
      <c r="S5241">
        <v>2.8085019999999998</v>
      </c>
      <c r="T5241">
        <v>-0.29873490000000003</v>
      </c>
      <c r="U5241">
        <v>-1.2768550000000001</v>
      </c>
      <c r="V5241">
        <v>-0.36157099999999998</v>
      </c>
      <c r="W5241">
        <v>0.14130429999999999</v>
      </c>
      <c r="X5241">
        <v>0.92157449999999996</v>
      </c>
      <c r="Y5241">
        <v>-0.4411929</v>
      </c>
      <c r="Z5241">
        <v>8.906501E-2</v>
      </c>
      <c r="AA5241">
        <v>0.89298169999999899</v>
      </c>
      <c r="AB5241">
        <v>31</v>
      </c>
      <c r="AC5241">
        <v>0.77910000000002799</v>
      </c>
      <c r="AD5241">
        <v>-9.7436999999999704E-2</v>
      </c>
      <c r="AE5241">
        <v>-0.25895999999999803</v>
      </c>
      <c r="AF5241">
        <v>-0.43534416720100499</v>
      </c>
      <c r="AG5241">
        <v>-9.7436999999999704E-2</v>
      </c>
      <c r="AH5241">
        <v>0.68259678348164199</v>
      </c>
      <c r="AI5241">
        <v>96.862600097582003</v>
      </c>
      <c r="AJ5241">
        <v>122.528772365167</v>
      </c>
      <c r="AK5241">
        <v>0.81544888356317002</v>
      </c>
      <c r="AL5241">
        <v>81.876672722194598</v>
      </c>
      <c r="AM5241">
        <v>111.422088121179</v>
      </c>
      <c r="AN5241">
        <v>1.0000000261448601</v>
      </c>
    </row>
    <row r="5242" spans="1:40" x14ac:dyDescent="0.25">
      <c r="A5242" t="str">
        <f>"20190312164133901"</f>
        <v>20190312164133901</v>
      </c>
      <c r="B5242" t="str">
        <f>"1552380093891553"</f>
        <v>1552380093891553</v>
      </c>
      <c r="C5242" t="s">
        <v>40</v>
      </c>
      <c r="D5242">
        <v>5.0329420000000002</v>
      </c>
      <c r="E5242">
        <v>0.46400930000000001</v>
      </c>
      <c r="F5242" t="s">
        <v>42</v>
      </c>
      <c r="G5242">
        <v>-415.81470000000002</v>
      </c>
      <c r="H5242">
        <v>1.0207949999999999</v>
      </c>
      <c r="I5242">
        <v>26.275919999999999</v>
      </c>
      <c r="J5242">
        <v>-416.6053</v>
      </c>
      <c r="K5242">
        <v>1.122579</v>
      </c>
      <c r="L5242">
        <v>26.504090000000001</v>
      </c>
      <c r="M5242">
        <v>0.64115549999999999</v>
      </c>
      <c r="N5242">
        <v>0</v>
      </c>
      <c r="O5242">
        <v>-0.76725519999999903</v>
      </c>
      <c r="P5242">
        <v>0.8649462</v>
      </c>
      <c r="Q5242">
        <v>0.13966189999999901</v>
      </c>
      <c r="R5242">
        <v>-0.48204039999999998</v>
      </c>
      <c r="S5242">
        <v>2.817596</v>
      </c>
      <c r="T5242">
        <v>-0.2939039</v>
      </c>
      <c r="U5242">
        <v>-1.2569269999999999</v>
      </c>
      <c r="V5242">
        <v>-0.3591645</v>
      </c>
      <c r="W5242">
        <v>0.1430129</v>
      </c>
      <c r="X5242">
        <v>0.92225170000000001</v>
      </c>
      <c r="Y5242">
        <v>-0.43522450000000001</v>
      </c>
      <c r="Z5242">
        <v>8.681614E-2</v>
      </c>
      <c r="AA5242">
        <v>0.89612639999999999</v>
      </c>
      <c r="AB5242">
        <v>31</v>
      </c>
      <c r="AC5242">
        <v>0.79059999999998298</v>
      </c>
      <c r="AD5242">
        <v>-0.101783999999999</v>
      </c>
      <c r="AE5242">
        <v>-0.22816999999999801</v>
      </c>
      <c r="AF5242">
        <v>-0.45341712872319001</v>
      </c>
      <c r="AG5242">
        <v>-0.101783999999999</v>
      </c>
      <c r="AH5242">
        <v>0.67176548329027597</v>
      </c>
      <c r="AI5242">
        <v>97.158125178336206</v>
      </c>
      <c r="AJ5242">
        <v>124.017910156863</v>
      </c>
      <c r="AK5242">
        <v>0.81683287140993499</v>
      </c>
      <c r="AL5242">
        <v>81.777772594112903</v>
      </c>
      <c r="AM5242">
        <v>111.278079576211</v>
      </c>
      <c r="AN5242">
        <v>1.0000000128897699</v>
      </c>
    </row>
    <row r="5243" spans="1:40" x14ac:dyDescent="0.25">
      <c r="A5243" t="str">
        <f>"20190312164133913"</f>
        <v>20190312164133913</v>
      </c>
      <c r="B5243" t="str">
        <f>"1552380093901314"</f>
        <v>1552380093901314</v>
      </c>
      <c r="C5243" t="s">
        <v>40</v>
      </c>
      <c r="D5243">
        <v>4.9323739999999896</v>
      </c>
      <c r="E5243">
        <v>0.46434720000000002</v>
      </c>
      <c r="F5243" t="s">
        <v>42</v>
      </c>
      <c r="G5243">
        <v>-415.63170000000002</v>
      </c>
      <c r="H5243">
        <v>1.0243249999999999</v>
      </c>
      <c r="I5243">
        <v>26.081689999999998</v>
      </c>
      <c r="J5243">
        <v>-416.4966</v>
      </c>
      <c r="K5243">
        <v>1.122568</v>
      </c>
      <c r="L5243">
        <v>26.385069999999999</v>
      </c>
      <c r="M5243">
        <v>0.647343</v>
      </c>
      <c r="N5243">
        <v>0</v>
      </c>
      <c r="O5243">
        <v>-0.7620441</v>
      </c>
      <c r="P5243">
        <v>0.86807520000000005</v>
      </c>
      <c r="Q5243">
        <v>0.14002829999999999</v>
      </c>
      <c r="R5243">
        <v>-0.47627520000000001</v>
      </c>
      <c r="S5243">
        <v>2.8303829999999999</v>
      </c>
      <c r="T5243">
        <v>-0.2855955</v>
      </c>
      <c r="U5243">
        <v>-1.2276309999999999</v>
      </c>
      <c r="V5243">
        <v>-0.35780149999999999</v>
      </c>
      <c r="W5243">
        <v>0.14332810000000001</v>
      </c>
      <c r="X5243">
        <v>0.92273240000000001</v>
      </c>
      <c r="Y5243">
        <v>-0.43748559999999997</v>
      </c>
      <c r="Z5243">
        <v>8.410985E-2</v>
      </c>
      <c r="AA5243">
        <v>0.89528319999999995</v>
      </c>
      <c r="AB5243">
        <v>31</v>
      </c>
      <c r="AC5243">
        <v>0.86489999999997702</v>
      </c>
      <c r="AD5243">
        <v>-9.8242999999999997E-2</v>
      </c>
      <c r="AE5243">
        <v>-0.30338000000000398</v>
      </c>
      <c r="AF5243">
        <v>-0.45749944786174201</v>
      </c>
      <c r="AG5243">
        <v>-9.8242999999999997E-2</v>
      </c>
      <c r="AH5243">
        <v>0.78218281257522104</v>
      </c>
      <c r="AI5243">
        <v>96.187697283916705</v>
      </c>
      <c r="AJ5243">
        <v>120.32340455653301</v>
      </c>
      <c r="AK5243">
        <v>0.91146441736958805</v>
      </c>
      <c r="AL5243">
        <v>81.759524621043198</v>
      </c>
      <c r="AM5243">
        <v>111.1944507389</v>
      </c>
      <c r="AN5243">
        <v>0.99999996983080897</v>
      </c>
    </row>
    <row r="5244" spans="1:40" x14ac:dyDescent="0.25">
      <c r="A5244" t="str">
        <f>"20190312164133924"</f>
        <v>20190312164133924</v>
      </c>
      <c r="B5244" t="str">
        <f>"1552380093921809"</f>
        <v>1552380093921809</v>
      </c>
      <c r="C5244" t="s">
        <v>40</v>
      </c>
      <c r="D5244">
        <v>5.0737480000000001</v>
      </c>
      <c r="E5244">
        <v>0.4649277</v>
      </c>
      <c r="F5244" t="s">
        <v>51</v>
      </c>
      <c r="G5244">
        <v>-405.21969999999999</v>
      </c>
      <c r="H5244" s="1">
        <v>-4.0491879999999998E-6</v>
      </c>
      <c r="I5244">
        <v>21.572489999999998</v>
      </c>
      <c r="J5244">
        <v>-416.39190000000002</v>
      </c>
      <c r="K5244">
        <v>1.122555</v>
      </c>
      <c r="L5244">
        <v>26.27225</v>
      </c>
      <c r="M5244">
        <v>0.65321249999999997</v>
      </c>
      <c r="N5244">
        <v>0</v>
      </c>
      <c r="O5244">
        <v>-0.75702060000000004</v>
      </c>
      <c r="P5244">
        <v>0.87115290000000001</v>
      </c>
      <c r="Q5244">
        <v>0.140176</v>
      </c>
      <c r="R5244">
        <v>-0.47057729999999998</v>
      </c>
      <c r="S5244">
        <v>2.837189</v>
      </c>
      <c r="T5244">
        <v>-0.28243210000000002</v>
      </c>
      <c r="U5244">
        <v>-1.210815</v>
      </c>
      <c r="V5244">
        <v>-0.35670010000000002</v>
      </c>
      <c r="W5244">
        <v>0.1434192</v>
      </c>
      <c r="X5244">
        <v>0.92314459999999998</v>
      </c>
      <c r="Y5244">
        <v>-0.43591800000000003</v>
      </c>
      <c r="Z5244">
        <v>8.2805450000000003E-2</v>
      </c>
      <c r="AA5244">
        <v>0.89616890000000005</v>
      </c>
      <c r="AB5244">
        <v>31</v>
      </c>
      <c r="AC5244">
        <v>11.1722</v>
      </c>
      <c r="AD5244">
        <v>-1.122559049188</v>
      </c>
      <c r="AE5244">
        <v>-4.6997600000000004</v>
      </c>
      <c r="AF5244">
        <v>-5.3424451880178099</v>
      </c>
      <c r="AG5244">
        <v>-1.122559049188</v>
      </c>
      <c r="AH5244">
        <v>10.7645650003317</v>
      </c>
      <c r="AI5244">
        <v>95.336584341963601</v>
      </c>
      <c r="AJ5244">
        <v>116.395168827533</v>
      </c>
      <c r="AK5244">
        <v>12.0697025254252</v>
      </c>
      <c r="AL5244">
        <v>81.754250657024699</v>
      </c>
      <c r="AM5244">
        <v>111.12637141336999</v>
      </c>
      <c r="AN5244">
        <v>0.99999999038890497</v>
      </c>
    </row>
    <row r="5245" spans="1:40" x14ac:dyDescent="0.25">
      <c r="A5245" t="str">
        <f>"20190312164133937"</f>
        <v>20190312164133937</v>
      </c>
      <c r="B5245" t="str">
        <f>"1552380093931570"</f>
        <v>1552380093931570</v>
      </c>
      <c r="C5245" t="s">
        <v>40</v>
      </c>
      <c r="D5245">
        <v>5.048038</v>
      </c>
      <c r="E5245">
        <v>0.46520859999999897</v>
      </c>
      <c r="F5245" t="s">
        <v>42</v>
      </c>
      <c r="G5245">
        <v>-415.45490000000001</v>
      </c>
      <c r="H5245">
        <v>1.0304709999999999</v>
      </c>
      <c r="I5245">
        <v>25.877770000000002</v>
      </c>
      <c r="J5245">
        <v>-416.26909999999998</v>
      </c>
      <c r="K5245">
        <v>1.1225430000000001</v>
      </c>
      <c r="L5245">
        <v>26.14133</v>
      </c>
      <c r="M5245">
        <v>0.66001390000000004</v>
      </c>
      <c r="N5245">
        <v>0</v>
      </c>
      <c r="O5245">
        <v>-0.75110059999999901</v>
      </c>
      <c r="P5245">
        <v>0.87467419999999996</v>
      </c>
      <c r="Q5245">
        <v>0.14039740000000001</v>
      </c>
      <c r="R5245">
        <v>-0.46393329999999999</v>
      </c>
      <c r="S5245">
        <v>2.8425289999999999</v>
      </c>
      <c r="T5245">
        <v>-0.2792907</v>
      </c>
      <c r="U5245">
        <v>-1.1961360000000001</v>
      </c>
      <c r="V5245">
        <v>-0.35537669999999999</v>
      </c>
      <c r="W5245">
        <v>0.14357539999999999</v>
      </c>
      <c r="X5245">
        <v>0.92363059999999997</v>
      </c>
      <c r="Y5245">
        <v>-0.43245519999999998</v>
      </c>
      <c r="Z5245">
        <v>8.1397810000000001E-2</v>
      </c>
      <c r="AA5245">
        <v>0.89797380000000004</v>
      </c>
      <c r="AB5245">
        <v>31</v>
      </c>
      <c r="AC5245">
        <v>0.81419999999997095</v>
      </c>
      <c r="AD5245">
        <v>-9.2072000000000098E-2</v>
      </c>
      <c r="AE5245">
        <v>-0.26355999999999802</v>
      </c>
      <c r="AF5245">
        <v>-0.43263538619464198</v>
      </c>
      <c r="AG5245">
        <v>-9.2072000000000098E-2</v>
      </c>
      <c r="AH5245">
        <v>0.72701273748668505</v>
      </c>
      <c r="AI5245">
        <v>96.211156203818902</v>
      </c>
      <c r="AJ5245">
        <v>120.75630106292201</v>
      </c>
      <c r="AK5245">
        <v>0.85099832610861903</v>
      </c>
      <c r="AL5245">
        <v>81.745207460832006</v>
      </c>
      <c r="AM5245">
        <v>111.044760661167</v>
      </c>
      <c r="AN5245">
        <v>0.99999998982220495</v>
      </c>
    </row>
    <row r="5246" spans="1:40" x14ac:dyDescent="0.25">
      <c r="A5246" t="str">
        <f>"20190312164133950"</f>
        <v>20190312164133950</v>
      </c>
      <c r="B5246" t="str">
        <f>"1552380093941329"</f>
        <v>1552380093941329</v>
      </c>
      <c r="C5246" t="s">
        <v>40</v>
      </c>
      <c r="D5246">
        <v>5.0370359999999996</v>
      </c>
      <c r="E5246">
        <v>0.46559060000000002</v>
      </c>
      <c r="F5246" t="s">
        <v>51</v>
      </c>
      <c r="G5246">
        <v>-404.82119999999998</v>
      </c>
      <c r="H5246" s="1">
        <v>-4.2172129999999998E-6</v>
      </c>
      <c r="I5246">
        <v>21.418510000000001</v>
      </c>
      <c r="J5246">
        <v>-416.15159999999997</v>
      </c>
      <c r="K5246">
        <v>1.1225270000000001</v>
      </c>
      <c r="L5246">
        <v>26.019349999999999</v>
      </c>
      <c r="M5246">
        <v>0.66639019999999904</v>
      </c>
      <c r="N5246">
        <v>0</v>
      </c>
      <c r="O5246">
        <v>-0.74545159999999999</v>
      </c>
      <c r="P5246">
        <v>0.87786039999999999</v>
      </c>
      <c r="Q5246">
        <v>0.1407619</v>
      </c>
      <c r="R5246">
        <v>-0.45776349999999999</v>
      </c>
      <c r="S5246">
        <v>2.8508610000000001</v>
      </c>
      <c r="T5246">
        <v>-0.27954649999999998</v>
      </c>
      <c r="U5246">
        <v>-1.1761170000000001</v>
      </c>
      <c r="V5246">
        <v>-0.35397279999999998</v>
      </c>
      <c r="W5246">
        <v>0.1438779</v>
      </c>
      <c r="X5246">
        <v>0.92412249999999996</v>
      </c>
      <c r="Y5246">
        <v>-0.43110999999999999</v>
      </c>
      <c r="Z5246">
        <v>8.1046720000000003E-2</v>
      </c>
      <c r="AA5246">
        <v>0.89865209999999995</v>
      </c>
      <c r="AB5246">
        <v>31</v>
      </c>
      <c r="AC5246">
        <v>11.3303999999999</v>
      </c>
      <c r="AD5246">
        <v>-1.122531217213</v>
      </c>
      <c r="AE5246">
        <v>-4.60083999999999</v>
      </c>
      <c r="AF5246">
        <v>-5.3359573044636699</v>
      </c>
      <c r="AG5246">
        <v>-1.122531217213</v>
      </c>
      <c r="AH5246">
        <v>10.8896555520428</v>
      </c>
      <c r="AI5246">
        <v>95.288619216107406</v>
      </c>
      <c r="AJ5246">
        <v>116.104964677833</v>
      </c>
      <c r="AK5246">
        <v>12.178551421692701</v>
      </c>
      <c r="AL5246">
        <v>81.727693684692596</v>
      </c>
      <c r="AM5246">
        <v>110.958671817129</v>
      </c>
      <c r="AN5246">
        <v>0.99999999412725005</v>
      </c>
    </row>
    <row r="5247" spans="1:40" x14ac:dyDescent="0.25">
      <c r="A5247" t="str">
        <f>"20190312164133961"</f>
        <v>20190312164133961</v>
      </c>
      <c r="B5247" t="str">
        <f>"1552380093952065"</f>
        <v>1552380093952065</v>
      </c>
      <c r="C5247" t="s">
        <v>40</v>
      </c>
      <c r="D5247">
        <v>4.9612590000000001</v>
      </c>
      <c r="E5247">
        <v>0.46578320000000001</v>
      </c>
      <c r="F5247" t="s">
        <v>42</v>
      </c>
      <c r="G5247">
        <v>-415.21269999999998</v>
      </c>
      <c r="H5247">
        <v>1.0311440000000001</v>
      </c>
      <c r="I5247">
        <v>25.6389</v>
      </c>
      <c r="J5247">
        <v>-416.03960000000001</v>
      </c>
      <c r="K5247">
        <v>1.1225130000000001</v>
      </c>
      <c r="L5247">
        <v>25.904209999999999</v>
      </c>
      <c r="M5247">
        <v>0.67239110000000002</v>
      </c>
      <c r="N5247">
        <v>0</v>
      </c>
      <c r="O5247">
        <v>-0.74004599999999998</v>
      </c>
      <c r="P5247">
        <v>0.88088949999999999</v>
      </c>
      <c r="Q5247">
        <v>0.14076159999999999</v>
      </c>
      <c r="R5247">
        <v>-0.45190740000000001</v>
      </c>
      <c r="S5247">
        <v>2.8580320000000001</v>
      </c>
      <c r="T5247">
        <v>-0.2781961</v>
      </c>
      <c r="U5247">
        <v>-1.1582030000000001</v>
      </c>
      <c r="V5247">
        <v>-0.35265760000000002</v>
      </c>
      <c r="W5247">
        <v>0.14381650000000001</v>
      </c>
      <c r="X5247">
        <v>0.92463479999999998</v>
      </c>
      <c r="Y5247">
        <v>-0.42951119999999998</v>
      </c>
      <c r="Z5247">
        <v>8.0241859999999998E-2</v>
      </c>
      <c r="AA5247">
        <v>0.89948950000000005</v>
      </c>
      <c r="AB5247">
        <v>31</v>
      </c>
      <c r="AC5247">
        <v>0.82690000000002295</v>
      </c>
      <c r="AD5247">
        <v>-9.1368999999999798E-2</v>
      </c>
      <c r="AE5247">
        <v>-0.26530999999999899</v>
      </c>
      <c r="AF5247">
        <v>-0.42885281584524598</v>
      </c>
      <c r="AG5247">
        <v>-9.1368999999999798E-2</v>
      </c>
      <c r="AH5247">
        <v>0.74418739904373898</v>
      </c>
      <c r="AI5247">
        <v>96.072152685999697</v>
      </c>
      <c r="AJ5247">
        <v>119.953553865171</v>
      </c>
      <c r="AK5247">
        <v>0.86375801976877897</v>
      </c>
      <c r="AL5247">
        <v>81.731249006989401</v>
      </c>
      <c r="AM5247">
        <v>110.876953208938</v>
      </c>
      <c r="AN5247">
        <v>1.0000000409405201</v>
      </c>
    </row>
    <row r="5248" spans="1:40" x14ac:dyDescent="0.25">
      <c r="A5248" t="str">
        <f>"20190312164133973"</f>
        <v>20190312164133973</v>
      </c>
      <c r="B5248" t="str">
        <f>"1552380093961826"</f>
        <v>1552380093961826</v>
      </c>
      <c r="C5248" t="s">
        <v>40</v>
      </c>
      <c r="D5248">
        <v>5.0871000000000004</v>
      </c>
      <c r="E5248">
        <v>0.46613080000000001</v>
      </c>
      <c r="F5248" t="s">
        <v>42</v>
      </c>
      <c r="G5248">
        <v>-415.06459999999998</v>
      </c>
      <c r="H5248">
        <v>1.027523</v>
      </c>
      <c r="I5248">
        <v>25.516190000000002</v>
      </c>
      <c r="J5248">
        <v>-415.92619999999999</v>
      </c>
      <c r="K5248">
        <v>1.1224989999999999</v>
      </c>
      <c r="L5248">
        <v>25.789860000000001</v>
      </c>
      <c r="M5248">
        <v>0.67836649999999998</v>
      </c>
      <c r="N5248">
        <v>0</v>
      </c>
      <c r="O5248">
        <v>-0.73457469999999903</v>
      </c>
      <c r="P5248">
        <v>0.88378389999999996</v>
      </c>
      <c r="Q5248">
        <v>0.14110529999999999</v>
      </c>
      <c r="R5248">
        <v>-0.4461116</v>
      </c>
      <c r="S5248">
        <v>2.865326</v>
      </c>
      <c r="T5248">
        <v>-0.27914929999999999</v>
      </c>
      <c r="U5248">
        <v>-1.140045</v>
      </c>
      <c r="V5248">
        <v>-0.35120420000000002</v>
      </c>
      <c r="W5248">
        <v>0.144095</v>
      </c>
      <c r="X5248">
        <v>0.92514439999999998</v>
      </c>
      <c r="Y5248">
        <v>-0.42790459999999902</v>
      </c>
      <c r="Z5248">
        <v>8.0087030000000003E-2</v>
      </c>
      <c r="AA5248">
        <v>0.90026870000000003</v>
      </c>
      <c r="AB5248">
        <v>31</v>
      </c>
      <c r="AC5248">
        <v>0.86160000000000903</v>
      </c>
      <c r="AD5248">
        <v>-9.4975999999999894E-2</v>
      </c>
      <c r="AE5248">
        <v>-0.27367000000000202</v>
      </c>
      <c r="AF5248">
        <v>-0.44242665375090601</v>
      </c>
      <c r="AG5248">
        <v>-9.4975999999999894E-2</v>
      </c>
      <c r="AH5248">
        <v>0.77702120868482205</v>
      </c>
      <c r="AI5248">
        <v>96.063187374462402</v>
      </c>
      <c r="AJ5248">
        <v>119.65667271708401</v>
      </c>
      <c r="AK5248">
        <v>0.89917948334648101</v>
      </c>
      <c r="AL5248">
        <v>81.715123503420699</v>
      </c>
      <c r="AM5248">
        <v>110.78781124039401</v>
      </c>
      <c r="AN5248">
        <v>0.99999995998699898</v>
      </c>
    </row>
    <row r="5249" spans="1:40" x14ac:dyDescent="0.25">
      <c r="A5249" t="str">
        <f>"20190312164133992"</f>
        <v>20190312164133992</v>
      </c>
      <c r="B5249" t="str">
        <f>"1552380093981344"</f>
        <v>1552380093981344</v>
      </c>
      <c r="C5249" t="s">
        <v>40</v>
      </c>
      <c r="D5249">
        <v>4.994084</v>
      </c>
      <c r="E5249">
        <v>0.466644</v>
      </c>
      <c r="F5249" t="s">
        <v>51</v>
      </c>
      <c r="G5249">
        <v>-404.34769999999997</v>
      </c>
      <c r="H5249" s="1">
        <v>-4.4096070000000001E-6</v>
      </c>
      <c r="I5249">
        <v>21.260179999999998</v>
      </c>
      <c r="J5249">
        <v>-415.75319999999999</v>
      </c>
      <c r="K5249">
        <v>1.1224769999999999</v>
      </c>
      <c r="L5249">
        <v>25.61871</v>
      </c>
      <c r="M5249">
        <v>0.68731219999999904</v>
      </c>
      <c r="N5249">
        <v>0</v>
      </c>
      <c r="O5249">
        <v>-0.72621539999999996</v>
      </c>
      <c r="P5249">
        <v>0.88758320000000002</v>
      </c>
      <c r="Q5249">
        <v>0.14174149999999999</v>
      </c>
      <c r="R5249">
        <v>-0.4382991</v>
      </c>
      <c r="S5249">
        <v>2.8718569999999999</v>
      </c>
      <c r="T5249">
        <v>-0.27841660000000001</v>
      </c>
      <c r="U5249">
        <v>-1.123505</v>
      </c>
      <c r="V5249">
        <v>-0.3479719</v>
      </c>
      <c r="W5249">
        <v>0.14466490000000001</v>
      </c>
      <c r="X5249">
        <v>0.92627619999999999</v>
      </c>
      <c r="Y5249">
        <v>-0.42209590000000002</v>
      </c>
      <c r="Z5249">
        <v>7.9098979999999999E-2</v>
      </c>
      <c r="AA5249">
        <v>0.90309379999999995</v>
      </c>
      <c r="AB5249">
        <v>31</v>
      </c>
      <c r="AC5249">
        <v>11.4055</v>
      </c>
      <c r="AD5249">
        <v>-1.1224814096069999</v>
      </c>
      <c r="AE5249">
        <v>-4.35853</v>
      </c>
      <c r="AF5249">
        <v>-5.2434277314034201</v>
      </c>
      <c r="AG5249">
        <v>-1.1224814096069999</v>
      </c>
      <c r="AH5249">
        <v>10.9133102247159</v>
      </c>
      <c r="AI5249">
        <v>95.296686194928995</v>
      </c>
      <c r="AJ5249">
        <v>115.66250247102801</v>
      </c>
      <c r="AK5249">
        <v>12.1595163945879</v>
      </c>
      <c r="AL5249">
        <v>81.6821251192424</v>
      </c>
      <c r="AM5249">
        <v>110.58956959502601</v>
      </c>
      <c r="AN5249">
        <v>0.99999998758402997</v>
      </c>
    </row>
    <row r="5250" spans="1:40" x14ac:dyDescent="0.25">
      <c r="A5250" t="str">
        <f>"20190312164134004"</f>
        <v>20190312164134004</v>
      </c>
      <c r="B5250" t="str">
        <f>"1552380093991105"</f>
        <v>1552380093991105</v>
      </c>
      <c r="C5250" t="s">
        <v>40</v>
      </c>
      <c r="D5250">
        <v>4.9321570000000001</v>
      </c>
      <c r="E5250">
        <v>0.46693269999999998</v>
      </c>
      <c r="F5250" t="s">
        <v>51</v>
      </c>
      <c r="G5250">
        <v>-403.99829999999997</v>
      </c>
      <c r="H5250" s="1">
        <v>-4.5482890000000001E-6</v>
      </c>
      <c r="I5250">
        <v>21.125109999999999</v>
      </c>
      <c r="J5250">
        <v>-415.62869999999998</v>
      </c>
      <c r="K5250">
        <v>1.12246</v>
      </c>
      <c r="L5250">
        <v>25.497990000000001</v>
      </c>
      <c r="M5250">
        <v>0.69362290000000004</v>
      </c>
      <c r="N5250">
        <v>0</v>
      </c>
      <c r="O5250">
        <v>-0.72019319999999998</v>
      </c>
      <c r="P5250">
        <v>0.89044559999999995</v>
      </c>
      <c r="Q5250">
        <v>0.14219960000000001</v>
      </c>
      <c r="R5250">
        <v>-0.4323033</v>
      </c>
      <c r="S5250">
        <v>2.8801570000000001</v>
      </c>
      <c r="T5250">
        <v>-0.2750283</v>
      </c>
      <c r="U5250">
        <v>-1.101013</v>
      </c>
      <c r="V5250">
        <v>-0.34609380000000001</v>
      </c>
      <c r="W5250">
        <v>0.14505750000000001</v>
      </c>
      <c r="X5250">
        <v>0.92691820000000003</v>
      </c>
      <c r="Y5250">
        <v>-0.42132989999999998</v>
      </c>
      <c r="Z5250">
        <v>7.7713240000000003E-2</v>
      </c>
      <c r="AA5250">
        <v>0.90357169999999998</v>
      </c>
      <c r="AB5250">
        <v>31</v>
      </c>
      <c r="AC5250">
        <v>11.6304</v>
      </c>
      <c r="AD5250">
        <v>-1.1224645482889899</v>
      </c>
      <c r="AE5250">
        <v>-4.3728799999999897</v>
      </c>
      <c r="AF5250">
        <v>-5.3003092074096498</v>
      </c>
      <c r="AG5250">
        <v>-1.1224645482889899</v>
      </c>
      <c r="AH5250">
        <v>11.126799463087</v>
      </c>
      <c r="AI5250">
        <v>95.203809979787707</v>
      </c>
      <c r="AJ5250">
        <v>115.471039784467</v>
      </c>
      <c r="AK5250">
        <v>12.375737175945099</v>
      </c>
      <c r="AL5250">
        <v>81.659390874230297</v>
      </c>
      <c r="AM5250">
        <v>110.474684930781</v>
      </c>
      <c r="AN5250">
        <v>0.99999997309796396</v>
      </c>
    </row>
    <row r="5251" spans="1:40" x14ac:dyDescent="0.25">
      <c r="A5251" t="str">
        <f>"20190312164134017"</f>
        <v>20190312164134017</v>
      </c>
      <c r="B5251" t="str">
        <f>"1552380094011602"</f>
        <v>1552380094011602</v>
      </c>
      <c r="C5251" t="s">
        <v>40</v>
      </c>
      <c r="D5251">
        <v>4.9554309999999999</v>
      </c>
      <c r="E5251">
        <v>0.46749059999999998</v>
      </c>
      <c r="F5251" t="s">
        <v>42</v>
      </c>
      <c r="G5251">
        <v>-414.67540000000002</v>
      </c>
      <c r="H5251">
        <v>1.032327</v>
      </c>
      <c r="I5251">
        <v>25.140239999999999</v>
      </c>
      <c r="J5251">
        <v>-415.49970000000002</v>
      </c>
      <c r="K5251">
        <v>1.122447</v>
      </c>
      <c r="L5251">
        <v>25.374759999999998</v>
      </c>
      <c r="M5251">
        <v>0.70005459999999997</v>
      </c>
      <c r="N5251">
        <v>0</v>
      </c>
      <c r="O5251">
        <v>-0.71394569999999902</v>
      </c>
      <c r="P5251">
        <v>0.89361809999999997</v>
      </c>
      <c r="Q5251">
        <v>0.14257719999999999</v>
      </c>
      <c r="R5251">
        <v>-0.42558030000000002</v>
      </c>
      <c r="S5251">
        <v>2.886841</v>
      </c>
      <c r="T5251">
        <v>-0.27292919999999998</v>
      </c>
      <c r="U5251">
        <v>-1.0831299999999999</v>
      </c>
      <c r="V5251">
        <v>-0.34473150000000002</v>
      </c>
      <c r="W5251">
        <v>0.14534569999999999</v>
      </c>
      <c r="X5251">
        <v>0.9273806</v>
      </c>
      <c r="Y5251">
        <v>-0.41888239999999999</v>
      </c>
      <c r="Z5251">
        <v>7.6612730000000004E-2</v>
      </c>
      <c r="AA5251">
        <v>0.90480280000000002</v>
      </c>
      <c r="AB5251">
        <v>31</v>
      </c>
      <c r="AC5251">
        <v>0.82429999999999304</v>
      </c>
      <c r="AD5251">
        <v>-9.0119999999999895E-2</v>
      </c>
      <c r="AE5251">
        <v>-0.234520000000003</v>
      </c>
      <c r="AF5251">
        <v>-0.41973086153339301</v>
      </c>
      <c r="AG5251">
        <v>-9.0119999999999895E-2</v>
      </c>
      <c r="AH5251">
        <v>0.73642270378290597</v>
      </c>
      <c r="AI5251">
        <v>96.068820766921206</v>
      </c>
      <c r="AJ5251">
        <v>119.681373765597</v>
      </c>
      <c r="AK5251">
        <v>0.85241657021112105</v>
      </c>
      <c r="AL5251">
        <v>81.642701400912102</v>
      </c>
      <c r="AM5251">
        <v>110.391410202686</v>
      </c>
      <c r="AN5251">
        <v>0.99999997842854904</v>
      </c>
    </row>
    <row r="5252" spans="1:40" x14ac:dyDescent="0.25">
      <c r="A5252" t="str">
        <f>"20190312164134036"</f>
        <v>20190312164134036</v>
      </c>
      <c r="B5252" t="str">
        <f>"1552380094031121"</f>
        <v>1552380094031121</v>
      </c>
      <c r="C5252" t="s">
        <v>40</v>
      </c>
      <c r="D5252">
        <v>4.959244</v>
      </c>
      <c r="E5252">
        <v>0.46800890000000001</v>
      </c>
      <c r="F5252" t="s">
        <v>51</v>
      </c>
      <c r="G5252">
        <v>-403.54289999999997</v>
      </c>
      <c r="H5252" s="1">
        <v>-4.7336829999999901E-6</v>
      </c>
      <c r="I5252">
        <v>20.974740000000001</v>
      </c>
      <c r="J5252">
        <v>-415.32209999999998</v>
      </c>
      <c r="K5252">
        <v>1.1224320000000001</v>
      </c>
      <c r="L5252">
        <v>25.20926</v>
      </c>
      <c r="M5252">
        <v>0.7087137</v>
      </c>
      <c r="N5252">
        <v>0</v>
      </c>
      <c r="O5252">
        <v>-0.70535479999999995</v>
      </c>
      <c r="P5252">
        <v>0.89719530000000003</v>
      </c>
      <c r="Q5252">
        <v>0.14221779999999901</v>
      </c>
      <c r="R5252">
        <v>-0.4181088</v>
      </c>
      <c r="S5252">
        <v>2.8934329999999999</v>
      </c>
      <c r="T5252">
        <v>-0.27162150000000002</v>
      </c>
      <c r="U5252">
        <v>-1.0647580000000001</v>
      </c>
      <c r="V5252">
        <v>-0.34117500000000001</v>
      </c>
      <c r="W5252">
        <v>0.14492579999999999</v>
      </c>
      <c r="X5252">
        <v>0.92876049999999999</v>
      </c>
      <c r="Y5252">
        <v>-0.41361320000000001</v>
      </c>
      <c r="Z5252">
        <v>7.5477089999999997E-2</v>
      </c>
      <c r="AA5252">
        <v>0.90731879999999998</v>
      </c>
      <c r="AB5252">
        <v>31</v>
      </c>
      <c r="AC5252">
        <v>11.779199999999999</v>
      </c>
      <c r="AD5252">
        <v>-1.1224367336829999</v>
      </c>
      <c r="AE5252">
        <v>-4.2345199999999998</v>
      </c>
      <c r="AF5252">
        <v>-5.26564157152837</v>
      </c>
      <c r="AG5252">
        <v>-1.1224367336829999</v>
      </c>
      <c r="AH5252">
        <v>11.245624555797701</v>
      </c>
      <c r="AI5252">
        <v>95.165070331802994</v>
      </c>
      <c r="AJ5252">
        <v>115.09083289676801</v>
      </c>
      <c r="AK5252">
        <v>12.467995710253</v>
      </c>
      <c r="AL5252">
        <v>81.667017269047903</v>
      </c>
      <c r="AM5252">
        <v>110.17052695170599</v>
      </c>
      <c r="AN5252">
        <v>0.99999996724544404</v>
      </c>
    </row>
    <row r="5253" spans="1:40" x14ac:dyDescent="0.25">
      <c r="A5253" t="str">
        <f>"20190312164134049"</f>
        <v>20190312164134049</v>
      </c>
      <c r="B5253" t="str">
        <f>"1552380094041858"</f>
        <v>1552380094041858</v>
      </c>
      <c r="C5253" t="s">
        <v>40</v>
      </c>
      <c r="D5253">
        <v>5.1526870000000002</v>
      </c>
      <c r="E5253">
        <v>0.46828540000000002</v>
      </c>
      <c r="F5253" t="s">
        <v>51</v>
      </c>
      <c r="G5253">
        <v>-403.36649999999997</v>
      </c>
      <c r="H5253" s="1">
        <v>-4.804435E-6</v>
      </c>
      <c r="I5253">
        <v>20.910540000000001</v>
      </c>
      <c r="J5253">
        <v>-415.18270000000001</v>
      </c>
      <c r="K5253">
        <v>1.122417</v>
      </c>
      <c r="L5253">
        <v>25.0824</v>
      </c>
      <c r="M5253">
        <v>0.7153581</v>
      </c>
      <c r="N5253">
        <v>0</v>
      </c>
      <c r="O5253">
        <v>-0.69861850000000003</v>
      </c>
      <c r="P5253">
        <v>0.90021289999999998</v>
      </c>
      <c r="Q5253">
        <v>0.1425109</v>
      </c>
      <c r="R5253">
        <v>-0.41147030000000001</v>
      </c>
      <c r="S5253">
        <v>2.9008790000000002</v>
      </c>
      <c r="T5253">
        <v>-0.2723448</v>
      </c>
      <c r="U5253">
        <v>-1.0430299999999999</v>
      </c>
      <c r="V5253">
        <v>-0.33921790000000002</v>
      </c>
      <c r="W5253">
        <v>0.14514099999999999</v>
      </c>
      <c r="X5253">
        <v>0.92944349999999998</v>
      </c>
      <c r="Y5253">
        <v>-0.41177079999999999</v>
      </c>
      <c r="Z5253">
        <v>7.5155150000000004E-2</v>
      </c>
      <c r="AA5253">
        <v>0.90818310000000002</v>
      </c>
      <c r="AB5253">
        <v>31</v>
      </c>
      <c r="AC5253">
        <v>11.8162</v>
      </c>
      <c r="AD5253">
        <v>-1.1224218044350001</v>
      </c>
      <c r="AE5253">
        <v>-4.1718599999999899</v>
      </c>
      <c r="AF5253">
        <v>-5.2292019964267196</v>
      </c>
      <c r="AG5253">
        <v>-1.1224218044350001</v>
      </c>
      <c r="AH5253">
        <v>11.2779778840262</v>
      </c>
      <c r="AI5253">
        <v>95.159243178897199</v>
      </c>
      <c r="AJ5253">
        <v>114.87549758049801</v>
      </c>
      <c r="AK5253">
        <v>12.4818736325557</v>
      </c>
      <c r="AL5253">
        <v>81.654555365856197</v>
      </c>
      <c r="AM5253">
        <v>110.050505810198</v>
      </c>
      <c r="AN5253">
        <v>0.99999995662682895</v>
      </c>
    </row>
    <row r="5254" spans="1:40" x14ac:dyDescent="0.25">
      <c r="A5254" t="str">
        <f>"20190312164134062"</f>
        <v>20190312164134062</v>
      </c>
      <c r="B5254" t="str">
        <f>"1552380094051617"</f>
        <v>1552380094051617</v>
      </c>
      <c r="C5254" t="s">
        <v>40</v>
      </c>
      <c r="D5254">
        <v>4.954942</v>
      </c>
      <c r="E5254">
        <v>0.46856140000000002</v>
      </c>
      <c r="F5254" t="s">
        <v>51</v>
      </c>
      <c r="G5254">
        <v>-403.1388</v>
      </c>
      <c r="H5254" s="1">
        <v>-4.8991859999999996E-6</v>
      </c>
      <c r="I5254">
        <v>20.847169999999998</v>
      </c>
      <c r="J5254">
        <v>-415.04860000000002</v>
      </c>
      <c r="K5254">
        <v>1.1224050000000001</v>
      </c>
      <c r="L5254">
        <v>24.962070000000001</v>
      </c>
      <c r="M5254">
        <v>0.72164619999999902</v>
      </c>
      <c r="N5254">
        <v>0</v>
      </c>
      <c r="O5254">
        <v>-0.69212399999999996</v>
      </c>
      <c r="P5254">
        <v>0.903026</v>
      </c>
      <c r="Q5254">
        <v>0.1422466</v>
      </c>
      <c r="R5254">
        <v>-0.4053524</v>
      </c>
      <c r="S5254">
        <v>2.9080509999999999</v>
      </c>
      <c r="T5254">
        <v>-0.27101350000000002</v>
      </c>
      <c r="U5254">
        <v>-1.0226139999999999</v>
      </c>
      <c r="V5254">
        <v>-0.33713680000000001</v>
      </c>
      <c r="W5254">
        <v>0.1448102</v>
      </c>
      <c r="X5254">
        <v>0.93025199999999997</v>
      </c>
      <c r="Y5254">
        <v>-0.4099757</v>
      </c>
      <c r="Z5254">
        <v>7.4276690000000006E-2</v>
      </c>
      <c r="AA5254">
        <v>0.90906710000000002</v>
      </c>
      <c r="AB5254">
        <v>31</v>
      </c>
      <c r="AC5254">
        <v>11.909800000000001</v>
      </c>
      <c r="AD5254">
        <v>-1.1224098991860001</v>
      </c>
      <c r="AE5254">
        <v>-4.1148999999999898</v>
      </c>
      <c r="AF5254">
        <v>-5.2325429656445301</v>
      </c>
      <c r="AG5254">
        <v>-1.1224098991860001</v>
      </c>
      <c r="AH5254">
        <v>11.353690931167099</v>
      </c>
      <c r="AI5254">
        <v>95.130402956360498</v>
      </c>
      <c r="AJ5254">
        <v>114.743422788571</v>
      </c>
      <c r="AK5254">
        <v>12.551717317943901</v>
      </c>
      <c r="AL5254">
        <v>81.673711548855593</v>
      </c>
      <c r="AM5254">
        <v>109.92124998382199</v>
      </c>
      <c r="AN5254">
        <v>0.99999999972113895</v>
      </c>
    </row>
    <row r="5255" spans="1:40" x14ac:dyDescent="0.25">
      <c r="A5255" t="str">
        <f>"20190312164134075"</f>
        <v>20190312164134075</v>
      </c>
      <c r="B5255" t="str">
        <f>"1552380094061378"</f>
        <v>1552380094061378</v>
      </c>
      <c r="C5255" t="s">
        <v>40</v>
      </c>
      <c r="D5255">
        <v>4.9346940000000004</v>
      </c>
      <c r="E5255">
        <v>0.46880260000000001</v>
      </c>
      <c r="F5255" t="s">
        <v>42</v>
      </c>
      <c r="G5255">
        <v>-414.04629999999997</v>
      </c>
      <c r="H5255">
        <v>1.028905</v>
      </c>
      <c r="I5255">
        <v>24.61666</v>
      </c>
      <c r="J5255">
        <v>-414.91699999999997</v>
      </c>
      <c r="K5255">
        <v>1.1223909999999999</v>
      </c>
      <c r="L5255">
        <v>24.84601</v>
      </c>
      <c r="M5255">
        <v>0.72771149999999996</v>
      </c>
      <c r="N5255">
        <v>0</v>
      </c>
      <c r="O5255">
        <v>-0.68574679999999999</v>
      </c>
      <c r="P5255">
        <v>0.90582879999999999</v>
      </c>
      <c r="Q5255">
        <v>0.1420951</v>
      </c>
      <c r="R5255">
        <v>-0.3991036</v>
      </c>
      <c r="S5255">
        <v>2.9142760000000001</v>
      </c>
      <c r="T5255">
        <v>-0.27183449999999998</v>
      </c>
      <c r="U5255">
        <v>-1.004089</v>
      </c>
      <c r="V5255">
        <v>-0.33538279999999998</v>
      </c>
      <c r="W5255">
        <v>0.14458570000000001</v>
      </c>
      <c r="X5255">
        <v>0.93092070000000005</v>
      </c>
      <c r="Y5255">
        <v>-0.40772180000000002</v>
      </c>
      <c r="Z5255">
        <v>7.3977340000000003E-2</v>
      </c>
      <c r="AA5255">
        <v>0.91010460000000004</v>
      </c>
      <c r="AB5255">
        <v>31</v>
      </c>
      <c r="AC5255">
        <v>0.87069999999999903</v>
      </c>
      <c r="AD5255">
        <v>-9.3485999999999903E-2</v>
      </c>
      <c r="AE5255">
        <v>-0.22935</v>
      </c>
      <c r="AF5255">
        <v>-0.42563105760624298</v>
      </c>
      <c r="AG5255">
        <v>-9.3485999999999903E-2</v>
      </c>
      <c r="AH5255">
        <v>0.78253273697042602</v>
      </c>
      <c r="AI5255">
        <v>95.991059344973905</v>
      </c>
      <c r="AJ5255">
        <v>118.542419250439</v>
      </c>
      <c r="AK5255">
        <v>0.89568907206989801</v>
      </c>
      <c r="AL5255">
        <v>81.686711251248795</v>
      </c>
      <c r="AM5255">
        <v>109.812570133641</v>
      </c>
      <c r="AN5255">
        <v>0.99999999843441001</v>
      </c>
    </row>
    <row r="5256" spans="1:40" x14ac:dyDescent="0.25">
      <c r="A5256" t="str">
        <f>"20190312164134092"</f>
        <v>20190312164134092</v>
      </c>
      <c r="B5256" t="str">
        <f>"1552380094081873"</f>
        <v>1552380094081873</v>
      </c>
      <c r="C5256" t="s">
        <v>40</v>
      </c>
      <c r="D5256">
        <v>5.0493309999999996</v>
      </c>
      <c r="E5256">
        <v>0.46931260000000002</v>
      </c>
      <c r="F5256" t="s">
        <v>51</v>
      </c>
      <c r="G5256">
        <v>-402.85610000000003</v>
      </c>
      <c r="H5256" s="1">
        <v>-5.0186499999999998E-6</v>
      </c>
      <c r="I5256">
        <v>20.778420000000001</v>
      </c>
      <c r="J5256">
        <v>-414.74209999999999</v>
      </c>
      <c r="K5256">
        <v>1.1223730000000001</v>
      </c>
      <c r="L5256">
        <v>24.695340000000002</v>
      </c>
      <c r="M5256">
        <v>0.73559039999999998</v>
      </c>
      <c r="N5256">
        <v>0</v>
      </c>
      <c r="O5256">
        <v>-0.67729189999999995</v>
      </c>
      <c r="P5256">
        <v>0.90900970000000003</v>
      </c>
      <c r="Q5256">
        <v>0.1411577</v>
      </c>
      <c r="R5256">
        <v>-0.39214300000000002</v>
      </c>
      <c r="S5256">
        <v>2.9205930000000002</v>
      </c>
      <c r="T5256">
        <v>-0.27179340000000002</v>
      </c>
      <c r="U5256">
        <v>-0.98498540000000001</v>
      </c>
      <c r="V5256">
        <v>-0.33182329999999999</v>
      </c>
      <c r="W5256">
        <v>0.143602799999999</v>
      </c>
      <c r="X5256">
        <v>0.93234729999999999</v>
      </c>
      <c r="Y5256">
        <v>-0.4031554</v>
      </c>
      <c r="Z5256">
        <v>7.3206750000000001E-2</v>
      </c>
      <c r="AA5256">
        <v>0.91219870000000003</v>
      </c>
      <c r="AB5256">
        <v>31</v>
      </c>
      <c r="AC5256">
        <v>11.8859999999999</v>
      </c>
      <c r="AD5256">
        <v>-1.1223780186499901</v>
      </c>
      <c r="AE5256">
        <v>-3.91691999999999</v>
      </c>
      <c r="AF5256">
        <v>-5.1282662955376299</v>
      </c>
      <c r="AG5256">
        <v>-1.1223780186499901</v>
      </c>
      <c r="AH5256">
        <v>11.306226278003701</v>
      </c>
      <c r="AI5256">
        <v>95.1658210956099</v>
      </c>
      <c r="AJ5256">
        <v>114.39804396097399</v>
      </c>
      <c r="AK5256">
        <v>12.4655365012548</v>
      </c>
      <c r="AL5256">
        <v>81.743621012900505</v>
      </c>
      <c r="AM5256">
        <v>109.590693093978</v>
      </c>
      <c r="AN5256">
        <v>0.99999997720400902</v>
      </c>
    </row>
    <row r="5257" spans="1:40" x14ac:dyDescent="0.25">
      <c r="A5257" t="str">
        <f>"20190312164134105"</f>
        <v>20190312164134105</v>
      </c>
      <c r="B5257" t="str">
        <f>"1552380094101393"</f>
        <v>1552380094101393</v>
      </c>
      <c r="C5257" t="s">
        <v>40</v>
      </c>
      <c r="D5257">
        <v>4.9452129999999999</v>
      </c>
      <c r="E5257">
        <v>0.46943190000000001</v>
      </c>
      <c r="F5257" t="s">
        <v>51</v>
      </c>
      <c r="G5257">
        <v>-402.78410000000002</v>
      </c>
      <c r="H5257" s="1">
        <v>-5.0473860000000002E-6</v>
      </c>
      <c r="I5257">
        <v>20.7514</v>
      </c>
      <c r="J5257">
        <v>-414.6069</v>
      </c>
      <c r="K5257">
        <v>1.1223559999999999</v>
      </c>
      <c r="L5257">
        <v>24.581050000000001</v>
      </c>
      <c r="M5257">
        <v>0.74156060000000001</v>
      </c>
      <c r="N5257">
        <v>0</v>
      </c>
      <c r="O5257">
        <v>-0.67075289999999999</v>
      </c>
      <c r="P5257">
        <v>0.91181460000000003</v>
      </c>
      <c r="Q5257">
        <v>0.1407437</v>
      </c>
      <c r="R5257">
        <v>-0.38572780000000001</v>
      </c>
      <c r="S5257">
        <v>2.9266049999999999</v>
      </c>
      <c r="T5257">
        <v>-0.2746903</v>
      </c>
      <c r="U5257">
        <v>-0.96524049999999995</v>
      </c>
      <c r="V5257">
        <v>-0.33016220000000002</v>
      </c>
      <c r="W5257">
        <v>0.1431172</v>
      </c>
      <c r="X5257">
        <v>0.93301149999999999</v>
      </c>
      <c r="Y5257">
        <v>-0.4011149</v>
      </c>
      <c r="Z5257">
        <v>7.3450779999999993E-2</v>
      </c>
      <c r="AA5257">
        <v>0.91307819999999995</v>
      </c>
      <c r="AB5257">
        <v>31</v>
      </c>
      <c r="AC5257">
        <v>11.8227999999999</v>
      </c>
      <c r="AD5257">
        <v>-1.122361047386</v>
      </c>
      <c r="AE5257">
        <v>-3.82965</v>
      </c>
      <c r="AF5257">
        <v>-5.0495286652208096</v>
      </c>
      <c r="AG5257">
        <v>-1.122361047386</v>
      </c>
      <c r="AH5257">
        <v>11.245362688613699</v>
      </c>
      <c r="AI5257">
        <v>95.202362513123404</v>
      </c>
      <c r="AJ5257">
        <v>114.181610205063</v>
      </c>
      <c r="AK5257">
        <v>12.3780295709794</v>
      </c>
      <c r="AL5257">
        <v>81.7717347173338</v>
      </c>
      <c r="AM5257">
        <v>109.487203036919</v>
      </c>
      <c r="AN5257">
        <v>1.0000000351884599</v>
      </c>
    </row>
    <row r="5258" spans="1:40" x14ac:dyDescent="0.25">
      <c r="A5258" t="str">
        <f>"20190312164134117"</f>
        <v>20190312164134117</v>
      </c>
      <c r="B5258" t="str">
        <f>"1552380094111153"</f>
        <v>1552380094111153</v>
      </c>
      <c r="C5258" t="s">
        <v>40</v>
      </c>
      <c r="D5258">
        <v>4.890015</v>
      </c>
      <c r="E5258">
        <v>0.46925729999999999</v>
      </c>
      <c r="F5258" t="s">
        <v>51</v>
      </c>
      <c r="G5258">
        <v>-402.62389999999999</v>
      </c>
      <c r="H5258" s="1">
        <v>-5.1164160000000003E-6</v>
      </c>
      <c r="I5258">
        <v>20.720109999999998</v>
      </c>
      <c r="J5258">
        <v>-414.4708</v>
      </c>
      <c r="K5258">
        <v>1.122344</v>
      </c>
      <c r="L5258">
        <v>24.467500000000001</v>
      </c>
      <c r="M5258">
        <v>0.7474731</v>
      </c>
      <c r="N5258">
        <v>0</v>
      </c>
      <c r="O5258">
        <v>-0.66416030000000004</v>
      </c>
      <c r="P5258">
        <v>0.91439519999999996</v>
      </c>
      <c r="Q5258">
        <v>0.14040139999999901</v>
      </c>
      <c r="R5258">
        <v>-0.37969599999999998</v>
      </c>
      <c r="S5258">
        <v>2.9327700000000001</v>
      </c>
      <c r="T5258">
        <v>-0.2746923</v>
      </c>
      <c r="U5258">
        <v>-0.94494630000000002</v>
      </c>
      <c r="V5258">
        <v>-0.32808100000000001</v>
      </c>
      <c r="W5258">
        <v>0.14271929999999999</v>
      </c>
      <c r="X5258">
        <v>0.93380620000000003</v>
      </c>
      <c r="Y5258">
        <v>-0.39931939999999999</v>
      </c>
      <c r="Z5258">
        <v>7.2918369999999996E-2</v>
      </c>
      <c r="AA5258">
        <v>0.91390749999999998</v>
      </c>
      <c r="AB5258">
        <v>31</v>
      </c>
      <c r="AC5258">
        <v>11.8469</v>
      </c>
      <c r="AD5258">
        <v>-1.122349116416</v>
      </c>
      <c r="AE5258">
        <v>-3.74738999999999</v>
      </c>
      <c r="AF5258">
        <v>-5.0265995403536001</v>
      </c>
      <c r="AG5258">
        <v>-1.122349116416</v>
      </c>
      <c r="AH5258">
        <v>11.2532854694809</v>
      </c>
      <c r="AI5258">
        <v>95.203206352213897</v>
      </c>
      <c r="AJ5258">
        <v>114.069283719637</v>
      </c>
      <c r="AK5258">
        <v>12.3758961023367</v>
      </c>
      <c r="AL5258">
        <v>81.794768712906006</v>
      </c>
      <c r="AM5258">
        <v>109.35828033802601</v>
      </c>
      <c r="AN5258">
        <v>0.99999998015596403</v>
      </c>
    </row>
    <row r="5259" spans="1:40" x14ac:dyDescent="0.25">
      <c r="A5259" t="str">
        <f>"20190312164134128"</f>
        <v>20190312164134128</v>
      </c>
      <c r="B5259" t="str">
        <f>"1552380094121890"</f>
        <v>1552380094121890</v>
      </c>
      <c r="C5259" t="s">
        <v>40</v>
      </c>
      <c r="D5259">
        <v>5.0675939999999997</v>
      </c>
      <c r="E5259">
        <v>0.46903410000000001</v>
      </c>
      <c r="F5259" t="s">
        <v>51</v>
      </c>
      <c r="G5259">
        <v>-402.48869999999999</v>
      </c>
      <c r="H5259" s="1">
        <v>-5.1762209999999996E-6</v>
      </c>
      <c r="I5259">
        <v>20.70223</v>
      </c>
      <c r="J5259">
        <v>-414.3503</v>
      </c>
      <c r="K5259">
        <v>1.1223339999999999</v>
      </c>
      <c r="L5259">
        <v>24.36966</v>
      </c>
      <c r="M5259">
        <v>0.75259350000000003</v>
      </c>
      <c r="N5259">
        <v>0</v>
      </c>
      <c r="O5259">
        <v>-0.65835459999999901</v>
      </c>
      <c r="P5259">
        <v>0.9165333</v>
      </c>
      <c r="Q5259">
        <v>0.14000660000000001</v>
      </c>
      <c r="R5259">
        <v>-0.37465320000000002</v>
      </c>
      <c r="S5259">
        <v>2.939575</v>
      </c>
      <c r="T5259">
        <v>-0.27534720000000001</v>
      </c>
      <c r="U5259">
        <v>-0.92373660000000002</v>
      </c>
      <c r="V5259">
        <v>-0.3260171</v>
      </c>
      <c r="W5259">
        <v>0.14228750000000001</v>
      </c>
      <c r="X5259">
        <v>0.93459460000000005</v>
      </c>
      <c r="Y5259">
        <v>-0.3988391</v>
      </c>
      <c r="Z5259">
        <v>7.2650359999999997E-2</v>
      </c>
      <c r="AA5259">
        <v>0.91413860000000002</v>
      </c>
      <c r="AB5259">
        <v>31</v>
      </c>
      <c r="AC5259">
        <v>11.861599999999999</v>
      </c>
      <c r="AD5259">
        <v>-1.122339176221</v>
      </c>
      <c r="AE5259">
        <v>-3.66743</v>
      </c>
      <c r="AF5259">
        <v>-5.0085614614663303</v>
      </c>
      <c r="AG5259">
        <v>-1.122339176221</v>
      </c>
      <c r="AH5259">
        <v>11.2504740436309</v>
      </c>
      <c r="AI5259">
        <v>95.207326281343597</v>
      </c>
      <c r="AJ5259">
        <v>113.9979925606</v>
      </c>
      <c r="AK5259">
        <v>12.366021969339201</v>
      </c>
      <c r="AL5259">
        <v>81.819764077938999</v>
      </c>
      <c r="AM5259">
        <v>109.230438885361</v>
      </c>
      <c r="AN5259">
        <v>0.99999997424890896</v>
      </c>
    </row>
    <row r="5260" spans="1:40" x14ac:dyDescent="0.25">
      <c r="A5260" t="str">
        <f>"20190312164134140"</f>
        <v>20190312164134140</v>
      </c>
      <c r="B5260" t="str">
        <f>"1552380094131650"</f>
        <v>1552380094131650</v>
      </c>
      <c r="C5260" t="s">
        <v>40</v>
      </c>
      <c r="D5260">
        <v>4.9475939999999996</v>
      </c>
      <c r="E5260">
        <v>0.46883249999999999</v>
      </c>
      <c r="F5260" t="s">
        <v>51</v>
      </c>
      <c r="G5260">
        <v>-402.36849999999998</v>
      </c>
      <c r="H5260" s="1">
        <v>-5.2299079999999999E-6</v>
      </c>
      <c r="I5260">
        <v>20.689309999999999</v>
      </c>
      <c r="J5260">
        <v>-414.2294</v>
      </c>
      <c r="K5260">
        <v>1.1223299999999901</v>
      </c>
      <c r="L5260">
        <v>24.272089999999999</v>
      </c>
      <c r="M5260">
        <v>0.75767090000000004</v>
      </c>
      <c r="N5260">
        <v>0</v>
      </c>
      <c r="O5260">
        <v>-0.65250730000000001</v>
      </c>
      <c r="P5260">
        <v>0.918628</v>
      </c>
      <c r="Q5260">
        <v>0.13957410000000001</v>
      </c>
      <c r="R5260">
        <v>-0.36965049999999999</v>
      </c>
      <c r="S5260">
        <v>2.9455260000000001</v>
      </c>
      <c r="T5260">
        <v>-0.27590879999999901</v>
      </c>
      <c r="U5260">
        <v>-0.90475459999999996</v>
      </c>
      <c r="V5260">
        <v>-0.32389780000000001</v>
      </c>
      <c r="W5260">
        <v>0.14182069999999999</v>
      </c>
      <c r="X5260">
        <v>0.93540210000000001</v>
      </c>
      <c r="Y5260">
        <v>-0.39765410000000001</v>
      </c>
      <c r="Z5260">
        <v>7.2324009999999994E-2</v>
      </c>
      <c r="AA5260">
        <v>0.91468050000000001</v>
      </c>
      <c r="AB5260">
        <v>31</v>
      </c>
      <c r="AC5260">
        <v>11.860900000000001</v>
      </c>
      <c r="AD5260">
        <v>-1.1223352299079901</v>
      </c>
      <c r="AE5260">
        <v>-3.5827800000000001</v>
      </c>
      <c r="AF5260">
        <v>-4.9842834800682496</v>
      </c>
      <c r="AG5260">
        <v>-1.1223352299079901</v>
      </c>
      <c r="AH5260">
        <v>11.2332354038074</v>
      </c>
      <c r="AI5260">
        <v>95.218101134419101</v>
      </c>
      <c r="AJ5260">
        <v>113.927274323665</v>
      </c>
      <c r="AK5260">
        <v>12.340514406430801</v>
      </c>
      <c r="AL5260">
        <v>81.846783905861301</v>
      </c>
      <c r="AM5260">
        <v>109.099222307396</v>
      </c>
      <c r="AN5260">
        <v>0.99999999223886904</v>
      </c>
    </row>
    <row r="5261" spans="1:40" x14ac:dyDescent="0.25">
      <c r="A5261" t="str">
        <f>"20190312164134151"</f>
        <v>20190312164134151</v>
      </c>
      <c r="B5261" t="str">
        <f>"1552380094141410"</f>
        <v>1552380094141410</v>
      </c>
      <c r="C5261" t="s">
        <v>40</v>
      </c>
      <c r="D5261">
        <v>5.0916459999999999</v>
      </c>
      <c r="E5261">
        <v>0.46863630000000001</v>
      </c>
      <c r="F5261" t="s">
        <v>42</v>
      </c>
      <c r="G5261">
        <v>-413.16</v>
      </c>
      <c r="H5261">
        <v>1.022076</v>
      </c>
      <c r="I5261">
        <v>23.950859999999999</v>
      </c>
      <c r="J5261">
        <v>-414.10840000000002</v>
      </c>
      <c r="K5261">
        <v>1.1223209999999999</v>
      </c>
      <c r="L5261">
        <v>24.176570000000002</v>
      </c>
      <c r="M5261">
        <v>0.76265169999999904</v>
      </c>
      <c r="N5261">
        <v>0</v>
      </c>
      <c r="O5261">
        <v>-0.64668099999999995</v>
      </c>
      <c r="P5261">
        <v>0.92075810000000002</v>
      </c>
      <c r="Q5261">
        <v>0.13908970000000001</v>
      </c>
      <c r="R5261">
        <v>-0.36449819999999999</v>
      </c>
      <c r="S5261">
        <v>2.951111</v>
      </c>
      <c r="T5261">
        <v>-0.27665980000000001</v>
      </c>
      <c r="U5261">
        <v>-0.88638309999999998</v>
      </c>
      <c r="V5261">
        <v>-0.32199460000000002</v>
      </c>
      <c r="W5261">
        <v>0.14129620000000001</v>
      </c>
      <c r="X5261">
        <v>0.93613829999999998</v>
      </c>
      <c r="Y5261">
        <v>-0.39633109999999999</v>
      </c>
      <c r="Z5261">
        <v>7.2040049999999994E-2</v>
      </c>
      <c r="AA5261">
        <v>0.91527689999999995</v>
      </c>
      <c r="AB5261">
        <v>31</v>
      </c>
      <c r="AC5261">
        <v>0.94839999999999203</v>
      </c>
      <c r="AD5261">
        <v>-0.100244999999999</v>
      </c>
      <c r="AE5261">
        <v>-0.22570999999999899</v>
      </c>
      <c r="AF5261">
        <v>-0.436594484742447</v>
      </c>
      <c r="AG5261">
        <v>-0.100244999999999</v>
      </c>
      <c r="AH5261">
        <v>0.86023777155677394</v>
      </c>
      <c r="AI5261">
        <v>95.932562875980494</v>
      </c>
      <c r="AJ5261">
        <v>116.90905487415699</v>
      </c>
      <c r="AK5261">
        <v>0.969882893830738</v>
      </c>
      <c r="AL5261">
        <v>81.877141533829899</v>
      </c>
      <c r="AM5261">
        <v>108.981193452467</v>
      </c>
      <c r="AN5261">
        <v>1.0000000276452401</v>
      </c>
    </row>
    <row r="5262" spans="1:40" x14ac:dyDescent="0.25">
      <c r="A5262" t="str">
        <f>"20190312164134162"</f>
        <v>20190312164134162</v>
      </c>
      <c r="B5262" t="str">
        <f>"1552380094151169"</f>
        <v>1552380094151169</v>
      </c>
      <c r="C5262" t="s">
        <v>40</v>
      </c>
      <c r="D5262">
        <v>5.0619500000000004</v>
      </c>
      <c r="E5262">
        <v>0.46845880000000001</v>
      </c>
      <c r="F5262" t="s">
        <v>51</v>
      </c>
      <c r="G5262">
        <v>-402.16860000000003</v>
      </c>
      <c r="H5262" s="1">
        <v>-5.320036E-6</v>
      </c>
      <c r="I5262">
        <v>20.672429999999999</v>
      </c>
      <c r="J5262">
        <v>-413.98790000000002</v>
      </c>
      <c r="K5262">
        <v>1.122309</v>
      </c>
      <c r="L5262">
        <v>24.082550000000001</v>
      </c>
      <c r="M5262">
        <v>0.7675419</v>
      </c>
      <c r="N5262">
        <v>0</v>
      </c>
      <c r="O5262">
        <v>-0.64087150000000004</v>
      </c>
      <c r="P5262">
        <v>0.92278930000000003</v>
      </c>
      <c r="Q5262">
        <v>0.1386674</v>
      </c>
      <c r="R5262">
        <v>-0.35948859999999999</v>
      </c>
      <c r="S5262">
        <v>2.9566650000000001</v>
      </c>
      <c r="T5262">
        <v>-0.27792270000000002</v>
      </c>
      <c r="U5262">
        <v>-0.86773679999999997</v>
      </c>
      <c r="V5262">
        <v>-0.31999509999999998</v>
      </c>
      <c r="W5262">
        <v>0.14083970000000001</v>
      </c>
      <c r="X5262">
        <v>0.93689239999999996</v>
      </c>
      <c r="Y5262">
        <v>-0.39513500000000001</v>
      </c>
      <c r="Z5262">
        <v>7.1889120000000001E-2</v>
      </c>
      <c r="AA5262">
        <v>0.91580589999999995</v>
      </c>
      <c r="AB5262">
        <v>31</v>
      </c>
      <c r="AC5262">
        <v>11.819299999999901</v>
      </c>
      <c r="AD5262">
        <v>-1.122314320036</v>
      </c>
      <c r="AE5262">
        <v>-3.41012</v>
      </c>
      <c r="AF5262">
        <v>-4.9167214222526496</v>
      </c>
      <c r="AG5262">
        <v>-1.122314320036</v>
      </c>
      <c r="AH5262">
        <v>11.165238489544301</v>
      </c>
      <c r="AI5262">
        <v>95.256073873241604</v>
      </c>
      <c r="AJ5262">
        <v>113.766760207849</v>
      </c>
      <c r="AK5262">
        <v>12.251379085858</v>
      </c>
      <c r="AL5262">
        <v>81.903561252085197</v>
      </c>
      <c r="AM5262">
        <v>108.85757424757701</v>
      </c>
      <c r="AN5262">
        <v>1.00000002714892</v>
      </c>
    </row>
    <row r="5263" spans="1:40" x14ac:dyDescent="0.25">
      <c r="A5263" t="str">
        <f>"20190312164134174"</f>
        <v>20190312164134174</v>
      </c>
      <c r="B5263" t="str">
        <f>"1552380094171666"</f>
        <v>1552380094171666</v>
      </c>
      <c r="C5263" t="s">
        <v>40</v>
      </c>
      <c r="D5263">
        <v>4.9060750000000004</v>
      </c>
      <c r="E5263">
        <v>0.4681536</v>
      </c>
      <c r="F5263" t="s">
        <v>51</v>
      </c>
      <c r="G5263">
        <v>-402.07530000000003</v>
      </c>
      <c r="H5263" s="1">
        <v>-5.3623100000000002E-6</v>
      </c>
      <c r="I5263">
        <v>20.665659999999999</v>
      </c>
      <c r="J5263">
        <v>-413.86329999999998</v>
      </c>
      <c r="K5263">
        <v>1.1222939999999999</v>
      </c>
      <c r="L5263">
        <v>23.986789999999999</v>
      </c>
      <c r="M5263">
        <v>0.77251619999999999</v>
      </c>
      <c r="N5263">
        <v>0</v>
      </c>
      <c r="O5263">
        <v>-0.63486889999999996</v>
      </c>
      <c r="P5263">
        <v>0.92489069999999995</v>
      </c>
      <c r="Q5263">
        <v>0.1380489</v>
      </c>
      <c r="R5263">
        <v>-0.35428749999999998</v>
      </c>
      <c r="S5263">
        <v>2.9619749999999998</v>
      </c>
      <c r="T5263">
        <v>-0.27905360000000001</v>
      </c>
      <c r="U5263">
        <v>-0.84957890000000003</v>
      </c>
      <c r="V5263">
        <v>-0.31799809999999901</v>
      </c>
      <c r="W5263">
        <v>0.1401859</v>
      </c>
      <c r="X5263">
        <v>0.93767009999999995</v>
      </c>
      <c r="Y5263">
        <v>-0.39359820000000001</v>
      </c>
      <c r="Z5263">
        <v>7.16696E-2</v>
      </c>
      <c r="AA5263">
        <v>0.91648450000000004</v>
      </c>
      <c r="AB5263">
        <v>31</v>
      </c>
      <c r="AC5263">
        <v>11.787999999999901</v>
      </c>
      <c r="AD5263">
        <v>-1.1222993623099999</v>
      </c>
      <c r="AE5263">
        <v>-3.3211300000000001</v>
      </c>
      <c r="AF5263">
        <v>-4.8776405336081199</v>
      </c>
      <c r="AG5263">
        <v>-1.1222993623099999</v>
      </c>
      <c r="AH5263">
        <v>11.1223981393266</v>
      </c>
      <c r="AI5263">
        <v>95.279648157924797</v>
      </c>
      <c r="AJ5263">
        <v>113.679477066815</v>
      </c>
      <c r="AK5263">
        <v>12.1966664873413</v>
      </c>
      <c r="AL5263">
        <v>81.941396765597602</v>
      </c>
      <c r="AM5263">
        <v>108.733670247394</v>
      </c>
      <c r="AN5263">
        <v>1.00000004729821</v>
      </c>
    </row>
    <row r="5264" spans="1:40" x14ac:dyDescent="0.25">
      <c r="A5264" t="str">
        <f>"20190312164134192"</f>
        <v>20190312164134192</v>
      </c>
      <c r="B5264" t="str">
        <f>"1552380094181425"</f>
        <v>1552380094181425</v>
      </c>
      <c r="C5264" t="s">
        <v>40</v>
      </c>
      <c r="D5264">
        <v>4.9396069999999996</v>
      </c>
      <c r="E5264">
        <v>0.468032</v>
      </c>
      <c r="F5264" t="s">
        <v>51</v>
      </c>
      <c r="G5264">
        <v>-402.00549999999998</v>
      </c>
      <c r="H5264" s="1">
        <v>-5.3958680000000003E-6</v>
      </c>
      <c r="I5264">
        <v>20.67163</v>
      </c>
      <c r="J5264">
        <v>-413.67090000000002</v>
      </c>
      <c r="K5264">
        <v>1.1222650000000001</v>
      </c>
      <c r="L5264">
        <v>23.842220000000001</v>
      </c>
      <c r="M5264">
        <v>0.78001980000000004</v>
      </c>
      <c r="N5264">
        <v>0</v>
      </c>
      <c r="O5264">
        <v>-0.62563009999999997</v>
      </c>
      <c r="P5264">
        <v>0.92772169999999998</v>
      </c>
      <c r="Q5264">
        <v>0.13686029999999999</v>
      </c>
      <c r="R5264">
        <v>-0.34727740000000001</v>
      </c>
      <c r="S5264">
        <v>2.967743</v>
      </c>
      <c r="T5264">
        <v>-0.28088689999999999</v>
      </c>
      <c r="U5264">
        <v>-0.82971189999999995</v>
      </c>
      <c r="V5264">
        <v>-0.31399359999999998</v>
      </c>
      <c r="W5264">
        <v>0.13898139999999901</v>
      </c>
      <c r="X5264">
        <v>0.93919770000000002</v>
      </c>
      <c r="Y5264">
        <v>-0.38881450000000001</v>
      </c>
      <c r="Z5264">
        <v>7.1243899999999999E-2</v>
      </c>
      <c r="AA5264">
        <v>0.91855730000000002</v>
      </c>
      <c r="AB5264">
        <v>31</v>
      </c>
      <c r="AC5264">
        <v>11.6654</v>
      </c>
      <c r="AD5264">
        <v>-1.122270395868</v>
      </c>
      <c r="AE5264">
        <v>-3.1705899999999998</v>
      </c>
      <c r="AF5264">
        <v>-4.7842449056094702</v>
      </c>
      <c r="AG5264">
        <v>-1.122270395868</v>
      </c>
      <c r="AH5264">
        <v>10.989013262882301</v>
      </c>
      <c r="AI5264">
        <v>95.349420592294805</v>
      </c>
      <c r="AJ5264">
        <v>113.526680866688</v>
      </c>
      <c r="AK5264">
        <v>12.037728301058101</v>
      </c>
      <c r="AL5264">
        <v>82.011091970767595</v>
      </c>
      <c r="AM5264">
        <v>108.48586864640301</v>
      </c>
      <c r="AN5264">
        <v>1.0000000650361001</v>
      </c>
    </row>
    <row r="5265" spans="1:40" x14ac:dyDescent="0.25">
      <c r="A5265" t="str">
        <f>"20190312164134209"</f>
        <v>20190312164134209</v>
      </c>
      <c r="B5265" t="str">
        <f>"1552380094201921"</f>
        <v>1552380094201921</v>
      </c>
      <c r="C5265" t="s">
        <v>40</v>
      </c>
      <c r="D5265">
        <v>4.9120499999999998</v>
      </c>
      <c r="E5265">
        <v>0.46781299999999998</v>
      </c>
      <c r="F5265" t="s">
        <v>51</v>
      </c>
      <c r="G5265">
        <v>-401.91399999999999</v>
      </c>
      <c r="H5265" s="1">
        <v>-5.4367739999999999E-6</v>
      </c>
      <c r="I5265">
        <v>20.66189</v>
      </c>
      <c r="J5265">
        <v>-413.47219999999999</v>
      </c>
      <c r="K5265">
        <v>1.1222399999999999</v>
      </c>
      <c r="L5265">
        <v>23.6965</v>
      </c>
      <c r="M5265">
        <v>0.78756590000000004</v>
      </c>
      <c r="N5265">
        <v>0</v>
      </c>
      <c r="O5265">
        <v>-0.61610699999999996</v>
      </c>
      <c r="P5265">
        <v>0.93112499999999998</v>
      </c>
      <c r="Q5265">
        <v>0.1363983</v>
      </c>
      <c r="R5265">
        <v>-0.33823360000000002</v>
      </c>
      <c r="S5265">
        <v>2.974396</v>
      </c>
      <c r="T5265">
        <v>-0.28392420000000002</v>
      </c>
      <c r="U5265">
        <v>-0.80459590000000003</v>
      </c>
      <c r="V5265">
        <v>-0.31173830000000002</v>
      </c>
      <c r="W5265">
        <v>0.13844119999999999</v>
      </c>
      <c r="X5265">
        <v>0.94002830000000004</v>
      </c>
      <c r="Y5265">
        <v>-0.38533780000000001</v>
      </c>
      <c r="Z5265">
        <v>7.1140469999999997E-2</v>
      </c>
      <c r="AA5265">
        <v>0.92002930000000005</v>
      </c>
      <c r="AB5265">
        <v>31</v>
      </c>
      <c r="AC5265">
        <v>11.558199999999999</v>
      </c>
      <c r="AD5265">
        <v>-1.12224543677399</v>
      </c>
      <c r="AE5265">
        <v>-3.0346099999999998</v>
      </c>
      <c r="AF5265">
        <v>-4.6901277843073004</v>
      </c>
      <c r="AG5265">
        <v>-1.12224543677399</v>
      </c>
      <c r="AH5265">
        <v>10.8773899473747</v>
      </c>
      <c r="AI5265">
        <v>95.412080135878199</v>
      </c>
      <c r="AJ5265">
        <v>113.32480488578901</v>
      </c>
      <c r="AK5265">
        <v>11.8985018183274</v>
      </c>
      <c r="AL5265">
        <v>82.042344511505505</v>
      </c>
      <c r="AM5265">
        <v>108.346889162352</v>
      </c>
      <c r="AN5265">
        <v>0.99999996917260903</v>
      </c>
    </row>
    <row r="5266" spans="1:40" x14ac:dyDescent="0.25">
      <c r="A5266" t="str">
        <f>"20190312164134226"</f>
        <v>20190312164134226</v>
      </c>
      <c r="B5266" t="str">
        <f>"1552380094221442"</f>
        <v>1552380094221442</v>
      </c>
      <c r="C5266" t="s">
        <v>40</v>
      </c>
      <c r="D5266">
        <v>4.9091370000000003</v>
      </c>
      <c r="E5266">
        <v>0.46764080000000002</v>
      </c>
      <c r="F5266" t="s">
        <v>51</v>
      </c>
      <c r="G5266">
        <v>-401.69909999999999</v>
      </c>
      <c r="H5266" s="1">
        <v>-5.5341969999999996E-6</v>
      </c>
      <c r="I5266">
        <v>20.646840000000001</v>
      </c>
      <c r="J5266">
        <v>-413.29180000000002</v>
      </c>
      <c r="K5266">
        <v>1.1222080000000001</v>
      </c>
      <c r="L5266">
        <v>23.5672</v>
      </c>
      <c r="M5266">
        <v>0.79424099999999997</v>
      </c>
      <c r="N5266">
        <v>0</v>
      </c>
      <c r="O5266">
        <v>-0.60748080000000004</v>
      </c>
      <c r="P5266">
        <v>0.93352639999999998</v>
      </c>
      <c r="Q5266">
        <v>0.13503419999999999</v>
      </c>
      <c r="R5266">
        <v>-0.33210600000000001</v>
      </c>
      <c r="S5266">
        <v>2.9828800000000002</v>
      </c>
      <c r="T5266">
        <v>-0.28433599999999998</v>
      </c>
      <c r="U5266">
        <v>-0.77267459999999999</v>
      </c>
      <c r="V5266">
        <v>-0.30772729999999998</v>
      </c>
      <c r="W5266">
        <v>0.13708100000000001</v>
      </c>
      <c r="X5266">
        <v>0.94154800000000005</v>
      </c>
      <c r="Y5266">
        <v>-0.38516600000000001</v>
      </c>
      <c r="Z5266">
        <v>7.0565929999999999E-2</v>
      </c>
      <c r="AA5266">
        <v>0.92014549999999995</v>
      </c>
      <c r="AB5266">
        <v>31</v>
      </c>
      <c r="AC5266">
        <v>11.592700000000001</v>
      </c>
      <c r="AD5266">
        <v>-1.1222135341969901</v>
      </c>
      <c r="AE5266">
        <v>-2.9203599999999899</v>
      </c>
      <c r="AF5266">
        <v>-4.6819671308479398</v>
      </c>
      <c r="AG5266">
        <v>-1.1222135341969901</v>
      </c>
      <c r="AH5266">
        <v>10.8863473095972</v>
      </c>
      <c r="AI5266">
        <v>95.409657634414799</v>
      </c>
      <c r="AJ5266">
        <v>113.271425989463</v>
      </c>
      <c r="AK5266">
        <v>11.903475844300599</v>
      </c>
      <c r="AL5266">
        <v>82.121028411959799</v>
      </c>
      <c r="AM5266">
        <v>108.09900909651699</v>
      </c>
      <c r="AN5266">
        <v>0.99999996401514402</v>
      </c>
    </row>
    <row r="5267" spans="1:40" x14ac:dyDescent="0.25">
      <c r="A5267" t="str">
        <f>"20190312164134239"</f>
        <v>20190312164134239</v>
      </c>
      <c r="B5267" t="str">
        <f>"1552380094231203"</f>
        <v>1552380094231203</v>
      </c>
      <c r="C5267" t="s">
        <v>40</v>
      </c>
      <c r="D5267">
        <v>4.931565</v>
      </c>
      <c r="E5267">
        <v>0.46754420000000002</v>
      </c>
      <c r="F5267" t="s">
        <v>51</v>
      </c>
      <c r="G5267">
        <v>-401.63099999999997</v>
      </c>
      <c r="H5267" s="1">
        <v>-5.5649699999999997E-6</v>
      </c>
      <c r="I5267">
        <v>20.641580000000001</v>
      </c>
      <c r="J5267">
        <v>-413.15210000000002</v>
      </c>
      <c r="K5267">
        <v>1.122188</v>
      </c>
      <c r="L5267">
        <v>23.468509999999998</v>
      </c>
      <c r="M5267">
        <v>0.79930789999999996</v>
      </c>
      <c r="N5267">
        <v>0</v>
      </c>
      <c r="O5267">
        <v>-0.60080089999999997</v>
      </c>
      <c r="P5267">
        <v>0.93570330000000002</v>
      </c>
      <c r="Q5267">
        <v>0.1338848</v>
      </c>
      <c r="R5267">
        <v>-0.32639659999999998</v>
      </c>
      <c r="S5267">
        <v>2.988464</v>
      </c>
      <c r="T5267">
        <v>-0.28760400000000003</v>
      </c>
      <c r="U5267">
        <v>-0.74978639999999996</v>
      </c>
      <c r="V5267">
        <v>-0.30563960000000001</v>
      </c>
      <c r="W5267">
        <v>0.13590099999999999</v>
      </c>
      <c r="X5267">
        <v>0.94239870000000003</v>
      </c>
      <c r="Y5267">
        <v>-0.38441140000000001</v>
      </c>
      <c r="Z5267">
        <v>7.0820469999999996E-2</v>
      </c>
      <c r="AA5267">
        <v>0.92044139999999997</v>
      </c>
      <c r="AB5267">
        <v>31</v>
      </c>
      <c r="AC5267">
        <v>11.521100000000001</v>
      </c>
      <c r="AD5267">
        <v>-1.1221935649699999</v>
      </c>
      <c r="AE5267">
        <v>-2.8269299999999999</v>
      </c>
      <c r="AF5267">
        <v>-4.6212839650703703</v>
      </c>
      <c r="AG5267">
        <v>-1.1221935649699999</v>
      </c>
      <c r="AH5267">
        <v>10.811372938759501</v>
      </c>
      <c r="AI5267">
        <v>95.452011487910198</v>
      </c>
      <c r="AJ5267">
        <v>113.144118094506</v>
      </c>
      <c r="AK5267">
        <v>11.8110697527369</v>
      </c>
      <c r="AL5267">
        <v>82.189276260299806</v>
      </c>
      <c r="AM5267">
        <v>107.968962514154</v>
      </c>
      <c r="AN5267">
        <v>0.99999997832542398</v>
      </c>
    </row>
    <row r="5268" spans="1:40" x14ac:dyDescent="0.25">
      <c r="A5268" t="str">
        <f>"20190312164134253"</f>
        <v>20190312164134253</v>
      </c>
      <c r="B5268" t="str">
        <f>"1552380094241937"</f>
        <v>1552380094241937</v>
      </c>
      <c r="C5268" t="s">
        <v>40</v>
      </c>
      <c r="D5268">
        <v>4.967155</v>
      </c>
      <c r="E5268">
        <v>0.46739989999999998</v>
      </c>
      <c r="F5268" t="s">
        <v>42</v>
      </c>
      <c r="G5268">
        <v>-412.00880000000001</v>
      </c>
      <c r="H5268">
        <v>1.0112270000000001</v>
      </c>
      <c r="I5268">
        <v>23.18956</v>
      </c>
      <c r="J5268">
        <v>-412.97949999999997</v>
      </c>
      <c r="K5268">
        <v>1.1221540000000001</v>
      </c>
      <c r="L5268">
        <v>23.349979999999999</v>
      </c>
      <c r="M5268">
        <v>0.80540590000000001</v>
      </c>
      <c r="N5268">
        <v>0</v>
      </c>
      <c r="O5268">
        <v>-0.59260360000000001</v>
      </c>
      <c r="P5268">
        <v>0.93828389999999995</v>
      </c>
      <c r="Q5268">
        <v>0.13335959999999999</v>
      </c>
      <c r="R5268">
        <v>-0.31912200000000002</v>
      </c>
      <c r="S5268">
        <v>2.993134</v>
      </c>
      <c r="T5268">
        <v>-0.2904602</v>
      </c>
      <c r="U5268">
        <v>-0.72994999999999999</v>
      </c>
      <c r="V5268">
        <v>-0.30334470000000002</v>
      </c>
      <c r="W5268">
        <v>0.13533120000000001</v>
      </c>
      <c r="X5268">
        <v>0.94322189999999995</v>
      </c>
      <c r="Y5268">
        <v>-0.38104100000000002</v>
      </c>
      <c r="Z5268">
        <v>7.0726699999999906E-2</v>
      </c>
      <c r="AA5268">
        <v>0.92184900000000003</v>
      </c>
      <c r="AB5268">
        <v>31</v>
      </c>
      <c r="AC5268">
        <v>0.97069999999996504</v>
      </c>
      <c r="AD5268">
        <v>-0.110927</v>
      </c>
      <c r="AE5268">
        <v>-0.16041999999999801</v>
      </c>
      <c r="AF5268">
        <v>-0.44046973925823502</v>
      </c>
      <c r="AG5268">
        <v>-0.110927</v>
      </c>
      <c r="AH5268">
        <v>0.865927994213327</v>
      </c>
      <c r="AI5268">
        <v>96.513776937159804</v>
      </c>
      <c r="AJ5268">
        <v>116.960977530861</v>
      </c>
      <c r="AK5268">
        <v>0.97782906568251204</v>
      </c>
      <c r="AL5268">
        <v>82.222228355828307</v>
      </c>
      <c r="AM5268">
        <v>107.828040606908</v>
      </c>
      <c r="AN5268">
        <v>1.0000000466755601</v>
      </c>
    </row>
    <row r="5269" spans="1:40" x14ac:dyDescent="0.25">
      <c r="A5269" t="str">
        <f>"20190312164134273"</f>
        <v>20190312164134273</v>
      </c>
      <c r="B5269" t="str">
        <f>"1552380094261459"</f>
        <v>1552380094261459</v>
      </c>
      <c r="C5269" t="s">
        <v>40</v>
      </c>
      <c r="D5269">
        <v>4.9592019999999897</v>
      </c>
      <c r="E5269">
        <v>0.46716439999999998</v>
      </c>
      <c r="F5269" t="s">
        <v>51</v>
      </c>
      <c r="G5269">
        <v>-401.47919999999999</v>
      </c>
      <c r="H5269" s="1">
        <v>-5.63666999999999E-6</v>
      </c>
      <c r="I5269">
        <v>20.647189999999998</v>
      </c>
      <c r="J5269">
        <v>-412.76089999999999</v>
      </c>
      <c r="K5269">
        <v>1.1221110000000001</v>
      </c>
      <c r="L5269">
        <v>23.202999999999999</v>
      </c>
      <c r="M5269">
        <v>0.81293019999999905</v>
      </c>
      <c r="N5269">
        <v>0</v>
      </c>
      <c r="O5269">
        <v>-0.58224279999999995</v>
      </c>
      <c r="P5269">
        <v>0.94116999999999995</v>
      </c>
      <c r="Q5269">
        <v>0.1314418</v>
      </c>
      <c r="R5269">
        <v>-0.31132399999999999</v>
      </c>
      <c r="S5269">
        <v>2.9991759999999998</v>
      </c>
      <c r="T5269">
        <v>-0.29265010000000002</v>
      </c>
      <c r="U5269">
        <v>-0.7048645</v>
      </c>
      <c r="V5269">
        <v>-0.2991743</v>
      </c>
      <c r="W5269">
        <v>0.13340569999999999</v>
      </c>
      <c r="X5269">
        <v>0.94482679999999997</v>
      </c>
      <c r="Y5269">
        <v>-0.3769284</v>
      </c>
      <c r="Z5269">
        <v>7.0239369999999995E-2</v>
      </c>
      <c r="AA5269">
        <v>0.92357529999999999</v>
      </c>
      <c r="AB5269">
        <v>31</v>
      </c>
      <c r="AC5269">
        <v>11.281700000000001</v>
      </c>
      <c r="AD5269">
        <v>-1.1221166366699999</v>
      </c>
      <c r="AE5269">
        <v>-2.5558100000000001</v>
      </c>
      <c r="AF5269">
        <v>-4.4494336527360101</v>
      </c>
      <c r="AG5269">
        <v>-1.1221166366699999</v>
      </c>
      <c r="AH5269">
        <v>10.5606947366258</v>
      </c>
      <c r="AI5269">
        <v>95.592467265048597</v>
      </c>
      <c r="AJ5269">
        <v>112.846673188181</v>
      </c>
      <c r="AK5269">
        <v>11.514550746624399</v>
      </c>
      <c r="AL5269">
        <v>82.333560754006598</v>
      </c>
      <c r="AM5269">
        <v>107.570109444118</v>
      </c>
      <c r="AN5269">
        <v>1.0000000122856001</v>
      </c>
    </row>
    <row r="5270" spans="1:40" x14ac:dyDescent="0.25">
      <c r="A5270" t="str">
        <f>"20190312164134293"</f>
        <v>20190312164134293</v>
      </c>
      <c r="B5270" t="str">
        <f>"1552380094281954"</f>
        <v>1552380094281954</v>
      </c>
      <c r="C5270" t="s">
        <v>40</v>
      </c>
      <c r="D5270">
        <v>4.9386839999999896</v>
      </c>
      <c r="E5270">
        <v>0.46699059999999998</v>
      </c>
      <c r="F5270" t="s">
        <v>51</v>
      </c>
      <c r="G5270">
        <v>-401.4973</v>
      </c>
      <c r="H5270" s="1">
        <v>-5.6318659999999997E-6</v>
      </c>
      <c r="I5270">
        <v>20.667449999999999</v>
      </c>
      <c r="J5270">
        <v>-412.52159999999998</v>
      </c>
      <c r="K5270">
        <v>1.1220559999999999</v>
      </c>
      <c r="L5270">
        <v>23.04654</v>
      </c>
      <c r="M5270">
        <v>0.82089699999999999</v>
      </c>
      <c r="N5270">
        <v>0</v>
      </c>
      <c r="O5270">
        <v>-0.57095940000000001</v>
      </c>
      <c r="P5270">
        <v>0.94418639999999998</v>
      </c>
      <c r="Q5270">
        <v>0.1297992</v>
      </c>
      <c r="R5270">
        <v>-0.30276140000000001</v>
      </c>
      <c r="S5270">
        <v>3.0055239999999999</v>
      </c>
      <c r="T5270">
        <v>-0.29942049999999998</v>
      </c>
      <c r="U5270">
        <v>-0.67657469999999997</v>
      </c>
      <c r="V5270">
        <v>-0.29476380000000002</v>
      </c>
      <c r="W5270">
        <v>0.13175200000000001</v>
      </c>
      <c r="X5270">
        <v>0.9464437</v>
      </c>
      <c r="Y5270">
        <v>-0.37271510000000002</v>
      </c>
      <c r="Z5270">
        <v>7.0730500000000002E-2</v>
      </c>
      <c r="AA5270">
        <v>0.92524620000000002</v>
      </c>
      <c r="AB5270">
        <v>32</v>
      </c>
      <c r="AC5270">
        <v>11.024299999999901</v>
      </c>
      <c r="AD5270">
        <v>-1.1220616318659999</v>
      </c>
      <c r="AE5270">
        <v>-2.3790900000000001</v>
      </c>
      <c r="AF5270">
        <v>-4.2991749360668496</v>
      </c>
      <c r="AG5270">
        <v>-1.1220616318659999</v>
      </c>
      <c r="AH5270">
        <v>10.306852540473701</v>
      </c>
      <c r="AI5270">
        <v>95.737549632016297</v>
      </c>
      <c r="AJ5270">
        <v>112.641901310721</v>
      </c>
      <c r="AK5270">
        <v>11.223775511283201</v>
      </c>
      <c r="AL5270">
        <v>82.429154425324597</v>
      </c>
      <c r="AM5270">
        <v>107.2988639622</v>
      </c>
      <c r="AN5270">
        <v>0.99999998228206399</v>
      </c>
    </row>
    <row r="5271" spans="1:40" x14ac:dyDescent="0.25">
      <c r="A5271" t="str">
        <f>"20190312164134308"</f>
        <v>20190312164134308</v>
      </c>
      <c r="B5271" t="str">
        <f>"1552380094301474"</f>
        <v>1552380094301474</v>
      </c>
      <c r="C5271" t="s">
        <v>40</v>
      </c>
      <c r="D5271">
        <v>5.0075129999999897</v>
      </c>
      <c r="E5271">
        <v>0.46690710000000002</v>
      </c>
      <c r="F5271" t="s">
        <v>51</v>
      </c>
      <c r="G5271">
        <v>-401.43110000000001</v>
      </c>
      <c r="H5271" s="1">
        <v>-5.6626849999999998E-6</v>
      </c>
      <c r="I5271">
        <v>20.667390000000001</v>
      </c>
      <c r="J5271">
        <v>-412.35059999999999</v>
      </c>
      <c r="K5271">
        <v>1.1220079999999999</v>
      </c>
      <c r="L5271">
        <v>22.937650000000001</v>
      </c>
      <c r="M5271">
        <v>0.82641790000000004</v>
      </c>
      <c r="N5271">
        <v>0</v>
      </c>
      <c r="O5271">
        <v>-0.56294149999999998</v>
      </c>
      <c r="P5271">
        <v>0.94644830000000002</v>
      </c>
      <c r="Q5271">
        <v>0.1289805</v>
      </c>
      <c r="R5271">
        <v>-0.29597289999999998</v>
      </c>
      <c r="S5271">
        <v>3.012054</v>
      </c>
      <c r="T5271">
        <v>-0.30473830000000002</v>
      </c>
      <c r="U5271">
        <v>-0.64614869999999902</v>
      </c>
      <c r="V5271">
        <v>-0.29237000000000002</v>
      </c>
      <c r="W5271">
        <v>0.13090070000000001</v>
      </c>
      <c r="X5271">
        <v>0.94730400000000003</v>
      </c>
      <c r="Y5271">
        <v>-0.37292520000000001</v>
      </c>
      <c r="Z5271">
        <v>7.1308789999999997E-2</v>
      </c>
      <c r="AA5271">
        <v>0.92511730000000003</v>
      </c>
      <c r="AB5271">
        <v>32</v>
      </c>
      <c r="AC5271">
        <v>10.9194999999999</v>
      </c>
      <c r="AD5271">
        <v>-1.1220136626849999</v>
      </c>
      <c r="AE5271">
        <v>-2.2702599999999999</v>
      </c>
      <c r="AF5271">
        <v>-4.2283405839531403</v>
      </c>
      <c r="AG5271">
        <v>-1.1220136626849999</v>
      </c>
      <c r="AH5271">
        <v>10.199538293680201</v>
      </c>
      <c r="AI5271">
        <v>95.802482154942695</v>
      </c>
      <c r="AJ5271">
        <v>112.517036278951</v>
      </c>
      <c r="AK5271">
        <v>11.098124172913501</v>
      </c>
      <c r="AL5271">
        <v>82.478356885561993</v>
      </c>
      <c r="AM5271">
        <v>107.15199223086201</v>
      </c>
      <c r="AN5271">
        <v>1.00000003928824</v>
      </c>
    </row>
    <row r="5272" spans="1:40" x14ac:dyDescent="0.25">
      <c r="A5272" t="str">
        <f>"20190312164134320"</f>
        <v>20190312164134320</v>
      </c>
      <c r="B5272" t="str">
        <f>"1552380094311234"</f>
        <v>1552380094311234</v>
      </c>
      <c r="C5272" t="s">
        <v>40</v>
      </c>
      <c r="D5272">
        <v>5.0642990000000001</v>
      </c>
      <c r="E5272">
        <v>0.46690189999999998</v>
      </c>
      <c r="F5272" t="s">
        <v>51</v>
      </c>
      <c r="G5272">
        <v>-401.35739999999998</v>
      </c>
      <c r="H5272" s="1">
        <v>-5.6969319999999997E-6</v>
      </c>
      <c r="I5272">
        <v>20.66685</v>
      </c>
      <c r="J5272">
        <v>-412.19290000000001</v>
      </c>
      <c r="K5272">
        <v>1.121969</v>
      </c>
      <c r="L5272">
        <v>22.838750000000001</v>
      </c>
      <c r="M5272">
        <v>0.83139739999999995</v>
      </c>
      <c r="N5272">
        <v>0</v>
      </c>
      <c r="O5272">
        <v>-0.55556359999999905</v>
      </c>
      <c r="P5272">
        <v>0.94839099999999998</v>
      </c>
      <c r="Q5272">
        <v>0.12849050000000001</v>
      </c>
      <c r="R5272">
        <v>-0.28990480000000002</v>
      </c>
      <c r="S5272">
        <v>3.0168460000000001</v>
      </c>
      <c r="T5272">
        <v>-0.30791020000000002</v>
      </c>
      <c r="U5272">
        <v>-0.62316890000000003</v>
      </c>
      <c r="V5272">
        <v>-0.2900124</v>
      </c>
      <c r="W5272">
        <v>0.1303868</v>
      </c>
      <c r="X5272">
        <v>0.94809920000000003</v>
      </c>
      <c r="Y5272">
        <v>-0.37167470000000002</v>
      </c>
      <c r="Z5272">
        <v>7.135184E-2</v>
      </c>
      <c r="AA5272">
        <v>0.92561700000000002</v>
      </c>
      <c r="AB5272">
        <v>32</v>
      </c>
      <c r="AC5272">
        <v>10.8355</v>
      </c>
      <c r="AD5272">
        <v>-1.1219746969319999</v>
      </c>
      <c r="AE5272">
        <v>-2.1718999999999999</v>
      </c>
      <c r="AF5272">
        <v>-4.1713688204068404</v>
      </c>
      <c r="AG5272">
        <v>-1.1219746969319999</v>
      </c>
      <c r="AH5272">
        <v>10.111658427413699</v>
      </c>
      <c r="AI5272">
        <v>95.856531409059301</v>
      </c>
      <c r="AJ5272">
        <v>112.417647232147</v>
      </c>
      <c r="AK5272">
        <v>10.9956710213203</v>
      </c>
      <c r="AL5272">
        <v>82.508055437897795</v>
      </c>
      <c r="AM5272">
        <v>107.008255640538</v>
      </c>
      <c r="AN5272">
        <v>1.00000000140432</v>
      </c>
    </row>
    <row r="5273" spans="1:40" x14ac:dyDescent="0.25">
      <c r="A5273" t="str">
        <f>"20190312164134337"</f>
        <v>20190312164134337</v>
      </c>
      <c r="B5273" t="str">
        <f>"1552380094331729"</f>
        <v>1552380094331729</v>
      </c>
      <c r="C5273" t="s">
        <v>40</v>
      </c>
      <c r="D5273">
        <v>4.9920140000000002</v>
      </c>
      <c r="E5273">
        <v>0.46673979999999998</v>
      </c>
      <c r="F5273" t="s">
        <v>51</v>
      </c>
      <c r="G5273">
        <v>-401.22289999999998</v>
      </c>
      <c r="H5273" s="1">
        <v>-5.7564919999999996E-6</v>
      </c>
      <c r="I5273">
        <v>20.64958</v>
      </c>
      <c r="J5273">
        <v>-411.99380000000002</v>
      </c>
      <c r="K5273">
        <v>1.1219129999999999</v>
      </c>
      <c r="L5273">
        <v>22.716740000000001</v>
      </c>
      <c r="M5273">
        <v>0.83751109999999895</v>
      </c>
      <c r="N5273">
        <v>0</v>
      </c>
      <c r="O5273">
        <v>-0.54630699999999999</v>
      </c>
      <c r="P5273">
        <v>0.95020700000000002</v>
      </c>
      <c r="Q5273">
        <v>0.12788569999999999</v>
      </c>
      <c r="R5273">
        <v>-0.28416960000000002</v>
      </c>
      <c r="S5273">
        <v>3.0208740000000001</v>
      </c>
      <c r="T5273">
        <v>-0.30896590000000002</v>
      </c>
      <c r="U5273">
        <v>-0.60284419999999905</v>
      </c>
      <c r="V5273">
        <v>-0.28522399999999998</v>
      </c>
      <c r="W5273">
        <v>0.1298166</v>
      </c>
      <c r="X5273">
        <v>0.94962880000000005</v>
      </c>
      <c r="Y5273">
        <v>-0.3676393</v>
      </c>
      <c r="Z5273">
        <v>7.0601869999999997E-2</v>
      </c>
      <c r="AA5273">
        <v>0.92728460000000001</v>
      </c>
      <c r="AB5273">
        <v>32</v>
      </c>
      <c r="AC5273">
        <v>10.770899999999999</v>
      </c>
      <c r="AD5273">
        <v>-1.1219187564919999</v>
      </c>
      <c r="AE5273">
        <v>-2.0671599999999901</v>
      </c>
      <c r="AF5273">
        <v>-4.1101954746147502</v>
      </c>
      <c r="AG5273">
        <v>-1.1219187564919999</v>
      </c>
      <c r="AH5273">
        <v>10.045561064775301</v>
      </c>
      <c r="AI5273">
        <v>95.901451867081505</v>
      </c>
      <c r="AJ5273">
        <v>112.252188512686</v>
      </c>
      <c r="AK5273">
        <v>10.911723312192301</v>
      </c>
      <c r="AL5273">
        <v>82.541005301585997</v>
      </c>
      <c r="AM5273">
        <v>106.717805658057</v>
      </c>
      <c r="AN5273">
        <v>0.99999996880049902</v>
      </c>
    </row>
    <row r="5274" spans="1:40" x14ac:dyDescent="0.25">
      <c r="A5274" t="str">
        <f>"20190312164134350"</f>
        <v>20190312164134350</v>
      </c>
      <c r="B5274" t="str">
        <f>"1552380094341490"</f>
        <v>1552380094341490</v>
      </c>
      <c r="C5274" t="s">
        <v>40</v>
      </c>
      <c r="D5274">
        <v>4.9825679999999997</v>
      </c>
      <c r="E5274">
        <v>0.46671210000000002</v>
      </c>
      <c r="F5274" t="s">
        <v>51</v>
      </c>
      <c r="G5274">
        <v>-401.05169999999998</v>
      </c>
      <c r="H5274" s="1">
        <v>-5.8298329999999999E-6</v>
      </c>
      <c r="I5274">
        <v>20.613440000000001</v>
      </c>
      <c r="J5274">
        <v>-411.84129999999999</v>
      </c>
      <c r="K5274">
        <v>1.1218629999999901</v>
      </c>
      <c r="L5274">
        <v>22.625889999999998</v>
      </c>
      <c r="M5274">
        <v>0.84205059999999998</v>
      </c>
      <c r="N5274">
        <v>0</v>
      </c>
      <c r="O5274">
        <v>-0.53928640000000005</v>
      </c>
      <c r="P5274">
        <v>0.95184040000000003</v>
      </c>
      <c r="Q5274">
        <v>0.127551</v>
      </c>
      <c r="R5274">
        <v>-0.27880310000000003</v>
      </c>
      <c r="S5274">
        <v>3.0250849999999998</v>
      </c>
      <c r="T5274">
        <v>-0.31016840000000001</v>
      </c>
      <c r="U5274">
        <v>-0.5814819</v>
      </c>
      <c r="V5274">
        <v>-0.28264070000000002</v>
      </c>
      <c r="W5274">
        <v>0.1294738</v>
      </c>
      <c r="X5274">
        <v>0.95044770000000001</v>
      </c>
      <c r="Y5274">
        <v>-0.3664309</v>
      </c>
      <c r="Z5274">
        <v>7.0200579999999999E-2</v>
      </c>
      <c r="AA5274">
        <v>0.92779319999999998</v>
      </c>
      <c r="AB5274">
        <v>32</v>
      </c>
      <c r="AC5274">
        <v>10.7896</v>
      </c>
      <c r="AD5274">
        <v>-1.12186882983299</v>
      </c>
      <c r="AE5274">
        <v>-2.0124499999999901</v>
      </c>
      <c r="AF5274">
        <v>-4.0817047410138301</v>
      </c>
      <c r="AG5274">
        <v>-1.12186882983299</v>
      </c>
      <c r="AH5274">
        <v>10.0661231855957</v>
      </c>
      <c r="AI5274">
        <v>95.896716105736701</v>
      </c>
      <c r="AJ5274">
        <v>112.072025286627</v>
      </c>
      <c r="AK5274">
        <v>10.9199697459175</v>
      </c>
      <c r="AL5274">
        <v>82.560813927737996</v>
      </c>
      <c r="AM5274">
        <v>106.561234627662</v>
      </c>
      <c r="AN5274">
        <v>1.0000000303090999</v>
      </c>
    </row>
    <row r="5275" spans="1:40" x14ac:dyDescent="0.25">
      <c r="A5275" t="str">
        <f>"20190312164134363"</f>
        <v>20190312164134363</v>
      </c>
      <c r="B5275" t="str">
        <f>"1552380094351251"</f>
        <v>1552380094351251</v>
      </c>
      <c r="C5275" t="s">
        <v>40</v>
      </c>
      <c r="D5275">
        <v>4.9426690000000004</v>
      </c>
      <c r="E5275">
        <v>0.46668120000000002</v>
      </c>
      <c r="F5275" t="s">
        <v>51</v>
      </c>
      <c r="G5275">
        <v>-400.9196</v>
      </c>
      <c r="H5275" s="1">
        <v>-5.8881439999999999E-6</v>
      </c>
      <c r="I5275">
        <v>20.59554</v>
      </c>
      <c r="J5275">
        <v>-411.68610000000001</v>
      </c>
      <c r="K5275">
        <v>1.1218109999999999</v>
      </c>
      <c r="L5275">
        <v>22.534579999999998</v>
      </c>
      <c r="M5275">
        <v>0.84657579999999999</v>
      </c>
      <c r="N5275">
        <v>0</v>
      </c>
      <c r="O5275">
        <v>-0.53215699999999999</v>
      </c>
      <c r="P5275">
        <v>0.95347150000000003</v>
      </c>
      <c r="Q5275">
        <v>0.12714880000000001</v>
      </c>
      <c r="R5275">
        <v>-0.27335979999999999</v>
      </c>
      <c r="S5275">
        <v>3.0285950000000001</v>
      </c>
      <c r="T5275">
        <v>-0.31109680000000001</v>
      </c>
      <c r="U5275">
        <v>-0.56301880000000004</v>
      </c>
      <c r="V5275">
        <v>-0.2800433</v>
      </c>
      <c r="W5275">
        <v>0.12906339999999999</v>
      </c>
      <c r="X5275">
        <v>0.95127200000000001</v>
      </c>
      <c r="Y5275">
        <v>-0.36425869999999999</v>
      </c>
      <c r="Z5275">
        <v>6.9675509999999996E-2</v>
      </c>
      <c r="AA5275">
        <v>0.92868779999999995</v>
      </c>
      <c r="AB5275">
        <v>32</v>
      </c>
      <c r="AC5275">
        <v>10.766500000000001</v>
      </c>
      <c r="AD5275">
        <v>-1.121816888144</v>
      </c>
      <c r="AE5275">
        <v>-1.9390399999999901</v>
      </c>
      <c r="AF5275">
        <v>-4.0456239667232499</v>
      </c>
      <c r="AG5275">
        <v>-1.121816888144</v>
      </c>
      <c r="AH5275">
        <v>10.0415402214542</v>
      </c>
      <c r="AI5275">
        <v>95.916082973562794</v>
      </c>
      <c r="AJ5275">
        <v>111.943952841635</v>
      </c>
      <c r="AK5275">
        <v>10.8838447448378</v>
      </c>
      <c r="AL5275">
        <v>82.584526959953806</v>
      </c>
      <c r="AM5275">
        <v>106.4038093035</v>
      </c>
      <c r="AN5275">
        <v>1.0000000145392201</v>
      </c>
    </row>
    <row r="5276" spans="1:40" x14ac:dyDescent="0.25">
      <c r="A5276" t="str">
        <f>"20190312164134376"</f>
        <v>20190312164134376</v>
      </c>
      <c r="B5276" t="str">
        <f>"1552380094371747"</f>
        <v>1552380094371747</v>
      </c>
      <c r="C5276" t="s">
        <v>40</v>
      </c>
      <c r="D5276">
        <v>4.8813559999999896</v>
      </c>
      <c r="E5276">
        <v>0.4666804</v>
      </c>
      <c r="F5276" t="s">
        <v>51</v>
      </c>
      <c r="G5276">
        <v>-400.78590000000003</v>
      </c>
      <c r="H5276" s="1">
        <v>-5.9471409999999999E-6</v>
      </c>
      <c r="I5276">
        <v>20.577069999999999</v>
      </c>
      <c r="J5276">
        <v>-411.52629999999999</v>
      </c>
      <c r="K5276">
        <v>1.12175</v>
      </c>
      <c r="L5276">
        <v>22.442139999999998</v>
      </c>
      <c r="M5276">
        <v>0.85112619999999894</v>
      </c>
      <c r="N5276">
        <v>0</v>
      </c>
      <c r="O5276">
        <v>-0.52485099999999996</v>
      </c>
      <c r="P5276">
        <v>0.95523630000000004</v>
      </c>
      <c r="Q5276">
        <v>0.1262665</v>
      </c>
      <c r="R5276">
        <v>-0.26754620000000001</v>
      </c>
      <c r="S5276">
        <v>3.031952</v>
      </c>
      <c r="T5276">
        <v>-0.3120407</v>
      </c>
      <c r="U5276">
        <v>-0.54449459999999905</v>
      </c>
      <c r="V5276">
        <v>-0.27766689999999999</v>
      </c>
      <c r="W5276">
        <v>0.12816540000000001</v>
      </c>
      <c r="X5276">
        <v>0.95208970000000004</v>
      </c>
      <c r="Y5276">
        <v>-0.3619443</v>
      </c>
      <c r="Z5276">
        <v>6.9125389999999995E-2</v>
      </c>
      <c r="AA5276">
        <v>0.9296333</v>
      </c>
      <c r="AB5276">
        <v>32</v>
      </c>
      <c r="AC5276">
        <v>10.7403999999999</v>
      </c>
      <c r="AD5276">
        <v>-1.1217559471409999</v>
      </c>
      <c r="AE5276">
        <v>-1.86506999999999</v>
      </c>
      <c r="AF5276">
        <v>-4.0074986032343096</v>
      </c>
      <c r="AG5276">
        <v>-1.1217559471409999</v>
      </c>
      <c r="AH5276">
        <v>10.014857804876099</v>
      </c>
      <c r="AI5276">
        <v>95.936981705252194</v>
      </c>
      <c r="AJ5276">
        <v>111.809080652407</v>
      </c>
      <c r="AK5276">
        <v>10.8450799126497</v>
      </c>
      <c r="AL5276">
        <v>82.636409638121705</v>
      </c>
      <c r="AM5276">
        <v>106.258766641809</v>
      </c>
      <c r="AN5276">
        <v>1.00000003697942</v>
      </c>
    </row>
    <row r="5277" spans="1:40" x14ac:dyDescent="0.25">
      <c r="A5277" t="str">
        <f>"20190312164134395"</f>
        <v>20190312164134395</v>
      </c>
      <c r="B5277" t="str">
        <f>"1552380094391265"</f>
        <v>1552380094391265</v>
      </c>
      <c r="C5277" t="s">
        <v>40</v>
      </c>
      <c r="D5277">
        <v>4.905824</v>
      </c>
      <c r="E5277">
        <v>0.46667439999999999</v>
      </c>
      <c r="F5277" t="s">
        <v>51</v>
      </c>
      <c r="G5277">
        <v>-400.68329999999997</v>
      </c>
      <c r="H5277" s="1">
        <v>-5.9931700000000001E-6</v>
      </c>
      <c r="I5277">
        <v>20.567119999999999</v>
      </c>
      <c r="J5277">
        <v>-411.30410000000001</v>
      </c>
      <c r="K5277">
        <v>1.1216729999999999</v>
      </c>
      <c r="L5277">
        <v>22.316960000000002</v>
      </c>
      <c r="M5277">
        <v>0.85725269999999998</v>
      </c>
      <c r="N5277">
        <v>0</v>
      </c>
      <c r="O5277">
        <v>-0.51478729999999995</v>
      </c>
      <c r="P5277">
        <v>0.95691199999999998</v>
      </c>
      <c r="Q5277">
        <v>0.12533079999999999</v>
      </c>
      <c r="R5277">
        <v>-0.26193820000000001</v>
      </c>
      <c r="S5277">
        <v>3.0350950000000001</v>
      </c>
      <c r="T5277">
        <v>-0.31399319999999997</v>
      </c>
      <c r="U5277">
        <v>-0.52484129999999996</v>
      </c>
      <c r="V5277">
        <v>-0.27203709999999998</v>
      </c>
      <c r="W5277">
        <v>0.1272886</v>
      </c>
      <c r="X5277">
        <v>0.95383099999999998</v>
      </c>
      <c r="Y5277">
        <v>-0.35699019999999998</v>
      </c>
      <c r="Z5277">
        <v>6.8417859999999997E-2</v>
      </c>
      <c r="AA5277">
        <v>0.93159919999999996</v>
      </c>
      <c r="AB5277">
        <v>32</v>
      </c>
      <c r="AC5277">
        <v>10.620799999999999</v>
      </c>
      <c r="AD5277">
        <v>-1.12167899317</v>
      </c>
      <c r="AE5277">
        <v>-1.7498399999999901</v>
      </c>
      <c r="AF5277">
        <v>-3.9249980907518101</v>
      </c>
      <c r="AG5277">
        <v>-1.12167899317</v>
      </c>
      <c r="AH5277">
        <v>9.8985755015349692</v>
      </c>
      <c r="AI5277">
        <v>96.013262273373499</v>
      </c>
      <c r="AJ5277">
        <v>111.629390844764</v>
      </c>
      <c r="AK5277">
        <v>10.7072671926926</v>
      </c>
      <c r="AL5277">
        <v>82.687061720301202</v>
      </c>
      <c r="AM5277">
        <v>105.918399591075</v>
      </c>
      <c r="AN5277">
        <v>1.0000000740136801</v>
      </c>
    </row>
    <row r="5278" spans="1:40" x14ac:dyDescent="0.25">
      <c r="A5278" t="str">
        <f>"20190312164134405"</f>
        <v>20190312164134405</v>
      </c>
      <c r="B5278" t="str">
        <f>"1552380094402002"</f>
        <v>1552380094402002</v>
      </c>
      <c r="C5278" t="s">
        <v>40</v>
      </c>
      <c r="D5278">
        <v>5.0542049999999996</v>
      </c>
      <c r="E5278">
        <v>0.46672269999999999</v>
      </c>
      <c r="F5278" t="s">
        <v>51</v>
      </c>
      <c r="G5278">
        <v>-400.52249999999998</v>
      </c>
      <c r="H5278" s="1">
        <v>-6.0602419999999999E-6</v>
      </c>
      <c r="I5278">
        <v>20.52309</v>
      </c>
      <c r="J5278">
        <v>-411.1635</v>
      </c>
      <c r="K5278">
        <v>1.1216280000000001</v>
      </c>
      <c r="L5278">
        <v>22.23959</v>
      </c>
      <c r="M5278">
        <v>0.86101510000000003</v>
      </c>
      <c r="N5278">
        <v>0</v>
      </c>
      <c r="O5278">
        <v>-0.50847140000000002</v>
      </c>
      <c r="P5278">
        <v>0.95806159999999996</v>
      </c>
      <c r="Q5278">
        <v>0.12524730000000001</v>
      </c>
      <c r="R5278">
        <v>-0.2577431</v>
      </c>
      <c r="S5278">
        <v>3.0381469999999999</v>
      </c>
      <c r="T5278">
        <v>-0.31607869999999999</v>
      </c>
      <c r="U5278">
        <v>-0.50549319999999998</v>
      </c>
      <c r="V5278">
        <v>-0.26918880000000001</v>
      </c>
      <c r="W5278">
        <v>0.12722049999999999</v>
      </c>
      <c r="X5278">
        <v>0.95464780000000005</v>
      </c>
      <c r="Y5278">
        <v>-0.35603179999999901</v>
      </c>
      <c r="Z5278">
        <v>6.8253679999999997E-2</v>
      </c>
      <c r="AA5278">
        <v>0.93197790000000003</v>
      </c>
      <c r="AB5278">
        <v>32</v>
      </c>
      <c r="AC5278">
        <v>10.641</v>
      </c>
      <c r="AD5278">
        <v>-1.1216340602420001</v>
      </c>
      <c r="AE5278">
        <v>-1.7164999999999999</v>
      </c>
      <c r="AF5278">
        <v>-3.8907950045075901</v>
      </c>
      <c r="AG5278">
        <v>-1.1216340602420001</v>
      </c>
      <c r="AH5278">
        <v>9.9278965226272593</v>
      </c>
      <c r="AI5278">
        <v>96.004775107874394</v>
      </c>
      <c r="AJ5278">
        <v>111.40047477715601</v>
      </c>
      <c r="AK5278">
        <v>10.721915784792801</v>
      </c>
      <c r="AL5278">
        <v>82.690995322588094</v>
      </c>
      <c r="AM5278">
        <v>105.74723546736099</v>
      </c>
      <c r="AN5278">
        <v>1.0000000438552601</v>
      </c>
    </row>
    <row r="5279" spans="1:40" x14ac:dyDescent="0.25">
      <c r="A5279" t="str">
        <f>"20190312164134418"</f>
        <v>20190312164134418</v>
      </c>
      <c r="B5279" t="str">
        <f>"1552380094411763"</f>
        <v>1552380094411763</v>
      </c>
      <c r="C5279" t="s">
        <v>40</v>
      </c>
      <c r="D5279">
        <v>5.0344680000000004</v>
      </c>
      <c r="E5279">
        <v>0.46677039999999997</v>
      </c>
      <c r="F5279" t="s">
        <v>51</v>
      </c>
      <c r="G5279">
        <v>-400.36689999999999</v>
      </c>
      <c r="H5279" s="1">
        <v>-6.1235309999999997E-6</v>
      </c>
      <c r="I5279">
        <v>20.49295</v>
      </c>
      <c r="J5279">
        <v>-411.00819999999999</v>
      </c>
      <c r="K5279">
        <v>1.1215729999999999</v>
      </c>
      <c r="L5279">
        <v>22.154910000000001</v>
      </c>
      <c r="M5279">
        <v>0.86509409999999898</v>
      </c>
      <c r="N5279">
        <v>0</v>
      </c>
      <c r="O5279">
        <v>-0.50150260000000002</v>
      </c>
      <c r="P5279">
        <v>0.95934750000000002</v>
      </c>
      <c r="Q5279">
        <v>0.12502669999999999</v>
      </c>
      <c r="R5279">
        <v>-0.25302400000000003</v>
      </c>
      <c r="S5279">
        <v>3.040314</v>
      </c>
      <c r="T5279">
        <v>-0.31584980000000001</v>
      </c>
      <c r="U5279">
        <v>-0.49185180000000001</v>
      </c>
      <c r="V5279">
        <v>-0.2661674</v>
      </c>
      <c r="W5279">
        <v>0.1270133</v>
      </c>
      <c r="X5279">
        <v>0.95552210000000004</v>
      </c>
      <c r="Y5279">
        <v>-0.3527264</v>
      </c>
      <c r="Z5279">
        <v>6.7409230000000001E-2</v>
      </c>
      <c r="AA5279">
        <v>0.93329519999999999</v>
      </c>
      <c r="AB5279">
        <v>32</v>
      </c>
      <c r="AC5279">
        <v>10.641299999999999</v>
      </c>
      <c r="AD5279">
        <v>-1.121579123531</v>
      </c>
      <c r="AE5279">
        <v>-1.6619600000000001</v>
      </c>
      <c r="AF5279">
        <v>-3.8572674763801902</v>
      </c>
      <c r="AG5279">
        <v>-1.121579123531</v>
      </c>
      <c r="AH5279">
        <v>9.93203532746967</v>
      </c>
      <c r="AI5279">
        <v>96.009143163264199</v>
      </c>
      <c r="AJ5279">
        <v>111.22449051620301</v>
      </c>
      <c r="AK5279">
        <v>10.713625803656999</v>
      </c>
      <c r="AL5279">
        <v>82.702963584456199</v>
      </c>
      <c r="AM5279">
        <v>105.565552350221</v>
      </c>
      <c r="AN5279">
        <v>0.99999997339402902</v>
      </c>
    </row>
    <row r="5280" spans="1:40" x14ac:dyDescent="0.25">
      <c r="A5280" t="str">
        <f>"20190312164134429"</f>
        <v>20190312164134429</v>
      </c>
      <c r="B5280" t="str">
        <f>"1552380094421522"</f>
        <v>1552380094421522</v>
      </c>
      <c r="C5280" t="s">
        <v>40</v>
      </c>
      <c r="D5280">
        <v>5.1616790000000004</v>
      </c>
      <c r="E5280">
        <v>0.4668197</v>
      </c>
      <c r="F5280" t="s">
        <v>51</v>
      </c>
      <c r="G5280">
        <v>-400.22280000000001</v>
      </c>
      <c r="H5280" s="1">
        <v>-6.168467E-6</v>
      </c>
      <c r="I5280">
        <v>20.463830000000002</v>
      </c>
      <c r="J5280">
        <v>-410.86380000000003</v>
      </c>
      <c r="K5280">
        <v>1.121526</v>
      </c>
      <c r="L5280">
        <v>22.078430000000001</v>
      </c>
      <c r="M5280">
        <v>0.86877359999999904</v>
      </c>
      <c r="N5280">
        <v>0</v>
      </c>
      <c r="O5280">
        <v>-0.49510359999999998</v>
      </c>
      <c r="P5280">
        <v>0.96032879999999998</v>
      </c>
      <c r="Q5280">
        <v>0.12524669999999999</v>
      </c>
      <c r="R5280">
        <v>-0.24916369999999999</v>
      </c>
      <c r="S5280">
        <v>3.0425420000000001</v>
      </c>
      <c r="T5280">
        <v>-0.31639529999999999</v>
      </c>
      <c r="U5280">
        <v>-0.4770508</v>
      </c>
      <c r="V5280">
        <v>-0.26293030000000001</v>
      </c>
      <c r="W5280">
        <v>0.12726109999999999</v>
      </c>
      <c r="X5280">
        <v>0.95638500000000004</v>
      </c>
      <c r="Y5280">
        <v>-0.35038809999999998</v>
      </c>
      <c r="Z5280">
        <v>6.6826780000000002E-2</v>
      </c>
      <c r="AA5280">
        <v>0.93421750000000003</v>
      </c>
      <c r="AB5280">
        <v>32</v>
      </c>
      <c r="AC5280">
        <v>10.641</v>
      </c>
      <c r="AD5280">
        <v>-1.1215321684669901</v>
      </c>
      <c r="AE5280">
        <v>-1.61459999999999</v>
      </c>
      <c r="AF5280">
        <v>-3.8243512097115002</v>
      </c>
      <c r="AG5280">
        <v>-1.1215321684669901</v>
      </c>
      <c r="AH5280">
        <v>9.9366429330357207</v>
      </c>
      <c r="AI5280">
        <v>96.013135628309399</v>
      </c>
      <c r="AJ5280">
        <v>111.05039638826</v>
      </c>
      <c r="AK5280">
        <v>10.706090292855601</v>
      </c>
      <c r="AL5280">
        <v>82.688649723273997</v>
      </c>
      <c r="AM5280">
        <v>105.372041890297</v>
      </c>
      <c r="AN5280">
        <v>0.99999999922814997</v>
      </c>
    </row>
    <row r="5281" spans="1:40" x14ac:dyDescent="0.25">
      <c r="A5281" t="str">
        <f>"20190312164134441"</f>
        <v>20190312164134441</v>
      </c>
      <c r="B5281" t="str">
        <f>"1552380094431282"</f>
        <v>1552380094431282</v>
      </c>
      <c r="C5281" t="s">
        <v>40</v>
      </c>
      <c r="D5281">
        <v>4.9434779999999998</v>
      </c>
      <c r="E5281">
        <v>0.46685480000000001</v>
      </c>
      <c r="F5281" t="s">
        <v>51</v>
      </c>
      <c r="G5281">
        <v>-400.02539999999999</v>
      </c>
      <c r="H5281" s="1">
        <v>-6.2300359999999998E-6</v>
      </c>
      <c r="I5281">
        <v>20.423539999999999</v>
      </c>
      <c r="J5281">
        <v>-410.726</v>
      </c>
      <c r="K5281">
        <v>1.12148</v>
      </c>
      <c r="L5281">
        <v>22.005980000000001</v>
      </c>
      <c r="M5281">
        <v>0.87222429999999995</v>
      </c>
      <c r="N5281">
        <v>0</v>
      </c>
      <c r="O5281">
        <v>-0.4890005</v>
      </c>
      <c r="P5281">
        <v>0.96134160000000002</v>
      </c>
      <c r="Q5281">
        <v>0.1251651</v>
      </c>
      <c r="R5281">
        <v>-0.24526709999999999</v>
      </c>
      <c r="S5281">
        <v>3.044403</v>
      </c>
      <c r="T5281">
        <v>-0.31502760000000002</v>
      </c>
      <c r="U5281">
        <v>-0.46484379999999997</v>
      </c>
      <c r="V5281">
        <v>-0.26008870000000001</v>
      </c>
      <c r="W5281">
        <v>0.1271987</v>
      </c>
      <c r="X5281">
        <v>0.95716999999999997</v>
      </c>
      <c r="Y5281">
        <v>-0.34765059999999998</v>
      </c>
      <c r="Z5281">
        <v>6.5847630000000004E-2</v>
      </c>
      <c r="AA5281">
        <v>0.9353091</v>
      </c>
      <c r="AB5281">
        <v>32</v>
      </c>
      <c r="AC5281">
        <v>10.7006</v>
      </c>
      <c r="AD5281">
        <v>-1.121486230036</v>
      </c>
      <c r="AE5281">
        <v>-1.5824399999999901</v>
      </c>
      <c r="AF5281">
        <v>-3.8115836024704501</v>
      </c>
      <c r="AG5281">
        <v>-1.121486230036</v>
      </c>
      <c r="AH5281">
        <v>10.000165481717501</v>
      </c>
      <c r="AI5281">
        <v>95.982351372049195</v>
      </c>
      <c r="AJ5281">
        <v>110.86444786726101</v>
      </c>
      <c r="AK5281">
        <v>10.7605395117771</v>
      </c>
      <c r="AL5281">
        <v>82.692254462723</v>
      </c>
      <c r="AM5281">
        <v>105.201748511893</v>
      </c>
      <c r="AN5281">
        <v>1.0000000250246801</v>
      </c>
    </row>
    <row r="5282" spans="1:40" x14ac:dyDescent="0.25">
      <c r="A5282" t="str">
        <f>"20190312164134452"</f>
        <v>20190312164134452</v>
      </c>
      <c r="B5282" t="str">
        <f>"1552380094442018"</f>
        <v>1552380094442018</v>
      </c>
      <c r="C5282" t="s">
        <v>40</v>
      </c>
      <c r="D5282">
        <v>5.0572309999999998</v>
      </c>
      <c r="E5282">
        <v>0.46689639999999999</v>
      </c>
      <c r="F5282" t="s">
        <v>41</v>
      </c>
      <c r="G5282">
        <v>-399.8707</v>
      </c>
      <c r="H5282" s="1">
        <v>-2.4827529999999999E-7</v>
      </c>
      <c r="I5282">
        <v>20.393170000000001</v>
      </c>
      <c r="J5282">
        <v>-410.58089999999999</v>
      </c>
      <c r="K5282">
        <v>1.1214309999999901</v>
      </c>
      <c r="L5282">
        <v>21.931429999999999</v>
      </c>
      <c r="M5282">
        <v>0.87576589999999999</v>
      </c>
      <c r="N5282">
        <v>0</v>
      </c>
      <c r="O5282">
        <v>-0.4826317</v>
      </c>
      <c r="P5282">
        <v>0.96224219999999905</v>
      </c>
      <c r="Q5282">
        <v>0.12549069999999901</v>
      </c>
      <c r="R5282">
        <v>-0.2415418</v>
      </c>
      <c r="S5282">
        <v>3.0461119999999999</v>
      </c>
      <c r="T5282">
        <v>-0.31470169999999997</v>
      </c>
      <c r="U5282">
        <v>-0.45257570000000003</v>
      </c>
      <c r="V5282">
        <v>-0.25679150000000001</v>
      </c>
      <c r="W5282">
        <v>0.12755439999999901</v>
      </c>
      <c r="X5282">
        <v>0.95801250000000004</v>
      </c>
      <c r="Y5282">
        <v>-0.34463739999999998</v>
      </c>
      <c r="Z5282">
        <v>6.5051139999999993E-2</v>
      </c>
      <c r="AA5282">
        <v>0.93647930000000001</v>
      </c>
      <c r="AB5282">
        <v>32</v>
      </c>
      <c r="AC5282">
        <v>10.710199999999899</v>
      </c>
      <c r="AD5282">
        <v>-1.1214312482752999</v>
      </c>
      <c r="AE5282">
        <v>-1.53825999999999</v>
      </c>
      <c r="AF5282">
        <v>-3.7814982781590198</v>
      </c>
      <c r="AG5282">
        <v>-1.1214312482752999</v>
      </c>
      <c r="AH5282">
        <v>10.014970654963101</v>
      </c>
      <c r="AI5282">
        <v>95.980300942595406</v>
      </c>
      <c r="AJ5282">
        <v>110.68576212633</v>
      </c>
      <c r="AK5282">
        <v>10.763687773811601</v>
      </c>
      <c r="AL5282">
        <v>82.671706613340604</v>
      </c>
      <c r="AM5282">
        <v>105.00517952709799</v>
      </c>
      <c r="AN5282">
        <v>0.99999997479392899</v>
      </c>
    </row>
    <row r="5283" spans="1:40" x14ac:dyDescent="0.25">
      <c r="A5283" t="str">
        <f>"20190312164134473"</f>
        <v>20190312164134473</v>
      </c>
      <c r="B5283" t="str">
        <f>"1552380094461539"</f>
        <v>1552380094461539</v>
      </c>
      <c r="C5283" t="s">
        <v>40</v>
      </c>
      <c r="D5283">
        <v>5.0328629999999999</v>
      </c>
      <c r="E5283">
        <v>0.4670243</v>
      </c>
      <c r="F5283" t="s">
        <v>41</v>
      </c>
      <c r="G5283">
        <v>-399.67840000000001</v>
      </c>
      <c r="H5283" s="1">
        <v>-3.287964E-7</v>
      </c>
      <c r="I5283">
        <v>20.35416</v>
      </c>
      <c r="J5283">
        <v>-410.32729999999998</v>
      </c>
      <c r="K5283">
        <v>1.121348</v>
      </c>
      <c r="L5283">
        <v>21.803830000000001</v>
      </c>
      <c r="M5283">
        <v>0.88177090000000002</v>
      </c>
      <c r="N5283">
        <v>0</v>
      </c>
      <c r="O5283">
        <v>-0.4715743</v>
      </c>
      <c r="P5283">
        <v>0.96365979999999996</v>
      </c>
      <c r="Q5283">
        <v>0.12531239999999999</v>
      </c>
      <c r="R5283">
        <v>-0.23591709999999999</v>
      </c>
      <c r="S5283">
        <v>3.0479430000000001</v>
      </c>
      <c r="T5283">
        <v>-0.31351240000000002</v>
      </c>
      <c r="U5283">
        <v>-0.44094850000000002</v>
      </c>
      <c r="V5283">
        <v>-0.2503031</v>
      </c>
      <c r="W5283">
        <v>0.12745219999999999</v>
      </c>
      <c r="X5283">
        <v>0.95974179999999998</v>
      </c>
      <c r="Y5283">
        <v>-0.33652539999999997</v>
      </c>
      <c r="Z5283">
        <v>6.3392299999999999E-2</v>
      </c>
      <c r="AA5283">
        <v>0.93953819999999999</v>
      </c>
      <c r="AB5283">
        <v>32</v>
      </c>
      <c r="AC5283">
        <v>10.6488999999999</v>
      </c>
      <c r="AD5283">
        <v>-1.1213483287963999</v>
      </c>
      <c r="AE5283">
        <v>-1.44966999999999</v>
      </c>
      <c r="AF5283">
        <v>-3.7033365724529501</v>
      </c>
      <c r="AG5283">
        <v>-1.1213483287963999</v>
      </c>
      <c r="AH5283">
        <v>9.9655179427975806</v>
      </c>
      <c r="AI5283">
        <v>96.021028878714105</v>
      </c>
      <c r="AJ5283">
        <v>110.38582438784699</v>
      </c>
      <c r="AK5283">
        <v>10.6903541434127</v>
      </c>
      <c r="AL5283">
        <v>82.677610716231897</v>
      </c>
      <c r="AM5283">
        <v>104.617278402563</v>
      </c>
      <c r="AN5283">
        <v>1.00000001391084</v>
      </c>
    </row>
    <row r="5284" spans="1:40" x14ac:dyDescent="0.25">
      <c r="A5284" t="str">
        <f>"20190312164134494"</f>
        <v>20190312164134494</v>
      </c>
      <c r="B5284" t="str">
        <f>"1552380094491794"</f>
        <v>1552380094491794</v>
      </c>
      <c r="C5284" t="s">
        <v>40</v>
      </c>
      <c r="D5284">
        <v>4.9520109999999997</v>
      </c>
      <c r="E5284">
        <v>0.4670629</v>
      </c>
      <c r="F5284" t="s">
        <v>41</v>
      </c>
      <c r="G5284">
        <v>-399.41199999999998</v>
      </c>
      <c r="H5284" s="1">
        <v>-4.372145E-7</v>
      </c>
      <c r="I5284">
        <v>20.288340000000002</v>
      </c>
      <c r="J5284">
        <v>-410.04719999999998</v>
      </c>
      <c r="K5284">
        <v>1.1212519999999999</v>
      </c>
      <c r="L5284">
        <v>21.667269999999998</v>
      </c>
      <c r="M5284">
        <v>0.88812819999999904</v>
      </c>
      <c r="N5284">
        <v>0</v>
      </c>
      <c r="O5284">
        <v>-0.45949380000000001</v>
      </c>
      <c r="P5284">
        <v>0.96534310000000001</v>
      </c>
      <c r="Q5284">
        <v>0.12514719999999999</v>
      </c>
      <c r="R5284">
        <v>-0.22902140000000001</v>
      </c>
      <c r="S5284">
        <v>3.0502009999999999</v>
      </c>
      <c r="T5284">
        <v>-0.31335269999999998</v>
      </c>
      <c r="U5284">
        <v>-0.42349239999999999</v>
      </c>
      <c r="V5284">
        <v>-0.24403069999999999</v>
      </c>
      <c r="W5284">
        <v>0.12734200000000001</v>
      </c>
      <c r="X5284">
        <v>0.96137039999999996</v>
      </c>
      <c r="Y5284">
        <v>-0.32913789999999998</v>
      </c>
      <c r="Z5284">
        <v>6.1887699999999997E-2</v>
      </c>
      <c r="AA5284">
        <v>0.94225159999999997</v>
      </c>
      <c r="AB5284">
        <v>32</v>
      </c>
      <c r="AC5284">
        <v>10.6351999999999</v>
      </c>
      <c r="AD5284">
        <v>-1.1212524372145001</v>
      </c>
      <c r="AE5284">
        <v>-1.37893</v>
      </c>
      <c r="AF5284">
        <v>-3.6227122468456701</v>
      </c>
      <c r="AG5284">
        <v>-1.1212524372145001</v>
      </c>
      <c r="AH5284">
        <v>9.9705117790966593</v>
      </c>
      <c r="AI5284">
        <v>96.033543473883398</v>
      </c>
      <c r="AJ5284">
        <v>109.968242328196</v>
      </c>
      <c r="AK5284">
        <v>10.6673500077812</v>
      </c>
      <c r="AL5284">
        <v>82.683976528771197</v>
      </c>
      <c r="AM5284">
        <v>104.242929871892</v>
      </c>
      <c r="AN5284">
        <v>1.0000000067513199</v>
      </c>
    </row>
    <row r="5285" spans="1:40" x14ac:dyDescent="0.25">
      <c r="A5285" t="str">
        <f>"20190312164134516"</f>
        <v>20190312164134516</v>
      </c>
      <c r="B5285" t="str">
        <f>"1552380094511313"</f>
        <v>1552380094511313</v>
      </c>
      <c r="C5285" t="s">
        <v>40</v>
      </c>
      <c r="D5285">
        <v>4.9286799999999999</v>
      </c>
      <c r="E5285">
        <v>0.46712690000000001</v>
      </c>
      <c r="F5285" t="s">
        <v>41</v>
      </c>
      <c r="G5285">
        <v>-399.13639999999998</v>
      </c>
      <c r="H5285" s="1">
        <v>-5.5348700000000004E-7</v>
      </c>
      <c r="I5285">
        <v>20.23565</v>
      </c>
      <c r="J5285">
        <v>-409.76949999999999</v>
      </c>
      <c r="K5285">
        <v>1.121148</v>
      </c>
      <c r="L5285">
        <v>21.53622</v>
      </c>
      <c r="M5285">
        <v>0.89415259999999996</v>
      </c>
      <c r="N5285">
        <v>0</v>
      </c>
      <c r="O5285">
        <v>-0.4476617</v>
      </c>
      <c r="P5285">
        <v>0.96698030000000001</v>
      </c>
      <c r="Q5285">
        <v>0.1245583</v>
      </c>
      <c r="R5285">
        <v>-0.2223379</v>
      </c>
      <c r="S5285">
        <v>3.053375</v>
      </c>
      <c r="T5285">
        <v>-0.31378020000000001</v>
      </c>
      <c r="U5285">
        <v>-0.40063480000000001</v>
      </c>
      <c r="V5285">
        <v>-0.237895</v>
      </c>
      <c r="W5285">
        <v>0.1268019</v>
      </c>
      <c r="X5285">
        <v>0.96297840000000001</v>
      </c>
      <c r="Y5285">
        <v>-0.32373950000000001</v>
      </c>
      <c r="Z5285">
        <v>6.0605319999999997E-2</v>
      </c>
      <c r="AA5285">
        <v>0.94420329999999997</v>
      </c>
      <c r="AB5285">
        <v>32</v>
      </c>
      <c r="AC5285">
        <v>10.633100000000001</v>
      </c>
      <c r="AD5285">
        <v>-1.121148553487</v>
      </c>
      <c r="AE5285">
        <v>-1.30057</v>
      </c>
      <c r="AF5285">
        <v>-3.5583093503534502</v>
      </c>
      <c r="AG5285">
        <v>-1.121148553487</v>
      </c>
      <c r="AH5285">
        <v>9.98095659049795</v>
      </c>
      <c r="AI5285">
        <v>96.039760585033605</v>
      </c>
      <c r="AJ5285">
        <v>109.621651828612</v>
      </c>
      <c r="AK5285">
        <v>10.6554227496239</v>
      </c>
      <c r="AL5285">
        <v>82.715175395146403</v>
      </c>
      <c r="AM5285">
        <v>103.876559094854</v>
      </c>
      <c r="AN5285">
        <v>1.00000007586758</v>
      </c>
    </row>
    <row r="5286" spans="1:40" x14ac:dyDescent="0.25">
      <c r="A5286" t="str">
        <f>"20190312164134528"</f>
        <v>20190312164134528</v>
      </c>
      <c r="B5286" t="str">
        <f>"1552380094522050"</f>
        <v>1552380094522050</v>
      </c>
      <c r="C5286" t="s">
        <v>40</v>
      </c>
      <c r="D5286">
        <v>5.0345230000000001</v>
      </c>
      <c r="E5286">
        <v>0.46712690000000001</v>
      </c>
      <c r="F5286" t="s">
        <v>41</v>
      </c>
      <c r="G5286">
        <v>-398.90289999999999</v>
      </c>
      <c r="H5286" s="1">
        <v>-6.5135199999999997E-7</v>
      </c>
      <c r="I5286">
        <v>20.188649999999999</v>
      </c>
      <c r="J5286">
        <v>-409.60849999999999</v>
      </c>
      <c r="K5286">
        <v>1.121084</v>
      </c>
      <c r="L5286">
        <v>21.46255</v>
      </c>
      <c r="M5286">
        <v>0.89751380000000003</v>
      </c>
      <c r="N5286">
        <v>0</v>
      </c>
      <c r="O5286">
        <v>-0.44088719999999998</v>
      </c>
      <c r="P5286">
        <v>0.9680455</v>
      </c>
      <c r="Q5286">
        <v>0.1240537</v>
      </c>
      <c r="R5286">
        <v>-0.21794250000000001</v>
      </c>
      <c r="S5286">
        <v>3.055939</v>
      </c>
      <c r="T5286">
        <v>-0.31529249999999998</v>
      </c>
      <c r="U5286">
        <v>-0.37896730000000001</v>
      </c>
      <c r="V5286">
        <v>-0.2349802</v>
      </c>
      <c r="W5286">
        <v>0.12630430000000001</v>
      </c>
      <c r="X5286">
        <v>0.96375909999999998</v>
      </c>
      <c r="Y5286">
        <v>-0.3232778</v>
      </c>
      <c r="Z5286">
        <v>6.0242850000000001E-2</v>
      </c>
      <c r="AA5286">
        <v>0.94438460000000002</v>
      </c>
      <c r="AB5286">
        <v>32</v>
      </c>
      <c r="AC5286">
        <v>10.7056</v>
      </c>
      <c r="AD5286">
        <v>-1.1210846513520001</v>
      </c>
      <c r="AE5286">
        <v>-1.2739</v>
      </c>
      <c r="AF5286">
        <v>-3.5385134371164999</v>
      </c>
      <c r="AG5286">
        <v>-1.1210846513520001</v>
      </c>
      <c r="AH5286">
        <v>10.0617167632058</v>
      </c>
      <c r="AI5286">
        <v>96.000341290712996</v>
      </c>
      <c r="AJ5286">
        <v>109.375798547545</v>
      </c>
      <c r="AK5286">
        <v>10.7245537139374</v>
      </c>
      <c r="AL5286">
        <v>82.743916573633996</v>
      </c>
      <c r="AM5286">
        <v>103.702303866039</v>
      </c>
      <c r="AN5286">
        <v>1.0000000367116599</v>
      </c>
    </row>
    <row r="5287" spans="1:40" x14ac:dyDescent="0.25">
      <c r="A5287" t="str">
        <f>"20190312164134540"</f>
        <v>20190312164134540</v>
      </c>
      <c r="B5287" t="str">
        <f>"1552380094531810"</f>
        <v>1552380094531810</v>
      </c>
      <c r="C5287" t="s">
        <v>40</v>
      </c>
      <c r="D5287">
        <v>4.9046859999999999</v>
      </c>
      <c r="E5287">
        <v>0.47871069999999999</v>
      </c>
      <c r="F5287" t="s">
        <v>41</v>
      </c>
      <c r="G5287">
        <v>-398.78109999999998</v>
      </c>
      <c r="H5287" s="1">
        <v>-7.0448969999999905E-7</v>
      </c>
      <c r="I5287">
        <v>20.17191</v>
      </c>
      <c r="J5287">
        <v>-409.44690000000003</v>
      </c>
      <c r="K5287">
        <v>1.121019</v>
      </c>
      <c r="L5287">
        <v>21.389500000000002</v>
      </c>
      <c r="M5287">
        <v>0.90081020000000001</v>
      </c>
      <c r="N5287">
        <v>0</v>
      </c>
      <c r="O5287">
        <v>-0.43411480000000002</v>
      </c>
      <c r="P5287">
        <v>0.96897169999999999</v>
      </c>
      <c r="Q5287">
        <v>0.123677</v>
      </c>
      <c r="R5287">
        <v>-0.21400569999999999</v>
      </c>
      <c r="S5287">
        <v>3.0575869999999998</v>
      </c>
      <c r="T5287">
        <v>-0.31658770000000003</v>
      </c>
      <c r="U5287">
        <v>-0.3644714</v>
      </c>
      <c r="V5287">
        <v>-0.23162730000000001</v>
      </c>
      <c r="W5287">
        <v>0.12594710000000001</v>
      </c>
      <c r="X5287">
        <v>0.96461710000000001</v>
      </c>
      <c r="Y5287">
        <v>-0.32064419999999999</v>
      </c>
      <c r="Z5287">
        <v>5.9721469999999999E-2</v>
      </c>
      <c r="AA5287">
        <v>0.94531509999999996</v>
      </c>
      <c r="AB5287">
        <v>33</v>
      </c>
      <c r="AC5287">
        <v>10.665800000000001</v>
      </c>
      <c r="AD5287">
        <v>-1.1210197044896999</v>
      </c>
      <c r="AE5287">
        <v>-1.21759</v>
      </c>
      <c r="AF5287">
        <v>-3.4953983863741702</v>
      </c>
      <c r="AG5287">
        <v>-1.1210197044896999</v>
      </c>
      <c r="AH5287">
        <v>10.0275199667864</v>
      </c>
      <c r="AI5287">
        <v>96.026089430291805</v>
      </c>
      <c r="AJ5287">
        <v>109.217560977533</v>
      </c>
      <c r="AK5287">
        <v>10.678279437326101</v>
      </c>
      <c r="AL5287">
        <v>82.764547211259398</v>
      </c>
      <c r="AM5287">
        <v>103.502427435353</v>
      </c>
      <c r="AN5287">
        <v>1.00000001385805</v>
      </c>
    </row>
    <row r="5288" spans="1:40" x14ac:dyDescent="0.25">
      <c r="A5288" t="str">
        <f>"20190312164134552"</f>
        <v>20190312164134552</v>
      </c>
      <c r="B5288" t="str">
        <f>"1552380094541571"</f>
        <v>1552380094541571</v>
      </c>
      <c r="C5288" t="s">
        <v>40</v>
      </c>
      <c r="D5288">
        <v>4.8909000000000002</v>
      </c>
      <c r="E5288">
        <v>0.47926239999999998</v>
      </c>
      <c r="F5288" t="s">
        <v>41</v>
      </c>
      <c r="G5288">
        <v>-397.86470000000003</v>
      </c>
      <c r="H5288" s="1">
        <v>-1.0118279999999999E-6</v>
      </c>
      <c r="I5288">
        <v>19.698879999999999</v>
      </c>
      <c r="J5288">
        <v>-409.28960000000001</v>
      </c>
      <c r="K5288">
        <v>1.120951</v>
      </c>
      <c r="L5288">
        <v>21.320070000000001</v>
      </c>
      <c r="M5288">
        <v>0.90392490000000003</v>
      </c>
      <c r="N5288">
        <v>0</v>
      </c>
      <c r="O5288">
        <v>-0.42759409999999998</v>
      </c>
      <c r="P5288">
        <v>0.96993459999999998</v>
      </c>
      <c r="Q5288">
        <v>0.1231854</v>
      </c>
      <c r="R5288">
        <v>-0.20988799999999999</v>
      </c>
      <c r="S5288">
        <v>3.035736</v>
      </c>
      <c r="T5288">
        <v>-0.29382229999999998</v>
      </c>
      <c r="U5288">
        <v>-0.44311519999999999</v>
      </c>
      <c r="V5288">
        <v>-0.22874449999999999</v>
      </c>
      <c r="W5288">
        <v>0.1254623</v>
      </c>
      <c r="X5288">
        <v>0.96536789999999995</v>
      </c>
      <c r="Y5288">
        <v>-0.28943089999999999</v>
      </c>
      <c r="Z5288">
        <v>5.3625659999999999E-2</v>
      </c>
      <c r="AA5288">
        <v>0.95569559999999998</v>
      </c>
      <c r="AB5288">
        <v>33</v>
      </c>
      <c r="AC5288">
        <v>11.4248999999999</v>
      </c>
      <c r="AD5288">
        <v>-1.1209520118279901</v>
      </c>
      <c r="AE5288">
        <v>-1.6211899999999999</v>
      </c>
      <c r="AF5288">
        <v>-3.38795736853102</v>
      </c>
      <c r="AG5288">
        <v>-1.1209520118279901</v>
      </c>
      <c r="AH5288">
        <v>10.9178937799475</v>
      </c>
      <c r="AI5288">
        <v>95.600426542242502</v>
      </c>
      <c r="AJ5288">
        <v>107.239762476542</v>
      </c>
      <c r="AK5288">
        <v>11.4863045899898</v>
      </c>
      <c r="AL5288">
        <v>82.792546264607793</v>
      </c>
      <c r="AM5288">
        <v>103.33041705678001</v>
      </c>
      <c r="AN5288">
        <v>1.0000000086759699</v>
      </c>
    </row>
    <row r="5289" spans="1:40" x14ac:dyDescent="0.25">
      <c r="A5289" t="str">
        <f>"20190312164134564"</f>
        <v>20190312164134564</v>
      </c>
      <c r="B5289" t="str">
        <f>"1552380094551330"</f>
        <v>1552380094551330</v>
      </c>
      <c r="C5289" t="s">
        <v>40</v>
      </c>
      <c r="D5289">
        <v>4.8628410000000004</v>
      </c>
      <c r="E5289">
        <v>0.47922429999999999</v>
      </c>
      <c r="F5289" t="s">
        <v>41</v>
      </c>
      <c r="G5289">
        <v>-397.72890000000001</v>
      </c>
      <c r="H5289" s="1">
        <v>-1.067956E-6</v>
      </c>
      <c r="I5289">
        <v>19.668559999999999</v>
      </c>
      <c r="J5289">
        <v>-409.14620000000002</v>
      </c>
      <c r="K5289">
        <v>1.1208940000000001</v>
      </c>
      <c r="L5289">
        <v>21.25778</v>
      </c>
      <c r="M5289">
        <v>0.9066978</v>
      </c>
      <c r="N5289">
        <v>0</v>
      </c>
      <c r="O5289">
        <v>-0.42168440000000001</v>
      </c>
      <c r="P5289">
        <v>0.97064839999999997</v>
      </c>
      <c r="Q5289">
        <v>0.12277979999999999</v>
      </c>
      <c r="R5289">
        <v>-0.20680290000000001</v>
      </c>
      <c r="S5289">
        <v>3.0364990000000001</v>
      </c>
      <c r="T5289">
        <v>-0.29442370000000001</v>
      </c>
      <c r="U5289">
        <v>-0.43377690000000002</v>
      </c>
      <c r="V5289">
        <v>-0.22550149999999999</v>
      </c>
      <c r="W5289">
        <v>0.12508139999999901</v>
      </c>
      <c r="X5289">
        <v>0.96618000000000004</v>
      </c>
      <c r="Y5289">
        <v>-0.28612349999999998</v>
      </c>
      <c r="Z5289">
        <v>5.3065470000000003E-2</v>
      </c>
      <c r="AA5289">
        <v>0.95672219999999997</v>
      </c>
      <c r="AB5289">
        <v>33</v>
      </c>
      <c r="AC5289">
        <v>11.417299999999999</v>
      </c>
      <c r="AD5289">
        <v>-1.1208950679559999</v>
      </c>
      <c r="AE5289">
        <v>-1.5892200000000001</v>
      </c>
      <c r="AF5289">
        <v>-3.3420922432417099</v>
      </c>
      <c r="AG5289">
        <v>-1.1208950679559999</v>
      </c>
      <c r="AH5289">
        <v>10.919393845831401</v>
      </c>
      <c r="AI5289">
        <v>95.606027650417403</v>
      </c>
      <c r="AJ5289">
        <v>107.017746133999</v>
      </c>
      <c r="AK5289">
        <v>11.4742820374996</v>
      </c>
      <c r="AL5289">
        <v>82.814543721410701</v>
      </c>
      <c r="AM5289">
        <v>103.13736850669</v>
      </c>
      <c r="AN5289">
        <v>1.0000000377641001</v>
      </c>
    </row>
    <row r="5290" spans="1:40" x14ac:dyDescent="0.25">
      <c r="A5290" t="str">
        <f>"20190312164134574"</f>
        <v>20190312164134574</v>
      </c>
      <c r="B5290" t="str">
        <f>"1552380094571826"</f>
        <v>1552380094571826</v>
      </c>
      <c r="C5290" t="s">
        <v>40</v>
      </c>
      <c r="D5290">
        <v>4.9157599999999997</v>
      </c>
      <c r="E5290">
        <v>0.47998659999999999</v>
      </c>
      <c r="F5290" t="s">
        <v>41</v>
      </c>
      <c r="G5290">
        <v>-397.55959999999999</v>
      </c>
      <c r="H5290" s="1">
        <v>-1.141292E-6</v>
      </c>
      <c r="I5290">
        <v>19.643419999999999</v>
      </c>
      <c r="J5290">
        <v>-408.99250000000001</v>
      </c>
      <c r="K5290">
        <v>1.120827</v>
      </c>
      <c r="L5290">
        <v>21.19211</v>
      </c>
      <c r="M5290">
        <v>0.9095993</v>
      </c>
      <c r="N5290">
        <v>0</v>
      </c>
      <c r="O5290">
        <v>-0.41539090000000001</v>
      </c>
      <c r="P5290">
        <v>0.97130660000000002</v>
      </c>
      <c r="Q5290">
        <v>0.1232104</v>
      </c>
      <c r="R5290">
        <v>-0.203429</v>
      </c>
      <c r="S5290">
        <v>3.03775</v>
      </c>
      <c r="T5290">
        <v>-0.29387350000000001</v>
      </c>
      <c r="U5290">
        <v>-0.42324830000000002</v>
      </c>
      <c r="V5290">
        <v>-0.22213060000000001</v>
      </c>
      <c r="W5290">
        <v>0.12553419999999901</v>
      </c>
      <c r="X5290">
        <v>0.96690180000000003</v>
      </c>
      <c r="Y5290">
        <v>-0.28284379999999998</v>
      </c>
      <c r="Z5290">
        <v>5.2258159999999998E-2</v>
      </c>
      <c r="AA5290">
        <v>0.95774130000000002</v>
      </c>
      <c r="AB5290">
        <v>33</v>
      </c>
      <c r="AC5290">
        <v>11.4329</v>
      </c>
      <c r="AD5290">
        <v>-1.120828141292</v>
      </c>
      <c r="AE5290">
        <v>-1.5486899999999899</v>
      </c>
      <c r="AF5290">
        <v>-3.3093354087664801</v>
      </c>
      <c r="AG5290">
        <v>-1.120828141292</v>
      </c>
      <c r="AH5290">
        <v>10.939860929551401</v>
      </c>
      <c r="AI5290">
        <v>95.6007997423755</v>
      </c>
      <c r="AJ5290">
        <v>106.830697827929</v>
      </c>
      <c r="AK5290">
        <v>11.4842724509632</v>
      </c>
      <c r="AL5290">
        <v>82.788393550745994</v>
      </c>
      <c r="AM5290">
        <v>102.93831021476601</v>
      </c>
      <c r="AN5290">
        <v>0.99999996483461895</v>
      </c>
    </row>
    <row r="5291" spans="1:40" x14ac:dyDescent="0.25">
      <c r="A5291" t="str">
        <f>"20190312164134586"</f>
        <v>20190312164134586</v>
      </c>
      <c r="B5291" t="str">
        <f>"1552380094581586"</f>
        <v>1552380094581586</v>
      </c>
      <c r="C5291" t="s">
        <v>40</v>
      </c>
      <c r="D5291">
        <v>4.8960299999999997</v>
      </c>
      <c r="E5291">
        <v>0.47977530000000002</v>
      </c>
      <c r="F5291" t="s">
        <v>41</v>
      </c>
      <c r="G5291">
        <v>-396.97070000000002</v>
      </c>
      <c r="H5291" s="1">
        <v>-1.4267799999999999E-6</v>
      </c>
      <c r="I5291">
        <v>19.53539</v>
      </c>
      <c r="J5291">
        <v>-408.83859999999999</v>
      </c>
      <c r="K5291">
        <v>1.1207609999999999</v>
      </c>
      <c r="L5291">
        <v>21.12781</v>
      </c>
      <c r="M5291">
        <v>0.91242100000000004</v>
      </c>
      <c r="N5291">
        <v>0</v>
      </c>
      <c r="O5291">
        <v>-0.40915750000000001</v>
      </c>
      <c r="P5291">
        <v>0.97194380000000002</v>
      </c>
      <c r="Q5291">
        <v>0.1232057</v>
      </c>
      <c r="R5291">
        <v>-0.20036290000000001</v>
      </c>
      <c r="S5291">
        <v>3.0369259999999998</v>
      </c>
      <c r="T5291">
        <v>-0.28314270000000002</v>
      </c>
      <c r="U5291">
        <v>-0.4185181</v>
      </c>
      <c r="V5291">
        <v>-0.21854229999999999</v>
      </c>
      <c r="W5291">
        <v>0.12555740000000001</v>
      </c>
      <c r="X5291">
        <v>0.96771620000000003</v>
      </c>
      <c r="Y5291">
        <v>-0.27796969999999999</v>
      </c>
      <c r="Z5291">
        <v>4.9627980000000002E-2</v>
      </c>
      <c r="AA5291">
        <v>0.95930700000000002</v>
      </c>
      <c r="AB5291">
        <v>33</v>
      </c>
      <c r="AC5291">
        <v>11.867899999999899</v>
      </c>
      <c r="AD5291">
        <v>-1.1207624267799901</v>
      </c>
      <c r="AE5291">
        <v>-1.5924199999999999</v>
      </c>
      <c r="AF5291">
        <v>-3.3734623795120098</v>
      </c>
      <c r="AG5291">
        <v>-1.1207624267799901</v>
      </c>
      <c r="AH5291">
        <v>11.38081797001</v>
      </c>
      <c r="AI5291">
        <v>95.393741027352306</v>
      </c>
      <c r="AJ5291">
        <v>106.510693195382</v>
      </c>
      <c r="AK5291">
        <v>11.923060618388501</v>
      </c>
      <c r="AL5291">
        <v>82.7870540922098</v>
      </c>
      <c r="AM5291">
        <v>102.725805661791</v>
      </c>
      <c r="AN5291">
        <v>1.00000002066324</v>
      </c>
    </row>
    <row r="5292" spans="1:40" x14ac:dyDescent="0.25">
      <c r="A5292" t="str">
        <f>"20190312164134605"</f>
        <v>20190312164134605</v>
      </c>
      <c r="B5292" t="str">
        <f>"1552380094601106"</f>
        <v>1552380094601106</v>
      </c>
      <c r="C5292" t="s">
        <v>40</v>
      </c>
      <c r="D5292">
        <v>5.1761400000000002</v>
      </c>
      <c r="E5292">
        <v>0.48015059999999898</v>
      </c>
      <c r="F5292" t="s">
        <v>41</v>
      </c>
      <c r="G5292">
        <v>-396.63549999999998</v>
      </c>
      <c r="H5292" s="1">
        <v>-1.592844E-6</v>
      </c>
      <c r="I5292">
        <v>19.49267</v>
      </c>
      <c r="J5292">
        <v>-408.58839999999998</v>
      </c>
      <c r="K5292">
        <v>1.120652</v>
      </c>
      <c r="L5292">
        <v>21.02542</v>
      </c>
      <c r="M5292">
        <v>0.91686160000000005</v>
      </c>
      <c r="N5292">
        <v>0</v>
      </c>
      <c r="O5292">
        <v>-0.39911219999999997</v>
      </c>
      <c r="P5292">
        <v>0.97252070000000002</v>
      </c>
      <c r="Q5292">
        <v>0.123589</v>
      </c>
      <c r="R5292">
        <v>-0.19730510000000001</v>
      </c>
      <c r="S5292">
        <v>3.0380250000000002</v>
      </c>
      <c r="T5292">
        <v>-0.27901890000000001</v>
      </c>
      <c r="U5292">
        <v>-0.40707399999999999</v>
      </c>
      <c r="V5292">
        <v>-0.21090429999999999</v>
      </c>
      <c r="W5292">
        <v>0.12603839999999999</v>
      </c>
      <c r="X5292">
        <v>0.96934710000000002</v>
      </c>
      <c r="Y5292">
        <v>-0.27115869999999997</v>
      </c>
      <c r="Z5292">
        <v>4.7759780000000002E-2</v>
      </c>
      <c r="AA5292">
        <v>0.96134900000000001</v>
      </c>
      <c r="AB5292">
        <v>33</v>
      </c>
      <c r="AC5292">
        <v>11.9529</v>
      </c>
      <c r="AD5292">
        <v>-1.120653592844</v>
      </c>
      <c r="AE5292">
        <v>-1.5327500000000001</v>
      </c>
      <c r="AF5292">
        <v>-3.33649968635507</v>
      </c>
      <c r="AG5292">
        <v>-1.120653592844</v>
      </c>
      <c r="AH5292">
        <v>11.4721136734737</v>
      </c>
      <c r="AI5292">
        <v>95.358581877439704</v>
      </c>
      <c r="AJ5292">
        <v>106.21631430966001</v>
      </c>
      <c r="AK5292">
        <v>11.9998952815974</v>
      </c>
      <c r="AL5292">
        <v>82.759274357491194</v>
      </c>
      <c r="AM5292">
        <v>102.274744631777</v>
      </c>
      <c r="AN5292">
        <v>1.0000000511557201</v>
      </c>
    </row>
    <row r="5293" spans="1:40" x14ac:dyDescent="0.25">
      <c r="A5293" t="str">
        <f>"20190312164134617"</f>
        <v>20190312164134617</v>
      </c>
      <c r="B5293" t="str">
        <f>"1552380094611842"</f>
        <v>1552380094611842</v>
      </c>
      <c r="C5293" t="s">
        <v>40</v>
      </c>
      <c r="D5293">
        <v>4.9392060000000004</v>
      </c>
      <c r="E5293">
        <v>0.4804235</v>
      </c>
      <c r="F5293" t="s">
        <v>41</v>
      </c>
      <c r="G5293">
        <v>-396.1277</v>
      </c>
      <c r="H5293" s="1">
        <v>-1.851425E-6</v>
      </c>
      <c r="I5293">
        <v>19.388100000000001</v>
      </c>
      <c r="J5293">
        <v>-408.42360000000002</v>
      </c>
      <c r="K5293">
        <v>1.1205750000000001</v>
      </c>
      <c r="L5293">
        <v>20.959350000000001</v>
      </c>
      <c r="M5293">
        <v>0.91968890000000003</v>
      </c>
      <c r="N5293">
        <v>0</v>
      </c>
      <c r="O5293">
        <v>-0.39255580000000001</v>
      </c>
      <c r="P5293">
        <v>0.97308850000000002</v>
      </c>
      <c r="Q5293">
        <v>0.1241153</v>
      </c>
      <c r="R5293">
        <v>-0.1941504</v>
      </c>
      <c r="S5293">
        <v>3.0385439999999999</v>
      </c>
      <c r="T5293">
        <v>-0.27327180000000001</v>
      </c>
      <c r="U5293">
        <v>-0.39926149999999999</v>
      </c>
      <c r="V5293">
        <v>-0.207089</v>
      </c>
      <c r="W5293">
        <v>0.12659000000000001</v>
      </c>
      <c r="X5293">
        <v>0.97009749999999995</v>
      </c>
      <c r="Y5293">
        <v>-0.26688529999999999</v>
      </c>
      <c r="Z5293">
        <v>4.605451E-2</v>
      </c>
      <c r="AA5293">
        <v>0.96262720000000002</v>
      </c>
      <c r="AB5293">
        <v>33</v>
      </c>
      <c r="AC5293">
        <v>12.2959</v>
      </c>
      <c r="AD5293">
        <v>-1.1205768514250001</v>
      </c>
      <c r="AE5293">
        <v>-1.57124999999999</v>
      </c>
      <c r="AF5293">
        <v>-3.3544751271768698</v>
      </c>
      <c r="AG5293">
        <v>-1.1205768514250001</v>
      </c>
      <c r="AH5293">
        <v>11.828970688176501</v>
      </c>
      <c r="AI5293">
        <v>95.207427337593302</v>
      </c>
      <c r="AJ5293">
        <v>105.83234583345801</v>
      </c>
      <c r="AK5293">
        <v>12.3463655948031</v>
      </c>
      <c r="AL5293">
        <v>82.727414598652899</v>
      </c>
      <c r="AM5293">
        <v>102.050193667866</v>
      </c>
      <c r="AN5293">
        <v>1.0000000207636199</v>
      </c>
    </row>
    <row r="5294" spans="1:40" x14ac:dyDescent="0.25">
      <c r="A5294" t="str">
        <f>"20190312164134628"</f>
        <v>20190312164134628</v>
      </c>
      <c r="B5294" t="str">
        <f>"1552380094621602"</f>
        <v>1552380094621602</v>
      </c>
      <c r="C5294" t="s">
        <v>40</v>
      </c>
      <c r="D5294">
        <v>5.1358169999999896</v>
      </c>
      <c r="E5294">
        <v>0.4810217</v>
      </c>
      <c r="F5294" t="s">
        <v>41</v>
      </c>
      <c r="G5294">
        <v>-395.70699999999999</v>
      </c>
      <c r="H5294" s="1">
        <v>-2.0618849999999999E-6</v>
      </c>
      <c r="I5294">
        <v>19.322700000000001</v>
      </c>
      <c r="J5294">
        <v>-408.27530000000002</v>
      </c>
      <c r="K5294">
        <v>1.120509</v>
      </c>
      <c r="L5294">
        <v>20.901579999999999</v>
      </c>
      <c r="M5294">
        <v>0.92214949999999996</v>
      </c>
      <c r="N5294">
        <v>0</v>
      </c>
      <c r="O5294">
        <v>-0.38674269999999999</v>
      </c>
      <c r="P5294">
        <v>0.97350020000000004</v>
      </c>
      <c r="Q5294">
        <v>0.1243298</v>
      </c>
      <c r="R5294">
        <v>-0.1919362</v>
      </c>
      <c r="S5294">
        <v>3.0391539999999999</v>
      </c>
      <c r="T5294">
        <v>-0.26780710000000002</v>
      </c>
      <c r="U5294">
        <v>-0.39114379999999999</v>
      </c>
      <c r="V5294">
        <v>-0.20314370000000001</v>
      </c>
      <c r="W5294">
        <v>0.1268416</v>
      </c>
      <c r="X5294">
        <v>0.97089840000000005</v>
      </c>
      <c r="Y5294">
        <v>-0.26348820000000001</v>
      </c>
      <c r="Z5294">
        <v>4.4521730000000002E-2</v>
      </c>
      <c r="AA5294">
        <v>0.96363469999999996</v>
      </c>
      <c r="AB5294">
        <v>33</v>
      </c>
      <c r="AC5294">
        <v>12.568300000000001</v>
      </c>
      <c r="AD5294">
        <v>-1.120511061885</v>
      </c>
      <c r="AE5294">
        <v>-1.5788799999999901</v>
      </c>
      <c r="AF5294">
        <v>-3.3784188984482499</v>
      </c>
      <c r="AG5294">
        <v>-1.120511061885</v>
      </c>
      <c r="AH5294">
        <v>12.106171634434901</v>
      </c>
      <c r="AI5294">
        <v>95.094488403363002</v>
      </c>
      <c r="AJ5294">
        <v>105.59260191775</v>
      </c>
      <c r="AK5294">
        <v>12.618583555042701</v>
      </c>
      <c r="AL5294">
        <v>82.712881158803796</v>
      </c>
      <c r="AM5294">
        <v>101.817666818441</v>
      </c>
      <c r="AN5294">
        <v>0.99999992873140198</v>
      </c>
    </row>
    <row r="5295" spans="1:40" x14ac:dyDescent="0.25">
      <c r="A5295" t="str">
        <f>"20190312164134641"</f>
        <v>20190312164134641</v>
      </c>
      <c r="B5295" t="str">
        <f>"1552380094631361"</f>
        <v>1552380094631361</v>
      </c>
      <c r="C5295" t="s">
        <v>40</v>
      </c>
      <c r="D5295">
        <v>4.9342689999999996</v>
      </c>
      <c r="E5295">
        <v>0.48120000000000002</v>
      </c>
      <c r="F5295" t="s">
        <v>41</v>
      </c>
      <c r="G5295">
        <v>-395.45260000000002</v>
      </c>
      <c r="H5295" s="1">
        <v>-2.1927280000000001E-6</v>
      </c>
      <c r="I5295">
        <v>19.263030000000001</v>
      </c>
      <c r="J5295">
        <v>-408.1078</v>
      </c>
      <c r="K5295">
        <v>1.120431</v>
      </c>
      <c r="L5295">
        <v>20.837009999999999</v>
      </c>
      <c r="M5295">
        <v>0.92486570000000001</v>
      </c>
      <c r="N5295">
        <v>0</v>
      </c>
      <c r="O5295">
        <v>-0.38020409999999999</v>
      </c>
      <c r="P5295">
        <v>0.97408320000000004</v>
      </c>
      <c r="Q5295">
        <v>0.1243571</v>
      </c>
      <c r="R5295">
        <v>-0.1889383</v>
      </c>
      <c r="S5295">
        <v>3.0389710000000001</v>
      </c>
      <c r="T5295">
        <v>-0.26556109999999999</v>
      </c>
      <c r="U5295">
        <v>-0.38833620000000002</v>
      </c>
      <c r="V5295">
        <v>-0.19923099999999999</v>
      </c>
      <c r="W5295">
        <v>0.1268937</v>
      </c>
      <c r="X5295">
        <v>0.97170210000000001</v>
      </c>
      <c r="Y5295">
        <v>-0.2576077</v>
      </c>
      <c r="Z5295">
        <v>4.3375459999999998E-2</v>
      </c>
      <c r="AA5295">
        <v>0.96527549999999995</v>
      </c>
      <c r="AB5295">
        <v>33</v>
      </c>
      <c r="AC5295">
        <v>12.655199999999899</v>
      </c>
      <c r="AD5295">
        <v>-1.120433192728</v>
      </c>
      <c r="AE5295">
        <v>-1.5739799999999899</v>
      </c>
      <c r="AF5295">
        <v>-3.3302468411175199</v>
      </c>
      <c r="AG5295">
        <v>-1.120433192728</v>
      </c>
      <c r="AH5295">
        <v>12.208971687583</v>
      </c>
      <c r="AI5295">
        <v>95.059584131226202</v>
      </c>
      <c r="AJ5295">
        <v>105.257421895905</v>
      </c>
      <c r="AK5295">
        <v>12.704522983187699</v>
      </c>
      <c r="AL5295">
        <v>82.709872156903401</v>
      </c>
      <c r="AM5295">
        <v>101.586940907648</v>
      </c>
      <c r="AN5295">
        <v>0.99999998680254998</v>
      </c>
    </row>
    <row r="5296" spans="1:40" x14ac:dyDescent="0.25">
      <c r="A5296" t="str">
        <f>"20190312164134651"</f>
        <v>20190312164134651</v>
      </c>
      <c r="B5296" t="str">
        <f>"1552380094641122"</f>
        <v>1552380094641122</v>
      </c>
      <c r="C5296" t="s">
        <v>40</v>
      </c>
      <c r="D5296">
        <v>4.9678529999999999</v>
      </c>
      <c r="E5296">
        <v>0.4814599</v>
      </c>
      <c r="F5296" t="s">
        <v>41</v>
      </c>
      <c r="G5296">
        <v>-395.14699999999999</v>
      </c>
      <c r="H5296" s="1">
        <v>-2.3457089999999999E-6</v>
      </c>
      <c r="I5296">
        <v>19.21509</v>
      </c>
      <c r="J5296">
        <v>-407.95010000000002</v>
      </c>
      <c r="K5296">
        <v>1.1203479999999999</v>
      </c>
      <c r="L5296">
        <v>20.77768</v>
      </c>
      <c r="M5296">
        <v>0.92733969999999999</v>
      </c>
      <c r="N5296">
        <v>0</v>
      </c>
      <c r="O5296">
        <v>-0.37413229999999997</v>
      </c>
      <c r="P5296">
        <v>0.97443029999999997</v>
      </c>
      <c r="Q5296">
        <v>0.124541899999999</v>
      </c>
      <c r="R5296">
        <v>-0.18701719999999999</v>
      </c>
      <c r="S5296">
        <v>3.0395810000000001</v>
      </c>
      <c r="T5296">
        <v>-0.26276349999999998</v>
      </c>
      <c r="U5296">
        <v>-0.38037110000000002</v>
      </c>
      <c r="V5296">
        <v>-0.1947449</v>
      </c>
      <c r="W5296">
        <v>0.1271235</v>
      </c>
      <c r="X5296">
        <v>0.97258109999999998</v>
      </c>
      <c r="Y5296">
        <v>-0.25386880000000001</v>
      </c>
      <c r="Z5296">
        <v>4.227765E-2</v>
      </c>
      <c r="AA5296">
        <v>0.96631429999999996</v>
      </c>
      <c r="AB5296">
        <v>33</v>
      </c>
      <c r="AC5296">
        <v>12.803100000000001</v>
      </c>
      <c r="AD5296">
        <v>-1.1203503457089901</v>
      </c>
      <c r="AE5296">
        <v>-1.5625899999999999</v>
      </c>
      <c r="AF5296">
        <v>-3.3160922079738402</v>
      </c>
      <c r="AG5296">
        <v>-1.1203503457089901</v>
      </c>
      <c r="AH5296">
        <v>12.3645601438944</v>
      </c>
      <c r="AI5296">
        <v>95.001611485914594</v>
      </c>
      <c r="AJ5296">
        <v>105.013048716387</v>
      </c>
      <c r="AK5296">
        <v>12.850447462283</v>
      </c>
      <c r="AL5296">
        <v>82.696598024904702</v>
      </c>
      <c r="AM5296">
        <v>101.322885522965</v>
      </c>
      <c r="AN5296">
        <v>0.99999997820273401</v>
      </c>
    </row>
    <row r="5297" spans="1:40" x14ac:dyDescent="0.25">
      <c r="A5297" t="str">
        <f>"20190312164134663"</f>
        <v>20190312164134663</v>
      </c>
      <c r="B5297" t="str">
        <f>"1552380094651858"</f>
        <v>1552380094651858</v>
      </c>
      <c r="C5297" t="s">
        <v>40</v>
      </c>
      <c r="D5297">
        <v>4.9613509999999996</v>
      </c>
      <c r="E5297">
        <v>0.48170960000000002</v>
      </c>
      <c r="F5297" t="s">
        <v>41</v>
      </c>
      <c r="G5297">
        <v>-394.8331</v>
      </c>
      <c r="H5297" s="1">
        <v>-2.504872E-6</v>
      </c>
      <c r="I5297">
        <v>19.154209999999999</v>
      </c>
      <c r="J5297">
        <v>-407.7946</v>
      </c>
      <c r="K5297">
        <v>1.1202700000000001</v>
      </c>
      <c r="L5297">
        <v>20.720089999999999</v>
      </c>
      <c r="M5297">
        <v>0.92971519999999996</v>
      </c>
      <c r="N5297">
        <v>0</v>
      </c>
      <c r="O5297">
        <v>-0.36819160000000001</v>
      </c>
      <c r="P5297">
        <v>0.97489269999999995</v>
      </c>
      <c r="Q5297">
        <v>0.124347</v>
      </c>
      <c r="R5297">
        <v>-0.18472240000000001</v>
      </c>
      <c r="S5297">
        <v>3.0397340000000002</v>
      </c>
      <c r="T5297">
        <v>-0.25962940000000001</v>
      </c>
      <c r="U5297">
        <v>-0.37622070000000002</v>
      </c>
      <c r="V5297">
        <v>-0.19078909999999999</v>
      </c>
      <c r="W5297">
        <v>0.12695989999999999</v>
      </c>
      <c r="X5297">
        <v>0.97338619999999998</v>
      </c>
      <c r="Y5297">
        <v>-0.2490735</v>
      </c>
      <c r="Z5297">
        <v>4.110552E-2</v>
      </c>
      <c r="AA5297">
        <v>0.96761180000000002</v>
      </c>
      <c r="AB5297">
        <v>33</v>
      </c>
      <c r="AC5297">
        <v>12.961499999999999</v>
      </c>
      <c r="AD5297">
        <v>-1.1202725048719999</v>
      </c>
      <c r="AE5297">
        <v>-1.5658799999999999</v>
      </c>
      <c r="AF5297">
        <v>-3.29235906056071</v>
      </c>
      <c r="AG5297">
        <v>-1.1202725048719999</v>
      </c>
      <c r="AH5297">
        <v>12.535161141889301</v>
      </c>
      <c r="AI5297">
        <v>94.940289987985693</v>
      </c>
      <c r="AJ5297">
        <v>104.71633960794</v>
      </c>
      <c r="AK5297">
        <v>13.008647259494699</v>
      </c>
      <c r="AL5297">
        <v>82.706048313463995</v>
      </c>
      <c r="AM5297">
        <v>101.089701905075</v>
      </c>
      <c r="AN5297">
        <v>0.99999999561862996</v>
      </c>
    </row>
    <row r="5298" spans="1:40" x14ac:dyDescent="0.25">
      <c r="A5298" t="str">
        <f>"20190312164134677"</f>
        <v>20190312164134677</v>
      </c>
      <c r="B5298" t="str">
        <f>"1552380094671378"</f>
        <v>1552380094671378</v>
      </c>
      <c r="C5298" t="s">
        <v>40</v>
      </c>
      <c r="D5298">
        <v>4.9677150000000001</v>
      </c>
      <c r="E5298">
        <v>0.48202410000000001</v>
      </c>
      <c r="F5298" t="s">
        <v>41</v>
      </c>
      <c r="G5298">
        <v>-394.65660000000003</v>
      </c>
      <c r="H5298" s="1">
        <v>-2.5946679999999999E-6</v>
      </c>
      <c r="I5298">
        <v>19.118230000000001</v>
      </c>
      <c r="J5298">
        <v>-407.601</v>
      </c>
      <c r="K5298">
        <v>1.1201749999999999</v>
      </c>
      <c r="L5298">
        <v>20.649660000000001</v>
      </c>
      <c r="M5298">
        <v>0.9325869</v>
      </c>
      <c r="N5298">
        <v>0</v>
      </c>
      <c r="O5298">
        <v>-0.36085929999999999</v>
      </c>
      <c r="P5298">
        <v>0.97556209999999999</v>
      </c>
      <c r="Q5298">
        <v>0.1242825</v>
      </c>
      <c r="R5298">
        <v>-0.18119850000000001</v>
      </c>
      <c r="S5298">
        <v>3.0400999999999998</v>
      </c>
      <c r="T5298">
        <v>-0.25922869999999998</v>
      </c>
      <c r="U5298">
        <v>-0.37066650000000001</v>
      </c>
      <c r="V5298">
        <v>-0.18661079999999999</v>
      </c>
      <c r="W5298">
        <v>0.12691160000000001</v>
      </c>
      <c r="X5298">
        <v>0.97420220000000002</v>
      </c>
      <c r="Y5298">
        <v>-0.24325179999999999</v>
      </c>
      <c r="Z5298">
        <v>4.021744E-2</v>
      </c>
      <c r="AA5298">
        <v>0.96912900000000002</v>
      </c>
      <c r="AB5298">
        <v>33</v>
      </c>
      <c r="AC5298">
        <v>12.9443999999999</v>
      </c>
      <c r="AD5298">
        <v>-1.1201775946679999</v>
      </c>
      <c r="AE5298">
        <v>-1.5314300000000001</v>
      </c>
      <c r="AF5298">
        <v>-3.2192411457970098</v>
      </c>
      <c r="AG5298">
        <v>-1.1201775946679999</v>
      </c>
      <c r="AH5298">
        <v>12.532246016084599</v>
      </c>
      <c r="AI5298">
        <v>94.947928845753395</v>
      </c>
      <c r="AJ5298">
        <v>104.40646467127701</v>
      </c>
      <c r="AK5298">
        <v>12.987513295702801</v>
      </c>
      <c r="AL5298">
        <v>82.708838561470699</v>
      </c>
      <c r="AM5298">
        <v>100.84379121811899</v>
      </c>
      <c r="AN5298">
        <v>1.0000000356880101</v>
      </c>
    </row>
    <row r="5299" spans="1:40" x14ac:dyDescent="0.25">
      <c r="A5299" t="str">
        <f>"20190312164134695"</f>
        <v>20190312164134695</v>
      </c>
      <c r="B5299" t="str">
        <f>"1552380094691874"</f>
        <v>1552380094691874</v>
      </c>
      <c r="C5299" t="s">
        <v>40</v>
      </c>
      <c r="D5299">
        <v>5.0605570000000002</v>
      </c>
      <c r="E5299">
        <v>0.48239379999999998</v>
      </c>
      <c r="F5299" t="s">
        <v>41</v>
      </c>
      <c r="G5299">
        <v>-394.36399999999998</v>
      </c>
      <c r="H5299" s="1">
        <v>-2.740851E-6</v>
      </c>
      <c r="I5299">
        <v>19.07404</v>
      </c>
      <c r="J5299">
        <v>-407.34930000000003</v>
      </c>
      <c r="K5299">
        <v>1.1200589999999999</v>
      </c>
      <c r="L5299">
        <v>20.560939999999999</v>
      </c>
      <c r="M5299">
        <v>0.93615499999999996</v>
      </c>
      <c r="N5299">
        <v>0</v>
      </c>
      <c r="O5299">
        <v>-0.35150310000000001</v>
      </c>
      <c r="P5299">
        <v>0.97580080000000002</v>
      </c>
      <c r="Q5299">
        <v>0.1249488</v>
      </c>
      <c r="R5299">
        <v>-0.17944649999999901</v>
      </c>
      <c r="S5299">
        <v>3.0407099999999998</v>
      </c>
      <c r="T5299">
        <v>-0.25731809999999999</v>
      </c>
      <c r="U5299">
        <v>-0.3619385</v>
      </c>
      <c r="V5299">
        <v>-0.17854429999999999</v>
      </c>
      <c r="W5299">
        <v>0.12767729999999999</v>
      </c>
      <c r="X5299">
        <v>0.97561290000000001</v>
      </c>
      <c r="Y5299">
        <v>-0.23638609999999999</v>
      </c>
      <c r="Z5299">
        <v>3.8898299999999997E-2</v>
      </c>
      <c r="AA5299">
        <v>0.97088030000000003</v>
      </c>
      <c r="AB5299">
        <v>33</v>
      </c>
      <c r="AC5299">
        <v>12.985299999999899</v>
      </c>
      <c r="AD5299">
        <v>-1.1200617408510001</v>
      </c>
      <c r="AE5299">
        <v>-1.4868999999999899</v>
      </c>
      <c r="AF5299">
        <v>-3.1493700998922902</v>
      </c>
      <c r="AG5299">
        <v>-1.1200617408510001</v>
      </c>
      <c r="AH5299">
        <v>12.586844332065899</v>
      </c>
      <c r="AI5299">
        <v>94.933854486664004</v>
      </c>
      <c r="AJ5299">
        <v>104.047634847773</v>
      </c>
      <c r="AK5299">
        <v>13.023122535285999</v>
      </c>
      <c r="AL5299">
        <v>82.664607432561098</v>
      </c>
      <c r="AM5299">
        <v>100.370784871148</v>
      </c>
      <c r="AN5299">
        <v>1.0000000453220901</v>
      </c>
    </row>
    <row r="5300" spans="1:40" x14ac:dyDescent="0.25">
      <c r="A5300" t="str">
        <f>"20190312164134719"</f>
        <v>20190312164134719</v>
      </c>
      <c r="B5300" t="str">
        <f>"1552380094711394"</f>
        <v>1552380094711394</v>
      </c>
      <c r="C5300" t="s">
        <v>40</v>
      </c>
      <c r="D5300">
        <v>5.1050820000000003</v>
      </c>
      <c r="E5300">
        <v>0.48289189999999999</v>
      </c>
      <c r="F5300" t="s">
        <v>41</v>
      </c>
      <c r="G5300">
        <v>-393.93400000000003</v>
      </c>
      <c r="H5300" s="1">
        <v>-2.9621719999999999E-6</v>
      </c>
      <c r="I5300">
        <v>18.972300000000001</v>
      </c>
      <c r="J5300">
        <v>-407.02359999999999</v>
      </c>
      <c r="K5300">
        <v>1.1198900000000001</v>
      </c>
      <c r="L5300">
        <v>20.449770000000001</v>
      </c>
      <c r="M5300">
        <v>0.9405289</v>
      </c>
      <c r="N5300">
        <v>0</v>
      </c>
      <c r="O5300">
        <v>-0.33963110000000002</v>
      </c>
      <c r="P5300">
        <v>0.97642459999999998</v>
      </c>
      <c r="Q5300">
        <v>0.12625249999999999</v>
      </c>
      <c r="R5300">
        <v>-0.1750872</v>
      </c>
      <c r="S5300">
        <v>3.04068</v>
      </c>
      <c r="T5300">
        <v>-0.25386950000000003</v>
      </c>
      <c r="U5300">
        <v>-0.36007689999999998</v>
      </c>
      <c r="V5300">
        <v>-0.17047290000000001</v>
      </c>
      <c r="W5300">
        <v>0.12904399999999999</v>
      </c>
      <c r="X5300">
        <v>0.97687599999999997</v>
      </c>
      <c r="Y5300">
        <v>-0.22479450000000001</v>
      </c>
      <c r="Z5300">
        <v>3.6972789999999998E-2</v>
      </c>
      <c r="AA5300">
        <v>0.97370449999999997</v>
      </c>
      <c r="AB5300">
        <v>33</v>
      </c>
      <c r="AC5300">
        <v>13.0895999999999</v>
      </c>
      <c r="AD5300">
        <v>-1.119892962172</v>
      </c>
      <c r="AE5300">
        <v>-1.4774700000000001</v>
      </c>
      <c r="AF5300">
        <v>-3.0341874463733598</v>
      </c>
      <c r="AG5300">
        <v>-1.119892962172</v>
      </c>
      <c r="AH5300">
        <v>12.7213547349668</v>
      </c>
      <c r="AI5300">
        <v>94.894329761230495</v>
      </c>
      <c r="AJ5300">
        <v>103.415057852221</v>
      </c>
      <c r="AK5300">
        <v>13.126055005191599</v>
      </c>
      <c r="AL5300">
        <v>82.585648072384203</v>
      </c>
      <c r="AM5300">
        <v>99.898904043508793</v>
      </c>
      <c r="AN5300">
        <v>1.0000000414732</v>
      </c>
    </row>
    <row r="5301" spans="1:40" x14ac:dyDescent="0.25">
      <c r="A5301" t="str">
        <f>"20190312164134730"</f>
        <v>20190312164134730</v>
      </c>
      <c r="B5301" t="str">
        <f>"1552380094721154"</f>
        <v>1552380094721154</v>
      </c>
      <c r="C5301" t="s">
        <v>40</v>
      </c>
      <c r="D5301">
        <v>5.1504589999999997</v>
      </c>
      <c r="E5301">
        <v>0.48315520000000001</v>
      </c>
      <c r="F5301" t="s">
        <v>41</v>
      </c>
      <c r="G5301">
        <v>-393.46660000000003</v>
      </c>
      <c r="H5301" s="1">
        <v>-3.1976429999999998E-6</v>
      </c>
      <c r="I5301">
        <v>18.89029</v>
      </c>
      <c r="J5301">
        <v>-406.84460000000001</v>
      </c>
      <c r="K5301">
        <v>1.119793</v>
      </c>
      <c r="L5301">
        <v>20.390809999999998</v>
      </c>
      <c r="M5301">
        <v>0.94280589999999997</v>
      </c>
      <c r="N5301">
        <v>0</v>
      </c>
      <c r="O5301">
        <v>-0.33326080000000002</v>
      </c>
      <c r="P5301">
        <v>0.97674519999999998</v>
      </c>
      <c r="Q5301">
        <v>0.12675330000000001</v>
      </c>
      <c r="R5301">
        <v>-0.17292349999999901</v>
      </c>
      <c r="S5301">
        <v>3.0421749999999999</v>
      </c>
      <c r="T5301">
        <v>-0.25130249999999998</v>
      </c>
      <c r="U5301">
        <v>-0.34994509999999901</v>
      </c>
      <c r="V5301">
        <v>-0.1659852</v>
      </c>
      <c r="W5301">
        <v>0.12958349999999999</v>
      </c>
      <c r="X5301">
        <v>0.97757709999999998</v>
      </c>
      <c r="Y5301">
        <v>-0.22152749999999999</v>
      </c>
      <c r="Z5301">
        <v>3.5964919999999997E-2</v>
      </c>
      <c r="AA5301">
        <v>0.97449070000000004</v>
      </c>
      <c r="AB5301">
        <v>34</v>
      </c>
      <c r="AC5301">
        <v>13.377999999999901</v>
      </c>
      <c r="AD5301">
        <v>-1.119796197643</v>
      </c>
      <c r="AE5301">
        <v>-1.5005200000000001</v>
      </c>
      <c r="AF5301">
        <v>-3.0228304176800198</v>
      </c>
      <c r="AG5301">
        <v>-1.119796197643</v>
      </c>
      <c r="AH5301">
        <v>13.0231657007328</v>
      </c>
      <c r="AI5301">
        <v>94.7878198917887</v>
      </c>
      <c r="AJ5301">
        <v>103.067629370869</v>
      </c>
      <c r="AK5301">
        <v>13.416195143447</v>
      </c>
      <c r="AL5301">
        <v>82.554474791615803</v>
      </c>
      <c r="AM5301">
        <v>99.636486579591804</v>
      </c>
      <c r="AN5301">
        <v>0.99999997826784903</v>
      </c>
    </row>
    <row r="5302" spans="1:40" x14ac:dyDescent="0.25">
      <c r="A5302" t="str">
        <f>"20190312164134744"</f>
        <v>20190312164134744</v>
      </c>
      <c r="B5302" t="str">
        <f>"1552380094731891"</f>
        <v>1552380094731891</v>
      </c>
      <c r="C5302" t="s">
        <v>40</v>
      </c>
      <c r="D5302">
        <v>4.9894270000000001</v>
      </c>
      <c r="E5302">
        <v>0.48330260000000003</v>
      </c>
      <c r="F5302" t="s">
        <v>41</v>
      </c>
      <c r="G5302">
        <v>-393.22340000000003</v>
      </c>
      <c r="H5302" s="1">
        <v>-3.3203920000000002E-6</v>
      </c>
      <c r="I5302">
        <v>18.846260000000001</v>
      </c>
      <c r="J5302">
        <v>-406.67360000000002</v>
      </c>
      <c r="K5302">
        <v>1.119704</v>
      </c>
      <c r="L5302">
        <v>20.33539</v>
      </c>
      <c r="M5302">
        <v>0.94491829999999999</v>
      </c>
      <c r="N5302">
        <v>0</v>
      </c>
      <c r="O5302">
        <v>-0.32722610000000002</v>
      </c>
      <c r="P5302">
        <v>0.97706899999999997</v>
      </c>
      <c r="Q5302">
        <v>0.1273553</v>
      </c>
      <c r="R5302">
        <v>-0.17063689999999901</v>
      </c>
      <c r="S5302">
        <v>3.042786</v>
      </c>
      <c r="T5302">
        <v>-0.25014760000000003</v>
      </c>
      <c r="U5302">
        <v>-0.3450317</v>
      </c>
      <c r="V5302">
        <v>-0.16198100000000001</v>
      </c>
      <c r="W5302">
        <v>0.13021559999999999</v>
      </c>
      <c r="X5302">
        <v>0.97816460000000005</v>
      </c>
      <c r="Y5302">
        <v>-0.216918</v>
      </c>
      <c r="Z5302">
        <v>3.5142630000000001E-2</v>
      </c>
      <c r="AA5302">
        <v>0.97555709999999995</v>
      </c>
      <c r="AB5302">
        <v>34</v>
      </c>
      <c r="AC5302">
        <v>13.450199999999899</v>
      </c>
      <c r="AD5302">
        <v>-1.1197073203919901</v>
      </c>
      <c r="AE5302">
        <v>-1.4891299999999901</v>
      </c>
      <c r="AF5302">
        <v>-2.9738686699947099</v>
      </c>
      <c r="AG5302">
        <v>-1.1197073203919901</v>
      </c>
      <c r="AH5302">
        <v>13.1072316716941</v>
      </c>
      <c r="AI5302">
        <v>94.762273765617493</v>
      </c>
      <c r="AJ5302">
        <v>102.783283338261</v>
      </c>
      <c r="AK5302">
        <v>13.4869255742432</v>
      </c>
      <c r="AL5302">
        <v>82.517948553674302</v>
      </c>
      <c r="AM5302">
        <v>99.402673886976601</v>
      </c>
      <c r="AN5302">
        <v>0.99999996576875905</v>
      </c>
    </row>
    <row r="5303" spans="1:40" x14ac:dyDescent="0.25">
      <c r="A5303" t="str">
        <f>"20190312164134762"</f>
        <v>20190312164134762</v>
      </c>
      <c r="B5303" t="str">
        <f>"1552380094751411"</f>
        <v>1552380094751411</v>
      </c>
      <c r="C5303" t="s">
        <v>40</v>
      </c>
      <c r="D5303">
        <v>5.0903850000000004</v>
      </c>
      <c r="E5303">
        <v>0.48356339999999998</v>
      </c>
      <c r="F5303" t="s">
        <v>41</v>
      </c>
      <c r="G5303">
        <v>-392.88850000000002</v>
      </c>
      <c r="H5303" s="1">
        <v>-3.4867270000000001E-6</v>
      </c>
      <c r="I5303">
        <v>18.801069999999999</v>
      </c>
      <c r="J5303">
        <v>-406.41340000000002</v>
      </c>
      <c r="K5303">
        <v>1.119567</v>
      </c>
      <c r="L5303">
        <v>20.253139999999998</v>
      </c>
      <c r="M5303">
        <v>0.94800130000000005</v>
      </c>
      <c r="N5303">
        <v>0</v>
      </c>
      <c r="O5303">
        <v>-0.31818800000000003</v>
      </c>
      <c r="P5303">
        <v>0.97727699999999995</v>
      </c>
      <c r="Q5303">
        <v>0.12803139999999999</v>
      </c>
      <c r="R5303">
        <v>-0.1689321</v>
      </c>
      <c r="S5303">
        <v>3.0434570000000001</v>
      </c>
      <c r="T5303">
        <v>-0.2472085</v>
      </c>
      <c r="U5303">
        <v>-0.33874510000000002</v>
      </c>
      <c r="V5303">
        <v>-0.1542848</v>
      </c>
      <c r="W5303">
        <v>0.1309852</v>
      </c>
      <c r="X5303">
        <v>0.97930539999999999</v>
      </c>
      <c r="Y5303">
        <v>-0.2096982</v>
      </c>
      <c r="Z5303">
        <v>3.3744820000000002E-2</v>
      </c>
      <c r="AA5303">
        <v>0.97718369999999999</v>
      </c>
      <c r="AB5303">
        <v>34</v>
      </c>
      <c r="AC5303">
        <v>13.524900000000001</v>
      </c>
      <c r="AD5303">
        <v>-1.119570486727</v>
      </c>
      <c r="AE5303">
        <v>-1.45206999999999</v>
      </c>
      <c r="AF5303">
        <v>-2.9072752733737901</v>
      </c>
      <c r="AG5303">
        <v>-1.119570486727</v>
      </c>
      <c r="AH5303">
        <v>13.194602933284701</v>
      </c>
      <c r="AI5303">
        <v>94.736879609024001</v>
      </c>
      <c r="AJ5303">
        <v>102.425900960749</v>
      </c>
      <c r="AK5303">
        <v>13.5574051409909</v>
      </c>
      <c r="AL5303">
        <v>82.4734730040648</v>
      </c>
      <c r="AM5303">
        <v>98.953082003722898</v>
      </c>
      <c r="AN5303">
        <v>0.99999999429961905</v>
      </c>
    </row>
    <row r="5304" spans="1:40" x14ac:dyDescent="0.25">
      <c r="A5304" t="str">
        <f>"20190312164134773"</f>
        <v>20190312164134773</v>
      </c>
      <c r="B5304" t="str">
        <f>"1552380094761170"</f>
        <v>1552380094761170</v>
      </c>
      <c r="C5304" t="s">
        <v>40</v>
      </c>
      <c r="D5304">
        <v>4.9162319999999999</v>
      </c>
      <c r="E5304">
        <v>0.4836587</v>
      </c>
      <c r="F5304" t="s">
        <v>41</v>
      </c>
      <c r="G5304">
        <v>-392.4853</v>
      </c>
      <c r="H5304" s="1">
        <v>-3.6914980000000001E-6</v>
      </c>
      <c r="I5304">
        <v>18.721309999999999</v>
      </c>
      <c r="J5304">
        <v>-406.23489999999998</v>
      </c>
      <c r="K5304">
        <v>1.1194729999999999</v>
      </c>
      <c r="L5304">
        <v>20.198270000000001</v>
      </c>
      <c r="M5304">
        <v>0.95002430000000004</v>
      </c>
      <c r="N5304">
        <v>0</v>
      </c>
      <c r="O5304">
        <v>-0.3120985</v>
      </c>
      <c r="P5304">
        <v>0.9776688</v>
      </c>
      <c r="Q5304">
        <v>0.12818009999999999</v>
      </c>
      <c r="R5304">
        <v>-0.16653519999999999</v>
      </c>
      <c r="S5304">
        <v>3.0439449999999999</v>
      </c>
      <c r="T5304">
        <v>-0.24467910000000001</v>
      </c>
      <c r="U5304">
        <v>-0.33477780000000001</v>
      </c>
      <c r="V5304">
        <v>-0.15036679999999999</v>
      </c>
      <c r="W5304">
        <v>0.13116439999999999</v>
      </c>
      <c r="X5304">
        <v>0.97989059999999994</v>
      </c>
      <c r="Y5304">
        <v>-0.20476620000000001</v>
      </c>
      <c r="Z5304">
        <v>3.2738410000000003E-2</v>
      </c>
      <c r="AA5304">
        <v>0.97826329999999995</v>
      </c>
      <c r="AB5304">
        <v>34</v>
      </c>
      <c r="AC5304">
        <v>13.7495999999999</v>
      </c>
      <c r="AD5304">
        <v>-1.1194766914980001</v>
      </c>
      <c r="AE5304">
        <v>-1.4769600000000001</v>
      </c>
      <c r="AF5304">
        <v>-2.86934745941128</v>
      </c>
      <c r="AG5304">
        <v>-1.1194766914980001</v>
      </c>
      <c r="AH5304">
        <v>13.4356884919256</v>
      </c>
      <c r="AI5304">
        <v>94.658378480048199</v>
      </c>
      <c r="AJ5304">
        <v>102.05508529759599</v>
      </c>
      <c r="AK5304">
        <v>13.7841977698268</v>
      </c>
      <c r="AL5304">
        <v>82.463115768616902</v>
      </c>
      <c r="AM5304">
        <v>98.724135618618007</v>
      </c>
      <c r="AN5304">
        <v>0.99999993116897701</v>
      </c>
    </row>
    <row r="5305" spans="1:40" x14ac:dyDescent="0.25">
      <c r="A5305" t="str">
        <f>"20190312164134785"</f>
        <v>20190312164134785</v>
      </c>
      <c r="B5305" t="str">
        <f>"1552380094781665"</f>
        <v>1552380094781665</v>
      </c>
      <c r="C5305" t="s">
        <v>40</v>
      </c>
      <c r="D5305">
        <v>4.991581</v>
      </c>
      <c r="E5305">
        <v>0.48386459999999998</v>
      </c>
      <c r="F5305" t="s">
        <v>41</v>
      </c>
      <c r="G5305">
        <v>-392.2491</v>
      </c>
      <c r="H5305" s="1">
        <v>-3.808098E-6</v>
      </c>
      <c r="I5305">
        <v>18.693249999999999</v>
      </c>
      <c r="J5305">
        <v>-406.07530000000003</v>
      </c>
      <c r="K5305">
        <v>1.119386</v>
      </c>
      <c r="L5305">
        <v>20.150300000000001</v>
      </c>
      <c r="M5305">
        <v>0.95176859999999996</v>
      </c>
      <c r="N5305">
        <v>0</v>
      </c>
      <c r="O5305">
        <v>-0.30674000000000001</v>
      </c>
      <c r="P5305">
        <v>0.97794320000000001</v>
      </c>
      <c r="Q5305">
        <v>0.1285579</v>
      </c>
      <c r="R5305">
        <v>-0.1646196</v>
      </c>
      <c r="S5305">
        <v>3.0446469999999999</v>
      </c>
      <c r="T5305">
        <v>-0.2437059</v>
      </c>
      <c r="U5305">
        <v>-0.3276367</v>
      </c>
      <c r="V5305">
        <v>-0.14672859999999999</v>
      </c>
      <c r="W5305">
        <v>0.13157659999999999</v>
      </c>
      <c r="X5305">
        <v>0.9803868</v>
      </c>
      <c r="Y5305">
        <v>-0.20158119999999999</v>
      </c>
      <c r="Z5305">
        <v>3.2073740000000003E-2</v>
      </c>
      <c r="AA5305">
        <v>0.97894650000000005</v>
      </c>
      <c r="AB5305">
        <v>34</v>
      </c>
      <c r="AC5305">
        <v>13.8262</v>
      </c>
      <c r="AD5305">
        <v>-1.119389808098</v>
      </c>
      <c r="AE5305">
        <v>-1.45705</v>
      </c>
      <c r="AF5305">
        <v>-2.8359565272528702</v>
      </c>
      <c r="AG5305">
        <v>-1.119389808098</v>
      </c>
      <c r="AH5305">
        <v>13.518958727052301</v>
      </c>
      <c r="AI5305">
        <v>94.632988644709698</v>
      </c>
      <c r="AJ5305">
        <v>101.847500367582</v>
      </c>
      <c r="AK5305">
        <v>13.8584966006665</v>
      </c>
      <c r="AL5305">
        <v>82.439292350196595</v>
      </c>
      <c r="AM5305">
        <v>98.511936351538196</v>
      </c>
      <c r="AN5305">
        <v>0.99999998066987905</v>
      </c>
    </row>
    <row r="5306" spans="1:40" x14ac:dyDescent="0.25">
      <c r="A5306" t="str">
        <f>"20190312164134799"</f>
        <v>20190312164134799</v>
      </c>
      <c r="B5306" t="str">
        <f>"1552380094791426"</f>
        <v>1552380094791426</v>
      </c>
      <c r="C5306" t="s">
        <v>40</v>
      </c>
      <c r="D5306">
        <v>5.0023720000000003</v>
      </c>
      <c r="E5306">
        <v>0.48396519999999998</v>
      </c>
      <c r="F5306" t="s">
        <v>41</v>
      </c>
      <c r="G5306">
        <v>-391.97640000000001</v>
      </c>
      <c r="H5306" s="1">
        <v>-3.9443849999999997E-6</v>
      </c>
      <c r="I5306">
        <v>18.65175</v>
      </c>
      <c r="J5306">
        <v>-405.87810000000002</v>
      </c>
      <c r="K5306">
        <v>1.1192850000000001</v>
      </c>
      <c r="L5306">
        <v>20.09186</v>
      </c>
      <c r="M5306">
        <v>0.95385960000000003</v>
      </c>
      <c r="N5306">
        <v>0</v>
      </c>
      <c r="O5306">
        <v>-0.30017680000000002</v>
      </c>
      <c r="P5306">
        <v>0.97841999999999996</v>
      </c>
      <c r="Q5306">
        <v>0.12889220000000001</v>
      </c>
      <c r="R5306">
        <v>-0.1614969</v>
      </c>
      <c r="S5306">
        <v>3.0449220000000001</v>
      </c>
      <c r="T5306">
        <v>-0.24175289999999999</v>
      </c>
      <c r="U5306">
        <v>-0.32363890000000001</v>
      </c>
      <c r="V5306">
        <v>-0.1430641</v>
      </c>
      <c r="W5306">
        <v>0.13193260000000001</v>
      </c>
      <c r="X5306">
        <v>0.98088039999999999</v>
      </c>
      <c r="Y5306">
        <v>-0.1961736</v>
      </c>
      <c r="Z5306">
        <v>3.1109049999999999E-2</v>
      </c>
      <c r="AA5306">
        <v>0.98007560000000005</v>
      </c>
      <c r="AB5306">
        <v>34</v>
      </c>
      <c r="AC5306">
        <v>13.9017</v>
      </c>
      <c r="AD5306">
        <v>-1.119288944385</v>
      </c>
      <c r="AE5306">
        <v>-1.44011</v>
      </c>
      <c r="AF5306">
        <v>-2.78152904551597</v>
      </c>
      <c r="AG5306">
        <v>-1.119288944385</v>
      </c>
      <c r="AH5306">
        <v>13.605607723223001</v>
      </c>
      <c r="AI5306">
        <v>94.608056848609394</v>
      </c>
      <c r="AJ5306">
        <v>101.55432556767499</v>
      </c>
      <c r="AK5306">
        <v>13.9320591834193</v>
      </c>
      <c r="AL5306">
        <v>82.418715464061805</v>
      </c>
      <c r="AM5306">
        <v>98.298234077660595</v>
      </c>
      <c r="AN5306">
        <v>0.99999995337786296</v>
      </c>
    </row>
    <row r="5307" spans="1:40" x14ac:dyDescent="0.25">
      <c r="A5307" t="str">
        <f>"20190312164134809"</f>
        <v>20190312164134809</v>
      </c>
      <c r="B5307" t="str">
        <f>"1552380094801186"</f>
        <v>1552380094801186</v>
      </c>
      <c r="C5307" t="s">
        <v>40</v>
      </c>
      <c r="D5307">
        <v>4.8642609999999999</v>
      </c>
      <c r="E5307">
        <v>0.48404229999999998</v>
      </c>
      <c r="F5307" t="s">
        <v>41</v>
      </c>
      <c r="G5307">
        <v>-391.7176</v>
      </c>
      <c r="H5307" s="1">
        <v>-4.0709560000000001E-6</v>
      </c>
      <c r="I5307">
        <v>18.627849999999999</v>
      </c>
      <c r="J5307">
        <v>-405.71030000000002</v>
      </c>
      <c r="K5307">
        <v>1.119189</v>
      </c>
      <c r="L5307">
        <v>20.043759999999999</v>
      </c>
      <c r="M5307">
        <v>0.95555599999999996</v>
      </c>
      <c r="N5307">
        <v>0</v>
      </c>
      <c r="O5307">
        <v>-0.2947341</v>
      </c>
      <c r="P5307">
        <v>0.97939469999999995</v>
      </c>
      <c r="Q5307">
        <v>0.12898399999999999</v>
      </c>
      <c r="R5307">
        <v>-0.1554014</v>
      </c>
      <c r="S5307">
        <v>3.0459290000000001</v>
      </c>
      <c r="T5307">
        <v>-0.24076059999999999</v>
      </c>
      <c r="U5307">
        <v>-0.31491089999999999</v>
      </c>
      <c r="V5307">
        <v>-0.14354819999999999</v>
      </c>
      <c r="W5307">
        <v>0.13195379999999901</v>
      </c>
      <c r="X5307">
        <v>0.98080690000000004</v>
      </c>
      <c r="Y5307">
        <v>-0.19343250000000001</v>
      </c>
      <c r="Z5307">
        <v>3.046101E-2</v>
      </c>
      <c r="AA5307">
        <v>0.98064059999999997</v>
      </c>
      <c r="AB5307">
        <v>34</v>
      </c>
      <c r="AC5307">
        <v>13.992699999999999</v>
      </c>
      <c r="AD5307">
        <v>-1.1191930709559901</v>
      </c>
      <c r="AE5307">
        <v>-1.41591</v>
      </c>
      <c r="AF5307">
        <v>-2.75376772521293</v>
      </c>
      <c r="AG5307">
        <v>-1.1191930709559901</v>
      </c>
      <c r="AH5307">
        <v>13.7016651790043</v>
      </c>
      <c r="AI5307">
        <v>94.578568668127801</v>
      </c>
      <c r="AJ5307">
        <v>101.363940905101</v>
      </c>
      <c r="AK5307">
        <v>14.020394377193499</v>
      </c>
      <c r="AL5307">
        <v>82.417490688128396</v>
      </c>
      <c r="AM5307">
        <v>98.326535830532407</v>
      </c>
      <c r="AN5307">
        <v>1.00000003307264</v>
      </c>
    </row>
    <row r="5308" spans="1:40" x14ac:dyDescent="0.25">
      <c r="A5308" t="str">
        <f>"20190312164134820"</f>
        <v>20190312164134820</v>
      </c>
      <c r="B5308" t="str">
        <f>"1552380094811922"</f>
        <v>1552380094811922</v>
      </c>
      <c r="C5308" t="s">
        <v>40</v>
      </c>
      <c r="D5308">
        <v>4.9992919999999996</v>
      </c>
      <c r="E5308">
        <v>0.48396430000000001</v>
      </c>
      <c r="F5308" t="s">
        <v>41</v>
      </c>
      <c r="G5308">
        <v>-391.51920000000001</v>
      </c>
      <c r="H5308" s="1">
        <v>-4.1585820000000002E-6</v>
      </c>
      <c r="I5308">
        <v>18.662569999999999</v>
      </c>
      <c r="J5308">
        <v>-405.56849999999997</v>
      </c>
      <c r="K5308">
        <v>1.1191040000000001</v>
      </c>
      <c r="L5308">
        <v>20.00339</v>
      </c>
      <c r="M5308">
        <v>0.95695629999999998</v>
      </c>
      <c r="N5308">
        <v>0</v>
      </c>
      <c r="O5308">
        <v>-0.290157</v>
      </c>
      <c r="P5308">
        <v>0.97952819999999996</v>
      </c>
      <c r="Q5308">
        <v>0.12919320000000001</v>
      </c>
      <c r="R5308">
        <v>-0.15438189999999999</v>
      </c>
      <c r="S5308">
        <v>3.0477289999999999</v>
      </c>
      <c r="T5308">
        <v>-0.24036189999999999</v>
      </c>
      <c r="U5308">
        <v>-0.29663089999999998</v>
      </c>
      <c r="V5308">
        <v>-0.13984340000000001</v>
      </c>
      <c r="W5308">
        <v>0.13221279999999999</v>
      </c>
      <c r="X5308">
        <v>0.98130709999999999</v>
      </c>
      <c r="Y5308">
        <v>-0.19463449999999999</v>
      </c>
      <c r="Z5308">
        <v>3.0109569999999999E-2</v>
      </c>
      <c r="AA5308">
        <v>0.9804136</v>
      </c>
      <c r="AB5308">
        <v>34</v>
      </c>
      <c r="AC5308">
        <v>14.049299999999899</v>
      </c>
      <c r="AD5308">
        <v>-1.119108158582</v>
      </c>
      <c r="AE5308">
        <v>-1.3408199999999899</v>
      </c>
      <c r="AF5308">
        <v>-2.77600254873634</v>
      </c>
      <c r="AG5308">
        <v>-1.119108158582</v>
      </c>
      <c r="AH5308">
        <v>13.7474746932992</v>
      </c>
      <c r="AI5308">
        <v>94.562198141707498</v>
      </c>
      <c r="AJ5308">
        <v>101.416120471851</v>
      </c>
      <c r="AK5308">
        <v>14.0695292623491</v>
      </c>
      <c r="AL5308">
        <v>82.402519761831897</v>
      </c>
      <c r="AM5308">
        <v>98.110456316623498</v>
      </c>
      <c r="AN5308">
        <v>1.0000000127588999</v>
      </c>
    </row>
    <row r="5309" spans="1:40" x14ac:dyDescent="0.25">
      <c r="A5309" t="str">
        <f>"20190312164134841"</f>
        <v>20190312164134841</v>
      </c>
      <c r="B5309" t="str">
        <f>"1552380094831442"</f>
        <v>1552380094831442</v>
      </c>
      <c r="C5309" t="s">
        <v>40</v>
      </c>
      <c r="D5309">
        <v>4.7784810000000002</v>
      </c>
      <c r="E5309">
        <v>0.4684778</v>
      </c>
      <c r="F5309" t="s">
        <v>41</v>
      </c>
      <c r="G5309">
        <v>-391.30099999999999</v>
      </c>
      <c r="H5309" s="1">
        <v>-4.2669690000000002E-6</v>
      </c>
      <c r="I5309">
        <v>18.63307</v>
      </c>
      <c r="J5309">
        <v>-405.26150000000001</v>
      </c>
      <c r="K5309">
        <v>1.118927</v>
      </c>
      <c r="L5309">
        <v>19.91882</v>
      </c>
      <c r="M5309">
        <v>0.9598333</v>
      </c>
      <c r="N5309">
        <v>0</v>
      </c>
      <c r="O5309">
        <v>-0.28049629999999998</v>
      </c>
      <c r="P5309">
        <v>0.98001729999999998</v>
      </c>
      <c r="Q5309">
        <v>0.12950539999999999</v>
      </c>
      <c r="R5309">
        <v>-0.15097859999999999</v>
      </c>
      <c r="S5309">
        <v>3.0480960000000001</v>
      </c>
      <c r="T5309">
        <v>-0.23908599999999999</v>
      </c>
      <c r="U5309">
        <v>-0.29275509999999999</v>
      </c>
      <c r="V5309">
        <v>-0.13329089999999999</v>
      </c>
      <c r="W5309">
        <v>0.13260279999999999</v>
      </c>
      <c r="X5309">
        <v>0.98216599999999998</v>
      </c>
      <c r="Y5309">
        <v>-0.18605720000000001</v>
      </c>
      <c r="Z5309">
        <v>2.8889350000000001E-2</v>
      </c>
      <c r="AA5309">
        <v>0.98211409999999999</v>
      </c>
      <c r="AB5309">
        <v>34</v>
      </c>
      <c r="AC5309">
        <v>13.9605</v>
      </c>
      <c r="AD5309">
        <v>-1.1189312669689999</v>
      </c>
      <c r="AE5309">
        <v>-1.2857499999999999</v>
      </c>
      <c r="AF5309">
        <v>-2.66484411739324</v>
      </c>
      <c r="AG5309">
        <v>-1.1189312669689999</v>
      </c>
      <c r="AH5309">
        <v>13.6735887345706</v>
      </c>
      <c r="AI5309">
        <v>94.592162765605295</v>
      </c>
      <c r="AJ5309">
        <v>101.02813079386701</v>
      </c>
      <c r="AK5309">
        <v>13.9757085771127</v>
      </c>
      <c r="AL5309">
        <v>82.379975888505001</v>
      </c>
      <c r="AM5309">
        <v>97.728461879307204</v>
      </c>
      <c r="AN5309">
        <v>1.0000000090733201</v>
      </c>
    </row>
    <row r="5310" spans="1:40" x14ac:dyDescent="0.25">
      <c r="A5310" t="str">
        <f>"20190312164134852"</f>
        <v>20190312164134852</v>
      </c>
      <c r="B5310" t="str">
        <f>"1552380094841202"</f>
        <v>1552380094841202</v>
      </c>
      <c r="C5310" t="s">
        <v>40</v>
      </c>
      <c r="D5310">
        <v>4.7999809999999998</v>
      </c>
      <c r="E5310">
        <v>0.46671069999999998</v>
      </c>
      <c r="F5310" t="s">
        <v>41</v>
      </c>
      <c r="G5310">
        <v>-390.31450000000001</v>
      </c>
      <c r="H5310" s="1">
        <v>-4.6435179999999997E-6</v>
      </c>
      <c r="I5310">
        <v>19.13917</v>
      </c>
      <c r="J5310">
        <v>-405.0829</v>
      </c>
      <c r="K5310">
        <v>1.1188149999999999</v>
      </c>
      <c r="L5310">
        <v>19.87106</v>
      </c>
      <c r="M5310">
        <v>0.96142139999999998</v>
      </c>
      <c r="N5310">
        <v>0</v>
      </c>
      <c r="O5310">
        <v>-0.27500619999999998</v>
      </c>
      <c r="P5310">
        <v>0.98037430000000003</v>
      </c>
      <c r="Q5310">
        <v>0.1296649</v>
      </c>
      <c r="R5310">
        <v>-0.14850469999999999</v>
      </c>
      <c r="S5310">
        <v>3.0668950000000001</v>
      </c>
      <c r="T5310">
        <v>-0.22958700000000001</v>
      </c>
      <c r="U5310">
        <v>-0.15997310000000001</v>
      </c>
      <c r="V5310">
        <v>-0.13011610000000001</v>
      </c>
      <c r="W5310">
        <v>0.13279649999999901</v>
      </c>
      <c r="X5310">
        <v>0.98256549999999998</v>
      </c>
      <c r="Y5310">
        <v>-0.2231863</v>
      </c>
      <c r="Z5310">
        <v>2.8642339999999999E-2</v>
      </c>
      <c r="AA5310">
        <v>0.97435490000000002</v>
      </c>
      <c r="AB5310">
        <v>34</v>
      </c>
      <c r="AC5310">
        <v>14.7683999999999</v>
      </c>
      <c r="AD5310">
        <v>-1.11881964351799</v>
      </c>
      <c r="AE5310">
        <v>-0.73188999999999904</v>
      </c>
      <c r="AF5310">
        <v>-3.3387002135655699</v>
      </c>
      <c r="AG5310">
        <v>-1.11881964351799</v>
      </c>
      <c r="AH5310">
        <v>14.3182472469828</v>
      </c>
      <c r="AI5310">
        <v>94.351707600910899</v>
      </c>
      <c r="AJ5310">
        <v>103.125581442228</v>
      </c>
      <c r="AK5310">
        <v>14.7448594681847</v>
      </c>
      <c r="AL5310">
        <v>82.368778876706202</v>
      </c>
      <c r="AM5310">
        <v>97.543494876780997</v>
      </c>
      <c r="AN5310">
        <v>1.0000000358408501</v>
      </c>
    </row>
    <row r="5311" spans="1:40" x14ac:dyDescent="0.25">
      <c r="A5311" t="str">
        <f>"20190312164134873"</f>
        <v>20190312164134873</v>
      </c>
      <c r="B5311" t="str">
        <f>"1552380094861698"</f>
        <v>1552380094861698</v>
      </c>
      <c r="C5311" t="s">
        <v>40</v>
      </c>
      <c r="D5311">
        <v>4.8942480000000002</v>
      </c>
      <c r="E5311">
        <v>0.46557320000000002</v>
      </c>
      <c r="F5311" t="s">
        <v>41</v>
      </c>
      <c r="G5311">
        <v>-390.09190000000001</v>
      </c>
      <c r="H5311" s="1">
        <v>-4.7386319999999999E-6</v>
      </c>
      <c r="I5311">
        <v>19.19603</v>
      </c>
      <c r="J5311">
        <v>-404.7946</v>
      </c>
      <c r="K5311">
        <v>1.118636</v>
      </c>
      <c r="L5311">
        <v>19.796019999999999</v>
      </c>
      <c r="M5311">
        <v>0.96386130000000003</v>
      </c>
      <c r="N5311">
        <v>0</v>
      </c>
      <c r="O5311">
        <v>-0.26633119999999999</v>
      </c>
      <c r="P5311">
        <v>0.98082999999999998</v>
      </c>
      <c r="Q5311">
        <v>0.12966430000000001</v>
      </c>
      <c r="R5311">
        <v>-0.14546410000000001</v>
      </c>
      <c r="S5311">
        <v>3.0694270000000001</v>
      </c>
      <c r="T5311">
        <v>-0.2290808</v>
      </c>
      <c r="U5311">
        <v>-0.13821410000000001</v>
      </c>
      <c r="V5311">
        <v>-0.1242452</v>
      </c>
      <c r="W5311">
        <v>0.13287599999999999</v>
      </c>
      <c r="X5311">
        <v>0.98331429999999997</v>
      </c>
      <c r="Y5311">
        <v>-0.22137190000000001</v>
      </c>
      <c r="Z5311">
        <v>2.7872810000000001E-2</v>
      </c>
      <c r="AA5311">
        <v>0.97479099999999996</v>
      </c>
      <c r="AB5311">
        <v>34</v>
      </c>
      <c r="AC5311">
        <v>14.702699999999901</v>
      </c>
      <c r="AD5311">
        <v>-1.1186407386320001</v>
      </c>
      <c r="AE5311">
        <v>-0.59999000000000102</v>
      </c>
      <c r="AF5311">
        <v>-3.3183684496839199</v>
      </c>
      <c r="AG5311">
        <v>-1.1186407386320001</v>
      </c>
      <c r="AH5311">
        <v>14.2490919467736</v>
      </c>
      <c r="AI5311">
        <v>94.372333731671205</v>
      </c>
      <c r="AJ5311">
        <v>103.10953912778299</v>
      </c>
      <c r="AK5311">
        <v>14.673089230887699</v>
      </c>
      <c r="AL5311">
        <v>82.364182528106596</v>
      </c>
      <c r="AM5311">
        <v>97.201360153836106</v>
      </c>
      <c r="AN5311">
        <v>0.99999995684176402</v>
      </c>
    </row>
    <row r="5312" spans="1:40" x14ac:dyDescent="0.25">
      <c r="A5312" t="str">
        <f>"20190312164134887"</f>
        <v>20190312164134887</v>
      </c>
      <c r="B5312" t="str">
        <f>"1552380094881218"</f>
        <v>1552380094881218</v>
      </c>
      <c r="C5312" t="s">
        <v>40</v>
      </c>
      <c r="D5312">
        <v>4.9710089999999996</v>
      </c>
      <c r="E5312">
        <v>0.46541270000000001</v>
      </c>
      <c r="F5312" t="s">
        <v>41</v>
      </c>
      <c r="G5312">
        <v>-390.02659999999997</v>
      </c>
      <c r="H5312" s="1">
        <v>-4.7650570000000002E-6</v>
      </c>
      <c r="I5312">
        <v>19.221160000000001</v>
      </c>
      <c r="J5312">
        <v>-404.59609999999998</v>
      </c>
      <c r="K5312">
        <v>1.1185069999999999</v>
      </c>
      <c r="L5312">
        <v>19.74588</v>
      </c>
      <c r="M5312">
        <v>0.96545080000000005</v>
      </c>
      <c r="N5312">
        <v>0</v>
      </c>
      <c r="O5312">
        <v>-0.26051239999999998</v>
      </c>
      <c r="P5312">
        <v>0.98128839999999995</v>
      </c>
      <c r="Q5312">
        <v>0.12955920000000001</v>
      </c>
      <c r="R5312">
        <v>-0.1424358</v>
      </c>
      <c r="S5312">
        <v>3.0716549999999998</v>
      </c>
      <c r="T5312">
        <v>-0.23267009999999999</v>
      </c>
      <c r="U5312">
        <v>-0.1195679</v>
      </c>
      <c r="V5312">
        <v>-0.121306399999999</v>
      </c>
      <c r="W5312">
        <v>0.13280500000000001</v>
      </c>
      <c r="X5312">
        <v>0.98369079999999998</v>
      </c>
      <c r="Y5312">
        <v>-0.22140470000000001</v>
      </c>
      <c r="Z5312">
        <v>2.7870019999999999E-2</v>
      </c>
      <c r="AA5312">
        <v>0.97478370000000003</v>
      </c>
      <c r="AB5312">
        <v>34</v>
      </c>
      <c r="AC5312">
        <v>14.5695</v>
      </c>
      <c r="AD5312">
        <v>-1.118511765057</v>
      </c>
      <c r="AE5312">
        <v>-0.52471999999999797</v>
      </c>
      <c r="AF5312">
        <v>-3.26976043763867</v>
      </c>
      <c r="AG5312">
        <v>-1.118511765057</v>
      </c>
      <c r="AH5312">
        <v>14.119989750892501</v>
      </c>
      <c r="AI5312">
        <v>94.412918782369204</v>
      </c>
      <c r="AJ5312">
        <v>103.038148504311</v>
      </c>
      <c r="AK5312">
        <v>14.5367297716311</v>
      </c>
      <c r="AL5312">
        <v>82.368287238018198</v>
      </c>
      <c r="AM5312">
        <v>97.030086004681493</v>
      </c>
      <c r="AN5312">
        <v>1.00000000035529</v>
      </c>
    </row>
    <row r="5313" spans="1:40" x14ac:dyDescent="0.25">
      <c r="A5313" t="str">
        <f>"20190312164134908"</f>
        <v>20190312164134908</v>
      </c>
      <c r="B5313" t="str">
        <f>"1552380094901714"</f>
        <v>1552380094901714</v>
      </c>
      <c r="C5313" t="s">
        <v>40</v>
      </c>
      <c r="D5313">
        <v>4.8373390000000001</v>
      </c>
      <c r="E5313">
        <v>0.46548</v>
      </c>
      <c r="F5313" t="s">
        <v>41</v>
      </c>
      <c r="G5313">
        <v>-390.20080000000002</v>
      </c>
      <c r="H5313" s="1">
        <v>-4.6800260000000004E-6</v>
      </c>
      <c r="I5313">
        <v>19.236360000000001</v>
      </c>
      <c r="J5313">
        <v>-404.27429999999998</v>
      </c>
      <c r="K5313">
        <v>1.1182879999999999</v>
      </c>
      <c r="L5313">
        <v>19.666989999999998</v>
      </c>
      <c r="M5313">
        <v>0.96787889999999999</v>
      </c>
      <c r="N5313">
        <v>0</v>
      </c>
      <c r="O5313">
        <v>-0.2513436</v>
      </c>
      <c r="P5313">
        <v>0.98181149999999995</v>
      </c>
      <c r="Q5313">
        <v>0.1297382</v>
      </c>
      <c r="R5313">
        <v>-0.13861479999999901</v>
      </c>
      <c r="S5313">
        <v>3.0729060000000001</v>
      </c>
      <c r="T5313">
        <v>-0.238764</v>
      </c>
      <c r="U5313">
        <v>-0.1087646</v>
      </c>
      <c r="V5313">
        <v>-0.11572689999999999</v>
      </c>
      <c r="W5313">
        <v>0.1330721</v>
      </c>
      <c r="X5313">
        <v>0.9843267</v>
      </c>
      <c r="Y5313">
        <v>-0.2155639</v>
      </c>
      <c r="Z5313">
        <v>2.7672829999999999E-2</v>
      </c>
      <c r="AA5313">
        <v>0.97609749999999995</v>
      </c>
      <c r="AB5313">
        <v>35</v>
      </c>
      <c r="AC5313">
        <v>14.0734999999999</v>
      </c>
      <c r="AD5313">
        <v>-1.118292680026</v>
      </c>
      <c r="AE5313">
        <v>-0.43062999999999702</v>
      </c>
      <c r="AF5313">
        <v>-3.10098254281499</v>
      </c>
      <c r="AG5313">
        <v>-1.118292680026</v>
      </c>
      <c r="AH5313">
        <v>13.6438654200517</v>
      </c>
      <c r="AI5313">
        <v>94.569635496486001</v>
      </c>
      <c r="AJ5313">
        <v>102.804681502254</v>
      </c>
      <c r="AK5313">
        <v>14.0364430982185</v>
      </c>
      <c r="AL5313">
        <v>82.352846298287901</v>
      </c>
      <c r="AM5313">
        <v>96.705459500006995</v>
      </c>
      <c r="AN5313">
        <v>0.99999997575745403</v>
      </c>
    </row>
    <row r="5314" spans="1:40" x14ac:dyDescent="0.25">
      <c r="A5314" t="str">
        <f>"20190312164134930"</f>
        <v>20190312164134930</v>
      </c>
      <c r="B5314" t="str">
        <f>"1552380094921234"</f>
        <v>1552380094921234</v>
      </c>
      <c r="C5314" t="s">
        <v>40</v>
      </c>
      <c r="D5314">
        <v>4.7944760000000004</v>
      </c>
      <c r="E5314">
        <v>0.46546979999999999</v>
      </c>
      <c r="F5314" t="s">
        <v>52</v>
      </c>
      <c r="G5314">
        <v>-389.916</v>
      </c>
      <c r="H5314" s="1">
        <v>-1.4014999999999999E-7</v>
      </c>
      <c r="I5314">
        <v>19.212479999999999</v>
      </c>
      <c r="J5314">
        <v>-403.93329999999997</v>
      </c>
      <c r="K5314">
        <v>1.118052</v>
      </c>
      <c r="L5314">
        <v>19.586549999999999</v>
      </c>
      <c r="M5314">
        <v>0.97025989999999995</v>
      </c>
      <c r="N5314">
        <v>0</v>
      </c>
      <c r="O5314">
        <v>-0.24199180000000001</v>
      </c>
      <c r="P5314">
        <v>0.98233219999999999</v>
      </c>
      <c r="Q5314">
        <v>0.1301831</v>
      </c>
      <c r="R5314">
        <v>-0.13444779999999901</v>
      </c>
      <c r="S5314">
        <v>3.0734249999999999</v>
      </c>
      <c r="T5314">
        <v>-0.2393718</v>
      </c>
      <c r="U5314">
        <v>-9.7290039999999994E-2</v>
      </c>
      <c r="V5314">
        <v>-0.1103151</v>
      </c>
      <c r="W5314">
        <v>0.1336184</v>
      </c>
      <c r="X5314">
        <v>0.98487400000000003</v>
      </c>
      <c r="Y5314">
        <v>-0.2098227</v>
      </c>
      <c r="Z5314">
        <v>2.681103E-2</v>
      </c>
      <c r="AA5314">
        <v>0.97737180000000001</v>
      </c>
      <c r="AB5314">
        <v>35</v>
      </c>
      <c r="AC5314">
        <v>14.017299999999899</v>
      </c>
      <c r="AD5314">
        <v>-1.1180521401500001</v>
      </c>
      <c r="AE5314">
        <v>-0.37406999999999901</v>
      </c>
      <c r="AF5314">
        <v>-3.01004425245719</v>
      </c>
      <c r="AG5314">
        <v>-1.1180521401500001</v>
      </c>
      <c r="AH5314">
        <v>13.604698488585001</v>
      </c>
      <c r="AI5314">
        <v>94.587631526191601</v>
      </c>
      <c r="AJ5314">
        <v>102.475732856517</v>
      </c>
      <c r="AK5314">
        <v>13.9784916194542</v>
      </c>
      <c r="AL5314">
        <v>82.321264118087498</v>
      </c>
      <c r="AM5314">
        <v>96.391024589835197</v>
      </c>
      <c r="AN5314">
        <v>1.00000004699128</v>
      </c>
    </row>
    <row r="5315" spans="1:40" x14ac:dyDescent="0.25">
      <c r="A5315" t="str">
        <f>"20190312164134942"</f>
        <v>20190312164134942</v>
      </c>
      <c r="B5315" t="str">
        <f>"1552380094931971"</f>
        <v>1552380094931971</v>
      </c>
      <c r="C5315" t="s">
        <v>40</v>
      </c>
      <c r="D5315">
        <v>4.9248770000000004</v>
      </c>
      <c r="E5315">
        <v>0.46573530000000002</v>
      </c>
      <c r="F5315" t="s">
        <v>52</v>
      </c>
      <c r="G5315">
        <v>-389.63780000000003</v>
      </c>
      <c r="H5315" s="1">
        <v>-2.4980420000000002E-7</v>
      </c>
      <c r="I5315">
        <v>19.20186</v>
      </c>
      <c r="J5315">
        <v>-403.75920000000002</v>
      </c>
      <c r="K5315">
        <v>1.1179319999999999</v>
      </c>
      <c r="L5315">
        <v>19.546600000000002</v>
      </c>
      <c r="M5315">
        <v>0.97140689999999996</v>
      </c>
      <c r="N5315">
        <v>0</v>
      </c>
      <c r="O5315">
        <v>-0.23734669999999999</v>
      </c>
      <c r="P5315">
        <v>0.98259269999999999</v>
      </c>
      <c r="Q5315">
        <v>0.1303811</v>
      </c>
      <c r="R5315">
        <v>-0.13233410000000001</v>
      </c>
      <c r="S5315">
        <v>3.0744929999999999</v>
      </c>
      <c r="T5315">
        <v>-0.24045549999999999</v>
      </c>
      <c r="U5315">
        <v>-8.2733150000000005E-2</v>
      </c>
      <c r="V5315">
        <v>-0.10767640000000001</v>
      </c>
      <c r="W5315">
        <v>0.13387360000000001</v>
      </c>
      <c r="X5315">
        <v>0.98513130000000004</v>
      </c>
      <c r="Y5315">
        <v>-0.2097822</v>
      </c>
      <c r="Z5315">
        <v>2.6571810000000001E-2</v>
      </c>
      <c r="AA5315">
        <v>0.97738700000000001</v>
      </c>
      <c r="AB5315">
        <v>35</v>
      </c>
      <c r="AC5315">
        <v>14.1213999999999</v>
      </c>
      <c r="AD5315">
        <v>-1.1179322498041999</v>
      </c>
      <c r="AE5315">
        <v>-0.34474000000000099</v>
      </c>
      <c r="AF5315">
        <v>-2.9980596090482798</v>
      </c>
      <c r="AG5315">
        <v>-1.1179322498041999</v>
      </c>
      <c r="AH5315">
        <v>13.713794748757699</v>
      </c>
      <c r="AI5315">
        <v>94.553308642751304</v>
      </c>
      <c r="AJ5315">
        <v>102.33177861486099</v>
      </c>
      <c r="AK5315">
        <v>14.0821269822997</v>
      </c>
      <c r="AL5315">
        <v>82.306509414087003</v>
      </c>
      <c r="AM5315">
        <v>96.237756950514097</v>
      </c>
      <c r="AN5315">
        <v>1.0000000130668001</v>
      </c>
    </row>
    <row r="5316" spans="1:40" x14ac:dyDescent="0.25">
      <c r="A5316" t="str">
        <f>"20190312164134953"</f>
        <v>20190312164134953</v>
      </c>
      <c r="B5316" t="str">
        <f>"1552380094941730"</f>
        <v>1552380094941730</v>
      </c>
      <c r="C5316" t="s">
        <v>40</v>
      </c>
      <c r="D5316">
        <v>4.7905709999999999</v>
      </c>
      <c r="E5316">
        <v>0.46569870000000002</v>
      </c>
      <c r="F5316" t="s">
        <v>52</v>
      </c>
      <c r="G5316">
        <v>-389.63080000000002</v>
      </c>
      <c r="H5316" s="1">
        <v>-2.5610900000000001E-7</v>
      </c>
      <c r="I5316">
        <v>19.188199999999998</v>
      </c>
      <c r="J5316">
        <v>-403.58330000000001</v>
      </c>
      <c r="K5316">
        <v>1.1178060000000001</v>
      </c>
      <c r="L5316">
        <v>19.50723</v>
      </c>
      <c r="M5316">
        <v>0.9725144</v>
      </c>
      <c r="N5316">
        <v>0</v>
      </c>
      <c r="O5316">
        <v>-0.232768</v>
      </c>
      <c r="P5316">
        <v>0.98289510000000002</v>
      </c>
      <c r="Q5316">
        <v>0.13054279999999999</v>
      </c>
      <c r="R5316">
        <v>-0.12990779999999999</v>
      </c>
      <c r="S5316">
        <v>3.0749209999999998</v>
      </c>
      <c r="T5316">
        <v>-0.24330950000000001</v>
      </c>
      <c r="U5316">
        <v>-7.8002929999999998E-2</v>
      </c>
      <c r="V5316">
        <v>-0.1054224</v>
      </c>
      <c r="W5316">
        <v>0.13409090000000001</v>
      </c>
      <c r="X5316">
        <v>0.98534549999999999</v>
      </c>
      <c r="Y5316">
        <v>-0.206674</v>
      </c>
      <c r="Z5316">
        <v>2.640783E-2</v>
      </c>
      <c r="AA5316">
        <v>0.97805350000000002</v>
      </c>
      <c r="AB5316">
        <v>35</v>
      </c>
      <c r="AC5316">
        <v>13.952499999999899</v>
      </c>
      <c r="AD5316">
        <v>-1.1178062561090001</v>
      </c>
      <c r="AE5316">
        <v>-0.31903000000000098</v>
      </c>
      <c r="AF5316">
        <v>-2.9187612794878199</v>
      </c>
      <c r="AG5316">
        <v>-1.1178062561090001</v>
      </c>
      <c r="AH5316">
        <v>13.556538276168499</v>
      </c>
      <c r="AI5316">
        <v>94.608533811538607</v>
      </c>
      <c r="AJ5316">
        <v>102.150464314327</v>
      </c>
      <c r="AK5316">
        <v>13.912166914828701</v>
      </c>
      <c r="AL5316">
        <v>82.2939456870415</v>
      </c>
      <c r="AM5316">
        <v>96.106861137020999</v>
      </c>
      <c r="AN5316">
        <v>1.0000000031273999</v>
      </c>
    </row>
    <row r="5317" spans="1:40" x14ac:dyDescent="0.25">
      <c r="A5317" t="str">
        <f>"20190312164134965"</f>
        <v>20190312164134965</v>
      </c>
      <c r="B5317" t="str">
        <f>"1552380094961250"</f>
        <v>1552380094961250</v>
      </c>
      <c r="C5317" t="s">
        <v>40</v>
      </c>
      <c r="D5317">
        <v>4.7816619999999999</v>
      </c>
      <c r="E5317">
        <v>0.46597499999999997</v>
      </c>
      <c r="F5317" t="s">
        <v>52</v>
      </c>
      <c r="G5317">
        <v>-389.61410000000001</v>
      </c>
      <c r="H5317" s="1">
        <v>-2.6251669999999999E-7</v>
      </c>
      <c r="I5317">
        <v>19.188300000000002</v>
      </c>
      <c r="J5317">
        <v>-403.41759999999999</v>
      </c>
      <c r="K5317">
        <v>1.117696</v>
      </c>
      <c r="L5317">
        <v>19.470859999999998</v>
      </c>
      <c r="M5317">
        <v>0.97351290000000001</v>
      </c>
      <c r="N5317">
        <v>0</v>
      </c>
      <c r="O5317">
        <v>-0.2285557</v>
      </c>
      <c r="P5317">
        <v>0.98320399999999997</v>
      </c>
      <c r="Q5317">
        <v>0.13040650000000001</v>
      </c>
      <c r="R5317">
        <v>-0.1276882</v>
      </c>
      <c r="S5317">
        <v>3.0756230000000002</v>
      </c>
      <c r="T5317">
        <v>-0.2461084</v>
      </c>
      <c r="U5317">
        <v>-7.0220950000000004E-2</v>
      </c>
      <c r="V5317">
        <v>-0.1033413</v>
      </c>
      <c r="W5317">
        <v>0.1340172</v>
      </c>
      <c r="X5317">
        <v>0.98557600000000001</v>
      </c>
      <c r="Y5317">
        <v>-0.2049057</v>
      </c>
      <c r="Z5317">
        <v>2.630712E-2</v>
      </c>
      <c r="AA5317">
        <v>0.97842810000000002</v>
      </c>
      <c r="AB5317">
        <v>35</v>
      </c>
      <c r="AC5317">
        <v>13.8034999999999</v>
      </c>
      <c r="AD5317">
        <v>-1.1176962625167</v>
      </c>
      <c r="AE5317">
        <v>-0.28255999999999998</v>
      </c>
      <c r="AF5317">
        <v>-2.86109232125877</v>
      </c>
      <c r="AG5317">
        <v>-1.1176962625167</v>
      </c>
      <c r="AH5317">
        <v>13.4147851994655</v>
      </c>
      <c r="AI5317">
        <v>94.658485254613694</v>
      </c>
      <c r="AJ5317">
        <v>102.03959897573201</v>
      </c>
      <c r="AK5317">
        <v>13.761960476393201</v>
      </c>
      <c r="AL5317">
        <v>82.298207155906596</v>
      </c>
      <c r="AM5317">
        <v>95.985802420260796</v>
      </c>
      <c r="AN5317">
        <v>1.0000000429787601</v>
      </c>
    </row>
    <row r="5318" spans="1:40" x14ac:dyDescent="0.25">
      <c r="A5318" t="str">
        <f>"20190312164134975"</f>
        <v>20190312164134975</v>
      </c>
      <c r="B5318" t="str">
        <f>"1552380094971985"</f>
        <v>1552380094971985</v>
      </c>
      <c r="C5318" t="s">
        <v>40</v>
      </c>
      <c r="D5318">
        <v>4.7758039999999999</v>
      </c>
      <c r="E5318">
        <v>0.46604449999999997</v>
      </c>
      <c r="F5318" t="s">
        <v>52</v>
      </c>
      <c r="G5318">
        <v>-389.60449999999997</v>
      </c>
      <c r="H5318" s="1">
        <v>-2.693536E-7</v>
      </c>
      <c r="I5318">
        <v>19.176459999999999</v>
      </c>
      <c r="J5318">
        <v>-403.24059999999997</v>
      </c>
      <c r="K5318">
        <v>1.1175679999999999</v>
      </c>
      <c r="L5318">
        <v>19.432559999999999</v>
      </c>
      <c r="M5318">
        <v>0.97454189999999996</v>
      </c>
      <c r="N5318">
        <v>0</v>
      </c>
      <c r="O5318">
        <v>-0.22412779999999999</v>
      </c>
      <c r="P5318">
        <v>0.98349500000000001</v>
      </c>
      <c r="Q5318">
        <v>0.13037979999999999</v>
      </c>
      <c r="R5318">
        <v>-0.12545499999999901</v>
      </c>
      <c r="S5318">
        <v>3.0757140000000001</v>
      </c>
      <c r="T5318">
        <v>-0.2488737</v>
      </c>
      <c r="U5318">
        <v>-6.5551760000000001E-2</v>
      </c>
      <c r="V5318">
        <v>-0.101054</v>
      </c>
      <c r="W5318">
        <v>0.1340654</v>
      </c>
      <c r="X5318">
        <v>0.98580650000000003</v>
      </c>
      <c r="Y5318">
        <v>-0.20193430000000001</v>
      </c>
      <c r="Z5318">
        <v>2.6132140000000002E-2</v>
      </c>
      <c r="AA5318">
        <v>0.97905039999999999</v>
      </c>
      <c r="AB5318">
        <v>35</v>
      </c>
      <c r="AC5318">
        <v>13.636100000000001</v>
      </c>
      <c r="AD5318">
        <v>-1.1175682693536</v>
      </c>
      <c r="AE5318">
        <v>-0.25609999999999999</v>
      </c>
      <c r="AF5318">
        <v>-2.7879778527332002</v>
      </c>
      <c r="AG5318">
        <v>-1.1175682693536</v>
      </c>
      <c r="AH5318">
        <v>13.257564155424401</v>
      </c>
      <c r="AI5318">
        <v>94.715785444245995</v>
      </c>
      <c r="AJ5318">
        <v>101.87587710711399</v>
      </c>
      <c r="AK5318">
        <v>13.593556807517</v>
      </c>
      <c r="AL5318">
        <v>82.295419621516004</v>
      </c>
      <c r="AM5318">
        <v>95.852887074251399</v>
      </c>
      <c r="AN5318">
        <v>0.99999994891770305</v>
      </c>
    </row>
    <row r="5319" spans="1:40" x14ac:dyDescent="0.25">
      <c r="A5319" t="str">
        <f>"20190312164134988"</f>
        <v>20190312164134988</v>
      </c>
      <c r="B5319" t="str">
        <f>"1552380094981746"</f>
        <v>1552380094981746</v>
      </c>
      <c r="C5319" t="s">
        <v>40</v>
      </c>
      <c r="D5319">
        <v>4.9847390000000003</v>
      </c>
      <c r="E5319">
        <v>0.46616030000000003</v>
      </c>
      <c r="F5319" t="s">
        <v>52</v>
      </c>
      <c r="G5319">
        <v>-389.42790000000002</v>
      </c>
      <c r="H5319" s="1">
        <v>-3.5075279999999998E-7</v>
      </c>
      <c r="I5319">
        <v>19.165990000000001</v>
      </c>
      <c r="J5319">
        <v>-403.06740000000002</v>
      </c>
      <c r="K5319">
        <v>1.1174379999999999</v>
      </c>
      <c r="L5319">
        <v>19.396149999999999</v>
      </c>
      <c r="M5319">
        <v>0.97549260000000004</v>
      </c>
      <c r="N5319">
        <v>0</v>
      </c>
      <c r="O5319">
        <v>-0.21995339999999999</v>
      </c>
      <c r="P5319">
        <v>0.98379519999999998</v>
      </c>
      <c r="Q5319">
        <v>0.1301803</v>
      </c>
      <c r="R5319">
        <v>-0.123289</v>
      </c>
      <c r="S5319">
        <v>3.075745</v>
      </c>
      <c r="T5319">
        <v>-0.24885450000000001</v>
      </c>
      <c r="U5319">
        <v>-5.9356689999999997E-2</v>
      </c>
      <c r="V5319">
        <v>-9.8959729999999996E-2</v>
      </c>
      <c r="W5319">
        <v>0.133954399999999</v>
      </c>
      <c r="X5319">
        <v>0.98603410000000002</v>
      </c>
      <c r="Y5319">
        <v>-0.19973350000000001</v>
      </c>
      <c r="Z5319">
        <v>2.5712240000000001E-2</v>
      </c>
      <c r="AA5319">
        <v>0.97951290000000002</v>
      </c>
      <c r="AB5319">
        <v>35</v>
      </c>
      <c r="AC5319">
        <v>13.6394999999999</v>
      </c>
      <c r="AD5319">
        <v>-1.1174383507527901</v>
      </c>
      <c r="AE5319">
        <v>-0.23015999999999701</v>
      </c>
      <c r="AF5319">
        <v>-2.7570829638930001</v>
      </c>
      <c r="AG5319">
        <v>-1.1174383507527901</v>
      </c>
      <c r="AH5319">
        <v>13.2670646108627</v>
      </c>
      <c r="AI5319">
        <v>94.7142083070935</v>
      </c>
      <c r="AJ5319">
        <v>101.739773085943</v>
      </c>
      <c r="AK5319">
        <v>13.596513462146399</v>
      </c>
      <c r="AL5319">
        <v>82.301837952971397</v>
      </c>
      <c r="AM5319">
        <v>95.7310921984663</v>
      </c>
      <c r="AN5319">
        <v>1.0000000279019201</v>
      </c>
    </row>
    <row r="5320" spans="1:40" x14ac:dyDescent="0.25">
      <c r="A5320" t="str">
        <f>"20190312164135009"</f>
        <v>20190312164135009</v>
      </c>
      <c r="B5320" t="str">
        <f>"1552380095001266"</f>
        <v>1552380095001266</v>
      </c>
      <c r="C5320" t="s">
        <v>40</v>
      </c>
      <c r="D5320">
        <v>4.8325389999999997</v>
      </c>
      <c r="E5320">
        <v>0.46590959999999998</v>
      </c>
      <c r="F5320" t="s">
        <v>52</v>
      </c>
      <c r="G5320">
        <v>-389.2987</v>
      </c>
      <c r="H5320" s="1">
        <v>-4.1357929999999998E-7</v>
      </c>
      <c r="I5320">
        <v>19.156110000000002</v>
      </c>
      <c r="J5320">
        <v>-402.74119999999999</v>
      </c>
      <c r="K5320">
        <v>1.117189</v>
      </c>
      <c r="L5320">
        <v>19.3291</v>
      </c>
      <c r="M5320">
        <v>0.97718190000000005</v>
      </c>
      <c r="N5320">
        <v>0</v>
      </c>
      <c r="O5320">
        <v>-0.21232119999999999</v>
      </c>
      <c r="P5320">
        <v>0.98421420000000004</v>
      </c>
      <c r="Q5320">
        <v>0.12979570000000001</v>
      </c>
      <c r="R5320">
        <v>-0.12031509999999999</v>
      </c>
      <c r="S5320">
        <v>3.075653</v>
      </c>
      <c r="T5320">
        <v>-0.24961259999999999</v>
      </c>
      <c r="U5320">
        <v>-5.3619380000000001E-2</v>
      </c>
      <c r="V5320">
        <v>-9.414293E-2</v>
      </c>
      <c r="W5320">
        <v>0.1337776</v>
      </c>
      <c r="X5320">
        <v>0.98652960000000001</v>
      </c>
      <c r="Y5320">
        <v>-0.1939333</v>
      </c>
      <c r="Z5320">
        <v>2.4950980000000001E-2</v>
      </c>
      <c r="AA5320">
        <v>0.98069740000000005</v>
      </c>
      <c r="AB5320">
        <v>35</v>
      </c>
      <c r="AC5320">
        <v>13.4424999999999</v>
      </c>
      <c r="AD5320">
        <v>-1.1171894135792999</v>
      </c>
      <c r="AE5320">
        <v>-0.17298999999999801</v>
      </c>
      <c r="AF5320">
        <v>-2.66671621774459</v>
      </c>
      <c r="AG5320">
        <v>-1.1171894135792999</v>
      </c>
      <c r="AH5320">
        <v>13.0823833480537</v>
      </c>
      <c r="AI5320">
        <v>94.783125842028994</v>
      </c>
      <c r="AJ5320">
        <v>101.52134249242999</v>
      </c>
      <c r="AK5320">
        <v>13.398068578613399</v>
      </c>
      <c r="AL5320">
        <v>82.312059591742198</v>
      </c>
      <c r="AM5320">
        <v>95.451136836805205</v>
      </c>
      <c r="AN5320">
        <v>0.99999999460345201</v>
      </c>
    </row>
    <row r="5321" spans="1:40" x14ac:dyDescent="0.25">
      <c r="A5321" t="str">
        <f>"20190312164135021"</f>
        <v>20190312164135021</v>
      </c>
      <c r="B5321" t="str">
        <f>"1552380095011026"</f>
        <v>1552380095011026</v>
      </c>
      <c r="C5321" t="s">
        <v>40</v>
      </c>
      <c r="D5321">
        <v>4.9053890000000004</v>
      </c>
      <c r="E5321">
        <v>0.46597559999999899</v>
      </c>
      <c r="F5321" t="s">
        <v>52</v>
      </c>
      <c r="G5321">
        <v>-389.13249999999999</v>
      </c>
      <c r="H5321" s="1">
        <v>-4.9451729999999996E-7</v>
      </c>
      <c r="I5321">
        <v>19.142800000000001</v>
      </c>
      <c r="J5321">
        <v>-402.53879999999998</v>
      </c>
      <c r="K5321">
        <v>1.117029</v>
      </c>
      <c r="L5321">
        <v>19.28867</v>
      </c>
      <c r="M5321">
        <v>0.97816230000000004</v>
      </c>
      <c r="N5321">
        <v>0</v>
      </c>
      <c r="O5321">
        <v>-0.20775669999999999</v>
      </c>
      <c r="P5321">
        <v>0.98450210000000005</v>
      </c>
      <c r="Q5321">
        <v>0.1297681</v>
      </c>
      <c r="R5321">
        <v>-0.11796669999999999</v>
      </c>
      <c r="S5321">
        <v>3.076263</v>
      </c>
      <c r="T5321">
        <v>-0.25254189999999999</v>
      </c>
      <c r="U5321">
        <v>-4.2114260000000001E-2</v>
      </c>
      <c r="V5321">
        <v>-9.1833559999999995E-2</v>
      </c>
      <c r="W5321">
        <v>0.1338792</v>
      </c>
      <c r="X5321">
        <v>0.98673350000000004</v>
      </c>
      <c r="Y5321">
        <v>-0.19301160000000001</v>
      </c>
      <c r="Z5321">
        <v>2.4835139999999999E-2</v>
      </c>
      <c r="AA5321">
        <v>0.98088209999999998</v>
      </c>
      <c r="AB5321">
        <v>35</v>
      </c>
      <c r="AC5321">
        <v>13.4062999999999</v>
      </c>
      <c r="AD5321">
        <v>-1.1170294945173</v>
      </c>
      <c r="AE5321">
        <v>-0.145869999999998</v>
      </c>
      <c r="AF5321">
        <v>-2.62439373286422</v>
      </c>
      <c r="AG5321">
        <v>-1.1170294945173</v>
      </c>
      <c r="AH5321">
        <v>13.0534651086334</v>
      </c>
      <c r="AI5321">
        <v>94.795579700309702</v>
      </c>
      <c r="AJ5321">
        <v>101.367744580303</v>
      </c>
      <c r="AK5321">
        <v>13.361442612945201</v>
      </c>
      <c r="AL5321">
        <v>82.306185708262504</v>
      </c>
      <c r="AM5321">
        <v>95.3171015160747</v>
      </c>
      <c r="AN5321">
        <v>1.00000002147858</v>
      </c>
    </row>
    <row r="5322" spans="1:40" x14ac:dyDescent="0.25">
      <c r="A5322" t="str">
        <f>"20190312164135052"</f>
        <v>20190312164135052</v>
      </c>
      <c r="B5322" t="str">
        <f>"1552380095041282"</f>
        <v>1552380095041282</v>
      </c>
      <c r="C5322" t="s">
        <v>40</v>
      </c>
      <c r="D5322">
        <v>4.8611259999999996</v>
      </c>
      <c r="E5322">
        <v>0.46623359999999903</v>
      </c>
      <c r="F5322" t="s">
        <v>52</v>
      </c>
      <c r="G5322">
        <v>-388.9307</v>
      </c>
      <c r="H5322" s="1">
        <v>-5.9168869999999997E-7</v>
      </c>
      <c r="I5322">
        <v>19.132750000000001</v>
      </c>
      <c r="J5322">
        <v>-402.0686</v>
      </c>
      <c r="K5322">
        <v>1.116654</v>
      </c>
      <c r="L5322">
        <v>19.198270000000001</v>
      </c>
      <c r="M5322">
        <v>0.98024270000000002</v>
      </c>
      <c r="N5322">
        <v>0</v>
      </c>
      <c r="O5322">
        <v>-0.19770380000000001</v>
      </c>
      <c r="P5322">
        <v>0.98504250000000004</v>
      </c>
      <c r="Q5322">
        <v>0.12884960000000001</v>
      </c>
      <c r="R5322">
        <v>-0.11441</v>
      </c>
      <c r="S5322">
        <v>3.0762939999999999</v>
      </c>
      <c r="T5322">
        <v>-0.25251829999999997</v>
      </c>
      <c r="U5322">
        <v>-3.5247800000000003E-2</v>
      </c>
      <c r="V5322">
        <v>-8.5135440000000007E-2</v>
      </c>
      <c r="W5322">
        <v>0.133327799999999</v>
      </c>
      <c r="X5322">
        <v>0.98740859999999997</v>
      </c>
      <c r="Y5322">
        <v>-0.1851833</v>
      </c>
      <c r="Z5322">
        <v>2.370303E-2</v>
      </c>
      <c r="AA5322">
        <v>0.98241809999999996</v>
      </c>
      <c r="AB5322">
        <v>35</v>
      </c>
      <c r="AC5322">
        <v>13.1379</v>
      </c>
      <c r="AD5322">
        <v>-1.1166545916887001</v>
      </c>
      <c r="AE5322">
        <v>-6.5519999999999301E-2</v>
      </c>
      <c r="AF5322">
        <v>-2.51506597351618</v>
      </c>
      <c r="AG5322">
        <v>-1.1166545916887001</v>
      </c>
      <c r="AH5322">
        <v>12.7990656903801</v>
      </c>
      <c r="AI5322">
        <v>94.893038104105798</v>
      </c>
      <c r="AJ5322">
        <v>101.117194630112</v>
      </c>
      <c r="AK5322">
        <v>13.091545243971201</v>
      </c>
      <c r="AL5322">
        <v>82.338064574046797</v>
      </c>
      <c r="AM5322">
        <v>94.927916840159199</v>
      </c>
      <c r="AN5322">
        <v>1.00000004437539</v>
      </c>
    </row>
    <row r="5323" spans="1:40" x14ac:dyDescent="0.25">
      <c r="A5323" t="str">
        <f>"20190312164135063"</f>
        <v>20190312164135063</v>
      </c>
      <c r="B5323" t="str">
        <f>"1552380095052018"</f>
        <v>1552380095052018</v>
      </c>
      <c r="C5323" t="s">
        <v>40</v>
      </c>
      <c r="D5323">
        <v>4.8420399999999999</v>
      </c>
      <c r="E5323">
        <v>0.46642230000000001</v>
      </c>
      <c r="F5323" t="s">
        <v>52</v>
      </c>
      <c r="G5323">
        <v>-388.51</v>
      </c>
      <c r="H5323" s="1">
        <v>-7.9997579999999995E-7</v>
      </c>
      <c r="I5323">
        <v>19.07948</v>
      </c>
      <c r="J5323">
        <v>-401.90109999999999</v>
      </c>
      <c r="K5323">
        <v>1.1165179999999999</v>
      </c>
      <c r="L5323">
        <v>19.16714</v>
      </c>
      <c r="M5323">
        <v>0.98092259999999998</v>
      </c>
      <c r="N5323">
        <v>0</v>
      </c>
      <c r="O5323">
        <v>-0.1942999</v>
      </c>
      <c r="P5323">
        <v>0.9852417</v>
      </c>
      <c r="Q5323">
        <v>0.12853609999999999</v>
      </c>
      <c r="R5323">
        <v>-0.11303829999999999</v>
      </c>
      <c r="S5323">
        <v>3.0755620000000001</v>
      </c>
      <c r="T5323">
        <v>-0.25329689999999999</v>
      </c>
      <c r="U5323">
        <v>-2.6947019999999999E-2</v>
      </c>
      <c r="V5323">
        <v>-8.3034520000000001E-2</v>
      </c>
      <c r="W5323">
        <v>0.13314909999999999</v>
      </c>
      <c r="X5323">
        <v>0.98761149999999998</v>
      </c>
      <c r="Y5323">
        <v>-0.1844266</v>
      </c>
      <c r="Z5323">
        <v>2.3476239999999999E-2</v>
      </c>
      <c r="AA5323">
        <v>0.98256589999999999</v>
      </c>
      <c r="AB5323">
        <v>35</v>
      </c>
      <c r="AC5323">
        <v>13.3910999999999</v>
      </c>
      <c r="AD5323">
        <v>-1.1165187999757999</v>
      </c>
      <c r="AE5323">
        <v>-8.7659999999999599E-2</v>
      </c>
      <c r="AF5323">
        <v>-2.4985810410161098</v>
      </c>
      <c r="AG5323">
        <v>-1.1165187999757999</v>
      </c>
      <c r="AH5323">
        <v>13.062115700740099</v>
      </c>
      <c r="AI5323">
        <v>94.799040437542502</v>
      </c>
      <c r="AJ5323">
        <v>100.828985751166</v>
      </c>
      <c r="AK5323">
        <v>13.345725459065401</v>
      </c>
      <c r="AL5323">
        <v>82.348394671560499</v>
      </c>
      <c r="AM5323">
        <v>94.805902794763298</v>
      </c>
      <c r="AN5323">
        <v>0.99999994463734299</v>
      </c>
    </row>
    <row r="5324" spans="1:40" x14ac:dyDescent="0.25">
      <c r="A5324" t="str">
        <f>"20190312164135074"</f>
        <v>20190312164135074</v>
      </c>
      <c r="B5324" t="str">
        <f>"1552380095071539"</f>
        <v>1552380095071539</v>
      </c>
      <c r="C5324" t="s">
        <v>40</v>
      </c>
      <c r="D5324">
        <v>4.895715</v>
      </c>
      <c r="E5324">
        <v>0.46673130000000002</v>
      </c>
      <c r="F5324" t="s">
        <v>52</v>
      </c>
      <c r="G5324">
        <v>-388.35930000000002</v>
      </c>
      <c r="H5324" s="1">
        <v>-8.746109E-7</v>
      </c>
      <c r="I5324">
        <v>19.060580000000002</v>
      </c>
      <c r="J5324">
        <v>-401.72269999999997</v>
      </c>
      <c r="K5324">
        <v>1.1163730000000001</v>
      </c>
      <c r="L5324">
        <v>19.134519999999998</v>
      </c>
      <c r="M5324">
        <v>0.98161379999999998</v>
      </c>
      <c r="N5324">
        <v>0</v>
      </c>
      <c r="O5324">
        <v>-0.190775</v>
      </c>
      <c r="P5324">
        <v>0.98546820000000002</v>
      </c>
      <c r="Q5324">
        <v>0.12817500000000001</v>
      </c>
      <c r="R5324">
        <v>-0.1114618</v>
      </c>
      <c r="S5324">
        <v>3.0752869999999999</v>
      </c>
      <c r="T5324">
        <v>-0.25355660000000002</v>
      </c>
      <c r="U5324">
        <v>-2.420044E-2</v>
      </c>
      <c r="V5324">
        <v>-8.1015470000000006E-2</v>
      </c>
      <c r="W5324">
        <v>0.13293460000000001</v>
      </c>
      <c r="X5324">
        <v>0.98780809999999997</v>
      </c>
      <c r="Y5324">
        <v>-0.1817907</v>
      </c>
      <c r="Z5324">
        <v>2.3108429999999999E-2</v>
      </c>
      <c r="AA5324">
        <v>0.98306570000000004</v>
      </c>
      <c r="AB5324">
        <v>36</v>
      </c>
      <c r="AC5324">
        <v>13.363399999999899</v>
      </c>
      <c r="AD5324">
        <v>-1.11637387461089</v>
      </c>
      <c r="AE5324">
        <v>-7.3940000000003794E-2</v>
      </c>
      <c r="AF5324">
        <v>-2.4597052669794599</v>
      </c>
      <c r="AG5324">
        <v>-1.11637387461089</v>
      </c>
      <c r="AH5324">
        <v>13.0410523755122</v>
      </c>
      <c r="AI5324">
        <v>94.808478315670001</v>
      </c>
      <c r="AJ5324">
        <v>100.68121864268601</v>
      </c>
      <c r="AK5324">
        <v>13.3178634806478</v>
      </c>
      <c r="AL5324">
        <v>82.360795108353003</v>
      </c>
      <c r="AM5324">
        <v>94.688641936888601</v>
      </c>
      <c r="AN5324">
        <v>0.99999997834104504</v>
      </c>
    </row>
    <row r="5325" spans="1:40" x14ac:dyDescent="0.25">
      <c r="A5325" t="str">
        <f>"20190312164135087"</f>
        <v>20190312164135087</v>
      </c>
      <c r="B5325" t="str">
        <f>"1552380095081298"</f>
        <v>1552380095081298</v>
      </c>
      <c r="C5325" t="s">
        <v>40</v>
      </c>
      <c r="D5325">
        <v>4.8859919999999999</v>
      </c>
      <c r="E5325">
        <v>0.46695799999999998</v>
      </c>
      <c r="F5325" t="s">
        <v>52</v>
      </c>
      <c r="G5325">
        <v>-388.16500000000002</v>
      </c>
      <c r="H5325" s="1">
        <v>-9.7041659999999993E-7</v>
      </c>
      <c r="I5325">
        <v>19.038039999999999</v>
      </c>
      <c r="J5325">
        <v>-401.53899999999999</v>
      </c>
      <c r="K5325">
        <v>1.116217</v>
      </c>
      <c r="L5325">
        <v>19.101680000000002</v>
      </c>
      <c r="M5325">
        <v>0.98228400000000005</v>
      </c>
      <c r="N5325">
        <v>0</v>
      </c>
      <c r="O5325">
        <v>-0.18729009999999999</v>
      </c>
      <c r="P5325">
        <v>0.98559370000000002</v>
      </c>
      <c r="Q5325">
        <v>0.12831969999999901</v>
      </c>
      <c r="R5325">
        <v>-0.1101775</v>
      </c>
      <c r="S5325">
        <v>3.0747070000000001</v>
      </c>
      <c r="T5325">
        <v>-0.2531796</v>
      </c>
      <c r="U5325">
        <v>-2.1881100000000001E-2</v>
      </c>
      <c r="V5325">
        <v>-7.8737879999999996E-2</v>
      </c>
      <c r="W5325">
        <v>0.13324129999999901</v>
      </c>
      <c r="X5325">
        <v>0.98795100000000002</v>
      </c>
      <c r="Y5325">
        <v>-0.1790651</v>
      </c>
      <c r="Z5325">
        <v>2.268444E-2</v>
      </c>
      <c r="AA5325">
        <v>0.98357570000000005</v>
      </c>
      <c r="AB5325">
        <v>36</v>
      </c>
      <c r="AC5325">
        <v>13.373999999999899</v>
      </c>
      <c r="AD5325">
        <v>-1.1162179704166</v>
      </c>
      <c r="AE5325">
        <v>-6.3639999999999405E-2</v>
      </c>
      <c r="AF5325">
        <v>-2.4254597220499998</v>
      </c>
      <c r="AG5325">
        <v>-1.1162179704166</v>
      </c>
      <c r="AH5325">
        <v>13.058291732623299</v>
      </c>
      <c r="AI5325">
        <v>94.803974775580897</v>
      </c>
      <c r="AJ5325">
        <v>100.52226201452901</v>
      </c>
      <c r="AK5325">
        <v>13.328457539980599</v>
      </c>
      <c r="AL5325">
        <v>82.343065227516703</v>
      </c>
      <c r="AM5325">
        <v>94.5567368491228</v>
      </c>
      <c r="AN5325">
        <v>1.0000000380867899</v>
      </c>
    </row>
    <row r="5326" spans="1:40" x14ac:dyDescent="0.25">
      <c r="A5326" t="str">
        <f>"20190312164135110"</f>
        <v>20190312164135110</v>
      </c>
      <c r="B5326" t="str">
        <f>"1552380095101794"</f>
        <v>1552380095101794</v>
      </c>
      <c r="C5326" t="s">
        <v>40</v>
      </c>
      <c r="D5326">
        <v>4.8849600000000004</v>
      </c>
      <c r="E5326">
        <v>0.46735189999999999</v>
      </c>
      <c r="F5326" t="s">
        <v>52</v>
      </c>
      <c r="G5326">
        <v>-387.94409999999999</v>
      </c>
      <c r="H5326" s="1">
        <v>-1.0790209999999999E-6</v>
      </c>
      <c r="I5326">
        <v>19.01465</v>
      </c>
      <c r="J5326">
        <v>-401.17169999999999</v>
      </c>
      <c r="K5326">
        <v>1.115901</v>
      </c>
      <c r="L5326">
        <v>19.037569999999999</v>
      </c>
      <c r="M5326">
        <v>0.98352709999999999</v>
      </c>
      <c r="N5326">
        <v>0</v>
      </c>
      <c r="O5326">
        <v>-0.180641</v>
      </c>
      <c r="P5326">
        <v>0.98579360000000005</v>
      </c>
      <c r="Q5326">
        <v>0.12908219999999901</v>
      </c>
      <c r="R5326">
        <v>-0.1074657</v>
      </c>
      <c r="S5326">
        <v>3.074554</v>
      </c>
      <c r="T5326">
        <v>-0.25243749999999998</v>
      </c>
      <c r="U5326">
        <v>-1.9683840000000001E-2</v>
      </c>
      <c r="V5326">
        <v>-7.4647809999999995E-2</v>
      </c>
      <c r="W5326">
        <v>0.1343414</v>
      </c>
      <c r="X5326">
        <v>0.98811950000000004</v>
      </c>
      <c r="Y5326">
        <v>-0.17315939999999999</v>
      </c>
      <c r="Z5326">
        <v>2.1839859999999999E-2</v>
      </c>
      <c r="AA5326">
        <v>0.98465159999999996</v>
      </c>
      <c r="AB5326">
        <v>36</v>
      </c>
      <c r="AC5326">
        <v>13.227599999999899</v>
      </c>
      <c r="AD5326">
        <v>-1.1159020790209999</v>
      </c>
      <c r="AE5326">
        <v>-2.2920000000002699E-2</v>
      </c>
      <c r="AF5326">
        <v>-2.3502293966093202</v>
      </c>
      <c r="AG5326">
        <v>-1.1159020790209999</v>
      </c>
      <c r="AH5326">
        <v>12.922159667552901</v>
      </c>
      <c r="AI5326">
        <v>94.8562959825462</v>
      </c>
      <c r="AJ5326">
        <v>100.30804752204099</v>
      </c>
      <c r="AK5326">
        <v>13.181465250129801</v>
      </c>
      <c r="AL5326">
        <v>82.279462231238995</v>
      </c>
      <c r="AM5326">
        <v>94.320222185236005</v>
      </c>
      <c r="AN5326">
        <v>1.0000000267860001</v>
      </c>
    </row>
    <row r="5327" spans="1:40" x14ac:dyDescent="0.25">
      <c r="A5327" t="str">
        <f>"20190312164135124"</f>
        <v>20190312164135124</v>
      </c>
      <c r="B5327" t="str">
        <f>"1552380095111555"</f>
        <v>1552380095111555</v>
      </c>
      <c r="C5327" t="s">
        <v>40</v>
      </c>
      <c r="D5327">
        <v>4.9221059999999897</v>
      </c>
      <c r="E5327">
        <v>0.46754319999999999</v>
      </c>
      <c r="F5327" t="s">
        <v>52</v>
      </c>
      <c r="G5327">
        <v>-387.35899999999998</v>
      </c>
      <c r="H5327" s="1">
        <v>-1.362903E-6</v>
      </c>
      <c r="I5327">
        <v>18.97326</v>
      </c>
      <c r="J5327">
        <v>-400.96170000000001</v>
      </c>
      <c r="K5327">
        <v>1.1157189999999999</v>
      </c>
      <c r="L5327">
        <v>19.001919999999998</v>
      </c>
      <c r="M5327">
        <v>0.98418150000000004</v>
      </c>
      <c r="N5327">
        <v>0</v>
      </c>
      <c r="O5327">
        <v>-0.17703640000000001</v>
      </c>
      <c r="P5327">
        <v>0.98584689999999997</v>
      </c>
      <c r="Q5327">
        <v>0.12966839999999999</v>
      </c>
      <c r="R5327">
        <v>-0.1062641</v>
      </c>
      <c r="S5327">
        <v>3.0742189999999998</v>
      </c>
      <c r="T5327">
        <v>-0.24836130000000001</v>
      </c>
      <c r="U5327">
        <v>-1.4312739999999999E-2</v>
      </c>
      <c r="V5327">
        <v>-7.2158029999999998E-2</v>
      </c>
      <c r="W5327">
        <v>0.13513510000000001</v>
      </c>
      <c r="X5327">
        <v>0.98819619999999997</v>
      </c>
      <c r="Y5327">
        <v>-0.17132620000000001</v>
      </c>
      <c r="Z5327">
        <v>2.1130369999999999E-2</v>
      </c>
      <c r="AA5327">
        <v>0.98498770000000002</v>
      </c>
      <c r="AB5327">
        <v>36</v>
      </c>
      <c r="AC5327">
        <v>13.602699999999899</v>
      </c>
      <c r="AD5327">
        <v>-1.1157203629029999</v>
      </c>
      <c r="AE5327">
        <v>-2.86600000000021E-2</v>
      </c>
      <c r="AF5327">
        <v>-2.36411505298185</v>
      </c>
      <c r="AG5327">
        <v>-1.1157203629029999</v>
      </c>
      <c r="AH5327">
        <v>13.303400522439301</v>
      </c>
      <c r="AI5327">
        <v>94.720409894804007</v>
      </c>
      <c r="AJ5327">
        <v>100.07669887681701</v>
      </c>
      <c r="AK5327">
        <v>13.5578146237648</v>
      </c>
      <c r="AL5327">
        <v>82.233567887599904</v>
      </c>
      <c r="AM5327">
        <v>94.1763224724656</v>
      </c>
      <c r="AN5327">
        <v>1.0000000031199601</v>
      </c>
    </row>
    <row r="5328" spans="1:40" x14ac:dyDescent="0.25">
      <c r="A5328" t="str">
        <f>"20190312164135142"</f>
        <v>20190312164135142</v>
      </c>
      <c r="B5328" t="str">
        <f>"1552380095131434"</f>
        <v>1552380095131434</v>
      </c>
      <c r="C5328" t="s">
        <v>40</v>
      </c>
      <c r="D5328">
        <v>5.0377150000000004</v>
      </c>
      <c r="E5328">
        <v>0.467885</v>
      </c>
      <c r="F5328" t="s">
        <v>52</v>
      </c>
      <c r="G5328">
        <v>-387.0308</v>
      </c>
      <c r="H5328" s="1">
        <v>-1.5227109999999999E-6</v>
      </c>
      <c r="I5328">
        <v>18.947150000000001</v>
      </c>
      <c r="J5328">
        <v>-400.66969999999998</v>
      </c>
      <c r="K5328">
        <v>1.1154729999999999</v>
      </c>
      <c r="L5328">
        <v>18.95346</v>
      </c>
      <c r="M5328">
        <v>0.98502840000000003</v>
      </c>
      <c r="N5328">
        <v>0</v>
      </c>
      <c r="O5328">
        <v>-0.1722542</v>
      </c>
      <c r="P5328">
        <v>0.98574660000000003</v>
      </c>
      <c r="Q5328">
        <v>0.1305615</v>
      </c>
      <c r="R5328">
        <v>-0.1061013</v>
      </c>
      <c r="S5328">
        <v>3.0741580000000002</v>
      </c>
      <c r="T5328">
        <v>-0.2462076</v>
      </c>
      <c r="U5328">
        <v>-1.208496E-2</v>
      </c>
      <c r="V5328">
        <v>-6.7418279999999997E-2</v>
      </c>
      <c r="W5328">
        <v>0.13634689999999999</v>
      </c>
      <c r="X5328">
        <v>0.98836449999999998</v>
      </c>
      <c r="Y5328">
        <v>-0.1673017</v>
      </c>
      <c r="Z5328">
        <v>2.0409670000000001E-2</v>
      </c>
      <c r="AA5328">
        <v>0.98569450000000003</v>
      </c>
      <c r="AB5328">
        <v>36</v>
      </c>
      <c r="AC5328">
        <v>13.6388999999999</v>
      </c>
      <c r="AD5328">
        <v>-1.1154745227109999</v>
      </c>
      <c r="AE5328">
        <v>-6.3099999999991496E-3</v>
      </c>
      <c r="AF5328">
        <v>-2.3276284966759699</v>
      </c>
      <c r="AG5328">
        <v>-1.1154745227109999</v>
      </c>
      <c r="AH5328">
        <v>13.346833330046</v>
      </c>
      <c r="AI5328">
        <v>94.706735112599404</v>
      </c>
      <c r="AJ5328">
        <v>99.8926393848012</v>
      </c>
      <c r="AK5328">
        <v>13.594119970391001</v>
      </c>
      <c r="AL5328">
        <v>82.163488541667405</v>
      </c>
      <c r="AM5328">
        <v>93.902212761614706</v>
      </c>
      <c r="AN5328">
        <v>1.0000000432389999</v>
      </c>
    </row>
    <row r="5329" spans="1:40" x14ac:dyDescent="0.25">
      <c r="A5329" t="str">
        <f>"20190312164135154"</f>
        <v>20190312164135154</v>
      </c>
      <c r="B5329" t="str">
        <f>"1552380095151932"</f>
        <v>1552380095151932</v>
      </c>
      <c r="C5329" t="s">
        <v>40</v>
      </c>
      <c r="D5329">
        <v>4.9451299999999998</v>
      </c>
      <c r="E5329">
        <v>0.46826099999999998</v>
      </c>
      <c r="F5329" t="s">
        <v>52</v>
      </c>
      <c r="G5329">
        <v>-386.54829999999998</v>
      </c>
      <c r="H5329" s="1">
        <v>-1.761031E-6</v>
      </c>
      <c r="I5329">
        <v>18.889389999999999</v>
      </c>
      <c r="J5329">
        <v>-400.46480000000003</v>
      </c>
      <c r="K5329">
        <v>1.1153</v>
      </c>
      <c r="L5329">
        <v>18.920200000000001</v>
      </c>
      <c r="M5329">
        <v>0.98558230000000002</v>
      </c>
      <c r="N5329">
        <v>0</v>
      </c>
      <c r="O5329">
        <v>-0.1690509</v>
      </c>
      <c r="P5329">
        <v>0.98572769999999998</v>
      </c>
      <c r="Q5329">
        <v>0.1311165</v>
      </c>
      <c r="R5329">
        <v>-0.1055917</v>
      </c>
      <c r="S5329">
        <v>3.074036</v>
      </c>
      <c r="T5329">
        <v>-0.2428237</v>
      </c>
      <c r="U5329">
        <v>-1.394653E-2</v>
      </c>
      <c r="V5329">
        <v>-6.4646010000000004E-2</v>
      </c>
      <c r="W5329">
        <v>0.13712160000000001</v>
      </c>
      <c r="X5329">
        <v>0.9884425</v>
      </c>
      <c r="Y5329">
        <v>-0.1635498</v>
      </c>
      <c r="Z5329">
        <v>1.9732929999999999E-2</v>
      </c>
      <c r="AA5329">
        <v>0.98633769999999998</v>
      </c>
      <c r="AB5329">
        <v>36</v>
      </c>
      <c r="AC5329">
        <v>13.916499999999999</v>
      </c>
      <c r="AD5329">
        <v>-1.1153017610310001</v>
      </c>
      <c r="AE5329">
        <v>-3.0810000000002401E-2</v>
      </c>
      <c r="AF5329">
        <v>-2.3074679871799502</v>
      </c>
      <c r="AG5329">
        <v>-1.1153017610310001</v>
      </c>
      <c r="AH5329">
        <v>13.6338358932929</v>
      </c>
      <c r="AI5329">
        <v>94.611319971437396</v>
      </c>
      <c r="AJ5329">
        <v>99.606035346641804</v>
      </c>
      <c r="AK5329">
        <v>13.872627281638501</v>
      </c>
      <c r="AL5329">
        <v>82.118680374789093</v>
      </c>
      <c r="AM5329">
        <v>93.741923233503897</v>
      </c>
      <c r="AN5329">
        <v>1.00000000780086</v>
      </c>
    </row>
    <row r="5330" spans="1:40" x14ac:dyDescent="0.25">
      <c r="A5330" t="str">
        <f>"20190312164135176"</f>
        <v>20190312164135176</v>
      </c>
      <c r="B5330" t="str">
        <f>"1552380095171451"</f>
        <v>1552380095171451</v>
      </c>
      <c r="C5330" t="s">
        <v>40</v>
      </c>
      <c r="D5330">
        <v>4.9973599999999996</v>
      </c>
      <c r="E5330">
        <v>0.46849220000000003</v>
      </c>
      <c r="F5330" t="s">
        <v>52</v>
      </c>
      <c r="G5330">
        <v>-386.34210000000002</v>
      </c>
      <c r="H5330" s="1">
        <v>-1.865363E-6</v>
      </c>
      <c r="I5330">
        <v>18.850660000000001</v>
      </c>
      <c r="J5330">
        <v>-400.14260000000002</v>
      </c>
      <c r="K5330">
        <v>1.1150629999999999</v>
      </c>
      <c r="L5330">
        <v>18.869199999999999</v>
      </c>
      <c r="M5330">
        <v>0.98639149999999998</v>
      </c>
      <c r="N5330">
        <v>0</v>
      </c>
      <c r="O5330">
        <v>-0.16425239999999999</v>
      </c>
      <c r="P5330">
        <v>0.98559330000000001</v>
      </c>
      <c r="Q5330">
        <v>0.13229109999999999</v>
      </c>
      <c r="R5330">
        <v>-0.10538169999999999</v>
      </c>
      <c r="S5330">
        <v>3.0740660000000002</v>
      </c>
      <c r="T5330">
        <v>-0.24276700000000001</v>
      </c>
      <c r="U5330">
        <v>-1.5136719999999999E-2</v>
      </c>
      <c r="V5330">
        <v>-5.993797E-2</v>
      </c>
      <c r="W5330">
        <v>0.1386551</v>
      </c>
      <c r="X5330">
        <v>0.98852530000000005</v>
      </c>
      <c r="Y5330">
        <v>-0.15839679999999901</v>
      </c>
      <c r="Z5330">
        <v>1.9150629999999998E-2</v>
      </c>
      <c r="AA5330">
        <v>0.98718980000000001</v>
      </c>
      <c r="AB5330">
        <v>36</v>
      </c>
      <c r="AC5330">
        <v>13.8005</v>
      </c>
      <c r="AD5330">
        <v>-1.115064865363</v>
      </c>
      <c r="AE5330">
        <v>-1.8539999999997999E-2</v>
      </c>
      <c r="AF5330">
        <v>-2.2339528461709199</v>
      </c>
      <c r="AG5330">
        <v>-1.115064865363</v>
      </c>
      <c r="AH5330">
        <v>13.5277862532831</v>
      </c>
      <c r="AI5330">
        <v>94.649420944989799</v>
      </c>
      <c r="AJ5330">
        <v>99.377087462403594</v>
      </c>
      <c r="AK5330">
        <v>13.7562682398751</v>
      </c>
      <c r="AL5330">
        <v>82.029970107434494</v>
      </c>
      <c r="AM5330">
        <v>93.469808439498706</v>
      </c>
      <c r="AN5330">
        <v>1.0000000328719001</v>
      </c>
    </row>
    <row r="5331" spans="1:40" x14ac:dyDescent="0.25">
      <c r="A5331" t="str">
        <f>"20190312164135187"</f>
        <v>20190312164135187</v>
      </c>
      <c r="B5331" t="str">
        <f>"1552380095181211"</f>
        <v>1552380095181211</v>
      </c>
      <c r="C5331" t="s">
        <v>40</v>
      </c>
      <c r="D5331">
        <v>4.990399</v>
      </c>
      <c r="E5331">
        <v>0.46862890000000001</v>
      </c>
      <c r="F5331" t="s">
        <v>52</v>
      </c>
      <c r="G5331">
        <v>-385.91019999999997</v>
      </c>
      <c r="H5331" s="1">
        <v>-2.0793909999999999E-6</v>
      </c>
      <c r="I5331">
        <v>18.795169999999999</v>
      </c>
      <c r="J5331">
        <v>-399.95729999999998</v>
      </c>
      <c r="K5331">
        <v>1.114927</v>
      </c>
      <c r="L5331">
        <v>18.840579999999999</v>
      </c>
      <c r="M5331">
        <v>0.98682119999999995</v>
      </c>
      <c r="N5331">
        <v>0</v>
      </c>
      <c r="O5331">
        <v>-0.16164289999999901</v>
      </c>
      <c r="P5331">
        <v>0.98555570000000003</v>
      </c>
      <c r="Q5331">
        <v>0.13271759999999999</v>
      </c>
      <c r="R5331">
        <v>-0.1051966</v>
      </c>
      <c r="S5331">
        <v>3.0744630000000002</v>
      </c>
      <c r="T5331">
        <v>-0.24087439999999999</v>
      </c>
      <c r="U5331">
        <v>-1.5991209999999999E-2</v>
      </c>
      <c r="V5331">
        <v>-5.745078E-2</v>
      </c>
      <c r="W5331">
        <v>0.13930200000000001</v>
      </c>
      <c r="X5331">
        <v>0.98858199999999996</v>
      </c>
      <c r="Y5331">
        <v>-0.15554389999999901</v>
      </c>
      <c r="Z5331">
        <v>1.868568E-2</v>
      </c>
      <c r="AA5331">
        <v>0.98765219999999998</v>
      </c>
      <c r="AB5331">
        <v>36</v>
      </c>
      <c r="AC5331">
        <v>14.0471</v>
      </c>
      <c r="AD5331">
        <v>-1.1149290793910001</v>
      </c>
      <c r="AE5331">
        <v>-4.54099999999968E-2</v>
      </c>
      <c r="AF5331">
        <v>-2.21192980044178</v>
      </c>
      <c r="AG5331">
        <v>-1.1149290793910001</v>
      </c>
      <c r="AH5331">
        <v>13.782873801005399</v>
      </c>
      <c r="AI5331">
        <v>94.566540387865501</v>
      </c>
      <c r="AJ5331">
        <v>99.117310114326997</v>
      </c>
      <c r="AK5331">
        <v>14.0036891749494</v>
      </c>
      <c r="AL5331">
        <v>81.992542021024903</v>
      </c>
      <c r="AM5331">
        <v>93.325964937681903</v>
      </c>
      <c r="AN5331">
        <v>1.0000000050253</v>
      </c>
    </row>
    <row r="5332" spans="1:40" x14ac:dyDescent="0.25">
      <c r="A5332" t="str">
        <f>"20190312164135199"</f>
        <v>20190312164135199</v>
      </c>
      <c r="B5332" t="str">
        <f>"1552380095191947"</f>
        <v>1552380095191947</v>
      </c>
      <c r="C5332" t="s">
        <v>40</v>
      </c>
      <c r="D5332">
        <v>5.0213869999999998</v>
      </c>
      <c r="E5332">
        <v>0.46862890000000001</v>
      </c>
      <c r="F5332" t="s">
        <v>52</v>
      </c>
      <c r="G5332">
        <v>-385.7011</v>
      </c>
      <c r="H5332" s="1">
        <v>-2.183488E-6</v>
      </c>
      <c r="I5332">
        <v>18.7653</v>
      </c>
      <c r="J5332">
        <v>-399.76260000000002</v>
      </c>
      <c r="K5332">
        <v>1.114795</v>
      </c>
      <c r="L5332">
        <v>18.810790000000001</v>
      </c>
      <c r="M5332">
        <v>0.98725629999999998</v>
      </c>
      <c r="N5332">
        <v>0</v>
      </c>
      <c r="O5332">
        <v>-0.15895680000000001</v>
      </c>
      <c r="P5332">
        <v>0.98556730000000003</v>
      </c>
      <c r="Q5332">
        <v>0.13279949999999999</v>
      </c>
      <c r="R5332">
        <v>-0.1049841</v>
      </c>
      <c r="S5332">
        <v>3.074646</v>
      </c>
      <c r="T5332">
        <v>-0.24045910000000001</v>
      </c>
      <c r="U5332">
        <v>-1.6235349999999999E-2</v>
      </c>
      <c r="V5332">
        <v>-5.4915770000000003E-2</v>
      </c>
      <c r="W5332">
        <v>0.13962069999999999</v>
      </c>
      <c r="X5332">
        <v>0.98868109999999998</v>
      </c>
      <c r="Y5332">
        <v>-0.1527973</v>
      </c>
      <c r="Z5332">
        <v>1.8337559999999999E-2</v>
      </c>
      <c r="AA5332">
        <v>0.98808739999999995</v>
      </c>
      <c r="AB5332">
        <v>36</v>
      </c>
      <c r="AC5332">
        <v>14.061500000000001</v>
      </c>
      <c r="AD5332">
        <v>-1.1147971834879999</v>
      </c>
      <c r="AE5332">
        <v>-4.5490000000000898E-2</v>
      </c>
      <c r="AF5332">
        <v>-2.1766431946744702</v>
      </c>
      <c r="AG5332">
        <v>-1.1147971834879999</v>
      </c>
      <c r="AH5332">
        <v>13.8031796737799</v>
      </c>
      <c r="AI5332">
        <v>94.561281317217393</v>
      </c>
      <c r="AJ5332">
        <v>98.961261196135993</v>
      </c>
      <c r="AK5332">
        <v>14.018142439848701</v>
      </c>
      <c r="AL5332">
        <v>81.974101603847402</v>
      </c>
      <c r="AM5332">
        <v>93.179197051217997</v>
      </c>
      <c r="AN5332">
        <v>0.99999999958019603</v>
      </c>
    </row>
    <row r="5333" spans="1:40" x14ac:dyDescent="0.25">
      <c r="A5333" t="str">
        <f>"20190312164135212"</f>
        <v>20190312164135212</v>
      </c>
      <c r="B5333" t="str">
        <f>"1552380095201707"</f>
        <v>1552380095201707</v>
      </c>
      <c r="C5333" t="s">
        <v>40</v>
      </c>
      <c r="D5333">
        <v>5.0755780000000001</v>
      </c>
      <c r="E5333">
        <v>0.47616330000000001</v>
      </c>
      <c r="F5333" t="s">
        <v>52</v>
      </c>
      <c r="G5333">
        <v>-385.49439999999998</v>
      </c>
      <c r="H5333" s="1">
        <v>-2.286031E-6</v>
      </c>
      <c r="I5333">
        <v>18.738140000000001</v>
      </c>
      <c r="J5333">
        <v>-399.55650000000003</v>
      </c>
      <c r="K5333">
        <v>1.114663</v>
      </c>
      <c r="L5333">
        <v>18.78</v>
      </c>
      <c r="M5333">
        <v>0.98768619999999996</v>
      </c>
      <c r="N5333">
        <v>0</v>
      </c>
      <c r="O5333">
        <v>-0.15625139999999901</v>
      </c>
      <c r="P5333">
        <v>0.98561319999999997</v>
      </c>
      <c r="Q5333">
        <v>0.13276370000000001</v>
      </c>
      <c r="R5333">
        <v>-0.1045972</v>
      </c>
      <c r="S5333">
        <v>3.074646</v>
      </c>
      <c r="T5333">
        <v>-0.2402273</v>
      </c>
      <c r="U5333">
        <v>-1.5655519999999999E-2</v>
      </c>
      <c r="V5333">
        <v>-5.2537830000000001E-2</v>
      </c>
      <c r="W5333">
        <v>0.13985159999999999</v>
      </c>
      <c r="X5333">
        <v>0.98877769999999998</v>
      </c>
      <c r="Y5333">
        <v>-0.15029389999999901</v>
      </c>
      <c r="Z5333">
        <v>1.8013370000000001E-2</v>
      </c>
      <c r="AA5333">
        <v>0.98847719999999994</v>
      </c>
      <c r="AB5333">
        <v>36</v>
      </c>
      <c r="AC5333">
        <v>14.062099999999999</v>
      </c>
      <c r="AD5333">
        <v>-1.114665286031</v>
      </c>
      <c r="AE5333">
        <v>-4.1860000000003297E-2</v>
      </c>
      <c r="AF5333">
        <v>-2.1424827647073501</v>
      </c>
      <c r="AG5333">
        <v>-1.114665286031</v>
      </c>
      <c r="AH5333">
        <v>13.8091435153646</v>
      </c>
      <c r="AI5333">
        <v>94.560544705683199</v>
      </c>
      <c r="AJ5333">
        <v>98.819101818224993</v>
      </c>
      <c r="AK5333">
        <v>14.0187430151525</v>
      </c>
      <c r="AL5333">
        <v>81.960741063104194</v>
      </c>
      <c r="AM5333">
        <v>93.041500514437899</v>
      </c>
      <c r="AN5333">
        <v>1.0000000168104699</v>
      </c>
    </row>
    <row r="5334" spans="1:40" x14ac:dyDescent="0.25">
      <c r="A5334" t="str">
        <f>"20190312164135233"</f>
        <v>20190312164135233</v>
      </c>
      <c r="B5334" t="str">
        <f>"1552380095221227"</f>
        <v>1552380095221227</v>
      </c>
      <c r="C5334" t="s">
        <v>40</v>
      </c>
      <c r="D5334">
        <v>5.005674</v>
      </c>
      <c r="E5334">
        <v>0.47351300000000002</v>
      </c>
      <c r="F5334" t="s">
        <v>52</v>
      </c>
      <c r="G5334">
        <v>-386.45249999999999</v>
      </c>
      <c r="H5334" s="1">
        <v>-1.8808170000000001E-6</v>
      </c>
      <c r="I5334">
        <v>18.469449999999998</v>
      </c>
      <c r="J5334">
        <v>-399.2346</v>
      </c>
      <c r="K5334">
        <v>1.1144689999999999</v>
      </c>
      <c r="L5334">
        <v>18.732790000000001</v>
      </c>
      <c r="M5334">
        <v>0.98831979999999997</v>
      </c>
      <c r="N5334">
        <v>0</v>
      </c>
      <c r="O5334">
        <v>-0.152173</v>
      </c>
      <c r="P5334">
        <v>0.98555680000000001</v>
      </c>
      <c r="Q5334">
        <v>0.13238949999999999</v>
      </c>
      <c r="R5334">
        <v>-0.10559780000000001</v>
      </c>
      <c r="S5334">
        <v>3.071259</v>
      </c>
      <c r="T5334">
        <v>-0.26124979999999998</v>
      </c>
      <c r="U5334">
        <v>-7.2784420000000002E-2</v>
      </c>
      <c r="V5334">
        <v>-4.7368220000000003E-2</v>
      </c>
      <c r="W5334">
        <v>0.13992379999999999</v>
      </c>
      <c r="X5334">
        <v>0.98902860000000004</v>
      </c>
      <c r="Y5334">
        <v>-0.1277134</v>
      </c>
      <c r="Z5334">
        <v>1.8297130000000002E-2</v>
      </c>
      <c r="AA5334">
        <v>0.99164240000000003</v>
      </c>
      <c r="AB5334">
        <v>36</v>
      </c>
      <c r="AC5334">
        <v>12.7821</v>
      </c>
      <c r="AD5334">
        <v>-1.1144708808170001</v>
      </c>
      <c r="AE5334">
        <v>-0.26333999999999902</v>
      </c>
      <c r="AF5334">
        <v>-1.6721764641352601</v>
      </c>
      <c r="AG5334">
        <v>-1.1144708808170001</v>
      </c>
      <c r="AH5334">
        <v>12.577726097298701</v>
      </c>
      <c r="AI5334">
        <v>95.019628235246699</v>
      </c>
      <c r="AJ5334">
        <v>97.572918317586797</v>
      </c>
      <c r="AK5334">
        <v>12.7372451201218</v>
      </c>
      <c r="AL5334">
        <v>81.9565630509709</v>
      </c>
      <c r="AM5334">
        <v>92.742010506496399</v>
      </c>
      <c r="AN5334">
        <v>0.99999999484518398</v>
      </c>
    </row>
    <row r="5335" spans="1:40" x14ac:dyDescent="0.25">
      <c r="A5335" t="str">
        <f>"20190312164135255"</f>
        <v>20190312164135255</v>
      </c>
      <c r="B5335" t="str">
        <f>"1552380095251482"</f>
        <v>1552380095251482</v>
      </c>
      <c r="C5335" t="s">
        <v>40</v>
      </c>
      <c r="D5335">
        <v>5.0205520000000003</v>
      </c>
      <c r="E5335">
        <v>0.47275840000000002</v>
      </c>
      <c r="F5335" t="s">
        <v>52</v>
      </c>
      <c r="G5335">
        <v>-385.50540000000001</v>
      </c>
      <c r="H5335" s="1">
        <v>-2.325767E-6</v>
      </c>
      <c r="I5335">
        <v>18.4848</v>
      </c>
      <c r="J5335">
        <v>-398.89260000000002</v>
      </c>
      <c r="K5335">
        <v>1.1142939999999999</v>
      </c>
      <c r="L5335">
        <v>18.68402</v>
      </c>
      <c r="M5335">
        <v>0.9889445</v>
      </c>
      <c r="N5335">
        <v>0</v>
      </c>
      <c r="O5335">
        <v>-0.148037</v>
      </c>
      <c r="P5335">
        <v>0.98546679999999998</v>
      </c>
      <c r="Q5335">
        <v>0.13194819999999999</v>
      </c>
      <c r="R5335">
        <v>-0.10698290000000001</v>
      </c>
      <c r="S5335">
        <v>3.0715029999999999</v>
      </c>
      <c r="T5335">
        <v>-0.2493311</v>
      </c>
      <c r="U5335">
        <v>-5.5480960000000003E-2</v>
      </c>
      <c r="V5335">
        <v>-4.1760739999999998E-2</v>
      </c>
      <c r="W5335">
        <v>0.13997479999999901</v>
      </c>
      <c r="X5335">
        <v>0.98927399999999999</v>
      </c>
      <c r="Y5335">
        <v>-0.12924859999999999</v>
      </c>
      <c r="Z5335">
        <v>1.7196329999999999E-2</v>
      </c>
      <c r="AA5335">
        <v>0.99146310000000004</v>
      </c>
      <c r="AB5335">
        <v>36</v>
      </c>
      <c r="AC5335">
        <v>13.3872</v>
      </c>
      <c r="AD5335">
        <v>-1.114296325767</v>
      </c>
      <c r="AE5335">
        <v>-0.19922000000000001</v>
      </c>
      <c r="AF5335">
        <v>-1.7725712346225999</v>
      </c>
      <c r="AG5335">
        <v>-1.114296325767</v>
      </c>
      <c r="AH5335">
        <v>13.177900307680201</v>
      </c>
      <c r="AI5335">
        <v>94.790377611029598</v>
      </c>
      <c r="AJ5335">
        <v>97.660924223534195</v>
      </c>
      <c r="AK5335">
        <v>13.343190083431599</v>
      </c>
      <c r="AL5335">
        <v>81.953611766961103</v>
      </c>
      <c r="AM5335">
        <v>92.417221529713103</v>
      </c>
      <c r="AN5335">
        <v>0.99999997555819298</v>
      </c>
    </row>
    <row r="5336" spans="1:40" x14ac:dyDescent="0.25">
      <c r="A5336" t="str">
        <f>"20190312164135269"</f>
        <v>20190312164135269</v>
      </c>
      <c r="B5336" t="str">
        <f>"1552380095261243"</f>
        <v>1552380095261243</v>
      </c>
      <c r="C5336" t="s">
        <v>40</v>
      </c>
      <c r="D5336">
        <v>5.0720939999999999</v>
      </c>
      <c r="E5336">
        <v>0.47293000000000002</v>
      </c>
      <c r="F5336" t="s">
        <v>52</v>
      </c>
      <c r="G5336">
        <v>-385.12950000000001</v>
      </c>
      <c r="H5336" s="1">
        <v>-2.5108479999999998E-6</v>
      </c>
      <c r="I5336">
        <v>18.443090000000002</v>
      </c>
      <c r="J5336">
        <v>-398.67610000000002</v>
      </c>
      <c r="K5336">
        <v>1.114201</v>
      </c>
      <c r="L5336">
        <v>18.6539</v>
      </c>
      <c r="M5336">
        <v>0.98931599999999997</v>
      </c>
      <c r="N5336">
        <v>0</v>
      </c>
      <c r="O5336">
        <v>-0.14551649999999999</v>
      </c>
      <c r="P5336">
        <v>0.98544069999999995</v>
      </c>
      <c r="Q5336">
        <v>0.1320567</v>
      </c>
      <c r="R5336">
        <v>-0.10708719999999999</v>
      </c>
      <c r="S5336">
        <v>3.0717159999999999</v>
      </c>
      <c r="T5336">
        <v>-0.24869430000000001</v>
      </c>
      <c r="U5336">
        <v>-5.3771970000000002E-2</v>
      </c>
      <c r="V5336">
        <v>-3.9088280000000003E-2</v>
      </c>
      <c r="W5336">
        <v>0.14039740000000001</v>
      </c>
      <c r="X5336">
        <v>0.98932330000000002</v>
      </c>
      <c r="Y5336">
        <v>-0.1272942</v>
      </c>
      <c r="Z5336">
        <v>1.6870699999999999E-2</v>
      </c>
      <c r="AA5336">
        <v>0.99172150000000003</v>
      </c>
      <c r="AB5336">
        <v>36</v>
      </c>
      <c r="AC5336">
        <v>13.5466</v>
      </c>
      <c r="AD5336">
        <v>-1.114203510848</v>
      </c>
      <c r="AE5336">
        <v>-0.210810000000002</v>
      </c>
      <c r="AF5336">
        <v>-1.75092342130227</v>
      </c>
      <c r="AG5336">
        <v>-1.114203510848</v>
      </c>
      <c r="AH5336">
        <v>13.3428312051236</v>
      </c>
      <c r="AI5336">
        <v>94.733062316068995</v>
      </c>
      <c r="AJ5336">
        <v>97.475966052721503</v>
      </c>
      <c r="AK5336">
        <v>13.503270968890099</v>
      </c>
      <c r="AL5336">
        <v>81.929156939211595</v>
      </c>
      <c r="AM5336">
        <v>92.262586144203397</v>
      </c>
      <c r="AN5336">
        <v>0.99999995774150297</v>
      </c>
    </row>
    <row r="5337" spans="1:40" x14ac:dyDescent="0.25">
      <c r="A5337" t="str">
        <f>"20190312164135281"</f>
        <v>20190312164135281</v>
      </c>
      <c r="B5337" t="str">
        <f>"1552380095271979"</f>
        <v>1552380095271979</v>
      </c>
      <c r="C5337" t="s">
        <v>40</v>
      </c>
      <c r="D5337">
        <v>5.0320450000000001</v>
      </c>
      <c r="E5337">
        <v>0.47292250000000002</v>
      </c>
      <c r="F5337" t="s">
        <v>52</v>
      </c>
      <c r="G5337">
        <v>-384.90309999999999</v>
      </c>
      <c r="H5337" s="1">
        <v>-2.6243049999999999E-6</v>
      </c>
      <c r="I5337">
        <v>18.4069</v>
      </c>
      <c r="J5337">
        <v>-398.4726</v>
      </c>
      <c r="K5337">
        <v>1.1141259999999999</v>
      </c>
      <c r="L5337">
        <v>18.625979999999998</v>
      </c>
      <c r="M5337">
        <v>0.98965329999999996</v>
      </c>
      <c r="N5337">
        <v>0</v>
      </c>
      <c r="O5337">
        <v>-0.1431878</v>
      </c>
      <c r="P5337">
        <v>0.98536570000000001</v>
      </c>
      <c r="Q5337">
        <v>0.13233399999999901</v>
      </c>
      <c r="R5337">
        <v>-0.10743460000000001</v>
      </c>
      <c r="S5337">
        <v>3.0715940000000002</v>
      </c>
      <c r="T5337">
        <v>-0.2484847</v>
      </c>
      <c r="U5337">
        <v>-5.5084229999999998E-2</v>
      </c>
      <c r="V5337">
        <v>-3.6367829999999997E-2</v>
      </c>
      <c r="W5337">
        <v>0.14097989999999999</v>
      </c>
      <c r="X5337">
        <v>0.98934420000000001</v>
      </c>
      <c r="Y5337">
        <v>-0.1245536</v>
      </c>
      <c r="Z5337">
        <v>1.655995E-2</v>
      </c>
      <c r="AA5337">
        <v>0.99207469999999998</v>
      </c>
      <c r="AB5337">
        <v>36</v>
      </c>
      <c r="AC5337">
        <v>13.5695</v>
      </c>
      <c r="AD5337">
        <v>-1.1141286243049999</v>
      </c>
      <c r="AE5337">
        <v>-0.219079999999998</v>
      </c>
      <c r="AF5337">
        <v>-1.7146895591370801</v>
      </c>
      <c r="AG5337">
        <v>-1.1141286243049999</v>
      </c>
      <c r="AH5337">
        <v>13.370918973092101</v>
      </c>
      <c r="AI5337">
        <v>94.724639971538295</v>
      </c>
      <c r="AJ5337">
        <v>97.307737490059196</v>
      </c>
      <c r="AK5337">
        <v>13.526378564150299</v>
      </c>
      <c r="AL5337">
        <v>81.895446787503502</v>
      </c>
      <c r="AM5337">
        <v>92.105218160106205</v>
      </c>
      <c r="AN5337">
        <v>0.99999994866827802</v>
      </c>
    </row>
    <row r="5338" spans="1:40" x14ac:dyDescent="0.25">
      <c r="A5338" t="str">
        <f>"20190312164135300"</f>
        <v>20190312164135300</v>
      </c>
      <c r="B5338" t="str">
        <f>"1552380095291498"</f>
        <v>1552380095291498</v>
      </c>
      <c r="C5338" t="s">
        <v>40</v>
      </c>
      <c r="D5338">
        <v>5.0643289999999999</v>
      </c>
      <c r="E5338">
        <v>0.4728096</v>
      </c>
      <c r="F5338" t="s">
        <v>52</v>
      </c>
      <c r="G5338">
        <v>-384.65</v>
      </c>
      <c r="H5338" s="1">
        <v>-2.749597E-6</v>
      </c>
      <c r="I5338">
        <v>18.375070000000001</v>
      </c>
      <c r="J5338">
        <v>-398.18299999999999</v>
      </c>
      <c r="K5338">
        <v>1.1140369999999999</v>
      </c>
      <c r="L5338">
        <v>18.587070000000001</v>
      </c>
      <c r="M5338">
        <v>0.99011170000000004</v>
      </c>
      <c r="N5338">
        <v>0</v>
      </c>
      <c r="O5338">
        <v>-0.1399569</v>
      </c>
      <c r="P5338">
        <v>0.98494119999999996</v>
      </c>
      <c r="Q5338">
        <v>0.13337309999999999</v>
      </c>
      <c r="R5338">
        <v>-0.11001229999999999</v>
      </c>
      <c r="S5338">
        <v>3.0716860000000001</v>
      </c>
      <c r="T5338">
        <v>-0.24758340000000001</v>
      </c>
      <c r="U5338">
        <v>-5.5755619999999999E-2</v>
      </c>
      <c r="V5338">
        <v>-3.0486679999999999E-2</v>
      </c>
      <c r="W5338">
        <v>0.1425013</v>
      </c>
      <c r="X5338">
        <v>0.98932500000000001</v>
      </c>
      <c r="Y5338">
        <v>-0.1211267</v>
      </c>
      <c r="Z5338">
        <v>1.6103860000000001E-2</v>
      </c>
      <c r="AA5338">
        <v>0.99250640000000001</v>
      </c>
      <c r="AB5338">
        <v>36</v>
      </c>
      <c r="AC5338">
        <v>13.532999999999999</v>
      </c>
      <c r="AD5338">
        <v>-1.114039749597</v>
      </c>
      <c r="AE5338">
        <v>-0.21199999999999899</v>
      </c>
      <c r="AF5338">
        <v>-1.67287592087967</v>
      </c>
      <c r="AG5338">
        <v>-1.114039749597</v>
      </c>
      <c r="AH5338">
        <v>13.339091009745401</v>
      </c>
      <c r="AI5338">
        <v>94.7371506422962</v>
      </c>
      <c r="AJ5338">
        <v>97.148231810124301</v>
      </c>
      <c r="AK5338">
        <v>13.4896607583961</v>
      </c>
      <c r="AL5338">
        <v>81.807388398274597</v>
      </c>
      <c r="AM5338">
        <v>91.765047381791504</v>
      </c>
      <c r="AN5338">
        <v>1.00000000689205</v>
      </c>
    </row>
    <row r="5339" spans="1:40" x14ac:dyDescent="0.25">
      <c r="A5339" t="str">
        <f>"20190312164135312"</f>
        <v>20190312164135312</v>
      </c>
      <c r="B5339" t="str">
        <f>"1552380095301258"</f>
        <v>1552380095301258</v>
      </c>
      <c r="C5339" t="s">
        <v>40</v>
      </c>
      <c r="D5339">
        <v>5.0543459999999998</v>
      </c>
      <c r="E5339">
        <v>0.47281069999999997</v>
      </c>
      <c r="F5339" t="s">
        <v>52</v>
      </c>
      <c r="G5339">
        <v>-384.20499999999998</v>
      </c>
      <c r="H5339" s="1">
        <v>-2.9724589999999998E-6</v>
      </c>
      <c r="I5339">
        <v>18.304639999999999</v>
      </c>
      <c r="J5339">
        <v>-397.96660000000003</v>
      </c>
      <c r="K5339">
        <v>1.113991</v>
      </c>
      <c r="L5339">
        <v>18.558720000000001</v>
      </c>
      <c r="M5339">
        <v>0.99043979999999998</v>
      </c>
      <c r="N5339">
        <v>0</v>
      </c>
      <c r="O5339">
        <v>-0.13759299999999999</v>
      </c>
      <c r="P5339">
        <v>0.98484079999999996</v>
      </c>
      <c r="Q5339">
        <v>0.13371749999999999</v>
      </c>
      <c r="R5339">
        <v>-0.1104936</v>
      </c>
      <c r="S5339">
        <v>3.0721129999999999</v>
      </c>
      <c r="T5339">
        <v>-0.2448456</v>
      </c>
      <c r="U5339">
        <v>-6.2072750000000003E-2</v>
      </c>
      <c r="V5339">
        <v>-2.7604190000000001E-2</v>
      </c>
      <c r="W5339">
        <v>0.143205</v>
      </c>
      <c r="X5339">
        <v>0.98930799999999997</v>
      </c>
      <c r="Y5339">
        <v>-0.116759</v>
      </c>
      <c r="Z5339">
        <v>1.556312E-2</v>
      </c>
      <c r="AA5339">
        <v>0.99303830000000004</v>
      </c>
      <c r="AB5339">
        <v>36</v>
      </c>
      <c r="AC5339">
        <v>13.7616</v>
      </c>
      <c r="AD5339">
        <v>-1.113993972459</v>
      </c>
      <c r="AE5339">
        <v>-0.25408000000000103</v>
      </c>
      <c r="AF5339">
        <v>-1.63124306915194</v>
      </c>
      <c r="AG5339">
        <v>-1.113993972459</v>
      </c>
      <c r="AH5339">
        <v>13.5767245059949</v>
      </c>
      <c r="AI5339">
        <v>94.657363462152503</v>
      </c>
      <c r="AJ5339">
        <v>96.851244045259506</v>
      </c>
      <c r="AK5339">
        <v>13.7196714549953</v>
      </c>
      <c r="AL5339">
        <v>81.766651425334103</v>
      </c>
      <c r="AM5339">
        <v>91.598282155381497</v>
      </c>
      <c r="AN5339">
        <v>0.999999991097278</v>
      </c>
    </row>
    <row r="5340" spans="1:40" x14ac:dyDescent="0.25">
      <c r="A5340" t="str">
        <f>"20190312164135334"</f>
        <v>20190312164135334</v>
      </c>
      <c r="B5340" t="str">
        <f>"1552380095321754"</f>
        <v>1552380095321754</v>
      </c>
      <c r="C5340" t="s">
        <v>40</v>
      </c>
      <c r="D5340">
        <v>5.0887060000000002</v>
      </c>
      <c r="E5340">
        <v>0.472937</v>
      </c>
      <c r="F5340" t="s">
        <v>52</v>
      </c>
      <c r="G5340">
        <v>-383.94159999999999</v>
      </c>
      <c r="H5340" s="1">
        <v>-3.1031310000000002E-6</v>
      </c>
      <c r="I5340">
        <v>18.269770000000001</v>
      </c>
      <c r="J5340">
        <v>-397.64</v>
      </c>
      <c r="K5340">
        <v>1.1139300000000001</v>
      </c>
      <c r="L5340">
        <v>18.516819999999999</v>
      </c>
      <c r="M5340">
        <v>0.99091859999999998</v>
      </c>
      <c r="N5340">
        <v>0</v>
      </c>
      <c r="O5340">
        <v>-0.134063299999999</v>
      </c>
      <c r="P5340">
        <v>0.98457399999999995</v>
      </c>
      <c r="Q5340">
        <v>0.13456570000000001</v>
      </c>
      <c r="R5340">
        <v>-0.1118329</v>
      </c>
      <c r="S5340">
        <v>3.0722049999999999</v>
      </c>
      <c r="T5340">
        <v>-0.24402380000000001</v>
      </c>
      <c r="U5340">
        <v>-6.3293459999999996E-2</v>
      </c>
      <c r="V5340">
        <v>-2.2679919999999999E-2</v>
      </c>
      <c r="W5340">
        <v>0.144600799999999</v>
      </c>
      <c r="X5340">
        <v>0.9892301</v>
      </c>
      <c r="Y5340">
        <v>-0.1128555</v>
      </c>
      <c r="Z5340">
        <v>1.5077989999999999E-2</v>
      </c>
      <c r="AA5340">
        <v>0.99349699999999996</v>
      </c>
      <c r="AB5340">
        <v>36</v>
      </c>
      <c r="AC5340">
        <v>13.6983999999999</v>
      </c>
      <c r="AD5340">
        <v>-1.11393310313099</v>
      </c>
      <c r="AE5340">
        <v>-0.24705000000000099</v>
      </c>
      <c r="AF5340">
        <v>-1.5812786007461199</v>
      </c>
      <c r="AG5340">
        <v>-1.11393310313099</v>
      </c>
      <c r="AH5340">
        <v>13.5184856119351</v>
      </c>
      <c r="AI5340">
        <v>94.678815194008394</v>
      </c>
      <c r="AJ5340">
        <v>96.671660005705505</v>
      </c>
      <c r="AK5340">
        <v>13.6561613278229</v>
      </c>
      <c r="AL5340">
        <v>81.685836745862602</v>
      </c>
      <c r="AM5340">
        <v>91.313381066869297</v>
      </c>
      <c r="AN5340">
        <v>0.99999998043892802</v>
      </c>
    </row>
    <row r="5341" spans="1:40" x14ac:dyDescent="0.25">
      <c r="A5341" t="str">
        <f>"20190312164135353"</f>
        <v>20190312164135353</v>
      </c>
      <c r="B5341" t="str">
        <f>"1552380095341275"</f>
        <v>1552380095341275</v>
      </c>
      <c r="C5341" t="s">
        <v>40</v>
      </c>
      <c r="D5341">
        <v>5.0569509999999998</v>
      </c>
      <c r="E5341">
        <v>0.47284749999999998</v>
      </c>
      <c r="F5341" t="s">
        <v>52</v>
      </c>
      <c r="G5341">
        <v>-383.48520000000002</v>
      </c>
      <c r="H5341" s="1">
        <v>-3.3311109999999998E-6</v>
      </c>
      <c r="I5341">
        <v>18.20074</v>
      </c>
      <c r="J5341">
        <v>-397.32229999999998</v>
      </c>
      <c r="K5341">
        <v>1.1138889999999999</v>
      </c>
      <c r="L5341">
        <v>18.477170000000001</v>
      </c>
      <c r="M5341">
        <v>0.99136760000000002</v>
      </c>
      <c r="N5341">
        <v>0</v>
      </c>
      <c r="O5341">
        <v>-0.13066349999999999</v>
      </c>
      <c r="P5341">
        <v>0.9843596</v>
      </c>
      <c r="Q5341">
        <v>0.134764299999999</v>
      </c>
      <c r="R5341">
        <v>-0.1134664</v>
      </c>
      <c r="S5341">
        <v>3.0722659999999999</v>
      </c>
      <c r="T5341">
        <v>-0.24177709999999999</v>
      </c>
      <c r="U5341">
        <v>-6.8603520000000001E-2</v>
      </c>
      <c r="V5341">
        <v>-1.760368E-2</v>
      </c>
      <c r="W5341">
        <v>0.14531649999999999</v>
      </c>
      <c r="X5341">
        <v>0.98922860000000001</v>
      </c>
      <c r="Y5341">
        <v>-0.10777109999999999</v>
      </c>
      <c r="Z5341">
        <v>1.447391E-2</v>
      </c>
      <c r="AA5341">
        <v>0.99407040000000002</v>
      </c>
      <c r="AB5341">
        <v>36</v>
      </c>
      <c r="AC5341">
        <v>13.8370999999999</v>
      </c>
      <c r="AD5341">
        <v>-1.1138923311109901</v>
      </c>
      <c r="AE5341">
        <v>-0.27643000000000101</v>
      </c>
      <c r="AF5341">
        <v>-1.5241769590983001</v>
      </c>
      <c r="AG5341">
        <v>-1.1138923311109901</v>
      </c>
      <c r="AH5341">
        <v>13.6660538407535</v>
      </c>
      <c r="AI5341">
        <v>94.631173440189997</v>
      </c>
      <c r="AJ5341">
        <v>96.363906705645206</v>
      </c>
      <c r="AK5341">
        <v>13.7958290474451</v>
      </c>
      <c r="AL5341">
        <v>81.644392563011095</v>
      </c>
      <c r="AM5341">
        <v>91.019491470710605</v>
      </c>
      <c r="AN5341">
        <v>0.99999999888987601</v>
      </c>
    </row>
    <row r="5342" spans="1:40" x14ac:dyDescent="0.25">
      <c r="A5342" t="str">
        <f>"20190312164135366"</f>
        <v>20190312164135366</v>
      </c>
      <c r="B5342" t="str">
        <f>"1552380095361771"</f>
        <v>1552380095361771</v>
      </c>
      <c r="C5342" t="s">
        <v>40</v>
      </c>
      <c r="D5342">
        <v>5.2129849999999998</v>
      </c>
      <c r="E5342">
        <v>0.47272199999999998</v>
      </c>
      <c r="F5342" t="s">
        <v>52</v>
      </c>
      <c r="G5342">
        <v>-383.1866</v>
      </c>
      <c r="H5342" s="1">
        <v>-3.482648E-6</v>
      </c>
      <c r="I5342">
        <v>18.142160000000001</v>
      </c>
      <c r="J5342">
        <v>-397.13350000000003</v>
      </c>
      <c r="K5342">
        <v>1.1138709999999901</v>
      </c>
      <c r="L5342">
        <v>18.454160000000002</v>
      </c>
      <c r="M5342">
        <v>0.99162760000000005</v>
      </c>
      <c r="N5342">
        <v>0</v>
      </c>
      <c r="O5342">
        <v>-0.12865399999999999</v>
      </c>
      <c r="P5342">
        <v>0.98433040000000005</v>
      </c>
      <c r="Q5342">
        <v>0.13477990000000001</v>
      </c>
      <c r="R5342">
        <v>-0.11370379999999999</v>
      </c>
      <c r="S5342">
        <v>3.0723880000000001</v>
      </c>
      <c r="T5342">
        <v>-0.24210499999999999</v>
      </c>
      <c r="U5342">
        <v>-7.2814939999999995E-2</v>
      </c>
      <c r="V5342">
        <v>-1.5340680000000001E-2</v>
      </c>
      <c r="W5342">
        <v>0.14561459999999901</v>
      </c>
      <c r="X5342">
        <v>0.9892225</v>
      </c>
      <c r="Y5342">
        <v>-0.10440969999999999</v>
      </c>
      <c r="Z5342">
        <v>1.420331E-2</v>
      </c>
      <c r="AA5342">
        <v>0.99443289999999995</v>
      </c>
      <c r="AB5342">
        <v>36</v>
      </c>
      <c r="AC5342">
        <v>13.946899999999999</v>
      </c>
      <c r="AD5342">
        <v>-1.11387448264799</v>
      </c>
      <c r="AE5342">
        <v>-0.312000000000001</v>
      </c>
      <c r="AF5342">
        <v>-1.4756203771285401</v>
      </c>
      <c r="AG5342">
        <v>-1.11387448264799</v>
      </c>
      <c r="AH5342">
        <v>13.7832508880961</v>
      </c>
      <c r="AI5342">
        <v>94.594099577802297</v>
      </c>
      <c r="AJ5342">
        <v>96.1107505998596</v>
      </c>
      <c r="AK5342">
        <v>13.906695398429299</v>
      </c>
      <c r="AL5342">
        <v>81.627129507102495</v>
      </c>
      <c r="AM5342">
        <v>90.8884611584147</v>
      </c>
      <c r="AN5342">
        <v>1.00000005135113</v>
      </c>
    </row>
    <row r="5343" spans="1:40" x14ac:dyDescent="0.25">
      <c r="A5343" t="str">
        <f>"20190312164135377"</f>
        <v>20190312164135377</v>
      </c>
      <c r="B5343" t="str">
        <f>"1552380095371531"</f>
        <v>1552380095371531</v>
      </c>
      <c r="C5343" t="s">
        <v>40</v>
      </c>
      <c r="D5343">
        <v>5.0492530000000002</v>
      </c>
      <c r="E5343">
        <v>0.47419879999999998</v>
      </c>
      <c r="F5343" t="s">
        <v>52</v>
      </c>
      <c r="G5343">
        <v>-383.04230000000001</v>
      </c>
      <c r="H5343" s="1">
        <v>-3.5543200000000001E-6</v>
      </c>
      <c r="I5343">
        <v>18.12275</v>
      </c>
      <c r="J5343">
        <v>-396.95170000000002</v>
      </c>
      <c r="K5343">
        <v>1.113853</v>
      </c>
      <c r="L5343">
        <v>18.432279999999999</v>
      </c>
      <c r="M5343">
        <v>0.99187340000000002</v>
      </c>
      <c r="N5343">
        <v>0</v>
      </c>
      <c r="O5343">
        <v>-0.12672310000000001</v>
      </c>
      <c r="P5343">
        <v>0.98432260000000005</v>
      </c>
      <c r="Q5343">
        <v>0.13487009999999999</v>
      </c>
      <c r="R5343">
        <v>-0.1136629</v>
      </c>
      <c r="S5343">
        <v>3.0726619999999998</v>
      </c>
      <c r="T5343">
        <v>-0.24288689999999999</v>
      </c>
      <c r="U5343">
        <v>-7.2265629999999997E-2</v>
      </c>
      <c r="V5343">
        <v>-1.343806E-2</v>
      </c>
      <c r="W5343">
        <v>0.1459666</v>
      </c>
      <c r="X5343">
        <v>0.98919829999999997</v>
      </c>
      <c r="Y5343">
        <v>-0.1026603</v>
      </c>
      <c r="Z5343">
        <v>1.40275E-2</v>
      </c>
      <c r="AA5343">
        <v>0.99461759999999999</v>
      </c>
      <c r="AB5343">
        <v>36</v>
      </c>
      <c r="AC5343">
        <v>13.9094</v>
      </c>
      <c r="AD5343">
        <v>-1.1138565543200001</v>
      </c>
      <c r="AE5343">
        <v>-0.30952999999999797</v>
      </c>
      <c r="AF5343">
        <v>-1.4464501074956</v>
      </c>
      <c r="AG5343">
        <v>-1.1138565543200001</v>
      </c>
      <c r="AH5343">
        <v>13.748356289037099</v>
      </c>
      <c r="AI5343">
        <v>94.606526384938206</v>
      </c>
      <c r="AJ5343">
        <v>96.005934003389001</v>
      </c>
      <c r="AK5343">
        <v>13.869037276876201</v>
      </c>
      <c r="AL5343">
        <v>81.606743595654805</v>
      </c>
      <c r="AM5343">
        <v>90.778303768336897</v>
      </c>
      <c r="AN5343">
        <v>1.0000000532475</v>
      </c>
    </row>
    <row r="5344" spans="1:40" x14ac:dyDescent="0.25">
      <c r="A5344" t="str">
        <f>"20190312164135390"</f>
        <v>20190312164135390</v>
      </c>
      <c r="B5344" t="str">
        <f>"1552380095381290"</f>
        <v>1552380095381290</v>
      </c>
      <c r="C5344" t="s">
        <v>40</v>
      </c>
      <c r="D5344">
        <v>5.1211010000000003</v>
      </c>
      <c r="E5344">
        <v>0.47436640000000002</v>
      </c>
      <c r="F5344" t="s">
        <v>52</v>
      </c>
      <c r="G5344">
        <v>-380.11779999999999</v>
      </c>
      <c r="H5344" s="1">
        <v>-4.9662619999999996E-6</v>
      </c>
      <c r="I5344">
        <v>17.95635</v>
      </c>
      <c r="J5344">
        <v>-396.75670000000002</v>
      </c>
      <c r="K5344">
        <v>1.113831</v>
      </c>
      <c r="L5344">
        <v>18.409420000000001</v>
      </c>
      <c r="M5344">
        <v>0.99213249999999997</v>
      </c>
      <c r="N5344">
        <v>0</v>
      </c>
      <c r="O5344">
        <v>-0.1246573</v>
      </c>
      <c r="P5344">
        <v>0.98430899999999999</v>
      </c>
      <c r="Q5344">
        <v>0.13529340000000001</v>
      </c>
      <c r="R5344">
        <v>-0.1132788</v>
      </c>
      <c r="S5344">
        <v>3.0655519999999998</v>
      </c>
      <c r="T5344">
        <v>-0.20284060000000001</v>
      </c>
      <c r="U5344">
        <v>-8.6669919999999998E-2</v>
      </c>
      <c r="V5344">
        <v>-1.1744910000000001E-2</v>
      </c>
      <c r="W5344">
        <v>0.14664539999999901</v>
      </c>
      <c r="X5344">
        <v>0.98911939999999998</v>
      </c>
      <c r="Y5344">
        <v>-9.6094589999999994E-2</v>
      </c>
      <c r="Z5344">
        <v>1.1393500000000001E-2</v>
      </c>
      <c r="AA5344">
        <v>0.99530700000000005</v>
      </c>
      <c r="AB5344">
        <v>36</v>
      </c>
      <c r="AC5344">
        <v>16.6389</v>
      </c>
      <c r="AD5344">
        <v>-1.1138359662620001</v>
      </c>
      <c r="AE5344">
        <v>-0.45306999999999997</v>
      </c>
      <c r="AF5344">
        <v>-1.6175204195678301</v>
      </c>
      <c r="AG5344">
        <v>-1.1138359662620001</v>
      </c>
      <c r="AH5344">
        <v>16.491731243238199</v>
      </c>
      <c r="AI5344">
        <v>93.845438829961594</v>
      </c>
      <c r="AJ5344">
        <v>95.601693144760205</v>
      </c>
      <c r="AK5344">
        <v>16.6082570508364</v>
      </c>
      <c r="AL5344">
        <v>81.567427726932493</v>
      </c>
      <c r="AM5344">
        <v>90.680304268421906</v>
      </c>
      <c r="AN5344">
        <v>1.0000000018542099</v>
      </c>
    </row>
    <row r="5345" spans="1:40" x14ac:dyDescent="0.25">
      <c r="A5345" t="str">
        <f>"20190312164135410"</f>
        <v>20190312164135410</v>
      </c>
      <c r="B5345" t="str">
        <f>"1552380095401787"</f>
        <v>1552380095401787</v>
      </c>
      <c r="C5345" t="s">
        <v>40</v>
      </c>
      <c r="D5345">
        <v>5.0567830000000002</v>
      </c>
      <c r="E5345">
        <v>0.4743173</v>
      </c>
      <c r="F5345" t="s">
        <v>52</v>
      </c>
      <c r="G5345">
        <v>-380.1696</v>
      </c>
      <c r="H5345" s="1">
        <v>-4.9444959999999997E-6</v>
      </c>
      <c r="I5345">
        <v>17.941220000000001</v>
      </c>
      <c r="J5345">
        <v>-396.42200000000003</v>
      </c>
      <c r="K5345">
        <v>1.113801</v>
      </c>
      <c r="L5345">
        <v>18.370940000000001</v>
      </c>
      <c r="M5345">
        <v>0.99256659999999997</v>
      </c>
      <c r="N5345">
        <v>0</v>
      </c>
      <c r="O5345">
        <v>-0.1211129</v>
      </c>
      <c r="P5345">
        <v>0.98428890000000002</v>
      </c>
      <c r="Q5345">
        <v>0.13607439999999901</v>
      </c>
      <c r="R5345">
        <v>-0.1125135</v>
      </c>
      <c r="S5345">
        <v>3.0661320000000001</v>
      </c>
      <c r="T5345">
        <v>-0.20589260000000001</v>
      </c>
      <c r="U5345">
        <v>-8.6547849999999996E-2</v>
      </c>
      <c r="V5345">
        <v>-8.9492089999999996E-3</v>
      </c>
      <c r="W5345">
        <v>0.14783859999999999</v>
      </c>
      <c r="X5345">
        <v>0.98897100000000004</v>
      </c>
      <c r="Y5345">
        <v>-9.2585769999999998E-2</v>
      </c>
      <c r="Z5345">
        <v>1.1208620000000001E-2</v>
      </c>
      <c r="AA5345">
        <v>0.99564160000000002</v>
      </c>
      <c r="AB5345">
        <v>36</v>
      </c>
      <c r="AC5345">
        <v>16.252399999999898</v>
      </c>
      <c r="AD5345">
        <v>-1.113805944496</v>
      </c>
      <c r="AE5345">
        <v>-0.42971999999999899</v>
      </c>
      <c r="AF5345">
        <v>-1.53475688107762</v>
      </c>
      <c r="AG5345">
        <v>-1.113805944496</v>
      </c>
      <c r="AH5345">
        <v>16.1091873608047</v>
      </c>
      <c r="AI5345">
        <v>93.937422397815794</v>
      </c>
      <c r="AJ5345">
        <v>95.442265561879694</v>
      </c>
      <c r="AK5345">
        <v>16.220417990653601</v>
      </c>
      <c r="AL5345">
        <v>81.498308932665097</v>
      </c>
      <c r="AM5345">
        <v>90.518455961675897</v>
      </c>
      <c r="AN5345">
        <v>0.99999998941634205</v>
      </c>
    </row>
    <row r="5346" spans="1:40" x14ac:dyDescent="0.25">
      <c r="A5346" t="str">
        <f>"20190312164135422"</f>
        <v>20190312164135422</v>
      </c>
      <c r="B5346" t="str">
        <f>"1552380095411547"</f>
        <v>1552380095411547</v>
      </c>
      <c r="C5346" t="s">
        <v>40</v>
      </c>
      <c r="D5346">
        <v>5.0956789999999996</v>
      </c>
      <c r="E5346">
        <v>0.47433599999999998</v>
      </c>
      <c r="F5346" t="s">
        <v>53</v>
      </c>
      <c r="G5346">
        <v>-379.84460000000001</v>
      </c>
      <c r="H5346" s="1">
        <v>-4.9512499999999998E-7</v>
      </c>
      <c r="I5346">
        <v>17.920439999999999</v>
      </c>
      <c r="J5346">
        <v>-396.23649999999998</v>
      </c>
      <c r="K5346">
        <v>1.113783</v>
      </c>
      <c r="L5346">
        <v>18.35013</v>
      </c>
      <c r="M5346">
        <v>0.99280199999999996</v>
      </c>
      <c r="N5346">
        <v>0</v>
      </c>
      <c r="O5346">
        <v>-0.11914859999999999</v>
      </c>
      <c r="P5346">
        <v>0.98436449999999998</v>
      </c>
      <c r="Q5346">
        <v>0.136303799999999</v>
      </c>
      <c r="R5346">
        <v>-0.1115712</v>
      </c>
      <c r="S5346">
        <v>3.0668329999999999</v>
      </c>
      <c r="T5346">
        <v>-0.2060544</v>
      </c>
      <c r="U5346">
        <v>-8.3343509999999996E-2</v>
      </c>
      <c r="V5346">
        <v>-7.9248849999999996E-3</v>
      </c>
      <c r="W5346">
        <v>0.14827479999999901</v>
      </c>
      <c r="X5346">
        <v>0.98891439999999997</v>
      </c>
      <c r="Y5346">
        <v>-9.1667639999999995E-2</v>
      </c>
      <c r="Z5346">
        <v>1.105338E-2</v>
      </c>
      <c r="AA5346">
        <v>0.99572830000000001</v>
      </c>
      <c r="AB5346">
        <v>36</v>
      </c>
      <c r="AC5346">
        <v>16.3918999999999</v>
      </c>
      <c r="AD5346">
        <v>-1.1137834951250001</v>
      </c>
      <c r="AE5346">
        <v>-0.42969000000000002</v>
      </c>
      <c r="AF5346">
        <v>-1.5195768681444</v>
      </c>
      <c r="AG5346">
        <v>-1.1137834951250001</v>
      </c>
      <c r="AH5346">
        <v>16.2513366457061</v>
      </c>
      <c r="AI5346">
        <v>93.903653958234301</v>
      </c>
      <c r="AJ5346">
        <v>95.341894305992895</v>
      </c>
      <c r="AK5346">
        <v>16.360182465494798</v>
      </c>
      <c r="AL5346">
        <v>81.473037706131805</v>
      </c>
      <c r="AM5346">
        <v>90.459142615454596</v>
      </c>
      <c r="AN5346">
        <v>0.99999995532232999</v>
      </c>
    </row>
    <row r="5347" spans="1:40" x14ac:dyDescent="0.25">
      <c r="A5347" t="str">
        <f>"20190312164135433"</f>
        <v>20190312164135433</v>
      </c>
      <c r="B5347" t="str">
        <f>"1552380095421308"</f>
        <v>1552380095421308</v>
      </c>
      <c r="C5347" t="s">
        <v>40</v>
      </c>
      <c r="D5347">
        <v>5.0944770000000004</v>
      </c>
      <c r="E5347">
        <v>0.47438029999999998</v>
      </c>
      <c r="F5347" t="s">
        <v>53</v>
      </c>
      <c r="G5347">
        <v>-379.4787</v>
      </c>
      <c r="H5347" s="1">
        <v>-6.3834199999999999E-7</v>
      </c>
      <c r="I5347">
        <v>17.910219999999999</v>
      </c>
      <c r="J5347">
        <v>-396.05450000000002</v>
      </c>
      <c r="K5347">
        <v>1.113772</v>
      </c>
      <c r="L5347">
        <v>18.330079999999999</v>
      </c>
      <c r="M5347">
        <v>0.99302919999999995</v>
      </c>
      <c r="N5347">
        <v>0</v>
      </c>
      <c r="O5347">
        <v>-0.1172199</v>
      </c>
      <c r="P5347">
        <v>0.98442220000000002</v>
      </c>
      <c r="Q5347">
        <v>0.13655919999999999</v>
      </c>
      <c r="R5347">
        <v>-0.1107448</v>
      </c>
      <c r="S5347">
        <v>3.0667110000000002</v>
      </c>
      <c r="T5347">
        <v>-0.20382520000000001</v>
      </c>
      <c r="U5347">
        <v>-8.0505370000000007E-2</v>
      </c>
      <c r="V5347">
        <v>-6.8200450000000003E-3</v>
      </c>
      <c r="W5347">
        <v>0.14872179999999999</v>
      </c>
      <c r="X5347">
        <v>0.9888555</v>
      </c>
      <c r="Y5347">
        <v>-9.0669970000000003E-2</v>
      </c>
      <c r="Z5347">
        <v>1.077439E-2</v>
      </c>
      <c r="AA5347">
        <v>0.99582269999999995</v>
      </c>
      <c r="AB5347">
        <v>36</v>
      </c>
      <c r="AC5347">
        <v>16.575800000000001</v>
      </c>
      <c r="AD5347">
        <v>-1.1137726383419999</v>
      </c>
      <c r="AE5347">
        <v>-0.41985999999999601</v>
      </c>
      <c r="AF5347">
        <v>-1.5193415447029199</v>
      </c>
      <c r="AG5347">
        <v>-1.1137726383419999</v>
      </c>
      <c r="AH5347">
        <v>16.436567191200901</v>
      </c>
      <c r="AI5347">
        <v>93.860137122434594</v>
      </c>
      <c r="AJ5347">
        <v>95.2812233385105</v>
      </c>
      <c r="AK5347">
        <v>16.544172063002801</v>
      </c>
      <c r="AL5347">
        <v>81.447139244243104</v>
      </c>
      <c r="AM5347">
        <v>90.395157430954796</v>
      </c>
      <c r="AN5347">
        <v>0.99999994334464404</v>
      </c>
    </row>
    <row r="5348" spans="1:40" x14ac:dyDescent="0.25">
      <c r="A5348" t="str">
        <f>"20190312164135454"</f>
        <v>20190312164135454</v>
      </c>
      <c r="B5348" t="str">
        <f>"1552380095441803"</f>
        <v>1552380095441803</v>
      </c>
      <c r="C5348" t="s">
        <v>40</v>
      </c>
      <c r="D5348">
        <v>5.1033819999999999</v>
      </c>
      <c r="E5348">
        <v>0.47453909999999999</v>
      </c>
      <c r="F5348" t="s">
        <v>53</v>
      </c>
      <c r="G5348">
        <v>-379.19049999999999</v>
      </c>
      <c r="H5348" s="1">
        <v>-7.5199190000000001E-7</v>
      </c>
      <c r="I5348">
        <v>17.89912</v>
      </c>
      <c r="J5348">
        <v>-395.7414</v>
      </c>
      <c r="K5348">
        <v>1.1137440000000001</v>
      </c>
      <c r="L5348">
        <v>18.296420000000001</v>
      </c>
      <c r="M5348">
        <v>0.99341230000000003</v>
      </c>
      <c r="N5348">
        <v>0</v>
      </c>
      <c r="O5348">
        <v>-0.11389680000000001</v>
      </c>
      <c r="P5348">
        <v>0.98458199999999996</v>
      </c>
      <c r="Q5348">
        <v>0.13666429999999999</v>
      </c>
      <c r="R5348">
        <v>-0.1091839</v>
      </c>
      <c r="S5348">
        <v>3.0667420000000001</v>
      </c>
      <c r="T5348">
        <v>-0.2025402</v>
      </c>
      <c r="U5348">
        <v>-7.8369140000000004E-2</v>
      </c>
      <c r="V5348">
        <v>-5.0590519999999996E-3</v>
      </c>
      <c r="W5348">
        <v>0.14913009999999999</v>
      </c>
      <c r="X5348">
        <v>0.98880460000000003</v>
      </c>
      <c r="Y5348">
        <v>-8.8050219999999998E-2</v>
      </c>
      <c r="Z5348">
        <v>1.0402359999999999E-2</v>
      </c>
      <c r="AA5348">
        <v>0.99606170000000005</v>
      </c>
      <c r="AB5348">
        <v>36</v>
      </c>
      <c r="AC5348">
        <v>16.550899999999999</v>
      </c>
      <c r="AD5348">
        <v>-1.1137447519918999</v>
      </c>
      <c r="AE5348">
        <v>-0.39730000000000099</v>
      </c>
      <c r="AF5348">
        <v>-1.4838155477191799</v>
      </c>
      <c r="AG5348">
        <v>-1.1137447519918999</v>
      </c>
      <c r="AH5348">
        <v>16.414149835672099</v>
      </c>
      <c r="AI5348">
        <v>93.866008691882001</v>
      </c>
      <c r="AJ5348">
        <v>95.165416207646402</v>
      </c>
      <c r="AK5348">
        <v>16.518669764243601</v>
      </c>
      <c r="AL5348">
        <v>81.423481687721306</v>
      </c>
      <c r="AM5348">
        <v>90.293141636628405</v>
      </c>
      <c r="AN5348">
        <v>0.99999995885715298</v>
      </c>
    </row>
    <row r="5349" spans="1:40" x14ac:dyDescent="0.25">
      <c r="A5349" t="str">
        <f>"20190312164135466"</f>
        <v>20190312164135466</v>
      </c>
      <c r="B5349" t="str">
        <f>"1552380095462299"</f>
        <v>1552380095462299</v>
      </c>
      <c r="C5349" t="s">
        <v>40</v>
      </c>
      <c r="D5349">
        <v>5.0836180000000004</v>
      </c>
      <c r="E5349">
        <v>0.47472140000000002</v>
      </c>
      <c r="F5349" t="s">
        <v>53</v>
      </c>
      <c r="G5349">
        <v>-378.99270000000001</v>
      </c>
      <c r="H5349" s="1">
        <v>-8.30513199999999E-7</v>
      </c>
      <c r="I5349">
        <v>17.88945</v>
      </c>
      <c r="J5349">
        <v>-395.55939999999998</v>
      </c>
      <c r="K5349">
        <v>1.1137280000000001</v>
      </c>
      <c r="L5349">
        <v>18.277370000000001</v>
      </c>
      <c r="M5349">
        <v>0.99363009999999996</v>
      </c>
      <c r="N5349">
        <v>0</v>
      </c>
      <c r="O5349">
        <v>-0.11196349999999999</v>
      </c>
      <c r="P5349">
        <v>0.98469949999999995</v>
      </c>
      <c r="Q5349">
        <v>0.13682629999999901</v>
      </c>
      <c r="R5349">
        <v>-0.1079143</v>
      </c>
      <c r="S5349">
        <v>3.0670169999999999</v>
      </c>
      <c r="T5349">
        <v>-0.2039485</v>
      </c>
      <c r="U5349">
        <v>-7.4523930000000002E-2</v>
      </c>
      <c r="V5349">
        <v>-4.3987389999999996E-3</v>
      </c>
      <c r="W5349">
        <v>0.1494489</v>
      </c>
      <c r="X5349">
        <v>0.98875959999999996</v>
      </c>
      <c r="Y5349">
        <v>-8.7362099999999998E-2</v>
      </c>
      <c r="Z5349">
        <v>1.032335E-2</v>
      </c>
      <c r="AA5349">
        <v>0.99612310000000004</v>
      </c>
      <c r="AB5349">
        <v>36</v>
      </c>
      <c r="AC5349">
        <v>16.566699999999901</v>
      </c>
      <c r="AD5349">
        <v>-1.1137288305132</v>
      </c>
      <c r="AE5349">
        <v>-0.38792000000000099</v>
      </c>
      <c r="AF5349">
        <v>-1.46292876201974</v>
      </c>
      <c r="AG5349">
        <v>-1.1137288305132</v>
      </c>
      <c r="AH5349">
        <v>16.4317313231887</v>
      </c>
      <c r="AI5349">
        <v>93.862298385594698</v>
      </c>
      <c r="AJ5349">
        <v>95.087670003077207</v>
      </c>
      <c r="AK5349">
        <v>16.534277932468701</v>
      </c>
      <c r="AL5349">
        <v>81.405008566200195</v>
      </c>
      <c r="AM5349">
        <v>90.254892612152801</v>
      </c>
      <c r="AN5349">
        <v>0.99999993460407699</v>
      </c>
    </row>
    <row r="5350" spans="1:40" x14ac:dyDescent="0.25">
      <c r="A5350" t="str">
        <f>"20190312164135476"</f>
        <v>20190312164135476</v>
      </c>
      <c r="B5350" t="str">
        <f>"1552380095472059"</f>
        <v>1552380095472059</v>
      </c>
      <c r="C5350" t="s">
        <v>40</v>
      </c>
      <c r="D5350">
        <v>5.0866930000000004</v>
      </c>
      <c r="E5350">
        <v>0.4748482</v>
      </c>
      <c r="F5350" t="s">
        <v>53</v>
      </c>
      <c r="G5350">
        <v>-378.9348</v>
      </c>
      <c r="H5350" s="1">
        <v>-8.5314399999999998E-7</v>
      </c>
      <c r="I5350">
        <v>17.888020000000001</v>
      </c>
      <c r="J5350">
        <v>-395.38099999999997</v>
      </c>
      <c r="K5350">
        <v>1.1137140000000001</v>
      </c>
      <c r="L5350">
        <v>18.25891</v>
      </c>
      <c r="M5350">
        <v>0.99384019999999995</v>
      </c>
      <c r="N5350">
        <v>0</v>
      </c>
      <c r="O5350">
        <v>-0.11006630000000001</v>
      </c>
      <c r="P5350">
        <v>0.98489369999999998</v>
      </c>
      <c r="Q5350">
        <v>0.13663049999999999</v>
      </c>
      <c r="R5350">
        <v>-0.10638010000000001</v>
      </c>
      <c r="S5350">
        <v>3.0673219999999999</v>
      </c>
      <c r="T5350">
        <v>-0.2054877</v>
      </c>
      <c r="U5350">
        <v>-7.1838379999999993E-2</v>
      </c>
      <c r="V5350">
        <v>-4.0442179999999996E-3</v>
      </c>
      <c r="W5350">
        <v>0.14939939999999999</v>
      </c>
      <c r="X5350">
        <v>0.9887686</v>
      </c>
      <c r="Y5350">
        <v>-8.633449E-2</v>
      </c>
      <c r="Z5350">
        <v>1.023962E-2</v>
      </c>
      <c r="AA5350">
        <v>0.99621360000000003</v>
      </c>
      <c r="AB5350">
        <v>36</v>
      </c>
      <c r="AC5350">
        <v>16.446199999999902</v>
      </c>
      <c r="AD5350">
        <v>-1.11371485314399</v>
      </c>
      <c r="AE5350">
        <v>-0.370889999999999</v>
      </c>
      <c r="AF5350">
        <v>-1.43510961782585</v>
      </c>
      <c r="AG5350">
        <v>-1.11371485314399</v>
      </c>
      <c r="AH5350">
        <v>16.312318797949299</v>
      </c>
      <c r="AI5350">
        <v>93.890795614291704</v>
      </c>
      <c r="AJ5350">
        <v>95.027768506290499</v>
      </c>
      <c r="AK5350">
        <v>16.413154631429599</v>
      </c>
      <c r="AL5350">
        <v>81.407876959848707</v>
      </c>
      <c r="AM5350">
        <v>90.234347379847506</v>
      </c>
      <c r="AN5350">
        <v>0.99999994038277396</v>
      </c>
    </row>
    <row r="5351" spans="1:40" x14ac:dyDescent="0.25">
      <c r="A5351" t="str">
        <f>"20190312164135489"</f>
        <v>20190312164135489</v>
      </c>
      <c r="B5351" t="str">
        <f>"1552380095481819"</f>
        <v>1552380095481819</v>
      </c>
      <c r="C5351" t="s">
        <v>40</v>
      </c>
      <c r="D5351">
        <v>5.1091749999999996</v>
      </c>
      <c r="E5351">
        <v>0.4748946</v>
      </c>
      <c r="F5351" t="s">
        <v>53</v>
      </c>
      <c r="G5351">
        <v>-378.88099999999997</v>
      </c>
      <c r="H5351" s="1">
        <v>-8.7230850000000002E-7</v>
      </c>
      <c r="I5351">
        <v>17.8935</v>
      </c>
      <c r="J5351">
        <v>-395.18520000000001</v>
      </c>
      <c r="K5351">
        <v>1.1137030000000001</v>
      </c>
      <c r="L5351">
        <v>18.239319999999999</v>
      </c>
      <c r="M5351">
        <v>0.99406649999999996</v>
      </c>
      <c r="N5351">
        <v>0</v>
      </c>
      <c r="O5351">
        <v>-0.1079851</v>
      </c>
      <c r="P5351">
        <v>0.98507089999999997</v>
      </c>
      <c r="Q5351">
        <v>0.13659180000000001</v>
      </c>
      <c r="R5351">
        <v>-0.1047752</v>
      </c>
      <c r="S5351">
        <v>3.0674130000000002</v>
      </c>
      <c r="T5351">
        <v>-0.20704510000000001</v>
      </c>
      <c r="U5351">
        <v>-6.7932129999999993E-2</v>
      </c>
      <c r="V5351">
        <v>-3.576451E-3</v>
      </c>
      <c r="W5351">
        <v>0.14950550000000001</v>
      </c>
      <c r="X5351">
        <v>0.98875449999999998</v>
      </c>
      <c r="Y5351">
        <v>-8.5517250000000003E-2</v>
      </c>
      <c r="Z5351">
        <v>1.01499E-2</v>
      </c>
      <c r="AA5351">
        <v>0.99628499999999998</v>
      </c>
      <c r="AB5351">
        <v>36</v>
      </c>
      <c r="AC5351">
        <v>16.304200000000002</v>
      </c>
      <c r="AD5351">
        <v>-1.1137038723085</v>
      </c>
      <c r="AE5351">
        <v>-0.34582000000000301</v>
      </c>
      <c r="AF5351">
        <v>-1.41038591747802</v>
      </c>
      <c r="AG5351">
        <v>-1.1137038723085</v>
      </c>
      <c r="AH5351">
        <v>16.170773481944298</v>
      </c>
      <c r="AI5351">
        <v>93.924965904485205</v>
      </c>
      <c r="AJ5351">
        <v>94.984621502256999</v>
      </c>
      <c r="AK5351">
        <v>16.270323898305399</v>
      </c>
      <c r="AL5351">
        <v>81.401729979451702</v>
      </c>
      <c r="AM5351">
        <v>90.207245230503503</v>
      </c>
      <c r="AN5351">
        <v>1.0000000734011201</v>
      </c>
    </row>
    <row r="5352" spans="1:40" x14ac:dyDescent="0.25">
      <c r="A5352" t="str">
        <f>"20190312164135503"</f>
        <v>20190312164135503</v>
      </c>
      <c r="B5352" t="str">
        <f>"1552380095491579"</f>
        <v>1552380095491579</v>
      </c>
      <c r="C5352" t="s">
        <v>40</v>
      </c>
      <c r="D5352">
        <v>5.1043139999999996</v>
      </c>
      <c r="E5352">
        <v>0.47492380000000001</v>
      </c>
      <c r="F5352" t="s">
        <v>53</v>
      </c>
      <c r="G5352">
        <v>-378.74779999999998</v>
      </c>
      <c r="H5352" s="1">
        <v>-9.2200129999999998E-7</v>
      </c>
      <c r="I5352">
        <v>17.89902</v>
      </c>
      <c r="J5352">
        <v>-394.98079999999999</v>
      </c>
      <c r="K5352">
        <v>1.113686</v>
      </c>
      <c r="L5352">
        <v>18.219090000000001</v>
      </c>
      <c r="M5352">
        <v>0.99429860000000003</v>
      </c>
      <c r="N5352">
        <v>0</v>
      </c>
      <c r="O5352">
        <v>-0.1058109</v>
      </c>
      <c r="P5352">
        <v>0.98524449999999997</v>
      </c>
      <c r="Q5352">
        <v>0.13655010000000001</v>
      </c>
      <c r="R5352">
        <v>-0.1031874</v>
      </c>
      <c r="S5352">
        <v>3.0675349999999999</v>
      </c>
      <c r="T5352">
        <v>-0.2078383</v>
      </c>
      <c r="U5352">
        <v>-6.3507079999999994E-2</v>
      </c>
      <c r="V5352">
        <v>-2.9993179999999999E-3</v>
      </c>
      <c r="W5352">
        <v>0.149608299999999</v>
      </c>
      <c r="X5352">
        <v>0.98874079999999998</v>
      </c>
      <c r="Y5352">
        <v>-8.4779259999999995E-2</v>
      </c>
      <c r="Z5352">
        <v>1.001721E-2</v>
      </c>
      <c r="AA5352">
        <v>0.99634940000000005</v>
      </c>
      <c r="AB5352">
        <v>35</v>
      </c>
      <c r="AC5352">
        <v>16.233000000000001</v>
      </c>
      <c r="AD5352">
        <v>-1.1136869220012999</v>
      </c>
      <c r="AE5352">
        <v>-0.32006999999999702</v>
      </c>
      <c r="AF5352">
        <v>-1.3929513526805</v>
      </c>
      <c r="AG5352">
        <v>-1.1136869220012999</v>
      </c>
      <c r="AH5352">
        <v>16.099975802867</v>
      </c>
      <c r="AI5352">
        <v>93.942348309967798</v>
      </c>
      <c r="AJ5352">
        <v>94.944851102168897</v>
      </c>
      <c r="AK5352">
        <v>16.198451558222299</v>
      </c>
      <c r="AL5352">
        <v>81.395772378382802</v>
      </c>
      <c r="AM5352">
        <v>90.173804636874706</v>
      </c>
      <c r="AN5352">
        <v>1.00000000446099</v>
      </c>
    </row>
    <row r="5353" spans="1:40" x14ac:dyDescent="0.25">
      <c r="A5353" t="str">
        <f>"20190312164135515"</f>
        <v>20190312164135515</v>
      </c>
      <c r="B5353" t="str">
        <f>"1552380095512075"</f>
        <v>1552380095512075</v>
      </c>
      <c r="C5353" t="s">
        <v>40</v>
      </c>
      <c r="D5353">
        <v>5.1205410000000002</v>
      </c>
      <c r="E5353">
        <v>0.47510269999999999</v>
      </c>
      <c r="F5353" t="s">
        <v>53</v>
      </c>
      <c r="G5353">
        <v>-378.61320000000001</v>
      </c>
      <c r="H5353" s="1">
        <v>-9.720725999999999E-7</v>
      </c>
      <c r="I5353">
        <v>17.905159999999999</v>
      </c>
      <c r="J5353">
        <v>-394.76710000000003</v>
      </c>
      <c r="K5353">
        <v>1.113675</v>
      </c>
      <c r="L5353">
        <v>18.19839</v>
      </c>
      <c r="M5353">
        <v>0.99453599999999998</v>
      </c>
      <c r="N5353">
        <v>0</v>
      </c>
      <c r="O5353">
        <v>-0.1035377</v>
      </c>
      <c r="P5353">
        <v>0.98544880000000001</v>
      </c>
      <c r="Q5353">
        <v>0.13653999999999999</v>
      </c>
      <c r="R5353">
        <v>-0.1012316</v>
      </c>
      <c r="S5353">
        <v>3.067688</v>
      </c>
      <c r="T5353">
        <v>-0.20873220000000001</v>
      </c>
      <c r="U5353">
        <v>-5.8837889999999997E-2</v>
      </c>
      <c r="V5353">
        <v>-2.693754E-3</v>
      </c>
      <c r="W5353">
        <v>0.14973510000000001</v>
      </c>
      <c r="X5353">
        <v>0.98872249999999995</v>
      </c>
      <c r="Y5353">
        <v>-8.402192E-2</v>
      </c>
      <c r="Z5353">
        <v>9.8804979999999997E-3</v>
      </c>
      <c r="AA5353">
        <v>0.99641489999999999</v>
      </c>
      <c r="AB5353">
        <v>35</v>
      </c>
      <c r="AC5353">
        <v>16.1539</v>
      </c>
      <c r="AD5353">
        <v>-1.1136759720725999</v>
      </c>
      <c r="AE5353">
        <v>-0.29322999999999699</v>
      </c>
      <c r="AF5353">
        <v>-1.37450205715081</v>
      </c>
      <c r="AG5353">
        <v>-1.1136759720725999</v>
      </c>
      <c r="AH5353">
        <v>16.021305580462801</v>
      </c>
      <c r="AI5353">
        <v>93.961851735236806</v>
      </c>
      <c r="AJ5353">
        <v>94.903520491422597</v>
      </c>
      <c r="AK5353">
        <v>16.118677445077601</v>
      </c>
      <c r="AL5353">
        <v>81.388424633560703</v>
      </c>
      <c r="AM5353">
        <v>90.156100779914098</v>
      </c>
      <c r="AN5353">
        <v>1.00000001924443</v>
      </c>
    </row>
    <row r="5354" spans="1:40" x14ac:dyDescent="0.25">
      <c r="A5354" t="str">
        <f>"20190312164135533"</f>
        <v>20190312164135533</v>
      </c>
      <c r="B5354" t="str">
        <f>"1552380095512075"</f>
        <v>1552380095512075</v>
      </c>
      <c r="C5354" t="s">
        <v>40</v>
      </c>
      <c r="D5354">
        <v>5.1205410000000002</v>
      </c>
      <c r="E5354">
        <v>0.47510269999999999</v>
      </c>
      <c r="F5354" t="s">
        <v>53</v>
      </c>
      <c r="G5354">
        <v>-378.51029999999997</v>
      </c>
      <c r="H5354" s="1">
        <v>-1.009606E-6</v>
      </c>
      <c r="I5354">
        <v>17.912489999999998</v>
      </c>
      <c r="J5354">
        <v>-394.49400000000003</v>
      </c>
      <c r="K5354">
        <v>1.1136629999999901</v>
      </c>
      <c r="L5354">
        <v>18.172789999999999</v>
      </c>
      <c r="M5354">
        <v>0.99483189999999999</v>
      </c>
      <c r="N5354">
        <v>0</v>
      </c>
      <c r="O5354">
        <v>-0.1006346</v>
      </c>
      <c r="P5354">
        <v>0.98564229999999997</v>
      </c>
      <c r="Q5354">
        <v>0.13643440000000001</v>
      </c>
      <c r="R5354">
        <v>-9.947462E-2</v>
      </c>
      <c r="S5354">
        <v>3.0678709999999998</v>
      </c>
      <c r="T5354">
        <v>-0.21016650000000001</v>
      </c>
      <c r="U5354">
        <v>-5.3955080000000002E-2</v>
      </c>
      <c r="V5354">
        <v>-1.562237E-3</v>
      </c>
      <c r="W5354">
        <v>0.14979310000000001</v>
      </c>
      <c r="X5354">
        <v>0.98871609999999999</v>
      </c>
      <c r="Y5354">
        <v>-8.270429E-2</v>
      </c>
      <c r="Z5354">
        <v>9.7050920000000002E-3</v>
      </c>
      <c r="AA5354">
        <v>0.99652689999999999</v>
      </c>
      <c r="AB5354">
        <v>35</v>
      </c>
      <c r="AC5354">
        <v>15.983700000000001</v>
      </c>
      <c r="AD5354">
        <v>-1.11366400960599</v>
      </c>
      <c r="AE5354">
        <v>-0.26029999999999998</v>
      </c>
      <c r="AF5354">
        <v>-1.34316265968405</v>
      </c>
      <c r="AG5354">
        <v>-1.11366400960599</v>
      </c>
      <c r="AH5354">
        <v>15.851806918666099</v>
      </c>
      <c r="AI5354">
        <v>94.004392702556999</v>
      </c>
      <c r="AJ5354">
        <v>94.8432438496298</v>
      </c>
      <c r="AK5354">
        <v>15.9475426333755</v>
      </c>
      <c r="AL5354">
        <v>81.385063143172502</v>
      </c>
      <c r="AM5354">
        <v>90.090531055587206</v>
      </c>
      <c r="AN5354">
        <v>0.999999969895631</v>
      </c>
    </row>
    <row r="5355" spans="1:40" x14ac:dyDescent="0.25">
      <c r="A5355" t="str">
        <f>"20190312164135547"</f>
        <v>20190312164135547</v>
      </c>
      <c r="B5355" t="str">
        <f>"1552380095541355"</f>
        <v>1552380095541355</v>
      </c>
      <c r="C5355" t="s">
        <v>40</v>
      </c>
      <c r="D5355">
        <v>5.0951459999999997</v>
      </c>
      <c r="E5355">
        <v>0.47786590000000001</v>
      </c>
      <c r="F5355" t="s">
        <v>53</v>
      </c>
      <c r="G5355">
        <v>-378.26170000000002</v>
      </c>
      <c r="H5355" s="1">
        <v>-1.1039919999999999E-6</v>
      </c>
      <c r="I5355">
        <v>17.916550000000001</v>
      </c>
      <c r="J5355">
        <v>-394.28989999999999</v>
      </c>
      <c r="K5355">
        <v>1.1136549999999901</v>
      </c>
      <c r="L5355">
        <v>18.154240000000001</v>
      </c>
      <c r="M5355">
        <v>0.99504729999999997</v>
      </c>
      <c r="N5355">
        <v>0</v>
      </c>
      <c r="O5355">
        <v>-9.8467219999999994E-2</v>
      </c>
      <c r="P5355">
        <v>0.98581169999999996</v>
      </c>
      <c r="Q5355">
        <v>0.13647899999999999</v>
      </c>
      <c r="R5355">
        <v>-9.7719089999999995E-2</v>
      </c>
      <c r="S5355">
        <v>3.0679630000000002</v>
      </c>
      <c r="T5355">
        <v>-0.21048739999999999</v>
      </c>
      <c r="U5355">
        <v>-4.8431399999999999E-2</v>
      </c>
      <c r="V5355">
        <v>-1.1628840000000001E-3</v>
      </c>
      <c r="W5355">
        <v>0.14994489999999999</v>
      </c>
      <c r="X5355">
        <v>0.98869370000000001</v>
      </c>
      <c r="Y5355">
        <v>-8.2332370000000002E-2</v>
      </c>
      <c r="Z5355">
        <v>9.5592400000000001E-3</v>
      </c>
      <c r="AA5355">
        <v>0.99655910000000003</v>
      </c>
      <c r="AB5355">
        <v>35</v>
      </c>
      <c r="AC5355">
        <v>16.028199999999899</v>
      </c>
      <c r="AD5355">
        <v>-1.1136561039920001</v>
      </c>
      <c r="AE5355">
        <v>-0.23768999999999699</v>
      </c>
      <c r="AF5355">
        <v>-1.3354182143085001</v>
      </c>
      <c r="AG5355">
        <v>-1.1136561039920001</v>
      </c>
      <c r="AH5355">
        <v>15.8969724592414</v>
      </c>
      <c r="AI5355">
        <v>93.993266965258897</v>
      </c>
      <c r="AJ5355">
        <v>94.801832922279402</v>
      </c>
      <c r="AK5355">
        <v>15.9917886771601</v>
      </c>
      <c r="AL5355">
        <v>81.376266803224993</v>
      </c>
      <c r="AM5355">
        <v>90.067390248909902</v>
      </c>
      <c r="AN5355">
        <v>1.00000002887744</v>
      </c>
    </row>
    <row r="5356" spans="1:40" x14ac:dyDescent="0.25">
      <c r="A5356" t="str">
        <f>"20190312164135566"</f>
        <v>20190312164135566</v>
      </c>
      <c r="B5356" t="str">
        <f>"1552380095561852"</f>
        <v>1552380095561852</v>
      </c>
      <c r="C5356" t="s">
        <v>40</v>
      </c>
      <c r="D5356">
        <v>5.1280729999999997</v>
      </c>
      <c r="E5356">
        <v>0.47797099999999998</v>
      </c>
      <c r="F5356" t="s">
        <v>53</v>
      </c>
      <c r="G5356">
        <v>-378.49700000000001</v>
      </c>
      <c r="H5356" s="1">
        <v>-1.038695E-6</v>
      </c>
      <c r="I5356">
        <v>17.822479999999999</v>
      </c>
      <c r="J5356">
        <v>-393.98020000000002</v>
      </c>
      <c r="K5356">
        <v>1.1136429999999999</v>
      </c>
      <c r="L5356">
        <v>18.12677</v>
      </c>
      <c r="M5356">
        <v>0.9953649</v>
      </c>
      <c r="N5356">
        <v>0</v>
      </c>
      <c r="O5356">
        <v>-9.51819E-2</v>
      </c>
      <c r="P5356">
        <v>0.98597140000000005</v>
      </c>
      <c r="Q5356">
        <v>0.13669479999999901</v>
      </c>
      <c r="R5356">
        <v>-9.5786880000000005E-2</v>
      </c>
      <c r="S5356">
        <v>3.0667719999999998</v>
      </c>
      <c r="T5356">
        <v>-0.21625659999999999</v>
      </c>
      <c r="U5356">
        <v>-6.4422610000000005E-2</v>
      </c>
      <c r="V5356">
        <v>1.74817599999999E-4</v>
      </c>
      <c r="W5356">
        <v>0.150315</v>
      </c>
      <c r="X5356">
        <v>0.98863820000000002</v>
      </c>
      <c r="Y5356">
        <v>-7.3844439999999997E-2</v>
      </c>
      <c r="Z5356">
        <v>9.294208E-3</v>
      </c>
      <c r="AA5356">
        <v>0.99722650000000002</v>
      </c>
      <c r="AB5356">
        <v>35</v>
      </c>
      <c r="AC5356">
        <v>15.4832</v>
      </c>
      <c r="AD5356">
        <v>-1.1136440386949999</v>
      </c>
      <c r="AE5356">
        <v>-0.304290000000001</v>
      </c>
      <c r="AF5356">
        <v>-1.1649272974076299</v>
      </c>
      <c r="AG5356">
        <v>-1.1136440386949999</v>
      </c>
      <c r="AH5356">
        <v>15.36241262599</v>
      </c>
      <c r="AI5356">
        <v>94.134375005734995</v>
      </c>
      <c r="AJ5356">
        <v>94.336423375190606</v>
      </c>
      <c r="AK5356">
        <v>15.446714224855199</v>
      </c>
      <c r="AL5356">
        <v>81.354818819391298</v>
      </c>
      <c r="AM5356">
        <v>89.9898685782521</v>
      </c>
      <c r="AN5356">
        <v>1.0000000601427099</v>
      </c>
    </row>
    <row r="5357" spans="1:40" x14ac:dyDescent="0.25">
      <c r="A5357" t="str">
        <f>"20190312164135578"</f>
        <v>20190312164135578</v>
      </c>
      <c r="B5357" t="str">
        <f>"1552380095571612"</f>
        <v>1552380095571612</v>
      </c>
      <c r="C5357" t="s">
        <v>40</v>
      </c>
      <c r="D5357">
        <v>5.1172700000000004</v>
      </c>
      <c r="E5357">
        <v>0.4780702</v>
      </c>
      <c r="F5357" t="s">
        <v>53</v>
      </c>
      <c r="G5357">
        <v>-378.03559999999999</v>
      </c>
      <c r="H5357" s="1">
        <v>-1.22771E-6</v>
      </c>
      <c r="I5357">
        <v>17.819739999999999</v>
      </c>
      <c r="J5357">
        <v>-393.7962</v>
      </c>
      <c r="K5357">
        <v>1.1136379999999999</v>
      </c>
      <c r="L5357">
        <v>18.11084</v>
      </c>
      <c r="M5357">
        <v>0.99554819999999999</v>
      </c>
      <c r="N5357">
        <v>0</v>
      </c>
      <c r="O5357">
        <v>-9.3233319999999995E-2</v>
      </c>
      <c r="P5357">
        <v>0.9861221</v>
      </c>
      <c r="Q5357">
        <v>0.13657939999999999</v>
      </c>
      <c r="R5357">
        <v>-9.4390580000000002E-2</v>
      </c>
      <c r="S5357">
        <v>3.0666500000000001</v>
      </c>
      <c r="T5357">
        <v>-0.2141902</v>
      </c>
      <c r="U5357">
        <v>-5.9051510000000001E-2</v>
      </c>
      <c r="V5357">
        <v>7.1479520000000002E-4</v>
      </c>
      <c r="W5357">
        <v>0.15028339999999901</v>
      </c>
      <c r="X5357">
        <v>0.98864269999999999</v>
      </c>
      <c r="Y5357">
        <v>-7.3650640000000003E-2</v>
      </c>
      <c r="Z5357">
        <v>9.0641160000000005E-3</v>
      </c>
      <c r="AA5357">
        <v>0.99724290000000004</v>
      </c>
      <c r="AB5357">
        <v>35</v>
      </c>
      <c r="AC5357">
        <v>15.7606</v>
      </c>
      <c r="AD5357">
        <v>-1.11363922771</v>
      </c>
      <c r="AE5357">
        <v>-0.29110000000000003</v>
      </c>
      <c r="AF5357">
        <v>-1.1738629893624799</v>
      </c>
      <c r="AG5357">
        <v>-1.11363922771</v>
      </c>
      <c r="AH5357">
        <v>15.641015296878001</v>
      </c>
      <c r="AI5357">
        <v>94.061199984818401</v>
      </c>
      <c r="AJ5357">
        <v>94.292019536050205</v>
      </c>
      <c r="AK5357">
        <v>15.7244874690548</v>
      </c>
      <c r="AL5357">
        <v>81.356649643081397</v>
      </c>
      <c r="AM5357">
        <v>89.958574780312404</v>
      </c>
      <c r="AN5357">
        <v>0.99999999975551301</v>
      </c>
    </row>
    <row r="5358" spans="1:40" x14ac:dyDescent="0.25">
      <c r="A5358" t="str">
        <f>"20190312164135590"</f>
        <v>20190312164135590</v>
      </c>
      <c r="B5358" t="str">
        <f>"1552380095581371"</f>
        <v>1552380095581371</v>
      </c>
      <c r="C5358" t="s">
        <v>40</v>
      </c>
      <c r="D5358">
        <v>5.41256</v>
      </c>
      <c r="E5358">
        <v>0.478163</v>
      </c>
      <c r="F5358" t="s">
        <v>53</v>
      </c>
      <c r="G5358">
        <v>-377.77050000000003</v>
      </c>
      <c r="H5358" s="1">
        <v>-1.3528479999999901E-6</v>
      </c>
      <c r="I5358">
        <v>17.820889999999999</v>
      </c>
      <c r="J5358">
        <v>-393.60019999999997</v>
      </c>
      <c r="K5358">
        <v>1.1136299999999999</v>
      </c>
      <c r="L5358">
        <v>18.09451</v>
      </c>
      <c r="M5358">
        <v>0.99573900000000004</v>
      </c>
      <c r="N5358">
        <v>0</v>
      </c>
      <c r="O5358">
        <v>-9.1162220000000002E-2</v>
      </c>
      <c r="P5358">
        <v>0.98625700000000005</v>
      </c>
      <c r="Q5358">
        <v>0.13660079999999999</v>
      </c>
      <c r="R5358">
        <v>-9.2937699999999998E-2</v>
      </c>
      <c r="S5358">
        <v>3.0664370000000001</v>
      </c>
      <c r="T5358">
        <v>-0.2130891</v>
      </c>
      <c r="U5358">
        <v>-5.5480960000000003E-2</v>
      </c>
      <c r="V5358">
        <v>1.321132E-3</v>
      </c>
      <c r="W5358">
        <v>0.15038280000000001</v>
      </c>
      <c r="X5358">
        <v>0.98862700000000003</v>
      </c>
      <c r="Y5358">
        <v>-7.2746899999999906E-2</v>
      </c>
      <c r="Z5358">
        <v>8.8438600000000003E-3</v>
      </c>
      <c r="AA5358">
        <v>0.99731119999999995</v>
      </c>
      <c r="AB5358">
        <v>35</v>
      </c>
      <c r="AC5358">
        <v>15.8296999999999</v>
      </c>
      <c r="AD5358">
        <v>-1.113631352848</v>
      </c>
      <c r="AE5358">
        <v>-0.27362000000000097</v>
      </c>
      <c r="AF5358">
        <v>-1.16496568191419</v>
      </c>
      <c r="AG5358">
        <v>-1.113631352848</v>
      </c>
      <c r="AH5358">
        <v>15.7109854212946</v>
      </c>
      <c r="AI5358">
        <v>94.0434139633293</v>
      </c>
      <c r="AJ5358">
        <v>94.240707172509005</v>
      </c>
      <c r="AK5358">
        <v>15.793428466872401</v>
      </c>
      <c r="AL5358">
        <v>81.350889312830802</v>
      </c>
      <c r="AM5358">
        <v>89.923433971840296</v>
      </c>
      <c r="AN5358">
        <v>1.0000000385273</v>
      </c>
    </row>
    <row r="5359" spans="1:40" x14ac:dyDescent="0.25">
      <c r="A5359" t="str">
        <f>"20190312164135601"</f>
        <v>20190312164135601</v>
      </c>
      <c r="B5359" t="str">
        <f>"1552380095592107"</f>
        <v>1552380095592107</v>
      </c>
      <c r="C5359" t="s">
        <v>40</v>
      </c>
      <c r="D5359">
        <v>5.4175420000000001</v>
      </c>
      <c r="E5359">
        <v>0.47833799999999999</v>
      </c>
      <c r="F5359" t="s">
        <v>53</v>
      </c>
      <c r="G5359">
        <v>-377.57190000000003</v>
      </c>
      <c r="H5359" s="1">
        <v>-1.446047E-6</v>
      </c>
      <c r="I5359">
        <v>17.824770000000001</v>
      </c>
      <c r="J5359">
        <v>-393.423</v>
      </c>
      <c r="K5359">
        <v>1.1136239999999999</v>
      </c>
      <c r="L5359">
        <v>18.079930000000001</v>
      </c>
      <c r="M5359">
        <v>0.99590769999999995</v>
      </c>
      <c r="N5359">
        <v>0</v>
      </c>
      <c r="O5359">
        <v>-8.9291469999999998E-2</v>
      </c>
      <c r="P5359">
        <v>0.98638970000000004</v>
      </c>
      <c r="Q5359">
        <v>0.13636870000000001</v>
      </c>
      <c r="R5359">
        <v>-9.1866589999999998E-2</v>
      </c>
      <c r="S5359">
        <v>3.0664370000000001</v>
      </c>
      <c r="T5359">
        <v>-0.2130531</v>
      </c>
      <c r="U5359">
        <v>-5.160522E-2</v>
      </c>
      <c r="V5359">
        <v>2.109391E-3</v>
      </c>
      <c r="W5359">
        <v>0.15022160000000001</v>
      </c>
      <c r="X5359">
        <v>0.98865009999999998</v>
      </c>
      <c r="Y5359">
        <v>-7.2139579999999995E-2</v>
      </c>
      <c r="Z5359">
        <v>8.6921150000000003E-3</v>
      </c>
      <c r="AA5359">
        <v>0.99735669999999998</v>
      </c>
      <c r="AB5359">
        <v>35</v>
      </c>
      <c r="AC5359">
        <v>15.851099999999899</v>
      </c>
      <c r="AD5359">
        <v>-1.1136254460470001</v>
      </c>
      <c r="AE5359">
        <v>-0.255159999999996</v>
      </c>
      <c r="AF5359">
        <v>-1.15566271645164</v>
      </c>
      <c r="AG5359">
        <v>-1.1136254460470001</v>
      </c>
      <c r="AH5359">
        <v>15.732922077515999</v>
      </c>
      <c r="AI5359">
        <v>94.037978703251895</v>
      </c>
      <c r="AJ5359">
        <v>94.201119776903198</v>
      </c>
      <c r="AK5359">
        <v>15.8145678108973</v>
      </c>
      <c r="AL5359">
        <v>81.3602311783076</v>
      </c>
      <c r="AM5359">
        <v>89.877753496157595</v>
      </c>
      <c r="AN5359">
        <v>0.99999999943347995</v>
      </c>
    </row>
    <row r="5360" spans="1:40" x14ac:dyDescent="0.25">
      <c r="A5360" t="str">
        <f>"20190312164135613"</f>
        <v>20190312164135613</v>
      </c>
      <c r="B5360" t="str">
        <f>"1552380095601869"</f>
        <v>1552380095601869</v>
      </c>
      <c r="C5360" t="s">
        <v>40</v>
      </c>
      <c r="D5360">
        <v>5.2411830000000004</v>
      </c>
      <c r="E5360">
        <v>0.4784621</v>
      </c>
      <c r="F5360" t="s">
        <v>53</v>
      </c>
      <c r="G5360">
        <v>-377.51389999999998</v>
      </c>
      <c r="H5360" s="1">
        <v>-1.4736890000000001E-6</v>
      </c>
      <c r="I5360">
        <v>17.823429999999998</v>
      </c>
      <c r="J5360">
        <v>-393.23590000000002</v>
      </c>
      <c r="K5360">
        <v>1.113618</v>
      </c>
      <c r="L5360">
        <v>18.06494</v>
      </c>
      <c r="M5360">
        <v>0.99608169999999996</v>
      </c>
      <c r="N5360">
        <v>0</v>
      </c>
      <c r="O5360">
        <v>-8.7317850000000002E-2</v>
      </c>
      <c r="P5360">
        <v>0.98650490000000002</v>
      </c>
      <c r="Q5360">
        <v>0.1361755</v>
      </c>
      <c r="R5360">
        <v>-9.0911919999999993E-2</v>
      </c>
      <c r="S5360">
        <v>3.0664980000000002</v>
      </c>
      <c r="T5360">
        <v>-0.2146527</v>
      </c>
      <c r="U5360">
        <v>-4.943848E-2</v>
      </c>
      <c r="V5360">
        <v>3.1172270000000002E-3</v>
      </c>
      <c r="W5360">
        <v>0.1500986</v>
      </c>
      <c r="X5360">
        <v>0.98866609999999999</v>
      </c>
      <c r="Y5360">
        <v>-7.087019E-2</v>
      </c>
      <c r="Z5360">
        <v>8.5752429999999998E-3</v>
      </c>
      <c r="AA5360">
        <v>0.99744869999999997</v>
      </c>
      <c r="AB5360">
        <v>35</v>
      </c>
      <c r="AC5360">
        <v>15.722</v>
      </c>
      <c r="AD5360">
        <v>-1.1136194736889999</v>
      </c>
      <c r="AE5360">
        <v>-0.241510000000001</v>
      </c>
      <c r="AF5360">
        <v>-1.1267074592967199</v>
      </c>
      <c r="AG5360">
        <v>-1.1136194736889999</v>
      </c>
      <c r="AH5360">
        <v>15.604755119981</v>
      </c>
      <c r="AI5360">
        <v>94.071379210761705</v>
      </c>
      <c r="AJ5360">
        <v>94.129750824976895</v>
      </c>
      <c r="AK5360">
        <v>15.6849609621952</v>
      </c>
      <c r="AL5360">
        <v>81.3673592297977</v>
      </c>
      <c r="AM5360">
        <v>89.819349162428395</v>
      </c>
      <c r="AN5360">
        <v>0.99999998205766905</v>
      </c>
    </row>
    <row r="5361" spans="1:40" x14ac:dyDescent="0.25">
      <c r="A5361" t="str">
        <f>"20190312164135626"</f>
        <v>20190312164135626</v>
      </c>
      <c r="B5361" t="str">
        <f>"1552380095621387"</f>
        <v>1552380095621387</v>
      </c>
      <c r="C5361" t="s">
        <v>40</v>
      </c>
      <c r="D5361">
        <v>5.191414</v>
      </c>
      <c r="E5361">
        <v>0.47863250000000002</v>
      </c>
      <c r="F5361" t="s">
        <v>53</v>
      </c>
      <c r="G5361">
        <v>-377.48140000000001</v>
      </c>
      <c r="H5361" s="1">
        <v>-1.489173E-6</v>
      </c>
      <c r="I5361">
        <v>17.822710000000001</v>
      </c>
      <c r="J5361">
        <v>-393.0471</v>
      </c>
      <c r="K5361">
        <v>1.1136079999999999</v>
      </c>
      <c r="L5361">
        <v>18.050229999999999</v>
      </c>
      <c r="M5361">
        <v>0.99625330000000001</v>
      </c>
      <c r="N5361">
        <v>0</v>
      </c>
      <c r="O5361">
        <v>-8.5328379999999995E-2</v>
      </c>
      <c r="P5361">
        <v>0.9866045</v>
      </c>
      <c r="Q5361">
        <v>0.13623370000000001</v>
      </c>
      <c r="R5361">
        <v>-8.9733889999999997E-2</v>
      </c>
      <c r="S5361">
        <v>3.0666199999999999</v>
      </c>
      <c r="T5361">
        <v>-0.21676679999999901</v>
      </c>
      <c r="U5361">
        <v>-4.7149660000000003E-2</v>
      </c>
      <c r="V5361">
        <v>3.917065E-3</v>
      </c>
      <c r="W5361">
        <v>0.1502202</v>
      </c>
      <c r="X5361">
        <v>0.98864479999999999</v>
      </c>
      <c r="Y5361">
        <v>-6.9623489999999996E-2</v>
      </c>
      <c r="Z5361">
        <v>8.4752360000000006E-3</v>
      </c>
      <c r="AA5361">
        <v>0.99753729999999996</v>
      </c>
      <c r="AB5361">
        <v>35</v>
      </c>
      <c r="AC5361">
        <v>15.5656999999999</v>
      </c>
      <c r="AD5361">
        <v>-1.113609489173</v>
      </c>
      <c r="AE5361">
        <v>-0.227519999999998</v>
      </c>
      <c r="AF5361">
        <v>-1.09602907460344</v>
      </c>
      <c r="AG5361">
        <v>-1.113609489173</v>
      </c>
      <c r="AH5361">
        <v>15.4492769706519</v>
      </c>
      <c r="AI5361">
        <v>94.112543520680902</v>
      </c>
      <c r="AJ5361">
        <v>94.057976516650399</v>
      </c>
      <c r="AK5361">
        <v>15.5280895393692</v>
      </c>
      <c r="AL5361">
        <v>81.360312285161299</v>
      </c>
      <c r="AM5361">
        <v>89.772992162377804</v>
      </c>
      <c r="AN5361">
        <v>0.99999999622664704</v>
      </c>
    </row>
    <row r="5362" spans="1:40" x14ac:dyDescent="0.25">
      <c r="A5362" t="str">
        <f>"20190312164135645"</f>
        <v>20190312164135645</v>
      </c>
      <c r="B5362" t="str">
        <f>"1552380095641883"</f>
        <v>1552380095641883</v>
      </c>
      <c r="C5362" t="s">
        <v>40</v>
      </c>
      <c r="D5362">
        <v>5.1749199999999904</v>
      </c>
      <c r="E5362">
        <v>0.48146220000000001</v>
      </c>
      <c r="F5362" t="s">
        <v>53</v>
      </c>
      <c r="G5362">
        <v>-377.24380000000002</v>
      </c>
      <c r="H5362" s="1">
        <v>-1.6021680000000001E-6</v>
      </c>
      <c r="I5362">
        <v>17.81888</v>
      </c>
      <c r="J5362">
        <v>-392.74990000000003</v>
      </c>
      <c r="K5362">
        <v>1.1135900000000001</v>
      </c>
      <c r="L5362">
        <v>18.027830000000002</v>
      </c>
      <c r="M5362">
        <v>0.99651500000000004</v>
      </c>
      <c r="N5362">
        <v>0</v>
      </c>
      <c r="O5362">
        <v>-8.2201170000000004E-2</v>
      </c>
      <c r="P5362">
        <v>0.98679740000000005</v>
      </c>
      <c r="Q5362">
        <v>0.13590829999999901</v>
      </c>
      <c r="R5362">
        <v>-8.809169E-2</v>
      </c>
      <c r="S5362">
        <v>3.0664980000000002</v>
      </c>
      <c r="T5362">
        <v>-0.216087</v>
      </c>
      <c r="U5362">
        <v>-4.4891359999999998E-2</v>
      </c>
      <c r="V5362">
        <v>5.382235E-3</v>
      </c>
      <c r="W5362">
        <v>0.14998829999999999</v>
      </c>
      <c r="X5362">
        <v>0.98867320000000003</v>
      </c>
      <c r="Y5362">
        <v>-6.7242380000000004E-2</v>
      </c>
      <c r="Z5362">
        <v>8.1459159999999996E-3</v>
      </c>
      <c r="AA5362">
        <v>0.99770340000000002</v>
      </c>
      <c r="AB5362">
        <v>35</v>
      </c>
      <c r="AC5362">
        <v>15.5061</v>
      </c>
      <c r="AD5362">
        <v>-1.1135916021679999</v>
      </c>
      <c r="AE5362">
        <v>-0.208949999999998</v>
      </c>
      <c r="AF5362">
        <v>-1.06103346626316</v>
      </c>
      <c r="AG5362">
        <v>-1.1135916021679999</v>
      </c>
      <c r="AH5362">
        <v>15.3914224751815</v>
      </c>
      <c r="AI5362">
        <v>94.128457328696896</v>
      </c>
      <c r="AJ5362">
        <v>93.943541425659106</v>
      </c>
      <c r="AK5362">
        <v>15.468088572363101</v>
      </c>
      <c r="AL5362">
        <v>81.373752146170602</v>
      </c>
      <c r="AM5362">
        <v>89.688090762930003</v>
      </c>
      <c r="AN5362">
        <v>1.00000007749435</v>
      </c>
    </row>
    <row r="5363" spans="1:40" x14ac:dyDescent="0.25">
      <c r="A5363" t="str">
        <f>"20190312164135657"</f>
        <v>20190312164135657</v>
      </c>
      <c r="B5363" t="str">
        <f>"1552380095651643"</f>
        <v>1552380095651643</v>
      </c>
      <c r="C5363" t="s">
        <v>40</v>
      </c>
      <c r="D5363">
        <v>5.2962089999999904</v>
      </c>
      <c r="E5363">
        <v>0.48146220000000001</v>
      </c>
      <c r="F5363" t="s">
        <v>53</v>
      </c>
      <c r="G5363">
        <v>-376.32350000000002</v>
      </c>
      <c r="H5363" s="1">
        <v>-2.0601430000000001E-6</v>
      </c>
      <c r="I5363">
        <v>17.68956</v>
      </c>
      <c r="J5363">
        <v>-392.55799999999999</v>
      </c>
      <c r="K5363">
        <v>1.1135839999999999</v>
      </c>
      <c r="L5363">
        <v>18.013729999999999</v>
      </c>
      <c r="M5363">
        <v>0.99667879999999998</v>
      </c>
      <c r="N5363">
        <v>0</v>
      </c>
      <c r="O5363">
        <v>-8.0183180000000007E-2</v>
      </c>
      <c r="P5363">
        <v>0.98685780000000001</v>
      </c>
      <c r="Q5363">
        <v>0.1358974</v>
      </c>
      <c r="R5363">
        <v>-8.7429839999999995E-2</v>
      </c>
      <c r="S5363">
        <v>3.0631409999999999</v>
      </c>
      <c r="T5363">
        <v>-0.2076586</v>
      </c>
      <c r="U5363">
        <v>-6.3079830000000003E-2</v>
      </c>
      <c r="V5363">
        <v>6.7271359999999999E-3</v>
      </c>
      <c r="W5363">
        <v>0.15003629999999901</v>
      </c>
      <c r="X5363">
        <v>0.98865760000000003</v>
      </c>
      <c r="Y5363">
        <v>-5.9332089999999997E-2</v>
      </c>
      <c r="Z5363">
        <v>7.4327009999999999E-3</v>
      </c>
      <c r="AA5363">
        <v>0.99821059999999995</v>
      </c>
      <c r="AB5363">
        <v>35</v>
      </c>
      <c r="AC5363">
        <v>16.234500000000001</v>
      </c>
      <c r="AD5363">
        <v>-1.1135860601430001</v>
      </c>
      <c r="AE5363">
        <v>-0.32416999999999802</v>
      </c>
      <c r="AF5363">
        <v>-0.97415764851712205</v>
      </c>
      <c r="AG5363">
        <v>-1.1135860601430001</v>
      </c>
      <c r="AH5363">
        <v>16.132338128120001</v>
      </c>
      <c r="AI5363">
        <v>93.941602863112806</v>
      </c>
      <c r="AJ5363">
        <v>93.4556322889065</v>
      </c>
      <c r="AK5363">
        <v>16.2000429171501</v>
      </c>
      <c r="AL5363">
        <v>81.370969779473299</v>
      </c>
      <c r="AM5363">
        <v>89.610147585194795</v>
      </c>
      <c r="AN5363">
        <v>0.99999999785710603</v>
      </c>
    </row>
    <row r="5364" spans="1:40" x14ac:dyDescent="0.25">
      <c r="A5364" t="str">
        <f>"20190312164135678"</f>
        <v>20190312164135678</v>
      </c>
      <c r="B5364" t="str">
        <f>"1552380095672139"</f>
        <v>1552380095672139</v>
      </c>
      <c r="C5364" t="s">
        <v>40</v>
      </c>
      <c r="D5364">
        <v>5.4077250000000001</v>
      </c>
      <c r="E5364">
        <v>0.48714190000000002</v>
      </c>
      <c r="F5364" t="s">
        <v>53</v>
      </c>
      <c r="G5364">
        <v>-376.14210000000003</v>
      </c>
      <c r="H5364" s="1">
        <v>-2.1467309999999999E-6</v>
      </c>
      <c r="I5364">
        <v>17.684999999999999</v>
      </c>
      <c r="J5364">
        <v>-392.22969999999998</v>
      </c>
      <c r="K5364">
        <v>1.11358</v>
      </c>
      <c r="L5364">
        <v>17.990690000000001</v>
      </c>
      <c r="M5364">
        <v>0.99694930000000004</v>
      </c>
      <c r="N5364">
        <v>0</v>
      </c>
      <c r="O5364">
        <v>-7.6734570000000002E-2</v>
      </c>
      <c r="P5364">
        <v>0.98701930000000004</v>
      </c>
      <c r="Q5364">
        <v>0.13567360000000001</v>
      </c>
      <c r="R5364">
        <v>-8.5942640000000001E-2</v>
      </c>
      <c r="S5364">
        <v>3.0631409999999999</v>
      </c>
      <c r="T5364">
        <v>-0.20778949999999999</v>
      </c>
      <c r="U5364">
        <v>-6.1340329999999998E-2</v>
      </c>
      <c r="V5364">
        <v>8.6658859999999994E-3</v>
      </c>
      <c r="W5364">
        <v>0.14990049999999999</v>
      </c>
      <c r="X5364">
        <v>0.98866310000000002</v>
      </c>
      <c r="Y5364">
        <v>-5.6459130000000003E-2</v>
      </c>
      <c r="Z5364">
        <v>7.1070949999999999E-3</v>
      </c>
      <c r="AA5364">
        <v>0.99837960000000003</v>
      </c>
      <c r="AB5364">
        <v>35</v>
      </c>
      <c r="AC5364">
        <v>16.087599999999899</v>
      </c>
      <c r="AD5364">
        <v>-1.1135821467309901</v>
      </c>
      <c r="AE5364">
        <v>-0.30569000000000202</v>
      </c>
      <c r="AF5364">
        <v>-0.92538017368210301</v>
      </c>
      <c r="AG5364">
        <v>-1.1135821467309901</v>
      </c>
      <c r="AH5364">
        <v>15.987043712137501</v>
      </c>
      <c r="AI5364">
        <v>93.977881418521307</v>
      </c>
      <c r="AJ5364">
        <v>93.312762755657005</v>
      </c>
      <c r="AK5364">
        <v>16.052475208426799</v>
      </c>
      <c r="AL5364">
        <v>81.378839491037894</v>
      </c>
      <c r="AM5364">
        <v>89.497800637720701</v>
      </c>
      <c r="AN5364">
        <v>0.99999999139101203</v>
      </c>
    </row>
    <row r="5365" spans="1:40" x14ac:dyDescent="0.25">
      <c r="A5365" t="str">
        <f>"20190312164135690"</f>
        <v>20190312164135690</v>
      </c>
      <c r="B5365" t="str">
        <f>"1552380095681899"</f>
        <v>1552380095681899</v>
      </c>
      <c r="C5365" t="s">
        <v>40</v>
      </c>
      <c r="D5365">
        <v>5.3518179999999997</v>
      </c>
      <c r="E5365">
        <v>0.48909740000000002</v>
      </c>
      <c r="F5365" t="s">
        <v>53</v>
      </c>
      <c r="G5365">
        <v>-376.34280000000001</v>
      </c>
      <c r="H5365" s="1">
        <v>-2.0913979999999999E-6</v>
      </c>
      <c r="I5365">
        <v>17.46199</v>
      </c>
      <c r="J5365">
        <v>-392.03550000000001</v>
      </c>
      <c r="K5365">
        <v>1.1135809999999999</v>
      </c>
      <c r="L5365">
        <v>17.977720000000001</v>
      </c>
      <c r="M5365">
        <v>0.99710350000000003</v>
      </c>
      <c r="N5365">
        <v>0</v>
      </c>
      <c r="O5365">
        <v>-7.4695800000000007E-2</v>
      </c>
      <c r="P5365">
        <v>0.98704729999999996</v>
      </c>
      <c r="Q5365">
        <v>0.1359745</v>
      </c>
      <c r="R5365">
        <v>-8.514033E-2</v>
      </c>
      <c r="S5365">
        <v>3.0600890000000001</v>
      </c>
      <c r="T5365">
        <v>-0.21449480000000001</v>
      </c>
      <c r="U5365">
        <v>-0.1018372</v>
      </c>
      <c r="V5365">
        <v>9.8894150000000004E-3</v>
      </c>
      <c r="W5365">
        <v>0.15024799999999999</v>
      </c>
      <c r="X5365">
        <v>0.98859889999999995</v>
      </c>
      <c r="Y5365">
        <v>-4.1210690000000001E-2</v>
      </c>
      <c r="Z5365">
        <v>6.6652980000000001E-3</v>
      </c>
      <c r="AA5365">
        <v>0.99912820000000002</v>
      </c>
      <c r="AB5365">
        <v>35</v>
      </c>
      <c r="AC5365">
        <v>15.6927</v>
      </c>
      <c r="AD5365">
        <v>-1.1135830913979901</v>
      </c>
      <c r="AE5365">
        <v>-0.51573000000000102</v>
      </c>
      <c r="AF5365">
        <v>-0.65471676593801897</v>
      </c>
      <c r="AG5365">
        <v>-1.1135830913979901</v>
      </c>
      <c r="AH5365">
        <v>15.608863204429101</v>
      </c>
      <c r="AI5365">
        <v>94.077165625842596</v>
      </c>
      <c r="AJ5365">
        <v>92.401874521157694</v>
      </c>
      <c r="AK5365">
        <v>15.6622262746912</v>
      </c>
      <c r="AL5365">
        <v>81.358701415113899</v>
      </c>
      <c r="AM5365">
        <v>89.426862763044099</v>
      </c>
      <c r="AN5365">
        <v>1.00000002355712</v>
      </c>
    </row>
    <row r="5366" spans="1:40" x14ac:dyDescent="0.25">
      <c r="A5366" t="str">
        <f>"20190312164135723"</f>
        <v>20190312164135723</v>
      </c>
      <c r="B5366" t="str">
        <f>"1552380095711228"</f>
        <v>1552380095711228</v>
      </c>
      <c r="C5366" t="s">
        <v>40</v>
      </c>
      <c r="D5366">
        <v>5.5111610000000004</v>
      </c>
      <c r="E5366">
        <v>0.49139389999999999</v>
      </c>
      <c r="F5366" t="s">
        <v>53</v>
      </c>
      <c r="G5366">
        <v>-376.10059999999999</v>
      </c>
      <c r="H5366" s="1">
        <v>-2.220685E-6</v>
      </c>
      <c r="I5366">
        <v>17.378699999999998</v>
      </c>
      <c r="J5366">
        <v>-391.53019999999998</v>
      </c>
      <c r="K5366">
        <v>1.1135870000000001</v>
      </c>
      <c r="L5366">
        <v>17.945529999999899</v>
      </c>
      <c r="M5366">
        <v>0.99748530000000002</v>
      </c>
      <c r="N5366">
        <v>0</v>
      </c>
      <c r="O5366">
        <v>-6.9393369999999996E-2</v>
      </c>
      <c r="P5366">
        <v>0.98711819999999895</v>
      </c>
      <c r="Q5366">
        <v>0.136467899999999</v>
      </c>
      <c r="R5366">
        <v>-8.3515199999999998E-2</v>
      </c>
      <c r="S5366">
        <v>3.058929</v>
      </c>
      <c r="T5366">
        <v>-0.21376709999999999</v>
      </c>
      <c r="U5366">
        <v>-0.1149902</v>
      </c>
      <c r="V5366">
        <v>1.3531420000000001E-2</v>
      </c>
      <c r="W5366">
        <v>0.15085379999999901</v>
      </c>
      <c r="X5366">
        <v>0.98846350000000005</v>
      </c>
      <c r="Y5366">
        <v>-3.1631350000000003E-2</v>
      </c>
      <c r="Z5366">
        <v>5.9413180000000001E-3</v>
      </c>
      <c r="AA5366">
        <v>0.99948190000000003</v>
      </c>
      <c r="AB5366">
        <v>35</v>
      </c>
      <c r="AC5366">
        <v>15.429599999999899</v>
      </c>
      <c r="AD5366">
        <v>-1.113589220685</v>
      </c>
      <c r="AE5366">
        <v>-0.56682999999999895</v>
      </c>
      <c r="AF5366">
        <v>-0.50274463237894995</v>
      </c>
      <c r="AG5366">
        <v>-1.113589220685</v>
      </c>
      <c r="AH5366">
        <v>15.351877963425199</v>
      </c>
      <c r="AI5366">
        <v>94.146619848384105</v>
      </c>
      <c r="AJ5366">
        <v>91.875656845443203</v>
      </c>
      <c r="AK5366">
        <v>15.4004217514233</v>
      </c>
      <c r="AL5366">
        <v>81.323591510488399</v>
      </c>
      <c r="AM5366">
        <v>89.215707173065297</v>
      </c>
      <c r="AN5366">
        <v>1.00000002956695</v>
      </c>
    </row>
    <row r="5367" spans="1:40" x14ac:dyDescent="0.25">
      <c r="A5367" t="str">
        <f>"20190312164135737"</f>
        <v>20190312164135737</v>
      </c>
      <c r="B5367" t="str">
        <f>"1552380095731724"</f>
        <v>1552380095731724</v>
      </c>
      <c r="C5367" t="s">
        <v>40</v>
      </c>
      <c r="D5367">
        <v>5.2816710000000002</v>
      </c>
      <c r="E5367">
        <v>0.49293130000000002</v>
      </c>
      <c r="F5367" t="s">
        <v>53</v>
      </c>
      <c r="G5367">
        <v>-375.39929999999998</v>
      </c>
      <c r="H5367" s="1">
        <v>-2.572357E-6</v>
      </c>
      <c r="I5367">
        <v>17.26492</v>
      </c>
      <c r="J5367">
        <v>-391.31299999999999</v>
      </c>
      <c r="K5367">
        <v>1.1135889999999999</v>
      </c>
      <c r="L5367">
        <v>17.932459999999999</v>
      </c>
      <c r="M5367">
        <v>0.99764070000000005</v>
      </c>
      <c r="N5367">
        <v>0</v>
      </c>
      <c r="O5367">
        <v>-6.7115599999999997E-2</v>
      </c>
      <c r="P5367">
        <v>0.98722140000000003</v>
      </c>
      <c r="Q5367">
        <v>0.13637539999999901</v>
      </c>
      <c r="R5367">
        <v>-8.243673E-2</v>
      </c>
      <c r="S5367">
        <v>3.0573730000000001</v>
      </c>
      <c r="T5367">
        <v>-0.21106359999999999</v>
      </c>
      <c r="U5367">
        <v>-0.1289978</v>
      </c>
      <c r="V5367">
        <v>1.4713399999999901E-2</v>
      </c>
      <c r="W5367">
        <v>0.15080189999999999</v>
      </c>
      <c r="X5367">
        <v>0.98845450000000001</v>
      </c>
      <c r="Y5367">
        <v>-2.4785129999999999E-2</v>
      </c>
      <c r="Z5367">
        <v>5.4760729999999997E-3</v>
      </c>
      <c r="AA5367">
        <v>0.99967779999999995</v>
      </c>
      <c r="AB5367">
        <v>35</v>
      </c>
      <c r="AC5367">
        <v>15.9137</v>
      </c>
      <c r="AD5367">
        <v>-1.113591572357</v>
      </c>
      <c r="AE5367">
        <v>-0.66753999999999802</v>
      </c>
      <c r="AF5367">
        <v>-0.400178243504758</v>
      </c>
      <c r="AG5367">
        <v>-1.113591572357</v>
      </c>
      <c r="AH5367">
        <v>15.845163608384899</v>
      </c>
      <c r="AI5367">
        <v>94.018836451555401</v>
      </c>
      <c r="AJ5367">
        <v>91.446728598556305</v>
      </c>
      <c r="AK5367">
        <v>15.8892869126681</v>
      </c>
      <c r="AL5367">
        <v>81.326599296483906</v>
      </c>
      <c r="AM5367">
        <v>89.147200535805894</v>
      </c>
      <c r="AN5367">
        <v>0.99999999787671001</v>
      </c>
    </row>
    <row r="5368" spans="1:40" x14ac:dyDescent="0.25">
      <c r="A5368" t="str">
        <f>"20190312164135757"</f>
        <v>20190312164135757</v>
      </c>
      <c r="B5368" t="str">
        <f>"1552380095751245"</f>
        <v>1552380095751245</v>
      </c>
      <c r="C5368" t="s">
        <v>40</v>
      </c>
      <c r="D5368">
        <v>5.3112750000000002</v>
      </c>
      <c r="E5368">
        <v>0.4941102</v>
      </c>
      <c r="F5368" t="s">
        <v>53</v>
      </c>
      <c r="G5368">
        <v>-375.7088</v>
      </c>
      <c r="H5368" s="1">
        <v>-2.4318530000000001E-6</v>
      </c>
      <c r="I5368">
        <v>17.23207</v>
      </c>
      <c r="J5368">
        <v>-391.01940000000002</v>
      </c>
      <c r="K5368">
        <v>1.113588</v>
      </c>
      <c r="L5368">
        <v>17.915679999999998</v>
      </c>
      <c r="M5368">
        <v>0.99784240000000002</v>
      </c>
      <c r="N5368">
        <v>0</v>
      </c>
      <c r="O5368">
        <v>-6.4038349999999994E-2</v>
      </c>
      <c r="P5368">
        <v>0.98722560000000004</v>
      </c>
      <c r="Q5368">
        <v>0.1366619</v>
      </c>
      <c r="R5368">
        <v>-8.1911070000000002E-2</v>
      </c>
      <c r="S5368">
        <v>3.0575559999999999</v>
      </c>
      <c r="T5368">
        <v>-0.21820200000000001</v>
      </c>
      <c r="U5368">
        <v>-0.13723750000000001</v>
      </c>
      <c r="V5368">
        <v>1.7244499999999999E-2</v>
      </c>
      <c r="W5368">
        <v>0.15114459999999999</v>
      </c>
      <c r="X5368">
        <v>0.98836120000000005</v>
      </c>
      <c r="Y5368">
        <v>-1.9022609999999999E-2</v>
      </c>
      <c r="Z5368">
        <v>5.2360610000000002E-3</v>
      </c>
      <c r="AA5368">
        <v>0.99980530000000001</v>
      </c>
      <c r="AB5368">
        <v>35</v>
      </c>
      <c r="AC5368">
        <v>15.310600000000001</v>
      </c>
      <c r="AD5368">
        <v>-1.1135904318529899</v>
      </c>
      <c r="AE5368">
        <v>-0.68360999999999705</v>
      </c>
      <c r="AF5368">
        <v>-0.296794833364591</v>
      </c>
      <c r="AG5368">
        <v>-1.1135904318529899</v>
      </c>
      <c r="AH5368">
        <v>15.242475016365001</v>
      </c>
      <c r="AI5368">
        <v>94.177723606290201</v>
      </c>
      <c r="AJ5368">
        <v>91.115497495638394</v>
      </c>
      <c r="AK5368">
        <v>15.2859810103093</v>
      </c>
      <c r="AL5368">
        <v>81.306736048845707</v>
      </c>
      <c r="AM5368">
        <v>89.000429367847701</v>
      </c>
      <c r="AN5368">
        <v>0.99999996227742405</v>
      </c>
    </row>
    <row r="5369" spans="1:40" x14ac:dyDescent="0.25">
      <c r="A5369" t="str">
        <f>"20190312164135767"</f>
        <v>20190312164135767</v>
      </c>
      <c r="B5369" t="str">
        <f>"1552380095761981"</f>
        <v>1552380095761981</v>
      </c>
      <c r="C5369" t="s">
        <v>40</v>
      </c>
      <c r="D5369">
        <v>5.2244890000000002</v>
      </c>
      <c r="E5369">
        <v>0.49444680000000002</v>
      </c>
      <c r="F5369" t="s">
        <v>53</v>
      </c>
      <c r="G5369">
        <v>-375.71190000000001</v>
      </c>
      <c r="H5369" s="1">
        <v>-2.4372050000000001E-6</v>
      </c>
      <c r="I5369">
        <v>17.1938</v>
      </c>
      <c r="J5369">
        <v>-390.83569999999997</v>
      </c>
      <c r="K5369">
        <v>1.113586</v>
      </c>
      <c r="L5369">
        <v>17.905729999999998</v>
      </c>
      <c r="M5369">
        <v>0.9979635</v>
      </c>
      <c r="N5369">
        <v>0</v>
      </c>
      <c r="O5369">
        <v>-6.211854E-2</v>
      </c>
      <c r="P5369">
        <v>0.98722540000000003</v>
      </c>
      <c r="Q5369">
        <v>0.13691719999999999</v>
      </c>
      <c r="R5369">
        <v>-8.1485379999999996E-2</v>
      </c>
      <c r="S5369">
        <v>3.0576780000000001</v>
      </c>
      <c r="T5369">
        <v>-0.22243930000000001</v>
      </c>
      <c r="U5369">
        <v>-0.14419560000000001</v>
      </c>
      <c r="V5369">
        <v>1.8726199999999998E-2</v>
      </c>
      <c r="W5369">
        <v>0.15143119999999999</v>
      </c>
      <c r="X5369">
        <v>0.98829040000000001</v>
      </c>
      <c r="Y5369">
        <v>-1.483831E-2</v>
      </c>
      <c r="Z5369">
        <v>5.045885E-3</v>
      </c>
      <c r="AA5369">
        <v>0.99987720000000002</v>
      </c>
      <c r="AB5369">
        <v>35</v>
      </c>
      <c r="AC5369">
        <v>15.1237999999999</v>
      </c>
      <c r="AD5369">
        <v>-1.113588437205</v>
      </c>
      <c r="AE5369">
        <v>-0.71192999999999795</v>
      </c>
      <c r="AF5369">
        <v>-0.227780081913772</v>
      </c>
      <c r="AG5369">
        <v>-1.113588437205</v>
      </c>
      <c r="AH5369">
        <v>15.057360640258</v>
      </c>
      <c r="AI5369">
        <v>94.229208130237694</v>
      </c>
      <c r="AJ5369">
        <v>90.866675261165994</v>
      </c>
      <c r="AK5369">
        <v>15.1002010723032</v>
      </c>
      <c r="AL5369">
        <v>81.290124170422203</v>
      </c>
      <c r="AM5369">
        <v>88.914485206787504</v>
      </c>
      <c r="AN5369">
        <v>0.99999999681602003</v>
      </c>
    </row>
    <row r="5370" spans="1:40" x14ac:dyDescent="0.25">
      <c r="A5370" t="str">
        <f>"20190312164135790"</f>
        <v>20190312164135790</v>
      </c>
      <c r="B5370" t="str">
        <f>"1552380095781500"</f>
        <v>1552380095781500</v>
      </c>
      <c r="C5370" t="s">
        <v>40</v>
      </c>
      <c r="D5370">
        <v>5.2197069999999997</v>
      </c>
      <c r="E5370">
        <v>0.4949346</v>
      </c>
      <c r="F5370" t="s">
        <v>53</v>
      </c>
      <c r="G5370">
        <v>-375.63839999999999</v>
      </c>
      <c r="H5370" s="1">
        <v>-2.4738689999999999E-6</v>
      </c>
      <c r="I5370">
        <v>17.183029999999999</v>
      </c>
      <c r="J5370">
        <v>-390.48649999999998</v>
      </c>
      <c r="K5370">
        <v>1.1135740000000001</v>
      </c>
      <c r="L5370">
        <v>17.88757</v>
      </c>
      <c r="M5370">
        <v>0.99818240000000003</v>
      </c>
      <c r="N5370">
        <v>0</v>
      </c>
      <c r="O5370">
        <v>-5.84866E-2</v>
      </c>
      <c r="P5370">
        <v>0.98713150000000005</v>
      </c>
      <c r="Q5370">
        <v>0.13808389999999901</v>
      </c>
      <c r="R5370">
        <v>-8.0649380000000007E-2</v>
      </c>
      <c r="S5370">
        <v>3.0578919999999998</v>
      </c>
      <c r="T5370">
        <v>-0.22406789999999999</v>
      </c>
      <c r="U5370">
        <v>-0.145416299999999</v>
      </c>
      <c r="V5370">
        <v>2.1499500000000001E-2</v>
      </c>
      <c r="W5370">
        <v>0.15265039999999999</v>
      </c>
      <c r="X5370">
        <v>0.98804630000000004</v>
      </c>
      <c r="Y5370">
        <v>-1.0822190000000001E-2</v>
      </c>
      <c r="Z5370">
        <v>4.6703580000000003E-3</v>
      </c>
      <c r="AA5370">
        <v>0.9999306</v>
      </c>
      <c r="AB5370">
        <v>35</v>
      </c>
      <c r="AC5370">
        <v>14.848099999999899</v>
      </c>
      <c r="AD5370">
        <v>-1.1135764738689999</v>
      </c>
      <c r="AE5370">
        <v>-0.70454000000000105</v>
      </c>
      <c r="AF5370">
        <v>-0.16425111603829701</v>
      </c>
      <c r="AG5370">
        <v>-1.1135764738689999</v>
      </c>
      <c r="AH5370">
        <v>14.7809366836956</v>
      </c>
      <c r="AI5370">
        <v>94.308185074151794</v>
      </c>
      <c r="AJ5370">
        <v>90.636665225792896</v>
      </c>
      <c r="AK5370">
        <v>14.8237350300014</v>
      </c>
      <c r="AL5370">
        <v>81.219446905942405</v>
      </c>
      <c r="AM5370">
        <v>88.753463019985901</v>
      </c>
      <c r="AN5370">
        <v>0.99999993203204696</v>
      </c>
    </row>
    <row r="5371" spans="1:40" x14ac:dyDescent="0.25">
      <c r="A5371" t="str">
        <f>"20190312164135802"</f>
        <v>20190312164135802</v>
      </c>
      <c r="B5371" t="str">
        <f>"1552380095791261"</f>
        <v>1552380095791261</v>
      </c>
      <c r="C5371" t="s">
        <v>40</v>
      </c>
      <c r="D5371">
        <v>5.2376500000000004</v>
      </c>
      <c r="E5371">
        <v>0.49511430000000001</v>
      </c>
      <c r="F5371" t="s">
        <v>53</v>
      </c>
      <c r="G5371">
        <v>-375.32569999999998</v>
      </c>
      <c r="H5371" s="1">
        <v>-2.6256319999999999E-6</v>
      </c>
      <c r="I5371">
        <v>17.16057</v>
      </c>
      <c r="J5371">
        <v>-390.29680000000002</v>
      </c>
      <c r="K5371">
        <v>1.1135660000000001</v>
      </c>
      <c r="L5371">
        <v>17.878229999999999</v>
      </c>
      <c r="M5371">
        <v>0.99829509999999999</v>
      </c>
      <c r="N5371">
        <v>0</v>
      </c>
      <c r="O5371">
        <v>-5.6525470000000001E-2</v>
      </c>
      <c r="P5371">
        <v>0.98709709999999995</v>
      </c>
      <c r="Q5371">
        <v>0.13861470000000001</v>
      </c>
      <c r="R5371">
        <v>-8.0158320000000005E-2</v>
      </c>
      <c r="S5371">
        <v>3.0585939999999998</v>
      </c>
      <c r="T5371">
        <v>-0.22465740000000001</v>
      </c>
      <c r="U5371">
        <v>-0.14666750000000001</v>
      </c>
      <c r="V5371">
        <v>2.2957620000000001E-2</v>
      </c>
      <c r="W5371">
        <v>0.15320690000000001</v>
      </c>
      <c r="X5371">
        <v>0.98792740000000001</v>
      </c>
      <c r="Y5371">
        <v>-8.4711490000000007E-3</v>
      </c>
      <c r="Z5371">
        <v>4.4517970000000004E-3</v>
      </c>
      <c r="AA5371">
        <v>0.99995420000000002</v>
      </c>
      <c r="AB5371">
        <v>35</v>
      </c>
      <c r="AC5371">
        <v>14.9711</v>
      </c>
      <c r="AD5371">
        <v>-1.1135686256319901</v>
      </c>
      <c r="AE5371">
        <v>-0.71765999999999797</v>
      </c>
      <c r="AF5371">
        <v>-0.12911306066651601</v>
      </c>
      <c r="AG5371">
        <v>-1.1135686256319901</v>
      </c>
      <c r="AH5371">
        <v>14.905452531850599</v>
      </c>
      <c r="AI5371">
        <v>94.272402662109897</v>
      </c>
      <c r="AJ5371">
        <v>90.496291436136801</v>
      </c>
      <c r="AK5371">
        <v>14.9475489778651</v>
      </c>
      <c r="AL5371">
        <v>81.187182681005595</v>
      </c>
      <c r="AM5371">
        <v>88.668790806389495</v>
      </c>
      <c r="AN5371">
        <v>0.999999977097217</v>
      </c>
    </row>
    <row r="5372" spans="1:40" x14ac:dyDescent="0.25">
      <c r="A5372" t="str">
        <f>"20190312164135813"</f>
        <v>20190312164135813</v>
      </c>
      <c r="B5372" t="str">
        <f>"1552380095801997"</f>
        <v>1552380095801997</v>
      </c>
      <c r="C5372" t="s">
        <v>40</v>
      </c>
      <c r="D5372">
        <v>5.2901119999999997</v>
      </c>
      <c r="E5372">
        <v>0.49543759999999998</v>
      </c>
      <c r="F5372" t="s">
        <v>42</v>
      </c>
      <c r="G5372">
        <v>-389.3236</v>
      </c>
      <c r="H5372">
        <v>1.0419889999999901</v>
      </c>
      <c r="I5372">
        <v>17.83135</v>
      </c>
      <c r="J5372">
        <v>-390.11880000000002</v>
      </c>
      <c r="K5372">
        <v>1.1135550000000001</v>
      </c>
      <c r="L5372">
        <v>17.869810000000001</v>
      </c>
      <c r="M5372">
        <v>0.99839690000000003</v>
      </c>
      <c r="N5372">
        <v>0</v>
      </c>
      <c r="O5372">
        <v>-5.4694159999999999E-2</v>
      </c>
      <c r="P5372">
        <v>0.98705379999999998</v>
      </c>
      <c r="Q5372">
        <v>0.13906450000000001</v>
      </c>
      <c r="R5372">
        <v>-7.9913620000000005E-2</v>
      </c>
      <c r="S5372">
        <v>3.0588989999999998</v>
      </c>
      <c r="T5372">
        <v>-0.2251022</v>
      </c>
      <c r="U5372">
        <v>-0.14657590000000001</v>
      </c>
      <c r="V5372">
        <v>2.4534429999999999E-2</v>
      </c>
      <c r="W5372">
        <v>0.1536805</v>
      </c>
      <c r="X5372">
        <v>0.98781600000000003</v>
      </c>
      <c r="Y5372">
        <v>-6.6806030000000002E-3</v>
      </c>
      <c r="Z5372">
        <v>4.2601189999999997E-3</v>
      </c>
      <c r="AA5372">
        <v>0.99996859999999999</v>
      </c>
      <c r="AB5372">
        <v>35</v>
      </c>
      <c r="AC5372">
        <v>0.795200000000022</v>
      </c>
      <c r="AD5372">
        <v>-7.1566000000000005E-2</v>
      </c>
      <c r="AE5372">
        <v>-3.8460000000000598E-2</v>
      </c>
      <c r="AF5372">
        <v>-5.0541510109751598E-3</v>
      </c>
      <c r="AG5372">
        <v>-7.1566000000000005E-2</v>
      </c>
      <c r="AH5372">
        <v>0.78973167458431903</v>
      </c>
      <c r="AI5372">
        <v>95.177932204025296</v>
      </c>
      <c r="AJ5372">
        <v>90.3666784273952</v>
      </c>
      <c r="AK5372">
        <v>0.79298382999919603</v>
      </c>
      <c r="AL5372">
        <v>81.159722774346903</v>
      </c>
      <c r="AM5372">
        <v>88.577234681462102</v>
      </c>
      <c r="AN5372">
        <v>1.0000000420958299</v>
      </c>
    </row>
    <row r="5373" spans="1:40" x14ac:dyDescent="0.25">
      <c r="A5373" t="str">
        <f>"20190312164135823"</f>
        <v>20190312164135823</v>
      </c>
      <c r="B5373" t="str">
        <f>"1552380095811757"</f>
        <v>1552380095811757</v>
      </c>
      <c r="C5373" t="s">
        <v>40</v>
      </c>
      <c r="D5373">
        <v>5.3478859999999999</v>
      </c>
      <c r="E5373">
        <v>0.49573479999999998</v>
      </c>
      <c r="F5373" t="s">
        <v>53</v>
      </c>
      <c r="G5373">
        <v>-374.98680000000002</v>
      </c>
      <c r="H5373" s="1">
        <v>-2.7901720000000001E-6</v>
      </c>
      <c r="I5373">
        <v>17.136140000000001</v>
      </c>
      <c r="J5373">
        <v>-389.97660000000002</v>
      </c>
      <c r="K5373">
        <v>1.1135440000000001</v>
      </c>
      <c r="L5373">
        <v>17.86337</v>
      </c>
      <c r="M5373">
        <v>0.99847509999999995</v>
      </c>
      <c r="N5373">
        <v>0</v>
      </c>
      <c r="O5373">
        <v>-5.3242150000000002E-2</v>
      </c>
      <c r="P5373">
        <v>0.98704340000000002</v>
      </c>
      <c r="Q5373">
        <v>0.13922519999999999</v>
      </c>
      <c r="R5373">
        <v>-7.9759460000000004E-2</v>
      </c>
      <c r="S5373">
        <v>3.059021</v>
      </c>
      <c r="T5373">
        <v>-0.22511200000000001</v>
      </c>
      <c r="U5373">
        <v>-0.14831539999999999</v>
      </c>
      <c r="V5373">
        <v>2.582566E-2</v>
      </c>
      <c r="W5373">
        <v>0.15385950000000001</v>
      </c>
      <c r="X5373">
        <v>0.98775520000000006</v>
      </c>
      <c r="Y5373">
        <v>-4.670273E-3</v>
      </c>
      <c r="Z5373">
        <v>4.0797639999999996E-3</v>
      </c>
      <c r="AA5373">
        <v>0.99998069999999895</v>
      </c>
      <c r="AB5373">
        <v>35</v>
      </c>
      <c r="AC5373">
        <v>14.989800000000001</v>
      </c>
      <c r="AD5373">
        <v>-1.113546790172</v>
      </c>
      <c r="AE5373">
        <v>-0.72722999999999804</v>
      </c>
      <c r="AF5373">
        <v>-7.1581690063982906E-2</v>
      </c>
      <c r="AG5373">
        <v>-1.113546790172</v>
      </c>
      <c r="AH5373">
        <v>14.9250863294208</v>
      </c>
      <c r="AI5373">
        <v>94.266830358827306</v>
      </c>
      <c r="AJ5373">
        <v>90.2747921984774</v>
      </c>
      <c r="AK5373">
        <v>14.9667402039629</v>
      </c>
      <c r="AL5373">
        <v>81.149343212479195</v>
      </c>
      <c r="AM5373">
        <v>88.502296638794107</v>
      </c>
      <c r="AN5373">
        <v>1.0000000227908601</v>
      </c>
    </row>
    <row r="5374" spans="1:40" x14ac:dyDescent="0.25">
      <c r="A5374" t="str">
        <f>"20190312164135847"</f>
        <v>20190312164135847</v>
      </c>
      <c r="B5374" t="str">
        <f>"1552380095842012"</f>
        <v>1552380095842012</v>
      </c>
      <c r="C5374" t="s">
        <v>40</v>
      </c>
      <c r="D5374">
        <v>5.2955680000000003</v>
      </c>
      <c r="E5374">
        <v>0.49669479999999999</v>
      </c>
      <c r="F5374" t="s">
        <v>42</v>
      </c>
      <c r="G5374">
        <v>-389.01870000000002</v>
      </c>
      <c r="H5374">
        <v>1.0429349999999999</v>
      </c>
      <c r="I5374">
        <v>17.816459999999999</v>
      </c>
      <c r="J5374">
        <v>-389.61410000000001</v>
      </c>
      <c r="K5374">
        <v>1.113497</v>
      </c>
      <c r="L5374">
        <v>17.847750000000001</v>
      </c>
      <c r="M5374">
        <v>0.99866330000000003</v>
      </c>
      <c r="N5374">
        <v>0</v>
      </c>
      <c r="O5374">
        <v>-4.9584650000000001E-2</v>
      </c>
      <c r="P5374">
        <v>0.98715529999999996</v>
      </c>
      <c r="Q5374">
        <v>0.13925969999999999</v>
      </c>
      <c r="R5374">
        <v>-7.8305269999999996E-2</v>
      </c>
      <c r="S5374">
        <v>3.0589900000000001</v>
      </c>
      <c r="T5374">
        <v>-0.225387</v>
      </c>
      <c r="U5374">
        <v>-0.1502686</v>
      </c>
      <c r="V5374">
        <v>2.8011879999999999E-2</v>
      </c>
      <c r="W5374">
        <v>0.15392829999999999</v>
      </c>
      <c r="X5374">
        <v>0.98768480000000003</v>
      </c>
      <c r="Y5374">
        <v>-3.9116980000000002E-4</v>
      </c>
      <c r="Z5374">
        <v>3.6588110000000001E-3</v>
      </c>
      <c r="AA5374">
        <v>0.99999320000000003</v>
      </c>
      <c r="AB5374">
        <v>35</v>
      </c>
      <c r="AC5374">
        <v>0.59539999999998305</v>
      </c>
      <c r="AD5374">
        <v>-7.0562E-2</v>
      </c>
      <c r="AE5374">
        <v>-3.1290000000001997E-2</v>
      </c>
      <c r="AF5374">
        <v>1.70182143793671E-3</v>
      </c>
      <c r="AG5374">
        <v>-7.0562E-2</v>
      </c>
      <c r="AH5374">
        <v>0.58798359646669596</v>
      </c>
      <c r="AI5374">
        <v>96.843126232884302</v>
      </c>
      <c r="AJ5374">
        <v>89.834167289380602</v>
      </c>
      <c r="AK5374">
        <v>0.592204864682921</v>
      </c>
      <c r="AL5374">
        <v>81.1453528699423</v>
      </c>
      <c r="AM5374">
        <v>88.375461090514904</v>
      </c>
      <c r="AN5374">
        <v>0.99999992555652895</v>
      </c>
    </row>
    <row r="5375" spans="1:40" x14ac:dyDescent="0.25">
      <c r="A5375" t="str">
        <f>"20190312164135858"</f>
        <v>20190312164135858</v>
      </c>
      <c r="B5375" t="str">
        <f>"1552380095851773"</f>
        <v>1552380095851773</v>
      </c>
      <c r="C5375" t="s">
        <v>40</v>
      </c>
      <c r="D5375">
        <v>5.356204</v>
      </c>
      <c r="E5375">
        <v>0.4969674</v>
      </c>
      <c r="F5375" t="s">
        <v>53</v>
      </c>
      <c r="G5375">
        <v>-374.78919999999999</v>
      </c>
      <c r="H5375" s="1">
        <v>-2.889024E-6</v>
      </c>
      <c r="I5375">
        <v>17.105519999999999</v>
      </c>
      <c r="J5375">
        <v>-389.42919999999998</v>
      </c>
      <c r="K5375">
        <v>1.113472</v>
      </c>
      <c r="L5375">
        <v>17.840150000000001</v>
      </c>
      <c r="M5375">
        <v>0.99875270000000005</v>
      </c>
      <c r="N5375">
        <v>0</v>
      </c>
      <c r="O5375">
        <v>-4.7743430000000003E-2</v>
      </c>
      <c r="P5375">
        <v>0.98712690000000003</v>
      </c>
      <c r="Q5375">
        <v>0.1394656</v>
      </c>
      <c r="R5375">
        <v>-7.8291299999999994E-2</v>
      </c>
      <c r="S5375">
        <v>3.0592959999999998</v>
      </c>
      <c r="T5375">
        <v>-0.22978390000000001</v>
      </c>
      <c r="U5375">
        <v>-0.15316769999999999</v>
      </c>
      <c r="V5375">
        <v>2.9834070000000001E-2</v>
      </c>
      <c r="W5375">
        <v>0.15415499999999999</v>
      </c>
      <c r="X5375">
        <v>0.98759620000000004</v>
      </c>
      <c r="Y5375">
        <v>2.385173E-3</v>
      </c>
      <c r="Z5375">
        <v>3.487637E-3</v>
      </c>
      <c r="AA5375">
        <v>0.99999110000000002</v>
      </c>
      <c r="AB5375">
        <v>35</v>
      </c>
      <c r="AC5375">
        <v>14.639999999999899</v>
      </c>
      <c r="AD5375">
        <v>-1.113474889024</v>
      </c>
      <c r="AE5375">
        <v>-0.73462999999999901</v>
      </c>
      <c r="AF5375">
        <v>3.4554210132183703E-2</v>
      </c>
      <c r="AG5375">
        <v>-1.113474889024</v>
      </c>
      <c r="AH5375">
        <v>14.5742832610891</v>
      </c>
      <c r="AI5375">
        <v>94.368896752648396</v>
      </c>
      <c r="AJ5375">
        <v>89.864157525972004</v>
      </c>
      <c r="AK5375">
        <v>14.6167969438036</v>
      </c>
      <c r="AL5375">
        <v>81.132208079201803</v>
      </c>
      <c r="AM5375">
        <v>88.269690983942297</v>
      </c>
      <c r="AN5375">
        <v>1.0000000450061</v>
      </c>
    </row>
    <row r="5376" spans="1:40" x14ac:dyDescent="0.25">
      <c r="A5376" t="str">
        <f>"20190312164135870"</f>
        <v>20190312164135870</v>
      </c>
      <c r="B5376" t="str">
        <f>"1552380095861533"</f>
        <v>1552380095861533</v>
      </c>
      <c r="C5376" t="s">
        <v>40</v>
      </c>
      <c r="D5376">
        <v>5.2857900000000004</v>
      </c>
      <c r="E5376">
        <v>0.49702420000000003</v>
      </c>
      <c r="F5376" t="s">
        <v>42</v>
      </c>
      <c r="G5376">
        <v>-388.4101</v>
      </c>
      <c r="H5376">
        <v>1.0368520000000001</v>
      </c>
      <c r="I5376">
        <v>17.788339999999899</v>
      </c>
      <c r="J5376">
        <v>-389.24610000000001</v>
      </c>
      <c r="K5376">
        <v>1.1134379999999999</v>
      </c>
      <c r="L5376">
        <v>17.833130000000001</v>
      </c>
      <c r="M5376">
        <v>0.99883679999999997</v>
      </c>
      <c r="N5376">
        <v>0</v>
      </c>
      <c r="O5376">
        <v>-4.5951949999999998E-2</v>
      </c>
      <c r="P5376">
        <v>0.98711680000000002</v>
      </c>
      <c r="Q5376">
        <v>0.13980789999999901</v>
      </c>
      <c r="R5376">
        <v>-7.7806520000000004E-2</v>
      </c>
      <c r="S5376">
        <v>3.0593569999999999</v>
      </c>
      <c r="T5376">
        <v>-0.23005890000000001</v>
      </c>
      <c r="U5376">
        <v>-0.15527340000000001</v>
      </c>
      <c r="V5376">
        <v>3.1136E-2</v>
      </c>
      <c r="W5376">
        <v>0.1545116</v>
      </c>
      <c r="X5376">
        <v>0.9875003</v>
      </c>
      <c r="Y5376">
        <v>4.85266E-3</v>
      </c>
      <c r="Z5376">
        <v>3.2648059999999999E-3</v>
      </c>
      <c r="AA5376">
        <v>0.99998290000000001</v>
      </c>
      <c r="AB5376">
        <v>35</v>
      </c>
      <c r="AC5376">
        <v>0.83600000000001196</v>
      </c>
      <c r="AD5376">
        <v>-7.6585999999999793E-2</v>
      </c>
      <c r="AE5376">
        <v>-4.4790000000002501E-2</v>
      </c>
      <c r="AF5376">
        <v>6.2702729254566101E-3</v>
      </c>
      <c r="AG5376">
        <v>-7.6585999999999793E-2</v>
      </c>
      <c r="AH5376">
        <v>0.83022745260480701</v>
      </c>
      <c r="AI5376">
        <v>95.270299004474495</v>
      </c>
      <c r="AJ5376">
        <v>89.567283226530606</v>
      </c>
      <c r="AK5376">
        <v>0.83377596198093096</v>
      </c>
      <c r="AL5376">
        <v>81.111528809534505</v>
      </c>
      <c r="AM5376">
        <v>88.1940556683886</v>
      </c>
      <c r="AN5376">
        <v>1.0000000637653199</v>
      </c>
    </row>
    <row r="5377" spans="1:40" x14ac:dyDescent="0.25">
      <c r="A5377" t="str">
        <f>"20190312164135883"</f>
        <v>20190312164135883</v>
      </c>
      <c r="B5377" t="str">
        <f>"1552380095871294"</f>
        <v>1552380095871294</v>
      </c>
      <c r="C5377" t="s">
        <v>40</v>
      </c>
      <c r="D5377">
        <v>5.3249449999999996</v>
      </c>
      <c r="E5377">
        <v>0.49719629999999998</v>
      </c>
      <c r="F5377" t="s">
        <v>53</v>
      </c>
      <c r="G5377">
        <v>-374.44569999999999</v>
      </c>
      <c r="H5377" s="1">
        <v>-3.054685E-6</v>
      </c>
      <c r="I5377">
        <v>17.0869</v>
      </c>
      <c r="J5377">
        <v>-389.06470000000002</v>
      </c>
      <c r="K5377">
        <v>1.1134090000000001</v>
      </c>
      <c r="L5377">
        <v>17.82639</v>
      </c>
      <c r="M5377">
        <v>0.99891580000000002</v>
      </c>
      <c r="N5377">
        <v>0</v>
      </c>
      <c r="O5377">
        <v>-4.4194709999999998E-2</v>
      </c>
      <c r="P5377">
        <v>0.98711539999999998</v>
      </c>
      <c r="Q5377">
        <v>0.1400489</v>
      </c>
      <c r="R5377">
        <v>-7.7391399999999999E-2</v>
      </c>
      <c r="S5377">
        <v>3.059631</v>
      </c>
      <c r="T5377">
        <v>-0.23017760000000001</v>
      </c>
      <c r="U5377">
        <v>-0.1542664</v>
      </c>
      <c r="V5377">
        <v>3.2474250000000003E-2</v>
      </c>
      <c r="W5377">
        <v>0.1547655</v>
      </c>
      <c r="X5377">
        <v>0.9874174</v>
      </c>
      <c r="Y5377">
        <v>6.2701659999999998E-3</v>
      </c>
      <c r="Z5377">
        <v>3.0812499999999998E-3</v>
      </c>
      <c r="AA5377">
        <v>0.99997559999999996</v>
      </c>
      <c r="AB5377">
        <v>35</v>
      </c>
      <c r="AC5377">
        <v>14.619</v>
      </c>
      <c r="AD5377">
        <v>-1.1134120546849999</v>
      </c>
      <c r="AE5377">
        <v>-0.73948999999999998</v>
      </c>
      <c r="AF5377">
        <v>9.2082914954654399E-2</v>
      </c>
      <c r="AG5377">
        <v>-1.1134120546849999</v>
      </c>
      <c r="AH5377">
        <v>14.553195782274001</v>
      </c>
      <c r="AI5377">
        <v>94.374881767578003</v>
      </c>
      <c r="AJ5377">
        <v>89.637475365217497</v>
      </c>
      <c r="AK5377">
        <v>14.5960156598965</v>
      </c>
      <c r="AL5377">
        <v>81.096803983682406</v>
      </c>
      <c r="AM5377">
        <v>88.116331487014705</v>
      </c>
      <c r="AN5377">
        <v>1.00000002936303</v>
      </c>
    </row>
    <row r="5378" spans="1:40" x14ac:dyDescent="0.25">
      <c r="A5378" t="str">
        <f>"20190312164135894"</f>
        <v>20190312164135894</v>
      </c>
      <c r="B5378" t="str">
        <f>"1552380095891789"</f>
        <v>1552380095891789</v>
      </c>
      <c r="C5378" t="s">
        <v>40</v>
      </c>
      <c r="D5378">
        <v>5.2961850000000004</v>
      </c>
      <c r="E5378">
        <v>0.49728319999999998</v>
      </c>
      <c r="F5378" t="s">
        <v>42</v>
      </c>
      <c r="G5378">
        <v>-388.09870000000001</v>
      </c>
      <c r="H5378">
        <v>1.040575</v>
      </c>
      <c r="I5378">
        <v>17.77759</v>
      </c>
      <c r="J5378">
        <v>-388.87439999999998</v>
      </c>
      <c r="K5378">
        <v>1.1133710000000001</v>
      </c>
      <c r="L5378">
        <v>17.819610000000001</v>
      </c>
      <c r="M5378">
        <v>0.99899439999999995</v>
      </c>
      <c r="N5378">
        <v>0</v>
      </c>
      <c r="O5378">
        <v>-4.2381599999999998E-2</v>
      </c>
      <c r="P5378">
        <v>0.9870776</v>
      </c>
      <c r="Q5378">
        <v>0.14050379999999901</v>
      </c>
      <c r="R5378">
        <v>-7.7048649999999996E-2</v>
      </c>
      <c r="S5378">
        <v>3.0598450000000001</v>
      </c>
      <c r="T5378">
        <v>-0.23080149999999999</v>
      </c>
      <c r="U5378">
        <v>-0.15435789999999999</v>
      </c>
      <c r="V5378">
        <v>3.3942439999999997E-2</v>
      </c>
      <c r="W5378">
        <v>0.1552328</v>
      </c>
      <c r="X5378">
        <v>0.98729460000000002</v>
      </c>
      <c r="Y5378">
        <v>8.1017039999999995E-3</v>
      </c>
      <c r="Z5378">
        <v>2.884101E-3</v>
      </c>
      <c r="AA5378">
        <v>0.99996300000000005</v>
      </c>
      <c r="AB5378">
        <v>35</v>
      </c>
      <c r="AC5378">
        <v>0.77569999999997197</v>
      </c>
      <c r="AD5378">
        <v>-7.2795999999999805E-2</v>
      </c>
      <c r="AE5378">
        <v>-4.20200000000008E-2</v>
      </c>
      <c r="AF5378">
        <v>9.0240692766816195E-3</v>
      </c>
      <c r="AG5378">
        <v>-7.2795999999999805E-2</v>
      </c>
      <c r="AH5378">
        <v>0.77002221166186702</v>
      </c>
      <c r="AI5378">
        <v>95.400182305220198</v>
      </c>
      <c r="AJ5378">
        <v>89.328568179597298</v>
      </c>
      <c r="AK5378">
        <v>0.77350817571305797</v>
      </c>
      <c r="AL5378">
        <v>81.069701589113905</v>
      </c>
      <c r="AM5378">
        <v>88.030990030437096</v>
      </c>
      <c r="AN5378">
        <v>0.99999996930907598</v>
      </c>
    </row>
    <row r="5379" spans="1:40" x14ac:dyDescent="0.25">
      <c r="A5379" t="str">
        <f>"20190312164135913"</f>
        <v>20190312164135913</v>
      </c>
      <c r="B5379" t="str">
        <f>"1552380095901548"</f>
        <v>1552380095901548</v>
      </c>
      <c r="C5379" t="s">
        <v>40</v>
      </c>
      <c r="D5379">
        <v>5.2567089999999999</v>
      </c>
      <c r="E5379">
        <v>0.49734650000000002</v>
      </c>
      <c r="F5379" t="s">
        <v>53</v>
      </c>
      <c r="G5379">
        <v>-374.16239999999999</v>
      </c>
      <c r="H5379" s="1">
        <v>-3.1898860000000002E-6</v>
      </c>
      <c r="I5379">
        <v>17.079750000000001</v>
      </c>
      <c r="J5379">
        <v>-388.59910000000002</v>
      </c>
      <c r="K5379">
        <v>1.1133029999999999</v>
      </c>
      <c r="L5379">
        <v>17.810459999999999</v>
      </c>
      <c r="M5379">
        <v>0.99909919999999997</v>
      </c>
      <c r="N5379">
        <v>0</v>
      </c>
      <c r="O5379">
        <v>-3.9833159999999999E-2</v>
      </c>
      <c r="P5379">
        <v>0.98691150000000005</v>
      </c>
      <c r="Q5379">
        <v>0.14161480000000001</v>
      </c>
      <c r="R5379">
        <v>-7.7142349999999998E-2</v>
      </c>
      <c r="S5379">
        <v>3.0602719999999999</v>
      </c>
      <c r="T5379">
        <v>-0.2315953</v>
      </c>
      <c r="U5379">
        <v>-0.15390009999999901</v>
      </c>
      <c r="V5379">
        <v>3.658637E-2</v>
      </c>
      <c r="W5379">
        <v>0.1563609</v>
      </c>
      <c r="X5379">
        <v>0.98702219999999996</v>
      </c>
      <c r="Y5379">
        <v>1.048285E-2</v>
      </c>
      <c r="Z5379">
        <v>2.6114250000000001E-3</v>
      </c>
      <c r="AA5379">
        <v>0.99994159999999999</v>
      </c>
      <c r="AB5379">
        <v>35</v>
      </c>
      <c r="AC5379">
        <v>14.4367</v>
      </c>
      <c r="AD5379">
        <v>-1.1133061898859999</v>
      </c>
      <c r="AE5379">
        <v>-0.73070999999999797</v>
      </c>
      <c r="AF5379">
        <v>0.15409493934652799</v>
      </c>
      <c r="AG5379">
        <v>-1.1133061898859999</v>
      </c>
      <c r="AH5379">
        <v>14.3691155101027</v>
      </c>
      <c r="AI5379">
        <v>94.430120868199197</v>
      </c>
      <c r="AJ5379">
        <v>89.385581441895994</v>
      </c>
      <c r="AK5379">
        <v>14.4130037280729</v>
      </c>
      <c r="AL5379">
        <v>81.004268011005394</v>
      </c>
      <c r="AM5379">
        <v>87.877164967863294</v>
      </c>
      <c r="AN5379">
        <v>1.00000005840571</v>
      </c>
    </row>
    <row r="5380" spans="1:40" x14ac:dyDescent="0.25">
      <c r="A5380" t="str">
        <f>"20190312164135936"</f>
        <v>20190312164135936</v>
      </c>
      <c r="B5380" t="str">
        <f>"1552380095931805"</f>
        <v>1552380095931805</v>
      </c>
      <c r="C5380" t="s">
        <v>40</v>
      </c>
      <c r="D5380">
        <v>5.2460040000000001</v>
      </c>
      <c r="E5380">
        <v>0.4974828</v>
      </c>
      <c r="F5380" t="s">
        <v>53</v>
      </c>
      <c r="G5380">
        <v>-373.71780000000001</v>
      </c>
      <c r="H5380" s="1">
        <v>-3.404103E-6</v>
      </c>
      <c r="I5380">
        <v>17.056940000000001</v>
      </c>
      <c r="J5380">
        <v>-388.24020000000002</v>
      </c>
      <c r="K5380">
        <v>1.113205</v>
      </c>
      <c r="L5380">
        <v>17.799320000000002</v>
      </c>
      <c r="M5380">
        <v>0.99922129999999998</v>
      </c>
      <c r="N5380">
        <v>0</v>
      </c>
      <c r="O5380">
        <v>-3.664212E-2</v>
      </c>
      <c r="P5380">
        <v>0.98685420000000001</v>
      </c>
      <c r="Q5380">
        <v>0.1423876</v>
      </c>
      <c r="R5380">
        <v>-7.6451169999999999E-2</v>
      </c>
      <c r="S5380">
        <v>3.0605159999999998</v>
      </c>
      <c r="T5380">
        <v>-0.22896420000000001</v>
      </c>
      <c r="U5380">
        <v>-0.1549683</v>
      </c>
      <c r="V5380">
        <v>3.9096069999999997E-2</v>
      </c>
      <c r="W5380">
        <v>0.1571446</v>
      </c>
      <c r="X5380">
        <v>0.98680140000000005</v>
      </c>
      <c r="Y5380">
        <v>1.399983E-2</v>
      </c>
      <c r="Z5380">
        <v>2.212295E-3</v>
      </c>
      <c r="AA5380">
        <v>0.9998996</v>
      </c>
      <c r="AB5380">
        <v>35</v>
      </c>
      <c r="AC5380">
        <v>14.522399999999999</v>
      </c>
      <c r="AD5380">
        <v>-1.1132084041029999</v>
      </c>
      <c r="AE5380">
        <v>-0.74238000000000004</v>
      </c>
      <c r="AF5380">
        <v>0.20847107171932999</v>
      </c>
      <c r="AG5380">
        <v>-1.1132084041029999</v>
      </c>
      <c r="AH5380">
        <v>14.4551348211514</v>
      </c>
      <c r="AI5380">
        <v>94.403273036797898</v>
      </c>
      <c r="AJ5380">
        <v>89.173741048500105</v>
      </c>
      <c r="AK5380">
        <v>14.499435017833299</v>
      </c>
      <c r="AL5380">
        <v>80.958802422440598</v>
      </c>
      <c r="AM5380">
        <v>87.731185958458994</v>
      </c>
      <c r="AN5380">
        <v>0.99999996552028203</v>
      </c>
    </row>
    <row r="5381" spans="1:40" x14ac:dyDescent="0.25">
      <c r="A5381" t="str">
        <f>"20190312164135959"</f>
        <v>20190312164135959</v>
      </c>
      <c r="B5381" t="str">
        <f>"1552380095951325"</f>
        <v>1552380095951325</v>
      </c>
      <c r="C5381" t="s">
        <v>40</v>
      </c>
      <c r="D5381">
        <v>5.2821189999999998</v>
      </c>
      <c r="E5381">
        <v>0.49757010000000002</v>
      </c>
      <c r="F5381" t="s">
        <v>53</v>
      </c>
      <c r="G5381">
        <v>-373.3956</v>
      </c>
      <c r="H5381" s="1">
        <v>-3.5572259999999999E-6</v>
      </c>
      <c r="I5381">
        <v>17.05227</v>
      </c>
      <c r="J5381">
        <v>-387.90320000000003</v>
      </c>
      <c r="K5381">
        <v>1.1130850000000001</v>
      </c>
      <c r="L5381">
        <v>17.789829999999998</v>
      </c>
      <c r="M5381">
        <v>0.99932100000000001</v>
      </c>
      <c r="N5381">
        <v>0</v>
      </c>
      <c r="O5381">
        <v>-3.3811010000000002E-2</v>
      </c>
      <c r="P5381">
        <v>0.98675119999999905</v>
      </c>
      <c r="Q5381">
        <v>0.14325560000000001</v>
      </c>
      <c r="R5381">
        <v>-7.6159820000000003E-2</v>
      </c>
      <c r="S5381">
        <v>3.0611570000000001</v>
      </c>
      <c r="T5381">
        <v>-0.2295594</v>
      </c>
      <c r="U5381">
        <v>-0.15405269999999999</v>
      </c>
      <c r="V5381">
        <v>4.1654910000000003E-2</v>
      </c>
      <c r="W5381">
        <v>0.15801709999999999</v>
      </c>
      <c r="X5381">
        <v>0.98655740000000003</v>
      </c>
      <c r="Y5381">
        <v>1.6509179999999998E-2</v>
      </c>
      <c r="Z5381">
        <v>1.9119829999999999E-3</v>
      </c>
      <c r="AA5381">
        <v>0.99986189999999997</v>
      </c>
      <c r="AB5381">
        <v>35</v>
      </c>
      <c r="AC5381">
        <v>14.5076</v>
      </c>
      <c r="AD5381">
        <v>-1.1130885572260001</v>
      </c>
      <c r="AE5381">
        <v>-0.73755999999999799</v>
      </c>
      <c r="AF5381">
        <v>0.24512974287761899</v>
      </c>
      <c r="AG5381">
        <v>-1.1130885572260001</v>
      </c>
      <c r="AH5381">
        <v>14.4394627920469</v>
      </c>
      <c r="AI5381">
        <v>94.407384646734798</v>
      </c>
      <c r="AJ5381">
        <v>89.027418755022595</v>
      </c>
      <c r="AK5381">
        <v>14.484375735597901</v>
      </c>
      <c r="AL5381">
        <v>80.908179865942898</v>
      </c>
      <c r="AM5381">
        <v>87.582265567079403</v>
      </c>
      <c r="AN5381">
        <v>1.0000000194571299</v>
      </c>
    </row>
    <row r="5382" spans="1:40" x14ac:dyDescent="0.25">
      <c r="A5382" t="str">
        <f>"20190312164135970"</f>
        <v>20190312164135970</v>
      </c>
      <c r="B5382" t="str">
        <f>"1552380095962061"</f>
        <v>1552380095962061</v>
      </c>
      <c r="C5382" t="s">
        <v>40</v>
      </c>
      <c r="D5382">
        <v>5.2441019999999998</v>
      </c>
      <c r="E5382">
        <v>0.49762899999999999</v>
      </c>
      <c r="F5382" t="s">
        <v>42</v>
      </c>
      <c r="G5382">
        <v>-386.87180000000001</v>
      </c>
      <c r="H5382">
        <v>1.036181</v>
      </c>
      <c r="I5382">
        <v>17.737670000000001</v>
      </c>
      <c r="J5382">
        <v>-387.7029</v>
      </c>
      <c r="K5382">
        <v>1.113003</v>
      </c>
      <c r="L5382">
        <v>17.78464</v>
      </c>
      <c r="M5382">
        <v>0.99937310000000001</v>
      </c>
      <c r="N5382">
        <v>0</v>
      </c>
      <c r="O5382">
        <v>-3.223202E-2</v>
      </c>
      <c r="P5382">
        <v>0.98675270000000004</v>
      </c>
      <c r="Q5382">
        <v>0.14344670000000001</v>
      </c>
      <c r="R5382">
        <v>-7.5778910000000005E-2</v>
      </c>
      <c r="S5382">
        <v>3.0615540000000001</v>
      </c>
      <c r="T5382">
        <v>-0.22844249999999999</v>
      </c>
      <c r="U5382">
        <v>-0.15399170000000001</v>
      </c>
      <c r="V5382">
        <v>4.2869640000000001E-2</v>
      </c>
      <c r="W5382">
        <v>0.15820680000000001</v>
      </c>
      <c r="X5382">
        <v>0.98647490000000004</v>
      </c>
      <c r="Y5382">
        <v>1.805344E-2</v>
      </c>
      <c r="Z5382">
        <v>1.72746799999999E-3</v>
      </c>
      <c r="AA5382">
        <v>0.99983560000000005</v>
      </c>
      <c r="AB5382">
        <v>35</v>
      </c>
      <c r="AC5382">
        <v>0.83109999999999196</v>
      </c>
      <c r="AD5382">
        <v>-7.6821999999999904E-2</v>
      </c>
      <c r="AE5382">
        <v>-4.6969999999998097E-2</v>
      </c>
      <c r="AF5382">
        <v>1.9984479330687002E-2</v>
      </c>
      <c r="AG5382">
        <v>-7.6821999999999904E-2</v>
      </c>
      <c r="AH5382">
        <v>0.825154450817012</v>
      </c>
      <c r="AI5382">
        <v>95.317363022006205</v>
      </c>
      <c r="AJ5382">
        <v>88.61262031359</v>
      </c>
      <c r="AK5382">
        <v>0.828963730691061</v>
      </c>
      <c r="AL5382">
        <v>80.897171877311905</v>
      </c>
      <c r="AM5382">
        <v>87.5116397343713</v>
      </c>
      <c r="AN5382">
        <v>0.99999996296498905</v>
      </c>
    </row>
    <row r="5383" spans="1:40" x14ac:dyDescent="0.25">
      <c r="A5383" t="str">
        <f>"20190312164135994"</f>
        <v>20190312164135994</v>
      </c>
      <c r="B5383" t="str">
        <f>"1552380095981581"</f>
        <v>1552380095981581</v>
      </c>
      <c r="C5383" t="s">
        <v>40</v>
      </c>
      <c r="D5383">
        <v>5.2639239999999896</v>
      </c>
      <c r="E5383">
        <v>0.49773600000000001</v>
      </c>
      <c r="F5383" t="s">
        <v>53</v>
      </c>
      <c r="G5383">
        <v>-372.77370000000002</v>
      </c>
      <c r="H5383" s="1">
        <v>-3.8541289999999901E-6</v>
      </c>
      <c r="I5383">
        <v>17.035820000000001</v>
      </c>
      <c r="J5383">
        <v>-387.36169999999998</v>
      </c>
      <c r="K5383">
        <v>1.1128690000000001</v>
      </c>
      <c r="L5383">
        <v>17.776250000000001</v>
      </c>
      <c r="M5383">
        <v>0.99945329999999999</v>
      </c>
      <c r="N5383">
        <v>0</v>
      </c>
      <c r="O5383">
        <v>-2.9640909999999999E-2</v>
      </c>
      <c r="P5383">
        <v>0.98664260000000004</v>
      </c>
      <c r="Q5383">
        <v>0.1445572</v>
      </c>
      <c r="R5383">
        <v>-7.5101109999999999E-2</v>
      </c>
      <c r="S5383">
        <v>3.0616150000000002</v>
      </c>
      <c r="T5383">
        <v>-0.22825100000000001</v>
      </c>
      <c r="U5383">
        <v>-0.15356449999999999</v>
      </c>
      <c r="V5383">
        <v>4.4809799999999997E-2</v>
      </c>
      <c r="W5383">
        <v>0.1593099</v>
      </c>
      <c r="X5383">
        <v>0.98621119999999995</v>
      </c>
      <c r="Y5383">
        <v>2.049144E-2</v>
      </c>
      <c r="Z5383">
        <v>1.44263799999999E-3</v>
      </c>
      <c r="AA5383">
        <v>0.99978900000000004</v>
      </c>
      <c r="AB5383">
        <v>35</v>
      </c>
      <c r="AC5383">
        <v>14.5879999999999</v>
      </c>
      <c r="AD5383">
        <v>-1.1128728541290001</v>
      </c>
      <c r="AE5383">
        <v>-0.74042999999999903</v>
      </c>
      <c r="AF5383">
        <v>0.30588105480482802</v>
      </c>
      <c r="AG5383">
        <v>-1.1128728541290001</v>
      </c>
      <c r="AH5383">
        <v>14.519257794588601</v>
      </c>
      <c r="AI5383">
        <v>94.382071509728902</v>
      </c>
      <c r="AJ5383">
        <v>88.793113146420694</v>
      </c>
      <c r="AK5383">
        <v>14.565057367373001</v>
      </c>
      <c r="AL5383">
        <v>80.833157801008795</v>
      </c>
      <c r="AM5383">
        <v>87.398480331641593</v>
      </c>
      <c r="AN5383">
        <v>1.0000000467097401</v>
      </c>
    </row>
    <row r="5384" spans="1:40" x14ac:dyDescent="0.25">
      <c r="A5384" t="str">
        <f>"20190312164136007"</f>
        <v>20190312164136007</v>
      </c>
      <c r="B5384" t="str">
        <f>"1552380096002077"</f>
        <v>1552380096002077</v>
      </c>
      <c r="C5384" t="s">
        <v>40</v>
      </c>
      <c r="D5384">
        <v>5.3385920000000002</v>
      </c>
      <c r="E5384">
        <v>0.49804920000000003</v>
      </c>
      <c r="F5384" t="s">
        <v>53</v>
      </c>
      <c r="G5384">
        <v>-372.2482</v>
      </c>
      <c r="H5384" s="1">
        <v>-4.1050450000000003E-6</v>
      </c>
      <c r="I5384">
        <v>17.021739999999902</v>
      </c>
      <c r="J5384">
        <v>-387.1558</v>
      </c>
      <c r="K5384">
        <v>1.1127819999999999</v>
      </c>
      <c r="L5384">
        <v>17.77158</v>
      </c>
      <c r="M5384">
        <v>0.99949580000000005</v>
      </c>
      <c r="N5384">
        <v>0</v>
      </c>
      <c r="O5384">
        <v>-2.8175180000000001E-2</v>
      </c>
      <c r="P5384">
        <v>0.9865545</v>
      </c>
      <c r="Q5384">
        <v>0.1454211</v>
      </c>
      <c r="R5384">
        <v>-7.4586899999999998E-2</v>
      </c>
      <c r="S5384">
        <v>3.0620120000000002</v>
      </c>
      <c r="T5384">
        <v>-0.22546859999999999</v>
      </c>
      <c r="U5384">
        <v>-0.15286250000000001</v>
      </c>
      <c r="V5384">
        <v>4.5779540000000001E-2</v>
      </c>
      <c r="W5384">
        <v>0.16016659999999999</v>
      </c>
      <c r="X5384">
        <v>0.98602780000000001</v>
      </c>
      <c r="Y5384">
        <v>2.171466E-2</v>
      </c>
      <c r="Z5384">
        <v>1.2723249999999999E-3</v>
      </c>
      <c r="AA5384">
        <v>0.99976339999999997</v>
      </c>
      <c r="AB5384">
        <v>34</v>
      </c>
      <c r="AC5384">
        <v>14.9076</v>
      </c>
      <c r="AD5384">
        <v>-1.1127861050450001</v>
      </c>
      <c r="AE5384">
        <v>-0.74984000000000195</v>
      </c>
      <c r="AF5384">
        <v>0.327651867499614</v>
      </c>
      <c r="AG5384">
        <v>-1.1127861050450001</v>
      </c>
      <c r="AH5384">
        <v>14.840328540008001</v>
      </c>
      <c r="AI5384">
        <v>94.287196644936699</v>
      </c>
      <c r="AJ5384">
        <v>88.735201877089096</v>
      </c>
      <c r="AK5384">
        <v>14.8855970601529</v>
      </c>
      <c r="AL5384">
        <v>80.783433257497904</v>
      </c>
      <c r="AM5384">
        <v>87.341766443999703</v>
      </c>
      <c r="AN5384">
        <v>0.99999996420550497</v>
      </c>
    </row>
    <row r="5385" spans="1:40" x14ac:dyDescent="0.25">
      <c r="A5385" t="str">
        <f>"20190312164136024"</f>
        <v>20190312164136024</v>
      </c>
      <c r="B5385" t="str">
        <f>"1552380096011368"</f>
        <v>1552380096011368</v>
      </c>
      <c r="C5385" t="s">
        <v>40</v>
      </c>
      <c r="D5385">
        <v>5.2739699999999896</v>
      </c>
      <c r="E5385">
        <v>0.4981141</v>
      </c>
      <c r="F5385" t="s">
        <v>42</v>
      </c>
      <c r="G5385">
        <v>-386.24939999999998</v>
      </c>
      <c r="H5385">
        <v>1.0473059999999901</v>
      </c>
      <c r="I5385">
        <v>17.725639999999999</v>
      </c>
      <c r="J5385">
        <v>-386.89679999999998</v>
      </c>
      <c r="K5385">
        <v>1.112665</v>
      </c>
      <c r="L5385">
        <v>17.76596</v>
      </c>
      <c r="M5385">
        <v>0.99954330000000002</v>
      </c>
      <c r="N5385">
        <v>0</v>
      </c>
      <c r="O5385">
        <v>-2.6431929999999999E-2</v>
      </c>
      <c r="P5385">
        <v>0.98628780000000005</v>
      </c>
      <c r="Q5385">
        <v>0.14721809999999999</v>
      </c>
      <c r="R5385">
        <v>-7.4585899999999997E-2</v>
      </c>
      <c r="S5385">
        <v>3.06189</v>
      </c>
      <c r="T5385">
        <v>-0.22135650000000001</v>
      </c>
      <c r="U5385">
        <v>-0.15396119999999999</v>
      </c>
      <c r="V5385">
        <v>4.7548100000000003E-2</v>
      </c>
      <c r="W5385">
        <v>0.16195300000000001</v>
      </c>
      <c r="X5385">
        <v>0.98565230000000004</v>
      </c>
      <c r="Y5385">
        <v>2.3807479999999999E-2</v>
      </c>
      <c r="Z5385">
        <v>1.047996E-3</v>
      </c>
      <c r="AA5385">
        <v>0.99971600000000005</v>
      </c>
      <c r="AB5385">
        <v>34</v>
      </c>
      <c r="AC5385">
        <v>0.64740000000000397</v>
      </c>
      <c r="AD5385">
        <v>-6.5359000000000098E-2</v>
      </c>
      <c r="AE5385">
        <v>-4.0320000000001202E-2</v>
      </c>
      <c r="AF5385">
        <v>2.29589456984624E-2</v>
      </c>
      <c r="AG5385">
        <v>-6.5359000000000098E-2</v>
      </c>
      <c r="AH5385">
        <v>0.64172433634759096</v>
      </c>
      <c r="AI5385">
        <v>95.811773562526994</v>
      </c>
      <c r="AJ5385">
        <v>87.9510051406549</v>
      </c>
      <c r="AK5385">
        <v>0.64545258224701596</v>
      </c>
      <c r="AL5385">
        <v>80.679726708656403</v>
      </c>
      <c r="AM5385">
        <v>87.238179084670094</v>
      </c>
      <c r="AN5385">
        <v>1.0000000262589399</v>
      </c>
    </row>
    <row r="5386" spans="1:40" x14ac:dyDescent="0.25">
      <c r="A5386" t="str">
        <f>"20190312164136035"</f>
        <v>20190312164136035</v>
      </c>
      <c r="B5386" t="str">
        <f>"1552380096031864"</f>
        <v>1552380096031864</v>
      </c>
      <c r="C5386" t="s">
        <v>40</v>
      </c>
      <c r="D5386">
        <v>5.3920620000000001</v>
      </c>
      <c r="E5386">
        <v>0.49836580000000003</v>
      </c>
      <c r="F5386" t="s">
        <v>42</v>
      </c>
      <c r="G5386">
        <v>-385.94479999999999</v>
      </c>
      <c r="H5386">
        <v>1.0454680000000001</v>
      </c>
      <c r="I5386">
        <v>17.717610000000001</v>
      </c>
      <c r="J5386">
        <v>-386.70609999999999</v>
      </c>
      <c r="K5386">
        <v>1.1125719999999999</v>
      </c>
      <c r="L5386">
        <v>17.762079999999902</v>
      </c>
      <c r="M5386">
        <v>0.99957450000000003</v>
      </c>
      <c r="N5386">
        <v>0</v>
      </c>
      <c r="O5386">
        <v>-2.5225569999999999E-2</v>
      </c>
      <c r="P5386">
        <v>0.98623320000000003</v>
      </c>
      <c r="Q5386">
        <v>0.14779220000000001</v>
      </c>
      <c r="R5386">
        <v>-7.4174390000000007E-2</v>
      </c>
      <c r="S5386">
        <v>3.0623170000000002</v>
      </c>
      <c r="T5386">
        <v>-0.21625949999999999</v>
      </c>
      <c r="U5386">
        <v>-0.15490719999999999</v>
      </c>
      <c r="V5386">
        <v>4.8366140000000002E-2</v>
      </c>
      <c r="W5386">
        <v>0.1625172</v>
      </c>
      <c r="X5386">
        <v>0.98551960000000005</v>
      </c>
      <c r="Y5386">
        <v>2.530804E-2</v>
      </c>
      <c r="Z5386">
        <v>8.858952E-4</v>
      </c>
      <c r="AA5386">
        <v>0.99967930000000005</v>
      </c>
      <c r="AB5386">
        <v>34</v>
      </c>
      <c r="AC5386">
        <v>0.76130000000000497</v>
      </c>
      <c r="AD5386">
        <v>-6.7103999999999803E-2</v>
      </c>
      <c r="AE5386">
        <v>-4.4469999999996901E-2</v>
      </c>
      <c r="AF5386">
        <v>2.50555559687013E-2</v>
      </c>
      <c r="AG5386">
        <v>-6.7103999999999803E-2</v>
      </c>
      <c r="AH5386">
        <v>0.75632342618722503</v>
      </c>
      <c r="AI5386">
        <v>95.067465916981902</v>
      </c>
      <c r="AJ5386">
        <v>88.102593760770603</v>
      </c>
      <c r="AK5386">
        <v>0.75970774163521804</v>
      </c>
      <c r="AL5386">
        <v>80.646966205854298</v>
      </c>
      <c r="AM5386">
        <v>87.190361225023295</v>
      </c>
      <c r="AN5386">
        <v>1.00000000288924</v>
      </c>
    </row>
    <row r="5387" spans="1:40" x14ac:dyDescent="0.25">
      <c r="A5387" t="str">
        <f>"20190312164136049"</f>
        <v>20190312164136049</v>
      </c>
      <c r="B5387" t="str">
        <f>"1552380096041624"</f>
        <v>1552380096041624</v>
      </c>
      <c r="C5387" t="s">
        <v>40</v>
      </c>
      <c r="D5387">
        <v>5.3233100000000002</v>
      </c>
      <c r="E5387">
        <v>0.49838359999999898</v>
      </c>
      <c r="F5387" t="s">
        <v>53</v>
      </c>
      <c r="G5387">
        <v>-370.93380000000002</v>
      </c>
      <c r="H5387" s="1">
        <v>-4.7371820000000001E-6</v>
      </c>
      <c r="I5387">
        <v>16.960850000000001</v>
      </c>
      <c r="J5387">
        <v>-386.50510000000003</v>
      </c>
      <c r="K5387">
        <v>1.1124700000000001</v>
      </c>
      <c r="L5387">
        <v>17.758209999999998</v>
      </c>
      <c r="M5387">
        <v>0.99960360000000004</v>
      </c>
      <c r="N5387">
        <v>0</v>
      </c>
      <c r="O5387">
        <v>-2.4052380000000002E-2</v>
      </c>
      <c r="P5387">
        <v>0.98620149999999995</v>
      </c>
      <c r="Q5387">
        <v>0.14845269999999999</v>
      </c>
      <c r="R5387">
        <v>-7.3274839999999994E-2</v>
      </c>
      <c r="S5387">
        <v>3.0625610000000001</v>
      </c>
      <c r="T5387">
        <v>-0.21603169999999999</v>
      </c>
      <c r="U5387">
        <v>-0.15557860000000001</v>
      </c>
      <c r="V5387">
        <v>4.8666859999999999E-2</v>
      </c>
      <c r="W5387">
        <v>0.16316269999999999</v>
      </c>
      <c r="X5387">
        <v>0.98539810000000005</v>
      </c>
      <c r="Y5387">
        <v>2.6689549999999999E-2</v>
      </c>
      <c r="Z5387">
        <v>7.5368889999999995E-4</v>
      </c>
      <c r="AA5387">
        <v>0.99964350000000002</v>
      </c>
      <c r="AB5387">
        <v>34</v>
      </c>
      <c r="AC5387">
        <v>15.571300000000001</v>
      </c>
      <c r="AD5387">
        <v>-1.1124747371820001</v>
      </c>
      <c r="AE5387">
        <v>-0.79736000000000096</v>
      </c>
      <c r="AF5387">
        <v>0.42042202488418301</v>
      </c>
      <c r="AG5387">
        <v>-1.1124747371820001</v>
      </c>
      <c r="AH5387">
        <v>15.507030207235101</v>
      </c>
      <c r="AI5387">
        <v>94.101868683391203</v>
      </c>
      <c r="AJ5387">
        <v>88.446994176029705</v>
      </c>
      <c r="AK5387">
        <v>15.552567008953099</v>
      </c>
      <c r="AL5387">
        <v>80.609481165745393</v>
      </c>
      <c r="AM5387">
        <v>87.172572329329498</v>
      </c>
      <c r="AN5387">
        <v>0.99999997270857899</v>
      </c>
    </row>
    <row r="5388" spans="1:40" x14ac:dyDescent="0.25">
      <c r="A5388" t="str">
        <f>"20190312164136061"</f>
        <v>20190312164136061</v>
      </c>
      <c r="B5388" t="str">
        <f>"1552380096051384"</f>
        <v>1552380096051384</v>
      </c>
      <c r="C5388" t="s">
        <v>40</v>
      </c>
      <c r="D5388">
        <v>5.4458650000000004</v>
      </c>
      <c r="E5388">
        <v>0.49857449999999998</v>
      </c>
      <c r="F5388" t="s">
        <v>53</v>
      </c>
      <c r="G5388">
        <v>-370.61939999999998</v>
      </c>
      <c r="H5388" s="1">
        <v>-4.8853039999999997E-6</v>
      </c>
      <c r="I5388">
        <v>16.963629999999998</v>
      </c>
      <c r="J5388">
        <v>-386.32</v>
      </c>
      <c r="K5388">
        <v>1.1123719999999999</v>
      </c>
      <c r="L5388">
        <v>17.754729999999999</v>
      </c>
      <c r="M5388">
        <v>0.99962779999999996</v>
      </c>
      <c r="N5388">
        <v>0</v>
      </c>
      <c r="O5388">
        <v>-2.3018150000000001E-2</v>
      </c>
      <c r="P5388">
        <v>0.98618589999999995</v>
      </c>
      <c r="Q5388">
        <v>0.14893600000000001</v>
      </c>
      <c r="R5388">
        <v>-7.2492550000000003E-2</v>
      </c>
      <c r="S5388">
        <v>3.0628660000000001</v>
      </c>
      <c r="T5388">
        <v>-0.21449209999999999</v>
      </c>
      <c r="U5388">
        <v>-0.15319820000000001</v>
      </c>
      <c r="V5388">
        <v>4.8946280000000002E-2</v>
      </c>
      <c r="W5388">
        <v>0.1636312</v>
      </c>
      <c r="X5388">
        <v>0.98530660000000003</v>
      </c>
      <c r="Y5388">
        <v>2.6940789999999999E-2</v>
      </c>
      <c r="Z5388">
        <v>6.6722940000000001E-4</v>
      </c>
      <c r="AA5388">
        <v>0.99963679999999999</v>
      </c>
      <c r="AB5388">
        <v>34</v>
      </c>
      <c r="AC5388">
        <v>15.7006</v>
      </c>
      <c r="AD5388">
        <v>-1.1123768853039999</v>
      </c>
      <c r="AE5388">
        <v>-0.79110000000000003</v>
      </c>
      <c r="AF5388">
        <v>0.42731331070953599</v>
      </c>
      <c r="AG5388">
        <v>-1.1123768853039999</v>
      </c>
      <c r="AH5388">
        <v>15.6363608723486</v>
      </c>
      <c r="AI5388">
        <v>94.067675405743699</v>
      </c>
      <c r="AJ5388">
        <v>88.434600146082005</v>
      </c>
      <c r="AK5388">
        <v>15.681701448847299</v>
      </c>
      <c r="AL5388">
        <v>80.582272695615103</v>
      </c>
      <c r="AM5388">
        <v>87.156101628236101</v>
      </c>
      <c r="AN5388">
        <v>1.0000000019714099</v>
      </c>
    </row>
    <row r="5389" spans="1:40" x14ac:dyDescent="0.25">
      <c r="A5389" t="str">
        <f>"20190312164136072"</f>
        <v>20190312164136072</v>
      </c>
      <c r="B5389" t="str">
        <f>"1552380096062119"</f>
        <v>1552380096062119</v>
      </c>
      <c r="C5389" t="s">
        <v>40</v>
      </c>
      <c r="D5389">
        <v>5.2920559999999996</v>
      </c>
      <c r="E5389">
        <v>0.49859629999999999</v>
      </c>
      <c r="F5389" t="s">
        <v>42</v>
      </c>
      <c r="G5389">
        <v>-385.33440000000002</v>
      </c>
      <c r="H5389">
        <v>1.043744</v>
      </c>
      <c r="I5389">
        <v>17.705359999999999</v>
      </c>
      <c r="J5389">
        <v>-386.1397</v>
      </c>
      <c r="K5389">
        <v>1.112266</v>
      </c>
      <c r="L5389">
        <v>17.751529999999999</v>
      </c>
      <c r="M5389">
        <v>0.9996488</v>
      </c>
      <c r="N5389">
        <v>0</v>
      </c>
      <c r="O5389">
        <v>-2.2091019999999999E-2</v>
      </c>
      <c r="P5389">
        <v>0.98610730000000002</v>
      </c>
      <c r="Q5389">
        <v>0.149861299999999</v>
      </c>
      <c r="R5389">
        <v>-7.1654109999999993E-2</v>
      </c>
      <c r="S5389">
        <v>3.0630190000000002</v>
      </c>
      <c r="T5389">
        <v>-0.21328820000000001</v>
      </c>
      <c r="U5389">
        <v>-0.1527405</v>
      </c>
      <c r="V5389">
        <v>4.9063309999999999E-2</v>
      </c>
      <c r="W5389">
        <v>0.1645385</v>
      </c>
      <c r="X5389">
        <v>0.98514970000000002</v>
      </c>
      <c r="Y5389">
        <v>2.771241E-2</v>
      </c>
      <c r="Z5389">
        <v>5.7222960000000004E-4</v>
      </c>
      <c r="AA5389">
        <v>0.99961580000000005</v>
      </c>
      <c r="AB5389">
        <v>34</v>
      </c>
      <c r="AC5389">
        <v>0.80529999999998803</v>
      </c>
      <c r="AD5389">
        <v>-6.8521999999999902E-2</v>
      </c>
      <c r="AE5389">
        <v>-4.6170000000000003E-2</v>
      </c>
      <c r="AF5389">
        <v>2.8163685958985201E-2</v>
      </c>
      <c r="AG5389">
        <v>-6.8521999999999902E-2</v>
      </c>
      <c r="AH5389">
        <v>0.80034787179121403</v>
      </c>
      <c r="AI5389">
        <v>94.890448402322207</v>
      </c>
      <c r="AJ5389">
        <v>87.984632890368502</v>
      </c>
      <c r="AK5389">
        <v>0.80376935346623102</v>
      </c>
      <c r="AL5389">
        <v>80.529574223737896</v>
      </c>
      <c r="AM5389">
        <v>87.148859836224702</v>
      </c>
      <c r="AN5389">
        <v>1.00000002889024</v>
      </c>
    </row>
    <row r="5390" spans="1:40" x14ac:dyDescent="0.25">
      <c r="A5390" t="str">
        <f>"20190312164136091"</f>
        <v>20190312164136091</v>
      </c>
      <c r="B5390" t="str">
        <f>"1552380096081650"</f>
        <v>1552380096081650</v>
      </c>
      <c r="C5390" t="s">
        <v>40</v>
      </c>
      <c r="D5390">
        <v>5.6049490000000004</v>
      </c>
      <c r="E5390">
        <v>0.47150950000000003</v>
      </c>
      <c r="F5390" t="s">
        <v>54</v>
      </c>
      <c r="G5390">
        <v>-369.90030000000002</v>
      </c>
      <c r="H5390" s="1">
        <v>-7.4746830000000004E-7</v>
      </c>
      <c r="I5390">
        <v>16.95262</v>
      </c>
      <c r="J5390">
        <v>-385.86200000000002</v>
      </c>
      <c r="K5390">
        <v>1.1121099999999999</v>
      </c>
      <c r="L5390">
        <v>17.7468</v>
      </c>
      <c r="M5390">
        <v>0.99967700000000004</v>
      </c>
      <c r="N5390">
        <v>0</v>
      </c>
      <c r="O5390">
        <v>-2.0779010000000001E-2</v>
      </c>
      <c r="P5390">
        <v>0.98597380000000001</v>
      </c>
      <c r="Q5390">
        <v>0.1514354</v>
      </c>
      <c r="R5390">
        <v>-7.0166950000000006E-2</v>
      </c>
      <c r="S5390">
        <v>3.063202</v>
      </c>
      <c r="T5390">
        <v>-0.2098045</v>
      </c>
      <c r="U5390">
        <v>-0.15069579999999999</v>
      </c>
      <c r="V5390">
        <v>4.8934400000000003E-2</v>
      </c>
      <c r="W5390">
        <v>0.16608299999999901</v>
      </c>
      <c r="X5390">
        <v>0.98489689999999996</v>
      </c>
      <c r="Y5390">
        <v>2.8351660000000001E-2</v>
      </c>
      <c r="Z5390">
        <v>4.5135759999999998E-4</v>
      </c>
      <c r="AA5390">
        <v>0.99959790000000004</v>
      </c>
      <c r="AB5390">
        <v>34</v>
      </c>
      <c r="AC5390">
        <v>15.961699999999899</v>
      </c>
      <c r="AD5390">
        <v>-1.1121107474683001</v>
      </c>
      <c r="AE5390">
        <v>-0.79418</v>
      </c>
      <c r="AF5390">
        <v>0.46007676213996102</v>
      </c>
      <c r="AG5390">
        <v>-1.1121107474683001</v>
      </c>
      <c r="AH5390">
        <v>15.8977730967196</v>
      </c>
      <c r="AI5390">
        <v>93.999873577890099</v>
      </c>
      <c r="AJ5390">
        <v>88.342340072214498</v>
      </c>
      <c r="AK5390">
        <v>15.943263479491099</v>
      </c>
      <c r="AL5390">
        <v>80.439846291065507</v>
      </c>
      <c r="AM5390">
        <v>87.155609968724605</v>
      </c>
      <c r="AN5390">
        <v>1.0000000210109801</v>
      </c>
    </row>
    <row r="5391" spans="1:40" x14ac:dyDescent="0.25">
      <c r="A5391" t="str">
        <f>"20190312164136104"</f>
        <v>20190312164136104</v>
      </c>
      <c r="B5391" t="str">
        <f>"1552380096091400"</f>
        <v>1552380096091400</v>
      </c>
      <c r="C5391" t="s">
        <v>40</v>
      </c>
      <c r="D5391">
        <v>5.1919370000000002</v>
      </c>
      <c r="E5391">
        <v>0.46004349999999999</v>
      </c>
      <c r="F5391" t="s">
        <v>41</v>
      </c>
      <c r="G5391">
        <v>-359.24110000000002</v>
      </c>
      <c r="H5391" s="1">
        <v>-5.9520800000000004E-7</v>
      </c>
      <c r="I5391">
        <v>18.297419999999999</v>
      </c>
      <c r="J5391">
        <v>-385.67219999999998</v>
      </c>
      <c r="K5391">
        <v>1.1120049999999999</v>
      </c>
      <c r="L5391">
        <v>17.743649999999999</v>
      </c>
      <c r="M5391">
        <v>0.99969359999999996</v>
      </c>
      <c r="N5391">
        <v>0</v>
      </c>
      <c r="O5391">
        <v>-1.996206E-2</v>
      </c>
      <c r="P5391">
        <v>0.98596740000000005</v>
      </c>
      <c r="Q5391">
        <v>0.15204279999999901</v>
      </c>
      <c r="R5391">
        <v>-6.8929660000000004E-2</v>
      </c>
      <c r="S5391">
        <v>3.0668950000000001</v>
      </c>
      <c r="T5391">
        <v>-0.1281224</v>
      </c>
      <c r="U5391">
        <v>6.3446039999999995E-2</v>
      </c>
      <c r="V5391">
        <v>4.8547439999999997E-2</v>
      </c>
      <c r="W5391">
        <v>0.16666879999999901</v>
      </c>
      <c r="X5391">
        <v>0.9848171</v>
      </c>
      <c r="Y5391">
        <v>-4.0585980000000001E-2</v>
      </c>
      <c r="Z5391">
        <v>1.680871E-3</v>
      </c>
      <c r="AA5391">
        <v>0.99917469999999997</v>
      </c>
      <c r="AB5391">
        <v>34</v>
      </c>
      <c r="AC5391">
        <v>26.431099999999901</v>
      </c>
      <c r="AD5391">
        <v>-1.1120055952079999</v>
      </c>
      <c r="AE5391">
        <v>0.55377000000000298</v>
      </c>
      <c r="AF5391">
        <v>-1.0794255683901901</v>
      </c>
      <c r="AG5391">
        <v>-1.1120055952079999</v>
      </c>
      <c r="AH5391">
        <v>26.368124391328099</v>
      </c>
      <c r="AI5391">
        <v>92.412847836169902</v>
      </c>
      <c r="AJ5391">
        <v>92.344194653275594</v>
      </c>
      <c r="AK5391">
        <v>26.413627163228</v>
      </c>
      <c r="AL5391">
        <v>80.405808114673206</v>
      </c>
      <c r="AM5391">
        <v>87.177837841886699</v>
      </c>
      <c r="AN5391">
        <v>1.0000000316382001</v>
      </c>
    </row>
    <row r="5392" spans="1:40" x14ac:dyDescent="0.25">
      <c r="A5392" t="str">
        <f>"20190312164136119"</f>
        <v>20190312164136119</v>
      </c>
      <c r="B5392" t="str">
        <f>"1552380096111426"</f>
        <v>1552380096111426</v>
      </c>
      <c r="C5392" t="s">
        <v>40</v>
      </c>
      <c r="D5392">
        <v>5.4078169999999997</v>
      </c>
      <c r="E5392">
        <v>0.44613960000000003</v>
      </c>
      <c r="F5392" t="s">
        <v>41</v>
      </c>
      <c r="G5392">
        <v>-357.5806</v>
      </c>
      <c r="H5392" s="1">
        <v>-1.095386E-6</v>
      </c>
      <c r="I5392">
        <v>19.19248</v>
      </c>
      <c r="J5392">
        <v>-385.44670000000002</v>
      </c>
      <c r="K5392">
        <v>1.1118760000000001</v>
      </c>
      <c r="L5392">
        <v>17.74005</v>
      </c>
      <c r="M5392">
        <v>0.99971149999999998</v>
      </c>
      <c r="N5392">
        <v>0</v>
      </c>
      <c r="O5392">
        <v>-1.9065180000000001E-2</v>
      </c>
      <c r="P5392">
        <v>0.98597749999999995</v>
      </c>
      <c r="Q5392">
        <v>0.152674</v>
      </c>
      <c r="R5392">
        <v>-6.7373180000000005E-2</v>
      </c>
      <c r="S5392">
        <v>3.0725709999999999</v>
      </c>
      <c r="T5392">
        <v>-0.12162779999999999</v>
      </c>
      <c r="U5392">
        <v>0.158477799999999</v>
      </c>
      <c r="V5392">
        <v>4.7928390000000001E-2</v>
      </c>
      <c r="W5392">
        <v>0.167272</v>
      </c>
      <c r="X5392">
        <v>0.98474510000000004</v>
      </c>
      <c r="Y5392">
        <v>-7.0472359999999998E-2</v>
      </c>
      <c r="Z5392">
        <v>2.147393E-3</v>
      </c>
      <c r="AA5392">
        <v>0.99751140000000005</v>
      </c>
      <c r="AB5392">
        <v>34</v>
      </c>
      <c r="AC5392">
        <v>27.866099999999999</v>
      </c>
      <c r="AD5392">
        <v>-1.111877095386</v>
      </c>
      <c r="AE5392">
        <v>1.4524299999999899</v>
      </c>
      <c r="AF5392">
        <v>-1.9803505643408399</v>
      </c>
      <c r="AG5392">
        <v>-1.111877095386</v>
      </c>
      <c r="AH5392">
        <v>27.789217848700801</v>
      </c>
      <c r="AI5392">
        <v>92.285455076854404</v>
      </c>
      <c r="AJ5392">
        <v>94.076193732603898</v>
      </c>
      <c r="AK5392">
        <v>27.881870232742301</v>
      </c>
      <c r="AL5392">
        <v>80.370754745378406</v>
      </c>
      <c r="AM5392">
        <v>87.213564019456598</v>
      </c>
      <c r="AN5392">
        <v>0.99999998226300002</v>
      </c>
    </row>
    <row r="5393" spans="1:40" x14ac:dyDescent="0.25">
      <c r="A5393" t="str">
        <f>"20190312164136136"</f>
        <v>20190312164136136</v>
      </c>
      <c r="B5393" t="str">
        <f>"1552380096131922"</f>
        <v>1552380096131922</v>
      </c>
      <c r="C5393" t="s">
        <v>40</v>
      </c>
      <c r="D5393">
        <v>5.4775660000000004</v>
      </c>
      <c r="E5393">
        <v>0.44004330000000003</v>
      </c>
      <c r="F5393" t="s">
        <v>41</v>
      </c>
      <c r="G5393">
        <v>-358.70650000000001</v>
      </c>
      <c r="H5393" s="1">
        <v>-6.7260540000000003E-7</v>
      </c>
      <c r="I5393">
        <v>20.125070000000001</v>
      </c>
      <c r="J5393">
        <v>-385.16930000000002</v>
      </c>
      <c r="K5393">
        <v>1.1117170000000001</v>
      </c>
      <c r="L5393">
        <v>17.735779999999998</v>
      </c>
      <c r="M5393">
        <v>0.99972930000000004</v>
      </c>
      <c r="N5393">
        <v>0</v>
      </c>
      <c r="O5393">
        <v>-1.8108809999999999E-2</v>
      </c>
      <c r="P5393">
        <v>0.98598580000000002</v>
      </c>
      <c r="Q5393">
        <v>0.1535378</v>
      </c>
      <c r="R5393">
        <v>-6.5254199999999998E-2</v>
      </c>
      <c r="S5393">
        <v>3.0813290000000002</v>
      </c>
      <c r="T5393">
        <v>-0.12812390000000001</v>
      </c>
      <c r="U5393">
        <v>0.27484130000000001</v>
      </c>
      <c r="V5393">
        <v>4.6815219999999998E-2</v>
      </c>
      <c r="W5393">
        <v>0.16809789999999999</v>
      </c>
      <c r="X5393">
        <v>0.98465800000000003</v>
      </c>
      <c r="Y5393">
        <v>-0.10676040000000001</v>
      </c>
      <c r="Z5393">
        <v>2.9656040000000002E-3</v>
      </c>
      <c r="AA5393">
        <v>0.99428030000000001</v>
      </c>
      <c r="AB5393">
        <v>34</v>
      </c>
      <c r="AC5393">
        <v>26.462800000000001</v>
      </c>
      <c r="AD5393">
        <v>-1.1117176726053899</v>
      </c>
      <c r="AE5393">
        <v>2.3892899999999999</v>
      </c>
      <c r="AF5393">
        <v>-2.8631468056673399</v>
      </c>
      <c r="AG5393">
        <v>-1.1117176726053899</v>
      </c>
      <c r="AH5393">
        <v>26.369025850039002</v>
      </c>
      <c r="AI5393">
        <v>92.400069554876595</v>
      </c>
      <c r="AJ5393">
        <v>96.196894473310905</v>
      </c>
      <c r="AK5393">
        <v>26.5472983577314</v>
      </c>
      <c r="AL5393">
        <v>80.322754414180807</v>
      </c>
      <c r="AM5393">
        <v>87.277942045469104</v>
      </c>
      <c r="AN5393">
        <v>0.99999997288602804</v>
      </c>
    </row>
    <row r="5394" spans="1:40" x14ac:dyDescent="0.25">
      <c r="A5394" t="str">
        <f>"20190312164136150"</f>
        <v>20190312164136150</v>
      </c>
      <c r="B5394" t="str">
        <f>"1552380096141682"</f>
        <v>1552380096141682</v>
      </c>
      <c r="C5394" t="s">
        <v>40</v>
      </c>
      <c r="D5394">
        <v>5.265015</v>
      </c>
      <c r="E5394">
        <v>0.43871890000000002</v>
      </c>
      <c r="F5394" t="s">
        <v>41</v>
      </c>
      <c r="G5394">
        <v>-359.53019999999998</v>
      </c>
      <c r="H5394" s="1">
        <v>-4.13621E-7</v>
      </c>
      <c r="I5394">
        <v>20.47964</v>
      </c>
      <c r="J5394">
        <v>-384.96780000000001</v>
      </c>
      <c r="K5394">
        <v>1.11161</v>
      </c>
      <c r="L5394">
        <v>17.73282</v>
      </c>
      <c r="M5394">
        <v>0.99974050000000003</v>
      </c>
      <c r="N5394">
        <v>0</v>
      </c>
      <c r="O5394">
        <v>-1.750169E-2</v>
      </c>
      <c r="P5394">
        <v>0.98603339999999995</v>
      </c>
      <c r="Q5394">
        <v>0.15368479999999901</v>
      </c>
      <c r="R5394">
        <v>-6.4182459999999997E-2</v>
      </c>
      <c r="S5394">
        <v>3.0853579999999998</v>
      </c>
      <c r="T5394">
        <v>-0.1337816</v>
      </c>
      <c r="U5394">
        <v>0.3302002</v>
      </c>
      <c r="V5394">
        <v>4.6385389999999999E-2</v>
      </c>
      <c r="W5394">
        <v>0.1682206</v>
      </c>
      <c r="X5394">
        <v>0.98465740000000002</v>
      </c>
      <c r="Y5394">
        <v>-0.12367069999999999</v>
      </c>
      <c r="Z5394">
        <v>3.4289020000000002E-3</v>
      </c>
      <c r="AA5394">
        <v>0.99231740000000002</v>
      </c>
      <c r="AB5394">
        <v>34</v>
      </c>
      <c r="AC5394">
        <v>25.4376</v>
      </c>
      <c r="AD5394">
        <v>-1.1116104136210001</v>
      </c>
      <c r="AE5394">
        <v>2.74682</v>
      </c>
      <c r="AF5394">
        <v>-3.1856341995706399</v>
      </c>
      <c r="AG5394">
        <v>-1.1116104136210001</v>
      </c>
      <c r="AH5394">
        <v>25.337795349134201</v>
      </c>
      <c r="AI5394">
        <v>92.492451445412897</v>
      </c>
      <c r="AJ5394">
        <v>97.166001839439403</v>
      </c>
      <c r="AK5394">
        <v>25.5614517608009</v>
      </c>
      <c r="AL5394">
        <v>80.315622783258803</v>
      </c>
      <c r="AM5394">
        <v>87.302895675757995</v>
      </c>
      <c r="AN5394">
        <v>0.99999998502228604</v>
      </c>
    </row>
    <row r="5395" spans="1:40" x14ac:dyDescent="0.25">
      <c r="A5395" t="str">
        <f>"20190312164136170"</f>
        <v>20190312164136170</v>
      </c>
      <c r="B5395" t="str">
        <f>"1552380096162179"</f>
        <v>1552380096162179</v>
      </c>
      <c r="C5395" t="s">
        <v>40</v>
      </c>
      <c r="D5395">
        <v>5.2662990000000001</v>
      </c>
      <c r="E5395">
        <v>0.43631969999999998</v>
      </c>
      <c r="F5395" t="s">
        <v>41</v>
      </c>
      <c r="G5395">
        <v>-359.95170000000002</v>
      </c>
      <c r="H5395" s="1">
        <v>-2.4353299999999999E-7</v>
      </c>
      <c r="I5395">
        <v>20.520029999999998</v>
      </c>
      <c r="J5395">
        <v>-384.649</v>
      </c>
      <c r="K5395">
        <v>1.1114489999999999</v>
      </c>
      <c r="L5395">
        <v>17.728210000000001</v>
      </c>
      <c r="M5395">
        <v>0.99975519999999996</v>
      </c>
      <c r="N5395">
        <v>0</v>
      </c>
      <c r="O5395">
        <v>-1.6652549999999999E-2</v>
      </c>
      <c r="P5395">
        <v>0.98608169999999995</v>
      </c>
      <c r="Q5395">
        <v>0.1541138</v>
      </c>
      <c r="R5395">
        <v>-6.2389460000000001E-2</v>
      </c>
      <c r="S5395">
        <v>3.0862729999999998</v>
      </c>
      <c r="T5395">
        <v>-0.13714079999999901</v>
      </c>
      <c r="U5395">
        <v>0.34387210000000001</v>
      </c>
      <c r="V5395">
        <v>4.549603E-2</v>
      </c>
      <c r="W5395">
        <v>0.16861219999999999</v>
      </c>
      <c r="X5395">
        <v>0.98463199999999995</v>
      </c>
      <c r="Y5395">
        <v>-0.12713099999999999</v>
      </c>
      <c r="Z5395">
        <v>3.552038E-3</v>
      </c>
      <c r="AA5395">
        <v>0.99187959999999997</v>
      </c>
      <c r="AB5395">
        <v>34</v>
      </c>
      <c r="AC5395">
        <v>24.697299999999899</v>
      </c>
      <c r="AD5395">
        <v>-1.1114492435329999</v>
      </c>
      <c r="AE5395">
        <v>2.7918199999999902</v>
      </c>
      <c r="AF5395">
        <v>-3.19635769574796</v>
      </c>
      <c r="AG5395">
        <v>-1.1114492435329999</v>
      </c>
      <c r="AH5395">
        <v>24.598189688550299</v>
      </c>
      <c r="AI5395">
        <v>92.565563561670004</v>
      </c>
      <c r="AJ5395">
        <v>97.403689373232197</v>
      </c>
      <c r="AK5395">
        <v>24.8298803439328</v>
      </c>
      <c r="AL5395">
        <v>80.292861443252804</v>
      </c>
      <c r="AM5395">
        <v>87.354465680641695</v>
      </c>
      <c r="AN5395">
        <v>1.0000000690792901</v>
      </c>
    </row>
    <row r="5396" spans="1:40" x14ac:dyDescent="0.25">
      <c r="A5396" t="str">
        <f>"20190312164136183"</f>
        <v>20190312164136183</v>
      </c>
      <c r="B5396" t="str">
        <f>"1552380096171939"</f>
        <v>1552380096171939</v>
      </c>
      <c r="C5396" t="s">
        <v>40</v>
      </c>
      <c r="D5396">
        <v>5.2759239999999998</v>
      </c>
      <c r="E5396">
        <v>0.43548369999999997</v>
      </c>
      <c r="F5396" t="s">
        <v>54</v>
      </c>
      <c r="G5396">
        <v>-361.26190000000003</v>
      </c>
      <c r="H5396" s="1">
        <v>-4.3715270000000001E-6</v>
      </c>
      <c r="I5396">
        <v>20.520340000000001</v>
      </c>
      <c r="J5396">
        <v>-384.46129999999999</v>
      </c>
      <c r="K5396">
        <v>1.111359</v>
      </c>
      <c r="L5396">
        <v>17.725560000000002</v>
      </c>
      <c r="M5396">
        <v>0.99976229999999999</v>
      </c>
      <c r="N5396">
        <v>0</v>
      </c>
      <c r="O5396">
        <v>-1.6221960000000001E-2</v>
      </c>
      <c r="P5396">
        <v>0.98612540000000004</v>
      </c>
      <c r="Q5396">
        <v>0.154157399999999</v>
      </c>
      <c r="R5396">
        <v>-6.1582539999999998E-2</v>
      </c>
      <c r="S5396">
        <v>3.0886230000000001</v>
      </c>
      <c r="T5396">
        <v>-0.14678440000000001</v>
      </c>
      <c r="U5396">
        <v>0.36874390000000001</v>
      </c>
      <c r="V5396">
        <v>4.5151579999999997E-2</v>
      </c>
      <c r="W5396">
        <v>0.16863520000000001</v>
      </c>
      <c r="X5396">
        <v>0.98464379999999996</v>
      </c>
      <c r="Y5396">
        <v>-0.134471799999999</v>
      </c>
      <c r="Z5396">
        <v>3.9502740000000001E-3</v>
      </c>
      <c r="AA5396">
        <v>0.9909095</v>
      </c>
      <c r="AB5396">
        <v>34</v>
      </c>
      <c r="AC5396">
        <v>23.199399999999901</v>
      </c>
      <c r="AD5396">
        <v>-1.1113633715269999</v>
      </c>
      <c r="AE5396">
        <v>2.7947799999999998</v>
      </c>
      <c r="AF5396">
        <v>-3.1636355587547098</v>
      </c>
      <c r="AG5396">
        <v>-1.1113633715269999</v>
      </c>
      <c r="AH5396">
        <v>23.098754622564002</v>
      </c>
      <c r="AI5396">
        <v>92.729140666373198</v>
      </c>
      <c r="AJ5396">
        <v>97.798782028883096</v>
      </c>
      <c r="AK5396">
        <v>23.3408693840998</v>
      </c>
      <c r="AL5396">
        <v>80.291523371537295</v>
      </c>
      <c r="AM5396">
        <v>87.374498281618898</v>
      </c>
      <c r="AN5396">
        <v>0.99999995436698697</v>
      </c>
    </row>
    <row r="5397" spans="1:40" x14ac:dyDescent="0.25">
      <c r="A5397" t="str">
        <f>"20190312164136195"</f>
        <v>20190312164136195</v>
      </c>
      <c r="B5397" t="str">
        <f>"1552380096191458"</f>
        <v>1552380096191458</v>
      </c>
      <c r="C5397" t="s">
        <v>40</v>
      </c>
      <c r="D5397">
        <v>5.2316919999999998</v>
      </c>
      <c r="E5397">
        <v>0.43464819999999998</v>
      </c>
      <c r="F5397" t="s">
        <v>54</v>
      </c>
      <c r="G5397">
        <v>-362.63220000000001</v>
      </c>
      <c r="H5397" s="1">
        <v>-3.6921199999999999E-6</v>
      </c>
      <c r="I5397">
        <v>20.40128</v>
      </c>
      <c r="J5397">
        <v>-384.26760000000002</v>
      </c>
      <c r="K5397">
        <v>1.1112679999999999</v>
      </c>
      <c r="L5397">
        <v>17.72287</v>
      </c>
      <c r="M5397">
        <v>0.99976869999999995</v>
      </c>
      <c r="N5397">
        <v>0</v>
      </c>
      <c r="O5397">
        <v>-1.5826679999999999E-2</v>
      </c>
      <c r="P5397">
        <v>0.98616060000000005</v>
      </c>
      <c r="Q5397">
        <v>0.15424689999999999</v>
      </c>
      <c r="R5397">
        <v>-6.0787689999999998E-2</v>
      </c>
      <c r="S5397">
        <v>3.0904539999999998</v>
      </c>
      <c r="T5397">
        <v>-0.1573408</v>
      </c>
      <c r="U5397">
        <v>0.3788147</v>
      </c>
      <c r="V5397">
        <v>4.4784339999999999E-2</v>
      </c>
      <c r="W5397">
        <v>0.16870379999999999</v>
      </c>
      <c r="X5397">
        <v>0.98464890000000005</v>
      </c>
      <c r="Y5397">
        <v>-0.13716539999999999</v>
      </c>
      <c r="Z5397">
        <v>4.2789309999999997E-3</v>
      </c>
      <c r="AA5397">
        <v>0.9905389</v>
      </c>
      <c r="AB5397">
        <v>34</v>
      </c>
      <c r="AC5397">
        <v>21.635400000000001</v>
      </c>
      <c r="AD5397">
        <v>-1.1112716921200001</v>
      </c>
      <c r="AE5397">
        <v>2.6784099999999902</v>
      </c>
      <c r="AF5397">
        <v>-3.01269914080213</v>
      </c>
      <c r="AG5397">
        <v>-1.1112716921200001</v>
      </c>
      <c r="AH5397">
        <v>21.534340037539199</v>
      </c>
      <c r="AI5397">
        <v>92.925664718856694</v>
      </c>
      <c r="AJ5397">
        <v>97.964108232485799</v>
      </c>
      <c r="AK5397">
        <v>21.772438580440699</v>
      </c>
      <c r="AL5397">
        <v>80.287536517607606</v>
      </c>
      <c r="AM5397">
        <v>87.395836729750599</v>
      </c>
      <c r="AN5397">
        <v>1.0000000327574401</v>
      </c>
    </row>
    <row r="5398" spans="1:40" x14ac:dyDescent="0.25">
      <c r="A5398" t="str">
        <f>"20190312164136215"</f>
        <v>20190312164136215</v>
      </c>
      <c r="B5398" t="str">
        <f>"1552380096211487"</f>
        <v>1552380096211487</v>
      </c>
      <c r="C5398" t="s">
        <v>40</v>
      </c>
      <c r="D5398">
        <v>5.2504330000000001</v>
      </c>
      <c r="E5398">
        <v>0.4339594</v>
      </c>
      <c r="F5398" t="s">
        <v>54</v>
      </c>
      <c r="G5398">
        <v>-363.94740000000002</v>
      </c>
      <c r="H5398" s="1">
        <v>-3.0378119999999999E-6</v>
      </c>
      <c r="I5398">
        <v>20.278729999999999</v>
      </c>
      <c r="J5398">
        <v>-383.98230000000001</v>
      </c>
      <c r="K5398">
        <v>1.1111500000000001</v>
      </c>
      <c r="L5398">
        <v>17.71893</v>
      </c>
      <c r="M5398">
        <v>0.99977669999999996</v>
      </c>
      <c r="N5398">
        <v>0</v>
      </c>
      <c r="O5398">
        <v>-1.5339179999999999E-2</v>
      </c>
      <c r="P5398">
        <v>0.98622659999999995</v>
      </c>
      <c r="Q5398">
        <v>0.15443289999999901</v>
      </c>
      <c r="R5398">
        <v>-5.9228169999999997E-2</v>
      </c>
      <c r="S5398">
        <v>3.0925289999999999</v>
      </c>
      <c r="T5398">
        <v>-0.1691241</v>
      </c>
      <c r="U5398">
        <v>0.38897710000000002</v>
      </c>
      <c r="V5398">
        <v>4.375768E-2</v>
      </c>
      <c r="W5398">
        <v>0.16885700000000001</v>
      </c>
      <c r="X5398">
        <v>0.98466880000000001</v>
      </c>
      <c r="Y5398">
        <v>-0.13977419999999999</v>
      </c>
      <c r="Z5398">
        <v>4.6394000000000001E-3</v>
      </c>
      <c r="AA5398">
        <v>0.99017259999999996</v>
      </c>
      <c r="AB5398">
        <v>34</v>
      </c>
      <c r="AC5398">
        <v>20.0349</v>
      </c>
      <c r="AD5398">
        <v>-1.111153037812</v>
      </c>
      <c r="AE5398">
        <v>2.5597999999999899</v>
      </c>
      <c r="AF5398">
        <v>-2.8581998260506101</v>
      </c>
      <c r="AG5398">
        <v>-1.111153037812</v>
      </c>
      <c r="AH5398">
        <v>19.9329458612095</v>
      </c>
      <c r="AI5398">
        <v>93.158387069184997</v>
      </c>
      <c r="AJ5398">
        <v>98.160061431979898</v>
      </c>
      <c r="AK5398">
        <v>20.167456409398401</v>
      </c>
      <c r="AL5398">
        <v>80.278631049515994</v>
      </c>
      <c r="AM5398">
        <v>87.455507924795597</v>
      </c>
      <c r="AN5398">
        <v>1.00000003335071</v>
      </c>
    </row>
    <row r="5399" spans="1:40" x14ac:dyDescent="0.25">
      <c r="A5399" t="str">
        <f>"20190312164136228"</f>
        <v>20190312164136228</v>
      </c>
      <c r="B5399" t="str">
        <f>"1552380096221248"</f>
        <v>1552380096221248</v>
      </c>
      <c r="C5399" t="s">
        <v>40</v>
      </c>
      <c r="D5399">
        <v>5.2589589999999999</v>
      </c>
      <c r="E5399">
        <v>0.43371359999999998</v>
      </c>
      <c r="F5399" t="s">
        <v>54</v>
      </c>
      <c r="G5399">
        <v>-365.392</v>
      </c>
      <c r="H5399" s="1">
        <v>-2.3140490000000001E-6</v>
      </c>
      <c r="I5399">
        <v>20.1251</v>
      </c>
      <c r="J5399">
        <v>-383.78590000000003</v>
      </c>
      <c r="K5399">
        <v>1.111067</v>
      </c>
      <c r="L5399">
        <v>17.716249999999999</v>
      </c>
      <c r="M5399">
        <v>0.99978109999999998</v>
      </c>
      <c r="N5399">
        <v>0</v>
      </c>
      <c r="O5399">
        <v>-1.5058790000000001E-2</v>
      </c>
      <c r="P5399">
        <v>0.98625580000000002</v>
      </c>
      <c r="Q5399">
        <v>0.1545271</v>
      </c>
      <c r="R5399">
        <v>-5.8491790000000002E-2</v>
      </c>
      <c r="S5399">
        <v>3.0948790000000002</v>
      </c>
      <c r="T5399">
        <v>-0.18498220000000001</v>
      </c>
      <c r="U5399">
        <v>0.40057369999999998</v>
      </c>
      <c r="V5399">
        <v>4.3331269999999998E-2</v>
      </c>
      <c r="W5399">
        <v>0.16892660000000001</v>
      </c>
      <c r="X5399">
        <v>0.98467570000000004</v>
      </c>
      <c r="Y5399">
        <v>-0.1430041</v>
      </c>
      <c r="Z5399">
        <v>5.1480370000000003E-3</v>
      </c>
      <c r="AA5399">
        <v>0.9897087</v>
      </c>
      <c r="AB5399">
        <v>34</v>
      </c>
      <c r="AC5399">
        <v>18.393899999999999</v>
      </c>
      <c r="AD5399">
        <v>-1.111069314049</v>
      </c>
      <c r="AE5399">
        <v>2.4088500000000002</v>
      </c>
      <c r="AF5399">
        <v>-2.6759967037720398</v>
      </c>
      <c r="AG5399">
        <v>-1.111069314049</v>
      </c>
      <c r="AH5399">
        <v>18.289926971373799</v>
      </c>
      <c r="AI5399">
        <v>93.439776943322997</v>
      </c>
      <c r="AJ5399">
        <v>98.323877696434195</v>
      </c>
      <c r="AK5399">
        <v>18.5180145263311</v>
      </c>
      <c r="AL5399">
        <v>80.274584958761096</v>
      </c>
      <c r="AM5399">
        <v>87.480289019675993</v>
      </c>
      <c r="AN5399">
        <v>1.0000000146589301</v>
      </c>
    </row>
    <row r="5400" spans="1:40" x14ac:dyDescent="0.25">
      <c r="A5400" t="str">
        <f>"20190312164136241"</f>
        <v>20190312164136241</v>
      </c>
      <c r="B5400" t="str">
        <f>"1552380096231983"</f>
        <v>1552380096231983</v>
      </c>
      <c r="C5400" t="s">
        <v>40</v>
      </c>
      <c r="D5400">
        <v>5.2992999999999997</v>
      </c>
      <c r="E5400">
        <v>0.43359360000000002</v>
      </c>
      <c r="F5400" t="s">
        <v>54</v>
      </c>
      <c r="G5400">
        <v>-365.57979999999998</v>
      </c>
      <c r="H5400" s="1">
        <v>-2.2184429999999999E-6</v>
      </c>
      <c r="I5400">
        <v>20.09938</v>
      </c>
      <c r="J5400">
        <v>-383.57729999999998</v>
      </c>
      <c r="K5400">
        <v>1.110989</v>
      </c>
      <c r="L5400">
        <v>17.713439999999999</v>
      </c>
      <c r="M5400">
        <v>0.99978529999999999</v>
      </c>
      <c r="N5400">
        <v>0</v>
      </c>
      <c r="O5400">
        <v>-1.4792E-2</v>
      </c>
      <c r="P5400">
        <v>0.98630779999999996</v>
      </c>
      <c r="Q5400">
        <v>0.1545137</v>
      </c>
      <c r="R5400">
        <v>-5.7640610000000002E-2</v>
      </c>
      <c r="S5400">
        <v>3.0954280000000001</v>
      </c>
      <c r="T5400">
        <v>-0.18890480000000001</v>
      </c>
      <c r="U5400">
        <v>0.40518189999999998</v>
      </c>
      <c r="V5400">
        <v>4.277715E-2</v>
      </c>
      <c r="W5400">
        <v>0.1688848</v>
      </c>
      <c r="X5400">
        <v>0.98470709999999995</v>
      </c>
      <c r="Y5400">
        <v>-0.144153</v>
      </c>
      <c r="Z5400">
        <v>5.2742529999999996E-3</v>
      </c>
      <c r="AA5400">
        <v>0.98954140000000002</v>
      </c>
      <c r="AB5400">
        <v>34</v>
      </c>
      <c r="AC5400">
        <v>17.997499999999999</v>
      </c>
      <c r="AD5400">
        <v>-1.110991218443</v>
      </c>
      <c r="AE5400">
        <v>2.3859400000000002</v>
      </c>
      <c r="AF5400">
        <v>-2.6420320322009299</v>
      </c>
      <c r="AG5400">
        <v>-1.110991218443</v>
      </c>
      <c r="AH5400">
        <v>17.8932271398984</v>
      </c>
      <c r="AI5400">
        <v>93.514923590115799</v>
      </c>
      <c r="AJ5400">
        <v>98.399342315136707</v>
      </c>
      <c r="AK5400">
        <v>18.121319273900198</v>
      </c>
      <c r="AL5400">
        <v>80.277014852425907</v>
      </c>
      <c r="AM5400">
        <v>87.5125495523627</v>
      </c>
      <c r="AN5400">
        <v>1.0000000165117799</v>
      </c>
    </row>
    <row r="5401" spans="1:40" x14ac:dyDescent="0.25">
      <c r="A5401" t="str">
        <f>"20190312164136260"</f>
        <v>20190312164136260</v>
      </c>
      <c r="B5401" t="str">
        <f>"1552380096251503"</f>
        <v>1552380096251503</v>
      </c>
      <c r="C5401" t="s">
        <v>40</v>
      </c>
      <c r="D5401">
        <v>5.2571510000000004</v>
      </c>
      <c r="E5401">
        <v>0.43327460000000001</v>
      </c>
      <c r="F5401" t="s">
        <v>54</v>
      </c>
      <c r="G5401">
        <v>-365.71929999999998</v>
      </c>
      <c r="H5401" s="1">
        <v>-2.145896E-6</v>
      </c>
      <c r="I5401">
        <v>20.0747</v>
      </c>
      <c r="J5401">
        <v>-383.29349999999999</v>
      </c>
      <c r="K5401">
        <v>1.1108899999999999</v>
      </c>
      <c r="L5401">
        <v>17.70966</v>
      </c>
      <c r="M5401">
        <v>0.99979030000000002</v>
      </c>
      <c r="N5401">
        <v>0</v>
      </c>
      <c r="O5401">
        <v>-1.4492390000000001E-2</v>
      </c>
      <c r="P5401">
        <v>0.98622829999999995</v>
      </c>
      <c r="Q5401">
        <v>0.15552189999999999</v>
      </c>
      <c r="R5401">
        <v>-5.6273080000000003E-2</v>
      </c>
      <c r="S5401">
        <v>3.0957340000000002</v>
      </c>
      <c r="T5401">
        <v>-0.1925935</v>
      </c>
      <c r="U5401">
        <v>0.40933229999999998</v>
      </c>
      <c r="V5401">
        <v>4.1746709999999999E-2</v>
      </c>
      <c r="W5401">
        <v>0.1698482</v>
      </c>
      <c r="X5401">
        <v>0.98458559999999995</v>
      </c>
      <c r="Y5401">
        <v>-0.14513529999999999</v>
      </c>
      <c r="Z5401">
        <v>5.3879019999999904E-3</v>
      </c>
      <c r="AA5401">
        <v>0.98939719999999998</v>
      </c>
      <c r="AB5401">
        <v>34</v>
      </c>
      <c r="AC5401">
        <v>17.574200000000001</v>
      </c>
      <c r="AD5401">
        <v>-1.1108921458959999</v>
      </c>
      <c r="AE5401">
        <v>2.36504</v>
      </c>
      <c r="AF5401">
        <v>-2.6092699941785602</v>
      </c>
      <c r="AG5401">
        <v>-1.1108921458959999</v>
      </c>
      <c r="AH5401">
        <v>17.469514059256401</v>
      </c>
      <c r="AI5401">
        <v>93.598744516455199</v>
      </c>
      <c r="AJ5401">
        <v>98.4949748413908</v>
      </c>
      <c r="AK5401">
        <v>17.698200268075102</v>
      </c>
      <c r="AL5401">
        <v>80.221006808318506</v>
      </c>
      <c r="AM5401">
        <v>87.5720968738149</v>
      </c>
      <c r="AN5401">
        <v>1.00000000128321</v>
      </c>
    </row>
    <row r="5402" spans="1:40" x14ac:dyDescent="0.25">
      <c r="A5402" t="str">
        <f>"20190312164136281"</f>
        <v>20190312164136281</v>
      </c>
      <c r="B5402" t="str">
        <f>"1552380096272002"</f>
        <v>1552380096272002</v>
      </c>
      <c r="C5402" t="s">
        <v>40</v>
      </c>
      <c r="D5402">
        <v>5.3339299999999996</v>
      </c>
      <c r="E5402">
        <v>0.4329576</v>
      </c>
      <c r="F5402" t="s">
        <v>54</v>
      </c>
      <c r="G5402">
        <v>-365.6105</v>
      </c>
      <c r="H5402" s="1">
        <v>-2.2001240000000001E-6</v>
      </c>
      <c r="I5402">
        <v>20.085139999999999</v>
      </c>
      <c r="J5402">
        <v>-382.96080000000001</v>
      </c>
      <c r="K5402">
        <v>1.1107830000000001</v>
      </c>
      <c r="L5402">
        <v>17.70523</v>
      </c>
      <c r="M5402">
        <v>0.99979490000000004</v>
      </c>
      <c r="N5402">
        <v>0</v>
      </c>
      <c r="O5402">
        <v>-1.420986E-2</v>
      </c>
      <c r="P5402">
        <v>0.98609690000000005</v>
      </c>
      <c r="Q5402">
        <v>0.1569306</v>
      </c>
      <c r="R5402">
        <v>-5.4643400000000002E-2</v>
      </c>
      <c r="S5402">
        <v>3.0963440000000002</v>
      </c>
      <c r="T5402">
        <v>-0.19452050000000001</v>
      </c>
      <c r="U5402">
        <v>0.41595460000000001</v>
      </c>
      <c r="V5402">
        <v>4.0436270000000003E-2</v>
      </c>
      <c r="W5402">
        <v>0.17120270000000001</v>
      </c>
      <c r="X5402">
        <v>0.98440570000000005</v>
      </c>
      <c r="Y5402">
        <v>-0.14690059999999999</v>
      </c>
      <c r="Z5402">
        <v>5.4773720000000003E-3</v>
      </c>
      <c r="AA5402">
        <v>0.98913609999999996</v>
      </c>
      <c r="AB5402">
        <v>34</v>
      </c>
      <c r="AC5402">
        <v>17.350300000000001</v>
      </c>
      <c r="AD5402">
        <v>-1.1107852001239999</v>
      </c>
      <c r="AE5402">
        <v>2.3799100000000002</v>
      </c>
      <c r="AF5402">
        <v>-2.61571761916617</v>
      </c>
      <c r="AG5402">
        <v>-1.1107852001239999</v>
      </c>
      <c r="AH5402">
        <v>17.2453479907762</v>
      </c>
      <c r="AI5402">
        <v>93.6438093470111</v>
      </c>
      <c r="AJ5402">
        <v>98.624696765763602</v>
      </c>
      <c r="AK5402">
        <v>17.477924640729</v>
      </c>
      <c r="AL5402">
        <v>80.142246260913296</v>
      </c>
      <c r="AM5402">
        <v>87.647793118323307</v>
      </c>
      <c r="AN5402">
        <v>1.00000001930564</v>
      </c>
    </row>
    <row r="5403" spans="1:40" x14ac:dyDescent="0.25">
      <c r="A5403" t="str">
        <f>"20190312164136293"</f>
        <v>20190312164136293</v>
      </c>
      <c r="B5403" t="str">
        <f>"1552380096281760"</f>
        <v>1552380096281760</v>
      </c>
      <c r="C5403" t="s">
        <v>40</v>
      </c>
      <c r="D5403">
        <v>5.3070240000000002</v>
      </c>
      <c r="E5403">
        <v>0.43284250000000002</v>
      </c>
      <c r="F5403" t="s">
        <v>54</v>
      </c>
      <c r="G5403">
        <v>-365.13099999999997</v>
      </c>
      <c r="H5403" s="1">
        <v>-2.4419069999999998E-6</v>
      </c>
      <c r="I5403">
        <v>20.141850000000002</v>
      </c>
      <c r="J5403">
        <v>-382.7824</v>
      </c>
      <c r="K5403">
        <v>1.1107389999999999</v>
      </c>
      <c r="L5403">
        <v>17.702850000000002</v>
      </c>
      <c r="M5403">
        <v>0.99979709999999999</v>
      </c>
      <c r="N5403">
        <v>0</v>
      </c>
      <c r="O5403">
        <v>-1.407987E-2</v>
      </c>
      <c r="P5403">
        <v>0.98609720000000001</v>
      </c>
      <c r="Q5403">
        <v>0.157144899999999</v>
      </c>
      <c r="R5403">
        <v>-5.4021729999999997E-2</v>
      </c>
      <c r="S5403">
        <v>3.0964360000000002</v>
      </c>
      <c r="T5403">
        <v>-0.1929052</v>
      </c>
      <c r="U5403">
        <v>0.4231567</v>
      </c>
      <c r="V5403">
        <v>3.9960669999999997E-2</v>
      </c>
      <c r="W5403">
        <v>0.17138879999999901</v>
      </c>
      <c r="X5403">
        <v>0.98439270000000001</v>
      </c>
      <c r="Y5403">
        <v>-0.14902850000000001</v>
      </c>
      <c r="Z5403">
        <v>5.4888330000000003E-3</v>
      </c>
      <c r="AA5403">
        <v>0.98881770000000002</v>
      </c>
      <c r="AB5403">
        <v>34</v>
      </c>
      <c r="AC5403">
        <v>17.651399999999999</v>
      </c>
      <c r="AD5403">
        <v>-1.1107414419070001</v>
      </c>
      <c r="AE5403">
        <v>2.4390000000000001</v>
      </c>
      <c r="AF5403">
        <v>-2.6769120777997299</v>
      </c>
      <c r="AG5403">
        <v>-1.1107414419070001</v>
      </c>
      <c r="AH5403">
        <v>17.547125087626402</v>
      </c>
      <c r="AI5403">
        <v>93.580699876370204</v>
      </c>
      <c r="AJ5403">
        <v>98.673914293541898</v>
      </c>
      <c r="AK5403">
        <v>17.784858831709901</v>
      </c>
      <c r="AL5403">
        <v>80.131423179966802</v>
      </c>
      <c r="AM5403">
        <v>87.675397917339694</v>
      </c>
      <c r="AN5403">
        <v>0.99999998186278904</v>
      </c>
    </row>
    <row r="5404" spans="1:40" x14ac:dyDescent="0.25">
      <c r="A5404" t="str">
        <f>"20190312164136305"</f>
        <v>20190312164136305</v>
      </c>
      <c r="B5404" t="str">
        <f>"1552380096301279"</f>
        <v>1552380096301279</v>
      </c>
      <c r="C5404" t="s">
        <v>40</v>
      </c>
      <c r="D5404">
        <v>5.2893739999999996</v>
      </c>
      <c r="E5404">
        <v>0.43277490000000002</v>
      </c>
      <c r="F5404" t="s">
        <v>54</v>
      </c>
      <c r="G5404">
        <v>-365.04700000000003</v>
      </c>
      <c r="H5404" s="1">
        <v>-2.4818999999999999E-6</v>
      </c>
      <c r="I5404">
        <v>20.143090000000001</v>
      </c>
      <c r="J5404">
        <v>-382.6189</v>
      </c>
      <c r="K5404">
        <v>1.1107049999999901</v>
      </c>
      <c r="L5404">
        <v>17.700710000000001</v>
      </c>
      <c r="M5404">
        <v>0.99979899999999999</v>
      </c>
      <c r="N5404">
        <v>0</v>
      </c>
      <c r="O5404">
        <v>-1.397025E-2</v>
      </c>
      <c r="P5404">
        <v>0.98613879999999998</v>
      </c>
      <c r="Q5404">
        <v>0.157162</v>
      </c>
      <c r="R5404">
        <v>-5.3202579999999999E-2</v>
      </c>
      <c r="S5404">
        <v>3.096527</v>
      </c>
      <c r="T5404">
        <v>-0.19393099999999999</v>
      </c>
      <c r="U5404">
        <v>0.42605589999999999</v>
      </c>
      <c r="V5404">
        <v>3.9263590000000001E-2</v>
      </c>
      <c r="W5404">
        <v>0.1713789</v>
      </c>
      <c r="X5404">
        <v>0.98442249999999998</v>
      </c>
      <c r="Y5404">
        <v>-0.14982019999999999</v>
      </c>
      <c r="Z5404">
        <v>5.5352800000000001E-3</v>
      </c>
      <c r="AA5404">
        <v>0.98869779999999996</v>
      </c>
      <c r="AB5404">
        <v>34</v>
      </c>
      <c r="AC5404">
        <v>17.571899999999999</v>
      </c>
      <c r="AD5404">
        <v>-1.11070748189999</v>
      </c>
      <c r="AE5404">
        <v>2.44238</v>
      </c>
      <c r="AF5404">
        <v>-2.6771571970233499</v>
      </c>
      <c r="AG5404">
        <v>-1.11070748189999</v>
      </c>
      <c r="AH5404">
        <v>17.467593084775299</v>
      </c>
      <c r="AI5404">
        <v>93.596471010708001</v>
      </c>
      <c r="AJ5404">
        <v>98.7135885224547</v>
      </c>
      <c r="AK5404">
        <v>17.706429621558701</v>
      </c>
      <c r="AL5404">
        <v>80.131999184121895</v>
      </c>
      <c r="AM5404">
        <v>87.715974369685796</v>
      </c>
      <c r="AN5404">
        <v>1.00000000768557</v>
      </c>
    </row>
    <row r="5405" spans="1:40" x14ac:dyDescent="0.25">
      <c r="A5405" t="str">
        <f>"20190312164136318"</f>
        <v>20190312164136318</v>
      </c>
      <c r="B5405" t="str">
        <f>"1552380096312016"</f>
        <v>1552380096312016</v>
      </c>
      <c r="C5405" t="s">
        <v>40</v>
      </c>
      <c r="D5405">
        <v>5.2929750000000002</v>
      </c>
      <c r="E5405">
        <v>0.43299110000000002</v>
      </c>
      <c r="F5405" t="s">
        <v>54</v>
      </c>
      <c r="G5405">
        <v>-365.00459999999998</v>
      </c>
      <c r="H5405" s="1">
        <v>-2.5021149999999999E-6</v>
      </c>
      <c r="I5405">
        <v>20.143640000000001</v>
      </c>
      <c r="J5405">
        <v>-382.41340000000002</v>
      </c>
      <c r="K5405">
        <v>1.110657</v>
      </c>
      <c r="L5405">
        <v>17.698</v>
      </c>
      <c r="M5405">
        <v>0.99980119999999895</v>
      </c>
      <c r="N5405">
        <v>0</v>
      </c>
      <c r="O5405">
        <v>-1.384063E-2</v>
      </c>
      <c r="P5405">
        <v>0.98625680000000004</v>
      </c>
      <c r="Q5405">
        <v>0.15669350000000001</v>
      </c>
      <c r="R5405">
        <v>-5.2391809999999997E-2</v>
      </c>
      <c r="S5405">
        <v>3.0964360000000002</v>
      </c>
      <c r="T5405">
        <v>-0.19525210000000001</v>
      </c>
      <c r="U5405">
        <v>0.42944339999999998</v>
      </c>
      <c r="V5405">
        <v>3.859568E-2</v>
      </c>
      <c r="W5405">
        <v>0.17087669999999999</v>
      </c>
      <c r="X5405">
        <v>0.98453619999999997</v>
      </c>
      <c r="Y5405">
        <v>-0.15075150000000001</v>
      </c>
      <c r="Z5405">
        <v>5.5937230000000001E-3</v>
      </c>
      <c r="AA5405">
        <v>0.98855579999999998</v>
      </c>
      <c r="AB5405">
        <v>34</v>
      </c>
      <c r="AC5405">
        <v>17.408799999999999</v>
      </c>
      <c r="AD5405">
        <v>-1.1106595021150001</v>
      </c>
      <c r="AE5405">
        <v>2.4456399999999898</v>
      </c>
      <c r="AF5405">
        <v>-2.67569920744066</v>
      </c>
      <c r="AG5405">
        <v>-1.1106595021150001</v>
      </c>
      <c r="AH5405">
        <v>17.304209610836701</v>
      </c>
      <c r="AI5405">
        <v>93.629439575668101</v>
      </c>
      <c r="AJ5405">
        <v>98.789865724308697</v>
      </c>
      <c r="AK5405">
        <v>17.545044913995198</v>
      </c>
      <c r="AL5405">
        <v>80.161203863273599</v>
      </c>
      <c r="AM5405">
        <v>87.755046678221106</v>
      </c>
      <c r="AN5405">
        <v>1.00000000111399</v>
      </c>
    </row>
    <row r="5406" spans="1:40" x14ac:dyDescent="0.25">
      <c r="A5406" t="str">
        <f>"20190312164136339"</f>
        <v>20190312164136339</v>
      </c>
      <c r="B5406" t="str">
        <f>"1552380096331535"</f>
        <v>1552380096331535</v>
      </c>
      <c r="C5406" t="s">
        <v>40</v>
      </c>
      <c r="D5406">
        <v>5.3424300000000002</v>
      </c>
      <c r="E5406">
        <v>0.43321920000000003</v>
      </c>
      <c r="F5406" t="s">
        <v>54</v>
      </c>
      <c r="G5406">
        <v>-364.74009999999998</v>
      </c>
      <c r="H5406" s="1">
        <v>-2.6299480000000001E-6</v>
      </c>
      <c r="I5406">
        <v>20.154319999999998</v>
      </c>
      <c r="J5406">
        <v>-382.10489999999999</v>
      </c>
      <c r="K5406">
        <v>1.1106009999999999</v>
      </c>
      <c r="L5406">
        <v>17.693999999999999</v>
      </c>
      <c r="M5406">
        <v>0.99980449999999998</v>
      </c>
      <c r="N5406">
        <v>0</v>
      </c>
      <c r="O5406">
        <v>-1.366384E-2</v>
      </c>
      <c r="P5406">
        <v>0.98655959999999998</v>
      </c>
      <c r="Q5406">
        <v>0.1553128</v>
      </c>
      <c r="R5406">
        <v>-5.0777379999999997E-2</v>
      </c>
      <c r="S5406">
        <v>3.0955509999999999</v>
      </c>
      <c r="T5406">
        <v>-0.1945376</v>
      </c>
      <c r="U5406">
        <v>0.43023679999999997</v>
      </c>
      <c r="V5406">
        <v>3.7171280000000001E-2</v>
      </c>
      <c r="W5406">
        <v>0.16943839999999999</v>
      </c>
      <c r="X5406">
        <v>0.98483960000000004</v>
      </c>
      <c r="Y5406">
        <v>-0.150866</v>
      </c>
      <c r="Z5406">
        <v>5.5673010000000002E-3</v>
      </c>
      <c r="AA5406">
        <v>0.98853860000000005</v>
      </c>
      <c r="AB5406">
        <v>34</v>
      </c>
      <c r="AC5406">
        <v>17.364799999999999</v>
      </c>
      <c r="AD5406">
        <v>-1.110603629948</v>
      </c>
      <c r="AE5406">
        <v>2.4603199999999901</v>
      </c>
      <c r="AF5406">
        <v>-2.6866109871969299</v>
      </c>
      <c r="AG5406">
        <v>-1.110603629948</v>
      </c>
      <c r="AH5406">
        <v>17.260343378066</v>
      </c>
      <c r="AI5406">
        <v>93.6378927886025</v>
      </c>
      <c r="AJ5406">
        <v>98.847222815498995</v>
      </c>
      <c r="AK5406">
        <v>17.503450304100902</v>
      </c>
      <c r="AL5406">
        <v>80.244832496528502</v>
      </c>
      <c r="AM5406">
        <v>87.838483549426101</v>
      </c>
      <c r="AN5406">
        <v>1.00000005658977</v>
      </c>
    </row>
    <row r="5407" spans="1:40" x14ac:dyDescent="0.25">
      <c r="A5407" t="str">
        <f>"20190312164136352"</f>
        <v>20190312164136352</v>
      </c>
      <c r="B5407" t="str">
        <f>"1552380096341296"</f>
        <v>1552380096341296</v>
      </c>
      <c r="C5407" t="s">
        <v>40</v>
      </c>
      <c r="D5407">
        <v>5.3163260000000001</v>
      </c>
      <c r="E5407">
        <v>0.4332626</v>
      </c>
      <c r="F5407" t="s">
        <v>54</v>
      </c>
      <c r="G5407">
        <v>-364.77080000000001</v>
      </c>
      <c r="H5407" s="1">
        <v>-2.6070670000000001E-6</v>
      </c>
      <c r="I5407">
        <v>20.122730000000001</v>
      </c>
      <c r="J5407">
        <v>-381.8929</v>
      </c>
      <c r="K5407">
        <v>1.110573</v>
      </c>
      <c r="L5407">
        <v>17.69125</v>
      </c>
      <c r="M5407">
        <v>0.99980659999999999</v>
      </c>
      <c r="N5407">
        <v>0</v>
      </c>
      <c r="O5407">
        <v>-1.354758E-2</v>
      </c>
      <c r="P5407">
        <v>0.98672190000000004</v>
      </c>
      <c r="Q5407">
        <v>0.15459579999999901</v>
      </c>
      <c r="R5407">
        <v>-4.9801900000000003E-2</v>
      </c>
      <c r="S5407">
        <v>3.0943909999999999</v>
      </c>
      <c r="T5407">
        <v>-0.19825889999999999</v>
      </c>
      <c r="U5407">
        <v>0.43356319999999998</v>
      </c>
      <c r="V5407">
        <v>3.6318219999999998E-2</v>
      </c>
      <c r="W5407">
        <v>0.16867750000000001</v>
      </c>
      <c r="X5407">
        <v>0.98500200000000004</v>
      </c>
      <c r="Y5407">
        <v>-0.15182970000000001</v>
      </c>
      <c r="Z5407">
        <v>5.6985500000000001E-3</v>
      </c>
      <c r="AA5407">
        <v>0.98839030000000005</v>
      </c>
      <c r="AB5407">
        <v>34</v>
      </c>
      <c r="AC5407">
        <v>17.1220999999999</v>
      </c>
      <c r="AD5407">
        <v>-1.1105756070669901</v>
      </c>
      <c r="AE5407">
        <v>2.4314799999999899</v>
      </c>
      <c r="AF5407">
        <v>-2.65230548455675</v>
      </c>
      <c r="AG5407">
        <v>-1.1105756070669901</v>
      </c>
      <c r="AH5407">
        <v>17.017405744684002</v>
      </c>
      <c r="AI5407">
        <v>93.689476093223703</v>
      </c>
      <c r="AJ5407">
        <v>98.858755057173397</v>
      </c>
      <c r="AK5407">
        <v>17.258626852725801</v>
      </c>
      <c r="AL5407">
        <v>80.289065239853798</v>
      </c>
      <c r="AM5407">
        <v>87.888391579436899</v>
      </c>
      <c r="AN5407">
        <v>1.0000000260571</v>
      </c>
    </row>
    <row r="5408" spans="1:40" x14ac:dyDescent="0.25">
      <c r="A5408" t="str">
        <f>"20190312164136372"</f>
        <v>20190312164136372</v>
      </c>
      <c r="B5408" t="str">
        <f>"1552380096361791"</f>
        <v>1552380096361791</v>
      </c>
      <c r="C5408" t="s">
        <v>40</v>
      </c>
      <c r="D5408">
        <v>5.3498229999999998</v>
      </c>
      <c r="E5408">
        <v>0.43330570000000002</v>
      </c>
      <c r="F5408" t="s">
        <v>54</v>
      </c>
      <c r="G5408">
        <v>-364.85210000000001</v>
      </c>
      <c r="H5408" s="1">
        <v>-2.5609490000000002E-6</v>
      </c>
      <c r="I5408">
        <v>20.093810000000001</v>
      </c>
      <c r="J5408">
        <v>-381.59910000000002</v>
      </c>
      <c r="K5408">
        <v>1.1105320000000001</v>
      </c>
      <c r="L5408">
        <v>17.6875</v>
      </c>
      <c r="M5408">
        <v>0.99980970000000002</v>
      </c>
      <c r="N5408">
        <v>0</v>
      </c>
      <c r="O5408">
        <v>-1.338845E-2</v>
      </c>
      <c r="P5408">
        <v>0.98686379999999996</v>
      </c>
      <c r="Q5408">
        <v>0.15419759999999999</v>
      </c>
      <c r="R5408">
        <v>-4.8200840000000002E-2</v>
      </c>
      <c r="S5408">
        <v>3.0940249999999998</v>
      </c>
      <c r="T5408">
        <v>-0.2016413</v>
      </c>
      <c r="U5408">
        <v>0.4362183</v>
      </c>
      <c r="V5408">
        <v>3.4883450000000003E-2</v>
      </c>
      <c r="W5408">
        <v>0.16821639999999999</v>
      </c>
      <c r="X5408">
        <v>0.98513269999999997</v>
      </c>
      <c r="Y5408">
        <v>-0.15250759999999999</v>
      </c>
      <c r="Z5408">
        <v>5.8075490000000004E-3</v>
      </c>
      <c r="AA5408">
        <v>0.98828519999999997</v>
      </c>
      <c r="AB5408">
        <v>34</v>
      </c>
      <c r="AC5408">
        <v>16.747</v>
      </c>
      <c r="AD5408">
        <v>-1.110534560949</v>
      </c>
      <c r="AE5408">
        <v>2.4063099999999999</v>
      </c>
      <c r="AF5408">
        <v>-2.6190493363061802</v>
      </c>
      <c r="AG5408">
        <v>-1.110534560949</v>
      </c>
      <c r="AH5408">
        <v>16.641580235559498</v>
      </c>
      <c r="AI5408">
        <v>93.771545697797706</v>
      </c>
      <c r="AJ5408">
        <v>98.943840860987393</v>
      </c>
      <c r="AK5408">
        <v>16.8829766088102</v>
      </c>
      <c r="AL5408">
        <v>80.315867289936307</v>
      </c>
      <c r="AM5408">
        <v>87.972009522746106</v>
      </c>
      <c r="AN5408">
        <v>1.0000000244610701</v>
      </c>
    </row>
    <row r="5409" spans="1:40" x14ac:dyDescent="0.25">
      <c r="A5409" t="str">
        <f>"20190312164136385"</f>
        <v>20190312164136385</v>
      </c>
      <c r="B5409" t="str">
        <f>"1552380096381311"</f>
        <v>1552380096381311</v>
      </c>
      <c r="C5409" t="s">
        <v>40</v>
      </c>
      <c r="D5409">
        <v>5.2759600000000004</v>
      </c>
      <c r="E5409">
        <v>0.43346319999999999</v>
      </c>
      <c r="F5409" t="s">
        <v>54</v>
      </c>
      <c r="G5409">
        <v>-364.81209999999999</v>
      </c>
      <c r="H5409" s="1">
        <v>-2.5761300000000002E-6</v>
      </c>
      <c r="I5409">
        <v>20.07986</v>
      </c>
      <c r="J5409">
        <v>-381.40879999999999</v>
      </c>
      <c r="K5409">
        <v>1.1105130000000001</v>
      </c>
      <c r="L5409">
        <v>17.68506</v>
      </c>
      <c r="M5409">
        <v>0.99981160000000002</v>
      </c>
      <c r="N5409">
        <v>0</v>
      </c>
      <c r="O5409">
        <v>-1.328707E-2</v>
      </c>
      <c r="P5409">
        <v>0.98691960000000001</v>
      </c>
      <c r="Q5409">
        <v>0.15410360000000001</v>
      </c>
      <c r="R5409">
        <v>-4.7345020000000002E-2</v>
      </c>
      <c r="S5409">
        <v>3.093445</v>
      </c>
      <c r="T5409">
        <v>-0.20464550000000001</v>
      </c>
      <c r="U5409">
        <v>0.4408569</v>
      </c>
      <c r="V5409">
        <v>3.4133200000000002E-2</v>
      </c>
      <c r="W5409">
        <v>0.1680787</v>
      </c>
      <c r="X5409">
        <v>0.98518249999999996</v>
      </c>
      <c r="Y5409">
        <v>-0.1538725</v>
      </c>
      <c r="Z5409">
        <v>5.9325699999999999E-3</v>
      </c>
      <c r="AA5409">
        <v>0.98807290000000003</v>
      </c>
      <c r="AB5409">
        <v>34</v>
      </c>
      <c r="AC5409">
        <v>16.596699999999998</v>
      </c>
      <c r="AD5409">
        <v>-1.1105155761299901</v>
      </c>
      <c r="AE5409">
        <v>2.3948</v>
      </c>
      <c r="AF5409">
        <v>-2.6037125852615999</v>
      </c>
      <c r="AG5409">
        <v>-1.1105155761299901</v>
      </c>
      <c r="AH5409">
        <v>16.4910836884101</v>
      </c>
      <c r="AI5409">
        <v>93.805503551815605</v>
      </c>
      <c r="AJ5409">
        <v>98.972142769278705</v>
      </c>
      <c r="AK5409">
        <v>16.732256431504499</v>
      </c>
      <c r="AL5409">
        <v>80.323871041584894</v>
      </c>
      <c r="AM5409">
        <v>88.015691165890502</v>
      </c>
      <c r="AN5409">
        <v>1.0000000415210799</v>
      </c>
    </row>
    <row r="5410" spans="1:40" x14ac:dyDescent="0.25">
      <c r="A5410" t="str">
        <f>"20190312164136396"</f>
        <v>20190312164136396</v>
      </c>
      <c r="B5410" t="str">
        <f>"1552380096392048"</f>
        <v>1552380096392048</v>
      </c>
      <c r="C5410" t="s">
        <v>40</v>
      </c>
      <c r="D5410">
        <v>5.454987</v>
      </c>
      <c r="E5410">
        <v>0.43374489999999999</v>
      </c>
      <c r="F5410" t="s">
        <v>54</v>
      </c>
      <c r="G5410">
        <v>-364.8383</v>
      </c>
      <c r="H5410" s="1">
        <v>-2.5568569999999999E-6</v>
      </c>
      <c r="I5410">
        <v>20.053989999999999</v>
      </c>
      <c r="J5410">
        <v>-381.20850000000002</v>
      </c>
      <c r="K5410">
        <v>1.110492</v>
      </c>
      <c r="L5410">
        <v>17.682559999999999</v>
      </c>
      <c r="M5410">
        <v>0.99981370000000003</v>
      </c>
      <c r="N5410">
        <v>0</v>
      </c>
      <c r="O5410">
        <v>-1.3181470000000001E-2</v>
      </c>
      <c r="P5410">
        <v>0.98691930000000005</v>
      </c>
      <c r="Q5410">
        <v>0.15432650000000001</v>
      </c>
      <c r="R5410">
        <v>-4.6626550000000003E-2</v>
      </c>
      <c r="S5410">
        <v>3.093353</v>
      </c>
      <c r="T5410">
        <v>-0.20730999999999999</v>
      </c>
      <c r="U5410">
        <v>0.44223020000000002</v>
      </c>
      <c r="V5410">
        <v>3.3524480000000002E-2</v>
      </c>
      <c r="W5410">
        <v>0.1682516</v>
      </c>
      <c r="X5410">
        <v>0.98517379999999999</v>
      </c>
      <c r="Y5410">
        <v>-0.1541922</v>
      </c>
      <c r="Z5410">
        <v>6.0132419999999898E-3</v>
      </c>
      <c r="AA5410">
        <v>0.98802259999999997</v>
      </c>
      <c r="AB5410">
        <v>34</v>
      </c>
      <c r="AC5410">
        <v>16.370200000000001</v>
      </c>
      <c r="AD5410">
        <v>-1.1104945568569999</v>
      </c>
      <c r="AE5410">
        <v>2.3714299999999899</v>
      </c>
      <c r="AF5410">
        <v>-2.5754207845463402</v>
      </c>
      <c r="AG5410">
        <v>-1.1104945568569999</v>
      </c>
      <c r="AH5410">
        <v>16.2642096290814</v>
      </c>
      <c r="AI5410">
        <v>93.858080876310396</v>
      </c>
      <c r="AJ5410">
        <v>98.998017223549994</v>
      </c>
      <c r="AK5410">
        <v>16.504257185253302</v>
      </c>
      <c r="AL5410">
        <v>80.313820627762695</v>
      </c>
      <c r="AM5410">
        <v>88.051033925896704</v>
      </c>
      <c r="AN5410">
        <v>0.99999995393413399</v>
      </c>
    </row>
    <row r="5411" spans="1:40" x14ac:dyDescent="0.25">
      <c r="A5411" t="str">
        <f>"20190312164136415"</f>
        <v>20190312164136415</v>
      </c>
      <c r="B5411" t="str">
        <f>"1552380096411567"</f>
        <v>1552380096411567</v>
      </c>
      <c r="C5411" t="s">
        <v>40</v>
      </c>
      <c r="D5411">
        <v>5.3117769999999904</v>
      </c>
      <c r="E5411">
        <v>0.43363200000000002</v>
      </c>
      <c r="F5411" t="s">
        <v>54</v>
      </c>
      <c r="G5411">
        <v>-364.61259999999999</v>
      </c>
      <c r="H5411" s="1">
        <v>-2.6631189999999999E-6</v>
      </c>
      <c r="I5411">
        <v>20.052309999999999</v>
      </c>
      <c r="J5411">
        <v>-380.94909999999999</v>
      </c>
      <c r="K5411">
        <v>1.1104689999999999</v>
      </c>
      <c r="L5411">
        <v>17.679320000000001</v>
      </c>
      <c r="M5411">
        <v>0.99981640000000005</v>
      </c>
      <c r="N5411">
        <v>0</v>
      </c>
      <c r="O5411">
        <v>-1.3054720000000001E-2</v>
      </c>
      <c r="P5411">
        <v>0.98703099999999999</v>
      </c>
      <c r="Q5411">
        <v>0.15405539999999901</v>
      </c>
      <c r="R5411">
        <v>-4.5133090000000001E-2</v>
      </c>
      <c r="S5411">
        <v>3.0929869999999999</v>
      </c>
      <c r="T5411">
        <v>-0.2069628</v>
      </c>
      <c r="U5411">
        <v>0.4416504</v>
      </c>
      <c r="V5411">
        <v>3.2162610000000001E-2</v>
      </c>
      <c r="W5411">
        <v>0.16791130000000001</v>
      </c>
      <c r="X5411">
        <v>0.98527730000000002</v>
      </c>
      <c r="Y5411">
        <v>-0.15390390000000001</v>
      </c>
      <c r="Z5411">
        <v>5.9859539999999999E-3</v>
      </c>
      <c r="AA5411">
        <v>0.98806769999999999</v>
      </c>
      <c r="AB5411">
        <v>34</v>
      </c>
      <c r="AC5411">
        <v>16.336500000000001</v>
      </c>
      <c r="AD5411">
        <v>-1.1104716631189999</v>
      </c>
      <c r="AE5411">
        <v>2.3729900000000002</v>
      </c>
      <c r="AF5411">
        <v>-2.5744275982453999</v>
      </c>
      <c r="AG5411">
        <v>-1.1104716631189999</v>
      </c>
      <c r="AH5411">
        <v>16.230680258007801</v>
      </c>
      <c r="AI5411">
        <v>93.8657888526307</v>
      </c>
      <c r="AJ5411">
        <v>99.012880333912094</v>
      </c>
      <c r="AK5411">
        <v>16.4710596626593</v>
      </c>
      <c r="AL5411">
        <v>80.333600208608203</v>
      </c>
      <c r="AM5411">
        <v>88.130345958295095</v>
      </c>
      <c r="AN5411">
        <v>0.99999999802249595</v>
      </c>
    </row>
    <row r="5412" spans="1:40" x14ac:dyDescent="0.25">
      <c r="A5412" t="str">
        <f>"20190312164136438"</f>
        <v>20190312164136438</v>
      </c>
      <c r="B5412" t="str">
        <f>"1552380096432064"</f>
        <v>1552380096432064</v>
      </c>
      <c r="C5412" t="s">
        <v>40</v>
      </c>
      <c r="D5412">
        <v>5.3811179999999998</v>
      </c>
      <c r="E5412">
        <v>0.41665679999999999</v>
      </c>
      <c r="F5412" t="s">
        <v>54</v>
      </c>
      <c r="G5412">
        <v>-364.3569</v>
      </c>
      <c r="H5412" s="1">
        <v>-2.7904840000000002E-6</v>
      </c>
      <c r="I5412">
        <v>20.07685</v>
      </c>
      <c r="J5412">
        <v>-380.59660000000002</v>
      </c>
      <c r="K5412">
        <v>1.1104229999999999</v>
      </c>
      <c r="L5412">
        <v>17.67493</v>
      </c>
      <c r="M5412">
        <v>0.99981960000000003</v>
      </c>
      <c r="N5412">
        <v>0</v>
      </c>
      <c r="O5412">
        <v>-1.2916769999999999E-2</v>
      </c>
      <c r="P5412">
        <v>0.98714979999999997</v>
      </c>
      <c r="Q5412">
        <v>0.15365109999999901</v>
      </c>
      <c r="R5412">
        <v>-4.3896089999999999E-2</v>
      </c>
      <c r="S5412">
        <v>3.092133</v>
      </c>
      <c r="T5412">
        <v>-0.2069491</v>
      </c>
      <c r="U5412">
        <v>0.44680789999999998</v>
      </c>
      <c r="V5412">
        <v>3.107422E-2</v>
      </c>
      <c r="W5412">
        <v>0.1674022</v>
      </c>
      <c r="X5412">
        <v>0.98539880000000002</v>
      </c>
      <c r="Y5412">
        <v>-0.15541720000000001</v>
      </c>
      <c r="Z5412">
        <v>6.0276359999999899E-3</v>
      </c>
      <c r="AA5412">
        <v>0.98783049999999994</v>
      </c>
      <c r="AB5412">
        <v>34</v>
      </c>
      <c r="AC5412">
        <v>16.239699999999999</v>
      </c>
      <c r="AD5412">
        <v>-1.110425790484</v>
      </c>
      <c r="AE5412">
        <v>2.4019200000000001</v>
      </c>
      <c r="AF5412">
        <v>-2.59961024708667</v>
      </c>
      <c r="AG5412">
        <v>-1.110425790484</v>
      </c>
      <c r="AH5412">
        <v>16.133500354090401</v>
      </c>
      <c r="AI5412">
        <v>93.8873225029634</v>
      </c>
      <c r="AJ5412">
        <v>99.153460846681497</v>
      </c>
      <c r="AK5412">
        <v>16.379281197548401</v>
      </c>
      <c r="AL5412">
        <v>80.363187823748902</v>
      </c>
      <c r="AM5412">
        <v>88.193795407177205</v>
      </c>
      <c r="AN5412">
        <v>0.99999994937744197</v>
      </c>
    </row>
    <row r="5413" spans="1:40" x14ac:dyDescent="0.25">
      <c r="A5413" t="str">
        <f>"20190312164136450"</f>
        <v>20190312164136450</v>
      </c>
      <c r="B5413" t="str">
        <f>"1552380096441823"</f>
        <v>1552380096441823</v>
      </c>
      <c r="C5413" t="s">
        <v>40</v>
      </c>
      <c r="D5413">
        <v>5.2903159999999998</v>
      </c>
      <c r="E5413">
        <v>0.41649510000000001</v>
      </c>
      <c r="F5413" t="s">
        <v>54</v>
      </c>
      <c r="G5413">
        <v>-366.54559999999998</v>
      </c>
      <c r="H5413" s="1">
        <v>-1.8278629999999999E-6</v>
      </c>
      <c r="I5413">
        <v>20.347300000000001</v>
      </c>
      <c r="J5413">
        <v>-380.40789999999998</v>
      </c>
      <c r="K5413">
        <v>1.110393</v>
      </c>
      <c r="L5413">
        <v>17.672609999999999</v>
      </c>
      <c r="M5413">
        <v>0.99982110000000002</v>
      </c>
      <c r="N5413">
        <v>0</v>
      </c>
      <c r="O5413">
        <v>-1.2870950000000001E-2</v>
      </c>
      <c r="P5413">
        <v>0.98717520000000003</v>
      </c>
      <c r="Q5413">
        <v>0.1536921</v>
      </c>
      <c r="R5413">
        <v>-4.3174810000000001E-2</v>
      </c>
      <c r="S5413">
        <v>3.103424</v>
      </c>
      <c r="T5413">
        <v>-0.24525710000000001</v>
      </c>
      <c r="U5413">
        <v>0.59024049999999995</v>
      </c>
      <c r="V5413">
        <v>3.0407670000000001E-2</v>
      </c>
      <c r="W5413">
        <v>0.16737589999999999</v>
      </c>
      <c r="X5413">
        <v>0.98542410000000003</v>
      </c>
      <c r="Y5413">
        <v>-0.19883339999999999</v>
      </c>
      <c r="Z5413">
        <v>8.7820810000000006E-3</v>
      </c>
      <c r="AA5413">
        <v>0.97999389999999997</v>
      </c>
      <c r="AB5413">
        <v>34</v>
      </c>
      <c r="AC5413">
        <v>13.862299999999999</v>
      </c>
      <c r="AD5413">
        <v>-1.110394827863</v>
      </c>
      <c r="AE5413">
        <v>2.67469</v>
      </c>
      <c r="AF5413">
        <v>-2.8353669370798902</v>
      </c>
      <c r="AG5413">
        <v>-1.110394827863</v>
      </c>
      <c r="AH5413">
        <v>13.741716165288601</v>
      </c>
      <c r="AI5413">
        <v>94.524823325647006</v>
      </c>
      <c r="AJ5413">
        <v>101.658391682584</v>
      </c>
      <c r="AK5413">
        <v>14.0750504620404</v>
      </c>
      <c r="AL5413">
        <v>80.364716639352594</v>
      </c>
      <c r="AM5413">
        <v>88.232559465650098</v>
      </c>
      <c r="AN5413">
        <v>0.99999998757822395</v>
      </c>
    </row>
    <row r="5414" spans="1:40" x14ac:dyDescent="0.25">
      <c r="A5414" t="str">
        <f>"20190312164136461"</f>
        <v>20190312164136461</v>
      </c>
      <c r="B5414" t="str">
        <f>"1552380096451584"</f>
        <v>1552380096451584</v>
      </c>
      <c r="C5414" t="s">
        <v>40</v>
      </c>
      <c r="D5414">
        <v>5.2816239999999999</v>
      </c>
      <c r="E5414">
        <v>0.41681360000000001</v>
      </c>
      <c r="F5414" t="s">
        <v>54</v>
      </c>
      <c r="G5414">
        <v>-365.89319999999998</v>
      </c>
      <c r="H5414" s="1">
        <v>-2.1623110000000001E-6</v>
      </c>
      <c r="I5414">
        <v>20.44528</v>
      </c>
      <c r="J5414">
        <v>-380.24340000000001</v>
      </c>
      <c r="K5414">
        <v>1.110363</v>
      </c>
      <c r="L5414">
        <v>17.670529999999999</v>
      </c>
      <c r="M5414">
        <v>0.9998224</v>
      </c>
      <c r="N5414">
        <v>0</v>
      </c>
      <c r="O5414">
        <v>-1.283609E-2</v>
      </c>
      <c r="P5414">
        <v>0.98716179999999998</v>
      </c>
      <c r="Q5414">
        <v>0.15403810000000001</v>
      </c>
      <c r="R5414">
        <v>-4.2238129999999999E-2</v>
      </c>
      <c r="S5414">
        <v>3.1018370000000002</v>
      </c>
      <c r="T5414">
        <v>-0.23729500000000001</v>
      </c>
      <c r="U5414">
        <v>0.59252930000000004</v>
      </c>
      <c r="V5414">
        <v>2.9514249999999999E-2</v>
      </c>
      <c r="W5414">
        <v>0.1676617</v>
      </c>
      <c r="X5414">
        <v>0.98540269999999996</v>
      </c>
      <c r="Y5414">
        <v>-0.1996271</v>
      </c>
      <c r="Z5414">
        <v>8.5288810000000003E-3</v>
      </c>
      <c r="AA5414">
        <v>0.97983489999999995</v>
      </c>
      <c r="AB5414">
        <v>34</v>
      </c>
      <c r="AC5414">
        <v>14.350199999999999</v>
      </c>
      <c r="AD5414">
        <v>-1.110365162311</v>
      </c>
      <c r="AE5414">
        <v>2.77475</v>
      </c>
      <c r="AF5414">
        <v>-2.9417615301359001</v>
      </c>
      <c r="AG5414">
        <v>-1.110365162311</v>
      </c>
      <c r="AH5414">
        <v>14.231264123980401</v>
      </c>
      <c r="AI5414">
        <v>94.369342844253694</v>
      </c>
      <c r="AJ5414">
        <v>101.679184268599</v>
      </c>
      <c r="AK5414">
        <v>14.5744897084033</v>
      </c>
      <c r="AL5414">
        <v>80.348106997146303</v>
      </c>
      <c r="AM5414">
        <v>88.284420612779101</v>
      </c>
      <c r="AN5414">
        <v>1.0000000088836201</v>
      </c>
    </row>
    <row r="5415" spans="1:40" x14ac:dyDescent="0.25">
      <c r="A5415" t="str">
        <f>"20190312164136472"</f>
        <v>20190312164136472</v>
      </c>
      <c r="B5415" t="str">
        <f>"1552380096461343"</f>
        <v>1552380096461343</v>
      </c>
      <c r="C5415" t="s">
        <v>40</v>
      </c>
      <c r="D5415">
        <v>5.2850929999999998</v>
      </c>
      <c r="E5415">
        <v>0.41739169999999998</v>
      </c>
      <c r="F5415" t="s">
        <v>54</v>
      </c>
      <c r="G5415">
        <v>-365.37389999999999</v>
      </c>
      <c r="H5415" s="1">
        <v>-2.4243569999999999E-6</v>
      </c>
      <c r="I5415">
        <v>20.50759</v>
      </c>
      <c r="J5415">
        <v>-380.07569999999998</v>
      </c>
      <c r="K5415">
        <v>1.110333</v>
      </c>
      <c r="L5415">
        <v>17.668429999999901</v>
      </c>
      <c r="M5415">
        <v>0.99982360000000003</v>
      </c>
      <c r="N5415">
        <v>0</v>
      </c>
      <c r="O5415">
        <v>-1.281125E-2</v>
      </c>
      <c r="P5415">
        <v>0.98714360000000001</v>
      </c>
      <c r="Q5415">
        <v>0.1544459</v>
      </c>
      <c r="R5415">
        <v>-4.1162579999999997E-2</v>
      </c>
      <c r="S5415">
        <v>3.1004330000000002</v>
      </c>
      <c r="T5415">
        <v>-0.23152159999999999</v>
      </c>
      <c r="U5415">
        <v>0.59155269999999904</v>
      </c>
      <c r="V5415">
        <v>2.847249E-2</v>
      </c>
      <c r="W5415">
        <v>0.1680053</v>
      </c>
      <c r="X5415">
        <v>0.9853748</v>
      </c>
      <c r="Y5415">
        <v>-0.1994155</v>
      </c>
      <c r="Z5415">
        <v>8.3162189999999997E-3</v>
      </c>
      <c r="AA5415">
        <v>0.97987970000000002</v>
      </c>
      <c r="AB5415">
        <v>34</v>
      </c>
      <c r="AC5415">
        <v>14.701799999999899</v>
      </c>
      <c r="AD5415">
        <v>-1.1103354243570001</v>
      </c>
      <c r="AE5415">
        <v>2.8391600000000001</v>
      </c>
      <c r="AF5415">
        <v>-3.0107378031618102</v>
      </c>
      <c r="AG5415">
        <v>-1.1103354243570001</v>
      </c>
      <c r="AH5415">
        <v>14.5840224360461</v>
      </c>
      <c r="AI5415">
        <v>94.2641655612573</v>
      </c>
      <c r="AJ5415">
        <v>101.664328212025</v>
      </c>
      <c r="AK5415">
        <v>14.9328864352832</v>
      </c>
      <c r="AL5415">
        <v>80.328136616549202</v>
      </c>
      <c r="AM5415">
        <v>88.344894027423607</v>
      </c>
      <c r="AN5415">
        <v>0.99999997999496404</v>
      </c>
    </row>
    <row r="5416" spans="1:40" x14ac:dyDescent="0.25">
      <c r="A5416" t="str">
        <f>"20190312164136484"</f>
        <v>20190312164136484</v>
      </c>
      <c r="B5416" t="str">
        <f>"1552380096481839"</f>
        <v>1552380096481839</v>
      </c>
      <c r="C5416" t="s">
        <v>40</v>
      </c>
      <c r="D5416">
        <v>5.2803209999999998</v>
      </c>
      <c r="E5416">
        <v>0.41783809999999899</v>
      </c>
      <c r="F5416" t="s">
        <v>54</v>
      </c>
      <c r="G5416">
        <v>-365.21409999999997</v>
      </c>
      <c r="H5416" s="1">
        <v>-2.4957110000000002E-6</v>
      </c>
      <c r="I5416">
        <v>20.491910000000001</v>
      </c>
      <c r="J5416">
        <v>-379.90120000000002</v>
      </c>
      <c r="K5416">
        <v>1.1103000000000001</v>
      </c>
      <c r="L5416">
        <v>17.666260000000001</v>
      </c>
      <c r="M5416">
        <v>0.99982479999999996</v>
      </c>
      <c r="N5416">
        <v>0</v>
      </c>
      <c r="O5416">
        <v>-1.2800819999999999E-2</v>
      </c>
      <c r="P5416">
        <v>0.98716720000000002</v>
      </c>
      <c r="Q5416">
        <v>0.15451319999999999</v>
      </c>
      <c r="R5416">
        <v>-4.0337270000000001E-2</v>
      </c>
      <c r="S5416">
        <v>3.0998540000000001</v>
      </c>
      <c r="T5416">
        <v>-0.23159640000000001</v>
      </c>
      <c r="U5416">
        <v>0.58892819999999901</v>
      </c>
      <c r="V5416">
        <v>2.766747E-2</v>
      </c>
      <c r="W5416">
        <v>0.16800300000000001</v>
      </c>
      <c r="X5416">
        <v>0.9853982</v>
      </c>
      <c r="Y5416">
        <v>-0.19863980000000001</v>
      </c>
      <c r="Z5416">
        <v>8.2916159999999999E-3</v>
      </c>
      <c r="AA5416">
        <v>0.98003750000000001</v>
      </c>
      <c r="AB5416">
        <v>34</v>
      </c>
      <c r="AC5416">
        <v>14.687099999999999</v>
      </c>
      <c r="AD5416">
        <v>-1.1103024957109999</v>
      </c>
      <c r="AE5416">
        <v>2.82565</v>
      </c>
      <c r="AF5416">
        <v>-2.9969270033359998</v>
      </c>
      <c r="AG5416">
        <v>-1.1103024957109999</v>
      </c>
      <c r="AH5416">
        <v>14.5694310827484</v>
      </c>
      <c r="AI5416">
        <v>94.268917344053193</v>
      </c>
      <c r="AJ5416">
        <v>101.62359168967799</v>
      </c>
      <c r="AK5416">
        <v>14.9158528140452</v>
      </c>
      <c r="AL5416">
        <v>80.3282710267422</v>
      </c>
      <c r="AM5416">
        <v>88.391703080583497</v>
      </c>
      <c r="AN5416">
        <v>1.0000000547342101</v>
      </c>
    </row>
    <row r="5417" spans="1:40" x14ac:dyDescent="0.25">
      <c r="A5417" t="str">
        <f>"20190312164136495"</f>
        <v>20190312164136495</v>
      </c>
      <c r="B5417" t="str">
        <f>"1552380096491600"</f>
        <v>1552380096491600</v>
      </c>
      <c r="C5417" t="s">
        <v>40</v>
      </c>
      <c r="D5417">
        <v>5.2612800000000002</v>
      </c>
      <c r="E5417">
        <v>0.41793760000000002</v>
      </c>
      <c r="F5417" t="s">
        <v>54</v>
      </c>
      <c r="G5417">
        <v>-365.07130000000001</v>
      </c>
      <c r="H5417" s="1">
        <v>-2.5589260000000001E-6</v>
      </c>
      <c r="I5417">
        <v>20.475629999999999</v>
      </c>
      <c r="J5417">
        <v>-379.72629999999998</v>
      </c>
      <c r="K5417">
        <v>1.1102639999999999</v>
      </c>
      <c r="L5417">
        <v>17.66403</v>
      </c>
      <c r="M5417">
        <v>0.99982570000000004</v>
      </c>
      <c r="N5417">
        <v>0</v>
      </c>
      <c r="O5417">
        <v>-1.2802310000000001E-2</v>
      </c>
      <c r="P5417">
        <v>0.98715439999999999</v>
      </c>
      <c r="Q5417">
        <v>0.15475729999999999</v>
      </c>
      <c r="R5417">
        <v>-3.9706829999999999E-2</v>
      </c>
      <c r="S5417">
        <v>3.0993040000000001</v>
      </c>
      <c r="T5417">
        <v>-0.23204150000000001</v>
      </c>
      <c r="U5417">
        <v>0.58712769999999903</v>
      </c>
      <c r="V5417">
        <v>2.704637E-2</v>
      </c>
      <c r="W5417">
        <v>0.16817319999999999</v>
      </c>
      <c r="X5417">
        <v>0.9853864</v>
      </c>
      <c r="Y5417">
        <v>-0.19812250000000001</v>
      </c>
      <c r="Z5417">
        <v>8.2903330000000004E-3</v>
      </c>
      <c r="AA5417">
        <v>0.98014219999999996</v>
      </c>
      <c r="AB5417">
        <v>34</v>
      </c>
      <c r="AC5417">
        <v>14.6549999999999</v>
      </c>
      <c r="AD5417">
        <v>-1.1102665589259999</v>
      </c>
      <c r="AE5417">
        <v>2.8115999999999901</v>
      </c>
      <c r="AF5417">
        <v>-2.98249406052101</v>
      </c>
      <c r="AG5417">
        <v>-1.1102665589259999</v>
      </c>
      <c r="AH5417">
        <v>14.537323929116701</v>
      </c>
      <c r="AI5417">
        <v>94.278625204199898</v>
      </c>
      <c r="AJ5417">
        <v>101.593986650784</v>
      </c>
      <c r="AK5417">
        <v>14.8815909657866</v>
      </c>
      <c r="AL5417">
        <v>80.318378433175596</v>
      </c>
      <c r="AM5417">
        <v>88.427770182745803</v>
      </c>
      <c r="AN5417">
        <v>1.0000000443166801</v>
      </c>
    </row>
    <row r="5418" spans="1:40" x14ac:dyDescent="0.25">
      <c r="A5418" t="str">
        <f>"20190312164136508"</f>
        <v>20190312164136508</v>
      </c>
      <c r="B5418" t="str">
        <f>"1552380096501360"</f>
        <v>1552380096501360</v>
      </c>
      <c r="C5418" t="s">
        <v>40</v>
      </c>
      <c r="D5418">
        <v>5.2988679999999997</v>
      </c>
      <c r="E5418">
        <v>0.41804370000000002</v>
      </c>
      <c r="F5418" t="s">
        <v>54</v>
      </c>
      <c r="G5418">
        <v>-364.76940000000002</v>
      </c>
      <c r="H5418" s="1">
        <v>-2.708525E-6</v>
      </c>
      <c r="I5418">
        <v>20.5016</v>
      </c>
      <c r="J5418">
        <v>-379.55070000000001</v>
      </c>
      <c r="K5418">
        <v>1.1102160000000001</v>
      </c>
      <c r="L5418">
        <v>17.661770000000001</v>
      </c>
      <c r="M5418">
        <v>0.99982629999999995</v>
      </c>
      <c r="N5418">
        <v>0</v>
      </c>
      <c r="O5418">
        <v>-1.283436E-2</v>
      </c>
      <c r="P5418">
        <v>0.98718189999999995</v>
      </c>
      <c r="Q5418">
        <v>0.15480969999999999</v>
      </c>
      <c r="R5418">
        <v>-3.8806340000000002E-2</v>
      </c>
      <c r="S5418">
        <v>3.0987849999999999</v>
      </c>
      <c r="T5418">
        <v>-0.23002639999999999</v>
      </c>
      <c r="U5418">
        <v>0.58789060000000004</v>
      </c>
      <c r="V5418">
        <v>2.6126650000000001E-2</v>
      </c>
      <c r="W5418">
        <v>0.1681445</v>
      </c>
      <c r="X5418">
        <v>0.98541610000000002</v>
      </c>
      <c r="Y5418">
        <v>-0.19842560000000001</v>
      </c>
      <c r="Z5418">
        <v>8.2331869999999995E-3</v>
      </c>
      <c r="AA5418">
        <v>0.98008139999999999</v>
      </c>
      <c r="AB5418">
        <v>34</v>
      </c>
      <c r="AC5418">
        <v>14.7812999999999</v>
      </c>
      <c r="AD5418">
        <v>-1.1102187085249999</v>
      </c>
      <c r="AE5418">
        <v>2.8398299999999899</v>
      </c>
      <c r="AF5418">
        <v>-3.0129296372006702</v>
      </c>
      <c r="AG5418">
        <v>-1.1102187085249999</v>
      </c>
      <c r="AH5418">
        <v>14.663850830429499</v>
      </c>
      <c r="AI5418">
        <v>94.241406112112998</v>
      </c>
      <c r="AJ5418">
        <v>101.610772627412</v>
      </c>
      <c r="AK5418">
        <v>15.011290809139901</v>
      </c>
      <c r="AL5418">
        <v>80.320046460311104</v>
      </c>
      <c r="AM5418">
        <v>88.481254605941302</v>
      </c>
      <c r="AN5418">
        <v>1.0000000324298399</v>
      </c>
    </row>
    <row r="5419" spans="1:40" x14ac:dyDescent="0.25">
      <c r="A5419" t="str">
        <f>"20190312164136521"</f>
        <v>20190312164136521</v>
      </c>
      <c r="B5419" t="str">
        <f>"1552380096512096"</f>
        <v>1552380096512096</v>
      </c>
      <c r="C5419" t="s">
        <v>40</v>
      </c>
      <c r="D5419">
        <v>5.2918909999999997</v>
      </c>
      <c r="E5419">
        <v>0.41790539999999998</v>
      </c>
      <c r="F5419" t="s">
        <v>54</v>
      </c>
      <c r="G5419">
        <v>-364.6157</v>
      </c>
      <c r="H5419" s="1">
        <v>-2.7820389999999998E-6</v>
      </c>
      <c r="I5419">
        <v>20.50479</v>
      </c>
      <c r="J5419">
        <v>-379.34010000000001</v>
      </c>
      <c r="K5419">
        <v>1.110161</v>
      </c>
      <c r="L5419">
        <v>17.659089999999999</v>
      </c>
      <c r="M5419">
        <v>0.99982689999999996</v>
      </c>
      <c r="N5419">
        <v>0</v>
      </c>
      <c r="O5419">
        <v>-1.28936E-2</v>
      </c>
      <c r="P5419">
        <v>0.98720569999999996</v>
      </c>
      <c r="Q5419">
        <v>0.1548041</v>
      </c>
      <c r="R5419">
        <v>-3.8221070000000003E-2</v>
      </c>
      <c r="S5419">
        <v>3.0982669999999999</v>
      </c>
      <c r="T5419">
        <v>-0.23031450000000001</v>
      </c>
      <c r="U5419">
        <v>0.58978269999999899</v>
      </c>
      <c r="V5419">
        <v>2.549916E-2</v>
      </c>
      <c r="W5419">
        <v>0.16803779999999999</v>
      </c>
      <c r="X5419">
        <v>0.98545070000000001</v>
      </c>
      <c r="Y5419">
        <v>-0.19908790000000001</v>
      </c>
      <c r="Z5419">
        <v>8.2730879999999996E-3</v>
      </c>
      <c r="AA5419">
        <v>0.97994669999999895</v>
      </c>
      <c r="AB5419">
        <v>34</v>
      </c>
      <c r="AC5419">
        <v>14.724399999999999</v>
      </c>
      <c r="AD5419">
        <v>-1.110163782039</v>
      </c>
      <c r="AE5419">
        <v>2.8456999999999999</v>
      </c>
      <c r="AF5419">
        <v>-3.0187883341865298</v>
      </c>
      <c r="AG5419">
        <v>-1.110163782039</v>
      </c>
      <c r="AH5419">
        <v>14.606439262196099</v>
      </c>
      <c r="AI5419">
        <v>94.256792692043206</v>
      </c>
      <c r="AJ5419">
        <v>101.67720514094199</v>
      </c>
      <c r="AK5419">
        <v>14.956390425159301</v>
      </c>
      <c r="AL5419">
        <v>80.326247802804602</v>
      </c>
      <c r="AM5419">
        <v>88.517766224840003</v>
      </c>
      <c r="AN5419">
        <v>0.99999999576001697</v>
      </c>
    </row>
    <row r="5420" spans="1:40" x14ac:dyDescent="0.25">
      <c r="A5420" t="str">
        <f>"20190312164136539"</f>
        <v>20190312164136539</v>
      </c>
      <c r="B5420" t="str">
        <f>"1552380096531615"</f>
        <v>1552380096531615</v>
      </c>
      <c r="C5420" t="s">
        <v>40</v>
      </c>
      <c r="D5420">
        <v>5.2758399999999996</v>
      </c>
      <c r="E5420">
        <v>0.41821429999999998</v>
      </c>
      <c r="F5420" t="s">
        <v>54</v>
      </c>
      <c r="G5420">
        <v>-364.3109</v>
      </c>
      <c r="H5420" s="1">
        <v>-2.934148E-6</v>
      </c>
      <c r="I5420">
        <v>20.534880000000001</v>
      </c>
      <c r="J5420">
        <v>-379.07810000000001</v>
      </c>
      <c r="K5420">
        <v>1.110085</v>
      </c>
      <c r="L5420">
        <v>17.655639999999998</v>
      </c>
      <c r="M5420">
        <v>0.99982720000000003</v>
      </c>
      <c r="N5420">
        <v>0</v>
      </c>
      <c r="O5420">
        <v>-1.301714E-2</v>
      </c>
      <c r="P5420">
        <v>0.98725269999999998</v>
      </c>
      <c r="Q5420">
        <v>0.1548464</v>
      </c>
      <c r="R5420">
        <v>-3.6809740000000001E-2</v>
      </c>
      <c r="S5420">
        <v>3.0977480000000002</v>
      </c>
      <c r="T5420">
        <v>-0.228821</v>
      </c>
      <c r="U5420">
        <v>0.59274289999999996</v>
      </c>
      <c r="V5420">
        <v>2.398906E-2</v>
      </c>
      <c r="W5420">
        <v>0.167943799999999</v>
      </c>
      <c r="X5420">
        <v>0.98550459999999995</v>
      </c>
      <c r="Y5420">
        <v>-0.20014660000000001</v>
      </c>
      <c r="Z5420">
        <v>8.2679399999999997E-3</v>
      </c>
      <c r="AA5420">
        <v>0.97973109999999997</v>
      </c>
      <c r="AB5420">
        <v>34</v>
      </c>
      <c r="AC5420">
        <v>14.767200000000001</v>
      </c>
      <c r="AD5420">
        <v>-1.1100879341480001</v>
      </c>
      <c r="AE5420">
        <v>2.8792399999999998</v>
      </c>
      <c r="AF5420">
        <v>-3.0546104817824302</v>
      </c>
      <c r="AG5420">
        <v>-1.1100879341480001</v>
      </c>
      <c r="AH5420">
        <v>14.648718843899401</v>
      </c>
      <c r="AI5420">
        <v>94.242706860124798</v>
      </c>
      <c r="AJ5420">
        <v>101.77876237705</v>
      </c>
      <c r="AK5420">
        <v>15.0049293295427</v>
      </c>
      <c r="AL5420">
        <v>80.331710859377694</v>
      </c>
      <c r="AM5420">
        <v>88.605586906686398</v>
      </c>
      <c r="AN5420">
        <v>0.99999995578963996</v>
      </c>
    </row>
    <row r="5421" spans="1:40" x14ac:dyDescent="0.25">
      <c r="A5421" t="str">
        <f>"20190312164136560"</f>
        <v>20190312164136560</v>
      </c>
      <c r="B5421" t="str">
        <f>"1552380096552112"</f>
        <v>1552380096552112</v>
      </c>
      <c r="C5421" t="s">
        <v>40</v>
      </c>
      <c r="D5421">
        <v>5.2942830000000001</v>
      </c>
      <c r="E5421">
        <v>0.4186008</v>
      </c>
      <c r="F5421" t="s">
        <v>54</v>
      </c>
      <c r="G5421">
        <v>-364.07240000000002</v>
      </c>
      <c r="H5421" s="1">
        <v>-3.0469910000000002E-6</v>
      </c>
      <c r="I5421">
        <v>20.53548</v>
      </c>
      <c r="J5421">
        <v>-378.74239999999998</v>
      </c>
      <c r="K5421">
        <v>1.109969</v>
      </c>
      <c r="L5421">
        <v>17.651029999999999</v>
      </c>
      <c r="M5421">
        <v>0.99982789999999999</v>
      </c>
      <c r="N5421">
        <v>0</v>
      </c>
      <c r="O5421">
        <v>-1.3176820000000001E-2</v>
      </c>
      <c r="P5421">
        <v>0.98729990000000001</v>
      </c>
      <c r="Q5421">
        <v>0.15488550000000001</v>
      </c>
      <c r="R5421">
        <v>-3.5349770000000003E-2</v>
      </c>
      <c r="S5421">
        <v>3.0968019999999998</v>
      </c>
      <c r="T5421">
        <v>-0.2290951</v>
      </c>
      <c r="U5421">
        <v>0.59432980000000002</v>
      </c>
      <c r="V5421">
        <v>2.2404960000000002E-2</v>
      </c>
      <c r="W5421">
        <v>0.16776839999999901</v>
      </c>
      <c r="X5421">
        <v>0.9855718</v>
      </c>
      <c r="Y5421">
        <v>-0.20083860000000001</v>
      </c>
      <c r="Z5421">
        <v>8.3169279999999995E-3</v>
      </c>
      <c r="AA5421">
        <v>0.97958900000000004</v>
      </c>
      <c r="AB5421">
        <v>34</v>
      </c>
      <c r="AC5421">
        <v>14.6699999999999</v>
      </c>
      <c r="AD5421">
        <v>-1.1099720469909999</v>
      </c>
      <c r="AE5421">
        <v>2.8844500000000002</v>
      </c>
      <c r="AF5421">
        <v>-3.0606503990597802</v>
      </c>
      <c r="AG5421">
        <v>-1.1099720469909999</v>
      </c>
      <c r="AH5421">
        <v>14.5505160887686</v>
      </c>
      <c r="AI5421">
        <v>94.269235875467501</v>
      </c>
      <c r="AJ5421">
        <v>101.87879325082601</v>
      </c>
      <c r="AK5421">
        <v>14.910303057278201</v>
      </c>
      <c r="AL5421">
        <v>80.341905569938206</v>
      </c>
      <c r="AM5421">
        <v>88.697721889195293</v>
      </c>
      <c r="AN5421">
        <v>0.99999999561319997</v>
      </c>
    </row>
    <row r="5422" spans="1:40" x14ac:dyDescent="0.25">
      <c r="A5422" t="str">
        <f>"20190312164136572"</f>
        <v>20190312164136572</v>
      </c>
      <c r="B5422" t="str">
        <f>"1552380096561871"</f>
        <v>1552380096561871</v>
      </c>
      <c r="C5422" t="s">
        <v>40</v>
      </c>
      <c r="D5422">
        <v>5.3137150000000002</v>
      </c>
      <c r="E5422">
        <v>0.41874729999999999</v>
      </c>
      <c r="F5422" t="s">
        <v>54</v>
      </c>
      <c r="G5422">
        <v>-363.70159999999998</v>
      </c>
      <c r="H5422" s="1">
        <v>-3.2244879999999999E-6</v>
      </c>
      <c r="I5422">
        <v>20.54363</v>
      </c>
      <c r="J5422">
        <v>-378.56540000000001</v>
      </c>
      <c r="K5422">
        <v>1.109866</v>
      </c>
      <c r="L5422">
        <v>17.648499999999999</v>
      </c>
      <c r="M5422">
        <v>0.99983259999999996</v>
      </c>
      <c r="N5422">
        <v>0</v>
      </c>
      <c r="O5422">
        <v>-1.303032E-2</v>
      </c>
      <c r="P5422">
        <v>0.98734299999999997</v>
      </c>
      <c r="Q5422">
        <v>0.15481779999999901</v>
      </c>
      <c r="R5422">
        <v>-3.4432169999999998E-2</v>
      </c>
      <c r="S5422">
        <v>3.095764</v>
      </c>
      <c r="T5422">
        <v>-0.2284592</v>
      </c>
      <c r="U5422">
        <v>0.59536739999999999</v>
      </c>
      <c r="V5422">
        <v>2.165568E-2</v>
      </c>
      <c r="W5422">
        <v>0.1674831</v>
      </c>
      <c r="X5422">
        <v>0.98563710000000004</v>
      </c>
      <c r="Y5422">
        <v>-0.201075</v>
      </c>
      <c r="Z5422">
        <v>8.294292E-3</v>
      </c>
      <c r="AA5422">
        <v>0.97954070000000004</v>
      </c>
      <c r="AB5422">
        <v>34</v>
      </c>
      <c r="AC5422">
        <v>14.863799999999999</v>
      </c>
      <c r="AD5422">
        <v>-1.109869224488</v>
      </c>
      <c r="AE5422">
        <v>2.89513</v>
      </c>
      <c r="AF5422">
        <v>-3.0720779107534102</v>
      </c>
      <c r="AG5422">
        <v>-1.109869224488</v>
      </c>
      <c r="AH5422">
        <v>14.7456012293638</v>
      </c>
      <c r="AI5422">
        <v>94.214260110621098</v>
      </c>
      <c r="AJ5422">
        <v>101.768578116573</v>
      </c>
      <c r="AK5422">
        <v>15.1030535985482</v>
      </c>
      <c r="AL5422">
        <v>80.358486953647798</v>
      </c>
      <c r="AM5422">
        <v>88.741342560959495</v>
      </c>
      <c r="AN5422">
        <v>1.0000000250791401</v>
      </c>
    </row>
    <row r="5423" spans="1:40" x14ac:dyDescent="0.25">
      <c r="A5423" t="str">
        <f>"20190312164136585"</f>
        <v>20190312164136585</v>
      </c>
      <c r="B5423" t="str">
        <f>"1552380096581391"</f>
        <v>1552380096581391</v>
      </c>
      <c r="C5423" t="s">
        <v>40</v>
      </c>
      <c r="D5423">
        <v>5.3805170000000002</v>
      </c>
      <c r="E5423">
        <v>0.41891479999999998</v>
      </c>
      <c r="F5423" t="s">
        <v>54</v>
      </c>
      <c r="G5423">
        <v>-363.56650000000002</v>
      </c>
      <c r="H5423" s="1">
        <v>-3.2874839999999998E-6</v>
      </c>
      <c r="I5423">
        <v>20.540520000000001</v>
      </c>
      <c r="J5423">
        <v>-378.387</v>
      </c>
      <c r="K5423">
        <v>1.109815</v>
      </c>
      <c r="L5423">
        <v>17.645900000000001</v>
      </c>
      <c r="M5423">
        <v>0.99983390000000005</v>
      </c>
      <c r="N5423">
        <v>0</v>
      </c>
      <c r="O5423">
        <v>-1.307493E-2</v>
      </c>
      <c r="P5423">
        <v>0.98734710000000003</v>
      </c>
      <c r="Q5423">
        <v>0.15493009999999999</v>
      </c>
      <c r="R5423">
        <v>-3.3801629999999999E-2</v>
      </c>
      <c r="S5423">
        <v>3.0951840000000002</v>
      </c>
      <c r="T5423">
        <v>-0.22903409999999999</v>
      </c>
      <c r="U5423">
        <v>0.59680180000000005</v>
      </c>
      <c r="V5423">
        <v>2.098651E-2</v>
      </c>
      <c r="W5423">
        <v>0.1674591</v>
      </c>
      <c r="X5423">
        <v>0.98565559999999997</v>
      </c>
      <c r="Y5423">
        <v>-0.20158599999999999</v>
      </c>
      <c r="Z5423">
        <v>8.3382479999999995E-3</v>
      </c>
      <c r="AA5423">
        <v>0.97943530000000001</v>
      </c>
      <c r="AB5423">
        <v>34</v>
      </c>
      <c r="AC5423">
        <v>14.8204999999999</v>
      </c>
      <c r="AD5423">
        <v>-1.1098182874839999</v>
      </c>
      <c r="AE5423">
        <v>2.8946200000000002</v>
      </c>
      <c r="AF5423">
        <v>-3.0715738545129598</v>
      </c>
      <c r="AG5423">
        <v>-1.1098182874839999</v>
      </c>
      <c r="AH5423">
        <v>14.7019693394606</v>
      </c>
      <c r="AI5423">
        <v>94.226036798913199</v>
      </c>
      <c r="AJ5423">
        <v>101.800643913184</v>
      </c>
      <c r="AK5423">
        <v>15.0603507606364</v>
      </c>
      <c r="AL5423">
        <v>80.359881242210093</v>
      </c>
      <c r="AM5423">
        <v>88.780246576878497</v>
      </c>
      <c r="AN5423">
        <v>0.99999997279307395</v>
      </c>
    </row>
    <row r="5424" spans="1:40" x14ac:dyDescent="0.25">
      <c r="A5424" t="str">
        <f>"20190312164136596"</f>
        <v>20190312164136596</v>
      </c>
      <c r="B5424" t="str">
        <f>"1552380096591152"</f>
        <v>1552380096591152</v>
      </c>
      <c r="C5424" t="s">
        <v>40</v>
      </c>
      <c r="D5424">
        <v>5.3709949999999997</v>
      </c>
      <c r="E5424">
        <v>0.41892849999999998</v>
      </c>
      <c r="F5424" t="s">
        <v>54</v>
      </c>
      <c r="G5424">
        <v>-363.36579999999998</v>
      </c>
      <c r="H5424" s="1">
        <v>-3.3839790000000002E-6</v>
      </c>
      <c r="I5424">
        <v>20.54646</v>
      </c>
      <c r="J5424">
        <v>-378.21260000000001</v>
      </c>
      <c r="K5424">
        <v>1.109809</v>
      </c>
      <c r="L5424">
        <v>17.643339999999998</v>
      </c>
      <c r="M5424">
        <v>0.99983230000000001</v>
      </c>
      <c r="N5424">
        <v>0</v>
      </c>
      <c r="O5424">
        <v>-1.326399E-2</v>
      </c>
      <c r="P5424">
        <v>0.98736080000000004</v>
      </c>
      <c r="Q5424">
        <v>0.154898799999999</v>
      </c>
      <c r="R5424">
        <v>-3.3552529999999997E-2</v>
      </c>
      <c r="S5424">
        <v>3.0947879999999999</v>
      </c>
      <c r="T5424">
        <v>-0.22865340000000001</v>
      </c>
      <c r="U5424">
        <v>0.59759519999999899</v>
      </c>
      <c r="V5424">
        <v>2.054133E-2</v>
      </c>
      <c r="W5424">
        <v>0.16735849999999999</v>
      </c>
      <c r="X5424">
        <v>0.98568210000000001</v>
      </c>
      <c r="Y5424">
        <v>-0.20203670000000001</v>
      </c>
      <c r="Z5424">
        <v>8.3555769999999994E-3</v>
      </c>
      <c r="AA5424">
        <v>0.9793423</v>
      </c>
      <c r="AB5424">
        <v>34</v>
      </c>
      <c r="AC5424">
        <v>14.8468</v>
      </c>
      <c r="AD5424">
        <v>-1.109812383979</v>
      </c>
      <c r="AE5424">
        <v>2.9031199999999999</v>
      </c>
      <c r="AF5424">
        <v>-3.0832144489705202</v>
      </c>
      <c r="AG5424">
        <v>-1.109812383979</v>
      </c>
      <c r="AH5424">
        <v>14.7277202009017</v>
      </c>
      <c r="AI5424">
        <v>94.218294056035305</v>
      </c>
      <c r="AJ5424">
        <v>101.823979339153</v>
      </c>
      <c r="AK5424">
        <v>15.0878639038805</v>
      </c>
      <c r="AL5424">
        <v>80.365728048147403</v>
      </c>
      <c r="AM5424">
        <v>88.806145327133194</v>
      </c>
      <c r="AN5424">
        <v>1.0000000080104099</v>
      </c>
    </row>
    <row r="5425" spans="1:40" x14ac:dyDescent="0.25">
      <c r="A5425" t="str">
        <f>"20190312164136616"</f>
        <v>20190312164136616</v>
      </c>
      <c r="B5425" t="str">
        <f>"1552380096611648"</f>
        <v>1552380096611648</v>
      </c>
      <c r="C5425" t="s">
        <v>40</v>
      </c>
      <c r="D5425">
        <v>5.4472199999999997</v>
      </c>
      <c r="E5425">
        <v>0.41937930000000001</v>
      </c>
      <c r="F5425" t="s">
        <v>54</v>
      </c>
      <c r="G5425">
        <v>-363.2038</v>
      </c>
      <c r="H5425" s="1">
        <v>-3.4604980000000001E-6</v>
      </c>
      <c r="I5425">
        <v>20.546279999999999</v>
      </c>
      <c r="J5425">
        <v>-377.91019999999997</v>
      </c>
      <c r="K5425">
        <v>1.109872</v>
      </c>
      <c r="L5425">
        <v>17.638850000000001</v>
      </c>
      <c r="M5425">
        <v>0.99982289999999996</v>
      </c>
      <c r="N5425">
        <v>0</v>
      </c>
      <c r="O5425">
        <v>-1.3997620000000001E-2</v>
      </c>
      <c r="P5425">
        <v>0.98743990000000004</v>
      </c>
      <c r="Q5425">
        <v>0.154465299999999</v>
      </c>
      <c r="R5425">
        <v>-3.3208769999999999E-2</v>
      </c>
      <c r="S5425">
        <v>3.0946039999999999</v>
      </c>
      <c r="T5425">
        <v>-0.22882659999999999</v>
      </c>
      <c r="U5425">
        <v>0.59854130000000005</v>
      </c>
      <c r="V5425">
        <v>1.943017E-2</v>
      </c>
      <c r="W5425">
        <v>0.1668762</v>
      </c>
      <c r="X5425">
        <v>0.98578639999999995</v>
      </c>
      <c r="Y5425">
        <v>-0.2030489</v>
      </c>
      <c r="Z5425">
        <v>8.4528820000000001E-3</v>
      </c>
      <c r="AA5425">
        <v>0.97913209999999995</v>
      </c>
      <c r="AB5425">
        <v>34</v>
      </c>
      <c r="AC5425">
        <v>14.706399999999901</v>
      </c>
      <c r="AD5425">
        <v>-1.1098754604979999</v>
      </c>
      <c r="AE5425">
        <v>2.90742999999999</v>
      </c>
      <c r="AF5425">
        <v>-3.0960455929805799</v>
      </c>
      <c r="AG5425">
        <v>-1.1098754604979999</v>
      </c>
      <c r="AH5425">
        <v>14.5843173918263</v>
      </c>
      <c r="AI5425">
        <v>94.257344079797505</v>
      </c>
      <c r="AJ5425">
        <v>101.9851642127</v>
      </c>
      <c r="AK5425">
        <v>14.950573087248401</v>
      </c>
      <c r="AL5425">
        <v>80.393755997821899</v>
      </c>
      <c r="AM5425">
        <v>88.870827795021299</v>
      </c>
      <c r="AN5425">
        <v>1.0000000120288099</v>
      </c>
    </row>
    <row r="5426" spans="1:40" x14ac:dyDescent="0.25">
      <c r="A5426" t="str">
        <f>"20190312164136628"</f>
        <v>20190312164136628</v>
      </c>
      <c r="B5426" t="str">
        <f>"1552380096621407"</f>
        <v>1552380096621407</v>
      </c>
      <c r="C5426" t="s">
        <v>40</v>
      </c>
      <c r="D5426">
        <v>5.5219559999999897</v>
      </c>
      <c r="E5426">
        <v>0.41979260000000002</v>
      </c>
      <c r="F5426" t="s">
        <v>54</v>
      </c>
      <c r="G5426">
        <v>-362.71749999999997</v>
      </c>
      <c r="H5426" s="1">
        <v>-3.6956260000000001E-6</v>
      </c>
      <c r="I5426">
        <v>20.56606</v>
      </c>
      <c r="J5426">
        <v>-377.72190000000001</v>
      </c>
      <c r="K5426">
        <v>1.109866</v>
      </c>
      <c r="L5426">
        <v>17.63599</v>
      </c>
      <c r="M5426">
        <v>0.99981660000000006</v>
      </c>
      <c r="N5426">
        <v>0</v>
      </c>
      <c r="O5426">
        <v>-1.4499690000000001E-2</v>
      </c>
      <c r="P5426">
        <v>0.98741350000000006</v>
      </c>
      <c r="Q5426">
        <v>0.154608299999999</v>
      </c>
      <c r="R5426">
        <v>-3.3330230000000002E-2</v>
      </c>
      <c r="S5426">
        <v>3.0935359999999998</v>
      </c>
      <c r="T5426">
        <v>-0.22599350000000001</v>
      </c>
      <c r="U5426">
        <v>0.59603879999999998</v>
      </c>
      <c r="V5426">
        <v>1.9044539999999999E-2</v>
      </c>
      <c r="W5426">
        <v>0.1669551</v>
      </c>
      <c r="X5426">
        <v>0.98578049999999995</v>
      </c>
      <c r="Y5426">
        <v>-0.2028528</v>
      </c>
      <c r="Z5426">
        <v>8.3811800000000002E-3</v>
      </c>
      <c r="AA5426">
        <v>0.97917339999999997</v>
      </c>
      <c r="AB5426">
        <v>34</v>
      </c>
      <c r="AC5426">
        <v>15.0044</v>
      </c>
      <c r="AD5426">
        <v>-1.1098696956259999</v>
      </c>
      <c r="AE5426">
        <v>2.9300700000000002</v>
      </c>
      <c r="AF5426">
        <v>-3.1308369786147798</v>
      </c>
      <c r="AG5426">
        <v>-1.1098696956259999</v>
      </c>
      <c r="AH5426">
        <v>14.8818986944855</v>
      </c>
      <c r="AI5426">
        <v>94.174099887097697</v>
      </c>
      <c r="AJ5426">
        <v>101.880568122098</v>
      </c>
      <c r="AK5426">
        <v>15.2481100363573</v>
      </c>
      <c r="AL5426">
        <v>80.389170408886798</v>
      </c>
      <c r="AM5426">
        <v>88.893226188551793</v>
      </c>
      <c r="AN5426">
        <v>0.99999994705003403</v>
      </c>
    </row>
    <row r="5427" spans="1:40" x14ac:dyDescent="0.25">
      <c r="A5427" t="str">
        <f>"20190312164136639"</f>
        <v>20190312164136639</v>
      </c>
      <c r="B5427" t="str">
        <f>"1552380096631167"</f>
        <v>1552380096631167</v>
      </c>
      <c r="C5427" t="s">
        <v>40</v>
      </c>
      <c r="D5427">
        <v>5.3691620000000002</v>
      </c>
      <c r="E5427">
        <v>0.4199947</v>
      </c>
      <c r="F5427" t="s">
        <v>54</v>
      </c>
      <c r="G5427">
        <v>-362.31740000000002</v>
      </c>
      <c r="H5427" s="1">
        <v>-3.889561E-6</v>
      </c>
      <c r="I5427">
        <v>20.58408</v>
      </c>
      <c r="J5427">
        <v>-377.54840000000002</v>
      </c>
      <c r="K5427">
        <v>1.1098410000000001</v>
      </c>
      <c r="L5427">
        <v>17.633329999999901</v>
      </c>
      <c r="M5427">
        <v>0.99981089999999995</v>
      </c>
      <c r="N5427">
        <v>0</v>
      </c>
      <c r="O5427">
        <v>-1.494361E-2</v>
      </c>
      <c r="P5427">
        <v>0.98743460000000005</v>
      </c>
      <c r="Q5427">
        <v>0.15441270000000001</v>
      </c>
      <c r="R5427">
        <v>-3.3614079999999998E-2</v>
      </c>
      <c r="S5427">
        <v>3.0930789999999999</v>
      </c>
      <c r="T5427">
        <v>-0.2228512</v>
      </c>
      <c r="U5427">
        <v>0.59194950000000002</v>
      </c>
      <c r="V5427">
        <v>1.8885369999999999E-2</v>
      </c>
      <c r="W5427">
        <v>0.16669</v>
      </c>
      <c r="X5427">
        <v>0.9858285</v>
      </c>
      <c r="Y5427">
        <v>-0.20208180000000001</v>
      </c>
      <c r="Z5427">
        <v>8.2713400000000003E-3</v>
      </c>
      <c r="AA5427">
        <v>0.97933369999999997</v>
      </c>
      <c r="AB5427">
        <v>34</v>
      </c>
      <c r="AC5427">
        <v>15.2309999999999</v>
      </c>
      <c r="AD5427">
        <v>-1.109844889561</v>
      </c>
      <c r="AE5427">
        <v>2.9507500000000002</v>
      </c>
      <c r="AF5427">
        <v>-3.1618630728494299</v>
      </c>
      <c r="AG5427">
        <v>-1.109844889561</v>
      </c>
      <c r="AH5427">
        <v>15.107884689137901</v>
      </c>
      <c r="AI5427">
        <v>94.112687721426795</v>
      </c>
      <c r="AJ5427">
        <v>101.82057156278</v>
      </c>
      <c r="AK5427">
        <v>15.4750545572745</v>
      </c>
      <c r="AL5427">
        <v>80.404576121361202</v>
      </c>
      <c r="AM5427">
        <v>88.902527509520098</v>
      </c>
      <c r="AN5427">
        <v>1.0000000223561401</v>
      </c>
    </row>
    <row r="5428" spans="1:40" x14ac:dyDescent="0.25">
      <c r="A5428" t="str">
        <f>"20190312164136651"</f>
        <v>20190312164136651</v>
      </c>
      <c r="B5428" t="str">
        <f>"1552380096641903"</f>
        <v>1552380096641903</v>
      </c>
      <c r="C5428" t="s">
        <v>40</v>
      </c>
      <c r="D5428">
        <v>5.3318479999999999</v>
      </c>
      <c r="E5428">
        <v>0.4200641</v>
      </c>
      <c r="F5428" t="s">
        <v>54</v>
      </c>
      <c r="G5428">
        <v>-362.0403</v>
      </c>
      <c r="H5428" s="1">
        <v>-4.0214659999999999E-6</v>
      </c>
      <c r="I5428">
        <v>20.587479999999999</v>
      </c>
      <c r="J5428">
        <v>-377.36630000000002</v>
      </c>
      <c r="K5428">
        <v>1.1097669999999999</v>
      </c>
      <c r="L5428">
        <v>17.630459999999999</v>
      </c>
      <c r="M5428">
        <v>0.9998068</v>
      </c>
      <c r="N5428">
        <v>0</v>
      </c>
      <c r="O5428">
        <v>-1.530697E-2</v>
      </c>
      <c r="P5428">
        <v>0.9874231</v>
      </c>
      <c r="Q5428">
        <v>0.15446589999999999</v>
      </c>
      <c r="R5428">
        <v>-3.3707599999999997E-2</v>
      </c>
      <c r="S5428">
        <v>3.0927730000000002</v>
      </c>
      <c r="T5428">
        <v>-0.22133510000000001</v>
      </c>
      <c r="U5428">
        <v>0.58914180000000005</v>
      </c>
      <c r="V5428">
        <v>1.8634169999999999E-2</v>
      </c>
      <c r="W5428">
        <v>0.1666425</v>
      </c>
      <c r="X5428">
        <v>0.98584130000000003</v>
      </c>
      <c r="Y5428">
        <v>-0.20160510000000001</v>
      </c>
      <c r="Z5428">
        <v>8.2255639999999994E-3</v>
      </c>
      <c r="AA5428">
        <v>0.97943230000000003</v>
      </c>
      <c r="AB5428">
        <v>34</v>
      </c>
      <c r="AC5428">
        <v>15.326000000000001</v>
      </c>
      <c r="AD5428">
        <v>-1.1097710214659999</v>
      </c>
      <c r="AE5428">
        <v>2.95702</v>
      </c>
      <c r="AF5428">
        <v>-3.1752346243065701</v>
      </c>
      <c r="AG5428">
        <v>-1.1097710214659999</v>
      </c>
      <c r="AH5428">
        <v>15.202088590960599</v>
      </c>
      <c r="AI5428">
        <v>94.087358364779703</v>
      </c>
      <c r="AJ5428">
        <v>101.797662918762</v>
      </c>
      <c r="AK5428">
        <v>15.5697528614585</v>
      </c>
      <c r="AL5428">
        <v>80.407336175249696</v>
      </c>
      <c r="AM5428">
        <v>88.917135879131294</v>
      </c>
      <c r="AN5428">
        <v>1.00000001194176</v>
      </c>
    </row>
    <row r="5429" spans="1:40" x14ac:dyDescent="0.25">
      <c r="A5429" t="str">
        <f>"20190312164136664"</f>
        <v>20190312164136664</v>
      </c>
      <c r="B5429" t="str">
        <f>"1552380096651664"</f>
        <v>1552380096651664</v>
      </c>
      <c r="C5429" t="s">
        <v>40</v>
      </c>
      <c r="D5429">
        <v>5.3339259999999999</v>
      </c>
      <c r="E5429">
        <v>0.420099</v>
      </c>
      <c r="F5429" t="s">
        <v>54</v>
      </c>
      <c r="G5429">
        <v>-361.79930000000002</v>
      </c>
      <c r="H5429" s="1">
        <v>-4.1365199999999998E-6</v>
      </c>
      <c r="I5429">
        <v>20.591909999999999</v>
      </c>
      <c r="J5429">
        <v>-377.19310000000002</v>
      </c>
      <c r="K5429">
        <v>1.1096900000000001</v>
      </c>
      <c r="L5429">
        <v>17.627690000000001</v>
      </c>
      <c r="M5429">
        <v>0.99980349999999996</v>
      </c>
      <c r="N5429">
        <v>0</v>
      </c>
      <c r="O5429">
        <v>-1.5595639999999999E-2</v>
      </c>
      <c r="P5429">
        <v>0.98741939999999995</v>
      </c>
      <c r="Q5429">
        <v>0.1544712</v>
      </c>
      <c r="R5429">
        <v>-3.379128E-2</v>
      </c>
      <c r="S5429">
        <v>3.0928339999999999</v>
      </c>
      <c r="T5429">
        <v>-0.22048880000000001</v>
      </c>
      <c r="U5429">
        <v>0.58837890000000004</v>
      </c>
      <c r="V5429">
        <v>1.8450660000000001E-2</v>
      </c>
      <c r="W5429">
        <v>0.16654939999999999</v>
      </c>
      <c r="X5429">
        <v>0.98586050000000003</v>
      </c>
      <c r="Y5429">
        <v>-0.20165430000000001</v>
      </c>
      <c r="Z5429">
        <v>8.2163429999999992E-3</v>
      </c>
      <c r="AA5429">
        <v>0.97942229999999997</v>
      </c>
      <c r="AB5429">
        <v>34</v>
      </c>
      <c r="AC5429">
        <v>15.393800000000001</v>
      </c>
      <c r="AD5429">
        <v>-1.1096941365199999</v>
      </c>
      <c r="AE5429">
        <v>2.9642200000000001</v>
      </c>
      <c r="AF5429">
        <v>-3.18797940033715</v>
      </c>
      <c r="AG5429">
        <v>-1.1096941365199999</v>
      </c>
      <c r="AH5429">
        <v>15.2691850462773</v>
      </c>
      <c r="AI5429">
        <v>94.069244496642</v>
      </c>
      <c r="AJ5429">
        <v>101.79309815737101</v>
      </c>
      <c r="AK5429">
        <v>15.6378593711242</v>
      </c>
      <c r="AL5429">
        <v>80.412746163757404</v>
      </c>
      <c r="AM5429">
        <v>88.927818340117199</v>
      </c>
      <c r="AN5429">
        <v>1.00000002747752</v>
      </c>
    </row>
    <row r="5430" spans="1:40" x14ac:dyDescent="0.25">
      <c r="A5430" t="str">
        <f>"20190312164136675"</f>
        <v>20190312164136675</v>
      </c>
      <c r="B5430" t="str">
        <f>"1552380096671183"</f>
        <v>1552380096671183</v>
      </c>
      <c r="C5430" t="s">
        <v>40</v>
      </c>
      <c r="D5430">
        <v>5.322044</v>
      </c>
      <c r="E5430">
        <v>0.4203693</v>
      </c>
      <c r="F5430" t="s">
        <v>54</v>
      </c>
      <c r="G5430">
        <v>-361.61880000000002</v>
      </c>
      <c r="H5430" s="1">
        <v>-4.2203860000000003E-6</v>
      </c>
      <c r="I5430">
        <v>20.586279999999999</v>
      </c>
      <c r="J5430">
        <v>-377.01490000000001</v>
      </c>
      <c r="K5430">
        <v>1.109599</v>
      </c>
      <c r="L5430">
        <v>17.624759999999998</v>
      </c>
      <c r="M5430">
        <v>0.99980089999999999</v>
      </c>
      <c r="N5430">
        <v>0</v>
      </c>
      <c r="O5430">
        <v>-1.5830710000000001E-2</v>
      </c>
      <c r="P5430">
        <v>0.98742439999999998</v>
      </c>
      <c r="Q5430">
        <v>0.15431819999999999</v>
      </c>
      <c r="R5430">
        <v>-3.4337390000000002E-2</v>
      </c>
      <c r="S5430">
        <v>3.0928040000000001</v>
      </c>
      <c r="T5430">
        <v>-0.22036610000000001</v>
      </c>
      <c r="U5430">
        <v>0.58752439999999995</v>
      </c>
      <c r="V5430">
        <v>1.878724E-2</v>
      </c>
      <c r="W5430">
        <v>0.1662931</v>
      </c>
      <c r="X5430">
        <v>0.98589740000000003</v>
      </c>
      <c r="Y5430">
        <v>-0.20162530000000001</v>
      </c>
      <c r="Z5430">
        <v>8.2276350000000005E-3</v>
      </c>
      <c r="AA5430">
        <v>0.97942819999999997</v>
      </c>
      <c r="AB5430">
        <v>34</v>
      </c>
      <c r="AC5430">
        <v>15.396099999999899</v>
      </c>
      <c r="AD5430">
        <v>-1.109603220386</v>
      </c>
      <c r="AE5430">
        <v>2.9615199999999899</v>
      </c>
      <c r="AF5430">
        <v>-3.1889252672266002</v>
      </c>
      <c r="AG5430">
        <v>-1.109603220386</v>
      </c>
      <c r="AH5430">
        <v>15.270795362681399</v>
      </c>
      <c r="AI5430">
        <v>94.068452209253394</v>
      </c>
      <c r="AJ5430">
        <v>101.79529001546</v>
      </c>
      <c r="AK5430">
        <v>15.6396181115633</v>
      </c>
      <c r="AL5430">
        <v>80.427638674622997</v>
      </c>
      <c r="AM5430">
        <v>88.908304967291798</v>
      </c>
      <c r="AN5430">
        <v>1.00000001941059</v>
      </c>
    </row>
    <row r="5431" spans="1:40" x14ac:dyDescent="0.25">
      <c r="A5431" t="str">
        <f>"20190312164136687"</f>
        <v>20190312164136687</v>
      </c>
      <c r="B5431" t="str">
        <f>"1552380096682005"</f>
        <v>1552380096682005</v>
      </c>
      <c r="C5431" t="s">
        <v>40</v>
      </c>
      <c r="D5431">
        <v>6.3266140000000002</v>
      </c>
      <c r="E5431">
        <v>0.4203693</v>
      </c>
      <c r="F5431" t="s">
        <v>54</v>
      </c>
      <c r="G5431">
        <v>-361.4425</v>
      </c>
      <c r="H5431" s="1">
        <v>-4.2973450000000001E-6</v>
      </c>
      <c r="I5431">
        <v>20.56241</v>
      </c>
      <c r="J5431">
        <v>-376.82459999999998</v>
      </c>
      <c r="K5431">
        <v>1.1095200000000001</v>
      </c>
      <c r="L5431">
        <v>17.62152</v>
      </c>
      <c r="M5431">
        <v>0.99979899999999999</v>
      </c>
      <c r="N5431">
        <v>0</v>
      </c>
      <c r="O5431">
        <v>-1.603452E-2</v>
      </c>
      <c r="P5431">
        <v>0.98739809999999995</v>
      </c>
      <c r="Q5431">
        <v>0.1544044</v>
      </c>
      <c r="R5431">
        <v>-3.4702780000000003E-2</v>
      </c>
      <c r="S5431">
        <v>3.0929259999999998</v>
      </c>
      <c r="T5431">
        <v>-0.22038530000000001</v>
      </c>
      <c r="U5431">
        <v>0.58346560000000003</v>
      </c>
      <c r="V5431">
        <v>1.897414E-2</v>
      </c>
      <c r="W5431">
        <v>0.166274799999999</v>
      </c>
      <c r="X5431">
        <v>0.98589689999999996</v>
      </c>
      <c r="Y5431">
        <v>-0.2005787</v>
      </c>
      <c r="Z5431">
        <v>8.2064939999999999E-3</v>
      </c>
      <c r="AA5431">
        <v>0.97964320000000005</v>
      </c>
      <c r="AB5431">
        <v>34</v>
      </c>
      <c r="AC5431">
        <v>15.3820999999999</v>
      </c>
      <c r="AD5431">
        <v>-1.1095242973449999</v>
      </c>
      <c r="AE5431">
        <v>2.94089</v>
      </c>
      <c r="AF5431">
        <v>-3.17125655042546</v>
      </c>
      <c r="AG5431">
        <v>-1.1095242973449999</v>
      </c>
      <c r="AH5431">
        <v>15.2563852841174</v>
      </c>
      <c r="AI5431">
        <v>94.072772097480595</v>
      </c>
      <c r="AJ5431">
        <v>101.74252609266701</v>
      </c>
      <c r="AK5431">
        <v>15.6219462363833</v>
      </c>
      <c r="AL5431">
        <v>80.428701921931406</v>
      </c>
      <c r="AM5431">
        <v>88.897446630158697</v>
      </c>
      <c r="AN5431">
        <v>1.0000000122666901</v>
      </c>
    </row>
    <row r="5432" spans="1:40" x14ac:dyDescent="0.25">
      <c r="A5432" t="str">
        <f>"20190312164136705"</f>
        <v>20190312164136705</v>
      </c>
      <c r="B5432" t="str">
        <f>"1552380096701525"</f>
        <v>1552380096701525</v>
      </c>
      <c r="C5432" t="s">
        <v>40</v>
      </c>
      <c r="D5432">
        <v>5.6531820000000002</v>
      </c>
      <c r="E5432">
        <v>0.4554144</v>
      </c>
      <c r="F5432" t="s">
        <v>54</v>
      </c>
      <c r="G5432">
        <v>-361.25</v>
      </c>
      <c r="H5432" s="1">
        <v>-4.3856029999999999E-6</v>
      </c>
      <c r="I5432">
        <v>20.552129999999998</v>
      </c>
      <c r="J5432">
        <v>-376.56389999999999</v>
      </c>
      <c r="K5432">
        <v>1.109434</v>
      </c>
      <c r="L5432">
        <v>17.617000000000001</v>
      </c>
      <c r="M5432">
        <v>0.99979640000000003</v>
      </c>
      <c r="N5432">
        <v>0</v>
      </c>
      <c r="O5432">
        <v>-1.6298259999999998E-2</v>
      </c>
      <c r="P5432">
        <v>0.98739520000000003</v>
      </c>
      <c r="Q5432">
        <v>0.15420039999999999</v>
      </c>
      <c r="R5432">
        <v>-3.5682819999999997E-2</v>
      </c>
      <c r="S5432">
        <v>3.0931700000000002</v>
      </c>
      <c r="T5432">
        <v>-0.22035650000000001</v>
      </c>
      <c r="U5432">
        <v>0.58203130000000003</v>
      </c>
      <c r="V5432">
        <v>1.9716810000000001E-2</v>
      </c>
      <c r="W5432">
        <v>0.16593440000000001</v>
      </c>
      <c r="X5432">
        <v>0.98593969999999997</v>
      </c>
      <c r="Y5432">
        <v>-0.20038429999999999</v>
      </c>
      <c r="Z5432">
        <v>8.2168899999999993E-3</v>
      </c>
      <c r="AA5432">
        <v>0.97968290000000002</v>
      </c>
      <c r="AB5432">
        <v>34</v>
      </c>
      <c r="AC5432">
        <v>15.313899999999901</v>
      </c>
      <c r="AD5432">
        <v>-1.1094383856029999</v>
      </c>
      <c r="AE5432">
        <v>2.9351299999999898</v>
      </c>
      <c r="AF5432">
        <v>-3.1683080440361602</v>
      </c>
      <c r="AG5432">
        <v>-1.1094383856029999</v>
      </c>
      <c r="AH5432">
        <v>15.1871395160834</v>
      </c>
      <c r="AI5432">
        <v>94.090350081102102</v>
      </c>
      <c r="AJ5432">
        <v>101.78391028159599</v>
      </c>
      <c r="AK5432">
        <v>15.553720971984101</v>
      </c>
      <c r="AL5432">
        <v>80.448480379592894</v>
      </c>
      <c r="AM5432">
        <v>88.854352411651405</v>
      </c>
      <c r="AN5432">
        <v>1.00000003486801</v>
      </c>
    </row>
    <row r="5433" spans="1:40" x14ac:dyDescent="0.25">
      <c r="A5433" t="str">
        <f>"20190312164136716"</f>
        <v>20190312164136716</v>
      </c>
      <c r="B5433" t="str">
        <f>"1552380096711285"</f>
        <v>1552380096711285</v>
      </c>
      <c r="C5433" t="s">
        <v>40</v>
      </c>
      <c r="D5433">
        <v>5.4679379999999904</v>
      </c>
      <c r="E5433">
        <v>0.50008079999999999</v>
      </c>
      <c r="F5433" t="s">
        <v>54</v>
      </c>
      <c r="G5433">
        <v>-360.89330000000001</v>
      </c>
      <c r="H5433" s="1">
        <v>-4.3905179999999998E-6</v>
      </c>
      <c r="I5433">
        <v>19.13551</v>
      </c>
      <c r="J5433">
        <v>-376.38549999999998</v>
      </c>
      <c r="K5433">
        <v>1.109399</v>
      </c>
      <c r="L5433">
        <v>17.61383</v>
      </c>
      <c r="M5433">
        <v>0.99979439999999997</v>
      </c>
      <c r="N5433">
        <v>0</v>
      </c>
      <c r="O5433">
        <v>-1.6480959999999999E-2</v>
      </c>
      <c r="P5433">
        <v>0.98744520000000002</v>
      </c>
      <c r="Q5433">
        <v>0.153752799999999</v>
      </c>
      <c r="R5433">
        <v>-3.6222919999999999E-2</v>
      </c>
      <c r="S5433">
        <v>3.0831909999999998</v>
      </c>
      <c r="T5433">
        <v>-0.2182827</v>
      </c>
      <c r="U5433">
        <v>0.29876710000000001</v>
      </c>
      <c r="V5433">
        <v>2.0085309999999999E-2</v>
      </c>
      <c r="W5433">
        <v>0.1653992</v>
      </c>
      <c r="X5433">
        <v>0.98602219999999996</v>
      </c>
      <c r="Y5433">
        <v>-0.11252230000000001</v>
      </c>
      <c r="Z5433">
        <v>5.131834E-3</v>
      </c>
      <c r="AA5433">
        <v>0.99363599999999996</v>
      </c>
      <c r="AB5433">
        <v>34</v>
      </c>
      <c r="AC5433">
        <v>15.492199999999899</v>
      </c>
      <c r="AD5433">
        <v>-1.1094033905180001</v>
      </c>
      <c r="AE5433">
        <v>1.5216799999999999</v>
      </c>
      <c r="AF5433">
        <v>-1.76783849032906</v>
      </c>
      <c r="AG5433">
        <v>-1.1094033905180001</v>
      </c>
      <c r="AH5433">
        <v>15.386864316905999</v>
      </c>
      <c r="AI5433">
        <v>94.097068495745006</v>
      </c>
      <c r="AJ5433">
        <v>96.554129117261198</v>
      </c>
      <c r="AK5433">
        <v>15.5277693928542</v>
      </c>
      <c r="AL5433">
        <v>80.479574865049102</v>
      </c>
      <c r="AM5433">
        <v>88.8330441627471</v>
      </c>
      <c r="AN5433">
        <v>1.0000000469656301</v>
      </c>
    </row>
    <row r="5434" spans="1:40" x14ac:dyDescent="0.25">
      <c r="A5434" t="str">
        <f>"20190312164136729"</f>
        <v>20190312164136729</v>
      </c>
      <c r="B5434" t="str">
        <f>"1552380096722020"</f>
        <v>1552380096722020</v>
      </c>
      <c r="C5434" t="s">
        <v>40</v>
      </c>
      <c r="D5434">
        <v>5.5847930000000003</v>
      </c>
      <c r="E5434">
        <v>0.50314700000000001</v>
      </c>
      <c r="F5434" t="s">
        <v>54</v>
      </c>
      <c r="G5434">
        <v>-363.28590000000003</v>
      </c>
      <c r="H5434" s="1">
        <v>-3.5728080000000001E-6</v>
      </c>
      <c r="I5434">
        <v>17.369420000000002</v>
      </c>
      <c r="J5434">
        <v>-376.19760000000002</v>
      </c>
      <c r="K5434">
        <v>1.1093839999999999</v>
      </c>
      <c r="L5434">
        <v>17.610440000000001</v>
      </c>
      <c r="M5434">
        <v>0.99979169999999995</v>
      </c>
      <c r="N5434">
        <v>0</v>
      </c>
      <c r="O5434">
        <v>-1.670284E-2</v>
      </c>
      <c r="P5434">
        <v>0.98739449999999995</v>
      </c>
      <c r="Q5434">
        <v>0.153966299999999</v>
      </c>
      <c r="R5434">
        <v>-3.6697189999999998E-2</v>
      </c>
      <c r="S5434">
        <v>3.0766300000000002</v>
      </c>
      <c r="T5434">
        <v>-0.26055840000000002</v>
      </c>
      <c r="U5434">
        <v>-5.7403559999999999E-2</v>
      </c>
      <c r="V5434">
        <v>2.0343590000000002E-2</v>
      </c>
      <c r="W5434">
        <v>0.1655267</v>
      </c>
      <c r="X5434">
        <v>0.98599550000000002</v>
      </c>
      <c r="Y5434">
        <v>2.0036059999999998E-3</v>
      </c>
      <c r="Z5434">
        <v>1.327216E-3</v>
      </c>
      <c r="AA5434">
        <v>0.99999709999999997</v>
      </c>
      <c r="AB5434">
        <v>34</v>
      </c>
      <c r="AC5434">
        <v>12.9116999999999</v>
      </c>
      <c r="AD5434">
        <v>-1.1093875728079901</v>
      </c>
      <c r="AE5434">
        <v>-0.24101999999999801</v>
      </c>
      <c r="AF5434">
        <v>2.5124065083576601E-2</v>
      </c>
      <c r="AG5434">
        <v>-1.1093875728079901</v>
      </c>
      <c r="AH5434">
        <v>12.8193196846515</v>
      </c>
      <c r="AI5434">
        <v>94.946060767697603</v>
      </c>
      <c r="AJ5434">
        <v>89.887708467699596</v>
      </c>
      <c r="AK5434">
        <v>12.8672580289136</v>
      </c>
      <c r="AL5434">
        <v>80.472167465344398</v>
      </c>
      <c r="AM5434">
        <v>88.818010335910401</v>
      </c>
      <c r="AN5434">
        <v>1.00000003804361</v>
      </c>
    </row>
    <row r="5435" spans="1:40" x14ac:dyDescent="0.25">
      <c r="A5435" t="str">
        <f>"20190312164136752"</f>
        <v>20190312164136752</v>
      </c>
      <c r="B5435" t="str">
        <f>"1552380096741542"</f>
        <v>1552380096741542</v>
      </c>
      <c r="C5435" t="s">
        <v>40</v>
      </c>
      <c r="D5435">
        <v>5.495876</v>
      </c>
      <c r="E5435">
        <v>0.50596949999999996</v>
      </c>
      <c r="F5435" t="s">
        <v>42</v>
      </c>
      <c r="G5435">
        <v>-375.3313</v>
      </c>
      <c r="H5435">
        <v>1.043442</v>
      </c>
      <c r="I5435">
        <v>17.586029999999901</v>
      </c>
      <c r="J5435">
        <v>-375.85</v>
      </c>
      <c r="K5435">
        <v>1.1093869999999999</v>
      </c>
      <c r="L5435">
        <v>17.604129999999898</v>
      </c>
      <c r="M5435">
        <v>0.99978599999999995</v>
      </c>
      <c r="N5435">
        <v>0</v>
      </c>
      <c r="O5435">
        <v>-1.7146430000000001E-2</v>
      </c>
      <c r="P5435">
        <v>0.98733939999999998</v>
      </c>
      <c r="Q5435">
        <v>0.15405759999999999</v>
      </c>
      <c r="R5435">
        <v>-3.7781620000000002E-2</v>
      </c>
      <c r="S5435">
        <v>3.0715940000000002</v>
      </c>
      <c r="T5435">
        <v>-0.23369819999999999</v>
      </c>
      <c r="U5435">
        <v>-8.5479739999999999E-2</v>
      </c>
      <c r="V5435">
        <v>2.0987490000000001E-2</v>
      </c>
      <c r="W5435">
        <v>0.16547029999999999</v>
      </c>
      <c r="X5435">
        <v>0.98599139999999996</v>
      </c>
      <c r="Y5435">
        <v>1.069194E-2</v>
      </c>
      <c r="Z5435">
        <v>8.9631610000000001E-4</v>
      </c>
      <c r="AA5435">
        <v>0.99994240000000001</v>
      </c>
      <c r="AB5435">
        <v>34</v>
      </c>
      <c r="AC5435">
        <v>0.51870000000002303</v>
      </c>
      <c r="AD5435">
        <v>-6.5945000000000101E-2</v>
      </c>
      <c r="AE5435">
        <v>-1.81000000000004E-2</v>
      </c>
      <c r="AF5435">
        <v>9.0566815234489097E-3</v>
      </c>
      <c r="AG5435">
        <v>-6.5945000000000101E-2</v>
      </c>
      <c r="AH5435">
        <v>0.51068969150381904</v>
      </c>
      <c r="AI5435">
        <v>97.356703982443406</v>
      </c>
      <c r="AJ5435">
        <v>88.984010746376995</v>
      </c>
      <c r="AK5435">
        <v>0.51500944410125504</v>
      </c>
      <c r="AL5435">
        <v>80.475443457937899</v>
      </c>
      <c r="AM5435">
        <v>88.780604942157595</v>
      </c>
      <c r="AN5435">
        <v>0.99999996789627399</v>
      </c>
    </row>
    <row r="5436" spans="1:40" x14ac:dyDescent="0.25">
      <c r="A5436" t="str">
        <f>"20190312164136767"</f>
        <v>20190312164136767</v>
      </c>
      <c r="B5436" t="str">
        <f>"1552380096762037"</f>
        <v>1552380096762037</v>
      </c>
      <c r="C5436" t="s">
        <v>40</v>
      </c>
      <c r="D5436">
        <v>5.6512760000000002</v>
      </c>
      <c r="E5436">
        <v>0.50802530000000001</v>
      </c>
      <c r="F5436" t="s">
        <v>54</v>
      </c>
      <c r="G5436">
        <v>-360.28089999999997</v>
      </c>
      <c r="H5436" s="1">
        <v>-5.0532829999999997E-6</v>
      </c>
      <c r="I5436">
        <v>17.031330000000001</v>
      </c>
      <c r="J5436">
        <v>-375.62270000000001</v>
      </c>
      <c r="K5436">
        <v>1.109402</v>
      </c>
      <c r="L5436">
        <v>17.59995</v>
      </c>
      <c r="M5436">
        <v>0.9997819</v>
      </c>
      <c r="N5436">
        <v>0</v>
      </c>
      <c r="O5436">
        <v>-1.7450500000000001E-2</v>
      </c>
      <c r="P5436">
        <v>0.98728570000000004</v>
      </c>
      <c r="Q5436">
        <v>0.15424119999999999</v>
      </c>
      <c r="R5436">
        <v>-3.8437209999999999E-2</v>
      </c>
      <c r="S5436">
        <v>3.068298</v>
      </c>
      <c r="T5436">
        <v>-0.21863440000000001</v>
      </c>
      <c r="U5436">
        <v>-0.1128845</v>
      </c>
      <c r="V5436">
        <v>2.133813E-2</v>
      </c>
      <c r="W5436">
        <v>0.1655662</v>
      </c>
      <c r="X5436">
        <v>0.98596779999999995</v>
      </c>
      <c r="Y5436">
        <v>1.9315550000000001E-2</v>
      </c>
      <c r="Z5436">
        <v>5.5432249999999995E-4</v>
      </c>
      <c r="AA5436">
        <v>0.99981330000000002</v>
      </c>
      <c r="AB5436">
        <v>34</v>
      </c>
      <c r="AC5436">
        <v>15.341799999999999</v>
      </c>
      <c r="AD5436">
        <v>-1.109407053283</v>
      </c>
      <c r="AE5436">
        <v>-0.56861999999999902</v>
      </c>
      <c r="AF5436">
        <v>0.29923112968444199</v>
      </c>
      <c r="AG5436">
        <v>-1.109407053283</v>
      </c>
      <c r="AH5436">
        <v>15.269649523498099</v>
      </c>
      <c r="AI5436">
        <v>94.154693426716406</v>
      </c>
      <c r="AJ5436">
        <v>88.877349040155593</v>
      </c>
      <c r="AK5436">
        <v>15.312822073325099</v>
      </c>
      <c r="AL5436">
        <v>80.469872179791807</v>
      </c>
      <c r="AM5436">
        <v>88.760209033084095</v>
      </c>
      <c r="AN5436">
        <v>0.99999999250558802</v>
      </c>
    </row>
    <row r="5437" spans="1:40" x14ac:dyDescent="0.25">
      <c r="A5437" t="str">
        <f>"20190312164136783"</f>
        <v>20190312164136783</v>
      </c>
      <c r="B5437" t="str">
        <f>"1552380096771798"</f>
        <v>1552380096771798</v>
      </c>
      <c r="C5437" t="s">
        <v>40</v>
      </c>
      <c r="D5437">
        <v>5.4770310000000002</v>
      </c>
      <c r="E5437">
        <v>0.50824460000000005</v>
      </c>
      <c r="F5437" t="s">
        <v>42</v>
      </c>
      <c r="G5437">
        <v>-374.72789999999998</v>
      </c>
      <c r="H5437">
        <v>1.040373</v>
      </c>
      <c r="I5437">
        <v>17.561979999999998</v>
      </c>
      <c r="J5437">
        <v>-375.37430000000001</v>
      </c>
      <c r="K5437">
        <v>1.1094250000000001</v>
      </c>
      <c r="L5437">
        <v>17.595310000000001</v>
      </c>
      <c r="M5437">
        <v>0.99977700000000003</v>
      </c>
      <c r="N5437">
        <v>0</v>
      </c>
      <c r="O5437">
        <v>-1.7776589999999998E-2</v>
      </c>
      <c r="P5437">
        <v>0.98713850000000003</v>
      </c>
      <c r="Q5437">
        <v>0.15476690000000001</v>
      </c>
      <c r="R5437">
        <v>-4.0061319999999997E-2</v>
      </c>
      <c r="S5437">
        <v>3.0705870000000002</v>
      </c>
      <c r="T5437">
        <v>-0.23685510000000001</v>
      </c>
      <c r="U5437">
        <v>-0.1297913</v>
      </c>
      <c r="V5437">
        <v>2.2636819999999998E-2</v>
      </c>
      <c r="W5437">
        <v>0.16600210000000001</v>
      </c>
      <c r="X5437">
        <v>0.98586549999999995</v>
      </c>
      <c r="Y5437">
        <v>2.444317E-2</v>
      </c>
      <c r="Z5437">
        <v>4.2757640000000001E-4</v>
      </c>
      <c r="AA5437">
        <v>0.99970110000000001</v>
      </c>
      <c r="AB5437">
        <v>34</v>
      </c>
      <c r="AC5437">
        <v>0.64640000000002795</v>
      </c>
      <c r="AD5437">
        <v>-6.9052000000000099E-2</v>
      </c>
      <c r="AE5437">
        <v>-3.3330000000002899E-2</v>
      </c>
      <c r="AF5437">
        <v>2.1587501649553101E-2</v>
      </c>
      <c r="AG5437">
        <v>-6.9052000000000099E-2</v>
      </c>
      <c r="AH5437">
        <v>0.63961069514904301</v>
      </c>
      <c r="AI5437">
        <v>96.1582746326105</v>
      </c>
      <c r="AJ5437">
        <v>88.066943827125698</v>
      </c>
      <c r="AK5437">
        <v>0.64368939736530595</v>
      </c>
      <c r="AL5437">
        <v>80.444546117233401</v>
      </c>
      <c r="AM5437">
        <v>88.684641683875796</v>
      </c>
      <c r="AN5437">
        <v>0.99999995345718495</v>
      </c>
    </row>
    <row r="5438" spans="1:40" x14ac:dyDescent="0.25">
      <c r="A5438" t="str">
        <f>"20190312164136796"</f>
        <v>20190312164136796</v>
      </c>
      <c r="B5438" t="str">
        <f>"1552380096791317"</f>
        <v>1552380096791317</v>
      </c>
      <c r="C5438" t="s">
        <v>40</v>
      </c>
      <c r="D5438">
        <v>5.510516</v>
      </c>
      <c r="E5438">
        <v>0.50915310000000003</v>
      </c>
      <c r="F5438" t="s">
        <v>42</v>
      </c>
      <c r="G5438">
        <v>-374.42669999999998</v>
      </c>
      <c r="H5438">
        <v>1.035531</v>
      </c>
      <c r="I5438">
        <v>17.55322</v>
      </c>
      <c r="J5438">
        <v>-375.17340000000002</v>
      </c>
      <c r="K5438">
        <v>1.109442</v>
      </c>
      <c r="L5438">
        <v>17.591519999999999</v>
      </c>
      <c r="M5438">
        <v>0.99977340000000003</v>
      </c>
      <c r="N5438">
        <v>0</v>
      </c>
      <c r="O5438">
        <v>-1.8027910000000001E-2</v>
      </c>
      <c r="P5438">
        <v>0.98707990000000001</v>
      </c>
      <c r="Q5438">
        <v>0.15493989999999999</v>
      </c>
      <c r="R5438">
        <v>-4.0836570000000003E-2</v>
      </c>
      <c r="S5438">
        <v>3.0711360000000001</v>
      </c>
      <c r="T5438">
        <v>-0.2394732</v>
      </c>
      <c r="U5438">
        <v>-0.13555909999999999</v>
      </c>
      <c r="V5438">
        <v>2.3160050000000001E-2</v>
      </c>
      <c r="W5438">
        <v>0.1661088</v>
      </c>
      <c r="X5438">
        <v>0.98583540000000003</v>
      </c>
      <c r="Y5438">
        <v>2.605377E-2</v>
      </c>
      <c r="Z5438">
        <v>3.8907139999999998E-4</v>
      </c>
      <c r="AA5438">
        <v>0.99966049999999995</v>
      </c>
      <c r="AB5438">
        <v>34</v>
      </c>
      <c r="AC5438">
        <v>0.746700000000032</v>
      </c>
      <c r="AD5438">
        <v>-7.3911000000000004E-2</v>
      </c>
      <c r="AE5438">
        <v>-3.8300000000003102E-2</v>
      </c>
      <c r="AF5438">
        <v>2.4591166264461801E-2</v>
      </c>
      <c r="AG5438">
        <v>-7.3911000000000004E-2</v>
      </c>
      <c r="AH5438">
        <v>0.74003747893751703</v>
      </c>
      <c r="AI5438">
        <v>95.700357760521499</v>
      </c>
      <c r="AJ5438">
        <v>88.096783169670701</v>
      </c>
      <c r="AK5438">
        <v>0.74412568267157897</v>
      </c>
      <c r="AL5438">
        <v>80.438346828438398</v>
      </c>
      <c r="AM5438">
        <v>88.654208324425795</v>
      </c>
      <c r="AN5438">
        <v>0.99999997862330103</v>
      </c>
    </row>
    <row r="5439" spans="1:40" x14ac:dyDescent="0.25">
      <c r="A5439" t="str">
        <f>"20190312164136808"</f>
        <v>20190312164136808</v>
      </c>
      <c r="B5439" t="str">
        <f>"1552380096802053"</f>
        <v>1552380096802053</v>
      </c>
      <c r="C5439" t="s">
        <v>40</v>
      </c>
      <c r="D5439">
        <v>5.4928249999999998</v>
      </c>
      <c r="E5439">
        <v>0.50920750000000004</v>
      </c>
      <c r="F5439" t="s">
        <v>42</v>
      </c>
      <c r="G5439">
        <v>-374.4083</v>
      </c>
      <c r="H5439">
        <v>1.049004</v>
      </c>
      <c r="I5439">
        <v>17.555299999999999</v>
      </c>
      <c r="J5439">
        <v>-374.99799999999999</v>
      </c>
      <c r="K5439">
        <v>1.1094580000000001</v>
      </c>
      <c r="L5439">
        <v>17.588229999999999</v>
      </c>
      <c r="M5439">
        <v>0.9997703</v>
      </c>
      <c r="N5439">
        <v>0</v>
      </c>
      <c r="O5439">
        <v>-1.8223219999999998E-2</v>
      </c>
      <c r="P5439">
        <v>0.9869869</v>
      </c>
      <c r="Q5439">
        <v>0.15533060000000001</v>
      </c>
      <c r="R5439">
        <v>-4.1585049999999998E-2</v>
      </c>
      <c r="S5439">
        <v>3.0713499999999998</v>
      </c>
      <c r="T5439">
        <v>-0.24259159999999999</v>
      </c>
      <c r="U5439">
        <v>-0.14434810000000001</v>
      </c>
      <c r="V5439">
        <v>2.371438E-2</v>
      </c>
      <c r="W5439">
        <v>0.16644690000000001</v>
      </c>
      <c r="X5439">
        <v>0.98576520000000001</v>
      </c>
      <c r="Y5439">
        <v>2.8701810000000001E-2</v>
      </c>
      <c r="Z5439">
        <v>3.0509139999999998E-4</v>
      </c>
      <c r="AA5439">
        <v>0.99958800000000003</v>
      </c>
      <c r="AB5439">
        <v>34</v>
      </c>
      <c r="AC5439">
        <v>0.58970000000004996</v>
      </c>
      <c r="AD5439">
        <v>-6.0454000000000001E-2</v>
      </c>
      <c r="AE5439">
        <v>-3.2930000000000299E-2</v>
      </c>
      <c r="AF5439">
        <v>2.19476693142228E-2</v>
      </c>
      <c r="AG5439">
        <v>-6.0454000000000001E-2</v>
      </c>
      <c r="AH5439">
        <v>0.58408277553821197</v>
      </c>
      <c r="AI5439">
        <v>95.905074380150694</v>
      </c>
      <c r="AJ5439">
        <v>87.848049083074102</v>
      </c>
      <c r="AK5439">
        <v>0.58761303166688506</v>
      </c>
      <c r="AL5439">
        <v>80.418701713771796</v>
      </c>
      <c r="AM5439">
        <v>88.621911318194094</v>
      </c>
      <c r="AN5439">
        <v>0.99999998593471695</v>
      </c>
    </row>
    <row r="5440" spans="1:40" x14ac:dyDescent="0.25">
      <c r="A5440" t="str">
        <f>"20190312164136820"</f>
        <v>20190312164136820</v>
      </c>
      <c r="B5440" t="str">
        <f>"1552380096811814"</f>
        <v>1552380096811814</v>
      </c>
      <c r="C5440" t="s">
        <v>40</v>
      </c>
      <c r="D5440">
        <v>5.447495</v>
      </c>
      <c r="E5440">
        <v>0.5090614</v>
      </c>
      <c r="F5440" t="s">
        <v>42</v>
      </c>
      <c r="G5440">
        <v>-374.11989999999997</v>
      </c>
      <c r="H5440">
        <v>1.040141</v>
      </c>
      <c r="I5440">
        <v>17.546009999999999</v>
      </c>
      <c r="J5440">
        <v>-374.81270000000001</v>
      </c>
      <c r="K5440">
        <v>1.1094729999999999</v>
      </c>
      <c r="L5440">
        <v>17.58466</v>
      </c>
      <c r="M5440">
        <v>0.99976739999999997</v>
      </c>
      <c r="N5440">
        <v>0</v>
      </c>
      <c r="O5440">
        <v>-1.8419709999999999E-2</v>
      </c>
      <c r="P5440">
        <v>0.98693249999999999</v>
      </c>
      <c r="Q5440">
        <v>0.15550120000000001</v>
      </c>
      <c r="R5440">
        <v>-4.2237240000000002E-2</v>
      </c>
      <c r="S5440">
        <v>3.0715330000000001</v>
      </c>
      <c r="T5440">
        <v>-0.24244669999999999</v>
      </c>
      <c r="U5440">
        <v>-0.14648439999999999</v>
      </c>
      <c r="V5440">
        <v>2.4169920000000001E-2</v>
      </c>
      <c r="W5440">
        <v>0.16656489999999999</v>
      </c>
      <c r="X5440">
        <v>0.9857342</v>
      </c>
      <c r="Y5440">
        <v>2.9195349999999998E-2</v>
      </c>
      <c r="Z5440">
        <v>3.0091820000000002E-4</v>
      </c>
      <c r="AA5440">
        <v>0.99957370000000001</v>
      </c>
      <c r="AB5440">
        <v>34</v>
      </c>
      <c r="AC5440">
        <v>0.69280000000003295</v>
      </c>
      <c r="AD5440">
        <v>-6.9331999999999894E-2</v>
      </c>
      <c r="AE5440">
        <v>-3.8650000000000503E-2</v>
      </c>
      <c r="AF5440">
        <v>2.56256189509078E-2</v>
      </c>
      <c r="AG5440">
        <v>-6.9331999999999894E-2</v>
      </c>
      <c r="AH5440">
        <v>0.68654003596818802</v>
      </c>
      <c r="AI5440">
        <v>95.762624336283494</v>
      </c>
      <c r="AJ5440">
        <v>87.862384639318194</v>
      </c>
      <c r="AK5440">
        <v>0.69050765351139898</v>
      </c>
      <c r="AL5440">
        <v>80.411845058341598</v>
      </c>
      <c r="AM5440">
        <v>88.595405354831001</v>
      </c>
      <c r="AN5440">
        <v>0.99999998199722795</v>
      </c>
    </row>
    <row r="5441" spans="1:40" x14ac:dyDescent="0.25">
      <c r="A5441" t="str">
        <f>"20190312164136832"</f>
        <v>20190312164136832</v>
      </c>
      <c r="B5441" t="str">
        <f>"1552380096821573"</f>
        <v>1552380096821573</v>
      </c>
      <c r="C5441" t="s">
        <v>40</v>
      </c>
      <c r="D5441">
        <v>5.5487449999999896</v>
      </c>
      <c r="E5441">
        <v>0.50880749999999997</v>
      </c>
      <c r="F5441" t="s">
        <v>42</v>
      </c>
      <c r="G5441">
        <v>-373.81849999999997</v>
      </c>
      <c r="H5441">
        <v>1.033377</v>
      </c>
      <c r="I5441">
        <v>17.536989999999999</v>
      </c>
      <c r="J5441">
        <v>-374.6216</v>
      </c>
      <c r="K5441">
        <v>1.109494</v>
      </c>
      <c r="L5441">
        <v>17.58099</v>
      </c>
      <c r="M5441">
        <v>0.99976469999999995</v>
      </c>
      <c r="N5441">
        <v>0</v>
      </c>
      <c r="O5441">
        <v>-1.8591259999999998E-2</v>
      </c>
      <c r="P5441">
        <v>0.98687259999999999</v>
      </c>
      <c r="Q5441">
        <v>0.1556285</v>
      </c>
      <c r="R5441">
        <v>-4.3155680000000002E-2</v>
      </c>
      <c r="S5441">
        <v>3.070465</v>
      </c>
      <c r="T5441">
        <v>-0.2350013</v>
      </c>
      <c r="U5441">
        <v>-0.14743039999999999</v>
      </c>
      <c r="V5441">
        <v>2.491515E-2</v>
      </c>
      <c r="W5441">
        <v>0.1666434</v>
      </c>
      <c r="X5441">
        <v>0.98570239999999998</v>
      </c>
      <c r="Y5441">
        <v>2.9349699999999999E-2</v>
      </c>
      <c r="Z5441">
        <v>2.9900659999999998E-4</v>
      </c>
      <c r="AA5441">
        <v>0.99956920000000005</v>
      </c>
      <c r="AB5441">
        <v>34</v>
      </c>
      <c r="AC5441">
        <v>0.80310000000002901</v>
      </c>
      <c r="AD5441">
        <v>-7.6116999999999893E-2</v>
      </c>
      <c r="AE5441">
        <v>-4.40000000000004E-2</v>
      </c>
      <c r="AF5441">
        <v>2.88028576027821E-2</v>
      </c>
      <c r="AG5441">
        <v>-7.6116999999999893E-2</v>
      </c>
      <c r="AH5441">
        <v>0.79664436381241599</v>
      </c>
      <c r="AI5441">
        <v>95.454330586518793</v>
      </c>
      <c r="AJ5441">
        <v>87.9293600334519</v>
      </c>
      <c r="AK5441">
        <v>0.80079063723870803</v>
      </c>
      <c r="AL5441">
        <v>80.407283804899393</v>
      </c>
      <c r="AM5441">
        <v>88.552069023321806</v>
      </c>
      <c r="AN5441">
        <v>1.0000000044144199</v>
      </c>
    </row>
    <row r="5442" spans="1:40" x14ac:dyDescent="0.25">
      <c r="A5442" t="str">
        <f>"20190312164136844"</f>
        <v>20190312164136844</v>
      </c>
      <c r="B5442" t="str">
        <f>"1552380096831333"</f>
        <v>1552380096831333</v>
      </c>
      <c r="C5442" t="s">
        <v>40</v>
      </c>
      <c r="D5442">
        <v>5.5801460000000001</v>
      </c>
      <c r="E5442">
        <v>0.5085885</v>
      </c>
      <c r="F5442" t="s">
        <v>42</v>
      </c>
      <c r="G5442">
        <v>-373.8073</v>
      </c>
      <c r="H5442">
        <v>1.048754</v>
      </c>
      <c r="I5442">
        <v>17.541799999999999</v>
      </c>
      <c r="J5442">
        <v>-374.44959999999998</v>
      </c>
      <c r="K5442">
        <v>1.109513</v>
      </c>
      <c r="L5442">
        <v>17.577670000000001</v>
      </c>
      <c r="M5442">
        <v>0.99976259999999995</v>
      </c>
      <c r="N5442">
        <v>0</v>
      </c>
      <c r="O5442">
        <v>-1.872948E-2</v>
      </c>
      <c r="P5442">
        <v>0.98689369999999998</v>
      </c>
      <c r="Q5442">
        <v>0.15529660000000001</v>
      </c>
      <c r="R5442">
        <v>-4.3865910000000001E-2</v>
      </c>
      <c r="S5442">
        <v>3.0694889999999999</v>
      </c>
      <c r="T5442">
        <v>-0.2288724</v>
      </c>
      <c r="U5442">
        <v>-0.1480408</v>
      </c>
      <c r="V5442">
        <v>2.5482979999999999E-2</v>
      </c>
      <c r="W5442">
        <v>0.16627149999999999</v>
      </c>
      <c r="X5442">
        <v>0.98575069999999998</v>
      </c>
      <c r="Y5442">
        <v>2.9426819999999999E-2</v>
      </c>
      <c r="Z5442">
        <v>2.9873280000000001E-4</v>
      </c>
      <c r="AA5442">
        <v>0.99956690000000004</v>
      </c>
      <c r="AB5442">
        <v>34</v>
      </c>
      <c r="AC5442">
        <v>0.642299999999977</v>
      </c>
      <c r="AD5442">
        <v>-6.0758999999999702E-2</v>
      </c>
      <c r="AE5442">
        <v>-3.5870000000002698E-2</v>
      </c>
      <c r="AF5442">
        <v>2.3622292045316601E-2</v>
      </c>
      <c r="AG5442">
        <v>-6.0758999999999702E-2</v>
      </c>
      <c r="AH5442">
        <v>0.63717521535721999</v>
      </c>
      <c r="AI5442">
        <v>95.443356011763996</v>
      </c>
      <c r="AJ5442">
        <v>87.876819386555397</v>
      </c>
      <c r="AK5442">
        <v>0.64050130665596094</v>
      </c>
      <c r="AL5442">
        <v>80.428893725108097</v>
      </c>
      <c r="AM5442">
        <v>88.519156939600705</v>
      </c>
      <c r="AN5442">
        <v>1.0000000182662001</v>
      </c>
    </row>
    <row r="5443" spans="1:40" x14ac:dyDescent="0.25">
      <c r="A5443" t="str">
        <f>"20190312164136862"</f>
        <v>20190312164136862</v>
      </c>
      <c r="B5443" t="str">
        <f>"1552380096851829"</f>
        <v>1552380096851829</v>
      </c>
      <c r="C5443" t="s">
        <v>40</v>
      </c>
      <c r="D5443">
        <v>5.5164460000000002</v>
      </c>
      <c r="E5443">
        <v>0.508351</v>
      </c>
      <c r="F5443" t="s">
        <v>42</v>
      </c>
      <c r="G5443">
        <v>-373.50990000000002</v>
      </c>
      <c r="H5443">
        <v>1.040662</v>
      </c>
      <c r="I5443">
        <v>17.531929999999999</v>
      </c>
      <c r="J5443">
        <v>-374.17599999999999</v>
      </c>
      <c r="K5443">
        <v>1.109545</v>
      </c>
      <c r="L5443">
        <v>17.57236</v>
      </c>
      <c r="M5443">
        <v>0.99975970000000003</v>
      </c>
      <c r="N5443">
        <v>0</v>
      </c>
      <c r="O5443">
        <v>-1.891762E-2</v>
      </c>
      <c r="P5443">
        <v>0.98694530000000003</v>
      </c>
      <c r="Q5443">
        <v>0.1544625</v>
      </c>
      <c r="R5443">
        <v>-4.5615320000000001E-2</v>
      </c>
      <c r="S5443">
        <v>3.0686339999999999</v>
      </c>
      <c r="T5443">
        <v>-0.2248272</v>
      </c>
      <c r="U5443">
        <v>-0.14849849999999901</v>
      </c>
      <c r="V5443">
        <v>2.7035320000000002E-2</v>
      </c>
      <c r="W5443">
        <v>0.16537950000000001</v>
      </c>
      <c r="X5443">
        <v>0.98585940000000005</v>
      </c>
      <c r="Y5443">
        <v>2.9402480000000002E-2</v>
      </c>
      <c r="Z5443">
        <v>3.0818950000000001E-4</v>
      </c>
      <c r="AA5443">
        <v>0.9995676</v>
      </c>
      <c r="AB5443">
        <v>34</v>
      </c>
      <c r="AC5443">
        <v>0.66609999999997105</v>
      </c>
      <c r="AD5443">
        <v>-6.8883E-2</v>
      </c>
      <c r="AE5443">
        <v>-4.0430000000000597E-2</v>
      </c>
      <c r="AF5443">
        <v>2.7527660703305101E-2</v>
      </c>
      <c r="AG5443">
        <v>-6.8883E-2</v>
      </c>
      <c r="AH5443">
        <v>0.65971647618262597</v>
      </c>
      <c r="AI5443">
        <v>95.955681914662193</v>
      </c>
      <c r="AJ5443">
        <v>87.6106336215162</v>
      </c>
      <c r="AK5443">
        <v>0.66387383495632402</v>
      </c>
      <c r="AL5443">
        <v>80.480719114032297</v>
      </c>
      <c r="AM5443">
        <v>88.4291658524741</v>
      </c>
      <c r="AN5443">
        <v>1.0000000220580501</v>
      </c>
    </row>
    <row r="5444" spans="1:40" x14ac:dyDescent="0.25">
      <c r="A5444" t="str">
        <f>"20190312164136872"</f>
        <v>20190312164136872</v>
      </c>
      <c r="B5444" t="str">
        <f>"1552380096861589"</f>
        <v>1552380096861589</v>
      </c>
      <c r="C5444" t="s">
        <v>40</v>
      </c>
      <c r="D5444">
        <v>5.5384460000000004</v>
      </c>
      <c r="E5444">
        <v>0.50832279999999996</v>
      </c>
      <c r="F5444" t="s">
        <v>42</v>
      </c>
      <c r="G5444">
        <v>-373.20530000000002</v>
      </c>
      <c r="H5444">
        <v>1.0396669999999999</v>
      </c>
      <c r="I5444">
        <v>17.523779999999999</v>
      </c>
      <c r="J5444">
        <v>-374.01249999999999</v>
      </c>
      <c r="K5444">
        <v>1.109567</v>
      </c>
      <c r="L5444">
        <v>17.569179999999999</v>
      </c>
      <c r="M5444">
        <v>0.99975829999999999</v>
      </c>
      <c r="N5444">
        <v>0</v>
      </c>
      <c r="O5444">
        <v>-1.9009930000000001E-2</v>
      </c>
      <c r="P5444">
        <v>0.9870099</v>
      </c>
      <c r="Q5444">
        <v>0.1538186</v>
      </c>
      <c r="R5444">
        <v>-4.638453E-2</v>
      </c>
      <c r="S5444">
        <v>3.0671689999999998</v>
      </c>
      <c r="T5444">
        <v>-0.22081780000000001</v>
      </c>
      <c r="U5444">
        <v>-0.1522522</v>
      </c>
      <c r="V5444">
        <v>2.7704800000000002E-2</v>
      </c>
      <c r="W5444">
        <v>0.16470509999999999</v>
      </c>
      <c r="X5444">
        <v>0.98595370000000004</v>
      </c>
      <c r="Y5444">
        <v>3.05518E-2</v>
      </c>
      <c r="Z5444">
        <v>2.6817650000000002E-4</v>
      </c>
      <c r="AA5444">
        <v>0.99953320000000001</v>
      </c>
      <c r="AB5444">
        <v>34</v>
      </c>
      <c r="AC5444">
        <v>0.80719999999996594</v>
      </c>
      <c r="AD5444">
        <v>-6.9900000000000004E-2</v>
      </c>
      <c r="AE5444">
        <v>-4.5400000000000697E-2</v>
      </c>
      <c r="AF5444">
        <v>2.9823111179403301E-2</v>
      </c>
      <c r="AG5444">
        <v>-6.9900000000000004E-2</v>
      </c>
      <c r="AH5444">
        <v>0.80192272144069998</v>
      </c>
      <c r="AI5444">
        <v>94.978200511518494</v>
      </c>
      <c r="AJ5444">
        <v>87.870179697306199</v>
      </c>
      <c r="AK5444">
        <v>0.80551566038363198</v>
      </c>
      <c r="AL5444">
        <v>80.519896555153693</v>
      </c>
      <c r="AM5444">
        <v>88.3904411286873</v>
      </c>
      <c r="AN5444">
        <v>1.0000000122263699</v>
      </c>
    </row>
    <row r="5445" spans="1:40" x14ac:dyDescent="0.25">
      <c r="A5445" t="str">
        <f>"20190312164136895"</f>
        <v>20190312164136895</v>
      </c>
      <c r="B5445" t="str">
        <f>"1552380096891845"</f>
        <v>1552380096891845</v>
      </c>
      <c r="C5445" t="s">
        <v>40</v>
      </c>
      <c r="D5445">
        <v>5.8117260000000002</v>
      </c>
      <c r="E5445">
        <v>0.50816879999999998</v>
      </c>
      <c r="F5445" t="s">
        <v>42</v>
      </c>
      <c r="G5445">
        <v>-373.18920000000003</v>
      </c>
      <c r="H5445">
        <v>1.0504579999999999</v>
      </c>
      <c r="I5445">
        <v>17.527329999999999</v>
      </c>
      <c r="J5445">
        <v>-373.67129999999997</v>
      </c>
      <c r="K5445">
        <v>1.1096109999999999</v>
      </c>
      <c r="L5445">
        <v>17.562529999999999</v>
      </c>
      <c r="M5445">
        <v>0.99975599999999998</v>
      </c>
      <c r="N5445">
        <v>0</v>
      </c>
      <c r="O5445">
        <v>-1.916965E-2</v>
      </c>
      <c r="P5445">
        <v>0.98705489999999996</v>
      </c>
      <c r="Q5445">
        <v>0.15295510000000001</v>
      </c>
      <c r="R5445">
        <v>-4.8246009999999999E-2</v>
      </c>
      <c r="S5445">
        <v>3.0665279999999999</v>
      </c>
      <c r="T5445">
        <v>-0.22022220000000001</v>
      </c>
      <c r="U5445">
        <v>-0.1544189</v>
      </c>
      <c r="V5445">
        <v>2.9392290000000001E-2</v>
      </c>
      <c r="W5445">
        <v>0.16378409999999999</v>
      </c>
      <c r="X5445">
        <v>0.9860582</v>
      </c>
      <c r="Y5445">
        <v>3.1106109999999999E-2</v>
      </c>
      <c r="Z5445">
        <v>2.5908140000000001E-4</v>
      </c>
      <c r="AA5445">
        <v>0.99951610000000002</v>
      </c>
      <c r="AB5445">
        <v>34</v>
      </c>
      <c r="AC5445">
        <v>0.48209999999994502</v>
      </c>
      <c r="AD5445">
        <v>-5.9153000000000198E-2</v>
      </c>
      <c r="AE5445">
        <v>-3.51999999999996E-2</v>
      </c>
      <c r="AF5445">
        <v>2.5568396386415799E-2</v>
      </c>
      <c r="AG5445">
        <v>-5.9153000000000198E-2</v>
      </c>
      <c r="AH5445">
        <v>0.47556457873382701</v>
      </c>
      <c r="AI5445">
        <v>97.080185444508402</v>
      </c>
      <c r="AJ5445">
        <v>86.922495552688801</v>
      </c>
      <c r="AK5445">
        <v>0.479910917618109</v>
      </c>
      <c r="AL5445">
        <v>80.573391927765599</v>
      </c>
      <c r="AM5445">
        <v>88.292640670416105</v>
      </c>
      <c r="AN5445">
        <v>0.99999995595574598</v>
      </c>
    </row>
    <row r="5446" spans="1:40" x14ac:dyDescent="0.25">
      <c r="A5446" t="str">
        <f>"20190312164136906"</f>
        <v>20190312164136906</v>
      </c>
      <c r="B5446" t="str">
        <f>"1552380096901605"</f>
        <v>1552380096901605</v>
      </c>
      <c r="C5446" t="s">
        <v>40</v>
      </c>
      <c r="D5446">
        <v>5.4269809999999996</v>
      </c>
      <c r="E5446">
        <v>0.50805140000000004</v>
      </c>
      <c r="F5446" t="s">
        <v>41</v>
      </c>
      <c r="G5446">
        <v>-358.00389999999999</v>
      </c>
      <c r="H5446" s="1">
        <v>-1.427897E-6</v>
      </c>
      <c r="I5446">
        <v>16.750229999999998</v>
      </c>
      <c r="J5446">
        <v>-373.49669999999998</v>
      </c>
      <c r="K5446">
        <v>1.1096330000000001</v>
      </c>
      <c r="L5446">
        <v>17.55911</v>
      </c>
      <c r="M5446">
        <v>0.99975510000000001</v>
      </c>
      <c r="N5446">
        <v>0</v>
      </c>
      <c r="O5446">
        <v>-1.9233380000000001E-2</v>
      </c>
      <c r="P5446">
        <v>0.98697970000000002</v>
      </c>
      <c r="Q5446">
        <v>0.15307860000000001</v>
      </c>
      <c r="R5446">
        <v>-4.937884E-2</v>
      </c>
      <c r="S5446">
        <v>3.0652159999999999</v>
      </c>
      <c r="T5446">
        <v>-0.21708820000000001</v>
      </c>
      <c r="U5446">
        <v>-0.15890499999999999</v>
      </c>
      <c r="V5446">
        <v>3.0456609999999999E-2</v>
      </c>
      <c r="W5446">
        <v>0.163881</v>
      </c>
      <c r="X5446">
        <v>0.98600980000000005</v>
      </c>
      <c r="Y5446">
        <v>3.2520350000000003E-2</v>
      </c>
      <c r="Z5446">
        <v>2.1001710000000001E-4</v>
      </c>
      <c r="AA5446">
        <v>0.99947109999999995</v>
      </c>
      <c r="AB5446">
        <v>34</v>
      </c>
      <c r="AC5446">
        <v>15.4927999999999</v>
      </c>
      <c r="AD5446">
        <v>-1.1096344278970001</v>
      </c>
      <c r="AE5446">
        <v>-0.80888000000000204</v>
      </c>
      <c r="AF5446">
        <v>0.50813405632616104</v>
      </c>
      <c r="AG5446">
        <v>-1.1096344278970001</v>
      </c>
      <c r="AH5446">
        <v>15.426572222264999</v>
      </c>
      <c r="AI5446">
        <v>94.111981256011205</v>
      </c>
      <c r="AJ5446">
        <v>88.113423122477201</v>
      </c>
      <c r="AK5446">
        <v>15.474773643305101</v>
      </c>
      <c r="AL5446">
        <v>80.5677639267182</v>
      </c>
      <c r="AM5446">
        <v>88.230767543322301</v>
      </c>
      <c r="AN5446">
        <v>0.99999995647486495</v>
      </c>
    </row>
    <row r="5447" spans="1:40" x14ac:dyDescent="0.25">
      <c r="A5447" t="str">
        <f>"20190312164136918"</f>
        <v>20190312164136918</v>
      </c>
      <c r="B5447" t="str">
        <f>"1552380096911365"</f>
        <v>1552380096911365</v>
      </c>
      <c r="C5447" t="s">
        <v>40</v>
      </c>
      <c r="D5447">
        <v>5.5550309999999996</v>
      </c>
      <c r="E5447">
        <v>0.50799349999999999</v>
      </c>
      <c r="F5447" t="s">
        <v>42</v>
      </c>
      <c r="G5447">
        <v>-372.58940000000001</v>
      </c>
      <c r="H5447">
        <v>1.04616</v>
      </c>
      <c r="I5447">
        <v>17.51097</v>
      </c>
      <c r="J5447">
        <v>-373.31959999999998</v>
      </c>
      <c r="K5447">
        <v>1.109658</v>
      </c>
      <c r="L5447">
        <v>17.55566</v>
      </c>
      <c r="M5447">
        <v>0.99975429999999998</v>
      </c>
      <c r="N5447">
        <v>0</v>
      </c>
      <c r="O5447">
        <v>-1.929343E-2</v>
      </c>
      <c r="P5447">
        <v>0.98697330000000005</v>
      </c>
      <c r="Q5447">
        <v>0.15280479999999999</v>
      </c>
      <c r="R5447">
        <v>-5.0345349999999997E-2</v>
      </c>
      <c r="S5447">
        <v>3.0647280000000001</v>
      </c>
      <c r="T5447">
        <v>-0.21434410000000001</v>
      </c>
      <c r="U5447">
        <v>-0.16180420000000001</v>
      </c>
      <c r="V5447">
        <v>3.135661E-2</v>
      </c>
      <c r="W5447">
        <v>0.1635818</v>
      </c>
      <c r="X5447">
        <v>0.98603130000000005</v>
      </c>
      <c r="Y5447">
        <v>3.3410250000000002E-2</v>
      </c>
      <c r="Z5447">
        <v>1.8052399999999999E-4</v>
      </c>
      <c r="AA5447">
        <v>0.99944169999999999</v>
      </c>
      <c r="AB5447">
        <v>34</v>
      </c>
      <c r="AC5447">
        <v>0.73019999999996799</v>
      </c>
      <c r="AD5447">
        <v>-6.3497999999999999E-2</v>
      </c>
      <c r="AE5447">
        <v>-4.4689999999999203E-2</v>
      </c>
      <c r="AF5447">
        <v>3.0364023224304801E-2</v>
      </c>
      <c r="AG5447">
        <v>-6.3497999999999999E-2</v>
      </c>
      <c r="AH5447">
        <v>0.72546088234195705</v>
      </c>
      <c r="AI5447">
        <v>94.997872114287503</v>
      </c>
      <c r="AJ5447">
        <v>87.603295246185496</v>
      </c>
      <c r="AK5447">
        <v>0.728867245607001</v>
      </c>
      <c r="AL5447">
        <v>80.585141589749199</v>
      </c>
      <c r="AM5447">
        <v>88.178560710820307</v>
      </c>
      <c r="AN5447">
        <v>0.99999998343080998</v>
      </c>
    </row>
    <row r="5448" spans="1:40" x14ac:dyDescent="0.25">
      <c r="A5448" t="str">
        <f>"20190312164136930"</f>
        <v>20190312164136930</v>
      </c>
      <c r="B5448" t="str">
        <f>"1552380096922101"</f>
        <v>1552380096922101</v>
      </c>
      <c r="C5448" t="s">
        <v>40</v>
      </c>
      <c r="D5448">
        <v>5.5376110000000001</v>
      </c>
      <c r="E5448">
        <v>0.50787729999999998</v>
      </c>
      <c r="F5448" t="s">
        <v>42</v>
      </c>
      <c r="G5448">
        <v>-372.2894</v>
      </c>
      <c r="H5448">
        <v>1.037793</v>
      </c>
      <c r="I5448">
        <v>17.49982</v>
      </c>
      <c r="J5448">
        <v>-373.11939999999998</v>
      </c>
      <c r="K5448">
        <v>1.1096710000000001</v>
      </c>
      <c r="L5448">
        <v>17.551729999999999</v>
      </c>
      <c r="M5448">
        <v>0.99975340000000001</v>
      </c>
      <c r="N5448">
        <v>0</v>
      </c>
      <c r="O5448">
        <v>-1.934636E-2</v>
      </c>
      <c r="P5448">
        <v>0.98691620000000002</v>
      </c>
      <c r="Q5448">
        <v>0.1528697</v>
      </c>
      <c r="R5448">
        <v>-5.1257820000000003E-2</v>
      </c>
      <c r="S5448">
        <v>3.0642399999999999</v>
      </c>
      <c r="T5448">
        <v>-0.2137657</v>
      </c>
      <c r="U5448">
        <v>-0.16488649999999999</v>
      </c>
      <c r="V5448">
        <v>3.2211629999999998E-2</v>
      </c>
      <c r="W5448">
        <v>0.1636214</v>
      </c>
      <c r="X5448">
        <v>0.98599720000000002</v>
      </c>
      <c r="Y5448">
        <v>3.4366180000000003E-2</v>
      </c>
      <c r="Z5448">
        <v>1.5046349999999999E-4</v>
      </c>
      <c r="AA5448">
        <v>0.99940929999999994</v>
      </c>
      <c r="AB5448">
        <v>34</v>
      </c>
      <c r="AC5448">
        <v>0.82999999999998397</v>
      </c>
      <c r="AD5448">
        <v>-7.1877999999999803E-2</v>
      </c>
      <c r="AE5448">
        <v>-5.1909999999999401E-2</v>
      </c>
      <c r="AF5448">
        <v>3.5576084859041998E-2</v>
      </c>
      <c r="AG5448">
        <v>-7.1877999999999803E-2</v>
      </c>
      <c r="AH5448">
        <v>0.82468826792633998</v>
      </c>
      <c r="AI5448">
        <v>94.976580158418699</v>
      </c>
      <c r="AJ5448">
        <v>87.529858773183605</v>
      </c>
      <c r="AK5448">
        <v>0.82857880974186404</v>
      </c>
      <c r="AL5448">
        <v>80.582841989359096</v>
      </c>
      <c r="AM5448">
        <v>88.128864575219396</v>
      </c>
      <c r="AN5448">
        <v>1.00000001502652</v>
      </c>
    </row>
    <row r="5449" spans="1:40" x14ac:dyDescent="0.25">
      <c r="A5449" t="str">
        <f>"20190312164136944"</f>
        <v>20190312164136944</v>
      </c>
      <c r="B5449" t="str">
        <f>"1552380096931861"</f>
        <v>1552380096931861</v>
      </c>
      <c r="C5449" t="s">
        <v>40</v>
      </c>
      <c r="D5449">
        <v>5.5041370000000001</v>
      </c>
      <c r="E5449">
        <v>0.50773780000000002</v>
      </c>
      <c r="F5449" t="s">
        <v>42</v>
      </c>
      <c r="G5449">
        <v>-372.27789999999999</v>
      </c>
      <c r="H5449">
        <v>1.051466</v>
      </c>
      <c r="I5449">
        <v>17.505379999999999</v>
      </c>
      <c r="J5449">
        <v>-372.92239999999998</v>
      </c>
      <c r="K5449">
        <v>1.1096900000000001</v>
      </c>
      <c r="L5449">
        <v>17.547879999999999</v>
      </c>
      <c r="M5449">
        <v>0.9997528</v>
      </c>
      <c r="N5449">
        <v>0</v>
      </c>
      <c r="O5449">
        <v>-1.9393259999999999E-2</v>
      </c>
      <c r="P5449">
        <v>0.98684890000000003</v>
      </c>
      <c r="Q5449">
        <v>0.15304079999999901</v>
      </c>
      <c r="R5449">
        <v>-5.2036109999999997E-2</v>
      </c>
      <c r="S5449">
        <v>3.0638429999999999</v>
      </c>
      <c r="T5449">
        <v>-0.21191950000000001</v>
      </c>
      <c r="U5449">
        <v>-0.16723629999999901</v>
      </c>
      <c r="V5449">
        <v>3.2939690000000001E-2</v>
      </c>
      <c r="W5449">
        <v>0.16376859999999999</v>
      </c>
      <c r="X5449">
        <v>0.98594870000000001</v>
      </c>
      <c r="Y5449">
        <v>3.5089519999999999E-2</v>
      </c>
      <c r="Z5449">
        <v>1.2744880000000001E-4</v>
      </c>
      <c r="AA5449">
        <v>0.99938419999999895</v>
      </c>
      <c r="AB5449">
        <v>34</v>
      </c>
      <c r="AC5449">
        <v>0.64449999999999297</v>
      </c>
      <c r="AD5449">
        <v>-5.8223999999999998E-2</v>
      </c>
      <c r="AE5449">
        <v>-4.2500000000000399E-2</v>
      </c>
      <c r="AF5449">
        <v>2.97505597479387E-2</v>
      </c>
      <c r="AG5449">
        <v>-5.8223999999999998E-2</v>
      </c>
      <c r="AH5449">
        <v>0.64000241495271504</v>
      </c>
      <c r="AI5449">
        <v>95.192578243945206</v>
      </c>
      <c r="AJ5449">
        <v>87.338517366861694</v>
      </c>
      <c r="AK5449">
        <v>0.64333367790488305</v>
      </c>
      <c r="AL5449">
        <v>80.574292665552207</v>
      </c>
      <c r="AM5449">
        <v>88.086509469702193</v>
      </c>
      <c r="AN5449">
        <v>1.00000000827747</v>
      </c>
    </row>
    <row r="5450" spans="1:40" x14ac:dyDescent="0.25">
      <c r="A5450" t="str">
        <f>"20190312164136964"</f>
        <v>20190312164136964</v>
      </c>
      <c r="B5450" t="str">
        <f>"1552380096951381"</f>
        <v>1552380096951381</v>
      </c>
      <c r="C5450" t="s">
        <v>40</v>
      </c>
      <c r="D5450">
        <v>5.424385</v>
      </c>
      <c r="E5450">
        <v>0.50754849999999996</v>
      </c>
      <c r="F5450" t="s">
        <v>42</v>
      </c>
      <c r="G5450">
        <v>-371.97910000000002</v>
      </c>
      <c r="H5450">
        <v>1.0448059999999999</v>
      </c>
      <c r="I5450">
        <v>17.49558</v>
      </c>
      <c r="J5450">
        <v>-372.6225</v>
      </c>
      <c r="K5450">
        <v>1.1097170000000001</v>
      </c>
      <c r="L5450">
        <v>17.541989999999998</v>
      </c>
      <c r="M5450">
        <v>0.99975199999999997</v>
      </c>
      <c r="N5450">
        <v>0</v>
      </c>
      <c r="O5450">
        <v>-1.94532E-2</v>
      </c>
      <c r="P5450">
        <v>0.98671160000000002</v>
      </c>
      <c r="Q5450">
        <v>0.15333869999999999</v>
      </c>
      <c r="R5450">
        <v>-5.3738599999999997E-2</v>
      </c>
      <c r="S5450">
        <v>3.0637509999999999</v>
      </c>
      <c r="T5450">
        <v>-0.2107224</v>
      </c>
      <c r="U5450">
        <v>-0.16918949999999999</v>
      </c>
      <c r="V5450">
        <v>3.4579520000000002E-2</v>
      </c>
      <c r="W5450">
        <v>0.16403389999999901</v>
      </c>
      <c r="X5450">
        <v>0.98584839999999996</v>
      </c>
      <c r="Y5450">
        <v>3.5665620000000002E-2</v>
      </c>
      <c r="Z5450">
        <v>1.110693E-4</v>
      </c>
      <c r="AA5450">
        <v>0.99936380000000002</v>
      </c>
      <c r="AB5450">
        <v>34</v>
      </c>
      <c r="AC5450">
        <v>0.64339999999998498</v>
      </c>
      <c r="AD5450">
        <v>-6.4911000000000094E-2</v>
      </c>
      <c r="AE5450">
        <v>-4.6409999999998001E-2</v>
      </c>
      <c r="AF5450">
        <v>3.3544632933843202E-2</v>
      </c>
      <c r="AG5450">
        <v>-6.4911000000000094E-2</v>
      </c>
      <c r="AH5450">
        <v>0.63772377580273698</v>
      </c>
      <c r="AI5450">
        <v>95.803892159670198</v>
      </c>
      <c r="AJ5450">
        <v>86.988984377909503</v>
      </c>
      <c r="AK5450">
        <v>0.64189585957830098</v>
      </c>
      <c r="AL5450">
        <v>80.558883310303202</v>
      </c>
      <c r="AM5450">
        <v>87.991122544283499</v>
      </c>
      <c r="AN5450">
        <v>0.99999996566759897</v>
      </c>
    </row>
    <row r="5451" spans="1:40" x14ac:dyDescent="0.25">
      <c r="A5451" t="str">
        <f>"20190312164136985"</f>
        <v>20190312164136985</v>
      </c>
      <c r="B5451" t="str">
        <f>"1552380096981636"</f>
        <v>1552380096981636</v>
      </c>
      <c r="C5451" t="s">
        <v>40</v>
      </c>
      <c r="D5451">
        <v>5.4518490000000002</v>
      </c>
      <c r="E5451">
        <v>0.50717999999999996</v>
      </c>
      <c r="F5451" t="s">
        <v>42</v>
      </c>
      <c r="G5451">
        <v>-371.67270000000002</v>
      </c>
      <c r="H5451">
        <v>1.045086</v>
      </c>
      <c r="I5451">
        <v>17.48789</v>
      </c>
      <c r="J5451">
        <v>-372.29689999999999</v>
      </c>
      <c r="K5451">
        <v>1.109737</v>
      </c>
      <c r="L5451">
        <v>17.53558</v>
      </c>
      <c r="M5451">
        <v>0.99975130000000001</v>
      </c>
      <c r="N5451">
        <v>0</v>
      </c>
      <c r="O5451">
        <v>-1.9508190000000002E-2</v>
      </c>
      <c r="P5451">
        <v>0.98668940000000005</v>
      </c>
      <c r="Q5451">
        <v>0.1531757</v>
      </c>
      <c r="R5451">
        <v>-5.460454E-2</v>
      </c>
      <c r="S5451">
        <v>3.0633240000000002</v>
      </c>
      <c r="T5451">
        <v>-0.2084191</v>
      </c>
      <c r="U5451">
        <v>-0.17373659999999999</v>
      </c>
      <c r="V5451">
        <v>3.5387259999999997E-2</v>
      </c>
      <c r="W5451">
        <v>0.1638396</v>
      </c>
      <c r="X5451">
        <v>0.98585210000000001</v>
      </c>
      <c r="Y5451">
        <v>3.7094729999999999E-2</v>
      </c>
      <c r="Z5451" s="1">
        <v>6.5075229999999999E-5</v>
      </c>
      <c r="AA5451">
        <v>0.99931170000000002</v>
      </c>
      <c r="AB5451">
        <v>34</v>
      </c>
      <c r="AC5451">
        <v>0.624199999999973</v>
      </c>
      <c r="AD5451">
        <v>-6.4651E-2</v>
      </c>
      <c r="AE5451">
        <v>-4.7689999999999302E-2</v>
      </c>
      <c r="AF5451">
        <v>3.5128541871543899E-2</v>
      </c>
      <c r="AG5451">
        <v>-6.4651E-2</v>
      </c>
      <c r="AH5451">
        <v>0.61841597399031001</v>
      </c>
      <c r="AI5451">
        <v>95.958651100504298</v>
      </c>
      <c r="AJ5451">
        <v>86.748860568087295</v>
      </c>
      <c r="AK5451">
        <v>0.62277771567502704</v>
      </c>
      <c r="AL5451">
        <v>80.570169057403604</v>
      </c>
      <c r="AM5451">
        <v>87.944244863267798</v>
      </c>
      <c r="AN5451">
        <v>1.0000000178864299</v>
      </c>
    </row>
    <row r="5452" spans="1:40" x14ac:dyDescent="0.25">
      <c r="A5452" t="str">
        <f>"20190312164137000"</f>
        <v>20190312164137000</v>
      </c>
      <c r="B5452" t="str">
        <f>"1552380096991397"</f>
        <v>1552380096991397</v>
      </c>
      <c r="C5452" t="s">
        <v>40</v>
      </c>
      <c r="D5452">
        <v>5.4304500000000004</v>
      </c>
      <c r="E5452">
        <v>0.50707999999999998</v>
      </c>
      <c r="F5452" t="s">
        <v>42</v>
      </c>
      <c r="G5452">
        <v>-371.36439999999999</v>
      </c>
      <c r="H5452">
        <v>1.0468090000000001</v>
      </c>
      <c r="I5452">
        <v>17.482320000000001</v>
      </c>
      <c r="J5452">
        <v>-372.07389999999998</v>
      </c>
      <c r="K5452">
        <v>1.109745</v>
      </c>
      <c r="L5452">
        <v>17.531189999999999</v>
      </c>
      <c r="M5452">
        <v>0.99975069999999999</v>
      </c>
      <c r="N5452">
        <v>0</v>
      </c>
      <c r="O5452">
        <v>-1.9543049999999999E-2</v>
      </c>
      <c r="P5452">
        <v>0.98665809999999998</v>
      </c>
      <c r="Q5452">
        <v>0.15322269999999999</v>
      </c>
      <c r="R5452">
        <v>-5.5032650000000002E-2</v>
      </c>
      <c r="S5452">
        <v>3.0629580000000001</v>
      </c>
      <c r="T5452">
        <v>-0.20677690000000001</v>
      </c>
      <c r="U5452">
        <v>-0.1737061</v>
      </c>
      <c r="V5452">
        <v>3.5779480000000002E-2</v>
      </c>
      <c r="W5452">
        <v>0.16386500000000001</v>
      </c>
      <c r="X5452">
        <v>0.98583370000000003</v>
      </c>
      <c r="Y5452">
        <v>3.7057519999999997E-2</v>
      </c>
      <c r="Z5452" s="1">
        <v>6.817339E-5</v>
      </c>
      <c r="AA5452">
        <v>0.99931309999999995</v>
      </c>
      <c r="AB5452">
        <v>34</v>
      </c>
      <c r="AC5452">
        <v>0.70949999999999103</v>
      </c>
      <c r="AD5452">
        <v>-6.2935999999999798E-2</v>
      </c>
      <c r="AE5452">
        <v>-4.88699999999972E-2</v>
      </c>
      <c r="AF5452">
        <v>3.4722141046721298E-2</v>
      </c>
      <c r="AG5452">
        <v>-6.2935999999999798E-2</v>
      </c>
      <c r="AH5452">
        <v>0.70480005401662005</v>
      </c>
      <c r="AI5452">
        <v>95.096615439372997</v>
      </c>
      <c r="AJ5452">
        <v>87.179590192486302</v>
      </c>
      <c r="AK5452">
        <v>0.70845584429567598</v>
      </c>
      <c r="AL5452">
        <v>80.568693605132594</v>
      </c>
      <c r="AM5452">
        <v>87.921440708745607</v>
      </c>
      <c r="AN5452">
        <v>0.99999999673488005</v>
      </c>
    </row>
    <row r="5453" spans="1:40" x14ac:dyDescent="0.25">
      <c r="A5453" t="str">
        <f>"20190312164137018"</f>
        <v>20190312164137018</v>
      </c>
      <c r="B5453" t="str">
        <f>"1552380097011893"</f>
        <v>1552380097011893</v>
      </c>
      <c r="C5453" t="s">
        <v>40</v>
      </c>
      <c r="D5453">
        <v>5.472537</v>
      </c>
      <c r="E5453">
        <v>0.50675490000000001</v>
      </c>
      <c r="F5453" t="s">
        <v>42</v>
      </c>
      <c r="G5453">
        <v>-371.06209999999999</v>
      </c>
      <c r="H5453">
        <v>1.040764</v>
      </c>
      <c r="I5453">
        <v>17.473379999999999</v>
      </c>
      <c r="J5453">
        <v>-371.78019999999998</v>
      </c>
      <c r="K5453">
        <v>1.109753</v>
      </c>
      <c r="L5453">
        <v>17.525389999999899</v>
      </c>
      <c r="M5453">
        <v>0.99975029999999998</v>
      </c>
      <c r="N5453">
        <v>0</v>
      </c>
      <c r="O5453">
        <v>-1.9588479999999998E-2</v>
      </c>
      <c r="P5453">
        <v>0.98666290000000001</v>
      </c>
      <c r="Q5453">
        <v>0.1530424</v>
      </c>
      <c r="R5453">
        <v>-5.5448669999999999E-2</v>
      </c>
      <c r="S5453">
        <v>3.0633240000000002</v>
      </c>
      <c r="T5453">
        <v>-0.2088315</v>
      </c>
      <c r="U5453">
        <v>-0.17404169999999999</v>
      </c>
      <c r="V5453">
        <v>3.6148319999999998E-2</v>
      </c>
      <c r="W5453">
        <v>0.16365759999999999</v>
      </c>
      <c r="X5453">
        <v>0.98585469999999997</v>
      </c>
      <c r="Y5453">
        <v>3.7113699999999902E-2</v>
      </c>
      <c r="Z5453" s="1">
        <v>7.0018340000000003E-5</v>
      </c>
      <c r="AA5453">
        <v>0.99931099999999995</v>
      </c>
      <c r="AB5453">
        <v>34</v>
      </c>
      <c r="AC5453">
        <v>0.71809999999999197</v>
      </c>
      <c r="AD5453">
        <v>-6.8988999999999898E-2</v>
      </c>
      <c r="AE5453">
        <v>-5.2009999999999203E-2</v>
      </c>
      <c r="AF5453">
        <v>3.7587604982396501E-2</v>
      </c>
      <c r="AG5453">
        <v>-6.8988999999999898E-2</v>
      </c>
      <c r="AH5453">
        <v>0.71243973068608002</v>
      </c>
      <c r="AI5453">
        <v>95.523349476368907</v>
      </c>
      <c r="AJ5453">
        <v>86.979932245717293</v>
      </c>
      <c r="AK5453">
        <v>0.71675845305749097</v>
      </c>
      <c r="AL5453">
        <v>80.580739401576906</v>
      </c>
      <c r="AM5453">
        <v>87.900077238497701</v>
      </c>
      <c r="AN5453">
        <v>1.0000000002943299</v>
      </c>
    </row>
    <row r="5454" spans="1:40" x14ac:dyDescent="0.25">
      <c r="A5454" t="str">
        <f>"20190312164137030"</f>
        <v>20190312164137030</v>
      </c>
      <c r="B5454" t="str">
        <f>"1552380097021654"</f>
        <v>1552380097021654</v>
      </c>
      <c r="C5454" t="s">
        <v>40</v>
      </c>
      <c r="D5454">
        <v>5.3850889999999998</v>
      </c>
      <c r="E5454">
        <v>0.50667580000000001</v>
      </c>
      <c r="F5454" t="s">
        <v>42</v>
      </c>
      <c r="G5454">
        <v>-370.75560000000002</v>
      </c>
      <c r="H5454">
        <v>1.039474</v>
      </c>
      <c r="I5454">
        <v>17.467649999999999</v>
      </c>
      <c r="J5454">
        <v>-371.59440000000001</v>
      </c>
      <c r="K5454">
        <v>1.1097539999999999</v>
      </c>
      <c r="L5454">
        <v>17.521729999999899</v>
      </c>
      <c r="M5454">
        <v>0.99974980000000002</v>
      </c>
      <c r="N5454">
        <v>0</v>
      </c>
      <c r="O5454">
        <v>-1.9618139999999999E-2</v>
      </c>
      <c r="P5454">
        <v>0.98660729999999996</v>
      </c>
      <c r="Q5454">
        <v>0.15323030000000001</v>
      </c>
      <c r="R5454">
        <v>-5.5917580000000001E-2</v>
      </c>
      <c r="S5454">
        <v>3.0634769999999998</v>
      </c>
      <c r="T5454">
        <v>-0.21013390000000001</v>
      </c>
      <c r="U5454">
        <v>-0.1724243</v>
      </c>
      <c r="V5454">
        <v>3.6587870000000002E-2</v>
      </c>
      <c r="W5454">
        <v>0.1638259</v>
      </c>
      <c r="X5454">
        <v>0.98581050000000003</v>
      </c>
      <c r="Y5454">
        <v>3.6556180000000001E-2</v>
      </c>
      <c r="Z5454" s="1">
        <v>9.1566470000000003E-5</v>
      </c>
      <c r="AA5454">
        <v>0.99933159999999999</v>
      </c>
      <c r="AB5454">
        <v>34</v>
      </c>
      <c r="AC5454">
        <v>0.838799999999992</v>
      </c>
      <c r="AD5454">
        <v>-7.0280000000000106E-2</v>
      </c>
      <c r="AE5454">
        <v>-5.4079999999998997E-2</v>
      </c>
      <c r="AF5454">
        <v>3.7351814875025299E-2</v>
      </c>
      <c r="AG5454">
        <v>-7.0280000000000106E-2</v>
      </c>
      <c r="AH5454">
        <v>0.83386989820676805</v>
      </c>
      <c r="AI5454">
        <v>94.812798794648899</v>
      </c>
      <c r="AJ5454">
        <v>87.4352453010858</v>
      </c>
      <c r="AK5454">
        <v>0.83765950338417605</v>
      </c>
      <c r="AL5454">
        <v>80.570964303714106</v>
      </c>
      <c r="AM5454">
        <v>87.874471035343007</v>
      </c>
      <c r="AN5454">
        <v>0.99999996982609796</v>
      </c>
    </row>
    <row r="5455" spans="1:40" x14ac:dyDescent="0.25">
      <c r="A5455" t="str">
        <f>"20190312164137042"</f>
        <v>20190312164137042</v>
      </c>
      <c r="B5455" t="str">
        <f>"1552380097031413"</f>
        <v>1552380097031413</v>
      </c>
      <c r="C5455" t="s">
        <v>40</v>
      </c>
      <c r="D5455">
        <v>5.5062230000000003</v>
      </c>
      <c r="E5455">
        <v>0.50662600000000002</v>
      </c>
      <c r="F5455" t="s">
        <v>42</v>
      </c>
      <c r="G5455">
        <v>-370.7457</v>
      </c>
      <c r="H5455">
        <v>1.051752</v>
      </c>
      <c r="I5455">
        <v>17.473739999999999</v>
      </c>
      <c r="J5455">
        <v>-371.42570000000001</v>
      </c>
      <c r="K5455">
        <v>1.1097570000000001</v>
      </c>
      <c r="L5455">
        <v>17.518370000000001</v>
      </c>
      <c r="M5455">
        <v>0.99974949999999996</v>
      </c>
      <c r="N5455">
        <v>0</v>
      </c>
      <c r="O5455">
        <v>-1.9645429999999998E-2</v>
      </c>
      <c r="P5455">
        <v>0.98657890000000004</v>
      </c>
      <c r="Q5455">
        <v>0.15328120000000001</v>
      </c>
      <c r="R5455">
        <v>-5.6277399999999998E-2</v>
      </c>
      <c r="S5455">
        <v>3.0634459999999999</v>
      </c>
      <c r="T5455">
        <v>-0.20935709999999999</v>
      </c>
      <c r="U5455">
        <v>-0.17297360000000001</v>
      </c>
      <c r="V5455">
        <v>3.6920309999999998E-2</v>
      </c>
      <c r="W5455">
        <v>0.1638598</v>
      </c>
      <c r="X5455">
        <v>0.98579249999999996</v>
      </c>
      <c r="Y5455">
        <v>3.6708089999999999E-2</v>
      </c>
      <c r="Z5455" s="1">
        <v>8.7907769999999997E-5</v>
      </c>
      <c r="AA5455">
        <v>0.99932609999999999</v>
      </c>
      <c r="AB5455">
        <v>34</v>
      </c>
      <c r="AC5455">
        <v>0.68000000000000604</v>
      </c>
      <c r="AD5455">
        <v>-5.80049999999998E-2</v>
      </c>
      <c r="AE5455">
        <v>-4.4630000000001502E-2</v>
      </c>
      <c r="AF5455">
        <v>3.1036859164634101E-2</v>
      </c>
      <c r="AG5455">
        <v>-5.80049999999998E-2</v>
      </c>
      <c r="AH5455">
        <v>0.67584896285269203</v>
      </c>
      <c r="AI5455">
        <v>94.900272516428799</v>
      </c>
      <c r="AJ5455">
        <v>87.370666164262403</v>
      </c>
      <c r="AK5455">
        <v>0.67904321456065297</v>
      </c>
      <c r="AL5455">
        <v>80.568995639491803</v>
      </c>
      <c r="AM5455">
        <v>87.855137156773395</v>
      </c>
      <c r="AN5455">
        <v>0.99999999820139296</v>
      </c>
    </row>
    <row r="5456" spans="1:40" x14ac:dyDescent="0.25">
      <c r="A5456" t="str">
        <f>"20190312164137053"</f>
        <v>20190312164137053</v>
      </c>
      <c r="B5456" t="str">
        <f>"1552380097041173"</f>
        <v>1552380097041173</v>
      </c>
      <c r="C5456" t="s">
        <v>40</v>
      </c>
      <c r="D5456">
        <v>5.402844</v>
      </c>
      <c r="E5456">
        <v>0.50654940000000004</v>
      </c>
      <c r="F5456" t="s">
        <v>42</v>
      </c>
      <c r="G5456">
        <v>-370.44639999999998</v>
      </c>
      <c r="H5456">
        <v>1.0430079999999999</v>
      </c>
      <c r="I5456">
        <v>17.462700000000002</v>
      </c>
      <c r="J5456">
        <v>-371.23939999999999</v>
      </c>
      <c r="K5456">
        <v>1.109756</v>
      </c>
      <c r="L5456">
        <v>17.514679999999998</v>
      </c>
      <c r="M5456">
        <v>0.9997492</v>
      </c>
      <c r="N5456">
        <v>0</v>
      </c>
      <c r="O5456">
        <v>-1.9676889999999999E-2</v>
      </c>
      <c r="P5456">
        <v>0.98649529999999996</v>
      </c>
      <c r="Q5456">
        <v>0.15372239999999901</v>
      </c>
      <c r="R5456">
        <v>-5.6537799999999999E-2</v>
      </c>
      <c r="S5456">
        <v>3.0633539999999999</v>
      </c>
      <c r="T5456">
        <v>-0.20878910000000001</v>
      </c>
      <c r="U5456">
        <v>-0.1734009</v>
      </c>
      <c r="V5456">
        <v>3.7150349999999999E-2</v>
      </c>
      <c r="W5456">
        <v>0.16428129999999999</v>
      </c>
      <c r="X5456">
        <v>0.98571370000000003</v>
      </c>
      <c r="Y5456">
        <v>3.6817299999999997E-2</v>
      </c>
      <c r="Z5456" s="1">
        <v>8.6095999999999997E-5</v>
      </c>
      <c r="AA5456">
        <v>0.99932200000000004</v>
      </c>
      <c r="AB5456">
        <v>34</v>
      </c>
      <c r="AC5456">
        <v>0.79300000000000603</v>
      </c>
      <c r="AD5456">
        <v>-6.6748000000000002E-2</v>
      </c>
      <c r="AE5456">
        <v>-5.19799999999968E-2</v>
      </c>
      <c r="AF5456">
        <v>3.6110526194722797E-2</v>
      </c>
      <c r="AG5456">
        <v>-6.6748000000000002E-2</v>
      </c>
      <c r="AH5456">
        <v>0.78830816956868999</v>
      </c>
      <c r="AI5456">
        <v>94.834785161833395</v>
      </c>
      <c r="AJ5456">
        <v>87.377249779662293</v>
      </c>
      <c r="AK5456">
        <v>0.79195267271144298</v>
      </c>
      <c r="AL5456">
        <v>80.544513684771005</v>
      </c>
      <c r="AM5456">
        <v>87.841613353219003</v>
      </c>
      <c r="AN5456">
        <v>0.99999999620125102</v>
      </c>
    </row>
    <row r="5457" spans="1:40" x14ac:dyDescent="0.25">
      <c r="A5457" t="str">
        <f>"20190312164137067"</f>
        <v>20190312164137067</v>
      </c>
      <c r="B5457" t="str">
        <f>"1552380097061669"</f>
        <v>1552380097061669</v>
      </c>
      <c r="C5457" t="s">
        <v>40</v>
      </c>
      <c r="D5457">
        <v>5.3308839999999904</v>
      </c>
      <c r="E5457">
        <v>0.50634009999999996</v>
      </c>
      <c r="F5457" t="s">
        <v>41</v>
      </c>
      <c r="G5457">
        <v>-354.9701</v>
      </c>
      <c r="H5457" s="1">
        <v>-2.6760630000000001E-6</v>
      </c>
      <c r="I5457">
        <v>16.594750000000001</v>
      </c>
      <c r="J5457">
        <v>-371.03820000000002</v>
      </c>
      <c r="K5457">
        <v>1.1097509999999999</v>
      </c>
      <c r="L5457">
        <v>17.510679999999901</v>
      </c>
      <c r="M5457">
        <v>0.99974859999999999</v>
      </c>
      <c r="N5457">
        <v>0</v>
      </c>
      <c r="O5457">
        <v>-1.9711780000000002E-2</v>
      </c>
      <c r="P5457">
        <v>0.98645850000000002</v>
      </c>
      <c r="Q5457">
        <v>0.15386849999999999</v>
      </c>
      <c r="R5457">
        <v>-5.6782810000000003E-2</v>
      </c>
      <c r="S5457">
        <v>3.0636899999999998</v>
      </c>
      <c r="T5457">
        <v>-0.20898079999999999</v>
      </c>
      <c r="U5457">
        <v>-0.17321779999999901</v>
      </c>
      <c r="V5457">
        <v>3.7360419999999998E-2</v>
      </c>
      <c r="W5457">
        <v>0.16440550000000001</v>
      </c>
      <c r="X5457">
        <v>0.98568509999999998</v>
      </c>
      <c r="Y5457">
        <v>3.671696E-2</v>
      </c>
      <c r="Z5457" s="1">
        <v>9.1956349999999996E-5</v>
      </c>
      <c r="AA5457">
        <v>0.99932569999999998</v>
      </c>
      <c r="AB5457">
        <v>34</v>
      </c>
      <c r="AC5457">
        <v>16.068100000000001</v>
      </c>
      <c r="AD5457">
        <v>-1.109753676063</v>
      </c>
      <c r="AE5457">
        <v>-0.91592999999999603</v>
      </c>
      <c r="AF5457">
        <v>0.596168530660526</v>
      </c>
      <c r="AG5457">
        <v>-1.109753676063</v>
      </c>
      <c r="AH5457">
        <v>16.006926562872899</v>
      </c>
      <c r="AI5457">
        <v>93.963207813481603</v>
      </c>
      <c r="AJ5457">
        <v>87.867038393292702</v>
      </c>
      <c r="AK5457">
        <v>16.056421398546199</v>
      </c>
      <c r="AL5457">
        <v>80.5372999042727</v>
      </c>
      <c r="AM5457">
        <v>87.829357282895003</v>
      </c>
      <c r="AN5457">
        <v>1.0000000428874101</v>
      </c>
    </row>
    <row r="5458" spans="1:40" x14ac:dyDescent="0.25">
      <c r="A5458" t="str">
        <f>"20190312164137079"</f>
        <v>20190312164137079</v>
      </c>
      <c r="B5458" t="str">
        <f>"1552380097071429"</f>
        <v>1552380097071429</v>
      </c>
      <c r="C5458" t="s">
        <v>40</v>
      </c>
      <c r="D5458">
        <v>5.3513349999999997</v>
      </c>
      <c r="E5458">
        <v>0.50630900000000001</v>
      </c>
      <c r="F5458" t="s">
        <v>42</v>
      </c>
      <c r="G5458">
        <v>-370.13470000000001</v>
      </c>
      <c r="H5458">
        <v>1.04745</v>
      </c>
      <c r="I5458">
        <v>17.459679999999999</v>
      </c>
      <c r="J5458">
        <v>-370.84949999999998</v>
      </c>
      <c r="K5458">
        <v>1.1097509999999999</v>
      </c>
      <c r="L5458">
        <v>17.506930000000001</v>
      </c>
      <c r="M5458">
        <v>0.99974830000000003</v>
      </c>
      <c r="N5458">
        <v>0</v>
      </c>
      <c r="O5458">
        <v>-1.9745260000000001E-2</v>
      </c>
      <c r="P5458">
        <v>0.98646339999999999</v>
      </c>
      <c r="Q5458">
        <v>0.15380250000000001</v>
      </c>
      <c r="R5458">
        <v>-5.6879779999999998E-2</v>
      </c>
      <c r="S5458">
        <v>3.0642399999999999</v>
      </c>
      <c r="T5458">
        <v>-0.21130389999999999</v>
      </c>
      <c r="U5458">
        <v>-0.17230219999999999</v>
      </c>
      <c r="V5458">
        <v>3.7423459999999999E-2</v>
      </c>
      <c r="W5458">
        <v>0.16431889999999999</v>
      </c>
      <c r="X5458">
        <v>0.98569709999999999</v>
      </c>
      <c r="Y5458">
        <v>3.6375789999999998E-2</v>
      </c>
      <c r="Z5458">
        <v>1.070035E-4</v>
      </c>
      <c r="AA5458">
        <v>0.99933819999999995</v>
      </c>
      <c r="AB5458">
        <v>34</v>
      </c>
      <c r="AC5458">
        <v>0.71479999999996802</v>
      </c>
      <c r="AD5458">
        <v>-6.2300999999999898E-2</v>
      </c>
      <c r="AE5458">
        <v>-4.72500000000017E-2</v>
      </c>
      <c r="AF5458">
        <v>3.28774037629678E-2</v>
      </c>
      <c r="AG5458">
        <v>-6.2300999999999898E-2</v>
      </c>
      <c r="AH5458">
        <v>0.71022182585877203</v>
      </c>
      <c r="AI5458">
        <v>95.007845456744306</v>
      </c>
      <c r="AJ5458">
        <v>87.349570842375002</v>
      </c>
      <c r="AK5458">
        <v>0.71370678867820903</v>
      </c>
      <c r="AL5458">
        <v>80.542329668488307</v>
      </c>
      <c r="AM5458">
        <v>87.825724612218295</v>
      </c>
      <c r="AN5458">
        <v>0.99999999460199496</v>
      </c>
    </row>
    <row r="5459" spans="1:40" x14ac:dyDescent="0.25">
      <c r="A5459" t="str">
        <f>"20190312164137095"</f>
        <v>20190312164137095</v>
      </c>
      <c r="B5459" t="str">
        <f>"1552380097091926"</f>
        <v>1552380097091926</v>
      </c>
      <c r="C5459" t="s">
        <v>40</v>
      </c>
      <c r="D5459">
        <v>5.2675299999999998</v>
      </c>
      <c r="E5459">
        <v>0.50628339999999905</v>
      </c>
      <c r="F5459" t="s">
        <v>42</v>
      </c>
      <c r="G5459">
        <v>-369.83260000000001</v>
      </c>
      <c r="H5459">
        <v>1.0392349999999999</v>
      </c>
      <c r="I5459">
        <v>17.449159999999999</v>
      </c>
      <c r="J5459">
        <v>-370.59559999999999</v>
      </c>
      <c r="K5459">
        <v>1.1097520000000001</v>
      </c>
      <c r="L5459">
        <v>17.50189</v>
      </c>
      <c r="M5459">
        <v>0.99974759999999996</v>
      </c>
      <c r="N5459">
        <v>0</v>
      </c>
      <c r="O5459">
        <v>-1.9790970000000001E-2</v>
      </c>
      <c r="P5459">
        <v>0.98647050000000003</v>
      </c>
      <c r="Q5459">
        <v>0.15364040000000001</v>
      </c>
      <c r="R5459">
        <v>-5.7192739999999999E-2</v>
      </c>
      <c r="S5459">
        <v>3.0643009999999999</v>
      </c>
      <c r="T5459">
        <v>-0.21247740000000001</v>
      </c>
      <c r="U5459">
        <v>-0.17260739999999999</v>
      </c>
      <c r="V5459">
        <v>3.7689830000000001E-2</v>
      </c>
      <c r="W5459">
        <v>0.16412939999999901</v>
      </c>
      <c r="X5459">
        <v>0.98571850000000005</v>
      </c>
      <c r="Y5459">
        <v>3.6427750000000002E-2</v>
      </c>
      <c r="Z5459">
        <v>1.089578E-4</v>
      </c>
      <c r="AA5459">
        <v>0.99933629999999996</v>
      </c>
      <c r="AB5459">
        <v>34</v>
      </c>
      <c r="AC5459">
        <v>0.76299999999997603</v>
      </c>
      <c r="AD5459">
        <v>-7.0516999999999899E-2</v>
      </c>
      <c r="AE5459">
        <v>-5.2730000000000297E-2</v>
      </c>
      <c r="AF5459">
        <v>3.73012102667283E-2</v>
      </c>
      <c r="AG5459">
        <v>-7.0516999999999899E-2</v>
      </c>
      <c r="AH5459">
        <v>0.75745506331775203</v>
      </c>
      <c r="AI5459">
        <v>95.312349342494201</v>
      </c>
      <c r="AJ5459">
        <v>87.180721498335899</v>
      </c>
      <c r="AK5459">
        <v>0.76164440556079904</v>
      </c>
      <c r="AL5459">
        <v>80.553336446968899</v>
      </c>
      <c r="AM5459">
        <v>87.810311217041502</v>
      </c>
      <c r="AN5459">
        <v>0.999999972236019</v>
      </c>
    </row>
    <row r="5460" spans="1:40" x14ac:dyDescent="0.25">
      <c r="A5460" t="str">
        <f>"20190312164137120"</f>
        <v>20190312164137120</v>
      </c>
      <c r="B5460" t="str">
        <f>"1552380097111444"</f>
        <v>1552380097111444</v>
      </c>
      <c r="C5460" t="s">
        <v>40</v>
      </c>
      <c r="D5460">
        <v>5.3189789999999997</v>
      </c>
      <c r="E5460">
        <v>0.50616079999999997</v>
      </c>
      <c r="F5460" t="s">
        <v>41</v>
      </c>
      <c r="G5460">
        <v>-354.74889999999999</v>
      </c>
      <c r="H5460" s="1">
        <v>-2.7695610000000001E-6</v>
      </c>
      <c r="I5460">
        <v>16.60277</v>
      </c>
      <c r="J5460">
        <v>-370.22559999999999</v>
      </c>
      <c r="K5460">
        <v>1.1097459999999999</v>
      </c>
      <c r="L5460">
        <v>17.494479999999999</v>
      </c>
      <c r="M5460">
        <v>0.99974680000000005</v>
      </c>
      <c r="N5460">
        <v>0</v>
      </c>
      <c r="O5460">
        <v>-1.9858529999999999E-2</v>
      </c>
      <c r="P5460">
        <v>0.98660029999999999</v>
      </c>
      <c r="Q5460">
        <v>0.152924799999999</v>
      </c>
      <c r="R5460">
        <v>-5.6870919999999998E-2</v>
      </c>
      <c r="S5460">
        <v>3.0644840000000002</v>
      </c>
      <c r="T5460">
        <v>-0.21460779999999999</v>
      </c>
      <c r="U5460">
        <v>-0.1738586</v>
      </c>
      <c r="V5460">
        <v>3.7297690000000001E-2</v>
      </c>
      <c r="W5460">
        <v>0.16337199999999999</v>
      </c>
      <c r="X5460">
        <v>0.98585929999999999</v>
      </c>
      <c r="Y5460">
        <v>3.6762160000000002E-2</v>
      </c>
      <c r="Z5460">
        <v>1.030719E-4</v>
      </c>
      <c r="AA5460">
        <v>0.99932399999999999</v>
      </c>
      <c r="AB5460">
        <v>34</v>
      </c>
      <c r="AC5460">
        <v>15.4766999999999</v>
      </c>
      <c r="AD5460">
        <v>-1.109748769561</v>
      </c>
      <c r="AE5460">
        <v>-0.891709999999999</v>
      </c>
      <c r="AF5460">
        <v>0.58119407353556696</v>
      </c>
      <c r="AG5460">
        <v>-1.109748769561</v>
      </c>
      <c r="AH5460">
        <v>15.4123756460036</v>
      </c>
      <c r="AI5460">
        <v>94.115488148398697</v>
      </c>
      <c r="AJ5460">
        <v>87.840423994667603</v>
      </c>
      <c r="AK5460">
        <v>15.463203158989399</v>
      </c>
      <c r="AL5460">
        <v>80.597326733707305</v>
      </c>
      <c r="AM5460">
        <v>87.833380963512298</v>
      </c>
      <c r="AN5460">
        <v>1.0000000437299099</v>
      </c>
    </row>
    <row r="5461" spans="1:40" x14ac:dyDescent="0.25">
      <c r="A5461" t="str">
        <f>"20190312164137131"</f>
        <v>20190312164137131</v>
      </c>
      <c r="B5461" t="str">
        <f>"1552380097121205"</f>
        <v>1552380097121205</v>
      </c>
      <c r="C5461" t="s">
        <v>40</v>
      </c>
      <c r="D5461">
        <v>5.5948690000000001</v>
      </c>
      <c r="E5461">
        <v>0.50612659999999998</v>
      </c>
      <c r="F5461" t="s">
        <v>42</v>
      </c>
      <c r="G5461">
        <v>-369.21620000000001</v>
      </c>
      <c r="H5461">
        <v>1.038508</v>
      </c>
      <c r="I5461">
        <v>17.43722</v>
      </c>
      <c r="J5461">
        <v>-370.0326</v>
      </c>
      <c r="K5461">
        <v>1.1097459999999999</v>
      </c>
      <c r="L5461">
        <v>17.490629999999999</v>
      </c>
      <c r="M5461">
        <v>0.99974629999999998</v>
      </c>
      <c r="N5461">
        <v>0</v>
      </c>
      <c r="O5461">
        <v>-1.9893560000000001E-2</v>
      </c>
      <c r="P5461">
        <v>0.98666109999999896</v>
      </c>
      <c r="Q5461">
        <v>0.15262619999999999</v>
      </c>
      <c r="R5461">
        <v>-5.6616689999999997E-2</v>
      </c>
      <c r="S5461">
        <v>3.06427</v>
      </c>
      <c r="T5461">
        <v>-0.21622069999999999</v>
      </c>
      <c r="U5461">
        <v>-0.17294309999999999</v>
      </c>
      <c r="V5461">
        <v>3.700722E-2</v>
      </c>
      <c r="W5461">
        <v>0.16305120000000001</v>
      </c>
      <c r="X5461">
        <v>0.98592329999999995</v>
      </c>
      <c r="Y5461">
        <v>3.6433729999999998E-2</v>
      </c>
      <c r="Z5461">
        <v>1.178832E-4</v>
      </c>
      <c r="AA5461">
        <v>0.99933609999999995</v>
      </c>
      <c r="AB5461">
        <v>34</v>
      </c>
      <c r="AC5461">
        <v>0.81639999999998702</v>
      </c>
      <c r="AD5461">
        <v>-7.1237999999999899E-2</v>
      </c>
      <c r="AE5461">
        <v>-5.34099999999995E-2</v>
      </c>
      <c r="AF5461">
        <v>3.68778265276717E-2</v>
      </c>
      <c r="AG5461">
        <v>-7.1237999999999899E-2</v>
      </c>
      <c r="AH5461">
        <v>0.81115114487378104</v>
      </c>
      <c r="AI5461">
        <v>95.013876573907993</v>
      </c>
      <c r="AJ5461">
        <v>87.396921818577098</v>
      </c>
      <c r="AK5461">
        <v>0.81510797233461696</v>
      </c>
      <c r="AL5461">
        <v>80.615956530053595</v>
      </c>
      <c r="AM5461">
        <v>87.850377861022807</v>
      </c>
      <c r="AN5461">
        <v>0.99999999081822899</v>
      </c>
    </row>
    <row r="5462" spans="1:40" x14ac:dyDescent="0.25">
      <c r="A5462" t="str">
        <f>"20190312164137144"</f>
        <v>20190312164137144</v>
      </c>
      <c r="B5462" t="str">
        <f>"1552380097131941"</f>
        <v>1552380097131941</v>
      </c>
      <c r="C5462" t="s">
        <v>40</v>
      </c>
      <c r="D5462">
        <v>5.2864360000000001</v>
      </c>
      <c r="E5462">
        <v>0.5060886</v>
      </c>
      <c r="F5462" t="s">
        <v>42</v>
      </c>
      <c r="G5462">
        <v>-369.2063</v>
      </c>
      <c r="H5462">
        <v>1.0511619999999999</v>
      </c>
      <c r="I5462">
        <v>17.443850000000001</v>
      </c>
      <c r="J5462">
        <v>-369.8451</v>
      </c>
      <c r="K5462">
        <v>1.1097440000000001</v>
      </c>
      <c r="L5462">
        <v>17.48685</v>
      </c>
      <c r="M5462">
        <v>0.99974589999999997</v>
      </c>
      <c r="N5462">
        <v>0</v>
      </c>
      <c r="O5462">
        <v>-1.992789E-2</v>
      </c>
      <c r="P5462">
        <v>0.98671240000000004</v>
      </c>
      <c r="Q5462">
        <v>0.15229400000000001</v>
      </c>
      <c r="R5462">
        <v>-5.6617870000000001E-2</v>
      </c>
      <c r="S5462">
        <v>3.0643009999999999</v>
      </c>
      <c r="T5462">
        <v>-0.2171727</v>
      </c>
      <c r="U5462">
        <v>-0.1724243</v>
      </c>
      <c r="V5462">
        <v>3.697338E-2</v>
      </c>
      <c r="W5462">
        <v>0.16269739999999999</v>
      </c>
      <c r="X5462">
        <v>0.98598300000000005</v>
      </c>
      <c r="Y5462">
        <v>3.6230440000000003E-2</v>
      </c>
      <c r="Z5462">
        <v>1.2801610000000001E-4</v>
      </c>
      <c r="AA5462">
        <v>0.99934350000000005</v>
      </c>
      <c r="AB5462">
        <v>34</v>
      </c>
      <c r="AC5462">
        <v>0.63880000000000303</v>
      </c>
      <c r="AD5462">
        <v>-5.8581999999999898E-2</v>
      </c>
      <c r="AE5462">
        <v>-4.2999999999999199E-2</v>
      </c>
      <c r="AF5462">
        <v>3.0009573717023699E-2</v>
      </c>
      <c r="AG5462">
        <v>-5.8581999999999898E-2</v>
      </c>
      <c r="AH5462">
        <v>0.63422031453218297</v>
      </c>
      <c r="AI5462">
        <v>95.271487748588996</v>
      </c>
      <c r="AJ5462">
        <v>87.290940730966</v>
      </c>
      <c r="AK5462">
        <v>0.63762671885985001</v>
      </c>
      <c r="AL5462">
        <v>80.636501981715199</v>
      </c>
      <c r="AM5462">
        <v>87.852471584910106</v>
      </c>
      <c r="AN5462">
        <v>0.999999975542192</v>
      </c>
    </row>
    <row r="5463" spans="1:40" x14ac:dyDescent="0.25">
      <c r="A5463" t="str">
        <f>"20190312164137164"</f>
        <v>20190312164137164</v>
      </c>
      <c r="B5463" t="str">
        <f>"1552380097151461"</f>
        <v>1552380097151461</v>
      </c>
      <c r="C5463" t="s">
        <v>40</v>
      </c>
      <c r="D5463">
        <v>5.306457</v>
      </c>
      <c r="E5463">
        <v>0.50591869999999906</v>
      </c>
      <c r="F5463" t="s">
        <v>42</v>
      </c>
      <c r="G5463">
        <v>-368.9051</v>
      </c>
      <c r="H5463">
        <v>1.0428389999999901</v>
      </c>
      <c r="I5463">
        <v>17.433959999999999</v>
      </c>
      <c r="J5463">
        <v>-369.54500000000002</v>
      </c>
      <c r="K5463">
        <v>1.109742</v>
      </c>
      <c r="L5463">
        <v>17.480829999999902</v>
      </c>
      <c r="M5463">
        <v>0.99974499999999999</v>
      </c>
      <c r="N5463">
        <v>0</v>
      </c>
      <c r="O5463">
        <v>-1.9981809999999999E-2</v>
      </c>
      <c r="P5463">
        <v>0.98675139999999995</v>
      </c>
      <c r="Q5463">
        <v>0.1520734</v>
      </c>
      <c r="R5463">
        <v>-5.6525800000000001E-2</v>
      </c>
      <c r="S5463">
        <v>3.0641780000000001</v>
      </c>
      <c r="T5463">
        <v>-0.21804209999999999</v>
      </c>
      <c r="U5463">
        <v>-0.17199710000000001</v>
      </c>
      <c r="V5463">
        <v>3.6827060000000002E-2</v>
      </c>
      <c r="W5463">
        <v>0.1624428</v>
      </c>
      <c r="X5463">
        <v>0.98603050000000003</v>
      </c>
      <c r="Y5463">
        <v>3.6040160000000002E-2</v>
      </c>
      <c r="Z5463">
        <v>1.391175E-4</v>
      </c>
      <c r="AA5463">
        <v>0.99935030000000002</v>
      </c>
      <c r="AB5463">
        <v>35</v>
      </c>
      <c r="AC5463">
        <v>0.63990000000001102</v>
      </c>
      <c r="AD5463">
        <v>-6.6903000000000101E-2</v>
      </c>
      <c r="AE5463">
        <v>-4.6869999999998399E-2</v>
      </c>
      <c r="AF5463">
        <v>3.3707081417601897E-2</v>
      </c>
      <c r="AG5463">
        <v>-6.6903000000000101E-2</v>
      </c>
      <c r="AH5463">
        <v>0.63381742599117696</v>
      </c>
      <c r="AI5463">
        <v>96.017139040447404</v>
      </c>
      <c r="AJ5463">
        <v>86.955817531662206</v>
      </c>
      <c r="AK5463">
        <v>0.63822935394478197</v>
      </c>
      <c r="AL5463">
        <v>80.651286592967907</v>
      </c>
      <c r="AM5463">
        <v>87.861065341392205</v>
      </c>
      <c r="AN5463">
        <v>1.0000000212751601</v>
      </c>
    </row>
    <row r="5464" spans="1:40" x14ac:dyDescent="0.25">
      <c r="A5464" t="str">
        <f>"20190312164137186"</f>
        <v>20190312164137186</v>
      </c>
      <c r="B5464" t="str">
        <f>"1552380097181717"</f>
        <v>1552380097181717</v>
      </c>
      <c r="C5464" t="s">
        <v>40</v>
      </c>
      <c r="D5464">
        <v>5.749898</v>
      </c>
      <c r="E5464">
        <v>0.50579399999999997</v>
      </c>
      <c r="F5464" t="s">
        <v>42</v>
      </c>
      <c r="G5464">
        <v>-368.59629999999999</v>
      </c>
      <c r="H5464">
        <v>1.04196</v>
      </c>
      <c r="I5464">
        <v>17.427910000000001</v>
      </c>
      <c r="J5464">
        <v>-369.20139999999998</v>
      </c>
      <c r="K5464">
        <v>1.109739</v>
      </c>
      <c r="L5464">
        <v>17.473879999999902</v>
      </c>
      <c r="M5464">
        <v>0.99974439999999998</v>
      </c>
      <c r="N5464">
        <v>0</v>
      </c>
      <c r="O5464">
        <v>-2.0042020000000001E-2</v>
      </c>
      <c r="P5464">
        <v>0.98677910000000002</v>
      </c>
      <c r="Q5464">
        <v>0.15182300000000001</v>
      </c>
      <c r="R5464">
        <v>-5.6721279999999999E-2</v>
      </c>
      <c r="S5464">
        <v>3.06427</v>
      </c>
      <c r="T5464">
        <v>-0.2189209</v>
      </c>
      <c r="U5464">
        <v>-0.16992189999999999</v>
      </c>
      <c r="V5464">
        <v>3.6961760000000003E-2</v>
      </c>
      <c r="W5464">
        <v>0.16215350000000001</v>
      </c>
      <c r="X5464">
        <v>0.98607310000000004</v>
      </c>
      <c r="Y5464">
        <v>3.5305320000000001E-2</v>
      </c>
      <c r="Z5464">
        <v>1.701645E-4</v>
      </c>
      <c r="AA5464">
        <v>0.9993765</v>
      </c>
      <c r="AB5464">
        <v>35</v>
      </c>
      <c r="AC5464">
        <v>0.60509999999999298</v>
      </c>
      <c r="AD5464">
        <v>-6.7779000000000006E-2</v>
      </c>
      <c r="AE5464">
        <v>-4.5969999999996902E-2</v>
      </c>
      <c r="AF5464">
        <v>3.34158167798939E-2</v>
      </c>
      <c r="AG5464">
        <v>-6.7779000000000006E-2</v>
      </c>
      <c r="AH5464">
        <v>0.59843442519430001</v>
      </c>
      <c r="AI5464">
        <v>96.451848081228206</v>
      </c>
      <c r="AJ5464">
        <v>86.803995500101706</v>
      </c>
      <c r="AK5464">
        <v>0.60318684576978299</v>
      </c>
      <c r="AL5464">
        <v>80.668085191688604</v>
      </c>
      <c r="AM5464">
        <v>87.853341858831698</v>
      </c>
      <c r="AN5464">
        <v>1.0000000439040699</v>
      </c>
    </row>
    <row r="5465" spans="1:40" x14ac:dyDescent="0.25">
      <c r="A5465" t="str">
        <f>"20190312164137199"</f>
        <v>20190312164137199</v>
      </c>
      <c r="B5465" t="str">
        <f>"1552380097191478"</f>
        <v>1552380097191478</v>
      </c>
      <c r="C5465" t="s">
        <v>40</v>
      </c>
      <c r="D5465">
        <v>5.2965289999999996</v>
      </c>
      <c r="E5465">
        <v>0.50578339999999999</v>
      </c>
      <c r="F5465" t="s">
        <v>42</v>
      </c>
      <c r="G5465">
        <v>-368.28539999999998</v>
      </c>
      <c r="H5465">
        <v>1.0440210000000001</v>
      </c>
      <c r="I5465">
        <v>17.42305</v>
      </c>
      <c r="J5465">
        <v>-369.00150000000002</v>
      </c>
      <c r="K5465">
        <v>1.109734</v>
      </c>
      <c r="L5465">
        <v>17.469850000000001</v>
      </c>
      <c r="M5465">
        <v>0.99974390000000002</v>
      </c>
      <c r="N5465">
        <v>0</v>
      </c>
      <c r="O5465">
        <v>-2.007598E-2</v>
      </c>
      <c r="P5465">
        <v>0.98682049999999999</v>
      </c>
      <c r="Q5465">
        <v>0.15146709999999999</v>
      </c>
      <c r="R5465">
        <v>-5.6949699999999999E-2</v>
      </c>
      <c r="S5465">
        <v>3.06427</v>
      </c>
      <c r="T5465">
        <v>-0.21983330000000001</v>
      </c>
      <c r="U5465">
        <v>-0.16918949999999999</v>
      </c>
      <c r="V5465">
        <v>3.7155470000000003E-2</v>
      </c>
      <c r="W5465">
        <v>0.16177469999999999</v>
      </c>
      <c r="X5465">
        <v>0.986128</v>
      </c>
      <c r="Y5465">
        <v>3.5033679999999998E-2</v>
      </c>
      <c r="Z5465">
        <v>1.8302720000000001E-4</v>
      </c>
      <c r="AA5465">
        <v>0.99938610000000005</v>
      </c>
      <c r="AB5465">
        <v>35</v>
      </c>
      <c r="AC5465">
        <v>0.71610000000003904</v>
      </c>
      <c r="AD5465">
        <v>-6.5713000000000105E-2</v>
      </c>
      <c r="AE5465">
        <v>-4.6800000000001001E-2</v>
      </c>
      <c r="AF5465">
        <v>3.2143846378270301E-2</v>
      </c>
      <c r="AG5465">
        <v>-6.5713000000000105E-2</v>
      </c>
      <c r="AH5465">
        <v>0.71093406807905901</v>
      </c>
      <c r="AI5465">
        <v>95.275594247156405</v>
      </c>
      <c r="AJ5465">
        <v>87.411218035438296</v>
      </c>
      <c r="AK5465">
        <v>0.71468781603188802</v>
      </c>
      <c r="AL5465">
        <v>80.690078884633095</v>
      </c>
      <c r="AM5465">
        <v>87.842222235420905</v>
      </c>
      <c r="AN5465">
        <v>1.0000000074475</v>
      </c>
    </row>
    <row r="5466" spans="1:40" x14ac:dyDescent="0.25">
      <c r="A5466" t="str">
        <f>"20190312164137221"</f>
        <v>20190312164137221</v>
      </c>
      <c r="B5466" t="str">
        <f>"1552380097211973"</f>
        <v>1552380097211973</v>
      </c>
      <c r="C5466" t="s">
        <v>40</v>
      </c>
      <c r="D5466">
        <v>5.3519449999999997</v>
      </c>
      <c r="E5466">
        <v>0.50601149999999995</v>
      </c>
      <c r="F5466" t="s">
        <v>42</v>
      </c>
      <c r="G5466">
        <v>-367.98</v>
      </c>
      <c r="H5466">
        <v>1.0361720000000001</v>
      </c>
      <c r="I5466">
        <v>17.412879999999902</v>
      </c>
      <c r="J5466">
        <v>-368.65899999999999</v>
      </c>
      <c r="K5466">
        <v>1.1097319999999999</v>
      </c>
      <c r="L5466">
        <v>17.462889999999899</v>
      </c>
      <c r="M5466">
        <v>0.9997433</v>
      </c>
      <c r="N5466">
        <v>0</v>
      </c>
      <c r="O5466">
        <v>-2.0125549999999999E-2</v>
      </c>
      <c r="P5466">
        <v>0.98681390000000002</v>
      </c>
      <c r="Q5466">
        <v>0.15134739999999999</v>
      </c>
      <c r="R5466">
        <v>-5.7381880000000003E-2</v>
      </c>
      <c r="S5466">
        <v>3.0641479999999999</v>
      </c>
      <c r="T5466">
        <v>-0.22070129999999999</v>
      </c>
      <c r="U5466">
        <v>-0.1697388</v>
      </c>
      <c r="V5466">
        <v>3.7536460000000001E-2</v>
      </c>
      <c r="W5466">
        <v>0.1616185</v>
      </c>
      <c r="X5466">
        <v>0.98613919999999999</v>
      </c>
      <c r="Y5466">
        <v>3.5164439999999998E-2</v>
      </c>
      <c r="Z5466">
        <v>1.826152E-4</v>
      </c>
      <c r="AA5466">
        <v>0.99938150000000003</v>
      </c>
      <c r="AB5466">
        <v>35</v>
      </c>
      <c r="AC5466">
        <v>0.67899999999997296</v>
      </c>
      <c r="AD5466">
        <v>-7.356E-2</v>
      </c>
      <c r="AE5466">
        <v>-5.0010000000000297E-2</v>
      </c>
      <c r="AF5466">
        <v>3.59146384213112E-2</v>
      </c>
      <c r="AG5466">
        <v>-7.356E-2</v>
      </c>
      <c r="AH5466">
        <v>0.67202424082967605</v>
      </c>
      <c r="AI5466">
        <v>96.237914590827103</v>
      </c>
      <c r="AJ5466">
        <v>86.940881924268595</v>
      </c>
      <c r="AK5466">
        <v>0.67699151775752398</v>
      </c>
      <c r="AL5466">
        <v>80.699147979246106</v>
      </c>
      <c r="AM5466">
        <v>87.820142480425005</v>
      </c>
      <c r="AN5466">
        <v>1.00000002357411</v>
      </c>
    </row>
    <row r="5467" spans="1:40" x14ac:dyDescent="0.25">
      <c r="A5467" t="str">
        <f>"20190312164137234"</f>
        <v>20190312164137234</v>
      </c>
      <c r="B5467" t="str">
        <f>"1552380097221735"</f>
        <v>1552380097221735</v>
      </c>
      <c r="C5467" t="s">
        <v>40</v>
      </c>
      <c r="D5467">
        <v>5.363321</v>
      </c>
      <c r="E5467">
        <v>0.50601149999999995</v>
      </c>
      <c r="F5467" t="s">
        <v>42</v>
      </c>
      <c r="G5467">
        <v>-367.6687</v>
      </c>
      <c r="H5467">
        <v>1.0386010000000001</v>
      </c>
      <c r="I5467">
        <v>17.40652</v>
      </c>
      <c r="J5467">
        <v>-368.45359999999999</v>
      </c>
      <c r="K5467">
        <v>1.1097300000000001</v>
      </c>
      <c r="L5467">
        <v>17.458739999999999</v>
      </c>
      <c r="M5467">
        <v>0.99974300000000005</v>
      </c>
      <c r="N5467">
        <v>0</v>
      </c>
      <c r="O5467">
        <v>-2.0148849999999999E-2</v>
      </c>
      <c r="P5467">
        <v>0.98680990000000002</v>
      </c>
      <c r="Q5467">
        <v>0.15112979999999901</v>
      </c>
      <c r="R5467">
        <v>-5.8017739999999998E-2</v>
      </c>
      <c r="S5467">
        <v>3.0636899999999998</v>
      </c>
      <c r="T5467">
        <v>-0.22000159999999999</v>
      </c>
      <c r="U5467">
        <v>-0.17358399999999999</v>
      </c>
      <c r="V5467">
        <v>3.8147109999999998E-2</v>
      </c>
      <c r="W5467">
        <v>0.16138039999999901</v>
      </c>
      <c r="X5467">
        <v>0.98615469999999905</v>
      </c>
      <c r="Y5467">
        <v>3.6396890000000001E-2</v>
      </c>
      <c r="Z5467">
        <v>1.395651E-4</v>
      </c>
      <c r="AA5467">
        <v>0.99933740000000004</v>
      </c>
      <c r="AB5467">
        <v>35</v>
      </c>
      <c r="AC5467">
        <v>0.78489999999999305</v>
      </c>
      <c r="AD5467">
        <v>-7.1128999999999706E-2</v>
      </c>
      <c r="AE5467">
        <v>-5.2219999999998302E-2</v>
      </c>
      <c r="AF5467">
        <v>3.60985658444265E-2</v>
      </c>
      <c r="AG5467">
        <v>-7.1128999999999706E-2</v>
      </c>
      <c r="AH5467">
        <v>0.77942024641521601</v>
      </c>
      <c r="AI5467">
        <v>95.208751328573697</v>
      </c>
      <c r="AJ5467">
        <v>87.348261715566096</v>
      </c>
      <c r="AK5467">
        <v>0.78349113691156702</v>
      </c>
      <c r="AL5467">
        <v>80.712971010127802</v>
      </c>
      <c r="AM5467">
        <v>87.784749992693193</v>
      </c>
      <c r="AN5467">
        <v>0.99999996391879997</v>
      </c>
    </row>
    <row r="5468" spans="1:40" x14ac:dyDescent="0.25">
      <c r="A5468" t="str">
        <f>"20190312164137253"</f>
        <v>20190312164137253</v>
      </c>
      <c r="B5468" t="str">
        <f>"1552380097241254"</f>
        <v>1552380097241254</v>
      </c>
      <c r="C5468" t="s">
        <v>40</v>
      </c>
      <c r="D5468">
        <v>5.450196</v>
      </c>
      <c r="E5468">
        <v>0.51987280000000002</v>
      </c>
      <c r="F5468" t="s">
        <v>42</v>
      </c>
      <c r="G5468">
        <v>-367.654</v>
      </c>
      <c r="H5468">
        <v>1.052125</v>
      </c>
      <c r="I5468">
        <v>17.412669999999999</v>
      </c>
      <c r="J5468">
        <v>-368.15480000000002</v>
      </c>
      <c r="K5468">
        <v>1.1097330000000001</v>
      </c>
      <c r="L5468">
        <v>17.4527</v>
      </c>
      <c r="M5468">
        <v>0.99974289999999999</v>
      </c>
      <c r="N5468">
        <v>0</v>
      </c>
      <c r="O5468">
        <v>-2.017565E-2</v>
      </c>
      <c r="P5468">
        <v>0.98678429999999995</v>
      </c>
      <c r="Q5468">
        <v>0.15078910000000001</v>
      </c>
      <c r="R5468">
        <v>-5.932722E-2</v>
      </c>
      <c r="S5468">
        <v>3.0635379999999999</v>
      </c>
      <c r="T5468">
        <v>-0.2206777</v>
      </c>
      <c r="U5468">
        <v>-0.17550660000000001</v>
      </c>
      <c r="V5468">
        <v>3.9426759999999998E-2</v>
      </c>
      <c r="W5468">
        <v>0.16101279999999901</v>
      </c>
      <c r="X5468">
        <v>0.9861645</v>
      </c>
      <c r="Y5468">
        <v>3.6996319999999999E-2</v>
      </c>
      <c r="Z5468">
        <v>1.2037609999999999E-4</v>
      </c>
      <c r="AA5468">
        <v>0.99931539999999996</v>
      </c>
      <c r="AB5468">
        <v>35</v>
      </c>
      <c r="AC5468">
        <v>0.500800000000026</v>
      </c>
      <c r="AD5468">
        <v>-5.7608000000000097E-2</v>
      </c>
      <c r="AE5468">
        <v>-4.0029999999997998E-2</v>
      </c>
      <c r="AF5468">
        <v>2.9529085999885501E-2</v>
      </c>
      <c r="AG5468">
        <v>-5.7608000000000097E-2</v>
      </c>
      <c r="AH5468">
        <v>0.49499733166395499</v>
      </c>
      <c r="AI5468">
        <v>96.626568779755004</v>
      </c>
      <c r="AJ5468">
        <v>86.586063853380793</v>
      </c>
      <c r="AK5468">
        <v>0.49921238660356199</v>
      </c>
      <c r="AL5468">
        <v>80.734312425143003</v>
      </c>
      <c r="AM5468">
        <v>87.710539653176397</v>
      </c>
      <c r="AN5468">
        <v>1.0000000061140899</v>
      </c>
    </row>
    <row r="5469" spans="1:40" x14ac:dyDescent="0.25">
      <c r="A5469" t="str">
        <f>"20190312164137266"</f>
        <v>20190312164137266</v>
      </c>
      <c r="B5469" t="str">
        <f>"1552380097261749"</f>
        <v>1552380097261749</v>
      </c>
      <c r="C5469" t="s">
        <v>40</v>
      </c>
      <c r="D5469">
        <v>5.3377439999999998</v>
      </c>
      <c r="E5469">
        <v>0.51952359999999997</v>
      </c>
      <c r="F5469" t="s">
        <v>42</v>
      </c>
      <c r="G5469">
        <v>-367.35550000000001</v>
      </c>
      <c r="H5469">
        <v>1.045477</v>
      </c>
      <c r="I5469">
        <v>17.377520000000001</v>
      </c>
      <c r="J5469">
        <v>-367.95549999999997</v>
      </c>
      <c r="K5469">
        <v>1.109739</v>
      </c>
      <c r="L5469">
        <v>17.44867</v>
      </c>
      <c r="M5469">
        <v>0.99974280000000004</v>
      </c>
      <c r="N5469">
        <v>0</v>
      </c>
      <c r="O5469">
        <v>-2.018141E-2</v>
      </c>
      <c r="P5469">
        <v>0.98673979999999994</v>
      </c>
      <c r="Q5469">
        <v>0.15083759999999999</v>
      </c>
      <c r="R5469">
        <v>-5.9939319999999997E-2</v>
      </c>
      <c r="S5469">
        <v>3.0605470000000001</v>
      </c>
      <c r="T5469">
        <v>-0.24606239999999999</v>
      </c>
      <c r="U5469">
        <v>-0.28717039999999999</v>
      </c>
      <c r="V5469">
        <v>4.0030370000000003E-2</v>
      </c>
      <c r="W5469">
        <v>0.1610453</v>
      </c>
      <c r="X5469">
        <v>0.98613490000000004</v>
      </c>
      <c r="Y5469">
        <v>7.3136870000000007E-2</v>
      </c>
      <c r="Z5469">
        <v>-1.312873E-3</v>
      </c>
      <c r="AA5469">
        <v>0.99732109999999996</v>
      </c>
      <c r="AB5469">
        <v>35</v>
      </c>
      <c r="AC5469">
        <v>0.59999999999996501</v>
      </c>
      <c r="AD5469">
        <v>-6.4262E-2</v>
      </c>
      <c r="AE5469">
        <v>-7.1149999999999297E-2</v>
      </c>
      <c r="AF5469">
        <v>5.8365776702755098E-2</v>
      </c>
      <c r="AG5469">
        <v>-6.4262E-2</v>
      </c>
      <c r="AH5469">
        <v>0.59458776307688299</v>
      </c>
      <c r="AI5469">
        <v>96.139203638404794</v>
      </c>
      <c r="AJ5469">
        <v>84.393706756671904</v>
      </c>
      <c r="AK5469">
        <v>0.60089165124412203</v>
      </c>
      <c r="AL5469">
        <v>80.732425913917098</v>
      </c>
      <c r="AM5469">
        <v>87.675457273414693</v>
      </c>
      <c r="AN5469">
        <v>1.00000003008621</v>
      </c>
    </row>
    <row r="5470" spans="1:40" x14ac:dyDescent="0.25">
      <c r="A5470" t="str">
        <f>"20190312164137286"</f>
        <v>20190312164137286</v>
      </c>
      <c r="B5470" t="str">
        <f>"1552380097281269"</f>
        <v>1552380097281269</v>
      </c>
      <c r="C5470" t="s">
        <v>40</v>
      </c>
      <c r="D5470">
        <v>5.4483489999999897</v>
      </c>
      <c r="E5470">
        <v>0.5195379</v>
      </c>
      <c r="F5470" t="s">
        <v>41</v>
      </c>
      <c r="G5470">
        <v>-344.16070000000002</v>
      </c>
      <c r="H5470" s="1">
        <v>-3.2780670000000002E-6</v>
      </c>
      <c r="I5470">
        <v>15.158620000000001</v>
      </c>
      <c r="J5470">
        <v>-367.64800000000002</v>
      </c>
      <c r="K5470">
        <v>1.109756</v>
      </c>
      <c r="L5470">
        <v>17.44247</v>
      </c>
      <c r="M5470">
        <v>0.99974350000000001</v>
      </c>
      <c r="N5470">
        <v>0</v>
      </c>
      <c r="O5470">
        <v>-2.0162280000000001E-2</v>
      </c>
      <c r="P5470">
        <v>0.98670259999999999</v>
      </c>
      <c r="Q5470">
        <v>0.15066450000000001</v>
      </c>
      <c r="R5470">
        <v>-6.0978589999999999E-2</v>
      </c>
      <c r="S5470">
        <v>3.0442200000000001</v>
      </c>
      <c r="T5470">
        <v>-0.14197589999999999</v>
      </c>
      <c r="U5470">
        <v>-0.29296879999999997</v>
      </c>
      <c r="V5470">
        <v>4.1079930000000001E-2</v>
      </c>
      <c r="W5470">
        <v>0.16085089999999999</v>
      </c>
      <c r="X5470">
        <v>0.98612339999999998</v>
      </c>
      <c r="Y5470">
        <v>7.5645299999999999E-2</v>
      </c>
      <c r="Z5470">
        <v>-8.2152460000000001E-4</v>
      </c>
      <c r="AA5470">
        <v>0.99713439999999998</v>
      </c>
      <c r="AB5470">
        <v>35</v>
      </c>
      <c r="AC5470">
        <v>23.487300000000001</v>
      </c>
      <c r="AD5470">
        <v>-1.109759278067</v>
      </c>
      <c r="AE5470">
        <v>-2.2838500000000002</v>
      </c>
      <c r="AF5470">
        <v>1.80580926538159</v>
      </c>
      <c r="AG5470">
        <v>-1.109759278067</v>
      </c>
      <c r="AH5470">
        <v>23.476654378771201</v>
      </c>
      <c r="AI5470">
        <v>92.698441186208001</v>
      </c>
      <c r="AJ5470">
        <v>85.601506269906494</v>
      </c>
      <c r="AK5470">
        <v>23.572140623593501</v>
      </c>
      <c r="AL5470">
        <v>80.743710747604794</v>
      </c>
      <c r="AM5470">
        <v>87.614551591252706</v>
      </c>
      <c r="AN5470">
        <v>0.99999996635358601</v>
      </c>
    </row>
    <row r="5471" spans="1:40" x14ac:dyDescent="0.25">
      <c r="A5471" t="str">
        <f>"20190312164137297"</f>
        <v>20190312164137297</v>
      </c>
      <c r="B5471" t="str">
        <f>"1552380097292006"</f>
        <v>1552380097292006</v>
      </c>
      <c r="C5471" t="s">
        <v>40</v>
      </c>
      <c r="D5471">
        <v>5.4127519999999896</v>
      </c>
      <c r="E5471">
        <v>0.51921019999999996</v>
      </c>
      <c r="F5471" t="s">
        <v>41</v>
      </c>
      <c r="G5471">
        <v>-345.09789999999998</v>
      </c>
      <c r="H5471" s="1">
        <v>-2.8582040000000001E-6</v>
      </c>
      <c r="I5471">
        <v>15.25905</v>
      </c>
      <c r="J5471">
        <v>-367.46379999999999</v>
      </c>
      <c r="K5471">
        <v>1.109775</v>
      </c>
      <c r="L5471">
        <v>17.438749999999999</v>
      </c>
      <c r="M5471">
        <v>0.99974419999999997</v>
      </c>
      <c r="N5471">
        <v>0</v>
      </c>
      <c r="O5471">
        <v>-2.0134320000000001E-2</v>
      </c>
      <c r="P5471">
        <v>0.98670290000000005</v>
      </c>
      <c r="Q5471">
        <v>0.15041260000000001</v>
      </c>
      <c r="R5471">
        <v>-6.1593549999999997E-2</v>
      </c>
      <c r="S5471">
        <v>3.045105</v>
      </c>
      <c r="T5471">
        <v>-0.149858399999999</v>
      </c>
      <c r="U5471">
        <v>-0.29483029999999999</v>
      </c>
      <c r="V5471">
        <v>4.171532E-2</v>
      </c>
      <c r="W5471">
        <v>0.1605878</v>
      </c>
      <c r="X5471">
        <v>0.98613969999999995</v>
      </c>
      <c r="Y5471">
        <v>7.6241959999999998E-2</v>
      </c>
      <c r="Z5471">
        <v>-8.8281769999999996E-4</v>
      </c>
      <c r="AA5471">
        <v>0.997089</v>
      </c>
      <c r="AB5471">
        <v>35</v>
      </c>
      <c r="AC5471">
        <v>22.3659</v>
      </c>
      <c r="AD5471">
        <v>-1.1097778582040001</v>
      </c>
      <c r="AE5471">
        <v>-2.1796999999999902</v>
      </c>
      <c r="AF5471">
        <v>1.72470561948067</v>
      </c>
      <c r="AG5471">
        <v>-1.1097778582040001</v>
      </c>
      <c r="AH5471">
        <v>22.350743471321401</v>
      </c>
      <c r="AI5471">
        <v>92.834151932928705</v>
      </c>
      <c r="AJ5471">
        <v>85.5874885091892</v>
      </c>
      <c r="AK5471">
        <v>22.444641901559599</v>
      </c>
      <c r="AL5471">
        <v>80.758984676004999</v>
      </c>
      <c r="AM5471">
        <v>87.577739075630504</v>
      </c>
      <c r="AN5471">
        <v>1.00000005867381</v>
      </c>
    </row>
    <row r="5472" spans="1:40" x14ac:dyDescent="0.25">
      <c r="A5472" t="str">
        <f>"20190312164137309"</f>
        <v>20190312164137309</v>
      </c>
      <c r="B5472" t="str">
        <f>"1552380097301765"</f>
        <v>1552380097301765</v>
      </c>
      <c r="C5472" t="s">
        <v>40</v>
      </c>
      <c r="D5472">
        <v>5.38286</v>
      </c>
      <c r="E5472">
        <v>0.51906770000000002</v>
      </c>
      <c r="F5472" t="s">
        <v>41</v>
      </c>
      <c r="G5472">
        <v>-345.07429999999999</v>
      </c>
      <c r="H5472" s="1">
        <v>-2.8649260000000002E-6</v>
      </c>
      <c r="I5472">
        <v>15.27806</v>
      </c>
      <c r="J5472">
        <v>-367.28769999999997</v>
      </c>
      <c r="K5472">
        <v>1.1097980000000001</v>
      </c>
      <c r="L5472">
        <v>17.435269999999999</v>
      </c>
      <c r="M5472">
        <v>0.99974540000000001</v>
      </c>
      <c r="N5472">
        <v>0</v>
      </c>
      <c r="O5472">
        <v>-2.0076739999999999E-2</v>
      </c>
      <c r="P5472">
        <v>0.98670020000000003</v>
      </c>
      <c r="Q5472">
        <v>0.1501796</v>
      </c>
      <c r="R5472">
        <v>-6.2201689999999997E-2</v>
      </c>
      <c r="S5472">
        <v>3.045105</v>
      </c>
      <c r="T5472">
        <v>-0.15093619999999999</v>
      </c>
      <c r="U5472">
        <v>-0.2938538</v>
      </c>
      <c r="V5472">
        <v>4.2370440000000002E-2</v>
      </c>
      <c r="W5472">
        <v>0.16034689999999999</v>
      </c>
      <c r="X5472">
        <v>0.98615090000000005</v>
      </c>
      <c r="Y5472">
        <v>7.5981880000000002E-2</v>
      </c>
      <c r="Z5472">
        <v>-8.8559009999999896E-4</v>
      </c>
      <c r="AA5472">
        <v>0.99710880000000002</v>
      </c>
      <c r="AB5472">
        <v>35</v>
      </c>
      <c r="AC5472">
        <v>22.213399999999901</v>
      </c>
      <c r="AD5472">
        <v>-1.1098008649259901</v>
      </c>
      <c r="AE5472">
        <v>-2.1572100000000001</v>
      </c>
      <c r="AF5472">
        <v>1.7065589178793099</v>
      </c>
      <c r="AG5472">
        <v>-1.1098008649259901</v>
      </c>
      <c r="AH5472">
        <v>22.197345383340899</v>
      </c>
      <c r="AI5472">
        <v>92.853826573660101</v>
      </c>
      <c r="AJ5472">
        <v>85.603678965362505</v>
      </c>
      <c r="AK5472">
        <v>22.290494462153799</v>
      </c>
      <c r="AL5472">
        <v>80.772967803294506</v>
      </c>
      <c r="AM5472">
        <v>87.539772866020002</v>
      </c>
      <c r="AN5472">
        <v>0.99999999004810602</v>
      </c>
    </row>
    <row r="5473" spans="1:40" x14ac:dyDescent="0.25">
      <c r="A5473" t="str">
        <f>"20190312164137321"</f>
        <v>20190312164137321</v>
      </c>
      <c r="B5473" t="str">
        <f>"1552380097311525"</f>
        <v>1552380097311525</v>
      </c>
      <c r="C5473" t="s">
        <v>40</v>
      </c>
      <c r="D5473">
        <v>5.3521799999999997</v>
      </c>
      <c r="E5473">
        <v>0.51890619999999998</v>
      </c>
      <c r="F5473" t="s">
        <v>41</v>
      </c>
      <c r="G5473">
        <v>-345.23180000000002</v>
      </c>
      <c r="H5473" s="1">
        <v>-2.7926219999999999E-6</v>
      </c>
      <c r="I5473">
        <v>15.304880000000001</v>
      </c>
      <c r="J5473">
        <v>-367.10950000000003</v>
      </c>
      <c r="K5473">
        <v>1.1098220000000001</v>
      </c>
      <c r="L5473">
        <v>17.431699999999999</v>
      </c>
      <c r="M5473">
        <v>0.99974700000000005</v>
      </c>
      <c r="N5473">
        <v>0</v>
      </c>
      <c r="O5473">
        <v>-2.0008040000000001E-2</v>
      </c>
      <c r="P5473">
        <v>0.98667890000000003</v>
      </c>
      <c r="Q5473">
        <v>0.15021129999999999</v>
      </c>
      <c r="R5473">
        <v>-6.2462770000000001E-2</v>
      </c>
      <c r="S5473">
        <v>3.0452270000000001</v>
      </c>
      <c r="T5473">
        <v>-0.15322859999999999</v>
      </c>
      <c r="U5473">
        <v>-0.29412840000000001</v>
      </c>
      <c r="V5473">
        <v>4.2689110000000002E-2</v>
      </c>
      <c r="W5473">
        <v>0.1603704</v>
      </c>
      <c r="X5473">
        <v>0.98613329999999999</v>
      </c>
      <c r="Y5473">
        <v>7.6133329999999999E-2</v>
      </c>
      <c r="Z5473">
        <v>-9.0622809999999995E-4</v>
      </c>
      <c r="AA5473">
        <v>0.99709729999999996</v>
      </c>
      <c r="AB5473">
        <v>35</v>
      </c>
      <c r="AC5473">
        <v>21.877700000000001</v>
      </c>
      <c r="AD5473">
        <v>-1.109824792622</v>
      </c>
      <c r="AE5473">
        <v>-2.1268199999999999</v>
      </c>
      <c r="AF5473">
        <v>1.68434729079039</v>
      </c>
      <c r="AG5473">
        <v>-1.109824792622</v>
      </c>
      <c r="AH5473">
        <v>21.8601477749101</v>
      </c>
      <c r="AI5473">
        <v>92.897797798025707</v>
      </c>
      <c r="AJ5473">
        <v>85.5940056566197</v>
      </c>
      <c r="AK5473">
        <v>21.953013406072898</v>
      </c>
      <c r="AL5473">
        <v>80.771603376229905</v>
      </c>
      <c r="AM5473">
        <v>87.521248195086798</v>
      </c>
      <c r="AN5473">
        <v>0.99999995533882002</v>
      </c>
    </row>
    <row r="5474" spans="1:40" x14ac:dyDescent="0.25">
      <c r="A5474" t="str">
        <f>"20190312164137332"</f>
        <v>20190312164137332</v>
      </c>
      <c r="B5474" t="str">
        <f>"1552380097321285"</f>
        <v>1552380097321285</v>
      </c>
      <c r="C5474" t="s">
        <v>40</v>
      </c>
      <c r="D5474">
        <v>5.3878250000000003</v>
      </c>
      <c r="E5474">
        <v>0.51871309999999904</v>
      </c>
      <c r="F5474" t="s">
        <v>41</v>
      </c>
      <c r="G5474">
        <v>-345.02859999999998</v>
      </c>
      <c r="H5474" s="1">
        <v>-2.8798660000000001E-6</v>
      </c>
      <c r="I5474">
        <v>15.304429999999901</v>
      </c>
      <c r="J5474">
        <v>-366.92439999999999</v>
      </c>
      <c r="K5474">
        <v>1.1098600000000001</v>
      </c>
      <c r="L5474">
        <v>17.428100000000001</v>
      </c>
      <c r="M5474">
        <v>0.99974909999999995</v>
      </c>
      <c r="N5474">
        <v>0</v>
      </c>
      <c r="O5474">
        <v>-1.990192E-2</v>
      </c>
      <c r="P5474">
        <v>0.98670139999999995</v>
      </c>
      <c r="Q5474">
        <v>0.1498176</v>
      </c>
      <c r="R5474">
        <v>-6.304767E-2</v>
      </c>
      <c r="S5474">
        <v>3.0452270000000001</v>
      </c>
      <c r="T5474">
        <v>-0.15305849999999999</v>
      </c>
      <c r="U5474">
        <v>-0.2933655</v>
      </c>
      <c r="V5474">
        <v>4.3364180000000002E-2</v>
      </c>
      <c r="W5474">
        <v>0.1599708</v>
      </c>
      <c r="X5474">
        <v>0.98616879999999996</v>
      </c>
      <c r="Y5474">
        <v>7.5991859999999994E-2</v>
      </c>
      <c r="Z5474">
        <v>-9.0700329999999997E-4</v>
      </c>
      <c r="AA5474">
        <v>0.99710799999999999</v>
      </c>
      <c r="AB5474">
        <v>35</v>
      </c>
      <c r="AC5474">
        <v>21.895800000000001</v>
      </c>
      <c r="AD5474">
        <v>-1.109862879866</v>
      </c>
      <c r="AE5474">
        <v>-2.1236700000000002</v>
      </c>
      <c r="AF5474">
        <v>1.68317355687625</v>
      </c>
      <c r="AG5474">
        <v>-1.109862879866</v>
      </c>
      <c r="AH5474">
        <v>21.8780424572793</v>
      </c>
      <c r="AI5474">
        <v>92.895556650396401</v>
      </c>
      <c r="AJ5474">
        <v>85.600651032228498</v>
      </c>
      <c r="AK5474">
        <v>21.9707444251938</v>
      </c>
      <c r="AL5474">
        <v>80.794798697677095</v>
      </c>
      <c r="AM5474">
        <v>87.482190696832404</v>
      </c>
      <c r="AN5474">
        <v>1.0000000055265701</v>
      </c>
    </row>
    <row r="5475" spans="1:40" x14ac:dyDescent="0.25">
      <c r="A5475" t="str">
        <f>"20190312164137345"</f>
        <v>20190312164137345</v>
      </c>
      <c r="B5475" t="str">
        <f>"1552380097341781"</f>
        <v>1552380097341781</v>
      </c>
      <c r="C5475" t="s">
        <v>40</v>
      </c>
      <c r="D5475">
        <v>5.4278139999999997</v>
      </c>
      <c r="E5475">
        <v>0.51824399999999904</v>
      </c>
      <c r="F5475" t="s">
        <v>41</v>
      </c>
      <c r="G5475">
        <v>-345.00709999999998</v>
      </c>
      <c r="H5475" s="1">
        <v>-2.8867510000000002E-6</v>
      </c>
      <c r="I5475">
        <v>15.317589999999999</v>
      </c>
      <c r="J5475">
        <v>-366.72590000000002</v>
      </c>
      <c r="K5475">
        <v>1.1099000000000001</v>
      </c>
      <c r="L5475">
        <v>17.42426</v>
      </c>
      <c r="M5475">
        <v>0.99975210000000003</v>
      </c>
      <c r="N5475">
        <v>0</v>
      </c>
      <c r="O5475">
        <v>-1.975998E-2</v>
      </c>
      <c r="P5475">
        <v>0.98666010000000004</v>
      </c>
      <c r="Q5475">
        <v>0.149758</v>
      </c>
      <c r="R5475">
        <v>-6.3834829999999995E-2</v>
      </c>
      <c r="S5475">
        <v>3.045105</v>
      </c>
      <c r="T5475">
        <v>-0.1541997</v>
      </c>
      <c r="U5475">
        <v>-0.2932129</v>
      </c>
      <c r="V5475">
        <v>4.4275759999999997E-2</v>
      </c>
      <c r="W5475">
        <v>0.1599063</v>
      </c>
      <c r="X5475">
        <v>0.98613879999999998</v>
      </c>
      <c r="Y5475">
        <v>7.608637E-2</v>
      </c>
      <c r="Z5475">
        <v>-9.2334440000000002E-4</v>
      </c>
      <c r="AA5475">
        <v>0.99710080000000001</v>
      </c>
      <c r="AB5475">
        <v>35</v>
      </c>
      <c r="AC5475">
        <v>21.718800000000002</v>
      </c>
      <c r="AD5475">
        <v>-1.1099028867509999</v>
      </c>
      <c r="AE5475">
        <v>-2.1066699999999998</v>
      </c>
      <c r="AF5475">
        <v>1.6727452479206899</v>
      </c>
      <c r="AG5475">
        <v>-1.1099028867509999</v>
      </c>
      <c r="AH5475">
        <v>21.700046427949999</v>
      </c>
      <c r="AI5475">
        <v>92.919338195543503</v>
      </c>
      <c r="AJ5475">
        <v>85.592079254579701</v>
      </c>
      <c r="AK5475">
        <v>21.7927046521914</v>
      </c>
      <c r="AL5475">
        <v>80.798542884521495</v>
      </c>
      <c r="AM5475">
        <v>87.429254747848205</v>
      </c>
      <c r="AN5475">
        <v>1.00000005028435</v>
      </c>
    </row>
    <row r="5476" spans="1:40" x14ac:dyDescent="0.25">
      <c r="A5476" t="str">
        <f>"20190312164137366"</f>
        <v>20190312164137366</v>
      </c>
      <c r="B5476" t="str">
        <f>"1552380097361301"</f>
        <v>1552380097361301</v>
      </c>
      <c r="C5476" t="s">
        <v>40</v>
      </c>
      <c r="D5476">
        <v>5.4293969999999998</v>
      </c>
      <c r="E5476">
        <v>0.51857229999999999</v>
      </c>
      <c r="F5476" t="s">
        <v>42</v>
      </c>
      <c r="G5476">
        <v>-365.80770000000001</v>
      </c>
      <c r="H5476">
        <v>1.0288539999999999</v>
      </c>
      <c r="I5476">
        <v>17.339389999999899</v>
      </c>
      <c r="J5476">
        <v>-366.4144</v>
      </c>
      <c r="K5476">
        <v>1.109972</v>
      </c>
      <c r="L5476">
        <v>17.418369999999999</v>
      </c>
      <c r="M5476">
        <v>0.99975780000000003</v>
      </c>
      <c r="N5476">
        <v>0</v>
      </c>
      <c r="O5476">
        <v>-1.9474869999999998E-2</v>
      </c>
      <c r="P5476">
        <v>0.98659149999999995</v>
      </c>
      <c r="Q5476">
        <v>0.1496014</v>
      </c>
      <c r="R5476">
        <v>-6.5243389999999998E-2</v>
      </c>
      <c r="S5476">
        <v>3.0632929999999998</v>
      </c>
      <c r="T5476">
        <v>-0.27040140000000001</v>
      </c>
      <c r="U5476">
        <v>-0.2828369</v>
      </c>
      <c r="V5476">
        <v>4.5939269999999997E-2</v>
      </c>
      <c r="W5476">
        <v>0.15974440000000001</v>
      </c>
      <c r="X5476">
        <v>0.98608890000000005</v>
      </c>
      <c r="Y5476">
        <v>7.2325399999999901E-2</v>
      </c>
      <c r="Z5476">
        <v>-1.467473E-3</v>
      </c>
      <c r="AA5476">
        <v>0.99738000000000004</v>
      </c>
      <c r="AB5476">
        <v>35</v>
      </c>
      <c r="AC5476">
        <v>0.60669999999998903</v>
      </c>
      <c r="AD5476">
        <v>-8.1117999999999801E-2</v>
      </c>
      <c r="AE5476">
        <v>-7.8980000000001299E-2</v>
      </c>
      <c r="AF5476">
        <v>6.5988990494418906E-2</v>
      </c>
      <c r="AG5476">
        <v>-8.1117999999999801E-2</v>
      </c>
      <c r="AH5476">
        <v>0.59761775151896901</v>
      </c>
      <c r="AI5476">
        <v>97.6836984925623</v>
      </c>
      <c r="AJ5476">
        <v>83.698922431175404</v>
      </c>
      <c r="AK5476">
        <v>0.60669733287782002</v>
      </c>
      <c r="AL5476">
        <v>80.807939439540405</v>
      </c>
      <c r="AM5476">
        <v>87.332669983806298</v>
      </c>
      <c r="AN5476">
        <v>1.0000000042813499</v>
      </c>
    </row>
    <row r="5477" spans="1:40" x14ac:dyDescent="0.25">
      <c r="A5477" t="str">
        <f>"20190312164137387"</f>
        <v>20190312164137387</v>
      </c>
      <c r="B5477" t="str">
        <f>"1552380097381797"</f>
        <v>1552380097381797</v>
      </c>
      <c r="C5477" t="s">
        <v>40</v>
      </c>
      <c r="D5477">
        <v>5.3883729999999996</v>
      </c>
      <c r="E5477">
        <v>0.51804319999999904</v>
      </c>
      <c r="F5477" t="s">
        <v>42</v>
      </c>
      <c r="G5477">
        <v>-365.49680000000001</v>
      </c>
      <c r="H5477">
        <v>1.026419</v>
      </c>
      <c r="I5477">
        <v>17.331789999999899</v>
      </c>
      <c r="J5477">
        <v>-366.07299999999998</v>
      </c>
      <c r="K5477">
        <v>1.110053</v>
      </c>
      <c r="L5477">
        <v>17.412050000000001</v>
      </c>
      <c r="M5477">
        <v>0.99976569999999998</v>
      </c>
      <c r="N5477">
        <v>0</v>
      </c>
      <c r="O5477">
        <v>-1.9071899999999999E-2</v>
      </c>
      <c r="P5477">
        <v>0.98659479999999999</v>
      </c>
      <c r="Q5477">
        <v>0.149061</v>
      </c>
      <c r="R5477">
        <v>-6.6419329999999999E-2</v>
      </c>
      <c r="S5477">
        <v>3.0640260000000001</v>
      </c>
      <c r="T5477">
        <v>-0.2790281</v>
      </c>
      <c r="U5477">
        <v>-0.28845209999999999</v>
      </c>
      <c r="V5477">
        <v>4.7481870000000002E-2</v>
      </c>
      <c r="W5477">
        <v>0.1592035</v>
      </c>
      <c r="X5477">
        <v>0.98610330000000002</v>
      </c>
      <c r="Y5477">
        <v>7.4493909999999997E-2</v>
      </c>
      <c r="Z5477">
        <v>-1.6484620000000001E-3</v>
      </c>
      <c r="AA5477">
        <v>0.99722010000000005</v>
      </c>
      <c r="AB5477">
        <v>35</v>
      </c>
      <c r="AC5477">
        <v>0.57620000000002802</v>
      </c>
      <c r="AD5477">
        <v>-8.3633999999999903E-2</v>
      </c>
      <c r="AE5477">
        <v>-8.0260000000002593E-2</v>
      </c>
      <c r="AF5477">
        <v>6.7853284082284707E-2</v>
      </c>
      <c r="AG5477">
        <v>-8.3633999999999903E-2</v>
      </c>
      <c r="AH5477">
        <v>0.56593000440125996</v>
      </c>
      <c r="AI5477">
        <v>98.347479923303794</v>
      </c>
      <c r="AJ5477">
        <v>83.163046909373094</v>
      </c>
      <c r="AK5477">
        <v>0.57608635116479001</v>
      </c>
      <c r="AL5477">
        <v>80.839332454431997</v>
      </c>
      <c r="AM5477">
        <v>87.243279527546903</v>
      </c>
      <c r="AN5477">
        <v>1.00000000033091</v>
      </c>
    </row>
    <row r="5478" spans="1:40" x14ac:dyDescent="0.25">
      <c r="A5478" t="str">
        <f>"20190312164137399"</f>
        <v>20190312164137399</v>
      </c>
      <c r="B5478" t="str">
        <f>"1552380097391558"</f>
        <v>1552380097391558</v>
      </c>
      <c r="C5478" t="s">
        <v>40</v>
      </c>
      <c r="D5478">
        <v>5.4204699999999999</v>
      </c>
      <c r="E5478">
        <v>0.51788699999999999</v>
      </c>
      <c r="F5478" t="s">
        <v>42</v>
      </c>
      <c r="G5478">
        <v>-365.18189999999998</v>
      </c>
      <c r="H5478">
        <v>1.0316050000000001</v>
      </c>
      <c r="I5478">
        <v>17.327809999999999</v>
      </c>
      <c r="J5478">
        <v>-365.88909999999998</v>
      </c>
      <c r="K5478">
        <v>1.110093</v>
      </c>
      <c r="L5478">
        <v>17.408750000000001</v>
      </c>
      <c r="M5478">
        <v>0.9997703</v>
      </c>
      <c r="N5478">
        <v>0</v>
      </c>
      <c r="O5478">
        <v>-1.882559E-2</v>
      </c>
      <c r="P5478">
        <v>0.98653709999999994</v>
      </c>
      <c r="Q5478">
        <v>0.14910709999999999</v>
      </c>
      <c r="R5478">
        <v>-6.716975E-2</v>
      </c>
      <c r="S5478">
        <v>3.0620419999999999</v>
      </c>
      <c r="T5478">
        <v>-0.26958729999999997</v>
      </c>
      <c r="U5478">
        <v>-0.28869630000000002</v>
      </c>
      <c r="V5478">
        <v>4.846015E-2</v>
      </c>
      <c r="W5478">
        <v>0.15925149999999999</v>
      </c>
      <c r="X5478">
        <v>0.98604800000000004</v>
      </c>
      <c r="Y5478">
        <v>7.4891050000000001E-2</v>
      </c>
      <c r="Z5478">
        <v>-1.632917E-3</v>
      </c>
      <c r="AA5478">
        <v>0.99719040000000003</v>
      </c>
      <c r="AB5478">
        <v>35</v>
      </c>
      <c r="AC5478">
        <v>0.70720000000000005</v>
      </c>
      <c r="AD5478">
        <v>-7.8488000000000099E-2</v>
      </c>
      <c r="AE5478">
        <v>-8.0940000000001705E-2</v>
      </c>
      <c r="AF5478">
        <v>6.6799337444907098E-2</v>
      </c>
      <c r="AG5478">
        <v>-7.8488000000000099E-2</v>
      </c>
      <c r="AH5478">
        <v>0.70008667258989798</v>
      </c>
      <c r="AI5478">
        <v>96.368139957387498</v>
      </c>
      <c r="AJ5478">
        <v>84.549577317554693</v>
      </c>
      <c r="AK5478">
        <v>0.70763257893137799</v>
      </c>
      <c r="AL5478">
        <v>80.836547104669194</v>
      </c>
      <c r="AM5478">
        <v>87.186414980297897</v>
      </c>
      <c r="AN5478">
        <v>1.00000004234713</v>
      </c>
    </row>
    <row r="5479" spans="1:40" x14ac:dyDescent="0.25">
      <c r="A5479" t="str">
        <f>"20190312164137410"</f>
        <v>20190312164137410</v>
      </c>
      <c r="B5479" t="str">
        <f>"1552380097401318"</f>
        <v>1552380097401318</v>
      </c>
      <c r="C5479" t="s">
        <v>40</v>
      </c>
      <c r="D5479">
        <v>5.3855779999999998</v>
      </c>
      <c r="E5479">
        <v>0.51781739999999998</v>
      </c>
      <c r="F5479" t="s">
        <v>42</v>
      </c>
      <c r="G5479">
        <v>-364.8741</v>
      </c>
      <c r="H5479">
        <v>1.0220089999999999</v>
      </c>
      <c r="I5479">
        <v>17.312279999999902</v>
      </c>
      <c r="J5479">
        <v>-365.70830000000001</v>
      </c>
      <c r="K5479">
        <v>1.110131</v>
      </c>
      <c r="L5479">
        <v>17.40558</v>
      </c>
      <c r="M5479">
        <v>0.99977550000000004</v>
      </c>
      <c r="N5479">
        <v>0</v>
      </c>
      <c r="O5479">
        <v>-1.8545499999999999E-2</v>
      </c>
      <c r="P5479">
        <v>0.98654180000000002</v>
      </c>
      <c r="Q5479">
        <v>0.1489259</v>
      </c>
      <c r="R5479">
        <v>-6.7497630000000003E-2</v>
      </c>
      <c r="S5479">
        <v>3.06134</v>
      </c>
      <c r="T5479">
        <v>-0.26574249999999999</v>
      </c>
      <c r="U5479">
        <v>-0.29013060000000002</v>
      </c>
      <c r="V5479">
        <v>4.9049959999999997E-2</v>
      </c>
      <c r="W5479">
        <v>0.15907689999999999</v>
      </c>
      <c r="X5479">
        <v>0.98604700000000001</v>
      </c>
      <c r="Y5479">
        <v>7.5656909999999994E-2</v>
      </c>
      <c r="Z5479">
        <v>-1.6673549999999999E-3</v>
      </c>
      <c r="AA5479">
        <v>0.99713249999999998</v>
      </c>
      <c r="AB5479">
        <v>35</v>
      </c>
      <c r="AC5479">
        <v>0.83420000000000905</v>
      </c>
      <c r="AD5479">
        <v>-8.8122000000000006E-2</v>
      </c>
      <c r="AE5479">
        <v>-9.3300000000002797E-2</v>
      </c>
      <c r="AF5479">
        <v>7.6964244473237006E-2</v>
      </c>
      <c r="AG5479">
        <v>-8.8122000000000006E-2</v>
      </c>
      <c r="AH5479">
        <v>0.82667593098491099</v>
      </c>
      <c r="AI5479">
        <v>96.058633373625099</v>
      </c>
      <c r="AJ5479">
        <v>84.681045815874697</v>
      </c>
      <c r="AK5479">
        <v>0.83491441278798495</v>
      </c>
      <c r="AL5479">
        <v>80.846679938095207</v>
      </c>
      <c r="AM5479">
        <v>87.152223897632098</v>
      </c>
      <c r="AN5479">
        <v>1.0000000224493</v>
      </c>
    </row>
    <row r="5480" spans="1:40" x14ac:dyDescent="0.25">
      <c r="A5480" t="str">
        <f>"20190312164137431"</f>
        <v>20190312164137431</v>
      </c>
      <c r="B5480" t="str">
        <f>"1552380097421813"</f>
        <v>1552380097421813</v>
      </c>
      <c r="C5480" t="s">
        <v>40</v>
      </c>
      <c r="D5480">
        <v>5.4544920000000001</v>
      </c>
      <c r="E5480">
        <v>0.51782229999999996</v>
      </c>
      <c r="F5480" t="s">
        <v>42</v>
      </c>
      <c r="G5480">
        <v>-364.8664</v>
      </c>
      <c r="H5480">
        <v>1.037479</v>
      </c>
      <c r="I5480">
        <v>17.325240000000001</v>
      </c>
      <c r="J5480">
        <v>-365.3852</v>
      </c>
      <c r="K5480">
        <v>1.1101970000000001</v>
      </c>
      <c r="L5480">
        <v>17.400089999999999</v>
      </c>
      <c r="M5480">
        <v>0.99978540000000005</v>
      </c>
      <c r="N5480">
        <v>0</v>
      </c>
      <c r="O5480">
        <v>-1.8003959999999999E-2</v>
      </c>
      <c r="P5480">
        <v>0.98648130000000001</v>
      </c>
      <c r="Q5480">
        <v>0.1488814</v>
      </c>
      <c r="R5480">
        <v>-6.847491E-2</v>
      </c>
      <c r="S5480">
        <v>3.0609130000000002</v>
      </c>
      <c r="T5480">
        <v>-0.26423010000000002</v>
      </c>
      <c r="U5480">
        <v>-0.29104609999999997</v>
      </c>
      <c r="V5480">
        <v>5.0538119999999999E-2</v>
      </c>
      <c r="W5480">
        <v>0.15904769999999999</v>
      </c>
      <c r="X5480">
        <v>0.98597650000000003</v>
      </c>
      <c r="Y5480">
        <v>7.6502870000000001E-2</v>
      </c>
      <c r="Z5480">
        <v>-1.7410049999999999E-3</v>
      </c>
      <c r="AA5480">
        <v>0.99706790000000001</v>
      </c>
      <c r="AB5480">
        <v>35</v>
      </c>
      <c r="AC5480">
        <v>0.51879999999999804</v>
      </c>
      <c r="AD5480">
        <v>-7.2717999999999797E-2</v>
      </c>
      <c r="AE5480">
        <v>-7.4849999999997793E-2</v>
      </c>
      <c r="AF5480">
        <v>6.4260181044131198E-2</v>
      </c>
      <c r="AG5480">
        <v>-7.2717999999999797E-2</v>
      </c>
      <c r="AH5480">
        <v>0.51024350731998502</v>
      </c>
      <c r="AI5480">
        <v>98.048228902588207</v>
      </c>
      <c r="AJ5480">
        <v>82.821947781285999</v>
      </c>
      <c r="AK5480">
        <v>0.51938975264633802</v>
      </c>
      <c r="AL5480">
        <v>80.848374024032097</v>
      </c>
      <c r="AM5480">
        <v>87.065762612826902</v>
      </c>
      <c r="AN5480">
        <v>0.99999996550033599</v>
      </c>
    </row>
    <row r="5481" spans="1:40" x14ac:dyDescent="0.25">
      <c r="A5481" t="str">
        <f>"20190312164137443"</f>
        <v>20190312164137443</v>
      </c>
      <c r="B5481" t="str">
        <f>"1552380097431574"</f>
        <v>1552380097431574</v>
      </c>
      <c r="C5481" t="s">
        <v>40</v>
      </c>
      <c r="D5481">
        <v>5.4513800000000003</v>
      </c>
      <c r="E5481">
        <v>0.51764500000000002</v>
      </c>
      <c r="F5481" t="s">
        <v>42</v>
      </c>
      <c r="G5481">
        <v>-364.55290000000002</v>
      </c>
      <c r="H5481">
        <v>1.038627</v>
      </c>
      <c r="I5481">
        <v>17.319739999999999</v>
      </c>
      <c r="J5481">
        <v>-365.20690000000002</v>
      </c>
      <c r="K5481">
        <v>1.110231</v>
      </c>
      <c r="L5481">
        <v>17.39716</v>
      </c>
      <c r="M5481">
        <v>0.99979119999999999</v>
      </c>
      <c r="N5481">
        <v>0</v>
      </c>
      <c r="O5481">
        <v>-1.7681539999999999E-2</v>
      </c>
      <c r="P5481">
        <v>0.98643559999999997</v>
      </c>
      <c r="Q5481">
        <v>0.14896779999999901</v>
      </c>
      <c r="R5481">
        <v>-6.8945759999999995E-2</v>
      </c>
      <c r="S5481">
        <v>3.0603940000000001</v>
      </c>
      <c r="T5481">
        <v>-0.26322839999999997</v>
      </c>
      <c r="U5481">
        <v>-0.2946472</v>
      </c>
      <c r="V5481">
        <v>5.13155E-2</v>
      </c>
      <c r="W5481">
        <v>0.15914510000000001</v>
      </c>
      <c r="X5481">
        <v>0.98592069999999998</v>
      </c>
      <c r="Y5481">
        <v>7.7997769999999994E-2</v>
      </c>
      <c r="Z5481">
        <v>-1.8262549999999999E-3</v>
      </c>
      <c r="AA5481">
        <v>0.9969519</v>
      </c>
      <c r="AB5481">
        <v>35</v>
      </c>
      <c r="AC5481">
        <v>0.65399999999999603</v>
      </c>
      <c r="AD5481">
        <v>-7.1604000000000001E-2</v>
      </c>
      <c r="AE5481">
        <v>-7.7420000000000003E-2</v>
      </c>
      <c r="AF5481">
        <v>6.5074281391841599E-2</v>
      </c>
      <c r="AG5481">
        <v>-7.1604000000000001E-2</v>
      </c>
      <c r="AH5481">
        <v>0.64761094547357401</v>
      </c>
      <c r="AI5481">
        <v>96.277999509053799</v>
      </c>
      <c r="AJ5481">
        <v>84.261974086200695</v>
      </c>
      <c r="AK5481">
        <v>0.65479900092458998</v>
      </c>
      <c r="AL5481">
        <v>80.842722060247496</v>
      </c>
      <c r="AM5481">
        <v>87.020540405090799</v>
      </c>
      <c r="AN5481">
        <v>1.00000003504137</v>
      </c>
    </row>
    <row r="5482" spans="1:40" x14ac:dyDescent="0.25">
      <c r="A5482" t="str">
        <f>"20190312164137454"</f>
        <v>20190312164137454</v>
      </c>
      <c r="B5482" t="str">
        <f>"1552380097441333"</f>
        <v>1552380097441333</v>
      </c>
      <c r="C5482" t="s">
        <v>40</v>
      </c>
      <c r="D5482">
        <v>5.4450640000000003</v>
      </c>
      <c r="E5482">
        <v>0.51756289999999905</v>
      </c>
      <c r="F5482" t="s">
        <v>42</v>
      </c>
      <c r="G5482">
        <v>-364.24540000000002</v>
      </c>
      <c r="H5482">
        <v>1.0276209999999999</v>
      </c>
      <c r="I5482">
        <v>17.304189999999998</v>
      </c>
      <c r="J5482">
        <v>-365.02550000000002</v>
      </c>
      <c r="K5482">
        <v>1.1102639999999999</v>
      </c>
      <c r="L5482">
        <v>17.39423</v>
      </c>
      <c r="M5482">
        <v>0.99979720000000005</v>
      </c>
      <c r="N5482">
        <v>0</v>
      </c>
      <c r="O5482">
        <v>-1.7336279999999999E-2</v>
      </c>
      <c r="P5482">
        <v>0.98640209999999995</v>
      </c>
      <c r="Q5482">
        <v>0.14901929999999999</v>
      </c>
      <c r="R5482">
        <v>-6.9312730000000003E-2</v>
      </c>
      <c r="S5482">
        <v>3.0604550000000001</v>
      </c>
      <c r="T5482">
        <v>-0.26296370000000002</v>
      </c>
      <c r="U5482">
        <v>-0.29434199999999999</v>
      </c>
      <c r="V5482">
        <v>5.2012570000000001E-2</v>
      </c>
      <c r="W5482">
        <v>0.15921150000000001</v>
      </c>
      <c r="X5482">
        <v>0.98587340000000001</v>
      </c>
      <c r="Y5482">
        <v>7.8239959999999997E-2</v>
      </c>
      <c r="Z5482">
        <v>-1.8642890000000001E-3</v>
      </c>
      <c r="AA5482">
        <v>0.99693279999999995</v>
      </c>
      <c r="AB5482">
        <v>35</v>
      </c>
      <c r="AC5482">
        <v>0.78010000000000401</v>
      </c>
      <c r="AD5482">
        <v>-8.2642999999999994E-2</v>
      </c>
      <c r="AE5482">
        <v>-9.0040000000001896E-2</v>
      </c>
      <c r="AF5482">
        <v>7.5663709878128899E-2</v>
      </c>
      <c r="AG5482">
        <v>-8.2642999999999994E-2</v>
      </c>
      <c r="AH5482">
        <v>0.77298260732096202</v>
      </c>
      <c r="AI5482">
        <v>96.073754161901206</v>
      </c>
      <c r="AJ5482">
        <v>84.409390016712294</v>
      </c>
      <c r="AK5482">
        <v>0.78106144038880498</v>
      </c>
      <c r="AL5482">
        <v>80.838868024598895</v>
      </c>
      <c r="AM5482">
        <v>86.979997206772794</v>
      </c>
      <c r="AN5482">
        <v>0.99999998499890697</v>
      </c>
    </row>
    <row r="5483" spans="1:40" x14ac:dyDescent="0.25">
      <c r="A5483" t="str">
        <f>"20190312164137465"</f>
        <v>20190312164137465</v>
      </c>
      <c r="B5483" t="str">
        <f>"1552380097461830"</f>
        <v>1552380097461830</v>
      </c>
      <c r="C5483" t="s">
        <v>40</v>
      </c>
      <c r="D5483">
        <v>5.4417419999999996</v>
      </c>
      <c r="E5483">
        <v>0.51703350000000003</v>
      </c>
      <c r="F5483" t="s">
        <v>42</v>
      </c>
      <c r="G5483">
        <v>-364.238</v>
      </c>
      <c r="H5483">
        <v>1.0422899999999999</v>
      </c>
      <c r="I5483">
        <v>17.317910000000001</v>
      </c>
      <c r="J5483">
        <v>-364.85210000000001</v>
      </c>
      <c r="K5483">
        <v>1.1102909999999999</v>
      </c>
      <c r="L5483">
        <v>17.39151</v>
      </c>
      <c r="M5483">
        <v>0.99980290000000005</v>
      </c>
      <c r="N5483">
        <v>0</v>
      </c>
      <c r="O5483">
        <v>-1.6994059999999998E-2</v>
      </c>
      <c r="P5483">
        <v>0.98636409999999997</v>
      </c>
      <c r="Q5483">
        <v>0.14900479999999899</v>
      </c>
      <c r="R5483">
        <v>-6.9885779999999995E-2</v>
      </c>
      <c r="S5483">
        <v>3.0605470000000001</v>
      </c>
      <c r="T5483">
        <v>-0.26416299999999998</v>
      </c>
      <c r="U5483">
        <v>-0.29473880000000002</v>
      </c>
      <c r="V5483">
        <v>5.2914000000000003E-2</v>
      </c>
      <c r="W5483">
        <v>0.15921479999999999</v>
      </c>
      <c r="X5483">
        <v>0.9858249</v>
      </c>
      <c r="Y5483">
        <v>7.8701399999999894E-2</v>
      </c>
      <c r="Z5483">
        <v>-1.921926E-3</v>
      </c>
      <c r="AA5483">
        <v>0.99689640000000002</v>
      </c>
      <c r="AB5483">
        <v>35</v>
      </c>
      <c r="AC5483">
        <v>0.61409999999995002</v>
      </c>
      <c r="AD5483">
        <v>-6.8000999999999895E-2</v>
      </c>
      <c r="AE5483">
        <v>-7.3599999999999E-2</v>
      </c>
      <c r="AF5483">
        <v>6.2398488226818198E-2</v>
      </c>
      <c r="AG5483">
        <v>-6.8000999999999895E-2</v>
      </c>
      <c r="AH5483">
        <v>0.60791360850714804</v>
      </c>
      <c r="AI5483">
        <v>96.3494671385522</v>
      </c>
      <c r="AJ5483">
        <v>84.139474619167501</v>
      </c>
      <c r="AK5483">
        <v>0.61487938877651005</v>
      </c>
      <c r="AL5483">
        <v>80.838676539726904</v>
      </c>
      <c r="AM5483">
        <v>86.9276060879901</v>
      </c>
      <c r="AN5483">
        <v>0.99999998869752404</v>
      </c>
    </row>
    <row r="5484" spans="1:40" x14ac:dyDescent="0.25">
      <c r="A5484" t="str">
        <f>"20190312164137476"</f>
        <v>20190312164137476</v>
      </c>
      <c r="B5484" t="str">
        <f>"1552380097471589"</f>
        <v>1552380097471589</v>
      </c>
      <c r="C5484" t="s">
        <v>40</v>
      </c>
      <c r="D5484">
        <v>5.433853</v>
      </c>
      <c r="E5484">
        <v>0.51697859999999995</v>
      </c>
      <c r="F5484" t="s">
        <v>42</v>
      </c>
      <c r="G5484">
        <v>-363.9298</v>
      </c>
      <c r="H5484">
        <v>1.0321940000000001</v>
      </c>
      <c r="I5484">
        <v>17.303100000000001</v>
      </c>
      <c r="J5484">
        <v>-364.6705</v>
      </c>
      <c r="K5484">
        <v>1.1103190000000001</v>
      </c>
      <c r="L5484">
        <v>17.388729999999999</v>
      </c>
      <c r="M5484">
        <v>0.99980880000000005</v>
      </c>
      <c r="N5484">
        <v>0</v>
      </c>
      <c r="O5484">
        <v>-1.662945E-2</v>
      </c>
      <c r="P5484">
        <v>0.98633320000000002</v>
      </c>
      <c r="Q5484">
        <v>0.14910370000000001</v>
      </c>
      <c r="R5484">
        <v>-7.0108379999999998E-2</v>
      </c>
      <c r="S5484">
        <v>3.0598749999999999</v>
      </c>
      <c r="T5484">
        <v>-0.25911899999999999</v>
      </c>
      <c r="U5484">
        <v>-0.2928772</v>
      </c>
      <c r="V5484">
        <v>5.348754E-2</v>
      </c>
      <c r="W5484">
        <v>0.1593339</v>
      </c>
      <c r="X5484">
        <v>0.9857747</v>
      </c>
      <c r="Y5484">
        <v>7.8492770000000003E-2</v>
      </c>
      <c r="Z5484">
        <v>-1.9077619999999999E-3</v>
      </c>
      <c r="AA5484">
        <v>0.99691280000000004</v>
      </c>
      <c r="AB5484">
        <v>35</v>
      </c>
      <c r="AC5484">
        <v>0.74070000000000302</v>
      </c>
      <c r="AD5484">
        <v>-7.8125E-2</v>
      </c>
      <c r="AE5484">
        <v>-8.5629999999998305E-2</v>
      </c>
      <c r="AF5484">
        <v>7.2504110898783905E-2</v>
      </c>
      <c r="AG5484">
        <v>-7.8125E-2</v>
      </c>
      <c r="AH5484">
        <v>0.73396404755804601</v>
      </c>
      <c r="AI5484">
        <v>96.046619770536907</v>
      </c>
      <c r="AJ5484">
        <v>84.358381026184901</v>
      </c>
      <c r="AK5484">
        <v>0.74166271635428205</v>
      </c>
      <c r="AL5484">
        <v>80.831764329649104</v>
      </c>
      <c r="AM5484">
        <v>86.894211109410804</v>
      </c>
      <c r="AN5484">
        <v>0.99999998389227496</v>
      </c>
    </row>
    <row r="5485" spans="1:40" x14ac:dyDescent="0.25">
      <c r="A5485" t="str">
        <f>"20190312164137488"</f>
        <v>20190312164137488</v>
      </c>
      <c r="B5485" t="str">
        <f>"1552380097481350"</f>
        <v>1552380097481350</v>
      </c>
      <c r="C5485" t="s">
        <v>40</v>
      </c>
      <c r="D5485">
        <v>5.5119400000000001</v>
      </c>
      <c r="E5485">
        <v>0.51697859999999995</v>
      </c>
      <c r="F5485" t="s">
        <v>42</v>
      </c>
      <c r="G5485">
        <v>-363.92200000000003</v>
      </c>
      <c r="H5485">
        <v>1.0473319999999999</v>
      </c>
      <c r="I5485">
        <v>17.316770000000002</v>
      </c>
      <c r="J5485">
        <v>-364.48950000000002</v>
      </c>
      <c r="K5485">
        <v>1.1103449999999999</v>
      </c>
      <c r="L5485">
        <v>17.386019999999998</v>
      </c>
      <c r="M5485">
        <v>0.99981469999999995</v>
      </c>
      <c r="N5485">
        <v>0</v>
      </c>
      <c r="O5485">
        <v>-1.625503E-2</v>
      </c>
      <c r="P5485">
        <v>0.98629049999999996</v>
      </c>
      <c r="Q5485">
        <v>0.14923699999999901</v>
      </c>
      <c r="R5485">
        <v>-7.0423799999999995E-2</v>
      </c>
      <c r="S5485">
        <v>3.0596009999999998</v>
      </c>
      <c r="T5485">
        <v>-0.25744440000000002</v>
      </c>
      <c r="U5485">
        <v>-0.29357909999999998</v>
      </c>
      <c r="V5485">
        <v>5.4165629999999999E-2</v>
      </c>
      <c r="W5485">
        <v>0.15949250000000001</v>
      </c>
      <c r="X5485">
        <v>0.98571209999999998</v>
      </c>
      <c r="Y5485">
        <v>7.9100539999999997E-2</v>
      </c>
      <c r="Z5485">
        <v>-1.9524550000000001E-3</v>
      </c>
      <c r="AA5485">
        <v>0.99686470000000005</v>
      </c>
      <c r="AB5485">
        <v>35</v>
      </c>
      <c r="AC5485">
        <v>0.56750000000005196</v>
      </c>
      <c r="AD5485">
        <v>-6.3013000000000194E-2</v>
      </c>
      <c r="AE5485">
        <v>-6.92500000000002E-2</v>
      </c>
      <c r="AF5485">
        <v>5.9295302537546002E-2</v>
      </c>
      <c r="AG5485">
        <v>-6.3013000000000194E-2</v>
      </c>
      <c r="AH5485">
        <v>0.56172680363368299</v>
      </c>
      <c r="AI5485">
        <v>96.365454967105904</v>
      </c>
      <c r="AJ5485">
        <v>83.974231541950999</v>
      </c>
      <c r="AK5485">
        <v>0.568351627949224</v>
      </c>
      <c r="AL5485">
        <v>80.822560198275895</v>
      </c>
      <c r="AM5485">
        <v>86.854716587833593</v>
      </c>
      <c r="AN5485">
        <v>1.00000005855797</v>
      </c>
    </row>
    <row r="5486" spans="1:40" x14ac:dyDescent="0.25">
      <c r="A5486" t="str">
        <f>"20190312164137500"</f>
        <v>20190312164137500</v>
      </c>
      <c r="B5486" t="str">
        <f>"1552380097492086"</f>
        <v>1552380097492086</v>
      </c>
      <c r="C5486" t="s">
        <v>40</v>
      </c>
      <c r="D5486">
        <v>5.4728770000000004</v>
      </c>
      <c r="E5486">
        <v>0.51686259999999995</v>
      </c>
      <c r="F5486" t="s">
        <v>42</v>
      </c>
      <c r="G5486">
        <v>-363.61399999999998</v>
      </c>
      <c r="H5486">
        <v>1.0368219999999999</v>
      </c>
      <c r="I5486">
        <v>17.301400000000001</v>
      </c>
      <c r="J5486">
        <v>-364.29410000000001</v>
      </c>
      <c r="K5486">
        <v>1.1103700000000001</v>
      </c>
      <c r="L5486">
        <v>17.383209999999998</v>
      </c>
      <c r="M5486">
        <v>0.99982090000000001</v>
      </c>
      <c r="N5486">
        <v>0</v>
      </c>
      <c r="O5486">
        <v>-1.584783E-2</v>
      </c>
      <c r="P5486">
        <v>0.98626049999999998</v>
      </c>
      <c r="Q5486">
        <v>0.14938589999999999</v>
      </c>
      <c r="R5486">
        <v>-7.0529229999999998E-2</v>
      </c>
      <c r="S5486">
        <v>3.0594790000000001</v>
      </c>
      <c r="T5486">
        <v>-0.25699040000000001</v>
      </c>
      <c r="U5486">
        <v>-0.29501339999999998</v>
      </c>
      <c r="V5486">
        <v>5.4665289999999998E-2</v>
      </c>
      <c r="W5486">
        <v>0.15966949999999999</v>
      </c>
      <c r="X5486">
        <v>0.98565579999999997</v>
      </c>
      <c r="Y5486">
        <v>7.9969639999999995E-2</v>
      </c>
      <c r="Z5486">
        <v>-2.0194620000000001E-3</v>
      </c>
      <c r="AA5486">
        <v>0.99679519999999999</v>
      </c>
      <c r="AB5486">
        <v>35</v>
      </c>
      <c r="AC5486">
        <v>0.68009999999998105</v>
      </c>
      <c r="AD5486">
        <v>-7.3548000000000099E-2</v>
      </c>
      <c r="AE5486">
        <v>-8.1810000000000799E-2</v>
      </c>
      <c r="AF5486">
        <v>7.0211633524618094E-2</v>
      </c>
      <c r="AG5486">
        <v>-7.3548000000000099E-2</v>
      </c>
      <c r="AH5486">
        <v>0.67354646327295098</v>
      </c>
      <c r="AI5486">
        <v>96.198408275003302</v>
      </c>
      <c r="AJ5486">
        <v>84.048883598449095</v>
      </c>
      <c r="AK5486">
        <v>0.68117825858852599</v>
      </c>
      <c r="AL5486">
        <v>80.812286649485401</v>
      </c>
      <c r="AM5486">
        <v>86.825580511711806</v>
      </c>
      <c r="AN5486">
        <v>0.99999999961733699</v>
      </c>
    </row>
    <row r="5487" spans="1:40" x14ac:dyDescent="0.25">
      <c r="A5487" t="str">
        <f>"20190312164137512"</f>
        <v>20190312164137512</v>
      </c>
      <c r="B5487" t="str">
        <f>"1552380097501846"</f>
        <v>1552380097501846</v>
      </c>
      <c r="C5487" t="s">
        <v>40</v>
      </c>
      <c r="D5487">
        <v>5.4738480000000003</v>
      </c>
      <c r="E5487">
        <v>0.51681769999999905</v>
      </c>
      <c r="F5487" t="s">
        <v>42</v>
      </c>
      <c r="G5487">
        <v>-363.30459999999999</v>
      </c>
      <c r="H5487">
        <v>1.028219</v>
      </c>
      <c r="I5487">
        <v>17.287890000000001</v>
      </c>
      <c r="J5487">
        <v>-364.11160000000001</v>
      </c>
      <c r="K5487">
        <v>1.11039</v>
      </c>
      <c r="L5487">
        <v>17.380649999999999</v>
      </c>
      <c r="M5487">
        <v>0.99982669999999996</v>
      </c>
      <c r="N5487">
        <v>0</v>
      </c>
      <c r="O5487">
        <v>-1.5462149999999999E-2</v>
      </c>
      <c r="P5487">
        <v>0.98621890000000001</v>
      </c>
      <c r="Q5487">
        <v>0.1495659</v>
      </c>
      <c r="R5487">
        <v>-7.0727910000000005E-2</v>
      </c>
      <c r="S5487">
        <v>3.0591740000000001</v>
      </c>
      <c r="T5487">
        <v>-0.25401639999999998</v>
      </c>
      <c r="U5487">
        <v>-0.29492190000000001</v>
      </c>
      <c r="V5487">
        <v>5.5239169999999997E-2</v>
      </c>
      <c r="W5487">
        <v>0.15987899999999999</v>
      </c>
      <c r="X5487">
        <v>0.98558990000000002</v>
      </c>
      <c r="Y5487">
        <v>8.0336619999999997E-2</v>
      </c>
      <c r="Z5487">
        <v>-2.0434300000000002E-3</v>
      </c>
      <c r="AA5487">
        <v>0.99676569999999998</v>
      </c>
      <c r="AB5487">
        <v>35</v>
      </c>
      <c r="AC5487">
        <v>0.80700000000001604</v>
      </c>
      <c r="AD5487">
        <v>-8.2170999999999994E-2</v>
      </c>
      <c r="AE5487">
        <v>-9.2759999999998399E-2</v>
      </c>
      <c r="AF5487">
        <v>7.9457223095920404E-2</v>
      </c>
      <c r="AG5487">
        <v>-8.2170999999999994E-2</v>
      </c>
      <c r="AH5487">
        <v>0.80015017597757798</v>
      </c>
      <c r="AI5487">
        <v>95.834906208033601</v>
      </c>
      <c r="AJ5487">
        <v>84.328955715282405</v>
      </c>
      <c r="AK5487">
        <v>0.80827336196367605</v>
      </c>
      <c r="AL5487">
        <v>80.800127496373506</v>
      </c>
      <c r="AM5487">
        <v>86.792110437115994</v>
      </c>
      <c r="AN5487">
        <v>1.0000000557626401</v>
      </c>
    </row>
    <row r="5488" spans="1:40" x14ac:dyDescent="0.25">
      <c r="A5488" t="str">
        <f>"20190312164137523"</f>
        <v>20190312164137523</v>
      </c>
      <c r="B5488" t="str">
        <f>"1552380097511606"</f>
        <v>1552380097511606</v>
      </c>
      <c r="C5488" t="s">
        <v>40</v>
      </c>
      <c r="D5488">
        <v>5.5031600000000003</v>
      </c>
      <c r="E5488">
        <v>0.51681769999999905</v>
      </c>
      <c r="F5488" t="s">
        <v>42</v>
      </c>
      <c r="G5488">
        <v>-363.29700000000003</v>
      </c>
      <c r="H5488">
        <v>1.0433680000000001</v>
      </c>
      <c r="I5488">
        <v>17.302139999999898</v>
      </c>
      <c r="J5488">
        <v>-363.94099999999997</v>
      </c>
      <c r="K5488">
        <v>1.110406</v>
      </c>
      <c r="L5488">
        <v>17.378299999999999</v>
      </c>
      <c r="M5488">
        <v>0.99983200000000005</v>
      </c>
      <c r="N5488">
        <v>0</v>
      </c>
      <c r="O5488">
        <v>-1.5100219999999999E-2</v>
      </c>
      <c r="P5488">
        <v>0.98616899999999996</v>
      </c>
      <c r="Q5488">
        <v>0.14984069999999999</v>
      </c>
      <c r="R5488">
        <v>-7.0844610000000002E-2</v>
      </c>
      <c r="S5488">
        <v>3.0589599999999999</v>
      </c>
      <c r="T5488">
        <v>-0.2516909</v>
      </c>
      <c r="U5488">
        <v>-0.29507450000000002</v>
      </c>
      <c r="V5488">
        <v>5.5708529999999999E-2</v>
      </c>
      <c r="W5488">
        <v>0.16018209999999999</v>
      </c>
      <c r="X5488">
        <v>0.98551420000000001</v>
      </c>
      <c r="Y5488">
        <v>8.0754720000000002E-2</v>
      </c>
      <c r="Z5488">
        <v>-2.071701E-3</v>
      </c>
      <c r="AA5488">
        <v>0.9967319</v>
      </c>
      <c r="AB5488">
        <v>35</v>
      </c>
      <c r="AC5488">
        <v>0.64400000000000501</v>
      </c>
      <c r="AD5488">
        <v>-6.7037999999999903E-2</v>
      </c>
      <c r="AE5488">
        <v>-7.6160000000001504E-2</v>
      </c>
      <c r="AF5488">
        <v>6.5723885790695796E-2</v>
      </c>
      <c r="AG5488">
        <v>-6.7037999999999903E-2</v>
      </c>
      <c r="AH5488">
        <v>0.63825589153481799</v>
      </c>
      <c r="AI5488">
        <v>95.964658094937306</v>
      </c>
      <c r="AJ5488">
        <v>84.120735489465702</v>
      </c>
      <c r="AK5488">
        <v>0.64512348096029903</v>
      </c>
      <c r="AL5488">
        <v>80.782533814464799</v>
      </c>
      <c r="AM5488">
        <v>86.764663102635794</v>
      </c>
      <c r="AN5488">
        <v>0.99999999193840505</v>
      </c>
    </row>
    <row r="5489" spans="1:40" x14ac:dyDescent="0.25">
      <c r="A5489" t="str">
        <f>"20190312164137536"</f>
        <v>20190312164137536</v>
      </c>
      <c r="B5489" t="str">
        <f>"1552380097532102"</f>
        <v>1552380097532102</v>
      </c>
      <c r="C5489" t="s">
        <v>40</v>
      </c>
      <c r="D5489">
        <v>5.6232280000000001</v>
      </c>
      <c r="E5489">
        <v>0.51675059999999995</v>
      </c>
      <c r="F5489" t="s">
        <v>42</v>
      </c>
      <c r="G5489">
        <v>-362.98869999999999</v>
      </c>
      <c r="H5489">
        <v>1.032322</v>
      </c>
      <c r="I5489">
        <v>17.28612</v>
      </c>
      <c r="J5489">
        <v>-363.74619999999999</v>
      </c>
      <c r="K5489">
        <v>1.11042</v>
      </c>
      <c r="L5489">
        <v>17.375699999999998</v>
      </c>
      <c r="M5489">
        <v>0.9998378</v>
      </c>
      <c r="N5489">
        <v>0</v>
      </c>
      <c r="O5489">
        <v>-1.468504E-2</v>
      </c>
      <c r="P5489">
        <v>0.98614650000000004</v>
      </c>
      <c r="Q5489">
        <v>0.15001879999999901</v>
      </c>
      <c r="R5489">
        <v>-7.0777590000000001E-2</v>
      </c>
      <c r="S5489">
        <v>3.0589599999999999</v>
      </c>
      <c r="T5489">
        <v>-0.2508513</v>
      </c>
      <c r="U5489">
        <v>-0.29550169999999998</v>
      </c>
      <c r="V5489">
        <v>5.604642E-2</v>
      </c>
      <c r="W5489">
        <v>0.16039529999999999</v>
      </c>
      <c r="X5489">
        <v>0.98546029999999996</v>
      </c>
      <c r="Y5489">
        <v>8.1304769999999998E-2</v>
      </c>
      <c r="Z5489">
        <v>-2.1211619999999998E-3</v>
      </c>
      <c r="AA5489">
        <v>0.99668710000000005</v>
      </c>
      <c r="AB5489">
        <v>35</v>
      </c>
      <c r="AC5489">
        <v>0.75749999999999296</v>
      </c>
      <c r="AD5489">
        <v>-7.8098000000000001E-2</v>
      </c>
      <c r="AE5489">
        <v>-8.9579999999997995E-2</v>
      </c>
      <c r="AF5489">
        <v>7.7632005235894197E-2</v>
      </c>
      <c r="AG5489">
        <v>-7.8098000000000001E-2</v>
      </c>
      <c r="AH5489">
        <v>0.750862618795613</v>
      </c>
      <c r="AI5489">
        <v>95.906779548246504</v>
      </c>
      <c r="AJ5489">
        <v>84.097138422878103</v>
      </c>
      <c r="AK5489">
        <v>0.75889439195816499</v>
      </c>
      <c r="AL5489">
        <v>80.7701577477103</v>
      </c>
      <c r="AM5489">
        <v>86.744904172707905</v>
      </c>
      <c r="AN5489">
        <v>0.99999992816649497</v>
      </c>
    </row>
    <row r="5490" spans="1:40" x14ac:dyDescent="0.25">
      <c r="A5490" t="str">
        <f>"20190312164137555"</f>
        <v>20190312164137555</v>
      </c>
      <c r="B5490" t="str">
        <f>"1552380097551621"</f>
        <v>1552380097551621</v>
      </c>
      <c r="C5490" t="s">
        <v>40</v>
      </c>
      <c r="D5490">
        <v>5.5646300000000002</v>
      </c>
      <c r="E5490">
        <v>0.51285049999999999</v>
      </c>
      <c r="F5490" t="s">
        <v>42</v>
      </c>
      <c r="G5490">
        <v>-362.9803</v>
      </c>
      <c r="H5490">
        <v>1.0480339999999999</v>
      </c>
      <c r="I5490">
        <v>17.3017</v>
      </c>
      <c r="J5490">
        <v>-363.44580000000002</v>
      </c>
      <c r="K5490">
        <v>1.1104449999999999</v>
      </c>
      <c r="L5490">
        <v>17.371860000000002</v>
      </c>
      <c r="M5490">
        <v>0.99984640000000002</v>
      </c>
      <c r="N5490">
        <v>0</v>
      </c>
      <c r="O5490">
        <v>-1.4043659999999999E-2</v>
      </c>
      <c r="P5490">
        <v>0.98609519999999995</v>
      </c>
      <c r="Q5490">
        <v>0.15042829999999999</v>
      </c>
      <c r="R5490">
        <v>-7.0623889999999995E-2</v>
      </c>
      <c r="S5490">
        <v>3.0588679999999999</v>
      </c>
      <c r="T5490">
        <v>-0.2492402</v>
      </c>
      <c r="U5490">
        <v>-0.29483029999999999</v>
      </c>
      <c r="V5490">
        <v>5.6519470000000002E-2</v>
      </c>
      <c r="W5490">
        <v>0.1608637</v>
      </c>
      <c r="X5490">
        <v>0.98535700000000004</v>
      </c>
      <c r="Y5490">
        <v>8.1729540000000003E-2</v>
      </c>
      <c r="Z5490">
        <v>-2.1769379999999998E-3</v>
      </c>
      <c r="AA5490">
        <v>0.99665219999999999</v>
      </c>
      <c r="AB5490">
        <v>35</v>
      </c>
      <c r="AC5490">
        <v>0.46550000000002001</v>
      </c>
      <c r="AD5490">
        <v>-6.2411000000000202E-2</v>
      </c>
      <c r="AE5490">
        <v>-7.0160000000001305E-2</v>
      </c>
      <c r="AF5490">
        <v>6.2516586257299098E-2</v>
      </c>
      <c r="AG5490">
        <v>-6.2411000000000202E-2</v>
      </c>
      <c r="AH5490">
        <v>0.45838276876968198</v>
      </c>
      <c r="AI5490">
        <v>97.6831506882301</v>
      </c>
      <c r="AJ5490">
        <v>82.2336258618557</v>
      </c>
      <c r="AK5490">
        <v>0.46681711534949699</v>
      </c>
      <c r="AL5490">
        <v>80.742967989673801</v>
      </c>
      <c r="AM5490">
        <v>86.717146563531998</v>
      </c>
      <c r="AN5490">
        <v>0.99999999895788505</v>
      </c>
    </row>
    <row r="5491" spans="1:40" x14ac:dyDescent="0.25">
      <c r="A5491" t="str">
        <f>"20190312164137576"</f>
        <v>20190312164137576</v>
      </c>
      <c r="B5491" t="str">
        <f>"1552380097572118"</f>
        <v>1552380097572118</v>
      </c>
      <c r="C5491" t="s">
        <v>40</v>
      </c>
      <c r="D5491">
        <v>5.541728</v>
      </c>
      <c r="E5491">
        <v>0.51301799999999997</v>
      </c>
      <c r="F5491" t="s">
        <v>41</v>
      </c>
      <c r="G5491">
        <v>-340.52120000000002</v>
      </c>
      <c r="H5491" s="1">
        <v>-4.8077230000000001E-6</v>
      </c>
      <c r="I5491">
        <v>15.337129999999901</v>
      </c>
      <c r="J5491">
        <v>-363.09620000000001</v>
      </c>
      <c r="K5491">
        <v>1.1104719999999999</v>
      </c>
      <c r="L5491">
        <v>17.36768</v>
      </c>
      <c r="M5491">
        <v>0.99985590000000002</v>
      </c>
      <c r="N5491">
        <v>0</v>
      </c>
      <c r="O5491">
        <v>-1.3298290000000001E-2</v>
      </c>
      <c r="P5491">
        <v>0.9860989</v>
      </c>
      <c r="Q5491">
        <v>0.1505611</v>
      </c>
      <c r="R5491">
        <v>-7.0291229999999996E-2</v>
      </c>
      <c r="S5491">
        <v>3.0454409999999998</v>
      </c>
      <c r="T5491">
        <v>-0.14751889999999901</v>
      </c>
      <c r="U5491">
        <v>-0.27029419999999998</v>
      </c>
      <c r="V5491">
        <v>5.6916139999999997E-2</v>
      </c>
      <c r="W5491">
        <v>0.16106690000000001</v>
      </c>
      <c r="X5491">
        <v>0.98530099999999998</v>
      </c>
      <c r="Y5491">
        <v>7.5079580000000007E-2</v>
      </c>
      <c r="Z5491">
        <v>-1.171327E-3</v>
      </c>
      <c r="AA5491">
        <v>0.99717690000000003</v>
      </c>
      <c r="AB5491">
        <v>35</v>
      </c>
      <c r="AC5491">
        <v>22.5749999999999</v>
      </c>
      <c r="AD5491">
        <v>-1.1104768077229901</v>
      </c>
      <c r="AE5491">
        <v>-2.0305499999999999</v>
      </c>
      <c r="AF5491">
        <v>1.7260019086881799</v>
      </c>
      <c r="AG5491">
        <v>-1.1104768077229901</v>
      </c>
      <c r="AH5491">
        <v>22.545891193738999</v>
      </c>
      <c r="AI5491">
        <v>92.811557824450205</v>
      </c>
      <c r="AJ5491">
        <v>85.622257381099203</v>
      </c>
      <c r="AK5491">
        <v>22.6391133008606</v>
      </c>
      <c r="AL5491">
        <v>80.731171925531797</v>
      </c>
      <c r="AM5491">
        <v>86.693969998303103</v>
      </c>
      <c r="AN5491">
        <v>1.0000000269345499</v>
      </c>
    </row>
    <row r="5492" spans="1:40" x14ac:dyDescent="0.25">
      <c r="A5492" t="str">
        <f>"20190312164137589"</f>
        <v>20190312164137589</v>
      </c>
      <c r="B5492" t="str">
        <f>"1552380097581878"</f>
        <v>1552380097581878</v>
      </c>
      <c r="C5492" t="s">
        <v>40</v>
      </c>
      <c r="D5492">
        <v>5.5065999999999997</v>
      </c>
      <c r="E5492">
        <v>0.51293299999999997</v>
      </c>
      <c r="F5492" t="s">
        <v>41</v>
      </c>
      <c r="G5492">
        <v>-340.48480000000001</v>
      </c>
      <c r="H5492" s="1">
        <v>-4.8190150000000001E-6</v>
      </c>
      <c r="I5492">
        <v>15.361479999999901</v>
      </c>
      <c r="J5492">
        <v>-362.89920000000001</v>
      </c>
      <c r="K5492">
        <v>1.110487</v>
      </c>
      <c r="L5492">
        <v>17.365449999999999</v>
      </c>
      <c r="M5492">
        <v>0.99986090000000005</v>
      </c>
      <c r="N5492">
        <v>0</v>
      </c>
      <c r="O5492">
        <v>-1.2879140000000001E-2</v>
      </c>
      <c r="P5492">
        <v>0.98614400000000002</v>
      </c>
      <c r="Q5492">
        <v>0.15052260000000001</v>
      </c>
      <c r="R5492">
        <v>-6.9736699999999999E-2</v>
      </c>
      <c r="S5492">
        <v>3.045868</v>
      </c>
      <c r="T5492">
        <v>-0.14958659999999999</v>
      </c>
      <c r="U5492">
        <v>-0.27023320000000001</v>
      </c>
      <c r="V5492">
        <v>5.6772179999999998E-2</v>
      </c>
      <c r="W5492">
        <v>0.1610693</v>
      </c>
      <c r="X5492">
        <v>0.98530890000000004</v>
      </c>
      <c r="Y5492">
        <v>7.5462489999999993E-2</v>
      </c>
      <c r="Z5492">
        <v>-1.217465E-3</v>
      </c>
      <c r="AA5492">
        <v>0.99714789999999998</v>
      </c>
      <c r="AB5492">
        <v>35</v>
      </c>
      <c r="AC5492">
        <v>22.414400000000001</v>
      </c>
      <c r="AD5492">
        <v>-1.1104918190149999</v>
      </c>
      <c r="AE5492">
        <v>-2.0039699999999998</v>
      </c>
      <c r="AF5492">
        <v>1.7109430286309999</v>
      </c>
      <c r="AG5492">
        <v>-1.1104918190149999</v>
      </c>
      <c r="AH5492">
        <v>22.383844456041601</v>
      </c>
      <c r="AI5492">
        <v>92.831942652110499</v>
      </c>
      <c r="AJ5492">
        <v>85.629009717053805</v>
      </c>
      <c r="AK5492">
        <v>22.476588058679699</v>
      </c>
      <c r="AL5492">
        <v>80.731032476678806</v>
      </c>
      <c r="AM5492">
        <v>86.702339960333504</v>
      </c>
      <c r="AN5492">
        <v>1.0000000141218199</v>
      </c>
    </row>
    <row r="5493" spans="1:40" x14ac:dyDescent="0.25">
      <c r="A5493" t="str">
        <f>"20190312164137601"</f>
        <v>20190312164137601</v>
      </c>
      <c r="B5493" t="str">
        <f>"1552380097591638"</f>
        <v>1552380097591638</v>
      </c>
      <c r="C5493" t="s">
        <v>40</v>
      </c>
      <c r="D5493">
        <v>5.4745660000000003</v>
      </c>
      <c r="E5493">
        <v>0.51299799999999995</v>
      </c>
      <c r="F5493" t="s">
        <v>41</v>
      </c>
      <c r="G5493">
        <v>-340.30369999999999</v>
      </c>
      <c r="H5493" s="1">
        <v>-4.8938709999999997E-6</v>
      </c>
      <c r="I5493">
        <v>15.377520000000001</v>
      </c>
      <c r="J5493">
        <v>-362.71350000000001</v>
      </c>
      <c r="K5493">
        <v>1.110498</v>
      </c>
      <c r="L5493">
        <v>17.363399999999999</v>
      </c>
      <c r="M5493">
        <v>0.99986549999999996</v>
      </c>
      <c r="N5493">
        <v>0</v>
      </c>
      <c r="O5493">
        <v>-1.248432E-2</v>
      </c>
      <c r="P5493">
        <v>0.98611059999999995</v>
      </c>
      <c r="Q5493">
        <v>0.15081889999999901</v>
      </c>
      <c r="R5493">
        <v>-6.9569240000000004E-2</v>
      </c>
      <c r="S5493">
        <v>3.0460210000000001</v>
      </c>
      <c r="T5493">
        <v>-0.14970149999999999</v>
      </c>
      <c r="U5493">
        <v>-0.26797490000000002</v>
      </c>
      <c r="V5493">
        <v>5.6991930000000003E-2</v>
      </c>
      <c r="W5493">
        <v>0.161403399999999</v>
      </c>
      <c r="X5493">
        <v>0.98524149999999999</v>
      </c>
      <c r="Y5493">
        <v>7.5118089999999998E-2</v>
      </c>
      <c r="Z5493">
        <v>-1.2292850000000001E-3</v>
      </c>
      <c r="AA5493">
        <v>0.99717389999999995</v>
      </c>
      <c r="AB5493">
        <v>35</v>
      </c>
      <c r="AC5493">
        <v>22.409800000000001</v>
      </c>
      <c r="AD5493">
        <v>-1.110502893871</v>
      </c>
      <c r="AE5493">
        <v>-1.9858799999999901</v>
      </c>
      <c r="AF5493">
        <v>1.7017918639617</v>
      </c>
      <c r="AG5493">
        <v>-1.110502893871</v>
      </c>
      <c r="AH5493">
        <v>22.378322356933701</v>
      </c>
      <c r="AI5493">
        <v>92.832752150853906</v>
      </c>
      <c r="AJ5493">
        <v>85.651229825164407</v>
      </c>
      <c r="AK5493">
        <v>22.4703943831963</v>
      </c>
      <c r="AL5493">
        <v>80.711635810023793</v>
      </c>
      <c r="AM5493">
        <v>86.689377970004202</v>
      </c>
      <c r="AN5493">
        <v>0.99999997546946695</v>
      </c>
    </row>
    <row r="5494" spans="1:40" x14ac:dyDescent="0.25">
      <c r="A5494" t="str">
        <f>"20190312164137613"</f>
        <v>20190312164137613</v>
      </c>
      <c r="B5494" t="str">
        <f>"1552380097601398"</f>
        <v>1552380097601398</v>
      </c>
      <c r="C5494" t="s">
        <v>40</v>
      </c>
      <c r="D5494">
        <v>5.5410370000000002</v>
      </c>
      <c r="E5494">
        <v>0.51291160000000002</v>
      </c>
      <c r="F5494" t="s">
        <v>41</v>
      </c>
      <c r="G5494">
        <v>-339.95679999999999</v>
      </c>
      <c r="H5494" s="1">
        <v>-1.133138E-6</v>
      </c>
      <c r="I5494">
        <v>15.36041</v>
      </c>
      <c r="J5494">
        <v>-362.52260000000001</v>
      </c>
      <c r="K5494">
        <v>1.1105069999999999</v>
      </c>
      <c r="L5494">
        <v>17.361360000000001</v>
      </c>
      <c r="M5494">
        <v>0.99987009999999998</v>
      </c>
      <c r="N5494">
        <v>0</v>
      </c>
      <c r="O5494">
        <v>-1.2079370000000001E-2</v>
      </c>
      <c r="P5494">
        <v>0.98609990000000003</v>
      </c>
      <c r="Q5494">
        <v>0.15109159999999999</v>
      </c>
      <c r="R5494">
        <v>-6.9126049999999994E-2</v>
      </c>
      <c r="S5494">
        <v>3.0460820000000002</v>
      </c>
      <c r="T5494">
        <v>-0.14864469999999999</v>
      </c>
      <c r="U5494">
        <v>-0.26809690000000003</v>
      </c>
      <c r="V5494">
        <v>5.6946139999999999E-2</v>
      </c>
      <c r="W5494">
        <v>0.16171450000000001</v>
      </c>
      <c r="X5494">
        <v>0.98519310000000004</v>
      </c>
      <c r="Y5494">
        <v>7.5559920000000003E-2</v>
      </c>
      <c r="Z5494">
        <v>-1.2510500000000001E-3</v>
      </c>
      <c r="AA5494">
        <v>0.99714049999999999</v>
      </c>
      <c r="AB5494">
        <v>35</v>
      </c>
      <c r="AC5494">
        <v>22.565799999999999</v>
      </c>
      <c r="AD5494">
        <v>-1.110508133138</v>
      </c>
      <c r="AE5494">
        <v>-2.00095</v>
      </c>
      <c r="AF5494">
        <v>1.72406502594539</v>
      </c>
      <c r="AG5494">
        <v>-1.110508133138</v>
      </c>
      <c r="AH5494">
        <v>22.534177051269999</v>
      </c>
      <c r="AI5494">
        <v>92.813106123060095</v>
      </c>
      <c r="AJ5494">
        <v>85.624886572489899</v>
      </c>
      <c r="AK5494">
        <v>22.6273012952371</v>
      </c>
      <c r="AL5494">
        <v>80.693573511411202</v>
      </c>
      <c r="AM5494">
        <v>86.691869819275496</v>
      </c>
      <c r="AN5494">
        <v>0.99999994332937803</v>
      </c>
    </row>
    <row r="5495" spans="1:40" x14ac:dyDescent="0.25">
      <c r="A5495" t="str">
        <f>"20190312164137631"</f>
        <v>20190312164137631</v>
      </c>
      <c r="B5495" t="str">
        <f>"1552380097621893"</f>
        <v>1552380097621893</v>
      </c>
      <c r="C5495" t="s">
        <v>40</v>
      </c>
      <c r="D5495">
        <v>5.5978339999999998</v>
      </c>
      <c r="E5495">
        <v>0.51240609999999998</v>
      </c>
      <c r="F5495" t="s">
        <v>41</v>
      </c>
      <c r="G5495">
        <v>-339.73739999999998</v>
      </c>
      <c r="H5495" s="1">
        <v>-1.205366E-6</v>
      </c>
      <c r="I5495">
        <v>15.369529999999999</v>
      </c>
      <c r="J5495">
        <v>-362.23509999999999</v>
      </c>
      <c r="K5495">
        <v>1.110519</v>
      </c>
      <c r="L5495">
        <v>17.358460000000001</v>
      </c>
      <c r="M5495">
        <v>0.99987669999999995</v>
      </c>
      <c r="N5495">
        <v>0</v>
      </c>
      <c r="O5495">
        <v>-1.147053E-2</v>
      </c>
      <c r="P5495">
        <v>0.98611459999999995</v>
      </c>
      <c r="Q5495">
        <v>0.1514181</v>
      </c>
      <c r="R5495">
        <v>-6.8199220000000005E-2</v>
      </c>
      <c r="S5495">
        <v>3.0463870000000002</v>
      </c>
      <c r="T5495">
        <v>-0.1484752</v>
      </c>
      <c r="U5495">
        <v>-0.26629639999999999</v>
      </c>
      <c r="V5495">
        <v>5.6616949999999999E-2</v>
      </c>
      <c r="W5495">
        <v>0.1620965</v>
      </c>
      <c r="X5495">
        <v>0.98514930000000001</v>
      </c>
      <c r="Y5495">
        <v>7.557295E-2</v>
      </c>
      <c r="Z5495">
        <v>-1.2794410000000001E-3</v>
      </c>
      <c r="AA5495">
        <v>0.99713949999999996</v>
      </c>
      <c r="AB5495">
        <v>35</v>
      </c>
      <c r="AC5495">
        <v>22.497699999999998</v>
      </c>
      <c r="AD5495">
        <v>-1.1105202053659999</v>
      </c>
      <c r="AE5495">
        <v>-1.9889300000000001</v>
      </c>
      <c r="AF5495">
        <v>1.72654953835892</v>
      </c>
      <c r="AG5495">
        <v>-1.1105202053659999</v>
      </c>
      <c r="AH5495">
        <v>22.4647230187467</v>
      </c>
      <c r="AI5495">
        <v>92.821745420562607</v>
      </c>
      <c r="AJ5495">
        <v>85.605113289007704</v>
      </c>
      <c r="AK5495">
        <v>22.558324599666999</v>
      </c>
      <c r="AL5495">
        <v>80.671393941851605</v>
      </c>
      <c r="AM5495">
        <v>86.710805195102097</v>
      </c>
      <c r="AN5495">
        <v>0.99999994881501997</v>
      </c>
    </row>
    <row r="5496" spans="1:40" x14ac:dyDescent="0.25">
      <c r="A5496" t="str">
        <f>"20190312164137654"</f>
        <v>20190312164137654</v>
      </c>
      <c r="B5496" t="str">
        <f>"1552380097652150"</f>
        <v>1552380097652150</v>
      </c>
      <c r="C5496" t="s">
        <v>40</v>
      </c>
      <c r="D5496">
        <v>5.7515720000000004</v>
      </c>
      <c r="E5496">
        <v>0.47194269999999999</v>
      </c>
      <c r="F5496" t="s">
        <v>41</v>
      </c>
      <c r="G5496">
        <v>-339.43450000000001</v>
      </c>
      <c r="H5496" s="1">
        <v>-1.2959270000000001E-6</v>
      </c>
      <c r="I5496">
        <v>15.416650000000001</v>
      </c>
      <c r="J5496">
        <v>-361.88240000000002</v>
      </c>
      <c r="K5496">
        <v>1.1105309999999999</v>
      </c>
      <c r="L5496">
        <v>17.355129999999999</v>
      </c>
      <c r="M5496">
        <v>0.99988410000000005</v>
      </c>
      <c r="N5496">
        <v>0</v>
      </c>
      <c r="O5496">
        <v>-1.072417E-2</v>
      </c>
      <c r="P5496">
        <v>0.98615200000000003</v>
      </c>
      <c r="Q5496">
        <v>0.15170549999999999</v>
      </c>
      <c r="R5496">
        <v>-6.7003839999999995E-2</v>
      </c>
      <c r="S5496">
        <v>3.0470579999999998</v>
      </c>
      <c r="T5496">
        <v>-0.14840889999999901</v>
      </c>
      <c r="U5496">
        <v>-0.25949100000000003</v>
      </c>
      <c r="V5496">
        <v>5.6155089999999998E-2</v>
      </c>
      <c r="W5496">
        <v>0.16244749999999999</v>
      </c>
      <c r="X5496">
        <v>0.98511800000000005</v>
      </c>
      <c r="Y5496">
        <v>7.4088459999999995E-2</v>
      </c>
      <c r="Z5496">
        <v>-1.2789019999999999E-3</v>
      </c>
      <c r="AA5496">
        <v>0.99725090000000005</v>
      </c>
      <c r="AB5496">
        <v>35</v>
      </c>
      <c r="AC5496">
        <v>22.447900000000001</v>
      </c>
      <c r="AD5496">
        <v>-1.1105322959270001</v>
      </c>
      <c r="AE5496">
        <v>-1.93847999999999</v>
      </c>
      <c r="AF5496">
        <v>1.6935052972631099</v>
      </c>
      <c r="AG5496">
        <v>-1.1105322959270001</v>
      </c>
      <c r="AH5496">
        <v>22.4129505876701</v>
      </c>
      <c r="AI5496">
        <v>92.828561094267698</v>
      </c>
      <c r="AJ5496">
        <v>85.678985687487497</v>
      </c>
      <c r="AK5496">
        <v>22.5042572909549</v>
      </c>
      <c r="AL5496">
        <v>80.651013752179594</v>
      </c>
      <c r="AM5496">
        <v>86.737475593522404</v>
      </c>
      <c r="AN5496">
        <v>1.00000002915657</v>
      </c>
    </row>
    <row r="5497" spans="1:40" x14ac:dyDescent="0.25">
      <c r="A5497" t="str">
        <f>"20190312164137665"</f>
        <v>20190312164137665</v>
      </c>
      <c r="B5497" t="str">
        <f>"1552380097661910"</f>
        <v>1552380097661910</v>
      </c>
      <c r="C5497" t="s">
        <v>40</v>
      </c>
      <c r="D5497">
        <v>5.5693890000000001</v>
      </c>
      <c r="E5497">
        <v>0.46885339999999998</v>
      </c>
      <c r="F5497" t="s">
        <v>41</v>
      </c>
      <c r="G5497">
        <v>-343.93270000000001</v>
      </c>
      <c r="H5497" s="1">
        <v>-2.9137799999999998E-6</v>
      </c>
      <c r="I5497">
        <v>17.763729999999999</v>
      </c>
      <c r="J5497">
        <v>-361.70549999999997</v>
      </c>
      <c r="K5497">
        <v>1.110536</v>
      </c>
      <c r="L5497">
        <v>17.353579999999901</v>
      </c>
      <c r="M5497">
        <v>0.99988790000000005</v>
      </c>
      <c r="N5497">
        <v>0</v>
      </c>
      <c r="O5497">
        <v>-1.034998E-2</v>
      </c>
      <c r="P5497">
        <v>0.98620779999999997</v>
      </c>
      <c r="Q5497">
        <v>0.15161640000000001</v>
      </c>
      <c r="R5497">
        <v>-6.6385639999999996E-2</v>
      </c>
      <c r="S5497">
        <v>3.0761720000000001</v>
      </c>
      <c r="T5497">
        <v>-0.1903193</v>
      </c>
      <c r="U5497">
        <v>7.0037840000000004E-2</v>
      </c>
      <c r="V5497">
        <v>5.5904799999999998E-2</v>
      </c>
      <c r="W5497">
        <v>0.16238830000000001</v>
      </c>
      <c r="X5497">
        <v>0.98514199999999996</v>
      </c>
      <c r="Y5497">
        <v>-3.302575E-2</v>
      </c>
      <c r="Z5497">
        <v>1.66022E-3</v>
      </c>
      <c r="AA5497">
        <v>0.99945309999999998</v>
      </c>
      <c r="AB5497">
        <v>35</v>
      </c>
      <c r="AC5497">
        <v>17.772799999999901</v>
      </c>
      <c r="AD5497">
        <v>-1.1105389137799999</v>
      </c>
      <c r="AE5497">
        <v>0.41015000000000101</v>
      </c>
      <c r="AF5497">
        <v>-0.59177760637092103</v>
      </c>
      <c r="AG5497">
        <v>-1.1105389137799999</v>
      </c>
      <c r="AH5497">
        <v>17.698537007986001</v>
      </c>
      <c r="AI5497">
        <v>93.588459418544801</v>
      </c>
      <c r="AJ5497">
        <v>91.915058398590801</v>
      </c>
      <c r="AK5497">
        <v>17.7432158764265</v>
      </c>
      <c r="AL5497">
        <v>80.654451345884596</v>
      </c>
      <c r="AM5497">
        <v>86.752064813408197</v>
      </c>
      <c r="AN5497">
        <v>1.0000000334019601</v>
      </c>
    </row>
    <row r="5498" spans="1:40" x14ac:dyDescent="0.25">
      <c r="A5498" t="str">
        <f>"20190312164137676"</f>
        <v>20190312164137676</v>
      </c>
      <c r="B5498" t="str">
        <f>"1552380097671671"</f>
        <v>1552380097671671</v>
      </c>
      <c r="C5498" t="s">
        <v>40</v>
      </c>
      <c r="D5498">
        <v>5.5683230000000004</v>
      </c>
      <c r="E5498">
        <v>0.46726240000000002</v>
      </c>
      <c r="F5498" t="s">
        <v>41</v>
      </c>
      <c r="G5498">
        <v>-344.20650000000001</v>
      </c>
      <c r="H5498" s="1">
        <v>-2.7713909999999998E-6</v>
      </c>
      <c r="I5498">
        <v>17.90408</v>
      </c>
      <c r="J5498">
        <v>-361.53019999999998</v>
      </c>
      <c r="K5498">
        <v>1.1105370000000001</v>
      </c>
      <c r="L5498">
        <v>17.352079999999901</v>
      </c>
      <c r="M5498">
        <v>0.99989139999999999</v>
      </c>
      <c r="N5498">
        <v>0</v>
      </c>
      <c r="O5498">
        <v>-9.9791189999999998E-3</v>
      </c>
      <c r="P5498">
        <v>0.98628749999999998</v>
      </c>
      <c r="Q5498">
        <v>0.15135309999999999</v>
      </c>
      <c r="R5498">
        <v>-6.5797540000000002E-2</v>
      </c>
      <c r="S5498">
        <v>3.078522</v>
      </c>
      <c r="T5498">
        <v>-0.19537209999999999</v>
      </c>
      <c r="U5498">
        <v>9.6862790000000004E-2</v>
      </c>
      <c r="V5498">
        <v>5.5681649999999999E-2</v>
      </c>
      <c r="W5498">
        <v>0.16215389999999999</v>
      </c>
      <c r="X5498">
        <v>0.98519319999999999</v>
      </c>
      <c r="Y5498">
        <v>-4.1318599999999997E-2</v>
      </c>
      <c r="Z5498">
        <v>1.9420259999999999E-3</v>
      </c>
      <c r="AA5498">
        <v>0.99914409999999998</v>
      </c>
      <c r="AB5498">
        <v>35</v>
      </c>
      <c r="AC5498">
        <v>17.323699999999899</v>
      </c>
      <c r="AD5498">
        <v>-1.1105397713909999</v>
      </c>
      <c r="AE5498">
        <v>0.55200000000000304</v>
      </c>
      <c r="AF5498">
        <v>-0.72189433972247896</v>
      </c>
      <c r="AG5498">
        <v>-1.1105397713909999</v>
      </c>
      <c r="AH5498">
        <v>17.2465261312202</v>
      </c>
      <c r="AI5498">
        <v>93.681093746918805</v>
      </c>
      <c r="AJ5498">
        <v>92.396851881978804</v>
      </c>
      <c r="AK5498">
        <v>17.2973146359898</v>
      </c>
      <c r="AL5498">
        <v>80.6680614337956</v>
      </c>
      <c r="AM5498">
        <v>86.765169468672994</v>
      </c>
      <c r="AN5498">
        <v>0.99999998737908602</v>
      </c>
    </row>
    <row r="5499" spans="1:40" x14ac:dyDescent="0.25">
      <c r="A5499" t="str">
        <f>"20190312164137689"</f>
        <v>20190312164137689</v>
      </c>
      <c r="B5499" t="str">
        <f>"1552380097681429"</f>
        <v>1552380097681429</v>
      </c>
      <c r="C5499" t="s">
        <v>40</v>
      </c>
      <c r="D5499">
        <v>10.2097</v>
      </c>
      <c r="E5499">
        <v>0.4672925</v>
      </c>
      <c r="F5499" t="s">
        <v>41</v>
      </c>
      <c r="G5499">
        <v>-344.62310000000002</v>
      </c>
      <c r="H5499" s="1">
        <v>-2.5818649999999999E-6</v>
      </c>
      <c r="I5499">
        <v>17.96509</v>
      </c>
      <c r="J5499">
        <v>-361.34050000000002</v>
      </c>
      <c r="K5499">
        <v>1.1105400000000001</v>
      </c>
      <c r="L5499">
        <v>17.35059</v>
      </c>
      <c r="M5499">
        <v>0.99989490000000003</v>
      </c>
      <c r="N5499">
        <v>0</v>
      </c>
      <c r="O5499">
        <v>-9.5777480000000005E-3</v>
      </c>
      <c r="P5499">
        <v>0.98635899999999999</v>
      </c>
      <c r="Q5499">
        <v>0.151228</v>
      </c>
      <c r="R5499">
        <v>-6.5007170000000003E-2</v>
      </c>
      <c r="S5499">
        <v>3.0801699999999999</v>
      </c>
      <c r="T5499">
        <v>-0.20232059999999999</v>
      </c>
      <c r="U5499">
        <v>0.1116943</v>
      </c>
      <c r="V5499">
        <v>5.5286259999999997E-2</v>
      </c>
      <c r="W5499">
        <v>0.16205799999999901</v>
      </c>
      <c r="X5499">
        <v>0.98523130000000003</v>
      </c>
      <c r="Y5499">
        <v>-4.568999E-2</v>
      </c>
      <c r="Z5499">
        <v>2.126752E-3</v>
      </c>
      <c r="AA5499">
        <v>0.99895339999999999</v>
      </c>
      <c r="AB5499">
        <v>35</v>
      </c>
      <c r="AC5499">
        <v>16.717399999999898</v>
      </c>
      <c r="AD5499">
        <v>-1.1105425818650001</v>
      </c>
      <c r="AE5499">
        <v>0.61449999999999905</v>
      </c>
      <c r="AF5499">
        <v>-0.77119764403019297</v>
      </c>
      <c r="AG5499">
        <v>-1.1105425818650001</v>
      </c>
      <c r="AH5499">
        <v>16.637425519551101</v>
      </c>
      <c r="AI5499">
        <v>93.8147253464832</v>
      </c>
      <c r="AJ5499">
        <v>92.653942120937799</v>
      </c>
      <c r="AK5499">
        <v>16.692273019301599</v>
      </c>
      <c r="AL5499">
        <v>80.673630246301499</v>
      </c>
      <c r="AM5499">
        <v>86.788215370419493</v>
      </c>
      <c r="AN5499">
        <v>1.0000000402042299</v>
      </c>
    </row>
    <row r="5500" spans="1:40" x14ac:dyDescent="0.25">
      <c r="A5500" t="str">
        <f>"20190312164137701"</f>
        <v>20190312164137701</v>
      </c>
      <c r="B5500" t="str">
        <f>"1552380097692166"</f>
        <v>1552380097692166</v>
      </c>
      <c r="C5500" t="s">
        <v>40</v>
      </c>
      <c r="D5500">
        <v>5.5920990000000002</v>
      </c>
      <c r="E5500">
        <v>0.46658100000000002</v>
      </c>
      <c r="F5500" t="s">
        <v>41</v>
      </c>
      <c r="G5500">
        <v>-343.92689999999999</v>
      </c>
      <c r="H5500" s="1">
        <v>-2.8759479999999999E-6</v>
      </c>
      <c r="I5500">
        <v>17.991</v>
      </c>
      <c r="J5500">
        <v>-361.1361</v>
      </c>
      <c r="K5500">
        <v>1.1105419999999999</v>
      </c>
      <c r="L5500">
        <v>17.348970000000001</v>
      </c>
      <c r="M5500">
        <v>0.99989870000000003</v>
      </c>
      <c r="N5500">
        <v>0</v>
      </c>
      <c r="O5500">
        <v>-9.1456339999999997E-3</v>
      </c>
      <c r="P5500">
        <v>0.98642269999999999</v>
      </c>
      <c r="Q5500">
        <v>0.1510494</v>
      </c>
      <c r="R5500">
        <v>-6.4458600000000005E-2</v>
      </c>
      <c r="S5500">
        <v>3.0790410000000001</v>
      </c>
      <c r="T5500">
        <v>-0.1963636</v>
      </c>
      <c r="U5500">
        <v>0.1132507</v>
      </c>
      <c r="V5500">
        <v>5.5163289999999997E-2</v>
      </c>
      <c r="W5500">
        <v>0.16190929999999901</v>
      </c>
      <c r="X5500">
        <v>0.98526259999999999</v>
      </c>
      <c r="Y5500">
        <v>-4.5783339999999999E-2</v>
      </c>
      <c r="Z5500">
        <v>2.0404479999999998E-3</v>
      </c>
      <c r="AA5500">
        <v>0.99894930000000004</v>
      </c>
      <c r="AB5500">
        <v>35</v>
      </c>
      <c r="AC5500">
        <v>17.209199999999999</v>
      </c>
      <c r="AD5500">
        <v>-1.1105448759480001</v>
      </c>
      <c r="AE5500">
        <v>0.64202999999999799</v>
      </c>
      <c r="AF5500">
        <v>-0.79609093047898405</v>
      </c>
      <c r="AG5500">
        <v>-1.1105448759480001</v>
      </c>
      <c r="AH5500">
        <v>17.1313656253825</v>
      </c>
      <c r="AI5500">
        <v>93.705035844661296</v>
      </c>
      <c r="AJ5500">
        <v>92.660608691920302</v>
      </c>
      <c r="AK5500">
        <v>17.185771989690299</v>
      </c>
      <c r="AL5500">
        <v>80.682263779065806</v>
      </c>
      <c r="AM5500">
        <v>86.795445843202401</v>
      </c>
      <c r="AN5500">
        <v>1.0000000004744301</v>
      </c>
    </row>
    <row r="5501" spans="1:40" x14ac:dyDescent="0.25">
      <c r="A5501" t="str">
        <f>"20190312164137722"</f>
        <v>20190312164137722</v>
      </c>
      <c r="B5501" t="str">
        <f>"1552380097711685"</f>
        <v>1552380097711685</v>
      </c>
      <c r="C5501" t="s">
        <v>40</v>
      </c>
      <c r="D5501">
        <v>5.560117</v>
      </c>
      <c r="E5501">
        <v>0.46558240000000001</v>
      </c>
      <c r="F5501" t="s">
        <v>41</v>
      </c>
      <c r="G5501">
        <v>-344.08710000000002</v>
      </c>
      <c r="H5501" s="1">
        <v>-2.8025339999999999E-6</v>
      </c>
      <c r="I5501">
        <v>18.017340000000001</v>
      </c>
      <c r="J5501">
        <v>-360.80939999999998</v>
      </c>
      <c r="K5501">
        <v>1.11054599999999</v>
      </c>
      <c r="L5501">
        <v>17.346679999999999</v>
      </c>
      <c r="M5501">
        <v>0.99990429999999997</v>
      </c>
      <c r="N5501">
        <v>0</v>
      </c>
      <c r="O5501">
        <v>-8.4555280000000003E-3</v>
      </c>
      <c r="P5501">
        <v>0.98642149999999995</v>
      </c>
      <c r="Q5501">
        <v>0.15157229999999999</v>
      </c>
      <c r="R5501">
        <v>-6.323782E-2</v>
      </c>
      <c r="S5501">
        <v>3.0799259999999999</v>
      </c>
      <c r="T5501">
        <v>-0.20062150000000001</v>
      </c>
      <c r="U5501">
        <v>0.12075809999999999</v>
      </c>
      <c r="V5501">
        <v>5.4622259999999999E-2</v>
      </c>
      <c r="W5501">
        <v>0.16248000000000001</v>
      </c>
      <c r="X5501">
        <v>0.98519880000000004</v>
      </c>
      <c r="Y5501">
        <v>-4.7507720000000003E-2</v>
      </c>
      <c r="Z5501">
        <v>2.0950959999999999E-3</v>
      </c>
      <c r="AA5501">
        <v>0.9988686</v>
      </c>
      <c r="AB5501">
        <v>35</v>
      </c>
      <c r="AC5501">
        <v>16.722299999999901</v>
      </c>
      <c r="AD5501">
        <v>-1.11054880253399</v>
      </c>
      <c r="AE5501">
        <v>0.67066000000000103</v>
      </c>
      <c r="AF5501">
        <v>-0.80848033597418401</v>
      </c>
      <c r="AG5501">
        <v>-1.11054880253399</v>
      </c>
      <c r="AH5501">
        <v>16.6427468145869</v>
      </c>
      <c r="AI5501">
        <v>93.813129832667698</v>
      </c>
      <c r="AJ5501">
        <v>92.781158943040296</v>
      </c>
      <c r="AK5501">
        <v>16.6993407244391</v>
      </c>
      <c r="AL5501">
        <v>80.649126373324904</v>
      </c>
      <c r="AM5501">
        <v>86.826605822964794</v>
      </c>
      <c r="AN5501">
        <v>1.00000000860447</v>
      </c>
    </row>
    <row r="5502" spans="1:40" x14ac:dyDescent="0.25">
      <c r="A5502" t="str">
        <f>"20190312164137735"</f>
        <v>20190312164137735</v>
      </c>
      <c r="B5502" t="str">
        <f>"1552380097732182"</f>
        <v>1552380097732182</v>
      </c>
      <c r="C5502" t="s">
        <v>40</v>
      </c>
      <c r="D5502">
        <v>5.6928419999999997</v>
      </c>
      <c r="E5502">
        <v>0.46610639999999998</v>
      </c>
      <c r="F5502" t="s">
        <v>41</v>
      </c>
      <c r="G5502">
        <v>-343.82589999999999</v>
      </c>
      <c r="H5502" s="1">
        <v>-2.9040489999999999E-6</v>
      </c>
      <c r="I5502">
        <v>18.076920000000001</v>
      </c>
      <c r="J5502">
        <v>-360.60840000000002</v>
      </c>
      <c r="K5502">
        <v>1.1105499999999999</v>
      </c>
      <c r="L5502">
        <v>17.345369999999999</v>
      </c>
      <c r="M5502">
        <v>0.99990730000000005</v>
      </c>
      <c r="N5502">
        <v>0</v>
      </c>
      <c r="O5502">
        <v>-8.0312969999999997E-3</v>
      </c>
      <c r="P5502">
        <v>0.98644920000000003</v>
      </c>
      <c r="Q5502">
        <v>0.15161329999999901</v>
      </c>
      <c r="R5502">
        <v>-6.2702999999999995E-2</v>
      </c>
      <c r="S5502">
        <v>3.0807190000000002</v>
      </c>
      <c r="T5502">
        <v>-0.20144680000000001</v>
      </c>
      <c r="U5502">
        <v>0.13247679999999901</v>
      </c>
      <c r="V5502">
        <v>5.4505650000000003E-2</v>
      </c>
      <c r="W5502">
        <v>0.162552</v>
      </c>
      <c r="X5502">
        <v>0.9851934</v>
      </c>
      <c r="Y5502">
        <v>-5.0859649999999999E-2</v>
      </c>
      <c r="Z5502">
        <v>2.1847170000000001E-3</v>
      </c>
      <c r="AA5502">
        <v>0.99870340000000002</v>
      </c>
      <c r="AB5502">
        <v>35</v>
      </c>
      <c r="AC5502">
        <v>16.782499999999999</v>
      </c>
      <c r="AD5502">
        <v>-1.1105529040490001</v>
      </c>
      <c r="AE5502">
        <v>0.73154999999999804</v>
      </c>
      <c r="AF5502">
        <v>-0.86254993509176903</v>
      </c>
      <c r="AG5502">
        <v>-1.1105529040490001</v>
      </c>
      <c r="AH5502">
        <v>16.703080589168</v>
      </c>
      <c r="AI5502">
        <v>93.798831016745595</v>
      </c>
      <c r="AJ5502">
        <v>92.956137989992698</v>
      </c>
      <c r="AK5502">
        <v>16.7621663668948</v>
      </c>
      <c r="AL5502">
        <v>80.644945669860405</v>
      </c>
      <c r="AM5502">
        <v>86.8333494006107</v>
      </c>
      <c r="AN5502">
        <v>1.00000002699474</v>
      </c>
    </row>
    <row r="5503" spans="1:40" x14ac:dyDescent="0.25">
      <c r="A5503" t="str">
        <f>"20190312164137748"</f>
        <v>20190312164137748</v>
      </c>
      <c r="B5503" t="str">
        <f>"1552380097741941"</f>
        <v>1552380097741941</v>
      </c>
      <c r="C5503" t="s">
        <v>40</v>
      </c>
      <c r="D5503">
        <v>5.5463440000000004</v>
      </c>
      <c r="E5503">
        <v>0.46635399999999999</v>
      </c>
      <c r="F5503" t="s">
        <v>41</v>
      </c>
      <c r="G5503">
        <v>-342.58640000000003</v>
      </c>
      <c r="H5503" s="1">
        <v>-3.4314549999999999E-6</v>
      </c>
      <c r="I5503">
        <v>18.101320000000001</v>
      </c>
      <c r="J5503">
        <v>-360.39929999999998</v>
      </c>
      <c r="K5503">
        <v>1.110552</v>
      </c>
      <c r="L5503">
        <v>17.34412</v>
      </c>
      <c r="M5503">
        <v>0.99991030000000003</v>
      </c>
      <c r="N5503">
        <v>0</v>
      </c>
      <c r="O5503">
        <v>-7.5906219999999896E-3</v>
      </c>
      <c r="P5503">
        <v>0.98642960000000002</v>
      </c>
      <c r="Q5503">
        <v>0.15196589999999999</v>
      </c>
      <c r="R5503">
        <v>-6.215188E-2</v>
      </c>
      <c r="S5503">
        <v>3.0786129999999998</v>
      </c>
      <c r="T5503">
        <v>-0.1897105</v>
      </c>
      <c r="U5503">
        <v>0.1291504</v>
      </c>
      <c r="V5503">
        <v>5.4389E-2</v>
      </c>
      <c r="W5503">
        <v>0.1629369</v>
      </c>
      <c r="X5503">
        <v>0.98513629999999996</v>
      </c>
      <c r="Y5503">
        <v>-4.9389280000000001E-2</v>
      </c>
      <c r="Z5503">
        <v>1.9867719999999999E-3</v>
      </c>
      <c r="AA5503">
        <v>0.99877760000000004</v>
      </c>
      <c r="AB5503">
        <v>35</v>
      </c>
      <c r="AC5503">
        <v>17.8128999999999</v>
      </c>
      <c r="AD5503">
        <v>-1.1105554314549999</v>
      </c>
      <c r="AE5503">
        <v>0.75720000000000098</v>
      </c>
      <c r="AF5503">
        <v>-0.88894832370198396</v>
      </c>
      <c r="AG5503">
        <v>-1.1105554314549999</v>
      </c>
      <c r="AH5503">
        <v>17.7378167860826</v>
      </c>
      <c r="AI5503">
        <v>93.578103594055705</v>
      </c>
      <c r="AJ5503">
        <v>92.869034594033806</v>
      </c>
      <c r="AK5503">
        <v>17.794766276216698</v>
      </c>
      <c r="AL5503">
        <v>80.6225948872858</v>
      </c>
      <c r="AM5503">
        <v>86.839929963371901</v>
      </c>
      <c r="AN5503">
        <v>1.00000006314014</v>
      </c>
    </row>
    <row r="5504" spans="1:40" x14ac:dyDescent="0.25">
      <c r="A5504" t="str">
        <f>"20190312164137767"</f>
        <v>20190312164137767</v>
      </c>
      <c r="B5504" t="str">
        <f>"1552380097761461"</f>
        <v>1552380097761461</v>
      </c>
      <c r="C5504" t="s">
        <v>40</v>
      </c>
      <c r="D5504">
        <v>5.6465129999999997</v>
      </c>
      <c r="E5504">
        <v>0.46679039999999999</v>
      </c>
      <c r="F5504" t="s">
        <v>41</v>
      </c>
      <c r="G5504">
        <v>-341.80579999999998</v>
      </c>
      <c r="H5504" s="1">
        <v>-3.7631410000000001E-6</v>
      </c>
      <c r="I5504">
        <v>18.119129999999998</v>
      </c>
      <c r="J5504">
        <v>-360.1053</v>
      </c>
      <c r="K5504">
        <v>1.1105529999999999</v>
      </c>
      <c r="L5504">
        <v>17.342469999999999</v>
      </c>
      <c r="M5504">
        <v>0.99991430000000003</v>
      </c>
      <c r="N5504">
        <v>0</v>
      </c>
      <c r="O5504">
        <v>-6.9721560000000002E-3</v>
      </c>
      <c r="P5504">
        <v>0.98640969999999994</v>
      </c>
      <c r="Q5504">
        <v>0.1523902</v>
      </c>
      <c r="R5504">
        <v>-6.1427950000000002E-2</v>
      </c>
      <c r="S5504">
        <v>3.0776370000000002</v>
      </c>
      <c r="T5504">
        <v>-0.18382190000000001</v>
      </c>
      <c r="U5504">
        <v>0.12829589999999999</v>
      </c>
      <c r="V5504">
        <v>5.427448E-2</v>
      </c>
      <c r="W5504">
        <v>0.16340679999999999</v>
      </c>
      <c r="X5504">
        <v>0.98506470000000002</v>
      </c>
      <c r="Y5504">
        <v>-4.8517119999999997E-2</v>
      </c>
      <c r="Z5504">
        <v>1.8629269999999999E-3</v>
      </c>
      <c r="AA5504">
        <v>0.99882059999999995</v>
      </c>
      <c r="AB5504">
        <v>35</v>
      </c>
      <c r="AC5504">
        <v>18.299499999999998</v>
      </c>
      <c r="AD5504">
        <v>-1.110556763141</v>
      </c>
      <c r="AE5504">
        <v>0.77665999999999602</v>
      </c>
      <c r="AF5504">
        <v>-0.90092377597719198</v>
      </c>
      <c r="AG5504">
        <v>-1.110556763141</v>
      </c>
      <c r="AH5504">
        <v>18.226631641836601</v>
      </c>
      <c r="AI5504">
        <v>93.482505499665706</v>
      </c>
      <c r="AJ5504">
        <v>92.829768743277896</v>
      </c>
      <c r="AK5504">
        <v>18.282644802694101</v>
      </c>
      <c r="AL5504">
        <v>80.595305098342294</v>
      </c>
      <c r="AM5504">
        <v>86.846341531903406</v>
      </c>
      <c r="AN5504">
        <v>0.99999998232580001</v>
      </c>
    </row>
    <row r="5505" spans="1:40" x14ac:dyDescent="0.25">
      <c r="A5505" t="str">
        <f>"20190312164137789"</f>
        <v>20190312164137789</v>
      </c>
      <c r="B5505" t="str">
        <f>"1552380097781961"</f>
        <v>1552380097781961</v>
      </c>
      <c r="C5505" t="s">
        <v>40</v>
      </c>
      <c r="D5505">
        <v>5.6385439999999996</v>
      </c>
      <c r="E5505">
        <v>0.46659400000000001</v>
      </c>
      <c r="F5505" t="s">
        <v>41</v>
      </c>
      <c r="G5505">
        <v>-340.70979999999997</v>
      </c>
      <c r="H5505" s="1">
        <v>-4.2290999999999999E-6</v>
      </c>
      <c r="I5505">
        <v>18.142959999999999</v>
      </c>
      <c r="J5505">
        <v>-359.75170000000003</v>
      </c>
      <c r="K5505">
        <v>1.1105590000000001</v>
      </c>
      <c r="L5505">
        <v>17.34076</v>
      </c>
      <c r="M5505">
        <v>0.99991859999999999</v>
      </c>
      <c r="N5505">
        <v>0</v>
      </c>
      <c r="O5505">
        <v>-6.2294129999999996E-3</v>
      </c>
      <c r="P5505">
        <v>0.98637149999999996</v>
      </c>
      <c r="Q5505">
        <v>0.15284220000000001</v>
      </c>
      <c r="R5505">
        <v>-6.0913670000000003E-2</v>
      </c>
      <c r="S5505">
        <v>3.076416</v>
      </c>
      <c r="T5505">
        <v>-0.176150799999999</v>
      </c>
      <c r="U5505">
        <v>0.1269836</v>
      </c>
      <c r="V5505">
        <v>5.4492369999999998E-2</v>
      </c>
      <c r="W5505">
        <v>0.1639177</v>
      </c>
      <c r="X5505">
        <v>0.98496779999999995</v>
      </c>
      <c r="Y5505">
        <v>-4.7377410000000002E-2</v>
      </c>
      <c r="Z5505">
        <v>1.71096799999999E-3</v>
      </c>
      <c r="AA5505">
        <v>0.99887559999999997</v>
      </c>
      <c r="AB5505">
        <v>35</v>
      </c>
      <c r="AC5505">
        <v>19.041899999999998</v>
      </c>
      <c r="AD5505">
        <v>-1.1105632291</v>
      </c>
      <c r="AE5505">
        <v>0.80220000000000202</v>
      </c>
      <c r="AF5505">
        <v>-0.91769566718970297</v>
      </c>
      <c r="AG5505">
        <v>-1.1105632291</v>
      </c>
      <c r="AH5505">
        <v>18.972114283990599</v>
      </c>
      <c r="AI5505">
        <v>93.346174345872001</v>
      </c>
      <c r="AJ5505">
        <v>92.769282197106506</v>
      </c>
      <c r="AK5505">
        <v>19.0267347810444</v>
      </c>
      <c r="AL5505">
        <v>80.565632750199498</v>
      </c>
      <c r="AM5505">
        <v>86.833395720544104</v>
      </c>
      <c r="AN5505">
        <v>0.99999999889917301</v>
      </c>
    </row>
    <row r="5506" spans="1:40" x14ac:dyDescent="0.25">
      <c r="A5506" t="str">
        <f>"20190312164137801"</f>
        <v>20190312164137801</v>
      </c>
      <c r="B5506" t="str">
        <f>"1552380097791717"</f>
        <v>1552380097791717</v>
      </c>
      <c r="C5506" t="s">
        <v>40</v>
      </c>
      <c r="D5506">
        <v>5.652698</v>
      </c>
      <c r="E5506">
        <v>0.46658579999999999</v>
      </c>
      <c r="F5506" t="s">
        <v>41</v>
      </c>
      <c r="G5506">
        <v>-340.50299999999999</v>
      </c>
      <c r="H5506" s="1">
        <v>-4.3156499999999999E-6</v>
      </c>
      <c r="I5506">
        <v>18.155280000000001</v>
      </c>
      <c r="J5506">
        <v>-359.56240000000003</v>
      </c>
      <c r="K5506">
        <v>1.110571</v>
      </c>
      <c r="L5506">
        <v>17.3399</v>
      </c>
      <c r="M5506">
        <v>0.99992060000000005</v>
      </c>
      <c r="N5506">
        <v>0</v>
      </c>
      <c r="O5506">
        <v>-5.8320119999999897E-3</v>
      </c>
      <c r="P5506">
        <v>0.98635099999999998</v>
      </c>
      <c r="Q5506">
        <v>0.15306020000000001</v>
      </c>
      <c r="R5506">
        <v>-6.0699719999999999E-2</v>
      </c>
      <c r="S5506">
        <v>3.0769959999999998</v>
      </c>
      <c r="T5506">
        <v>-0.17752799999999999</v>
      </c>
      <c r="U5506">
        <v>0.13021849999999999</v>
      </c>
      <c r="V5506">
        <v>5.4669790000000003E-2</v>
      </c>
      <c r="W5506">
        <v>0.16416889999999901</v>
      </c>
      <c r="X5506">
        <v>0.98491620000000002</v>
      </c>
      <c r="Y5506">
        <v>-4.801921E-2</v>
      </c>
      <c r="Z5506">
        <v>1.7195509999999999E-3</v>
      </c>
      <c r="AA5506">
        <v>0.99884490000000004</v>
      </c>
      <c r="AB5506">
        <v>35</v>
      </c>
      <c r="AC5506">
        <v>19.059399999999901</v>
      </c>
      <c r="AD5506">
        <v>-1.11057531565</v>
      </c>
      <c r="AE5506">
        <v>0.815379999999997</v>
      </c>
      <c r="AF5506">
        <v>-0.92339823453528402</v>
      </c>
      <c r="AG5506">
        <v>-1.11057531565</v>
      </c>
      <c r="AH5506">
        <v>18.989961485139801</v>
      </c>
      <c r="AI5506">
        <v>93.343031844755899</v>
      </c>
      <c r="AJ5506">
        <v>92.783848838061701</v>
      </c>
      <c r="AK5506">
        <v>19.044807141012701</v>
      </c>
      <c r="AL5506">
        <v>80.5510430495018</v>
      </c>
      <c r="AM5506">
        <v>86.822940659939505</v>
      </c>
      <c r="AN5506">
        <v>1.00000006734414</v>
      </c>
    </row>
    <row r="5507" spans="1:40" x14ac:dyDescent="0.25">
      <c r="A5507" t="str">
        <f>"20190312164137812"</f>
        <v>20190312164137812</v>
      </c>
      <c r="B5507" t="str">
        <f>"1552380097801478"</f>
        <v>1552380097801478</v>
      </c>
      <c r="C5507" t="s">
        <v>40</v>
      </c>
      <c r="D5507">
        <v>5.5789030000000004</v>
      </c>
      <c r="E5507">
        <v>0.4664256</v>
      </c>
      <c r="F5507" t="s">
        <v>41</v>
      </c>
      <c r="G5507">
        <v>-341.11099999999999</v>
      </c>
      <c r="H5507" s="1">
        <v>-4.0596330000000003E-6</v>
      </c>
      <c r="I5507">
        <v>18.1282</v>
      </c>
      <c r="J5507">
        <v>-359.38380000000001</v>
      </c>
      <c r="K5507">
        <v>1.110576</v>
      </c>
      <c r="L5507">
        <v>17.339200000000002</v>
      </c>
      <c r="M5507">
        <v>0.99992230000000004</v>
      </c>
      <c r="N5507">
        <v>0</v>
      </c>
      <c r="O5507">
        <v>-5.4570219999999997E-3</v>
      </c>
      <c r="P5507">
        <v>0.98630370000000001</v>
      </c>
      <c r="Q5507">
        <v>0.15329960000000001</v>
      </c>
      <c r="R5507">
        <v>-6.0862600000000003E-2</v>
      </c>
      <c r="S5507">
        <v>3.0783689999999999</v>
      </c>
      <c r="T5507">
        <v>-0.1852839</v>
      </c>
      <c r="U5507">
        <v>0.1315308</v>
      </c>
      <c r="V5507">
        <v>5.5202139999999997E-2</v>
      </c>
      <c r="W5507">
        <v>0.16444120000000001</v>
      </c>
      <c r="X5507">
        <v>0.98484099999999997</v>
      </c>
      <c r="Y5507">
        <v>-4.8043580000000002E-2</v>
      </c>
      <c r="Z5507">
        <v>1.7719179999999999E-3</v>
      </c>
      <c r="AA5507">
        <v>0.9988437</v>
      </c>
      <c r="AB5507">
        <v>35</v>
      </c>
      <c r="AC5507">
        <v>18.2728</v>
      </c>
      <c r="AD5507">
        <v>-1.110580059633</v>
      </c>
      <c r="AE5507">
        <v>0.78899999999999704</v>
      </c>
      <c r="AF5507">
        <v>-0.88544489429571704</v>
      </c>
      <c r="AG5507">
        <v>-1.110580059633</v>
      </c>
      <c r="AH5507">
        <v>18.201113373082698</v>
      </c>
      <c r="AI5507">
        <v>93.4875819070772</v>
      </c>
      <c r="AJ5507">
        <v>92.785120334708495</v>
      </c>
      <c r="AK5507">
        <v>18.256448963297899</v>
      </c>
      <c r="AL5507">
        <v>80.535225715802795</v>
      </c>
      <c r="AM5507">
        <v>86.791823738903005</v>
      </c>
      <c r="AN5507">
        <v>0.999999989899509</v>
      </c>
    </row>
    <row r="5508" spans="1:40" x14ac:dyDescent="0.25">
      <c r="A5508" t="str">
        <f>"20190312164137824"</f>
        <v>20190312164137824</v>
      </c>
      <c r="B5508" t="str">
        <f>"1552380097812214"</f>
        <v>1552380097812214</v>
      </c>
      <c r="C5508" t="s">
        <v>40</v>
      </c>
      <c r="D5508">
        <v>5.7629029999999997</v>
      </c>
      <c r="E5508">
        <v>0.46623930000000002</v>
      </c>
      <c r="F5508" t="s">
        <v>41</v>
      </c>
      <c r="G5508">
        <v>-341.24</v>
      </c>
      <c r="H5508" s="1">
        <v>-4.0060409999999999E-6</v>
      </c>
      <c r="I5508">
        <v>18.118310000000001</v>
      </c>
      <c r="J5508">
        <v>-359.21089999999998</v>
      </c>
      <c r="K5508">
        <v>1.1105849999999999</v>
      </c>
      <c r="L5508">
        <v>17.338619999999999</v>
      </c>
      <c r="M5508">
        <v>0.99992389999999998</v>
      </c>
      <c r="N5508">
        <v>0</v>
      </c>
      <c r="O5508">
        <v>-5.094431E-3</v>
      </c>
      <c r="P5508">
        <v>0.98627319999999996</v>
      </c>
      <c r="Q5508">
        <v>0.153553</v>
      </c>
      <c r="R5508">
        <v>-6.0717420000000001E-2</v>
      </c>
      <c r="S5508">
        <v>3.0791019999999998</v>
      </c>
      <c r="T5508">
        <v>-0.18847140000000001</v>
      </c>
      <c r="U5508">
        <v>0.13223270000000001</v>
      </c>
      <c r="V5508">
        <v>5.5414129999999999E-2</v>
      </c>
      <c r="W5508">
        <v>0.1647276</v>
      </c>
      <c r="X5508">
        <v>0.98478120000000002</v>
      </c>
      <c r="Y5508">
        <v>-4.7896170000000002E-2</v>
      </c>
      <c r="Z5508">
        <v>1.7752379999999999E-3</v>
      </c>
      <c r="AA5508">
        <v>0.99885080000000004</v>
      </c>
      <c r="AB5508">
        <v>35</v>
      </c>
      <c r="AC5508">
        <v>17.970899999999901</v>
      </c>
      <c r="AD5508">
        <v>-1.110589006041</v>
      </c>
      <c r="AE5508">
        <v>0.779689999999998</v>
      </c>
      <c r="AF5508">
        <v>-0.86792864565664596</v>
      </c>
      <c r="AG5508">
        <v>-1.110589006041</v>
      </c>
      <c r="AH5508">
        <v>17.898465887074298</v>
      </c>
      <c r="AI5508">
        <v>93.546459867372803</v>
      </c>
      <c r="AJ5508">
        <v>92.776200224358007</v>
      </c>
      <c r="AK5508">
        <v>17.953879502354201</v>
      </c>
      <c r="AL5508">
        <v>80.518589047357096</v>
      </c>
      <c r="AM5508">
        <v>86.779334275529195</v>
      </c>
      <c r="AN5508">
        <v>0.99999995993942703</v>
      </c>
    </row>
    <row r="5509" spans="1:40" x14ac:dyDescent="0.25">
      <c r="A5509" t="str">
        <f>"20190312164137836"</f>
        <v>20190312164137836</v>
      </c>
      <c r="B5509" t="str">
        <f>"1552380097832242"</f>
        <v>1552380097832242</v>
      </c>
      <c r="C5509" t="s">
        <v>40</v>
      </c>
      <c r="D5509">
        <v>5.6808269999999998</v>
      </c>
      <c r="E5509">
        <v>0.46663139999999997</v>
      </c>
      <c r="F5509" t="s">
        <v>41</v>
      </c>
      <c r="G5509">
        <v>-341.02629999999999</v>
      </c>
      <c r="H5509" s="1">
        <v>-4.095263E-6</v>
      </c>
      <c r="I5509">
        <v>18.13203</v>
      </c>
      <c r="J5509">
        <v>-359.01909999999998</v>
      </c>
      <c r="K5509">
        <v>1.1105929999999999</v>
      </c>
      <c r="L5509">
        <v>17.337979999999899</v>
      </c>
      <c r="M5509">
        <v>0.99992539999999996</v>
      </c>
      <c r="N5509">
        <v>0</v>
      </c>
      <c r="O5509">
        <v>-4.6919300000000004E-3</v>
      </c>
      <c r="P5509">
        <v>0.98629500000000003</v>
      </c>
      <c r="Q5509">
        <v>0.15340970000000001</v>
      </c>
      <c r="R5509">
        <v>-6.072814E-2</v>
      </c>
      <c r="S5509">
        <v>3.0793460000000001</v>
      </c>
      <c r="T5509">
        <v>-0.18806490000000001</v>
      </c>
      <c r="U5509">
        <v>0.13436890000000001</v>
      </c>
      <c r="V5509">
        <v>5.5821750000000003E-2</v>
      </c>
      <c r="W5509">
        <v>0.16462370000000001</v>
      </c>
      <c r="X5509">
        <v>0.98477559999999997</v>
      </c>
      <c r="Y5509">
        <v>-4.8183009999999998E-2</v>
      </c>
      <c r="Z5509">
        <v>1.755447E-3</v>
      </c>
      <c r="AA5509">
        <v>0.99883699999999997</v>
      </c>
      <c r="AB5509">
        <v>35</v>
      </c>
      <c r="AC5509">
        <v>17.9927999999999</v>
      </c>
      <c r="AD5509">
        <v>-1.110597095263</v>
      </c>
      <c r="AE5509">
        <v>0.79405000000000203</v>
      </c>
      <c r="AF5509">
        <v>-0.87513985609199596</v>
      </c>
      <c r="AG5509">
        <v>-1.110597095263</v>
      </c>
      <c r="AH5509">
        <v>17.920732267645199</v>
      </c>
      <c r="AI5509">
        <v>93.5420316905292</v>
      </c>
      <c r="AJ5509">
        <v>92.795757327534403</v>
      </c>
      <c r="AK5509">
        <v>17.976427361529598</v>
      </c>
      <c r="AL5509">
        <v>80.524624920092293</v>
      </c>
      <c r="AM5509">
        <v>86.755675440078093</v>
      </c>
      <c r="AN5509">
        <v>1.00000000636505</v>
      </c>
    </row>
    <row r="5510" spans="1:40" x14ac:dyDescent="0.25">
      <c r="A5510" t="str">
        <f>"20190312164137847"</f>
        <v>20190312164137847</v>
      </c>
      <c r="B5510" t="str">
        <f>"1552380097842003"</f>
        <v>1552380097842003</v>
      </c>
      <c r="C5510" t="s">
        <v>40</v>
      </c>
      <c r="D5510">
        <v>5.6123200000000004</v>
      </c>
      <c r="E5510">
        <v>0.46677869999999999</v>
      </c>
      <c r="F5510" t="s">
        <v>41</v>
      </c>
      <c r="G5510">
        <v>-340.47579999999999</v>
      </c>
      <c r="H5510" s="1">
        <v>-4.3323479999999996E-6</v>
      </c>
      <c r="I5510">
        <v>18.12689</v>
      </c>
      <c r="J5510">
        <v>-358.83920000000001</v>
      </c>
      <c r="K5510">
        <v>1.1105989999999999</v>
      </c>
      <c r="L5510">
        <v>17.337489999999999</v>
      </c>
      <c r="M5510">
        <v>0.99992669999999995</v>
      </c>
      <c r="N5510">
        <v>0</v>
      </c>
      <c r="O5510">
        <v>-4.3144580000000002E-3</v>
      </c>
      <c r="P5510">
        <v>0.98625649999999998</v>
      </c>
      <c r="Q5510">
        <v>0.15364529999999901</v>
      </c>
      <c r="R5510">
        <v>-6.0759779999999999E-2</v>
      </c>
      <c r="S5510">
        <v>3.0783999999999998</v>
      </c>
      <c r="T5510">
        <v>-0.1843718</v>
      </c>
      <c r="U5510">
        <v>0.1309814</v>
      </c>
      <c r="V5510">
        <v>5.6224990000000002E-2</v>
      </c>
      <c r="W5510">
        <v>0.1648974</v>
      </c>
      <c r="X5510">
        <v>0.98470690000000005</v>
      </c>
      <c r="Y5510">
        <v>-4.6729229999999997E-2</v>
      </c>
      <c r="Z5510">
        <v>1.6555490000000001E-3</v>
      </c>
      <c r="AA5510">
        <v>0.99890619999999997</v>
      </c>
      <c r="AB5510">
        <v>35</v>
      </c>
      <c r="AC5510">
        <v>18.363399999999999</v>
      </c>
      <c r="AD5510">
        <v>-1.11060333234799</v>
      </c>
      <c r="AE5510">
        <v>0.78939999999999999</v>
      </c>
      <c r="AF5510">
        <v>-0.86546603742436201</v>
      </c>
      <c r="AG5510">
        <v>-1.11060333234799</v>
      </c>
      <c r="AH5510">
        <v>18.293035430862801</v>
      </c>
      <c r="AI5510">
        <v>93.470393859687505</v>
      </c>
      <c r="AJ5510">
        <v>92.7087140847174</v>
      </c>
      <c r="AK5510">
        <v>18.347141916346501</v>
      </c>
      <c r="AL5510">
        <v>80.508726107889601</v>
      </c>
      <c r="AM5510">
        <v>86.732062509491897</v>
      </c>
      <c r="AN5510">
        <v>1.0000000404674301</v>
      </c>
    </row>
    <row r="5511" spans="1:40" x14ac:dyDescent="0.25">
      <c r="A5511" t="str">
        <f>"20190312164137860"</f>
        <v>20190312164137860</v>
      </c>
      <c r="B5511" t="str">
        <f>"1552380097851763"</f>
        <v>1552380097851763</v>
      </c>
      <c r="C5511" t="s">
        <v>40</v>
      </c>
      <c r="D5511">
        <v>5.6533059999999997</v>
      </c>
      <c r="E5511">
        <v>0.46693469999999998</v>
      </c>
      <c r="F5511" t="s">
        <v>41</v>
      </c>
      <c r="G5511">
        <v>-340.03730000000002</v>
      </c>
      <c r="H5511" s="1">
        <v>-4.5202259999999998E-6</v>
      </c>
      <c r="I5511">
        <v>18.128160000000001</v>
      </c>
      <c r="J5511">
        <v>-358.64019999999999</v>
      </c>
      <c r="K5511">
        <v>1.110606</v>
      </c>
      <c r="L5511">
        <v>17.337009999999999</v>
      </c>
      <c r="M5511">
        <v>0.99992780000000003</v>
      </c>
      <c r="N5511">
        <v>0</v>
      </c>
      <c r="O5511">
        <v>-3.8966000000000001E-3</v>
      </c>
      <c r="P5511">
        <v>0.98620039999999998</v>
      </c>
      <c r="Q5511">
        <v>0.1539884</v>
      </c>
      <c r="R5511">
        <v>-6.0796559999999999E-2</v>
      </c>
      <c r="S5511">
        <v>3.0780940000000001</v>
      </c>
      <c r="T5511">
        <v>-0.18181910000000001</v>
      </c>
      <c r="U5511">
        <v>0.1294556</v>
      </c>
      <c r="V5511">
        <v>5.6673250000000001E-2</v>
      </c>
      <c r="W5511">
        <v>0.16528309999999999</v>
      </c>
      <c r="X5511">
        <v>0.98461650000000001</v>
      </c>
      <c r="Y5511">
        <v>-4.5826480000000003E-2</v>
      </c>
      <c r="Z5511">
        <v>1.581566E-3</v>
      </c>
      <c r="AA5511">
        <v>0.99894819999999995</v>
      </c>
      <c r="AB5511">
        <v>35</v>
      </c>
      <c r="AC5511">
        <v>18.602899999999899</v>
      </c>
      <c r="AD5511">
        <v>-1.1106105202259999</v>
      </c>
      <c r="AE5511">
        <v>0.79115000000000102</v>
      </c>
      <c r="AF5511">
        <v>-0.86057501148806004</v>
      </c>
      <c r="AG5511">
        <v>-1.1106105202259999</v>
      </c>
      <c r="AH5511">
        <v>18.533737043460601</v>
      </c>
      <c r="AI5511">
        <v>93.425593633963899</v>
      </c>
      <c r="AJ5511">
        <v>92.658499255753199</v>
      </c>
      <c r="AK5511">
        <v>18.586916201300799</v>
      </c>
      <c r="AL5511">
        <v>80.486319347204798</v>
      </c>
      <c r="AM5511">
        <v>86.705763898939395</v>
      </c>
      <c r="AN5511">
        <v>1.00000000624171</v>
      </c>
    </row>
    <row r="5512" spans="1:40" x14ac:dyDescent="0.25">
      <c r="A5512" t="str">
        <f>"20190312164137880"</f>
        <v>20190312164137880</v>
      </c>
      <c r="B5512" t="str">
        <f>"1552380097872258"</f>
        <v>1552380097872258</v>
      </c>
      <c r="C5512" t="s">
        <v>40</v>
      </c>
      <c r="D5512">
        <v>5.6556660000000001</v>
      </c>
      <c r="E5512">
        <v>0.46698539999999999</v>
      </c>
      <c r="F5512" t="s">
        <v>41</v>
      </c>
      <c r="G5512">
        <v>-339.5677</v>
      </c>
      <c r="H5512" s="1">
        <v>-5.2913669999999998E-7</v>
      </c>
      <c r="I5512">
        <v>18.128170000000001</v>
      </c>
      <c r="J5512">
        <v>-358.3288</v>
      </c>
      <c r="K5512">
        <v>1.1106259999999999</v>
      </c>
      <c r="L5512">
        <v>17.33643</v>
      </c>
      <c r="M5512">
        <v>0.99992950000000003</v>
      </c>
      <c r="N5512">
        <v>0</v>
      </c>
      <c r="O5512">
        <v>-3.2429630000000002E-3</v>
      </c>
      <c r="P5512">
        <v>0.98625689999999999</v>
      </c>
      <c r="Q5512">
        <v>0.1538776</v>
      </c>
      <c r="R5512">
        <v>-6.0163340000000003E-2</v>
      </c>
      <c r="S5512">
        <v>3.0777890000000001</v>
      </c>
      <c r="T5512">
        <v>-0.17922170000000001</v>
      </c>
      <c r="U5512">
        <v>0.12768550000000001</v>
      </c>
      <c r="V5512">
        <v>5.6683829999999998E-2</v>
      </c>
      <c r="W5512">
        <v>0.1652431</v>
      </c>
      <c r="X5512">
        <v>0.98462260000000001</v>
      </c>
      <c r="Y5512">
        <v>-4.4609709999999997E-2</v>
      </c>
      <c r="Z5512">
        <v>1.4857850000000001E-3</v>
      </c>
      <c r="AA5512">
        <v>0.99900339999999999</v>
      </c>
      <c r="AB5512">
        <v>35</v>
      </c>
      <c r="AC5512">
        <v>18.761099999999999</v>
      </c>
      <c r="AD5512">
        <v>-1.1106265291366999</v>
      </c>
      <c r="AE5512">
        <v>0.79174</v>
      </c>
      <c r="AF5512">
        <v>-0.84960924157536</v>
      </c>
      <c r="AG5512">
        <v>-1.1106265291366999</v>
      </c>
      <c r="AH5512">
        <v>18.693041270568798</v>
      </c>
      <c r="AI5512">
        <v>93.396670421636699</v>
      </c>
      <c r="AJ5512">
        <v>92.602334469537197</v>
      </c>
      <c r="AK5512">
        <v>18.745269245699799</v>
      </c>
      <c r="AL5512">
        <v>80.488643086547796</v>
      </c>
      <c r="AM5512">
        <v>86.705170639412103</v>
      </c>
      <c r="AN5512">
        <v>1.0000000015559101</v>
      </c>
    </row>
    <row r="5513" spans="1:40" x14ac:dyDescent="0.25">
      <c r="A5513" t="str">
        <f>"20190312164137891"</f>
        <v>20190312164137891</v>
      </c>
      <c r="B5513" t="str">
        <f>"1552380097882018"</f>
        <v>1552380097882018</v>
      </c>
      <c r="C5513" t="s">
        <v>40</v>
      </c>
      <c r="D5513">
        <v>5.6104120000000002</v>
      </c>
      <c r="E5513">
        <v>0.46710639999999998</v>
      </c>
      <c r="F5513" t="s">
        <v>41</v>
      </c>
      <c r="G5513">
        <v>-340.5027</v>
      </c>
      <c r="H5513" s="1">
        <v>-4.32736E-6</v>
      </c>
      <c r="I5513">
        <v>18.09009</v>
      </c>
      <c r="J5513">
        <v>-358.13529999999997</v>
      </c>
      <c r="K5513">
        <v>1.110635</v>
      </c>
      <c r="L5513">
        <v>17.336179999999999</v>
      </c>
      <c r="M5513">
        <v>0.99993019999999999</v>
      </c>
      <c r="N5513">
        <v>0</v>
      </c>
      <c r="O5513">
        <v>-2.8367980000000002E-3</v>
      </c>
      <c r="P5513">
        <v>0.98626539999999996</v>
      </c>
      <c r="Q5513">
        <v>0.15389910000000001</v>
      </c>
      <c r="R5513">
        <v>-5.9968769999999998E-2</v>
      </c>
      <c r="S5513">
        <v>3.0796809999999999</v>
      </c>
      <c r="T5513">
        <v>-0.1918745</v>
      </c>
      <c r="U5513">
        <v>0.13021849999999999</v>
      </c>
      <c r="V5513">
        <v>5.6889519999999999E-2</v>
      </c>
      <c r="W5513">
        <v>0.16530799999999901</v>
      </c>
      <c r="X5513">
        <v>0.98459980000000002</v>
      </c>
      <c r="Y5513">
        <v>-4.4987079999999999E-2</v>
      </c>
      <c r="Z5513">
        <v>1.5759490000000001E-3</v>
      </c>
      <c r="AA5513">
        <v>0.99898629999999999</v>
      </c>
      <c r="AB5513">
        <v>35</v>
      </c>
      <c r="AC5513">
        <v>17.632599999999901</v>
      </c>
      <c r="AD5513">
        <v>-1.1106393273599999</v>
      </c>
      <c r="AE5513">
        <v>0.75391000000000097</v>
      </c>
      <c r="AF5513">
        <v>-0.80075919205324397</v>
      </c>
      <c r="AG5513">
        <v>-1.1106393273599999</v>
      </c>
      <c r="AH5513">
        <v>17.560845264070998</v>
      </c>
      <c r="AI5513">
        <v>93.615117090244993</v>
      </c>
      <c r="AJ5513">
        <v>92.610828910763701</v>
      </c>
      <c r="AK5513">
        <v>17.6141426526465</v>
      </c>
      <c r="AL5513">
        <v>80.484872332245104</v>
      </c>
      <c r="AM5513">
        <v>86.693164692096303</v>
      </c>
      <c r="AN5513">
        <v>0.99999995925493401</v>
      </c>
    </row>
    <row r="5514" spans="1:40" x14ac:dyDescent="0.25">
      <c r="A5514" t="str">
        <f>"20190312164137902"</f>
        <v>20190312164137902</v>
      </c>
      <c r="B5514" t="str">
        <f>"1552380097891779"</f>
        <v>1552380097891779</v>
      </c>
      <c r="C5514" t="s">
        <v>40</v>
      </c>
      <c r="D5514">
        <v>5.6195969999999997</v>
      </c>
      <c r="E5514">
        <v>0.4670415</v>
      </c>
      <c r="F5514" t="s">
        <v>41</v>
      </c>
      <c r="G5514">
        <v>-340.14490000000001</v>
      </c>
      <c r="H5514" s="1">
        <v>-4.4796430000000004E-6</v>
      </c>
      <c r="I5514">
        <v>18.096689999999999</v>
      </c>
      <c r="J5514">
        <v>-357.96780000000001</v>
      </c>
      <c r="K5514">
        <v>1.110643</v>
      </c>
      <c r="L5514">
        <v>17.33606</v>
      </c>
      <c r="M5514">
        <v>0.9999306</v>
      </c>
      <c r="N5514">
        <v>0</v>
      </c>
      <c r="O5514">
        <v>-2.484726E-3</v>
      </c>
      <c r="P5514">
        <v>0.98629670000000003</v>
      </c>
      <c r="Q5514">
        <v>0.15374170000000001</v>
      </c>
      <c r="R5514">
        <v>-5.985182E-2</v>
      </c>
      <c r="S5514">
        <v>3.0793460000000001</v>
      </c>
      <c r="T5514">
        <v>-0.19010350000000001</v>
      </c>
      <c r="U5514">
        <v>0.130188</v>
      </c>
      <c r="V5514">
        <v>5.7120039999999997E-2</v>
      </c>
      <c r="W5514">
        <v>0.16518949999999999</v>
      </c>
      <c r="X5514">
        <v>0.98460639999999999</v>
      </c>
      <c r="Y5514">
        <v>-4.4633069999999997E-2</v>
      </c>
      <c r="Z5514">
        <v>1.5289819999999999E-3</v>
      </c>
      <c r="AA5514">
        <v>0.99900230000000001</v>
      </c>
      <c r="AB5514">
        <v>35</v>
      </c>
      <c r="AC5514">
        <v>17.822900000000001</v>
      </c>
      <c r="AD5514">
        <v>-1.1106474796429999</v>
      </c>
      <c r="AE5514">
        <v>0.76062999999999803</v>
      </c>
      <c r="AF5514">
        <v>-0.80180764992749798</v>
      </c>
      <c r="AG5514">
        <v>-1.1106474796429999</v>
      </c>
      <c r="AH5514">
        <v>17.752144145648799</v>
      </c>
      <c r="AI5514">
        <v>93.576357902566599</v>
      </c>
      <c r="AJ5514">
        <v>92.586109721626599</v>
      </c>
      <c r="AK5514">
        <v>17.8049165990581</v>
      </c>
      <c r="AL5514">
        <v>80.491757075257794</v>
      </c>
      <c r="AM5514">
        <v>86.679817305441105</v>
      </c>
      <c r="AN5514">
        <v>1.0000000164003999</v>
      </c>
    </row>
    <row r="5515" spans="1:40" x14ac:dyDescent="0.25">
      <c r="A5515" t="str">
        <f>"20190312164137923"</f>
        <v>20190312164137923</v>
      </c>
      <c r="B5515" t="str">
        <f>"1552380097912274"</f>
        <v>1552380097912274</v>
      </c>
      <c r="C5515" t="s">
        <v>40</v>
      </c>
      <c r="D5515">
        <v>5.6788150000000002</v>
      </c>
      <c r="E5515">
        <v>0.46706490000000001</v>
      </c>
      <c r="F5515" t="s">
        <v>41</v>
      </c>
      <c r="G5515">
        <v>-340.17899999999997</v>
      </c>
      <c r="H5515" s="1">
        <v>-4.4653530000000002E-6</v>
      </c>
      <c r="I5515">
        <v>18.094860000000001</v>
      </c>
      <c r="J5515">
        <v>-357.65440000000001</v>
      </c>
      <c r="K5515">
        <v>1.1106549999999999</v>
      </c>
      <c r="L5515">
        <v>17.335940000000001</v>
      </c>
      <c r="M5515">
        <v>0.99993120000000002</v>
      </c>
      <c r="N5515">
        <v>0</v>
      </c>
      <c r="O5515">
        <v>-1.825988E-3</v>
      </c>
      <c r="P5515">
        <v>0.9864463</v>
      </c>
      <c r="Q5515">
        <v>0.1530417</v>
      </c>
      <c r="R5515">
        <v>-5.9177779999999999E-2</v>
      </c>
      <c r="S5515">
        <v>3.07959</v>
      </c>
      <c r="T5515">
        <v>-0.19227459999999999</v>
      </c>
      <c r="U5515">
        <v>0.1313782</v>
      </c>
      <c r="V5515">
        <v>5.7096229999999998E-2</v>
      </c>
      <c r="W5515">
        <v>0.16456209999999999</v>
      </c>
      <c r="X5515">
        <v>0.98471280000000005</v>
      </c>
      <c r="Y5515">
        <v>-4.4356779999999998E-2</v>
      </c>
      <c r="Z5515">
        <v>1.4965880000000001E-3</v>
      </c>
      <c r="AA5515">
        <v>0.99901459999999997</v>
      </c>
      <c r="AB5515">
        <v>35</v>
      </c>
      <c r="AC5515">
        <v>17.475399999999901</v>
      </c>
      <c r="AD5515">
        <v>-1.110659465353</v>
      </c>
      <c r="AE5515">
        <v>0.75891999999999904</v>
      </c>
      <c r="AF5515">
        <v>-0.78765515045761103</v>
      </c>
      <c r="AG5515">
        <v>-1.110659465353</v>
      </c>
      <c r="AH5515">
        <v>17.403817843061301</v>
      </c>
      <c r="AI5515">
        <v>93.647769404650205</v>
      </c>
      <c r="AJ5515">
        <v>92.591301632512398</v>
      </c>
      <c r="AK5515">
        <v>17.456999759365299</v>
      </c>
      <c r="AL5515">
        <v>80.528202902330705</v>
      </c>
      <c r="AM5515">
        <v>86.681556002013195</v>
      </c>
      <c r="AN5515">
        <v>0.99999998136023105</v>
      </c>
    </row>
    <row r="5516" spans="1:40" x14ac:dyDescent="0.25">
      <c r="A5516" t="str">
        <f>"20190312164137932"</f>
        <v>20190312164137932</v>
      </c>
      <c r="B5516" t="str">
        <f>"1552380097922034"</f>
        <v>1552380097922034</v>
      </c>
      <c r="C5516" t="s">
        <v>40</v>
      </c>
      <c r="D5516">
        <v>5.7507440000000001</v>
      </c>
      <c r="E5516">
        <v>0.46706490000000001</v>
      </c>
      <c r="F5516" t="s">
        <v>41</v>
      </c>
      <c r="G5516">
        <v>-340.92520000000002</v>
      </c>
      <c r="H5516" s="1">
        <v>-4.1509740000000003E-6</v>
      </c>
      <c r="I5516">
        <v>18.062629999999999</v>
      </c>
      <c r="J5516">
        <v>-357.47980000000001</v>
      </c>
      <c r="K5516">
        <v>1.1106549999999999</v>
      </c>
      <c r="L5516">
        <v>17.33597</v>
      </c>
      <c r="M5516">
        <v>0.99993149999999997</v>
      </c>
      <c r="N5516">
        <v>0</v>
      </c>
      <c r="O5516">
        <v>-1.4586789999999901E-3</v>
      </c>
      <c r="P5516">
        <v>0.9864714</v>
      </c>
      <c r="Q5516">
        <v>0.153003</v>
      </c>
      <c r="R5516">
        <v>-5.8862539999999998E-2</v>
      </c>
      <c r="S5516">
        <v>3.080994</v>
      </c>
      <c r="T5516">
        <v>-0.20454839999999999</v>
      </c>
      <c r="U5516">
        <v>0.1338501</v>
      </c>
      <c r="V5516">
        <v>5.7143199999999998E-2</v>
      </c>
      <c r="W5516">
        <v>0.16456399999999999</v>
      </c>
      <c r="X5516">
        <v>0.98470979999999997</v>
      </c>
      <c r="Y5516">
        <v>-4.475867E-2</v>
      </c>
      <c r="Z5516">
        <v>1.5801389999999999E-3</v>
      </c>
      <c r="AA5516">
        <v>0.99899660000000001</v>
      </c>
      <c r="AB5516">
        <v>35</v>
      </c>
      <c r="AC5516">
        <v>16.554599999999901</v>
      </c>
      <c r="AD5516">
        <v>-1.110659150974</v>
      </c>
      <c r="AE5516">
        <v>0.72665999999999897</v>
      </c>
      <c r="AF5516">
        <v>-0.74745077889392297</v>
      </c>
      <c r="AG5516">
        <v>-1.110659150974</v>
      </c>
      <c r="AH5516">
        <v>16.479488222673101</v>
      </c>
      <c r="AI5516">
        <v>93.851753857128699</v>
      </c>
      <c r="AJ5516">
        <v>92.596952253377395</v>
      </c>
      <c r="AK5516">
        <v>16.533776897543198</v>
      </c>
      <c r="AL5516">
        <v>80.528092931887301</v>
      </c>
      <c r="AM5516">
        <v>86.678822109246994</v>
      </c>
      <c r="AN5516">
        <v>1.0000000228091299</v>
      </c>
    </row>
    <row r="5517" spans="1:40" x14ac:dyDescent="0.25">
      <c r="A5517" t="str">
        <f>"20190312164137945"</f>
        <v>20190312164137945</v>
      </c>
      <c r="B5517" t="str">
        <f>"1552380097941555"</f>
        <v>1552380097941555</v>
      </c>
      <c r="C5517" t="s">
        <v>40</v>
      </c>
      <c r="D5517">
        <v>5.6208030000000004</v>
      </c>
      <c r="E5517">
        <v>0.46717219999999998</v>
      </c>
      <c r="F5517" t="s">
        <v>41</v>
      </c>
      <c r="G5517">
        <v>-340.7713</v>
      </c>
      <c r="H5517" s="1">
        <v>-4.2165150000000004E-6</v>
      </c>
      <c r="I5517">
        <v>18.065249999999999</v>
      </c>
      <c r="J5517">
        <v>-357.29349999999999</v>
      </c>
      <c r="K5517">
        <v>1.1106609999999999</v>
      </c>
      <c r="L5517">
        <v>17.33606</v>
      </c>
      <c r="M5517">
        <v>0.99993140000000003</v>
      </c>
      <c r="N5517">
        <v>0</v>
      </c>
      <c r="O5517">
        <v>-1.0667160000000001E-3</v>
      </c>
      <c r="P5517">
        <v>0.98652550000000006</v>
      </c>
      <c r="Q5517">
        <v>0.15269179999999999</v>
      </c>
      <c r="R5517">
        <v>-5.8761689999999998E-2</v>
      </c>
      <c r="S5517">
        <v>3.0809630000000001</v>
      </c>
      <c r="T5517">
        <v>-0.20480010000000001</v>
      </c>
      <c r="U5517">
        <v>0.134491</v>
      </c>
      <c r="V5517">
        <v>5.7429389999999997E-2</v>
      </c>
      <c r="W5517">
        <v>0.16429779999999999</v>
      </c>
      <c r="X5517">
        <v>0.98473759999999999</v>
      </c>
      <c r="Y5517">
        <v>-4.457593E-2</v>
      </c>
      <c r="Z5517">
        <v>1.550009E-3</v>
      </c>
      <c r="AA5517">
        <v>0.99900480000000003</v>
      </c>
      <c r="AB5517">
        <v>35</v>
      </c>
      <c r="AC5517">
        <v>16.522199999999899</v>
      </c>
      <c r="AD5517">
        <v>-1.1106652165149999</v>
      </c>
      <c r="AE5517">
        <v>0.72918999999999901</v>
      </c>
      <c r="AF5517">
        <v>-0.74346219565121396</v>
      </c>
      <c r="AG5517">
        <v>-1.1106652165149999</v>
      </c>
      <c r="AH5517">
        <v>16.447234152025501</v>
      </c>
      <c r="AI5517">
        <v>93.859332298504597</v>
      </c>
      <c r="AJ5517">
        <v>92.588171858268197</v>
      </c>
      <c r="AK5517">
        <v>16.5014491639702</v>
      </c>
      <c r="AL5517">
        <v>80.543555522131896</v>
      </c>
      <c r="AM5517">
        <v>86.662320199291997</v>
      </c>
      <c r="AN5517">
        <v>1.00000002138718</v>
      </c>
    </row>
    <row r="5518" spans="1:40" x14ac:dyDescent="0.25">
      <c r="A5518" t="str">
        <f>"20190312164137993"</f>
        <v>20190312164137993</v>
      </c>
      <c r="B5518" t="str">
        <f>"1552380097981571"</f>
        <v>1552380097981571</v>
      </c>
      <c r="C5518" t="s">
        <v>40</v>
      </c>
      <c r="D5518">
        <v>5.6090289999999996</v>
      </c>
      <c r="E5518">
        <v>0.46748020000000001</v>
      </c>
      <c r="F5518" t="s">
        <v>41</v>
      </c>
      <c r="G5518">
        <v>-340.59730000000002</v>
      </c>
      <c r="H5518" s="1">
        <v>-4.2915689999999999E-6</v>
      </c>
      <c r="I5518">
        <v>18.06288</v>
      </c>
      <c r="J5518">
        <v>-356.54109999999997</v>
      </c>
      <c r="K5518">
        <v>1.110676</v>
      </c>
      <c r="L5518">
        <v>17.337219999999999</v>
      </c>
      <c r="M5518">
        <v>0.99992979999999998</v>
      </c>
      <c r="N5518">
        <v>0</v>
      </c>
      <c r="O5518">
        <v>5.1619380000000002E-4</v>
      </c>
      <c r="P5518">
        <v>0.98665179999999997</v>
      </c>
      <c r="Q5518">
        <v>0.15226589999999901</v>
      </c>
      <c r="R5518">
        <v>-5.773934E-2</v>
      </c>
      <c r="S5518">
        <v>3.0806879999999999</v>
      </c>
      <c r="T5518">
        <v>-0.2049338</v>
      </c>
      <c r="U5518">
        <v>0.13412479999999999</v>
      </c>
      <c r="V5518">
        <v>5.7969640000000003E-2</v>
      </c>
      <c r="W5518">
        <v>0.1640498</v>
      </c>
      <c r="X5518">
        <v>0.98474720000000004</v>
      </c>
      <c r="Y5518">
        <v>-4.2886849999999997E-2</v>
      </c>
      <c r="Z5518">
        <v>1.389927E-3</v>
      </c>
      <c r="AA5518">
        <v>0.99907900000000005</v>
      </c>
      <c r="AB5518">
        <v>35</v>
      </c>
      <c r="AC5518">
        <v>15.9437999999999</v>
      </c>
      <c r="AD5518">
        <v>-1.1106802915689999</v>
      </c>
      <c r="AE5518">
        <v>0.72565999999999697</v>
      </c>
      <c r="AF5518">
        <v>-0.71397162038370898</v>
      </c>
      <c r="AG5518">
        <v>-1.1106802915689999</v>
      </c>
      <c r="AH5518">
        <v>15.8673303144874</v>
      </c>
      <c r="AI5518">
        <v>94.000020815526796</v>
      </c>
      <c r="AJ5518">
        <v>92.576361941234595</v>
      </c>
      <c r="AK5518">
        <v>15.9221712556373</v>
      </c>
      <c r="AL5518">
        <v>80.557959475851604</v>
      </c>
      <c r="AM5518">
        <v>86.631026718029602</v>
      </c>
      <c r="AN5518">
        <v>0.99999993197480197</v>
      </c>
    </row>
    <row r="5519" spans="1:40" x14ac:dyDescent="0.25">
      <c r="A5519" t="str">
        <f>"20190312164138011"</f>
        <v>20190312164138011</v>
      </c>
      <c r="B5519" t="str">
        <f>"1552380098002066"</f>
        <v>1552380098002066</v>
      </c>
      <c r="C5519" t="s">
        <v>40</v>
      </c>
      <c r="D5519">
        <v>5.6296099999999996</v>
      </c>
      <c r="E5519">
        <v>0.4677115</v>
      </c>
      <c r="F5519" t="s">
        <v>41</v>
      </c>
      <c r="G5519">
        <v>-339.56009999999998</v>
      </c>
      <c r="H5519" s="1">
        <v>-5.4491529999999998E-7</v>
      </c>
      <c r="I5519">
        <v>18.078579999999999</v>
      </c>
      <c r="J5519">
        <v>-356.2441</v>
      </c>
      <c r="K5519">
        <v>1.1106780000000001</v>
      </c>
      <c r="L5519">
        <v>17.337979999999899</v>
      </c>
      <c r="M5519">
        <v>0.99992840000000005</v>
      </c>
      <c r="N5519">
        <v>0</v>
      </c>
      <c r="O5519">
        <v>1.140676E-3</v>
      </c>
      <c r="P5519">
        <v>0.9867264</v>
      </c>
      <c r="Q5519">
        <v>0.1518293</v>
      </c>
      <c r="R5519">
        <v>-5.7610759999999997E-2</v>
      </c>
      <c r="S5519">
        <v>3.079529</v>
      </c>
      <c r="T5519">
        <v>-0.20142209999999999</v>
      </c>
      <c r="U5519">
        <v>0.13446040000000001</v>
      </c>
      <c r="V5519">
        <v>5.8458280000000001E-2</v>
      </c>
      <c r="W5519">
        <v>0.16367679999999901</v>
      </c>
      <c r="X5519">
        <v>0.9847804</v>
      </c>
      <c r="Y5519">
        <v>-4.2393430000000003E-2</v>
      </c>
      <c r="Z5519">
        <v>1.309775E-3</v>
      </c>
      <c r="AA5519">
        <v>0.99910010000000005</v>
      </c>
      <c r="AB5519">
        <v>35</v>
      </c>
      <c r="AC5519">
        <v>16.684000000000001</v>
      </c>
      <c r="AD5519">
        <v>-1.1106785449153</v>
      </c>
      <c r="AE5519">
        <v>0.74060000000000004</v>
      </c>
      <c r="AF5519">
        <v>-0.71838965867216897</v>
      </c>
      <c r="AG5519">
        <v>-1.1106785449153</v>
      </c>
      <c r="AH5519">
        <v>16.611361169256099</v>
      </c>
      <c r="AI5519">
        <v>93.821688732611094</v>
      </c>
      <c r="AJ5519">
        <v>92.476321053373397</v>
      </c>
      <c r="AK5519">
        <v>16.663943423670499</v>
      </c>
      <c r="AL5519">
        <v>80.579623815372301</v>
      </c>
      <c r="AM5519">
        <v>86.602809336648505</v>
      </c>
      <c r="AN5519">
        <v>0.99999995079147797</v>
      </c>
    </row>
    <row r="5520" spans="1:40" x14ac:dyDescent="0.25">
      <c r="A5520" t="str">
        <f>"20190312164138034"</f>
        <v>20190312164138034</v>
      </c>
      <c r="B5520" t="str">
        <f>"1552380098021586"</f>
        <v>1552380098021586</v>
      </c>
      <c r="C5520" t="s">
        <v>40</v>
      </c>
      <c r="D5520">
        <v>5.6115740000000001</v>
      </c>
      <c r="E5520">
        <v>0.4677135</v>
      </c>
      <c r="F5520" t="s">
        <v>41</v>
      </c>
      <c r="G5520">
        <v>-339.15140000000002</v>
      </c>
      <c r="H5520" s="1">
        <v>-6.8446199999999998E-7</v>
      </c>
      <c r="I5520">
        <v>18.076750000000001</v>
      </c>
      <c r="J5520">
        <v>-355.89229999999998</v>
      </c>
      <c r="K5520">
        <v>1.1106799999999999</v>
      </c>
      <c r="L5520">
        <v>17.339169999999999</v>
      </c>
      <c r="M5520">
        <v>0.99992650000000005</v>
      </c>
      <c r="N5520">
        <v>0</v>
      </c>
      <c r="O5520">
        <v>1.880633E-3</v>
      </c>
      <c r="P5520">
        <v>0.98681560000000001</v>
      </c>
      <c r="Q5520">
        <v>0.15129000000000001</v>
      </c>
      <c r="R5520">
        <v>-5.7503739999999998E-2</v>
      </c>
      <c r="S5520">
        <v>3.0788880000000001</v>
      </c>
      <c r="T5520">
        <v>-0.20006499999999999</v>
      </c>
      <c r="U5520">
        <v>0.13308719999999999</v>
      </c>
      <c r="V5520">
        <v>5.908277E-2</v>
      </c>
      <c r="W5520">
        <v>0.163206399999999</v>
      </c>
      <c r="X5520">
        <v>0.98482130000000001</v>
      </c>
      <c r="Y5520">
        <v>-4.1223509999999998E-2</v>
      </c>
      <c r="Z5520">
        <v>1.215287E-3</v>
      </c>
      <c r="AA5520">
        <v>0.99914919999999996</v>
      </c>
      <c r="AB5520">
        <v>35</v>
      </c>
      <c r="AC5520">
        <v>16.7408999999999</v>
      </c>
      <c r="AD5520">
        <v>-1.1106806844620001</v>
      </c>
      <c r="AE5520">
        <v>0.73757999999999702</v>
      </c>
      <c r="AF5520">
        <v>-0.70300452525767299</v>
      </c>
      <c r="AG5520">
        <v>-1.1106806844620001</v>
      </c>
      <c r="AH5520">
        <v>16.6690276333862</v>
      </c>
      <c r="AI5520">
        <v>93.808687545969903</v>
      </c>
      <c r="AJ5520">
        <v>92.414978093898199</v>
      </c>
      <c r="AK5520">
        <v>16.720774778339699</v>
      </c>
      <c r="AL5520">
        <v>80.606944033678403</v>
      </c>
      <c r="AM5520">
        <v>86.566746907541201</v>
      </c>
      <c r="AN5520">
        <v>1.00000004782276</v>
      </c>
    </row>
    <row r="5521" spans="1:40" x14ac:dyDescent="0.25">
      <c r="A5521" t="str">
        <f>"20190312164138045"</f>
        <v>20190312164138045</v>
      </c>
      <c r="B5521" t="str">
        <f>"1552380098042083"</f>
        <v>1552380098042083</v>
      </c>
      <c r="C5521" t="s">
        <v>40</v>
      </c>
      <c r="D5521">
        <v>5.690601</v>
      </c>
      <c r="E5521">
        <v>0.46763209999999999</v>
      </c>
      <c r="F5521" t="s">
        <v>41</v>
      </c>
      <c r="G5521">
        <v>-338.88600000000002</v>
      </c>
      <c r="H5521" s="1">
        <v>-7.7500629999999997E-7</v>
      </c>
      <c r="I5521">
        <v>18.075949999999999</v>
      </c>
      <c r="J5521">
        <v>-355.71480000000003</v>
      </c>
      <c r="K5521">
        <v>1.1106819999999999</v>
      </c>
      <c r="L5521">
        <v>17.339839999999999</v>
      </c>
      <c r="M5521">
        <v>0.99992539999999996</v>
      </c>
      <c r="N5521">
        <v>0</v>
      </c>
      <c r="O5521">
        <v>2.2541599999999998E-3</v>
      </c>
      <c r="P5521">
        <v>0.98683529999999997</v>
      </c>
      <c r="Q5521">
        <v>0.15112829999999999</v>
      </c>
      <c r="R5521">
        <v>-5.7588899999999998E-2</v>
      </c>
      <c r="S5521">
        <v>3.0786440000000002</v>
      </c>
      <c r="T5521">
        <v>-0.20106570000000001</v>
      </c>
      <c r="U5521">
        <v>0.13339229999999899</v>
      </c>
      <c r="V5521">
        <v>5.9537060000000003E-2</v>
      </c>
      <c r="W5521">
        <v>0.16307849999999999</v>
      </c>
      <c r="X5521">
        <v>0.98481510000000005</v>
      </c>
      <c r="Y5521">
        <v>-4.0953059999999999E-2</v>
      </c>
      <c r="Z5521">
        <v>1.188269E-3</v>
      </c>
      <c r="AA5521">
        <v>0.9991603</v>
      </c>
      <c r="AB5521">
        <v>35</v>
      </c>
      <c r="AC5521">
        <v>16.828800000000001</v>
      </c>
      <c r="AD5521">
        <v>-1.1106827750063</v>
      </c>
      <c r="AE5521">
        <v>0.73611000000000004</v>
      </c>
      <c r="AF5521">
        <v>-0.69514840213377305</v>
      </c>
      <c r="AG5521">
        <v>-1.1106827750063</v>
      </c>
      <c r="AH5521">
        <v>16.757562485181701</v>
      </c>
      <c r="AI5521">
        <v>93.788740157693297</v>
      </c>
      <c r="AJ5521">
        <v>92.375419877549803</v>
      </c>
      <c r="AK5521">
        <v>16.808710479166901</v>
      </c>
      <c r="AL5521">
        <v>80.614371411029296</v>
      </c>
      <c r="AM5521">
        <v>86.5403906206204</v>
      </c>
      <c r="AN5521">
        <v>1.0000000199318499</v>
      </c>
    </row>
    <row r="5522" spans="1:40" x14ac:dyDescent="0.25">
      <c r="A5522" t="str">
        <f>"20190312164138055"</f>
        <v>20190312164138055</v>
      </c>
      <c r="B5522" t="str">
        <f>"1552380098051842"</f>
        <v>1552380098051842</v>
      </c>
      <c r="C5522" t="s">
        <v>40</v>
      </c>
      <c r="D5522">
        <v>5.6424750000000001</v>
      </c>
      <c r="E5522">
        <v>0.46756429999999999</v>
      </c>
      <c r="F5522" t="s">
        <v>41</v>
      </c>
      <c r="G5522">
        <v>-338.9513</v>
      </c>
      <c r="H5522" s="1">
        <v>-7.5473429999999996E-7</v>
      </c>
      <c r="I5522">
        <v>18.068650000000002</v>
      </c>
      <c r="J5522">
        <v>-355.54230000000001</v>
      </c>
      <c r="K5522">
        <v>1.1106860000000001</v>
      </c>
      <c r="L5522">
        <v>17.34055</v>
      </c>
      <c r="M5522">
        <v>0.99992400000000004</v>
      </c>
      <c r="N5522">
        <v>0</v>
      </c>
      <c r="O5522">
        <v>2.617023E-3</v>
      </c>
      <c r="P5522">
        <v>0.98680559999999995</v>
      </c>
      <c r="Q5522">
        <v>0.15119549999999901</v>
      </c>
      <c r="R5522">
        <v>-5.7920100000000002E-2</v>
      </c>
      <c r="S5522">
        <v>3.0791019999999998</v>
      </c>
      <c r="T5522">
        <v>-0.2040091</v>
      </c>
      <c r="U5522">
        <v>0.13388059999999999</v>
      </c>
      <c r="V5522">
        <v>6.022653E-2</v>
      </c>
      <c r="W5522">
        <v>0.16317770000000001</v>
      </c>
      <c r="X5522">
        <v>0.98475670000000004</v>
      </c>
      <c r="Y5522">
        <v>-4.0741060000000003E-2</v>
      </c>
      <c r="Z5522">
        <v>1.1744259999999999E-3</v>
      </c>
      <c r="AA5522">
        <v>0.99916910000000003</v>
      </c>
      <c r="AB5522">
        <v>35</v>
      </c>
      <c r="AC5522">
        <v>16.591000000000001</v>
      </c>
      <c r="AD5522">
        <v>-1.1106867547343</v>
      </c>
      <c r="AE5522">
        <v>0.72810000000000097</v>
      </c>
      <c r="AF5522">
        <v>-0.68162638659347796</v>
      </c>
      <c r="AG5522">
        <v>-1.1106867547343</v>
      </c>
      <c r="AH5522">
        <v>16.518958862902799</v>
      </c>
      <c r="AI5522">
        <v>93.843351190583505</v>
      </c>
      <c r="AJ5522">
        <v>92.362871214536995</v>
      </c>
      <c r="AK5522">
        <v>16.570281877877601</v>
      </c>
      <c r="AL5522">
        <v>80.608610099212001</v>
      </c>
      <c r="AM5522">
        <v>86.500218530241398</v>
      </c>
      <c r="AN5522">
        <v>0.99999997744401004</v>
      </c>
    </row>
    <row r="5523" spans="1:40" x14ac:dyDescent="0.25">
      <c r="A5523" t="str">
        <f>"20190312164138068"</f>
        <v>20190312164138068</v>
      </c>
      <c r="B5523" t="str">
        <f>"1552380098061602"</f>
        <v>1552380098061602</v>
      </c>
      <c r="C5523" t="s">
        <v>40</v>
      </c>
      <c r="D5523">
        <v>5.6458050000000002</v>
      </c>
      <c r="E5523">
        <v>0.46753139999999999</v>
      </c>
      <c r="F5523" t="s">
        <v>41</v>
      </c>
      <c r="G5523">
        <v>-338.84769999999997</v>
      </c>
      <c r="H5523" s="1">
        <v>-7.9137109999999899E-7</v>
      </c>
      <c r="I5523">
        <v>18.063490000000002</v>
      </c>
      <c r="J5523">
        <v>-355.36009999999999</v>
      </c>
      <c r="K5523">
        <v>1.11069</v>
      </c>
      <c r="L5523">
        <v>17.341429999999999</v>
      </c>
      <c r="M5523">
        <v>0.99992259999999999</v>
      </c>
      <c r="N5523">
        <v>0</v>
      </c>
      <c r="O5523">
        <v>3.000146E-3</v>
      </c>
      <c r="P5523">
        <v>0.98679349999999999</v>
      </c>
      <c r="Q5523">
        <v>0.15122529999999901</v>
      </c>
      <c r="R5523">
        <v>-5.8050230000000001E-2</v>
      </c>
      <c r="S5523">
        <v>3.0793149999999998</v>
      </c>
      <c r="T5523">
        <v>-0.20486460000000001</v>
      </c>
      <c r="U5523">
        <v>0.1333618</v>
      </c>
      <c r="V5523">
        <v>6.0734799999999999E-2</v>
      </c>
      <c r="W5523">
        <v>0.16323979999999999</v>
      </c>
      <c r="X5523">
        <v>0.98471520000000001</v>
      </c>
      <c r="Y5523">
        <v>-4.0188559999999998E-2</v>
      </c>
      <c r="Z5523">
        <v>1.135463E-3</v>
      </c>
      <c r="AA5523">
        <v>0.99919150000000001</v>
      </c>
      <c r="AB5523">
        <v>35</v>
      </c>
      <c r="AC5523">
        <v>16.5124</v>
      </c>
      <c r="AD5523">
        <v>-1.1106907913710999</v>
      </c>
      <c r="AE5523">
        <v>0.72205999999999804</v>
      </c>
      <c r="AF5523">
        <v>-0.66949023239400796</v>
      </c>
      <c r="AG5523">
        <v>-1.1106907913710999</v>
      </c>
      <c r="AH5523">
        <v>16.4402509620787</v>
      </c>
      <c r="AI5523">
        <v>93.861794917441202</v>
      </c>
      <c r="AJ5523">
        <v>92.331946265938797</v>
      </c>
      <c r="AK5523">
        <v>16.4913220483209</v>
      </c>
      <c r="AL5523">
        <v>80.605003762182406</v>
      </c>
      <c r="AM5523">
        <v>86.470608790608793</v>
      </c>
      <c r="AN5523">
        <v>0.999999986673059</v>
      </c>
    </row>
    <row r="5524" spans="1:40" x14ac:dyDescent="0.25">
      <c r="A5524" t="str">
        <f>"20190312164138080"</f>
        <v>20190312164138080</v>
      </c>
      <c r="B5524" t="str">
        <f>"1552380098071363"</f>
        <v>1552380098071363</v>
      </c>
      <c r="C5524" t="s">
        <v>40</v>
      </c>
      <c r="D5524">
        <v>5.6914889999999998</v>
      </c>
      <c r="E5524">
        <v>0.46760249999999998</v>
      </c>
      <c r="F5524" t="s">
        <v>41</v>
      </c>
      <c r="G5524">
        <v>-338.74759999999998</v>
      </c>
      <c r="H5524" s="1">
        <v>-8.2641039999999997E-7</v>
      </c>
      <c r="I5524">
        <v>18.05979</v>
      </c>
      <c r="J5524">
        <v>-355.16370000000001</v>
      </c>
      <c r="K5524">
        <v>1.110695</v>
      </c>
      <c r="L5524">
        <v>17.342410000000001</v>
      </c>
      <c r="M5524">
        <v>0.99992080000000005</v>
      </c>
      <c r="N5524">
        <v>0</v>
      </c>
      <c r="O5524">
        <v>3.4126360000000001E-3</v>
      </c>
      <c r="P5524">
        <v>0.98676249999999999</v>
      </c>
      <c r="Q5524">
        <v>0.15140020000000001</v>
      </c>
      <c r="R5524">
        <v>-5.8120619999999998E-2</v>
      </c>
      <c r="S5524">
        <v>3.0794980000000001</v>
      </c>
      <c r="T5524">
        <v>-0.20589099999999999</v>
      </c>
      <c r="U5524">
        <v>0.13317870000000001</v>
      </c>
      <c r="V5524">
        <v>6.1212089999999997E-2</v>
      </c>
      <c r="W5524">
        <v>0.16344919999999999</v>
      </c>
      <c r="X5524">
        <v>0.9846509</v>
      </c>
      <c r="Y5524">
        <v>-3.971566E-2</v>
      </c>
      <c r="Z5524">
        <v>1.097754E-3</v>
      </c>
      <c r="AA5524">
        <v>0.99921040000000005</v>
      </c>
      <c r="AB5524">
        <v>35</v>
      </c>
      <c r="AC5524">
        <v>16.4161</v>
      </c>
      <c r="AD5524">
        <v>-1.1106958264104001</v>
      </c>
      <c r="AE5524">
        <v>0.71737999999999802</v>
      </c>
      <c r="AF5524">
        <v>-0.65834157056778497</v>
      </c>
      <c r="AG5524">
        <v>-1.1106958264104001</v>
      </c>
      <c r="AH5524">
        <v>16.343777910335898</v>
      </c>
      <c r="AI5524">
        <v>93.884607231948195</v>
      </c>
      <c r="AJ5524">
        <v>92.306676740841695</v>
      </c>
      <c r="AK5524">
        <v>16.394698387732799</v>
      </c>
      <c r="AL5524">
        <v>80.592842608334706</v>
      </c>
      <c r="AM5524">
        <v>86.442711993987999</v>
      </c>
      <c r="AN5524">
        <v>0.99999997790680795</v>
      </c>
    </row>
    <row r="5525" spans="1:40" x14ac:dyDescent="0.25">
      <c r="A5525" t="str">
        <f>"20190312164138101"</f>
        <v>20190312164138101</v>
      </c>
      <c r="B5525" t="str">
        <f>"1552380098091858"</f>
        <v>1552380098091858</v>
      </c>
      <c r="C5525" t="s">
        <v>40</v>
      </c>
      <c r="D5525">
        <v>5.6064400000000001</v>
      </c>
      <c r="E5525">
        <v>0.46752100000000002</v>
      </c>
      <c r="F5525" t="s">
        <v>41</v>
      </c>
      <c r="G5525">
        <v>-338.68770000000001</v>
      </c>
      <c r="H5525" s="1">
        <v>-8.4898659999999898E-7</v>
      </c>
      <c r="I5525">
        <v>18.051490000000001</v>
      </c>
      <c r="J5525">
        <v>-354.83030000000002</v>
      </c>
      <c r="K5525">
        <v>1.1107049999999901</v>
      </c>
      <c r="L5525">
        <v>17.344239999999999</v>
      </c>
      <c r="M5525">
        <v>0.99991739999999996</v>
      </c>
      <c r="N5525">
        <v>0</v>
      </c>
      <c r="O5525">
        <v>4.1087149999999998E-3</v>
      </c>
      <c r="P5525">
        <v>0.98666129999999996</v>
      </c>
      <c r="Q5525">
        <v>0.1518922</v>
      </c>
      <c r="R5525">
        <v>-5.8551869999999999E-2</v>
      </c>
      <c r="S5525">
        <v>3.0799560000000001</v>
      </c>
      <c r="T5525">
        <v>-0.20762900000000001</v>
      </c>
      <c r="U5525">
        <v>0.1325684</v>
      </c>
      <c r="V5525">
        <v>6.2329929999999999E-2</v>
      </c>
      <c r="W5525">
        <v>0.1640047</v>
      </c>
      <c r="X5525">
        <v>0.98448840000000004</v>
      </c>
      <c r="Y5525">
        <v>-3.8818270000000002E-2</v>
      </c>
      <c r="Z5525">
        <v>1.0297889999999999E-3</v>
      </c>
      <c r="AA5525">
        <v>0.99924579999999996</v>
      </c>
      <c r="AB5525">
        <v>35</v>
      </c>
      <c r="AC5525">
        <v>16.142600000000002</v>
      </c>
      <c r="AD5525">
        <v>-1.11070584898659</v>
      </c>
      <c r="AE5525">
        <v>0.70725000000000104</v>
      </c>
      <c r="AF5525">
        <v>-0.63789957772976902</v>
      </c>
      <c r="AG5525">
        <v>-1.11070584898659</v>
      </c>
      <c r="AH5525">
        <v>16.0694388469154</v>
      </c>
      <c r="AI5525">
        <v>93.950844809090597</v>
      </c>
      <c r="AJ5525">
        <v>92.273245132940204</v>
      </c>
      <c r="AK5525">
        <v>16.120404716042099</v>
      </c>
      <c r="AL5525">
        <v>80.560579507352799</v>
      </c>
      <c r="AM5525">
        <v>86.377324808398399</v>
      </c>
      <c r="AN5525">
        <v>0.99999998576522697</v>
      </c>
    </row>
    <row r="5526" spans="1:40" x14ac:dyDescent="0.25">
      <c r="A5526" t="str">
        <f>"20190312164138113"</f>
        <v>20190312164138113</v>
      </c>
      <c r="B5526" t="str">
        <f>"1552380098101619"</f>
        <v>1552380098101619</v>
      </c>
      <c r="C5526" t="s">
        <v>40</v>
      </c>
      <c r="D5526">
        <v>5.7881229999999997</v>
      </c>
      <c r="E5526">
        <v>0.46751759999999898</v>
      </c>
      <c r="F5526" t="s">
        <v>41</v>
      </c>
      <c r="G5526">
        <v>-338.26240000000001</v>
      </c>
      <c r="H5526" s="1">
        <v>-1.0048619999999999E-6</v>
      </c>
      <c r="I5526">
        <v>18.053940000000001</v>
      </c>
      <c r="J5526">
        <v>-354.64510000000001</v>
      </c>
      <c r="K5526">
        <v>1.1107070000000001</v>
      </c>
      <c r="L5526">
        <v>17.345369999999999</v>
      </c>
      <c r="M5526">
        <v>0.9999152</v>
      </c>
      <c r="N5526">
        <v>0</v>
      </c>
      <c r="O5526">
        <v>4.4928579999999997E-3</v>
      </c>
      <c r="P5526">
        <v>0.98656540000000004</v>
      </c>
      <c r="Q5526">
        <v>0.1523592</v>
      </c>
      <c r="R5526">
        <v>-5.8952070000000002E-2</v>
      </c>
      <c r="S5526">
        <v>3.0801699999999999</v>
      </c>
      <c r="T5526">
        <v>-0.2064935</v>
      </c>
      <c r="U5526">
        <v>0.13195799999999999</v>
      </c>
      <c r="V5526">
        <v>6.3108719999999993E-2</v>
      </c>
      <c r="W5526">
        <v>0.16450890000000001</v>
      </c>
      <c r="X5526">
        <v>0.98435470000000003</v>
      </c>
      <c r="Y5526">
        <v>-3.823679E-2</v>
      </c>
      <c r="Z5526">
        <v>9.789299E-4</v>
      </c>
      <c r="AA5526">
        <v>0.99926820000000005</v>
      </c>
      <c r="AB5526">
        <v>35</v>
      </c>
      <c r="AC5526">
        <v>16.3827</v>
      </c>
      <c r="AD5526">
        <v>-1.1107080048619999</v>
      </c>
      <c r="AE5526">
        <v>0.70856999999999803</v>
      </c>
      <c r="AF5526">
        <v>-0.63205238861826196</v>
      </c>
      <c r="AG5526">
        <v>-1.1107080048619999</v>
      </c>
      <c r="AH5526">
        <v>16.310885098982801</v>
      </c>
      <c r="AI5526">
        <v>93.892693820861297</v>
      </c>
      <c r="AJ5526">
        <v>92.219120804505707</v>
      </c>
      <c r="AK5526">
        <v>16.360872079636898</v>
      </c>
      <c r="AL5526">
        <v>80.531293638938493</v>
      </c>
      <c r="AM5526">
        <v>86.331686767412194</v>
      </c>
      <c r="AN5526">
        <v>1.0000000320656599</v>
      </c>
    </row>
    <row r="5527" spans="1:40" x14ac:dyDescent="0.25">
      <c r="A5527" t="str">
        <f>"20190312164138124"</f>
        <v>20190312164138124</v>
      </c>
      <c r="B5527" t="str">
        <f>"1552380098112353"</f>
        <v>1552380098112353</v>
      </c>
      <c r="C5527" t="s">
        <v>40</v>
      </c>
      <c r="D5527">
        <v>5.8016269999999999</v>
      </c>
      <c r="E5527">
        <v>0.46771590000000002</v>
      </c>
      <c r="F5527" t="s">
        <v>41</v>
      </c>
      <c r="G5527">
        <v>-337.97489999999999</v>
      </c>
      <c r="H5527" s="1">
        <v>-1.1286789999999999E-6</v>
      </c>
      <c r="I5527">
        <v>18.051159999999999</v>
      </c>
      <c r="J5527">
        <v>-354.47739999999999</v>
      </c>
      <c r="K5527">
        <v>1.1107119999999999</v>
      </c>
      <c r="L5527">
        <v>17.34647</v>
      </c>
      <c r="M5527">
        <v>0.9999131</v>
      </c>
      <c r="N5527">
        <v>0</v>
      </c>
      <c r="O5527">
        <v>4.8385570000000003E-3</v>
      </c>
      <c r="P5527">
        <v>0.98654640000000005</v>
      </c>
      <c r="Q5527">
        <v>0.15235960000000001</v>
      </c>
      <c r="R5527">
        <v>-5.9268969999999997E-2</v>
      </c>
      <c r="S5527">
        <v>3.0803530000000001</v>
      </c>
      <c r="T5527">
        <v>-0.20523939999999999</v>
      </c>
      <c r="U5527">
        <v>0.1304321</v>
      </c>
      <c r="V5527">
        <v>6.3767400000000002E-2</v>
      </c>
      <c r="W5527">
        <v>0.164547</v>
      </c>
      <c r="X5527">
        <v>0.98430589999999996</v>
      </c>
      <c r="Y5527">
        <v>-3.7398199999999999E-2</v>
      </c>
      <c r="Z5527">
        <v>9.2205800000000001E-4</v>
      </c>
      <c r="AA5527">
        <v>0.99929999999999997</v>
      </c>
      <c r="AB5527">
        <v>35</v>
      </c>
      <c r="AC5527">
        <v>16.502499999999898</v>
      </c>
      <c r="AD5527">
        <v>-1.110713128679</v>
      </c>
      <c r="AE5527">
        <v>0.70468999999999904</v>
      </c>
      <c r="AF5527">
        <v>-0.62201482020326904</v>
      </c>
      <c r="AG5527">
        <v>-1.110713128679</v>
      </c>
      <c r="AH5527">
        <v>16.431416848507801</v>
      </c>
      <c r="AI5527">
        <v>93.864375677847093</v>
      </c>
      <c r="AJ5527">
        <v>92.167908906388107</v>
      </c>
      <c r="AK5527">
        <v>16.480656714469799</v>
      </c>
      <c r="AL5527">
        <v>80.5290806877926</v>
      </c>
      <c r="AM5527">
        <v>86.293322682170299</v>
      </c>
      <c r="AN5527">
        <v>1.00000005064328</v>
      </c>
    </row>
    <row r="5528" spans="1:40" x14ac:dyDescent="0.25">
      <c r="A5528" t="str">
        <f>"20190312164138136"</f>
        <v>20190312164138136</v>
      </c>
      <c r="B5528" t="str">
        <f>"1552380098131874"</f>
        <v>1552380098131874</v>
      </c>
      <c r="C5528" t="s">
        <v>40</v>
      </c>
      <c r="D5528">
        <v>5.7512589999999904</v>
      </c>
      <c r="E5528">
        <v>0.50329089999999999</v>
      </c>
      <c r="F5528" t="s">
        <v>41</v>
      </c>
      <c r="G5528">
        <v>-337.82420000000002</v>
      </c>
      <c r="H5528" s="1">
        <v>-1.195606E-6</v>
      </c>
      <c r="I5528">
        <v>18.038340000000002</v>
      </c>
      <c r="J5528">
        <v>-354.28359999999998</v>
      </c>
      <c r="K5528">
        <v>1.110719</v>
      </c>
      <c r="L5528">
        <v>17.34778</v>
      </c>
      <c r="M5528">
        <v>0.99991059999999998</v>
      </c>
      <c r="N5528">
        <v>0</v>
      </c>
      <c r="O5528">
        <v>5.2356360000000001E-3</v>
      </c>
      <c r="P5528">
        <v>0.98648029999999998</v>
      </c>
      <c r="Q5528">
        <v>0.15255579999999999</v>
      </c>
      <c r="R5528">
        <v>-5.9864340000000002E-2</v>
      </c>
      <c r="S5528">
        <v>3.0803530000000001</v>
      </c>
      <c r="T5528">
        <v>-0.2054502</v>
      </c>
      <c r="U5528">
        <v>0.12799070000000001</v>
      </c>
      <c r="V5528">
        <v>6.4754969999999995E-2</v>
      </c>
      <c r="W5528">
        <v>0.16478880000000001</v>
      </c>
      <c r="X5528">
        <v>0.98420090000000005</v>
      </c>
      <c r="Y5528">
        <v>-3.6214059999999999E-2</v>
      </c>
      <c r="Z5528">
        <v>8.5714609999999996E-4</v>
      </c>
      <c r="AA5528">
        <v>0.99934369999999995</v>
      </c>
      <c r="AB5528">
        <v>35</v>
      </c>
      <c r="AC5528">
        <v>16.459399999999899</v>
      </c>
      <c r="AD5528">
        <v>-1.110720195606</v>
      </c>
      <c r="AE5528">
        <v>0.69055999999999695</v>
      </c>
      <c r="AF5528">
        <v>-0.60163363156970695</v>
      </c>
      <c r="AG5528">
        <v>-1.110720195606</v>
      </c>
      <c r="AH5528">
        <v>16.388291035708601</v>
      </c>
      <c r="AI5528">
        <v>93.874702964349197</v>
      </c>
      <c r="AJ5528">
        <v>92.102451967341693</v>
      </c>
      <c r="AK5528">
        <v>16.4369019419917</v>
      </c>
      <c r="AL5528">
        <v>80.515034183874903</v>
      </c>
      <c r="AM5528">
        <v>86.2356804830101</v>
      </c>
      <c r="AN5528">
        <v>0.999999983152975</v>
      </c>
    </row>
    <row r="5529" spans="1:40" x14ac:dyDescent="0.25">
      <c r="A5529" t="str">
        <f>"20190312164138149"</f>
        <v>20190312164138149</v>
      </c>
      <c r="B5529" t="str">
        <f>"1552380098141635"</f>
        <v>1552380098141635</v>
      </c>
      <c r="C5529" t="s">
        <v>40</v>
      </c>
      <c r="D5529">
        <v>5.7154360000000004</v>
      </c>
      <c r="E5529">
        <v>0.50714890000000001</v>
      </c>
      <c r="F5529" t="s">
        <v>41</v>
      </c>
      <c r="G5529">
        <v>-329.8143</v>
      </c>
      <c r="H5529" s="1">
        <v>-1.0058960000000001E-6</v>
      </c>
      <c r="I5529">
        <v>16.044429999999998</v>
      </c>
      <c r="J5529">
        <v>-354.09210000000002</v>
      </c>
      <c r="K5529">
        <v>1.1107290000000001</v>
      </c>
      <c r="L5529">
        <v>17.349150000000002</v>
      </c>
      <c r="M5529">
        <v>0.99990780000000001</v>
      </c>
      <c r="N5529">
        <v>0</v>
      </c>
      <c r="O5529">
        <v>5.6222329999999999E-3</v>
      </c>
      <c r="P5529">
        <v>0.98644189999999998</v>
      </c>
      <c r="Q5529">
        <v>0.1526565</v>
      </c>
      <c r="R5529">
        <v>-6.0237739999999998E-2</v>
      </c>
      <c r="S5529">
        <v>3.0526430000000002</v>
      </c>
      <c r="T5529">
        <v>-0.13856689999999999</v>
      </c>
      <c r="U5529">
        <v>-0.16259770000000001</v>
      </c>
      <c r="V5529">
        <v>6.5511310000000003E-2</v>
      </c>
      <c r="W5529">
        <v>0.1649496</v>
      </c>
      <c r="X5529">
        <v>0.98412390000000005</v>
      </c>
      <c r="Y5529">
        <v>5.873693E-2</v>
      </c>
      <c r="Z5529">
        <v>-1.5864010000000001E-3</v>
      </c>
      <c r="AA5529">
        <v>0.99827220000000005</v>
      </c>
      <c r="AB5529">
        <v>35</v>
      </c>
      <c r="AC5529">
        <v>24.277799999999999</v>
      </c>
      <c r="AD5529">
        <v>-1.1107300058959999</v>
      </c>
      <c r="AE5529">
        <v>-1.3047200000000001</v>
      </c>
      <c r="AF5529">
        <v>1.43820355981645</v>
      </c>
      <c r="AG5529">
        <v>-1.1107300058959999</v>
      </c>
      <c r="AH5529">
        <v>24.219531346639101</v>
      </c>
      <c r="AI5529">
        <v>92.621186435934504</v>
      </c>
      <c r="AJ5529">
        <v>86.601654247762994</v>
      </c>
      <c r="AK5529">
        <v>24.2876069071513</v>
      </c>
      <c r="AL5529">
        <v>80.505693130467094</v>
      </c>
      <c r="AM5529">
        <v>86.191544664525495</v>
      </c>
      <c r="AN5529">
        <v>0.999999976414642</v>
      </c>
    </row>
    <row r="5530" spans="1:40" x14ac:dyDescent="0.25">
      <c r="A5530" t="str">
        <f>"20190312164138163"</f>
        <v>20190312164138163</v>
      </c>
      <c r="B5530" t="str">
        <f>"1552380098151395"</f>
        <v>1552380098151395</v>
      </c>
      <c r="C5530" t="s">
        <v>40</v>
      </c>
      <c r="D5530">
        <v>5.774877</v>
      </c>
      <c r="E5530">
        <v>0.51024199999999997</v>
      </c>
      <c r="F5530" t="s">
        <v>41</v>
      </c>
      <c r="G5530">
        <v>-331.78219999999999</v>
      </c>
      <c r="H5530" s="1">
        <v>-4.1604799999999997E-6</v>
      </c>
      <c r="I5530">
        <v>15.936299999999999</v>
      </c>
      <c r="J5530">
        <v>-353.86149999999998</v>
      </c>
      <c r="K5530">
        <v>1.1107419999999999</v>
      </c>
      <c r="L5530">
        <v>17.350919999999999</v>
      </c>
      <c r="M5530">
        <v>0.99990389999999996</v>
      </c>
      <c r="N5530">
        <v>0</v>
      </c>
      <c r="O5530">
        <v>6.0838619999999998E-3</v>
      </c>
      <c r="P5530">
        <v>0.98642799999999997</v>
      </c>
      <c r="Q5530">
        <v>0.1525764</v>
      </c>
      <c r="R5530">
        <v>-6.0665549999999999E-2</v>
      </c>
      <c r="S5530">
        <v>3.0529790000000001</v>
      </c>
      <c r="T5530">
        <v>-0.1519973</v>
      </c>
      <c r="U5530">
        <v>-0.1933289</v>
      </c>
      <c r="V5530">
        <v>6.6397590000000006E-2</v>
      </c>
      <c r="W5530">
        <v>0.16495670000000001</v>
      </c>
      <c r="X5530">
        <v>0.98406329999999997</v>
      </c>
      <c r="Y5530">
        <v>6.9176230000000005E-2</v>
      </c>
      <c r="Z5530">
        <v>-2.0216800000000001E-3</v>
      </c>
      <c r="AA5530">
        <v>0.9976024</v>
      </c>
      <c r="AB5530">
        <v>35</v>
      </c>
      <c r="AC5530">
        <v>22.0792999999999</v>
      </c>
      <c r="AD5530">
        <v>-1.11074616048</v>
      </c>
      <c r="AE5530">
        <v>-1.41462</v>
      </c>
      <c r="AF5530">
        <v>1.54503744737547</v>
      </c>
      <c r="AG5530">
        <v>-1.11074616048</v>
      </c>
      <c r="AH5530">
        <v>22.014796867345201</v>
      </c>
      <c r="AI5530">
        <v>92.881306955350993</v>
      </c>
      <c r="AJ5530">
        <v>85.985463223838707</v>
      </c>
      <c r="AK5530">
        <v>22.0968816545975</v>
      </c>
      <c r="AL5530">
        <v>80.5052805769934</v>
      </c>
      <c r="AM5530">
        <v>86.139939114507499</v>
      </c>
      <c r="AN5530">
        <v>0.99999996561979299</v>
      </c>
    </row>
    <row r="5531" spans="1:40" x14ac:dyDescent="0.25">
      <c r="A5531" t="str">
        <f>"20190312164138182"</f>
        <v>20190312164138182</v>
      </c>
      <c r="B5531" t="str">
        <f>"1552380098171891"</f>
        <v>1552380098171891</v>
      </c>
      <c r="C5531" t="s">
        <v>40</v>
      </c>
      <c r="D5531">
        <v>5.6913650000000002</v>
      </c>
      <c r="E5531">
        <v>0.51079799999999997</v>
      </c>
      <c r="F5531" t="s">
        <v>41</v>
      </c>
      <c r="G5531">
        <v>-332.01589999999999</v>
      </c>
      <c r="H5531" s="1">
        <v>-4.0876179999999997E-6</v>
      </c>
      <c r="I5531">
        <v>15.78192</v>
      </c>
      <c r="J5531">
        <v>-353.55619999999999</v>
      </c>
      <c r="K5531">
        <v>1.1107689999999999</v>
      </c>
      <c r="L5531">
        <v>17.353359999999999</v>
      </c>
      <c r="M5531">
        <v>0.99989819999999996</v>
      </c>
      <c r="N5531">
        <v>0</v>
      </c>
      <c r="O5531">
        <v>6.6879799999999996E-3</v>
      </c>
      <c r="P5531">
        <v>0.98632790000000004</v>
      </c>
      <c r="Q5531">
        <v>0.152698</v>
      </c>
      <c r="R5531">
        <v>-6.197242E-2</v>
      </c>
      <c r="S5531">
        <v>3.0518190000000001</v>
      </c>
      <c r="T5531">
        <v>-0.15517010000000001</v>
      </c>
      <c r="U5531">
        <v>-0.21917719999999999</v>
      </c>
      <c r="V5531">
        <v>6.8304550000000006E-2</v>
      </c>
      <c r="W5531">
        <v>0.1652285</v>
      </c>
      <c r="X5531">
        <v>0.98388719999999996</v>
      </c>
      <c r="Y5531">
        <v>7.8194689999999997E-2</v>
      </c>
      <c r="Z5531">
        <v>-2.3235159999999999E-3</v>
      </c>
      <c r="AA5531">
        <v>0.99693540000000003</v>
      </c>
      <c r="AB5531">
        <v>35</v>
      </c>
      <c r="AC5531">
        <v>21.540299999999998</v>
      </c>
      <c r="AD5531">
        <v>-1.110773087618</v>
      </c>
      <c r="AE5531">
        <v>-1.5714399999999999</v>
      </c>
      <c r="AF5531">
        <v>1.7109517525621201</v>
      </c>
      <c r="AG5531">
        <v>-1.110773087618</v>
      </c>
      <c r="AH5531">
        <v>21.47251066938</v>
      </c>
      <c r="AI5531">
        <v>92.951931852319007</v>
      </c>
      <c r="AJ5531">
        <v>85.4442386522893</v>
      </c>
      <c r="AK5531">
        <v>21.5691883759776</v>
      </c>
      <c r="AL5531">
        <v>80.489491206183601</v>
      </c>
      <c r="AM5531">
        <v>86.028718210030405</v>
      </c>
      <c r="AN5531">
        <v>0.99999999554339603</v>
      </c>
    </row>
    <row r="5532" spans="1:40" x14ac:dyDescent="0.25">
      <c r="A5532" t="str">
        <f>"20190312164138204"</f>
        <v>20190312164138204</v>
      </c>
      <c r="B5532" t="str">
        <f>"1552380098191410"</f>
        <v>1552380098191410</v>
      </c>
      <c r="C5532" t="s">
        <v>40</v>
      </c>
      <c r="D5532">
        <v>5.7151620000000003</v>
      </c>
      <c r="E5532">
        <v>0.51174189999999997</v>
      </c>
      <c r="F5532" t="s">
        <v>41</v>
      </c>
      <c r="G5532">
        <v>-330.77159999999998</v>
      </c>
      <c r="H5532" s="1">
        <v>-4.6451800000000003E-6</v>
      </c>
      <c r="I5532">
        <v>15.647930000000001</v>
      </c>
      <c r="J5532">
        <v>-353.22489999999999</v>
      </c>
      <c r="K5532">
        <v>1.1108</v>
      </c>
      <c r="L5532">
        <v>17.35623</v>
      </c>
      <c r="M5532">
        <v>0.99989130000000004</v>
      </c>
      <c r="N5532">
        <v>0</v>
      </c>
      <c r="O5532">
        <v>7.3372480000000002E-3</v>
      </c>
      <c r="P5532">
        <v>0.98619179999999995</v>
      </c>
      <c r="Q5532">
        <v>0.15304899999999999</v>
      </c>
      <c r="R5532">
        <v>-6.3260559999999993E-2</v>
      </c>
      <c r="S5532">
        <v>3.050262</v>
      </c>
      <c r="T5532">
        <v>-0.14870369999999999</v>
      </c>
      <c r="U5532">
        <v>-0.228302</v>
      </c>
      <c r="V5532">
        <v>7.0237499999999994E-2</v>
      </c>
      <c r="W5532">
        <v>0.1657641</v>
      </c>
      <c r="X5532">
        <v>0.98366100000000001</v>
      </c>
      <c r="Y5532">
        <v>8.1847929999999999E-2</v>
      </c>
      <c r="Z5532">
        <v>-2.3481650000000001E-3</v>
      </c>
      <c r="AA5532">
        <v>0.99664209999999998</v>
      </c>
      <c r="AB5532">
        <v>35</v>
      </c>
      <c r="AC5532">
        <v>22.453299999999999</v>
      </c>
      <c r="AD5532">
        <v>-1.11080464518</v>
      </c>
      <c r="AE5532">
        <v>-1.7082999999999999</v>
      </c>
      <c r="AF5532">
        <v>1.86846624129959</v>
      </c>
      <c r="AG5532">
        <v>-1.11080464518</v>
      </c>
      <c r="AH5532">
        <v>22.385687573623901</v>
      </c>
      <c r="AI5532">
        <v>92.830927255656704</v>
      </c>
      <c r="AJ5532">
        <v>85.228752531235699</v>
      </c>
      <c r="AK5532">
        <v>22.4909773286651</v>
      </c>
      <c r="AL5532">
        <v>80.458374572190706</v>
      </c>
      <c r="AM5532">
        <v>85.915774065940298</v>
      </c>
      <c r="AN5532">
        <v>1.0000000030880301</v>
      </c>
    </row>
    <row r="5533" spans="1:40" x14ac:dyDescent="0.25">
      <c r="A5533" t="str">
        <f>"20190312164138224"</f>
        <v>20190312164138224</v>
      </c>
      <c r="B5533" t="str">
        <f>"1552380098221667"</f>
        <v>1552380098221667</v>
      </c>
      <c r="C5533" t="s">
        <v>40</v>
      </c>
      <c r="D5533">
        <v>5.6679979999999999</v>
      </c>
      <c r="E5533">
        <v>0.51184510000000005</v>
      </c>
      <c r="F5533" t="s">
        <v>41</v>
      </c>
      <c r="G5533">
        <v>-331.1071</v>
      </c>
      <c r="H5533" s="1">
        <v>-4.5064559999999996E-6</v>
      </c>
      <c r="I5533">
        <v>15.618499999999999</v>
      </c>
      <c r="J5533">
        <v>-352.9</v>
      </c>
      <c r="K5533">
        <v>1.11083</v>
      </c>
      <c r="L5533">
        <v>17.359249999999999</v>
      </c>
      <c r="M5533">
        <v>0.99988390000000005</v>
      </c>
      <c r="N5533">
        <v>0</v>
      </c>
      <c r="O5533">
        <v>7.9650889999999998E-3</v>
      </c>
      <c r="P5533">
        <v>0.98605220000000005</v>
      </c>
      <c r="Q5533">
        <v>0.15348999999999999</v>
      </c>
      <c r="R5533">
        <v>-6.4357940000000002E-2</v>
      </c>
      <c r="S5533">
        <v>3.050446</v>
      </c>
      <c r="T5533">
        <v>-0.15320029999999901</v>
      </c>
      <c r="U5533">
        <v>-0.23965449999999999</v>
      </c>
      <c r="V5533">
        <v>7.1957380000000001E-2</v>
      </c>
      <c r="W5533">
        <v>0.16638720000000001</v>
      </c>
      <c r="X5533">
        <v>0.98343150000000001</v>
      </c>
      <c r="Y5533">
        <v>8.6143339999999999E-2</v>
      </c>
      <c r="Z5533">
        <v>-2.5576959999999999E-3</v>
      </c>
      <c r="AA5533">
        <v>0.99627949999999998</v>
      </c>
      <c r="AB5533">
        <v>35</v>
      </c>
      <c r="AC5533">
        <v>21.7928999999999</v>
      </c>
      <c r="AD5533">
        <v>-1.1108345064559999</v>
      </c>
      <c r="AE5533">
        <v>-1.74075</v>
      </c>
      <c r="AF5533">
        <v>1.9093623967940201</v>
      </c>
      <c r="AG5533">
        <v>-1.1108345064559999</v>
      </c>
      <c r="AH5533">
        <v>21.7222617129257</v>
      </c>
      <c r="AI5533">
        <v>92.916220942144605</v>
      </c>
      <c r="AJ5533">
        <v>84.976675902526793</v>
      </c>
      <c r="AK5533">
        <v>21.834291194995501</v>
      </c>
      <c r="AL5533">
        <v>80.422171167470594</v>
      </c>
      <c r="AM5533">
        <v>85.815143126057805</v>
      </c>
      <c r="AN5533">
        <v>1.0000000400262701</v>
      </c>
    </row>
    <row r="5534" spans="1:40" x14ac:dyDescent="0.25">
      <c r="A5534" t="str">
        <f>"20190312164138238"</f>
        <v>20190312164138238</v>
      </c>
      <c r="B5534" t="str">
        <f>"1552380098231427"</f>
        <v>1552380098231427</v>
      </c>
      <c r="C5534" t="s">
        <v>40</v>
      </c>
      <c r="D5534">
        <v>5.7067399999999999</v>
      </c>
      <c r="E5534">
        <v>0.51252790000000004</v>
      </c>
      <c r="F5534" t="s">
        <v>41</v>
      </c>
      <c r="G5534">
        <v>-329.06330000000003</v>
      </c>
      <c r="H5534" s="1">
        <v>-1.4526869999999999E-6</v>
      </c>
      <c r="I5534">
        <v>15.449149999999999</v>
      </c>
      <c r="J5534">
        <v>-352.68380000000002</v>
      </c>
      <c r="K5534">
        <v>1.1108480000000001</v>
      </c>
      <c r="L5534">
        <v>17.361329999999999</v>
      </c>
      <c r="M5534">
        <v>0.99987890000000001</v>
      </c>
      <c r="N5534">
        <v>0</v>
      </c>
      <c r="O5534">
        <v>8.3778069999999993E-3</v>
      </c>
      <c r="P5534">
        <v>0.98601970000000005</v>
      </c>
      <c r="Q5534">
        <v>0.15341759999999999</v>
      </c>
      <c r="R5534">
        <v>-6.5024310000000002E-2</v>
      </c>
      <c r="S5534">
        <v>3.0486149999999999</v>
      </c>
      <c r="T5534">
        <v>-0.14207069999999999</v>
      </c>
      <c r="U5534">
        <v>-0.24429319999999999</v>
      </c>
      <c r="V5534">
        <v>7.3033029999999999E-2</v>
      </c>
      <c r="W5534">
        <v>0.16643229999999901</v>
      </c>
      <c r="X5534">
        <v>0.98334460000000001</v>
      </c>
      <c r="Y5534">
        <v>8.8121350000000001E-2</v>
      </c>
      <c r="Z5534">
        <v>-2.438558E-3</v>
      </c>
      <c r="AA5534">
        <v>0.99610670000000001</v>
      </c>
      <c r="AB5534">
        <v>35</v>
      </c>
      <c r="AC5534">
        <v>23.6205</v>
      </c>
      <c r="AD5534">
        <v>-1.1108494526870001</v>
      </c>
      <c r="AE5534">
        <v>-1.91217999999999</v>
      </c>
      <c r="AF5534">
        <v>2.10539165137777</v>
      </c>
      <c r="AG5534">
        <v>-1.1108494526870001</v>
      </c>
      <c r="AH5534">
        <v>23.551898357553601</v>
      </c>
      <c r="AI5534">
        <v>92.689703145656594</v>
      </c>
      <c r="AJ5534">
        <v>84.891695853341005</v>
      </c>
      <c r="AK5534">
        <v>23.671894236768601</v>
      </c>
      <c r="AL5534">
        <v>80.419550860366897</v>
      </c>
      <c r="AM5534">
        <v>85.752439353720106</v>
      </c>
      <c r="AN5534">
        <v>1.0000000681517101</v>
      </c>
    </row>
    <row r="5535" spans="1:40" x14ac:dyDescent="0.25">
      <c r="A5535" t="str">
        <f>"20190312164138259"</f>
        <v>20190312164138259</v>
      </c>
      <c r="B5535" t="str">
        <f>"1552380098251924"</f>
        <v>1552380098251924</v>
      </c>
      <c r="C5535" t="s">
        <v>40</v>
      </c>
      <c r="D5535">
        <v>6.3464349999999996</v>
      </c>
      <c r="E5535">
        <v>0.5124609</v>
      </c>
      <c r="F5535" t="s">
        <v>41</v>
      </c>
      <c r="G5535">
        <v>-329.40460000000002</v>
      </c>
      <c r="H5535" s="1">
        <v>-1.323604E-6</v>
      </c>
      <c r="I5535">
        <v>15.441800000000001</v>
      </c>
      <c r="J5535">
        <v>-352.35789999999997</v>
      </c>
      <c r="K5535">
        <v>1.1108769999999999</v>
      </c>
      <c r="L5535">
        <v>17.36469</v>
      </c>
      <c r="M5535">
        <v>0.99987159999999997</v>
      </c>
      <c r="N5535">
        <v>0</v>
      </c>
      <c r="O5535">
        <v>8.9866219999999997E-3</v>
      </c>
      <c r="P5535">
        <v>0.98588399999999998</v>
      </c>
      <c r="Q5535">
        <v>0.15360779999999999</v>
      </c>
      <c r="R5535">
        <v>-6.6616939999999999E-2</v>
      </c>
      <c r="S5535">
        <v>3.0485530000000001</v>
      </c>
      <c r="T5535">
        <v>-0.14547199999999999</v>
      </c>
      <c r="U5535">
        <v>-0.25137330000000002</v>
      </c>
      <c r="V5535">
        <v>7.5226550000000003E-2</v>
      </c>
      <c r="W5535">
        <v>0.166787299999999</v>
      </c>
      <c r="X5535">
        <v>0.98311899999999997</v>
      </c>
      <c r="Y5535">
        <v>9.1018329999999995E-2</v>
      </c>
      <c r="Z5535">
        <v>-2.59465E-3</v>
      </c>
      <c r="AA5535">
        <v>0.99584589999999995</v>
      </c>
      <c r="AB5535">
        <v>35</v>
      </c>
      <c r="AC5535">
        <v>22.953299999999899</v>
      </c>
      <c r="AD5535">
        <v>-1.1108783236040001</v>
      </c>
      <c r="AE5535">
        <v>-1.92288999999999</v>
      </c>
      <c r="AF5535">
        <v>2.1241623734933301</v>
      </c>
      <c r="AG5535">
        <v>-1.1108783236040001</v>
      </c>
      <c r="AH5535">
        <v>22.881868460554099</v>
      </c>
      <c r="AI5535">
        <v>92.767555871471899</v>
      </c>
      <c r="AJ5535">
        <v>84.696336634091494</v>
      </c>
      <c r="AK5535">
        <v>23.0070863145449</v>
      </c>
      <c r="AL5535">
        <v>80.3989219017284</v>
      </c>
      <c r="AM5535">
        <v>85.624353526033701</v>
      </c>
      <c r="AN5535">
        <v>1.00000000271359</v>
      </c>
    </row>
    <row r="5536" spans="1:40" x14ac:dyDescent="0.25">
      <c r="A5536" t="str">
        <f>"20190312164138281"</f>
        <v>20190312164138281</v>
      </c>
      <c r="B5536" t="str">
        <f>"1552380098271442"</f>
        <v>1552380098271442</v>
      </c>
      <c r="C5536" t="s">
        <v>40</v>
      </c>
      <c r="D5536">
        <v>5.7694419999999997</v>
      </c>
      <c r="E5536">
        <v>0.51255439999999997</v>
      </c>
      <c r="F5536" t="s">
        <v>41</v>
      </c>
      <c r="G5536">
        <v>-329.39089999999999</v>
      </c>
      <c r="H5536" s="1">
        <v>-1.3294529999999999E-6</v>
      </c>
      <c r="I5536">
        <v>15.439500000000001</v>
      </c>
      <c r="J5536">
        <v>-352.0104</v>
      </c>
      <c r="K5536">
        <v>1.1109009999999999</v>
      </c>
      <c r="L5536">
        <v>17.36844</v>
      </c>
      <c r="M5536">
        <v>0.99986339999999996</v>
      </c>
      <c r="N5536">
        <v>0</v>
      </c>
      <c r="O5536">
        <v>9.623665E-3</v>
      </c>
      <c r="P5536">
        <v>0.98569819999999997</v>
      </c>
      <c r="Q5536">
        <v>0.15412690000000001</v>
      </c>
      <c r="R5536">
        <v>-6.8148899999999998E-2</v>
      </c>
      <c r="S5536">
        <v>3.0487060000000001</v>
      </c>
      <c r="T5536">
        <v>-0.14746139999999999</v>
      </c>
      <c r="U5536">
        <v>-0.25555420000000001</v>
      </c>
      <c r="V5536">
        <v>7.7385389999999998E-2</v>
      </c>
      <c r="W5536">
        <v>0.16746759999999999</v>
      </c>
      <c r="X5536">
        <v>0.98283580000000004</v>
      </c>
      <c r="Y5536">
        <v>9.2998739999999996E-2</v>
      </c>
      <c r="Z5536">
        <v>-2.708345E-3</v>
      </c>
      <c r="AA5536">
        <v>0.99566259999999995</v>
      </c>
      <c r="AB5536">
        <v>35</v>
      </c>
      <c r="AC5536">
        <v>22.619499999999999</v>
      </c>
      <c r="AD5536">
        <v>-1.1109023294529901</v>
      </c>
      <c r="AE5536">
        <v>-1.9289399999999901</v>
      </c>
      <c r="AF5536">
        <v>2.1414248781604499</v>
      </c>
      <c r="AG5536">
        <v>-1.1109023294529901</v>
      </c>
      <c r="AH5536">
        <v>22.545898047045799</v>
      </c>
      <c r="AI5536">
        <v>92.808231064899203</v>
      </c>
      <c r="AJ5536">
        <v>84.574284178076695</v>
      </c>
      <c r="AK5536">
        <v>22.674596429532599</v>
      </c>
      <c r="AL5536">
        <v>80.359388029781002</v>
      </c>
      <c r="AM5536">
        <v>85.497999132302994</v>
      </c>
      <c r="AN5536">
        <v>1.0000000526984201</v>
      </c>
    </row>
    <row r="5537" spans="1:40" x14ac:dyDescent="0.25">
      <c r="A5537" t="str">
        <f>"20190312164138292"</f>
        <v>20190312164138292</v>
      </c>
      <c r="B5537" t="str">
        <f>"1552380098282179"</f>
        <v>1552380098282179</v>
      </c>
      <c r="C5537" t="s">
        <v>40</v>
      </c>
      <c r="D5537">
        <v>5.7427000000000001</v>
      </c>
      <c r="E5537">
        <v>0.51247979999999904</v>
      </c>
      <c r="F5537" t="s">
        <v>41</v>
      </c>
      <c r="G5537">
        <v>-328.47949999999997</v>
      </c>
      <c r="H5537" s="1">
        <v>-1.7023410000000001E-6</v>
      </c>
      <c r="I5537">
        <v>15.353529999999999</v>
      </c>
      <c r="J5537">
        <v>-351.82929999999999</v>
      </c>
      <c r="K5537">
        <v>1.11091299999999</v>
      </c>
      <c r="L5537">
        <v>17.370509999999999</v>
      </c>
      <c r="M5537">
        <v>0.9998591</v>
      </c>
      <c r="N5537">
        <v>0</v>
      </c>
      <c r="O5537">
        <v>9.9529900000000001E-3</v>
      </c>
      <c r="P5537">
        <v>0.9855737</v>
      </c>
      <c r="Q5537">
        <v>0.1544671</v>
      </c>
      <c r="R5537">
        <v>-6.9167099999999995E-2</v>
      </c>
      <c r="S5537">
        <v>3.0479129999999999</v>
      </c>
      <c r="T5537">
        <v>-0.14389279999999999</v>
      </c>
      <c r="U5537">
        <v>-0.2609863</v>
      </c>
      <c r="V5537">
        <v>7.872701E-2</v>
      </c>
      <c r="W5537">
        <v>0.16788549999999999</v>
      </c>
      <c r="X5537">
        <v>0.98265789999999997</v>
      </c>
      <c r="Y5537">
        <v>9.5112890000000005E-2</v>
      </c>
      <c r="Z5537">
        <v>-2.708664E-3</v>
      </c>
      <c r="AA5537">
        <v>0.99546279999999998</v>
      </c>
      <c r="AB5537">
        <v>35</v>
      </c>
      <c r="AC5537">
        <v>23.349799999999998</v>
      </c>
      <c r="AD5537">
        <v>-1.11091470234099</v>
      </c>
      <c r="AE5537">
        <v>-2.01697999999999</v>
      </c>
      <c r="AF5537">
        <v>2.2442592104034</v>
      </c>
      <c r="AG5537">
        <v>-1.11091470234099</v>
      </c>
      <c r="AH5537">
        <v>23.276269025243099</v>
      </c>
      <c r="AI5537">
        <v>92.719907863473196</v>
      </c>
      <c r="AJ5537">
        <v>84.492660293103796</v>
      </c>
      <c r="AK5537">
        <v>23.410585866544402</v>
      </c>
      <c r="AL5537">
        <v>80.335099900112198</v>
      </c>
      <c r="AM5537">
        <v>85.419452180133803</v>
      </c>
      <c r="AN5537">
        <v>1.0000000158230999</v>
      </c>
    </row>
    <row r="5538" spans="1:40" x14ac:dyDescent="0.25">
      <c r="A5538" t="str">
        <f>"20190312164138303"</f>
        <v>20190312164138303</v>
      </c>
      <c r="B5538" t="str">
        <f>"1552380098291938"</f>
        <v>1552380098291938</v>
      </c>
      <c r="C5538" t="s">
        <v>40</v>
      </c>
      <c r="D5538">
        <v>6.2765050000000002</v>
      </c>
      <c r="E5538">
        <v>0.51234120000000005</v>
      </c>
      <c r="F5538" t="s">
        <v>41</v>
      </c>
      <c r="G5538">
        <v>-329.28559999999999</v>
      </c>
      <c r="H5538" s="1">
        <v>-1.3732620000000001E-6</v>
      </c>
      <c r="I5538">
        <v>15.42685</v>
      </c>
      <c r="J5538">
        <v>-351.66239999999999</v>
      </c>
      <c r="K5538">
        <v>1.110922</v>
      </c>
      <c r="L5538">
        <v>17.37247</v>
      </c>
      <c r="M5538">
        <v>0.99985520000000006</v>
      </c>
      <c r="N5538">
        <v>0</v>
      </c>
      <c r="O5538">
        <v>1.0255790000000001E-2</v>
      </c>
      <c r="P5538">
        <v>0.98543510000000001</v>
      </c>
      <c r="Q5538">
        <v>0.15489629999999999</v>
      </c>
      <c r="R5538">
        <v>-7.0180210000000007E-2</v>
      </c>
      <c r="S5538">
        <v>3.0490110000000001</v>
      </c>
      <c r="T5538">
        <v>-0.15024999999999999</v>
      </c>
      <c r="U5538">
        <v>-0.26287840000000001</v>
      </c>
      <c r="V5538">
        <v>8.0036739999999995E-2</v>
      </c>
      <c r="W5538">
        <v>0.1683819</v>
      </c>
      <c r="X5538">
        <v>0.98246710000000004</v>
      </c>
      <c r="Y5538">
        <v>9.5985239999999999E-2</v>
      </c>
      <c r="Z5538">
        <v>-2.8634340000000002E-3</v>
      </c>
      <c r="AA5538">
        <v>0.9953786</v>
      </c>
      <c r="AB5538">
        <v>35</v>
      </c>
      <c r="AC5538">
        <v>22.376799999999999</v>
      </c>
      <c r="AD5538">
        <v>-1.1109233732620001</v>
      </c>
      <c r="AE5538">
        <v>-1.9456199999999999</v>
      </c>
      <c r="AF5538">
        <v>2.16972288979002</v>
      </c>
      <c r="AG5538">
        <v>-1.1109233732620001</v>
      </c>
      <c r="AH5538">
        <v>22.301113071018499</v>
      </c>
      <c r="AI5538">
        <v>92.838434737162302</v>
      </c>
      <c r="AJ5538">
        <v>84.443060829677705</v>
      </c>
      <c r="AK5538">
        <v>22.4339361763844</v>
      </c>
      <c r="AL5538">
        <v>80.306247122581894</v>
      </c>
      <c r="AM5538">
        <v>85.3426806400077</v>
      </c>
      <c r="AN5538">
        <v>0.99999997328992296</v>
      </c>
    </row>
    <row r="5539" spans="1:40" x14ac:dyDescent="0.25">
      <c r="A5539" t="str">
        <f>"20190312164138316"</f>
        <v>20190312164138316</v>
      </c>
      <c r="B5539" t="str">
        <f>"1552380098311459"</f>
        <v>1552380098311459</v>
      </c>
      <c r="C5539" t="s">
        <v>40</v>
      </c>
      <c r="D5539">
        <v>5.6970280000000004</v>
      </c>
      <c r="E5539">
        <v>0.51240189999999997</v>
      </c>
      <c r="F5539" t="s">
        <v>41</v>
      </c>
      <c r="G5539">
        <v>-328.81009999999998</v>
      </c>
      <c r="H5539" s="1">
        <v>-1.566286E-6</v>
      </c>
      <c r="I5539">
        <v>15.387650000000001</v>
      </c>
      <c r="J5539">
        <v>-351.46550000000002</v>
      </c>
      <c r="K5539">
        <v>1.1109279999999999</v>
      </c>
      <c r="L5539">
        <v>17.37482</v>
      </c>
      <c r="M5539">
        <v>0.99985029999999997</v>
      </c>
      <c r="N5539">
        <v>0</v>
      </c>
      <c r="O5539">
        <v>1.0612470000000001E-2</v>
      </c>
      <c r="P5539">
        <v>0.98539540000000003</v>
      </c>
      <c r="Q5539">
        <v>0.15493499999999999</v>
      </c>
      <c r="R5539">
        <v>-7.0648409999999995E-2</v>
      </c>
      <c r="S5539">
        <v>3.0487980000000001</v>
      </c>
      <c r="T5539">
        <v>-0.14821229999999999</v>
      </c>
      <c r="U5539">
        <v>-0.26480100000000001</v>
      </c>
      <c r="V5539">
        <v>8.085676E-2</v>
      </c>
      <c r="W5539">
        <v>0.16849790000000001</v>
      </c>
      <c r="X5539">
        <v>0.98238009999999998</v>
      </c>
      <c r="Y5539">
        <v>9.6971150000000006E-2</v>
      </c>
      <c r="Z5539">
        <v>-2.8659739999999999E-3</v>
      </c>
      <c r="AA5539">
        <v>0.99528309999999998</v>
      </c>
      <c r="AB5539">
        <v>35</v>
      </c>
      <c r="AC5539">
        <v>22.6554</v>
      </c>
      <c r="AD5539">
        <v>-1.1109295662859999</v>
      </c>
      <c r="AE5539">
        <v>-1.9871699999999901</v>
      </c>
      <c r="AF5539">
        <v>2.2222077183812998</v>
      </c>
      <c r="AG5539">
        <v>-1.1109295662859999</v>
      </c>
      <c r="AH5539">
        <v>22.579155528303499</v>
      </c>
      <c r="AI5539">
        <v>92.803248034548204</v>
      </c>
      <c r="AJ5539">
        <v>84.379134189045899</v>
      </c>
      <c r="AK5539">
        <v>22.715427269065401</v>
      </c>
      <c r="AL5539">
        <v>80.2995048262447</v>
      </c>
      <c r="AM5539">
        <v>85.294762205121998</v>
      </c>
      <c r="AN5539">
        <v>1.00000000940905</v>
      </c>
    </row>
    <row r="5540" spans="1:40" x14ac:dyDescent="0.25">
      <c r="A5540" t="str">
        <f>"20190312164138329"</f>
        <v>20190312164138329</v>
      </c>
      <c r="B5540" t="str">
        <f>"1552380098322194"</f>
        <v>1552380098322194</v>
      </c>
      <c r="C5540" t="s">
        <v>40</v>
      </c>
      <c r="D5540">
        <v>5.7074350000000003</v>
      </c>
      <c r="E5540">
        <v>0.51228269999999998</v>
      </c>
      <c r="F5540" t="s">
        <v>41</v>
      </c>
      <c r="G5540">
        <v>-329.32889999999998</v>
      </c>
      <c r="H5540" s="1">
        <v>-1.3525420000000001E-6</v>
      </c>
      <c r="I5540">
        <v>15.44215</v>
      </c>
      <c r="J5540">
        <v>-351.26979999999998</v>
      </c>
      <c r="K5540">
        <v>1.110938</v>
      </c>
      <c r="L5540">
        <v>17.377229999999901</v>
      </c>
      <c r="M5540">
        <v>0.9998454</v>
      </c>
      <c r="N5540">
        <v>0</v>
      </c>
      <c r="O5540">
        <v>1.096739E-2</v>
      </c>
      <c r="P5540">
        <v>0.98524020000000001</v>
      </c>
      <c r="Q5540">
        <v>0.15526760000000001</v>
      </c>
      <c r="R5540">
        <v>-7.2068190000000004E-2</v>
      </c>
      <c r="S5540">
        <v>3.0494379999999999</v>
      </c>
      <c r="T5540">
        <v>-0.15303720000000001</v>
      </c>
      <c r="U5540">
        <v>-0.26623540000000001</v>
      </c>
      <c r="V5540">
        <v>8.2624489999999995E-2</v>
      </c>
      <c r="W5540">
        <v>0.1689003</v>
      </c>
      <c r="X5540">
        <v>0.98216389999999998</v>
      </c>
      <c r="Y5540">
        <v>9.7761299999999995E-2</v>
      </c>
      <c r="Z5540">
        <v>-2.9960289999999999E-3</v>
      </c>
      <c r="AA5540">
        <v>0.99520540000000002</v>
      </c>
      <c r="AB5540">
        <v>35</v>
      </c>
      <c r="AC5540">
        <v>21.940899999999999</v>
      </c>
      <c r="AD5540">
        <v>-1.1109393525419999</v>
      </c>
      <c r="AE5540">
        <v>-1.9350799999999899</v>
      </c>
      <c r="AF5540">
        <v>2.17010012917632</v>
      </c>
      <c r="AG5540">
        <v>-1.1109393525419999</v>
      </c>
      <c r="AH5540">
        <v>21.862737879640399</v>
      </c>
      <c r="AI5540">
        <v>92.894740943305194</v>
      </c>
      <c r="AJ5540">
        <v>84.331376645243594</v>
      </c>
      <c r="AK5540">
        <v>21.9982460302984</v>
      </c>
      <c r="AL5540">
        <v>80.276113878735003</v>
      </c>
      <c r="AM5540">
        <v>85.191317718207401</v>
      </c>
      <c r="AN5540">
        <v>1.0000000220755201</v>
      </c>
    </row>
    <row r="5541" spans="1:40" x14ac:dyDescent="0.25">
      <c r="A5541" t="str">
        <f>"20190312164138339"</f>
        <v>20190312164138339</v>
      </c>
      <c r="B5541" t="str">
        <f>"1552380098331954"</f>
        <v>1552380098331954</v>
      </c>
      <c r="C5541" t="s">
        <v>40</v>
      </c>
      <c r="D5541">
        <v>5.7234259999999999</v>
      </c>
      <c r="E5541">
        <v>0.51209459999999996</v>
      </c>
      <c r="F5541" t="s">
        <v>41</v>
      </c>
      <c r="G5541">
        <v>-329.3175</v>
      </c>
      <c r="H5541" s="1">
        <v>-1.358838E-6</v>
      </c>
      <c r="I5541">
        <v>15.43501</v>
      </c>
      <c r="J5541">
        <v>-351.08890000000002</v>
      </c>
      <c r="K5541">
        <v>1.11094</v>
      </c>
      <c r="L5541">
        <v>17.379519999999999</v>
      </c>
      <c r="M5541">
        <v>0.99984099999999998</v>
      </c>
      <c r="N5541">
        <v>0</v>
      </c>
      <c r="O5541">
        <v>1.129555E-2</v>
      </c>
      <c r="P5541">
        <v>0.98520660000000004</v>
      </c>
      <c r="Q5541">
        <v>0.155252</v>
      </c>
      <c r="R5541">
        <v>-7.2560399999999997E-2</v>
      </c>
      <c r="S5541">
        <v>3.0495299999999999</v>
      </c>
      <c r="T5541">
        <v>-0.15432779999999999</v>
      </c>
      <c r="U5541">
        <v>-0.26980589999999999</v>
      </c>
      <c r="V5541">
        <v>8.3440449999999999E-2</v>
      </c>
      <c r="W5541">
        <v>0.16894679999999901</v>
      </c>
      <c r="X5541">
        <v>0.98208689999999998</v>
      </c>
      <c r="Y5541">
        <v>9.9236989999999997E-2</v>
      </c>
      <c r="Z5541">
        <v>-3.074832E-3</v>
      </c>
      <c r="AA5541">
        <v>0.99505909999999997</v>
      </c>
      <c r="AB5541">
        <v>35</v>
      </c>
      <c r="AC5541">
        <v>21.7714</v>
      </c>
      <c r="AD5541">
        <v>-1.1109413588379999</v>
      </c>
      <c r="AE5541">
        <v>-1.94450999999999</v>
      </c>
      <c r="AF5541">
        <v>2.18468578211505</v>
      </c>
      <c r="AG5541">
        <v>-1.1109413588379999</v>
      </c>
      <c r="AH5541">
        <v>21.692009482617799</v>
      </c>
      <c r="AI5541">
        <v>92.917071157391305</v>
      </c>
      <c r="AJ5541">
        <v>84.248914113958804</v>
      </c>
      <c r="AK5541">
        <v>21.830032479667398</v>
      </c>
      <c r="AL5541">
        <v>80.273410607000102</v>
      </c>
      <c r="AM5541">
        <v>85.143676536853206</v>
      </c>
      <c r="AN5541">
        <v>1.00000000453902</v>
      </c>
    </row>
    <row r="5542" spans="1:40" x14ac:dyDescent="0.25">
      <c r="A5542" t="str">
        <f>"20190312164138351"</f>
        <v>20190312164138351</v>
      </c>
      <c r="B5542" t="str">
        <f>"1552380098341717"</f>
        <v>1552380098341717</v>
      </c>
      <c r="C5542" t="s">
        <v>40</v>
      </c>
      <c r="D5542">
        <v>5.7001900000000001</v>
      </c>
      <c r="E5542">
        <v>0.51212919999999995</v>
      </c>
      <c r="F5542" t="s">
        <v>41</v>
      </c>
      <c r="G5542">
        <v>-329.2681</v>
      </c>
      <c r="H5542" s="1">
        <v>-1.3746350000000001E-6</v>
      </c>
      <c r="I5542">
        <v>15.44702</v>
      </c>
      <c r="J5542">
        <v>-350.9126</v>
      </c>
      <c r="K5542">
        <v>1.1109500000000001</v>
      </c>
      <c r="L5542">
        <v>17.38184</v>
      </c>
      <c r="M5542">
        <v>0.99983639999999996</v>
      </c>
      <c r="N5542">
        <v>0</v>
      </c>
      <c r="O5542">
        <v>1.161593E-2</v>
      </c>
      <c r="P5542">
        <v>0.98507520000000004</v>
      </c>
      <c r="Q5542">
        <v>0.15543399999999999</v>
      </c>
      <c r="R5542">
        <v>-7.3942179999999996E-2</v>
      </c>
      <c r="S5542">
        <v>3.0496219999999998</v>
      </c>
      <c r="T5542">
        <v>-0.15526239999999999</v>
      </c>
      <c r="U5542">
        <v>-0.270080599999999</v>
      </c>
      <c r="V5542">
        <v>8.5136409999999996E-2</v>
      </c>
      <c r="W5542">
        <v>0.1691841</v>
      </c>
      <c r="X5542">
        <v>0.98190049999999995</v>
      </c>
      <c r="Y5542">
        <v>9.9639530000000004E-2</v>
      </c>
      <c r="Z5542">
        <v>-3.1198200000000001E-3</v>
      </c>
      <c r="AA5542">
        <v>0.99501870000000003</v>
      </c>
      <c r="AB5542">
        <v>35</v>
      </c>
      <c r="AC5542">
        <v>21.644499999999901</v>
      </c>
      <c r="AD5542">
        <v>-1.1109513746349999</v>
      </c>
      <c r="AE5542">
        <v>-1.93481999999999</v>
      </c>
      <c r="AF5542">
        <v>2.1804358271334499</v>
      </c>
      <c r="AG5542">
        <v>-1.1109513746349999</v>
      </c>
      <c r="AH5542">
        <v>21.5642024188543</v>
      </c>
      <c r="AI5542">
        <v>92.934239388875497</v>
      </c>
      <c r="AJ5542">
        <v>84.226236557674497</v>
      </c>
      <c r="AK5542">
        <v>21.7026113478165</v>
      </c>
      <c r="AL5542">
        <v>80.259615988957293</v>
      </c>
      <c r="AM5542">
        <v>85.044520451237901</v>
      </c>
      <c r="AN5542">
        <v>1.00000002995037</v>
      </c>
    </row>
    <row r="5543" spans="1:40" x14ac:dyDescent="0.25">
      <c r="A5543" t="str">
        <f>"20190312164138365"</f>
        <v>20190312164138365</v>
      </c>
      <c r="B5543" t="str">
        <f>"1552380098362210"</f>
        <v>1552380098362210</v>
      </c>
      <c r="C5543" t="s">
        <v>40</v>
      </c>
      <c r="D5543">
        <v>5.7439070000000001</v>
      </c>
      <c r="E5543">
        <v>0.51199349999999999</v>
      </c>
      <c r="F5543" t="s">
        <v>41</v>
      </c>
      <c r="G5543">
        <v>-329.73719999999997</v>
      </c>
      <c r="H5543" s="1">
        <v>-1.1869189999999999E-6</v>
      </c>
      <c r="I5543">
        <v>15.47542</v>
      </c>
      <c r="J5543">
        <v>-350.7122</v>
      </c>
      <c r="K5543">
        <v>1.1109579999999999</v>
      </c>
      <c r="L5543">
        <v>17.384519999999998</v>
      </c>
      <c r="M5543">
        <v>0.99983140000000004</v>
      </c>
      <c r="N5543">
        <v>0</v>
      </c>
      <c r="O5543">
        <v>1.198052E-2</v>
      </c>
      <c r="P5543">
        <v>0.98504809999999998</v>
      </c>
      <c r="Q5543">
        <v>0.15524079999999901</v>
      </c>
      <c r="R5543">
        <v>-7.4705540000000001E-2</v>
      </c>
      <c r="S5543">
        <v>3.0500790000000002</v>
      </c>
      <c r="T5543">
        <v>-0.16001989999999999</v>
      </c>
      <c r="U5543">
        <v>-0.27459719999999999</v>
      </c>
      <c r="V5543">
        <v>8.6259310000000006E-2</v>
      </c>
      <c r="W5543">
        <v>0.1690516</v>
      </c>
      <c r="X5543">
        <v>0.98182530000000001</v>
      </c>
      <c r="Y5543">
        <v>0.1014391</v>
      </c>
      <c r="Z5543">
        <v>-3.2807579999999999E-3</v>
      </c>
      <c r="AA5543">
        <v>0.99483630000000001</v>
      </c>
      <c r="AB5543">
        <v>35</v>
      </c>
      <c r="AC5543">
        <v>20.975000000000001</v>
      </c>
      <c r="AD5543">
        <v>-1.1109591869190001</v>
      </c>
      <c r="AE5543">
        <v>-1.9091</v>
      </c>
      <c r="AF5543">
        <v>2.1542847596207602</v>
      </c>
      <c r="AG5543">
        <v>-1.1109591869190001</v>
      </c>
      <c r="AH5543">
        <v>20.8924902391214</v>
      </c>
      <c r="AI5543">
        <v>93.027815522172105</v>
      </c>
      <c r="AJ5543">
        <v>84.112873049168897</v>
      </c>
      <c r="AK5543">
        <v>21.032625169776502</v>
      </c>
      <c r="AL5543">
        <v>80.267318491258806</v>
      </c>
      <c r="AM5543">
        <v>84.979109864070296</v>
      </c>
      <c r="AN5543">
        <v>1.00000001587216</v>
      </c>
    </row>
    <row r="5544" spans="1:40" x14ac:dyDescent="0.25">
      <c r="A5544" t="str">
        <f>"20190312164138382"</f>
        <v>20190312164138382</v>
      </c>
      <c r="B5544" t="str">
        <f>"1552380098371970"</f>
        <v>1552380098371970</v>
      </c>
      <c r="C5544" t="s">
        <v>40</v>
      </c>
      <c r="D5544">
        <v>5.6316319999999997</v>
      </c>
      <c r="E5544">
        <v>0.51195429999999997</v>
      </c>
      <c r="F5544" t="s">
        <v>41</v>
      </c>
      <c r="G5544">
        <v>-330.13170000000002</v>
      </c>
      <c r="H5544" s="1">
        <v>-4.9419939999999997E-6</v>
      </c>
      <c r="I5544">
        <v>15.522209999999999</v>
      </c>
      <c r="J5544">
        <v>-350.43950000000001</v>
      </c>
      <c r="K5544">
        <v>1.1109770000000001</v>
      </c>
      <c r="L5544">
        <v>17.388279999999899</v>
      </c>
      <c r="M5544">
        <v>0.9998243</v>
      </c>
      <c r="N5544">
        <v>0</v>
      </c>
      <c r="O5544">
        <v>1.2476950000000001E-2</v>
      </c>
      <c r="P5544">
        <v>0.98485880000000003</v>
      </c>
      <c r="Q5544">
        <v>0.1554661</v>
      </c>
      <c r="R5544">
        <v>-7.6707239999999996E-2</v>
      </c>
      <c r="S5544">
        <v>3.0505680000000002</v>
      </c>
      <c r="T5544">
        <v>-0.16467390000000001</v>
      </c>
      <c r="U5544">
        <v>-0.27603149999999999</v>
      </c>
      <c r="V5544">
        <v>8.8747930000000003E-2</v>
      </c>
      <c r="W5544">
        <v>0.16935</v>
      </c>
      <c r="X5544">
        <v>0.98155199999999998</v>
      </c>
      <c r="Y5544">
        <v>0.10237159999999999</v>
      </c>
      <c r="Z5544">
        <v>-3.4272669999999999E-3</v>
      </c>
      <c r="AA5544">
        <v>0.99474030000000002</v>
      </c>
      <c r="AB5544">
        <v>35</v>
      </c>
      <c r="AC5544">
        <v>20.307799999999901</v>
      </c>
      <c r="AD5544">
        <v>-1.1109819419939999</v>
      </c>
      <c r="AE5544">
        <v>-1.8660699999999899</v>
      </c>
      <c r="AF5544">
        <v>2.1130577563406598</v>
      </c>
      <c r="AG5544">
        <v>-1.1109819419939999</v>
      </c>
      <c r="AH5544">
        <v>20.222915943894002</v>
      </c>
      <c r="AI5544">
        <v>93.127492686052094</v>
      </c>
      <c r="AJ5544">
        <v>84.034908116634099</v>
      </c>
      <c r="AK5544">
        <v>20.363340178636399</v>
      </c>
      <c r="AL5544">
        <v>80.249970891594003</v>
      </c>
      <c r="AM5544">
        <v>84.833597168895807</v>
      </c>
      <c r="AN5544">
        <v>0.99999997314164202</v>
      </c>
    </row>
    <row r="5545" spans="1:40" x14ac:dyDescent="0.25">
      <c r="A5545" t="str">
        <f>"20190312164138395"</f>
        <v>20190312164138395</v>
      </c>
      <c r="B5545" t="str">
        <f>"1552380098391492"</f>
        <v>1552380098391492</v>
      </c>
      <c r="C5545" t="s">
        <v>40</v>
      </c>
      <c r="D5545">
        <v>5.7472519999999996</v>
      </c>
      <c r="E5545">
        <v>0.51188149999999999</v>
      </c>
      <c r="F5545" t="s">
        <v>41</v>
      </c>
      <c r="G5545">
        <v>-329.67099999999999</v>
      </c>
      <c r="H5545" s="1">
        <v>-1.215674E-6</v>
      </c>
      <c r="I5545">
        <v>15.462859999999999</v>
      </c>
      <c r="J5545">
        <v>-350.23099999999999</v>
      </c>
      <c r="K5545">
        <v>1.110986</v>
      </c>
      <c r="L5545">
        <v>17.39124</v>
      </c>
      <c r="M5545">
        <v>0.99981869999999995</v>
      </c>
      <c r="N5545">
        <v>0</v>
      </c>
      <c r="O5545">
        <v>1.285678E-2</v>
      </c>
      <c r="P5545">
        <v>0.98479269999999997</v>
      </c>
      <c r="Q5545">
        <v>0.15551899999999999</v>
      </c>
      <c r="R5545">
        <v>-7.7444810000000003E-2</v>
      </c>
      <c r="S5545">
        <v>3.0498349999999999</v>
      </c>
      <c r="T5545">
        <v>-0.1631464</v>
      </c>
      <c r="U5545">
        <v>-0.28274539999999998</v>
      </c>
      <c r="V5545">
        <v>8.985899E-2</v>
      </c>
      <c r="W5545">
        <v>0.16945389999999999</v>
      </c>
      <c r="X5545">
        <v>0.981433</v>
      </c>
      <c r="Y5545">
        <v>0.10494100000000001</v>
      </c>
      <c r="Z5545">
        <v>-3.4847900000000002E-3</v>
      </c>
      <c r="AA5545">
        <v>0.99447229999999998</v>
      </c>
      <c r="AB5545">
        <v>35</v>
      </c>
      <c r="AC5545">
        <v>20.56</v>
      </c>
      <c r="AD5545">
        <v>-1.1109872156739999</v>
      </c>
      <c r="AE5545">
        <v>-1.92837999999999</v>
      </c>
      <c r="AF5545">
        <v>2.1862540253342901</v>
      </c>
      <c r="AG5545">
        <v>-1.1109872156739999</v>
      </c>
      <c r="AH5545">
        <v>20.474243190040799</v>
      </c>
      <c r="AI5545">
        <v>93.088452967570504</v>
      </c>
      <c r="AJ5545">
        <v>83.905011781384104</v>
      </c>
      <c r="AK5545">
        <v>20.620587611938099</v>
      </c>
      <c r="AL5545">
        <v>80.243930803184696</v>
      </c>
      <c r="AM5545">
        <v>84.768643406255293</v>
      </c>
      <c r="AN5545">
        <v>0.99999999789901495</v>
      </c>
    </row>
    <row r="5546" spans="1:40" x14ac:dyDescent="0.25">
      <c r="A5546" t="str">
        <f>"20190312164138409"</f>
        <v>20190312164138409</v>
      </c>
      <c r="B5546" t="str">
        <f>"1552380098402227"</f>
        <v>1552380098402227</v>
      </c>
      <c r="C5546" t="s">
        <v>40</v>
      </c>
      <c r="D5546">
        <v>5.7426740000000001</v>
      </c>
      <c r="E5546">
        <v>0.51175119999999996</v>
      </c>
      <c r="F5546" t="s">
        <v>41</v>
      </c>
      <c r="G5546">
        <v>-329.25729999999999</v>
      </c>
      <c r="H5546" s="1">
        <v>-1.3825920000000001E-6</v>
      </c>
      <c r="I5546">
        <v>15.43267</v>
      </c>
      <c r="J5546">
        <v>-350.03800000000001</v>
      </c>
      <c r="K5546">
        <v>1.1109880000000001</v>
      </c>
      <c r="L5546">
        <v>17.394069999999999</v>
      </c>
      <c r="M5546">
        <v>0.99981339999999996</v>
      </c>
      <c r="N5546">
        <v>0</v>
      </c>
      <c r="O5546">
        <v>1.3208360000000001E-2</v>
      </c>
      <c r="P5546">
        <v>0.98466089999999995</v>
      </c>
      <c r="Q5546">
        <v>0.15586129999999901</v>
      </c>
      <c r="R5546">
        <v>-7.8426070000000001E-2</v>
      </c>
      <c r="S5546">
        <v>3.0494080000000001</v>
      </c>
      <c r="T5546">
        <v>-0.161528799999999</v>
      </c>
      <c r="U5546">
        <v>-0.2847595</v>
      </c>
      <c r="V5546">
        <v>9.1184500000000002E-2</v>
      </c>
      <c r="W5546">
        <v>0.16983870000000001</v>
      </c>
      <c r="X5546">
        <v>0.98124420000000001</v>
      </c>
      <c r="Y5546">
        <v>0.1059561</v>
      </c>
      <c r="Z5546">
        <v>-3.496046E-3</v>
      </c>
      <c r="AA5546">
        <v>0.99436469999999999</v>
      </c>
      <c r="AB5546">
        <v>35</v>
      </c>
      <c r="AC5546">
        <v>20.7807</v>
      </c>
      <c r="AD5546">
        <v>-1.1109893825920001</v>
      </c>
      <c r="AE5546">
        <v>-1.9614</v>
      </c>
      <c r="AF5546">
        <v>2.2294191459353798</v>
      </c>
      <c r="AG5546">
        <v>-1.1109893825920001</v>
      </c>
      <c r="AH5546">
        <v>20.694350164686099</v>
      </c>
      <c r="AI5546">
        <v>93.055365189323496</v>
      </c>
      <c r="AJ5546">
        <v>83.851193510633607</v>
      </c>
      <c r="AK5546">
        <v>20.8437217376154</v>
      </c>
      <c r="AL5546">
        <v>80.221559017288001</v>
      </c>
      <c r="AM5546">
        <v>84.690897789000601</v>
      </c>
      <c r="AN5546">
        <v>0.99999998854578998</v>
      </c>
    </row>
    <row r="5547" spans="1:40" x14ac:dyDescent="0.25">
      <c r="A5547" t="str">
        <f>"20190312164138426"</f>
        <v>20190312164138426</v>
      </c>
      <c r="B5547" t="str">
        <f>"1552380098421747"</f>
        <v>1552380098421747</v>
      </c>
      <c r="C5547" t="s">
        <v>40</v>
      </c>
      <c r="D5547">
        <v>5.7953289999999997</v>
      </c>
      <c r="E5547">
        <v>0.51171659999999997</v>
      </c>
      <c r="F5547" t="s">
        <v>41</v>
      </c>
      <c r="G5547">
        <v>-328.8306</v>
      </c>
      <c r="H5547" s="1">
        <v>-1.555546E-6</v>
      </c>
      <c r="I5547">
        <v>15.398479999999999</v>
      </c>
      <c r="J5547">
        <v>-349.76310000000001</v>
      </c>
      <c r="K5547">
        <v>1.1110009999999999</v>
      </c>
      <c r="L5547">
        <v>17.39819</v>
      </c>
      <c r="M5547">
        <v>0.99980579999999997</v>
      </c>
      <c r="N5547">
        <v>0</v>
      </c>
      <c r="O5547">
        <v>1.3708730000000001E-2</v>
      </c>
      <c r="P5547">
        <v>0.98440079999999996</v>
      </c>
      <c r="Q5547">
        <v>0.15653499999999901</v>
      </c>
      <c r="R5547">
        <v>-8.0322180000000007E-2</v>
      </c>
      <c r="S5547">
        <v>3.049194</v>
      </c>
      <c r="T5547">
        <v>-0.15973789999999999</v>
      </c>
      <c r="U5547">
        <v>-0.28692630000000002</v>
      </c>
      <c r="V5547">
        <v>9.356921E-2</v>
      </c>
      <c r="W5547">
        <v>0.1705671</v>
      </c>
      <c r="X5547">
        <v>0.98089329999999997</v>
      </c>
      <c r="Y5547">
        <v>0.1071618</v>
      </c>
      <c r="Z5547">
        <v>-3.515106E-3</v>
      </c>
      <c r="AA5547">
        <v>0.99423539999999999</v>
      </c>
      <c r="AB5547">
        <v>35</v>
      </c>
      <c r="AC5547">
        <v>20.932500000000001</v>
      </c>
      <c r="AD5547">
        <v>-1.1110025555459999</v>
      </c>
      <c r="AE5547">
        <v>-1.9997100000000001</v>
      </c>
      <c r="AF5547">
        <v>2.28014371313806</v>
      </c>
      <c r="AG5547">
        <v>-1.1110025555459999</v>
      </c>
      <c r="AH5547">
        <v>20.8449271110856</v>
      </c>
      <c r="AI5547">
        <v>93.032833839228402</v>
      </c>
      <c r="AJ5547">
        <v>83.757461448285</v>
      </c>
      <c r="AK5547">
        <v>20.998675393878202</v>
      </c>
      <c r="AL5547">
        <v>80.1792069174342</v>
      </c>
      <c r="AM5547">
        <v>84.550938740718607</v>
      </c>
      <c r="AN5547">
        <v>0.99999999932366201</v>
      </c>
    </row>
    <row r="5548" spans="1:40" x14ac:dyDescent="0.25">
      <c r="A5548" t="str">
        <f>"20190312164138437"</f>
        <v>20190312164138437</v>
      </c>
      <c r="B5548" t="str">
        <f>"1552380098431507"</f>
        <v>1552380098431507</v>
      </c>
      <c r="C5548" t="s">
        <v>40</v>
      </c>
      <c r="D5548">
        <v>5.800732</v>
      </c>
      <c r="E5548">
        <v>0.51191779999999998</v>
      </c>
      <c r="F5548" t="s">
        <v>41</v>
      </c>
      <c r="G5548">
        <v>-328.18650000000002</v>
      </c>
      <c r="H5548" s="1">
        <v>-1.8216690000000001E-6</v>
      </c>
      <c r="I5548">
        <v>15.32795</v>
      </c>
      <c r="J5548">
        <v>-349.58150000000001</v>
      </c>
      <c r="K5548">
        <v>1.111016</v>
      </c>
      <c r="L5548">
        <v>17.401</v>
      </c>
      <c r="M5548">
        <v>0.99980089999999999</v>
      </c>
      <c r="N5548">
        <v>0</v>
      </c>
      <c r="O5548">
        <v>1.4039080000000001E-2</v>
      </c>
      <c r="P5548">
        <v>0.98431900000000006</v>
      </c>
      <c r="Q5548">
        <v>0.15675810000000001</v>
      </c>
      <c r="R5548">
        <v>-8.0889870000000003E-2</v>
      </c>
      <c r="S5548">
        <v>3.048645</v>
      </c>
      <c r="T5548">
        <v>-0.15697749999999999</v>
      </c>
      <c r="U5548">
        <v>-0.29251100000000002</v>
      </c>
      <c r="V5548">
        <v>9.4460760000000005E-2</v>
      </c>
      <c r="W5548">
        <v>0.170825</v>
      </c>
      <c r="X5548">
        <v>0.98076300000000005</v>
      </c>
      <c r="Y5548">
        <v>0.1093142</v>
      </c>
      <c r="Z5548">
        <v>-3.5269810000000002E-3</v>
      </c>
      <c r="AA5548">
        <v>0.99400100000000002</v>
      </c>
      <c r="AB5548">
        <v>35</v>
      </c>
      <c r="AC5548">
        <v>21.3949999999999</v>
      </c>
      <c r="AD5548">
        <v>-1.1110178216689901</v>
      </c>
      <c r="AE5548">
        <v>-2.0730499999999998</v>
      </c>
      <c r="AF5548">
        <v>2.36691869101249</v>
      </c>
      <c r="AG5548">
        <v>-1.1110178216689901</v>
      </c>
      <c r="AH5548">
        <v>21.306862597859599</v>
      </c>
      <c r="AI5548">
        <v>92.966692390481199</v>
      </c>
      <c r="AJ5548">
        <v>83.661164254186701</v>
      </c>
      <c r="AK5548">
        <v>21.466696496061001</v>
      </c>
      <c r="AL5548">
        <v>80.164210634603094</v>
      </c>
      <c r="AM5548">
        <v>84.498609410827896</v>
      </c>
      <c r="AN5548">
        <v>1.0000000389868799</v>
      </c>
    </row>
    <row r="5549" spans="1:40" x14ac:dyDescent="0.25">
      <c r="A5549" t="str">
        <f>"20190312164138448"</f>
        <v>20190312164138448</v>
      </c>
      <c r="B5549" t="str">
        <f>"1552380098442243"</f>
        <v>1552380098442243</v>
      </c>
      <c r="C5549" t="s">
        <v>40</v>
      </c>
      <c r="D5549">
        <v>6.1682059999999996</v>
      </c>
      <c r="E5549">
        <v>0.51246550000000002</v>
      </c>
      <c r="F5549" t="s">
        <v>41</v>
      </c>
      <c r="G5549">
        <v>-327.75450000000001</v>
      </c>
      <c r="H5549" s="1">
        <v>-1.9999079999999999E-6</v>
      </c>
      <c r="I5549">
        <v>15.28152</v>
      </c>
      <c r="J5549">
        <v>-349.41930000000002</v>
      </c>
      <c r="K5549">
        <v>1.1110230000000001</v>
      </c>
      <c r="L5549">
        <v>17.403559999999999</v>
      </c>
      <c r="M5549">
        <v>0.99979620000000002</v>
      </c>
      <c r="N5549">
        <v>0</v>
      </c>
      <c r="O5549">
        <v>1.4333790000000001E-2</v>
      </c>
      <c r="P5549">
        <v>0.98416110000000001</v>
      </c>
      <c r="Q5549">
        <v>0.1572317</v>
      </c>
      <c r="R5549">
        <v>-8.1886749999999994E-2</v>
      </c>
      <c r="S5549">
        <v>3.048187</v>
      </c>
      <c r="T5549">
        <v>-0.1551563</v>
      </c>
      <c r="U5549">
        <v>-0.29598999999999998</v>
      </c>
      <c r="V5549">
        <v>9.5744860000000001E-2</v>
      </c>
      <c r="W5549">
        <v>0.17132439999999999</v>
      </c>
      <c r="X5549">
        <v>0.98055130000000001</v>
      </c>
      <c r="Y5549">
        <v>0.11074680000000001</v>
      </c>
      <c r="Z5549">
        <v>-3.5377579999999998E-3</v>
      </c>
      <c r="AA5549">
        <v>0.99384240000000001</v>
      </c>
      <c r="AB5549">
        <v>35</v>
      </c>
      <c r="AC5549">
        <v>21.6648</v>
      </c>
      <c r="AD5549">
        <v>-1.111024999908</v>
      </c>
      <c r="AE5549">
        <v>-2.1220399999999899</v>
      </c>
      <c r="AF5549">
        <v>2.42607234552991</v>
      </c>
      <c r="AG5549">
        <v>-1.111024999908</v>
      </c>
      <c r="AH5549">
        <v>21.575950629663399</v>
      </c>
      <c r="AI5549">
        <v>92.929338749201506</v>
      </c>
      <c r="AJ5549">
        <v>83.584418064587993</v>
      </c>
      <c r="AK5549">
        <v>21.7403277148676</v>
      </c>
      <c r="AL5549">
        <v>80.1351685058588</v>
      </c>
      <c r="AM5549">
        <v>84.423095412165694</v>
      </c>
      <c r="AN5549">
        <v>0.99999999009173401</v>
      </c>
    </row>
    <row r="5550" spans="1:40" x14ac:dyDescent="0.25">
      <c r="A5550" t="str">
        <f>"20190312164138459"</f>
        <v>20190312164138459</v>
      </c>
      <c r="B5550" t="str">
        <f>"1552380098452002"</f>
        <v>1552380098452002</v>
      </c>
      <c r="C5550" t="s">
        <v>40</v>
      </c>
      <c r="D5550">
        <v>5.762276</v>
      </c>
      <c r="E5550">
        <v>0.51307150000000001</v>
      </c>
      <c r="F5550" t="s">
        <v>41</v>
      </c>
      <c r="G5550">
        <v>-327.10430000000002</v>
      </c>
      <c r="H5550" s="1">
        <v>-2.2763760000000001E-6</v>
      </c>
      <c r="I5550">
        <v>15.18085</v>
      </c>
      <c r="J5550">
        <v>-349.24079999999998</v>
      </c>
      <c r="K5550">
        <v>1.11103</v>
      </c>
      <c r="L5550">
        <v>17.40643</v>
      </c>
      <c r="M5550">
        <v>0.99979110000000004</v>
      </c>
      <c r="N5550">
        <v>0</v>
      </c>
      <c r="O5550">
        <v>1.465811E-2</v>
      </c>
      <c r="P5550">
        <v>0.98404080000000005</v>
      </c>
      <c r="Q5550">
        <v>0.15762029999999999</v>
      </c>
      <c r="R5550">
        <v>-8.2580940000000005E-2</v>
      </c>
      <c r="S5550">
        <v>3.047272</v>
      </c>
      <c r="T5550">
        <v>-0.1517183</v>
      </c>
      <c r="U5550">
        <v>-0.30352780000000001</v>
      </c>
      <c r="V5550">
        <v>9.6756040000000001E-2</v>
      </c>
      <c r="W5550">
        <v>0.17174110000000001</v>
      </c>
      <c r="X5550">
        <v>0.98037920000000001</v>
      </c>
      <c r="Y5550">
        <v>0.11353539999999999</v>
      </c>
      <c r="Z5550">
        <v>-3.5453949999999998E-3</v>
      </c>
      <c r="AA5550">
        <v>0.99352770000000001</v>
      </c>
      <c r="AB5550">
        <v>35</v>
      </c>
      <c r="AC5550">
        <v>22.136499999999899</v>
      </c>
      <c r="AD5550">
        <v>-1.1110322763760001</v>
      </c>
      <c r="AE5550">
        <v>-2.2255799999999999</v>
      </c>
      <c r="AF5550">
        <v>2.5435099268471899</v>
      </c>
      <c r="AG5550">
        <v>-1.1110322763760001</v>
      </c>
      <c r="AH5550">
        <v>22.046514801676501</v>
      </c>
      <c r="AI5550">
        <v>92.865996871437503</v>
      </c>
      <c r="AJ5550">
        <v>83.418872730829705</v>
      </c>
      <c r="AK5550">
        <v>22.220545681140699</v>
      </c>
      <c r="AL5550">
        <v>80.110934823609597</v>
      </c>
      <c r="AM5550">
        <v>84.363590910195299</v>
      </c>
      <c r="AN5550">
        <v>1.00000005624916</v>
      </c>
    </row>
    <row r="5551" spans="1:40" x14ac:dyDescent="0.25">
      <c r="A5551" t="str">
        <f>"20190312164138470"</f>
        <v>20190312164138470</v>
      </c>
      <c r="B5551" t="str">
        <f>"1552380098461763"</f>
        <v>1552380098461763</v>
      </c>
      <c r="C5551" t="s">
        <v>40</v>
      </c>
      <c r="D5551">
        <v>5.5758660000000004</v>
      </c>
      <c r="E5551">
        <v>0.51352019999999998</v>
      </c>
      <c r="F5551" t="s">
        <v>41</v>
      </c>
      <c r="G5551">
        <v>-327.00790000000001</v>
      </c>
      <c r="H5551" s="1">
        <v>-2.3240589999999998E-6</v>
      </c>
      <c r="I5551">
        <v>15.140700000000001</v>
      </c>
      <c r="J5551">
        <v>-349.0598</v>
      </c>
      <c r="K5551">
        <v>1.1110340000000001</v>
      </c>
      <c r="L5551">
        <v>17.409389999999998</v>
      </c>
      <c r="M5551">
        <v>0.99978579999999995</v>
      </c>
      <c r="N5551">
        <v>0</v>
      </c>
      <c r="O5551">
        <v>1.4986009999999999E-2</v>
      </c>
      <c r="P5551">
        <v>0.98388909999999996</v>
      </c>
      <c r="Q5551">
        <v>0.1581245</v>
      </c>
      <c r="R5551">
        <v>-8.3420040000000001E-2</v>
      </c>
      <c r="S5551">
        <v>3.0469970000000002</v>
      </c>
      <c r="T5551">
        <v>-0.15226579999999901</v>
      </c>
      <c r="U5551">
        <v>-0.31051640000000003</v>
      </c>
      <c r="V5551">
        <v>9.7915199999999994E-2</v>
      </c>
      <c r="W5551">
        <v>0.17227000000000001</v>
      </c>
      <c r="X5551">
        <v>0.98017129999999997</v>
      </c>
      <c r="Y5551">
        <v>0.1161208</v>
      </c>
      <c r="Z5551">
        <v>-3.6388219999999999E-3</v>
      </c>
      <c r="AA5551">
        <v>0.99322840000000001</v>
      </c>
      <c r="AB5551">
        <v>35</v>
      </c>
      <c r="AC5551">
        <v>22.0518999999999</v>
      </c>
      <c r="AD5551">
        <v>-1.111036324059</v>
      </c>
      <c r="AE5551">
        <v>-2.2686899999999901</v>
      </c>
      <c r="AF5551">
        <v>2.5924270894180599</v>
      </c>
      <c r="AG5551">
        <v>-1.111036324059</v>
      </c>
      <c r="AH5551">
        <v>21.9602604057613</v>
      </c>
      <c r="AI5551">
        <v>92.876358917783307</v>
      </c>
      <c r="AJ5551">
        <v>83.267345393361694</v>
      </c>
      <c r="AK5551">
        <v>22.1406440063557</v>
      </c>
      <c r="AL5551">
        <v>80.080172627223902</v>
      </c>
      <c r="AM5551">
        <v>84.295306234342505</v>
      </c>
      <c r="AN5551">
        <v>1.0000000583173601</v>
      </c>
    </row>
    <row r="5552" spans="1:40" x14ac:dyDescent="0.25">
      <c r="A5552" t="str">
        <f>"20190312164138482"</f>
        <v>20190312164138482</v>
      </c>
      <c r="B5552" t="str">
        <f>"1552380098471523"</f>
        <v>1552380098471523</v>
      </c>
      <c r="C5552" t="s">
        <v>40</v>
      </c>
      <c r="D5552">
        <v>6.4343729999999999</v>
      </c>
      <c r="E5552">
        <v>0.51402680000000001</v>
      </c>
      <c r="F5552" t="s">
        <v>41</v>
      </c>
      <c r="G5552">
        <v>-326.36279999999999</v>
      </c>
      <c r="H5552" s="1">
        <v>-2.5965169999999999E-6</v>
      </c>
      <c r="I5552">
        <v>15.047790000000001</v>
      </c>
      <c r="J5552">
        <v>-348.89080000000001</v>
      </c>
      <c r="K5552">
        <v>1.1110370000000001</v>
      </c>
      <c r="L5552">
        <v>17.412199999999999</v>
      </c>
      <c r="M5552">
        <v>0.99978089999999997</v>
      </c>
      <c r="N5552">
        <v>0</v>
      </c>
      <c r="O5552">
        <v>1.529116E-2</v>
      </c>
      <c r="P5552">
        <v>0.98371889999999995</v>
      </c>
      <c r="Q5552">
        <v>0.15885389999999999</v>
      </c>
      <c r="R5552">
        <v>-8.4039890000000006E-2</v>
      </c>
      <c r="S5552">
        <v>3.0462039999999999</v>
      </c>
      <c r="T5552">
        <v>-0.14911460000000001</v>
      </c>
      <c r="U5552">
        <v>-0.316955599999999</v>
      </c>
      <c r="V5552">
        <v>9.8831829999999996E-2</v>
      </c>
      <c r="W5552">
        <v>0.17302100000000001</v>
      </c>
      <c r="X5552">
        <v>0.97994689999999995</v>
      </c>
      <c r="Y5552">
        <v>0.1185306</v>
      </c>
      <c r="Z5552">
        <v>-3.6378280000000001E-3</v>
      </c>
      <c r="AA5552">
        <v>0.99294380000000004</v>
      </c>
      <c r="AB5552">
        <v>35</v>
      </c>
      <c r="AC5552">
        <v>22.527999999999999</v>
      </c>
      <c r="AD5552">
        <v>-1.1110395965169999</v>
      </c>
      <c r="AE5552">
        <v>-2.3644099999999901</v>
      </c>
      <c r="AF5552">
        <v>2.7021471832681798</v>
      </c>
      <c r="AG5552">
        <v>-1.1110395965169999</v>
      </c>
      <c r="AH5552">
        <v>22.435233048432998</v>
      </c>
      <c r="AI5552">
        <v>92.814781090415096</v>
      </c>
      <c r="AJ5552">
        <v>83.132255498711501</v>
      </c>
      <c r="AK5552">
        <v>22.6246699494727</v>
      </c>
      <c r="AL5552">
        <v>80.036486553832404</v>
      </c>
      <c r="AM5552">
        <v>84.240949477491199</v>
      </c>
      <c r="AN5552">
        <v>0.99999996194087803</v>
      </c>
    </row>
    <row r="5553" spans="1:40" x14ac:dyDescent="0.25">
      <c r="A5553" t="str">
        <f>"20190312164138503"</f>
        <v>20190312164138503</v>
      </c>
      <c r="B5553" t="str">
        <f>"1552380098492018"</f>
        <v>1552380098492018</v>
      </c>
      <c r="C5553" t="s">
        <v>40</v>
      </c>
      <c r="D5553">
        <v>5.7374320000000001</v>
      </c>
      <c r="E5553">
        <v>0.51479849999999905</v>
      </c>
      <c r="F5553" t="s">
        <v>41</v>
      </c>
      <c r="G5553">
        <v>-325.5976</v>
      </c>
      <c r="H5553" s="1">
        <v>-2.9191320000000002E-6</v>
      </c>
      <c r="I5553">
        <v>14.939690000000001</v>
      </c>
      <c r="J5553">
        <v>-348.57229999999998</v>
      </c>
      <c r="K5553">
        <v>1.1110420000000001</v>
      </c>
      <c r="L5553">
        <v>17.417629999999999</v>
      </c>
      <c r="M5553">
        <v>0.99977150000000004</v>
      </c>
      <c r="N5553">
        <v>0</v>
      </c>
      <c r="O5553">
        <v>1.5862459999999998E-2</v>
      </c>
      <c r="P5553">
        <v>0.98342289999999999</v>
      </c>
      <c r="Q5553">
        <v>0.1600056</v>
      </c>
      <c r="R5553">
        <v>-8.5310419999999998E-2</v>
      </c>
      <c r="S5553">
        <v>3.0455019999999999</v>
      </c>
      <c r="T5553">
        <v>-0.14526449999999999</v>
      </c>
      <c r="U5553">
        <v>-0.32327270000000002</v>
      </c>
      <c r="V5553">
        <v>0.10065929999999999</v>
      </c>
      <c r="W5553">
        <v>0.17420769999999999</v>
      </c>
      <c r="X5553">
        <v>0.97955060000000005</v>
      </c>
      <c r="Y5553">
        <v>0.1211627</v>
      </c>
      <c r="Z5553">
        <v>-3.6341709999999998E-3</v>
      </c>
      <c r="AA5553">
        <v>0.99262600000000001</v>
      </c>
      <c r="AB5553">
        <v>35</v>
      </c>
      <c r="AC5553">
        <v>22.974699999999899</v>
      </c>
      <c r="AD5553">
        <v>-1.111044919132</v>
      </c>
      <c r="AE5553">
        <v>-2.4779399999999998</v>
      </c>
      <c r="AF5553">
        <v>2.8355457800679398</v>
      </c>
      <c r="AG5553">
        <v>-1.111044919132</v>
      </c>
      <c r="AH5553">
        <v>22.879606638645601</v>
      </c>
      <c r="AI5553">
        <v>92.759052177290897</v>
      </c>
      <c r="AJ5553">
        <v>82.935167125107299</v>
      </c>
      <c r="AK5553">
        <v>23.081402483868899</v>
      </c>
      <c r="AL5553">
        <v>79.967445525375794</v>
      </c>
      <c r="AM5553">
        <v>84.132840002068605</v>
      </c>
      <c r="AN5553">
        <v>0.99999999768807002</v>
      </c>
    </row>
    <row r="5554" spans="1:40" x14ac:dyDescent="0.25">
      <c r="A5554" t="str">
        <f>"20190312164138514"</f>
        <v>20190312164138514</v>
      </c>
      <c r="B5554" t="str">
        <f>"1552380098501779"</f>
        <v>1552380098501779</v>
      </c>
      <c r="C5554" t="s">
        <v>40</v>
      </c>
      <c r="D5554">
        <v>5.8044849999999997</v>
      </c>
      <c r="E5554">
        <v>0.51514459999999995</v>
      </c>
      <c r="F5554" t="s">
        <v>41</v>
      </c>
      <c r="G5554">
        <v>-324.2389</v>
      </c>
      <c r="H5554" s="1">
        <v>-3.567296E-6</v>
      </c>
      <c r="I5554">
        <v>14.748239999999999</v>
      </c>
      <c r="J5554">
        <v>-348.38549999999998</v>
      </c>
      <c r="K5554">
        <v>1.111048</v>
      </c>
      <c r="L5554">
        <v>17.420929999999998</v>
      </c>
      <c r="M5554">
        <v>0.99976589999999999</v>
      </c>
      <c r="N5554">
        <v>0</v>
      </c>
      <c r="O5554">
        <v>1.619489E-2</v>
      </c>
      <c r="P5554">
        <v>0.98331789999999997</v>
      </c>
      <c r="Q5554">
        <v>0.16035469999999999</v>
      </c>
      <c r="R5554">
        <v>-8.5863800000000004E-2</v>
      </c>
      <c r="S5554">
        <v>3.0442200000000001</v>
      </c>
      <c r="T5554">
        <v>-0.13899700000000001</v>
      </c>
      <c r="U5554">
        <v>-0.33395390000000003</v>
      </c>
      <c r="V5554">
        <v>0.1015383</v>
      </c>
      <c r="W5554">
        <v>0.174576799999999</v>
      </c>
      <c r="X5554">
        <v>0.97939410000000005</v>
      </c>
      <c r="Y5554">
        <v>0.1249871</v>
      </c>
      <c r="Z5554">
        <v>-3.58048E-3</v>
      </c>
      <c r="AA5554">
        <v>0.99215189999999998</v>
      </c>
      <c r="AB5554">
        <v>35</v>
      </c>
      <c r="AC5554">
        <v>24.1465999999999</v>
      </c>
      <c r="AD5554">
        <v>-1.111051567296</v>
      </c>
      <c r="AE5554">
        <v>-2.6726899999999998</v>
      </c>
      <c r="AF5554">
        <v>3.0570372620703901</v>
      </c>
      <c r="AG5554">
        <v>-1.111051567296</v>
      </c>
      <c r="AH5554">
        <v>24.049842816699702</v>
      </c>
      <c r="AI5554">
        <v>92.623978645523295</v>
      </c>
      <c r="AJ5554">
        <v>82.755835787821397</v>
      </c>
      <c r="AK5554">
        <v>24.268804089094299</v>
      </c>
      <c r="AL5554">
        <v>79.9459680029358</v>
      </c>
      <c r="AM5554">
        <v>84.081028579304402</v>
      </c>
      <c r="AN5554">
        <v>0.99999994428996797</v>
      </c>
    </row>
    <row r="5555" spans="1:40" x14ac:dyDescent="0.25">
      <c r="A5555" t="str">
        <f>"20190312164138525"</f>
        <v>20190312164138525</v>
      </c>
      <c r="B5555" t="str">
        <f>"1552380098511539"</f>
        <v>1552380098511539</v>
      </c>
      <c r="C5555" t="s">
        <v>40</v>
      </c>
      <c r="D5555">
        <v>5.9097910000000002</v>
      </c>
      <c r="E5555">
        <v>0.51547390000000004</v>
      </c>
      <c r="F5555" t="s">
        <v>41</v>
      </c>
      <c r="G5555">
        <v>-323.69060000000002</v>
      </c>
      <c r="H5555" s="1">
        <v>-3.8397270000000004E-6</v>
      </c>
      <c r="I5555">
        <v>14.67348</v>
      </c>
      <c r="J5555">
        <v>-348.22820000000002</v>
      </c>
      <c r="K5555">
        <v>1.1110530000000001</v>
      </c>
      <c r="L5555">
        <v>17.423739999999999</v>
      </c>
      <c r="M5555">
        <v>0.99976100000000001</v>
      </c>
      <c r="N5555">
        <v>0</v>
      </c>
      <c r="O5555">
        <v>1.6472230000000001E-2</v>
      </c>
      <c r="P5555">
        <v>0.98316049999999999</v>
      </c>
      <c r="Q5555">
        <v>0.16098870000000001</v>
      </c>
      <c r="R5555">
        <v>-8.6477070000000003E-2</v>
      </c>
      <c r="S5555">
        <v>3.0436399999999999</v>
      </c>
      <c r="T5555">
        <v>-0.1369369</v>
      </c>
      <c r="U5555">
        <v>-0.33862300000000001</v>
      </c>
      <c r="V5555">
        <v>0.1024219</v>
      </c>
      <c r="W5555">
        <v>0.17522370000000001</v>
      </c>
      <c r="X5555">
        <v>0.97918660000000002</v>
      </c>
      <c r="Y5555">
        <v>0.1267884</v>
      </c>
      <c r="Z5555">
        <v>-3.580658E-3</v>
      </c>
      <c r="AA5555">
        <v>0.99192329999999995</v>
      </c>
      <c r="AB5555">
        <v>35</v>
      </c>
      <c r="AC5555">
        <v>24.537600000000001</v>
      </c>
      <c r="AD5555">
        <v>-1.111056839727</v>
      </c>
      <c r="AE5555">
        <v>-2.7502599999999902</v>
      </c>
      <c r="AF5555">
        <v>3.1477439139229499</v>
      </c>
      <c r="AG5555">
        <v>-1.111056839727</v>
      </c>
      <c r="AH5555">
        <v>24.439476996978701</v>
      </c>
      <c r="AI5555">
        <v>92.581667392707601</v>
      </c>
      <c r="AJ5555">
        <v>82.660850537950196</v>
      </c>
      <c r="AK5555">
        <v>24.666389580451199</v>
      </c>
      <c r="AL5555">
        <v>79.9083236160848</v>
      </c>
      <c r="AM5555">
        <v>84.028635327271999</v>
      </c>
      <c r="AN5555">
        <v>0.99999999413042995</v>
      </c>
    </row>
    <row r="5556" spans="1:40" x14ac:dyDescent="0.25">
      <c r="A5556" t="str">
        <f>"20190312164138535"</f>
        <v>20190312164138535</v>
      </c>
      <c r="B5556" t="str">
        <f>"1552380098532035"</f>
        <v>1552380098532035</v>
      </c>
      <c r="C5556" t="s">
        <v>40</v>
      </c>
      <c r="D5556">
        <v>5.5932620000000002</v>
      </c>
      <c r="E5556">
        <v>0.5161019</v>
      </c>
      <c r="F5556" t="s">
        <v>41</v>
      </c>
      <c r="G5556">
        <v>-322.95679999999999</v>
      </c>
      <c r="H5556" s="1">
        <v>-4.2045710000000002E-6</v>
      </c>
      <c r="I5556">
        <v>14.572100000000001</v>
      </c>
      <c r="J5556">
        <v>-348.05259999999998</v>
      </c>
      <c r="K5556">
        <v>1.1110580000000001</v>
      </c>
      <c r="L5556">
        <v>17.426909999999999</v>
      </c>
      <c r="M5556">
        <v>0.99975570000000002</v>
      </c>
      <c r="N5556">
        <v>0</v>
      </c>
      <c r="O5556">
        <v>1.6780010000000001E-2</v>
      </c>
      <c r="P5556">
        <v>0.98292889999999999</v>
      </c>
      <c r="Q5556">
        <v>0.16203999999999999</v>
      </c>
      <c r="R5556">
        <v>-8.7144929999999995E-2</v>
      </c>
      <c r="S5556">
        <v>3.043091</v>
      </c>
      <c r="T5556">
        <v>-0.13378989999999999</v>
      </c>
      <c r="U5556">
        <v>-0.34338380000000002</v>
      </c>
      <c r="V5556">
        <v>0.10338849999999999</v>
      </c>
      <c r="W5556">
        <v>0.17628840000000001</v>
      </c>
      <c r="X5556">
        <v>0.97889389999999998</v>
      </c>
      <c r="Y5556">
        <v>0.12865019999999999</v>
      </c>
      <c r="Z5556">
        <v>-3.5530430000000001E-3</v>
      </c>
      <c r="AA5556">
        <v>0.99168369999999995</v>
      </c>
      <c r="AB5556">
        <v>34</v>
      </c>
      <c r="AC5556">
        <v>25.095800000000001</v>
      </c>
      <c r="AD5556">
        <v>-1.1110622045709999</v>
      </c>
      <c r="AE5556">
        <v>-2.8548099999999899</v>
      </c>
      <c r="AF5556">
        <v>3.2692332281221299</v>
      </c>
      <c r="AG5556">
        <v>-1.1110622045709999</v>
      </c>
      <c r="AH5556">
        <v>24.995988901887301</v>
      </c>
      <c r="AI5556">
        <v>92.523635208172493</v>
      </c>
      <c r="AJ5556">
        <v>82.548563284785899</v>
      </c>
      <c r="AK5556">
        <v>25.2333471086488</v>
      </c>
      <c r="AL5556">
        <v>79.846356509238404</v>
      </c>
      <c r="AM5556">
        <v>83.970904923863301</v>
      </c>
      <c r="AN5556">
        <v>1.000000024682</v>
      </c>
    </row>
    <row r="5557" spans="1:40" x14ac:dyDescent="0.25">
      <c r="A5557" t="str">
        <f>"20190312164138548"</f>
        <v>20190312164138548</v>
      </c>
      <c r="B5557" t="str">
        <f>"1552380098541795"</f>
        <v>1552380098541795</v>
      </c>
      <c r="C5557" t="s">
        <v>40</v>
      </c>
      <c r="D5557">
        <v>6.057715</v>
      </c>
      <c r="E5557">
        <v>0.51644869999999998</v>
      </c>
      <c r="F5557" t="s">
        <v>41</v>
      </c>
      <c r="G5557">
        <v>-321.83359999999999</v>
      </c>
      <c r="H5557" s="1">
        <v>-4.7655920000000004E-6</v>
      </c>
      <c r="I5557">
        <v>14.40258</v>
      </c>
      <c r="J5557">
        <v>-347.87079999999997</v>
      </c>
      <c r="K5557">
        <v>1.1110599999999999</v>
      </c>
      <c r="L5557">
        <v>17.43027</v>
      </c>
      <c r="M5557">
        <v>0.99975009999999997</v>
      </c>
      <c r="N5557">
        <v>0</v>
      </c>
      <c r="O5557">
        <v>1.708983E-2</v>
      </c>
      <c r="P5557">
        <v>0.98280040000000002</v>
      </c>
      <c r="Q5557">
        <v>0.16239700000000001</v>
      </c>
      <c r="R5557">
        <v>-8.7925080000000003E-2</v>
      </c>
      <c r="S5557">
        <v>3.0422669999999998</v>
      </c>
      <c r="T5557">
        <v>-0.12892000000000001</v>
      </c>
      <c r="U5557">
        <v>-0.3509216</v>
      </c>
      <c r="V5557">
        <v>0.1044731</v>
      </c>
      <c r="W5557">
        <v>0.1766577</v>
      </c>
      <c r="X5557">
        <v>0.97871209999999997</v>
      </c>
      <c r="Y5557">
        <v>0.1314196</v>
      </c>
      <c r="Z5557">
        <v>-3.4958189999999998E-3</v>
      </c>
      <c r="AA5557">
        <v>0.99132070000000005</v>
      </c>
      <c r="AB5557">
        <v>34</v>
      </c>
      <c r="AC5557">
        <v>26.037199999999899</v>
      </c>
      <c r="AD5557">
        <v>-1.1110647655919901</v>
      </c>
      <c r="AE5557">
        <v>-3.0276900000000002</v>
      </c>
      <c r="AF5557">
        <v>3.4660381065838601</v>
      </c>
      <c r="AG5557">
        <v>-1.1110647655919901</v>
      </c>
      <c r="AH5557">
        <v>25.935053080658101</v>
      </c>
      <c r="AI5557">
        <v>92.431475664176702</v>
      </c>
      <c r="AJ5557">
        <v>82.387925077674197</v>
      </c>
      <c r="AK5557">
        <v>26.189212729026099</v>
      </c>
      <c r="AL5557">
        <v>79.824859267493295</v>
      </c>
      <c r="AM5557">
        <v>83.907006600688504</v>
      </c>
      <c r="AN5557">
        <v>0.99999997313965405</v>
      </c>
    </row>
    <row r="5558" spans="1:40" x14ac:dyDescent="0.25">
      <c r="A5558" t="str">
        <f>"20190312164138560"</f>
        <v>20190312164138560</v>
      </c>
      <c r="B5558" t="str">
        <f>"1552380098551554"</f>
        <v>1552380098551554</v>
      </c>
      <c r="C5558" t="s">
        <v>40</v>
      </c>
      <c r="D5558">
        <v>5.8680620000000001</v>
      </c>
      <c r="E5558">
        <v>0.51675349999999998</v>
      </c>
      <c r="F5558" t="s">
        <v>41</v>
      </c>
      <c r="G5558">
        <v>-321.32679999999999</v>
      </c>
      <c r="H5558" s="1">
        <v>-5.0195080000000002E-6</v>
      </c>
      <c r="I5558">
        <v>14.32183</v>
      </c>
      <c r="J5558">
        <v>-347.69549999999998</v>
      </c>
      <c r="K5558">
        <v>1.1110580000000001</v>
      </c>
      <c r="L5558">
        <v>17.433529999999902</v>
      </c>
      <c r="M5558">
        <v>0.99974479999999999</v>
      </c>
      <c r="N5558">
        <v>0</v>
      </c>
      <c r="O5558">
        <v>1.7384509999999999E-2</v>
      </c>
      <c r="P5558">
        <v>0.98263339999999999</v>
      </c>
      <c r="Q5558">
        <v>0.16305259999999999</v>
      </c>
      <c r="R5558">
        <v>-8.8573789999999999E-2</v>
      </c>
      <c r="S5558">
        <v>3.0417179999999999</v>
      </c>
      <c r="T5558">
        <v>-0.1273186</v>
      </c>
      <c r="U5558">
        <v>-0.3562012</v>
      </c>
      <c r="V5558">
        <v>0.10541109999999999</v>
      </c>
      <c r="W5558">
        <v>0.1773237</v>
      </c>
      <c r="X5558">
        <v>0.97849109999999995</v>
      </c>
      <c r="Y5558">
        <v>0.13343089999999999</v>
      </c>
      <c r="Z5558">
        <v>-3.5069379999999998E-3</v>
      </c>
      <c r="AA5558">
        <v>0.99105189999999999</v>
      </c>
      <c r="AB5558">
        <v>34</v>
      </c>
      <c r="AC5558">
        <v>26.368699999999901</v>
      </c>
      <c r="AD5558">
        <v>-1.111063019508</v>
      </c>
      <c r="AE5558">
        <v>-3.1116999999999901</v>
      </c>
      <c r="AF5558">
        <v>3.56344459091788</v>
      </c>
      <c r="AG5558">
        <v>-1.111063019508</v>
      </c>
      <c r="AH5558">
        <v>26.2646231039406</v>
      </c>
      <c r="AI5558">
        <v>92.400353191064795</v>
      </c>
      <c r="AJ5558">
        <v>82.273590667964896</v>
      </c>
      <c r="AK5558">
        <v>26.5285322846537</v>
      </c>
      <c r="AL5558">
        <v>79.786088597383099</v>
      </c>
      <c r="AM5558">
        <v>83.851340574273493</v>
      </c>
      <c r="AN5558">
        <v>1.0000000136820499</v>
      </c>
    </row>
    <row r="5559" spans="1:40" x14ac:dyDescent="0.25">
      <c r="A5559" t="str">
        <f>"20190312164138582"</f>
        <v>20190312164138582</v>
      </c>
      <c r="B5559" t="str">
        <f>"1552380098572050"</f>
        <v>1552380098572050</v>
      </c>
      <c r="C5559" t="s">
        <v>40</v>
      </c>
      <c r="D5559">
        <v>6.130592</v>
      </c>
      <c r="E5559">
        <v>0.53686040000000002</v>
      </c>
      <c r="F5559" t="s">
        <v>41</v>
      </c>
      <c r="G5559">
        <v>-321.21120000000002</v>
      </c>
      <c r="H5559" s="1">
        <v>-5.0787449999999999E-6</v>
      </c>
      <c r="I5559">
        <v>14.295970000000001</v>
      </c>
      <c r="J5559">
        <v>-347.35379999999998</v>
      </c>
      <c r="K5559">
        <v>1.111046</v>
      </c>
      <c r="L5559">
        <v>17.44003</v>
      </c>
      <c r="M5559">
        <v>0.99973500000000004</v>
      </c>
      <c r="N5559">
        <v>0</v>
      </c>
      <c r="O5559">
        <v>1.7924639999999999E-2</v>
      </c>
      <c r="P5559">
        <v>0.98230910000000005</v>
      </c>
      <c r="Q5559">
        <v>0.16431570000000001</v>
      </c>
      <c r="R5559">
        <v>-8.9829580000000006E-2</v>
      </c>
      <c r="S5559">
        <v>3.0417480000000001</v>
      </c>
      <c r="T5559">
        <v>-0.12760659999999999</v>
      </c>
      <c r="U5559">
        <v>-0.36035159999999999</v>
      </c>
      <c r="V5559">
        <v>0.1072</v>
      </c>
      <c r="W5559">
        <v>0.17860039999999999</v>
      </c>
      <c r="X5559">
        <v>0.97806439999999994</v>
      </c>
      <c r="Y5559">
        <v>0.135296</v>
      </c>
      <c r="Z5559">
        <v>-3.5761030000000002E-3</v>
      </c>
      <c r="AA5559">
        <v>0.99079879999999998</v>
      </c>
      <c r="AB5559">
        <v>34</v>
      </c>
      <c r="AC5559">
        <v>26.142599999999899</v>
      </c>
      <c r="AD5559">
        <v>-1.1110510787450001</v>
      </c>
      <c r="AE5559">
        <v>-3.1440600000000001</v>
      </c>
      <c r="AF5559">
        <v>3.6057803840418301</v>
      </c>
      <c r="AG5559">
        <v>-1.1110510787450001</v>
      </c>
      <c r="AH5559">
        <v>26.035681378788698</v>
      </c>
      <c r="AI5559">
        <v>92.420492172233196</v>
      </c>
      <c r="AJ5559">
        <v>82.115047154200894</v>
      </c>
      <c r="AK5559">
        <v>26.3076565192593</v>
      </c>
      <c r="AL5559">
        <v>79.711751877099402</v>
      </c>
      <c r="AM5559">
        <v>83.745107061739503</v>
      </c>
      <c r="AN5559">
        <v>0.99999995671375896</v>
      </c>
    </row>
    <row r="5560" spans="1:40" x14ac:dyDescent="0.25">
      <c r="A5560" t="str">
        <f>"20190312164138594"</f>
        <v>20190312164138594</v>
      </c>
      <c r="B5560" t="str">
        <f>"1552380098581811"</f>
        <v>1552380098581811</v>
      </c>
      <c r="C5560" t="s">
        <v>40</v>
      </c>
      <c r="D5560">
        <v>6.1087040000000004</v>
      </c>
      <c r="E5560">
        <v>0.53955600000000004</v>
      </c>
      <c r="F5560" t="s">
        <v>41</v>
      </c>
      <c r="G5560">
        <v>-333.95600000000002</v>
      </c>
      <c r="H5560" s="1">
        <v>-3.3632560000000001E-6</v>
      </c>
      <c r="I5560">
        <v>15.173500000000001</v>
      </c>
      <c r="J5560">
        <v>-347.15899999999999</v>
      </c>
      <c r="K5560">
        <v>1.111032</v>
      </c>
      <c r="L5560">
        <v>17.443819999999999</v>
      </c>
      <c r="M5560">
        <v>0.99972950000000005</v>
      </c>
      <c r="N5560">
        <v>0</v>
      </c>
      <c r="O5560">
        <v>1.8215229999999999E-2</v>
      </c>
      <c r="P5560">
        <v>0.98224579999999995</v>
      </c>
      <c r="Q5560">
        <v>0.16445899999999999</v>
      </c>
      <c r="R5560">
        <v>-9.0257500000000004E-2</v>
      </c>
      <c r="S5560">
        <v>3.0491329999999999</v>
      </c>
      <c r="T5560">
        <v>-0.2528572</v>
      </c>
      <c r="U5560">
        <v>-0.51580809999999999</v>
      </c>
      <c r="V5560">
        <v>0.1079196</v>
      </c>
      <c r="W5560">
        <v>0.17874970000000001</v>
      </c>
      <c r="X5560">
        <v>0.97795799999999999</v>
      </c>
      <c r="Y5560">
        <v>0.18405450000000001</v>
      </c>
      <c r="Z5560">
        <v>-9.0630929999999995E-3</v>
      </c>
      <c r="AA5560">
        <v>0.98287429999999998</v>
      </c>
      <c r="AB5560">
        <v>34</v>
      </c>
      <c r="AC5560">
        <v>13.202999999999999</v>
      </c>
      <c r="AD5560">
        <v>-1.1110353632559999</v>
      </c>
      <c r="AE5560">
        <v>-2.2703199999999999</v>
      </c>
      <c r="AF5560">
        <v>2.4933153324879802</v>
      </c>
      <c r="AG5560">
        <v>-1.1110353632559999</v>
      </c>
      <c r="AH5560">
        <v>13.0695592891253</v>
      </c>
      <c r="AI5560">
        <v>94.7733215963096</v>
      </c>
      <c r="AJ5560">
        <v>79.199308147191303</v>
      </c>
      <c r="AK5560">
        <v>13.3515692312771</v>
      </c>
      <c r="AL5560">
        <v>79.703057876255201</v>
      </c>
      <c r="AM5560">
        <v>83.702776503839999</v>
      </c>
      <c r="AN5560">
        <v>0.99999997253912398</v>
      </c>
    </row>
    <row r="5561" spans="1:40" x14ac:dyDescent="0.25">
      <c r="A5561" t="str">
        <f>"20190312164138608"</f>
        <v>20190312164138608</v>
      </c>
      <c r="B5561" t="str">
        <f>"1552380098602307"</f>
        <v>1552380098602307</v>
      </c>
      <c r="C5561" t="s">
        <v>40</v>
      </c>
      <c r="D5561">
        <v>5.883553</v>
      </c>
      <c r="E5561">
        <v>0.53632740000000001</v>
      </c>
      <c r="F5561" t="s">
        <v>41</v>
      </c>
      <c r="G5561">
        <v>-333.78379999999999</v>
      </c>
      <c r="H5561" s="1">
        <v>-3.4536010000000001E-6</v>
      </c>
      <c r="I5561">
        <v>15.080629999999999</v>
      </c>
      <c r="J5561">
        <v>-346.96069999999997</v>
      </c>
      <c r="K5561">
        <v>1.1110120000000001</v>
      </c>
      <c r="L5561">
        <v>17.44772</v>
      </c>
      <c r="M5561">
        <v>0.99972430000000001</v>
      </c>
      <c r="N5561">
        <v>0</v>
      </c>
      <c r="O5561">
        <v>1.849375E-2</v>
      </c>
      <c r="P5561">
        <v>0.98218970000000005</v>
      </c>
      <c r="Q5561">
        <v>0.16445839999999901</v>
      </c>
      <c r="R5561">
        <v>-9.0867139999999999E-2</v>
      </c>
      <c r="S5561">
        <v>3.0471499999999998</v>
      </c>
      <c r="T5561">
        <v>-0.25311529999999999</v>
      </c>
      <c r="U5561">
        <v>-0.53836059999999997</v>
      </c>
      <c r="V5561">
        <v>0.10881059999999999</v>
      </c>
      <c r="W5561">
        <v>0.17875429999999901</v>
      </c>
      <c r="X5561">
        <v>0.97785840000000002</v>
      </c>
      <c r="Y5561">
        <v>0.1914642</v>
      </c>
      <c r="Z5561">
        <v>-9.4002979999999996E-3</v>
      </c>
      <c r="AA5561">
        <v>0.98145459999999995</v>
      </c>
      <c r="AB5561">
        <v>34</v>
      </c>
      <c r="AC5561">
        <v>13.1768999999999</v>
      </c>
      <c r="AD5561">
        <v>-1.111015453601</v>
      </c>
      <c r="AE5561">
        <v>-2.3670900000000001</v>
      </c>
      <c r="AF5561">
        <v>2.5925464235742801</v>
      </c>
      <c r="AG5561">
        <v>-1.111015453601</v>
      </c>
      <c r="AH5561">
        <v>13.0410533051159</v>
      </c>
      <c r="AI5561">
        <v>94.776455378018497</v>
      </c>
      <c r="AJ5561">
        <v>78.756256556040498</v>
      </c>
      <c r="AK5561">
        <v>13.3425905881655</v>
      </c>
      <c r="AL5561">
        <v>79.702789750510405</v>
      </c>
      <c r="AM5561">
        <v>83.650567140681005</v>
      </c>
      <c r="AN5561">
        <v>0.99999994844570295</v>
      </c>
    </row>
    <row r="5562" spans="1:40" x14ac:dyDescent="0.25">
      <c r="A5562" t="str">
        <f>"20190312164138626"</f>
        <v>20190312164138626</v>
      </c>
      <c r="B5562" t="str">
        <f>"1552380098621827"</f>
        <v>1552380098621827</v>
      </c>
      <c r="C5562" t="s">
        <v>40</v>
      </c>
      <c r="D5562">
        <v>5.7866439999999999</v>
      </c>
      <c r="E5562">
        <v>0.53397039999999996</v>
      </c>
      <c r="F5562" t="s">
        <v>41</v>
      </c>
      <c r="G5562">
        <v>-333.23660000000001</v>
      </c>
      <c r="H5562" s="1">
        <v>-3.6798369999999999E-6</v>
      </c>
      <c r="I5562">
        <v>15.128500000000001</v>
      </c>
      <c r="J5562">
        <v>-346.68360000000001</v>
      </c>
      <c r="K5562">
        <v>1.1109719999999901</v>
      </c>
      <c r="L5562">
        <v>17.453220000000002</v>
      </c>
      <c r="M5562">
        <v>0.99971730000000003</v>
      </c>
      <c r="N5562">
        <v>0</v>
      </c>
      <c r="O5562">
        <v>1.8850619999999998E-2</v>
      </c>
      <c r="P5562">
        <v>0.98207549999999999</v>
      </c>
      <c r="Q5562">
        <v>0.1641398</v>
      </c>
      <c r="R5562">
        <v>-9.2657840000000005E-2</v>
      </c>
      <c r="S5562">
        <v>3.0480960000000001</v>
      </c>
      <c r="T5562">
        <v>-0.24675369999999999</v>
      </c>
      <c r="U5562">
        <v>-0.51507570000000003</v>
      </c>
      <c r="V5562">
        <v>0.1109648</v>
      </c>
      <c r="W5562">
        <v>0.1784395</v>
      </c>
      <c r="X5562">
        <v>0.97767380000000004</v>
      </c>
      <c r="Y5562">
        <v>0.18453259999999999</v>
      </c>
      <c r="Z5562">
        <v>-8.9183860000000004E-3</v>
      </c>
      <c r="AA5562">
        <v>0.98278589999999999</v>
      </c>
      <c r="AB5562">
        <v>34</v>
      </c>
      <c r="AC5562">
        <v>13.446999999999999</v>
      </c>
      <c r="AD5562">
        <v>-1.1109756798370001</v>
      </c>
      <c r="AE5562">
        <v>-2.3247200000000001</v>
      </c>
      <c r="AF5562">
        <v>2.5608450077906899</v>
      </c>
      <c r="AG5562">
        <v>-1.1109756798370001</v>
      </c>
      <c r="AH5562">
        <v>13.3125503673573</v>
      </c>
      <c r="AI5562">
        <v>94.684965251062707</v>
      </c>
      <c r="AJ5562">
        <v>79.111405133771399</v>
      </c>
      <c r="AK5562">
        <v>13.602065703360701</v>
      </c>
      <c r="AL5562">
        <v>79.721121212230898</v>
      </c>
      <c r="AM5562">
        <v>83.524707939692703</v>
      </c>
      <c r="AN5562">
        <v>0.99999995060286395</v>
      </c>
    </row>
    <row r="5563" spans="1:40" x14ac:dyDescent="0.25">
      <c r="A5563" t="str">
        <f>"20190312164138639"</f>
        <v>20190312164138639</v>
      </c>
      <c r="B5563" t="str">
        <f>"1552380098631587"</f>
        <v>1552380098631587</v>
      </c>
      <c r="C5563" t="s">
        <v>40</v>
      </c>
      <c r="D5563">
        <v>5.7414170000000002</v>
      </c>
      <c r="E5563">
        <v>0.53397039999999996</v>
      </c>
      <c r="F5563" t="s">
        <v>41</v>
      </c>
      <c r="G5563">
        <v>-330.3913</v>
      </c>
      <c r="H5563" s="1">
        <v>-4.967368E-6</v>
      </c>
      <c r="I5563">
        <v>14.7514</v>
      </c>
      <c r="J5563">
        <v>-346.47300000000001</v>
      </c>
      <c r="K5563">
        <v>1.1109359999999999</v>
      </c>
      <c r="L5563">
        <v>17.4574</v>
      </c>
      <c r="M5563">
        <v>0.99971270000000001</v>
      </c>
      <c r="N5563">
        <v>0</v>
      </c>
      <c r="O5563">
        <v>1.9092419999999999E-2</v>
      </c>
      <c r="P5563">
        <v>0.98209460000000004</v>
      </c>
      <c r="Q5563">
        <v>0.16377</v>
      </c>
      <c r="R5563">
        <v>-9.3109700000000004E-2</v>
      </c>
      <c r="S5563">
        <v>3.0418400000000001</v>
      </c>
      <c r="T5563">
        <v>-0.20742379999999999</v>
      </c>
      <c r="U5563">
        <v>-0.50442500000000001</v>
      </c>
      <c r="V5563">
        <v>0.1116687</v>
      </c>
      <c r="W5563">
        <v>0.17807020000000001</v>
      </c>
      <c r="X5563">
        <v>0.977661</v>
      </c>
      <c r="Y5563">
        <v>0.18194750000000001</v>
      </c>
      <c r="Z5563">
        <v>-7.4466509999999899E-3</v>
      </c>
      <c r="AA5563">
        <v>0.98328009999999999</v>
      </c>
      <c r="AB5563">
        <v>34</v>
      </c>
      <c r="AC5563">
        <v>16.081700000000001</v>
      </c>
      <c r="AD5563">
        <v>-1.110940967368</v>
      </c>
      <c r="AE5563">
        <v>-2.7059999999999902</v>
      </c>
      <c r="AF5563">
        <v>2.9986612914117901</v>
      </c>
      <c r="AG5563">
        <v>-1.110940967368</v>
      </c>
      <c r="AH5563">
        <v>15.953063619476</v>
      </c>
      <c r="AI5563">
        <v>93.915191634490199</v>
      </c>
      <c r="AJ5563">
        <v>79.354457644113594</v>
      </c>
      <c r="AK5563">
        <v>16.270414814031</v>
      </c>
      <c r="AL5563">
        <v>79.742625067442503</v>
      </c>
      <c r="AM5563">
        <v>83.483899809054904</v>
      </c>
      <c r="AN5563">
        <v>0.99999996280436398</v>
      </c>
    </row>
    <row r="5564" spans="1:40" x14ac:dyDescent="0.25">
      <c r="A5564" t="str">
        <f>"20190312164138650"</f>
        <v>20190312164138650</v>
      </c>
      <c r="B5564" t="str">
        <f>"1552380098641347"</f>
        <v>1552380098641347</v>
      </c>
      <c r="C5564" t="s">
        <v>40</v>
      </c>
      <c r="D5564">
        <v>5.7531150000000002</v>
      </c>
      <c r="E5564">
        <v>0.4992973</v>
      </c>
      <c r="F5564" t="s">
        <v>41</v>
      </c>
      <c r="G5564">
        <v>-330.28429999999997</v>
      </c>
      <c r="H5564" s="1">
        <v>-5.0104369999999999E-6</v>
      </c>
      <c r="I5564">
        <v>14.767200000000001</v>
      </c>
      <c r="J5564">
        <v>-346.30360000000002</v>
      </c>
      <c r="K5564">
        <v>1.1108990000000001</v>
      </c>
      <c r="L5564">
        <v>17.460819999999998</v>
      </c>
      <c r="M5564">
        <v>0.99970950000000003</v>
      </c>
      <c r="N5564">
        <v>0</v>
      </c>
      <c r="O5564">
        <v>1.9254629999999998E-2</v>
      </c>
      <c r="P5564">
        <v>0.98208130000000005</v>
      </c>
      <c r="Q5564">
        <v>0.16340009999999999</v>
      </c>
      <c r="R5564">
        <v>-9.3899960000000005E-2</v>
      </c>
      <c r="S5564">
        <v>3.041595</v>
      </c>
      <c r="T5564">
        <v>-0.20872869999999999</v>
      </c>
      <c r="U5564">
        <v>-0.50543209999999905</v>
      </c>
      <c r="V5564">
        <v>0.1126312</v>
      </c>
      <c r="W5564">
        <v>0.1776982</v>
      </c>
      <c r="X5564">
        <v>0.97761830000000005</v>
      </c>
      <c r="Y5564">
        <v>0.18242929999999999</v>
      </c>
      <c r="Z5564">
        <v>-7.5212339999999999E-3</v>
      </c>
      <c r="AA5564">
        <v>0.98319020000000001</v>
      </c>
      <c r="AB5564">
        <v>34</v>
      </c>
      <c r="AC5564">
        <v>16.019300000000001</v>
      </c>
      <c r="AD5564">
        <v>-1.110904010437</v>
      </c>
      <c r="AE5564">
        <v>-2.6936200000000001</v>
      </c>
      <c r="AF5564">
        <v>2.9876258459880001</v>
      </c>
      <c r="AG5564">
        <v>-1.110904010437</v>
      </c>
      <c r="AH5564">
        <v>15.890143031742101</v>
      </c>
      <c r="AI5564">
        <v>93.930480423626904</v>
      </c>
      <c r="AJ5564">
        <v>79.351700785809399</v>
      </c>
      <c r="AK5564">
        <v>16.206685703290599</v>
      </c>
      <c r="AL5564">
        <v>79.764284806966998</v>
      </c>
      <c r="AM5564">
        <v>83.427940635837103</v>
      </c>
      <c r="AN5564">
        <v>0.99999998899578402</v>
      </c>
    </row>
    <row r="5565" spans="1:40" x14ac:dyDescent="0.25">
      <c r="A5565" t="str">
        <f>"20190312164138661"</f>
        <v>20190312164138661</v>
      </c>
      <c r="B5565" t="str">
        <f>"1552380098652083"</f>
        <v>1552380098652083</v>
      </c>
      <c r="C5565" t="s">
        <v>40</v>
      </c>
      <c r="D5565">
        <v>5.6940559999999998</v>
      </c>
      <c r="E5565">
        <v>0.49639539999999999</v>
      </c>
      <c r="F5565" t="s">
        <v>41</v>
      </c>
      <c r="G5565">
        <v>-321.02969999999999</v>
      </c>
      <c r="H5565" s="1">
        <v>-4.9496580000000003E-6</v>
      </c>
      <c r="I5565">
        <v>15.507379999999999</v>
      </c>
      <c r="J5565">
        <v>-346.13979999999998</v>
      </c>
      <c r="K5565">
        <v>1.1108640000000001</v>
      </c>
      <c r="L5565">
        <v>17.464079999999999</v>
      </c>
      <c r="M5565">
        <v>0.9997066</v>
      </c>
      <c r="N5565">
        <v>0</v>
      </c>
      <c r="O5565">
        <v>1.9400339999999999E-2</v>
      </c>
      <c r="P5565">
        <v>0.98208790000000001</v>
      </c>
      <c r="Q5565">
        <v>0.1629022</v>
      </c>
      <c r="R5565">
        <v>-9.4691670000000006E-2</v>
      </c>
      <c r="S5565">
        <v>3.0545040000000001</v>
      </c>
      <c r="T5565">
        <v>-0.1342593</v>
      </c>
      <c r="U5565">
        <v>-0.23608399999999999</v>
      </c>
      <c r="V5565">
        <v>0.113579399999999</v>
      </c>
      <c r="W5565">
        <v>0.17719840000000001</v>
      </c>
      <c r="X5565">
        <v>0.97759929999999995</v>
      </c>
      <c r="Y5565">
        <v>9.6279729999999994E-2</v>
      </c>
      <c r="Z5565">
        <v>-2.9630630000000002E-3</v>
      </c>
      <c r="AA5565">
        <v>0.99534990000000001</v>
      </c>
      <c r="AB5565">
        <v>34</v>
      </c>
      <c r="AC5565">
        <v>25.1100999999999</v>
      </c>
      <c r="AD5565">
        <v>-1.11086894965799</v>
      </c>
      <c r="AE5565">
        <v>-1.9567000000000001</v>
      </c>
      <c r="AF5565">
        <v>2.4387830750769601</v>
      </c>
      <c r="AG5565">
        <v>-1.11086894965799</v>
      </c>
      <c r="AH5565">
        <v>25.018738130075999</v>
      </c>
      <c r="AI5565">
        <v>92.530369751387298</v>
      </c>
      <c r="AJ5565">
        <v>84.432496771795101</v>
      </c>
      <c r="AK5565">
        <v>25.161855065394501</v>
      </c>
      <c r="AL5565">
        <v>79.793382850194703</v>
      </c>
      <c r="AM5565">
        <v>83.372975359951297</v>
      </c>
      <c r="AN5565">
        <v>0.99999997221370396</v>
      </c>
    </row>
    <row r="5566" spans="1:40" x14ac:dyDescent="0.25">
      <c r="A5566" t="str">
        <f>"20190312164138671"</f>
        <v>20190312164138671</v>
      </c>
      <c r="B5566" t="str">
        <f>"1552380098661844"</f>
        <v>1552380098661844</v>
      </c>
      <c r="C5566" t="s">
        <v>40</v>
      </c>
      <c r="D5566">
        <v>5.7415729999999998</v>
      </c>
      <c r="E5566">
        <v>0.49496430000000002</v>
      </c>
      <c r="F5566" t="s">
        <v>41</v>
      </c>
      <c r="G5566">
        <v>-321.05959999999999</v>
      </c>
      <c r="H5566" s="1">
        <v>-4.9014640000000003E-6</v>
      </c>
      <c r="I5566">
        <v>15.69936</v>
      </c>
      <c r="J5566">
        <v>-345.9726</v>
      </c>
      <c r="K5566">
        <v>1.1108209999999901</v>
      </c>
      <c r="L5566">
        <v>17.467469999999999</v>
      </c>
      <c r="M5566">
        <v>0.99970409999999998</v>
      </c>
      <c r="N5566">
        <v>0</v>
      </c>
      <c r="O5566">
        <v>1.9523769999999999E-2</v>
      </c>
      <c r="P5566">
        <v>0.98212109999999997</v>
      </c>
      <c r="Q5566">
        <v>0.16231579999999901</v>
      </c>
      <c r="R5566">
        <v>-9.5352259999999994E-2</v>
      </c>
      <c r="S5566">
        <v>3.0563959999999999</v>
      </c>
      <c r="T5566">
        <v>-0.135376</v>
      </c>
      <c r="U5566">
        <v>-0.21505740000000001</v>
      </c>
      <c r="V5566">
        <v>0.1143768</v>
      </c>
      <c r="W5566">
        <v>0.1766085</v>
      </c>
      <c r="X5566">
        <v>0.97761310000000001</v>
      </c>
      <c r="Y5566">
        <v>8.9547349999999998E-2</v>
      </c>
      <c r="Z5566">
        <v>-2.8431989999999998E-3</v>
      </c>
      <c r="AA5566">
        <v>0.99597849999999999</v>
      </c>
      <c r="AB5566">
        <v>34</v>
      </c>
      <c r="AC5566">
        <v>24.913</v>
      </c>
      <c r="AD5566">
        <v>-1.1108259014639901</v>
      </c>
      <c r="AE5566">
        <v>-1.7681100000000001</v>
      </c>
      <c r="AF5566">
        <v>2.2497694386118998</v>
      </c>
      <c r="AG5566">
        <v>-1.1108259014639901</v>
      </c>
      <c r="AH5566">
        <v>24.824619926819199</v>
      </c>
      <c r="AI5566">
        <v>92.551658712045494</v>
      </c>
      <c r="AJ5566">
        <v>84.821627715271603</v>
      </c>
      <c r="AK5566">
        <v>24.951095190818801</v>
      </c>
      <c r="AL5566">
        <v>79.827723465170394</v>
      </c>
      <c r="AM5566">
        <v>83.326960921297996</v>
      </c>
      <c r="AN5566">
        <v>0.99999999397104999</v>
      </c>
    </row>
    <row r="5567" spans="1:40" x14ac:dyDescent="0.25">
      <c r="A5567" t="str">
        <f>"20190312164138682"</f>
        <v>20190312164138682</v>
      </c>
      <c r="B5567" t="str">
        <f>"1552380098671603"</f>
        <v>1552380098671603</v>
      </c>
      <c r="C5567" t="s">
        <v>40</v>
      </c>
      <c r="D5567">
        <v>5.7375679999999996</v>
      </c>
      <c r="E5567">
        <v>0.4939307</v>
      </c>
      <c r="F5567" t="s">
        <v>41</v>
      </c>
      <c r="G5567">
        <v>-321.62549999999999</v>
      </c>
      <c r="H5567" s="1">
        <v>-4.6104900000000003E-6</v>
      </c>
      <c r="I5567">
        <v>15.83161</v>
      </c>
      <c r="J5567">
        <v>-345.81610000000001</v>
      </c>
      <c r="K5567">
        <v>1.110784</v>
      </c>
      <c r="L5567">
        <v>17.47064</v>
      </c>
      <c r="M5567">
        <v>0.99970219999999999</v>
      </c>
      <c r="N5567">
        <v>0</v>
      </c>
      <c r="O5567">
        <v>1.9623680000000001E-2</v>
      </c>
      <c r="P5567">
        <v>0.98219860000000003</v>
      </c>
      <c r="Q5567">
        <v>0.1615866</v>
      </c>
      <c r="R5567">
        <v>-9.5791550000000003E-2</v>
      </c>
      <c r="S5567">
        <v>3.057709</v>
      </c>
      <c r="T5567">
        <v>-0.13950660000000001</v>
      </c>
      <c r="U5567">
        <v>-0.2054443</v>
      </c>
      <c r="V5567">
        <v>0.11492960000000001</v>
      </c>
      <c r="W5567">
        <v>0.17587620000000001</v>
      </c>
      <c r="X5567">
        <v>0.97768029999999995</v>
      </c>
      <c r="Y5567">
        <v>8.6496610000000002E-2</v>
      </c>
      <c r="Z5567">
        <v>-2.8639899999999999E-3</v>
      </c>
      <c r="AA5567">
        <v>0.99624800000000002</v>
      </c>
      <c r="AB5567">
        <v>34</v>
      </c>
      <c r="AC5567">
        <v>24.1906</v>
      </c>
      <c r="AD5567">
        <v>-1.11078861049</v>
      </c>
      <c r="AE5567">
        <v>-1.63902999999999</v>
      </c>
      <c r="AF5567">
        <v>2.1090463015258401</v>
      </c>
      <c r="AG5567">
        <v>-1.11078861049</v>
      </c>
      <c r="AH5567">
        <v>24.103184769420899</v>
      </c>
      <c r="AI5567">
        <v>92.628563990119602</v>
      </c>
      <c r="AJ5567">
        <v>84.999313802610004</v>
      </c>
      <c r="AK5567">
        <v>24.2207647209583</v>
      </c>
      <c r="AL5567">
        <v>79.8703485444275</v>
      </c>
      <c r="AM5567">
        <v>83.295458753065205</v>
      </c>
      <c r="AN5567">
        <v>1.0000000098453401</v>
      </c>
    </row>
    <row r="5568" spans="1:40" x14ac:dyDescent="0.25">
      <c r="A5568" t="str">
        <f>"20190312164138693"</f>
        <v>20190312164138693</v>
      </c>
      <c r="B5568" t="str">
        <f>"1552380098681363"</f>
        <v>1552380098681363</v>
      </c>
      <c r="C5568" t="s">
        <v>40</v>
      </c>
      <c r="D5568">
        <v>5.733733</v>
      </c>
      <c r="E5568">
        <v>0.49328549999999899</v>
      </c>
      <c r="F5568" t="s">
        <v>41</v>
      </c>
      <c r="G5568">
        <v>-322.33760000000001</v>
      </c>
      <c r="H5568" s="1">
        <v>-4.2527879999999998E-6</v>
      </c>
      <c r="I5568">
        <v>15.95044</v>
      </c>
      <c r="J5568">
        <v>-345.65089999999998</v>
      </c>
      <c r="K5568">
        <v>1.1107450000000001</v>
      </c>
      <c r="L5568">
        <v>17.473970000000001</v>
      </c>
      <c r="M5568">
        <v>0.99970049999999999</v>
      </c>
      <c r="N5568">
        <v>0</v>
      </c>
      <c r="O5568">
        <v>1.9708340000000001E-2</v>
      </c>
      <c r="P5568">
        <v>0.98224290000000003</v>
      </c>
      <c r="Q5568">
        <v>0.16093640000000001</v>
      </c>
      <c r="R5568">
        <v>-9.6431359999999994E-2</v>
      </c>
      <c r="S5568">
        <v>3.0588989999999998</v>
      </c>
      <c r="T5568">
        <v>-0.14471919999999999</v>
      </c>
      <c r="U5568">
        <v>-0.19805909999999999</v>
      </c>
      <c r="V5568">
        <v>0.1156686</v>
      </c>
      <c r="W5568">
        <v>0.17522089999999901</v>
      </c>
      <c r="X5568">
        <v>0.97771079999999999</v>
      </c>
      <c r="Y5568">
        <v>8.4154140000000002E-2</v>
      </c>
      <c r="Z5568">
        <v>-2.9186400000000001E-3</v>
      </c>
      <c r="AA5568">
        <v>0.99644849999999996</v>
      </c>
      <c r="AB5568">
        <v>34</v>
      </c>
      <c r="AC5568">
        <v>23.313299999999899</v>
      </c>
      <c r="AD5568">
        <v>-1.1107492527879901</v>
      </c>
      <c r="AE5568">
        <v>-1.5235300000000001</v>
      </c>
      <c r="AF5568">
        <v>1.9782772533647199</v>
      </c>
      <c r="AG5568">
        <v>-1.1107492527879901</v>
      </c>
      <c r="AH5568">
        <v>23.226242332535598</v>
      </c>
      <c r="AI5568">
        <v>92.728108842327003</v>
      </c>
      <c r="AJ5568">
        <v>85.131626320413602</v>
      </c>
      <c r="AK5568">
        <v>23.3367880755561</v>
      </c>
      <c r="AL5568">
        <v>79.908486611152298</v>
      </c>
      <c r="AM5568">
        <v>83.2529531493809</v>
      </c>
      <c r="AN5568">
        <v>0.99999999862970501</v>
      </c>
    </row>
    <row r="5569" spans="1:40" x14ac:dyDescent="0.25">
      <c r="A5569" t="str">
        <f>"20190312164138703"</f>
        <v>20190312164138703</v>
      </c>
      <c r="B5569" t="str">
        <f>"1552380098692099"</f>
        <v>1552380098692099</v>
      </c>
      <c r="C5569" t="s">
        <v>40</v>
      </c>
      <c r="D5569">
        <v>5.6719419999999996</v>
      </c>
      <c r="E5569">
        <v>0.49287189999999997</v>
      </c>
      <c r="F5569" t="s">
        <v>41</v>
      </c>
      <c r="G5569">
        <v>-322.85640000000001</v>
      </c>
      <c r="H5569" s="1">
        <v>-3.9945660000000002E-6</v>
      </c>
      <c r="I5569">
        <v>16.023810000000001</v>
      </c>
      <c r="J5569">
        <v>-345.49470000000002</v>
      </c>
      <c r="K5569">
        <v>1.1107149999999999</v>
      </c>
      <c r="L5569">
        <v>17.47711</v>
      </c>
      <c r="M5569">
        <v>0.99969909999999995</v>
      </c>
      <c r="N5569">
        <v>0</v>
      </c>
      <c r="O5569">
        <v>1.9772209999999998E-2</v>
      </c>
      <c r="P5569">
        <v>0.98235360000000005</v>
      </c>
      <c r="Q5569">
        <v>0.15987170000000001</v>
      </c>
      <c r="R5569">
        <v>-9.7071980000000002E-2</v>
      </c>
      <c r="S5569">
        <v>3.0595089999999998</v>
      </c>
      <c r="T5569">
        <v>-0.14908579999999999</v>
      </c>
      <c r="U5569">
        <v>-0.19464110000000001</v>
      </c>
      <c r="V5569">
        <v>0.11638809999999999</v>
      </c>
      <c r="W5569">
        <v>0.17415320000000001</v>
      </c>
      <c r="X5569">
        <v>0.97781620000000002</v>
      </c>
      <c r="Y5569">
        <v>8.3090440000000002E-2</v>
      </c>
      <c r="Z5569">
        <v>-2.9833400000000001E-3</v>
      </c>
      <c r="AA5569">
        <v>0.99653760000000002</v>
      </c>
      <c r="AB5569">
        <v>34</v>
      </c>
      <c r="AC5569">
        <v>22.638300000000001</v>
      </c>
      <c r="AD5569">
        <v>-1.1107189945660001</v>
      </c>
      <c r="AE5569">
        <v>-1.45329999999999</v>
      </c>
      <c r="AF5569">
        <v>1.8961265233748399</v>
      </c>
      <c r="AG5569">
        <v>-1.1107189945660001</v>
      </c>
      <c r="AH5569">
        <v>22.5510723295784</v>
      </c>
      <c r="AI5569">
        <v>92.809839505317399</v>
      </c>
      <c r="AJ5569">
        <v>85.193793488778397</v>
      </c>
      <c r="AK5569">
        <v>22.657887273340702</v>
      </c>
      <c r="AL5569">
        <v>79.970616885486706</v>
      </c>
      <c r="AM5569">
        <v>83.212099526578498</v>
      </c>
      <c r="AN5569">
        <v>1.00000002393714</v>
      </c>
    </row>
    <row r="5570" spans="1:40" x14ac:dyDescent="0.25">
      <c r="A5570" t="str">
        <f>"20190312164138715"</f>
        <v>20190312164138715</v>
      </c>
      <c r="B5570" t="str">
        <f>"1552380098701859"</f>
        <v>1552380098701859</v>
      </c>
      <c r="C5570" t="s">
        <v>40</v>
      </c>
      <c r="D5570">
        <v>5.7353730000000001</v>
      </c>
      <c r="E5570">
        <v>0.49261539999999998</v>
      </c>
      <c r="F5570" t="s">
        <v>41</v>
      </c>
      <c r="G5570">
        <v>-323.35669999999999</v>
      </c>
      <c r="H5570" s="1">
        <v>-3.7481280000000001E-6</v>
      </c>
      <c r="I5570">
        <v>16.079889999999999</v>
      </c>
      <c r="J5570">
        <v>-345.32</v>
      </c>
      <c r="K5570">
        <v>1.110676</v>
      </c>
      <c r="L5570">
        <v>17.480650000000001</v>
      </c>
      <c r="M5570">
        <v>0.99969790000000003</v>
      </c>
      <c r="N5570">
        <v>0</v>
      </c>
      <c r="O5570">
        <v>1.9828809999999999E-2</v>
      </c>
      <c r="P5570">
        <v>0.98236840000000003</v>
      </c>
      <c r="Q5570">
        <v>0.15943850000000001</v>
      </c>
      <c r="R5570">
        <v>-9.7631220000000005E-2</v>
      </c>
      <c r="S5570">
        <v>3.0597840000000001</v>
      </c>
      <c r="T5570">
        <v>-0.15351699999999999</v>
      </c>
      <c r="U5570">
        <v>-0.19311519999999999</v>
      </c>
      <c r="V5570">
        <v>0.1170177</v>
      </c>
      <c r="W5570">
        <v>0.17371420000000001</v>
      </c>
      <c r="X5570">
        <v>0.97781910000000005</v>
      </c>
      <c r="Y5570">
        <v>8.2639399999999905E-2</v>
      </c>
      <c r="Z5570">
        <v>-3.0632150000000002E-3</v>
      </c>
      <c r="AA5570">
        <v>0.99657479999999998</v>
      </c>
      <c r="AB5570">
        <v>34</v>
      </c>
      <c r="AC5570">
        <v>21.9633</v>
      </c>
      <c r="AD5570">
        <v>-1.110679748128</v>
      </c>
      <c r="AE5570">
        <v>-1.40076</v>
      </c>
      <c r="AF5570">
        <v>1.8313721737103399</v>
      </c>
      <c r="AG5570">
        <v>-1.110679748128</v>
      </c>
      <c r="AH5570">
        <v>21.8754868819546</v>
      </c>
      <c r="AI5570">
        <v>92.896456210768505</v>
      </c>
      <c r="AJ5570">
        <v>85.214470805277401</v>
      </c>
      <c r="AK5570">
        <v>21.9800923534027</v>
      </c>
      <c r="AL5570">
        <v>79.996158606793401</v>
      </c>
      <c r="AM5570">
        <v>83.175745879646499</v>
      </c>
      <c r="AN5570">
        <v>0.99999997885986902</v>
      </c>
    </row>
    <row r="5571" spans="1:40" x14ac:dyDescent="0.25">
      <c r="A5571" t="str">
        <f>"20190312164138727"</f>
        <v>20190312164138727</v>
      </c>
      <c r="B5571" t="str">
        <f>"1552380098721378"</f>
        <v>1552380098721378</v>
      </c>
      <c r="C5571" t="s">
        <v>40</v>
      </c>
      <c r="D5571">
        <v>5.7365950000000003</v>
      </c>
      <c r="E5571">
        <v>0.49206810000000001</v>
      </c>
      <c r="F5571" t="s">
        <v>41</v>
      </c>
      <c r="G5571">
        <v>-323.28179999999998</v>
      </c>
      <c r="H5571" s="1">
        <v>-3.7812060000000001E-6</v>
      </c>
      <c r="I5571">
        <v>16.092779999999902</v>
      </c>
      <c r="J5571">
        <v>-345.14679999999998</v>
      </c>
      <c r="K5571">
        <v>1.110646</v>
      </c>
      <c r="L5571">
        <v>17.48413</v>
      </c>
      <c r="M5571">
        <v>0.99969699999999995</v>
      </c>
      <c r="N5571">
        <v>0</v>
      </c>
      <c r="O5571">
        <v>1.986636E-2</v>
      </c>
      <c r="P5571">
        <v>0.98239540000000003</v>
      </c>
      <c r="Q5571">
        <v>0.15877439999999901</v>
      </c>
      <c r="R5571">
        <v>-9.8438129999999999E-2</v>
      </c>
      <c r="S5571">
        <v>3.059723</v>
      </c>
      <c r="T5571">
        <v>-0.15420410000000001</v>
      </c>
      <c r="U5571">
        <v>-0.192688</v>
      </c>
      <c r="V5571">
        <v>0.11787449999999999</v>
      </c>
      <c r="W5571">
        <v>0.17304549999999999</v>
      </c>
      <c r="X5571">
        <v>0.9778348</v>
      </c>
      <c r="Y5571">
        <v>8.2538410000000006E-2</v>
      </c>
      <c r="Z5571">
        <v>-3.0763320000000002E-3</v>
      </c>
      <c r="AA5571">
        <v>0.9965832</v>
      </c>
      <c r="AB5571">
        <v>34</v>
      </c>
      <c r="AC5571">
        <v>21.864999999999998</v>
      </c>
      <c r="AD5571">
        <v>-1.1106497812060001</v>
      </c>
      <c r="AE5571">
        <v>-1.3913500000000001</v>
      </c>
      <c r="AF5571">
        <v>1.8208200442475899</v>
      </c>
      <c r="AG5571">
        <v>-1.1106497812060001</v>
      </c>
      <c r="AH5571">
        <v>21.7770770704585</v>
      </c>
      <c r="AI5571">
        <v>92.9094700198319</v>
      </c>
      <c r="AJ5571">
        <v>85.220515229289205</v>
      </c>
      <c r="AK5571">
        <v>21.881270856664599</v>
      </c>
      <c r="AL5571">
        <v>80.035061887740795</v>
      </c>
      <c r="AM5571">
        <v>83.126364558743603</v>
      </c>
      <c r="AN5571">
        <v>1.0000000194557599</v>
      </c>
    </row>
    <row r="5572" spans="1:40" x14ac:dyDescent="0.25">
      <c r="A5572" t="str">
        <f>"20190312164138737"</f>
        <v>20190312164138737</v>
      </c>
      <c r="B5572" t="str">
        <f>"1552380098732115"</f>
        <v>1552380098732115</v>
      </c>
      <c r="C5572" t="s">
        <v>40</v>
      </c>
      <c r="D5572">
        <v>5.7918250000000002</v>
      </c>
      <c r="E5572">
        <v>0.4920852</v>
      </c>
      <c r="F5572" t="s">
        <v>41</v>
      </c>
      <c r="G5572">
        <v>-323.24270000000001</v>
      </c>
      <c r="H5572" s="1">
        <v>-3.7950570000000002E-6</v>
      </c>
      <c r="I5572">
        <v>16.11891</v>
      </c>
      <c r="J5572">
        <v>-344.96980000000002</v>
      </c>
      <c r="K5572">
        <v>1.110611</v>
      </c>
      <c r="L5572">
        <v>17.4877</v>
      </c>
      <c r="M5572">
        <v>0.99969660000000005</v>
      </c>
      <c r="N5572">
        <v>0</v>
      </c>
      <c r="O5572">
        <v>1.9897669999999999E-2</v>
      </c>
      <c r="P5572">
        <v>0.98236029999999996</v>
      </c>
      <c r="Q5572">
        <v>0.15859379999999901</v>
      </c>
      <c r="R5572">
        <v>-9.9077860000000004E-2</v>
      </c>
      <c r="S5572">
        <v>3.059723</v>
      </c>
      <c r="T5572">
        <v>-0.155143899999999</v>
      </c>
      <c r="U5572">
        <v>-0.19070429999999999</v>
      </c>
      <c r="V5572">
        <v>0.11855639999999899</v>
      </c>
      <c r="W5572">
        <v>0.1728595</v>
      </c>
      <c r="X5572">
        <v>0.97778520000000002</v>
      </c>
      <c r="Y5572">
        <v>8.1925170000000005E-2</v>
      </c>
      <c r="Z5572">
        <v>-3.0811789999999999E-3</v>
      </c>
      <c r="AA5572">
        <v>0.99663369999999996</v>
      </c>
      <c r="AB5572">
        <v>34</v>
      </c>
      <c r="AC5572">
        <v>21.7271</v>
      </c>
      <c r="AD5572">
        <v>-1.110614795057</v>
      </c>
      <c r="AE5572">
        <v>-1.36879</v>
      </c>
      <c r="AF5572">
        <v>1.7962084239345399</v>
      </c>
      <c r="AG5572">
        <v>-1.110614795057</v>
      </c>
      <c r="AH5572">
        <v>21.639241266034499</v>
      </c>
      <c r="AI5572">
        <v>92.928024545699998</v>
      </c>
      <c r="AJ5572">
        <v>85.254927583818898</v>
      </c>
      <c r="AK5572">
        <v>21.742046649174199</v>
      </c>
      <c r="AL5572">
        <v>80.045881381767003</v>
      </c>
      <c r="AM5572">
        <v>83.086637226099896</v>
      </c>
      <c r="AN5572">
        <v>0.99999996203012398</v>
      </c>
    </row>
    <row r="5573" spans="1:40" x14ac:dyDescent="0.25">
      <c r="A5573" t="str">
        <f>"20190312164138748"</f>
        <v>20190312164138748</v>
      </c>
      <c r="B5573" t="str">
        <f>"1552380098741875"</f>
        <v>1552380098741875</v>
      </c>
      <c r="C5573" t="s">
        <v>40</v>
      </c>
      <c r="D5573">
        <v>5.7362859999999998</v>
      </c>
      <c r="E5573">
        <v>0.49184339999999999</v>
      </c>
      <c r="F5573" t="s">
        <v>41</v>
      </c>
      <c r="G5573">
        <v>-323.08120000000002</v>
      </c>
      <c r="H5573" s="1">
        <v>-3.8727059999999999E-6</v>
      </c>
      <c r="I5573">
        <v>16.111560000000001</v>
      </c>
      <c r="J5573">
        <v>-344.79689999999999</v>
      </c>
      <c r="K5573">
        <v>1.110584</v>
      </c>
      <c r="L5573">
        <v>17.491119999999999</v>
      </c>
      <c r="M5573">
        <v>0.99969620000000003</v>
      </c>
      <c r="N5573">
        <v>0</v>
      </c>
      <c r="O5573">
        <v>1.990631E-2</v>
      </c>
      <c r="P5573">
        <v>0.98225560000000001</v>
      </c>
      <c r="Q5573">
        <v>0.15876270000000001</v>
      </c>
      <c r="R5573">
        <v>-9.9842570000000005E-2</v>
      </c>
      <c r="S5573">
        <v>3.0595089999999998</v>
      </c>
      <c r="T5573">
        <v>-0.155238299999999</v>
      </c>
      <c r="U5573">
        <v>-0.1923523</v>
      </c>
      <c r="V5573">
        <v>0.119336999999999</v>
      </c>
      <c r="W5573">
        <v>0.17302239999999999</v>
      </c>
      <c r="X5573">
        <v>0.97766140000000001</v>
      </c>
      <c r="Y5573">
        <v>8.2471950000000002E-2</v>
      </c>
      <c r="Z5573">
        <v>-3.0975030000000001E-3</v>
      </c>
      <c r="AA5573">
        <v>0.99658860000000005</v>
      </c>
      <c r="AB5573">
        <v>34</v>
      </c>
      <c r="AC5573">
        <v>21.715699999999899</v>
      </c>
      <c r="AD5573">
        <v>-1.1105878727059999</v>
      </c>
      <c r="AE5573">
        <v>-1.3795599999999999</v>
      </c>
      <c r="AF5573">
        <v>1.80690470393466</v>
      </c>
      <c r="AG5573">
        <v>-1.1105878727059999</v>
      </c>
      <c r="AH5573">
        <v>21.627591233152199</v>
      </c>
      <c r="AI5573">
        <v>92.929397704891201</v>
      </c>
      <c r="AJ5573">
        <v>85.224241956203898</v>
      </c>
      <c r="AK5573">
        <v>21.731337109815001</v>
      </c>
      <c r="AL5573">
        <v>80.036404908302401</v>
      </c>
      <c r="AM5573">
        <v>83.040690543927596</v>
      </c>
      <c r="AN5573">
        <v>0.999999941760358</v>
      </c>
    </row>
    <row r="5574" spans="1:40" x14ac:dyDescent="0.25">
      <c r="A5574" t="str">
        <f>"20190312164138761"</f>
        <v>20190312164138761</v>
      </c>
      <c r="B5574" t="str">
        <f>"1552380098751635"</f>
        <v>1552380098751635</v>
      </c>
      <c r="C5574" t="s">
        <v>40</v>
      </c>
      <c r="D5574">
        <v>5.6180469999999998</v>
      </c>
      <c r="E5574">
        <v>0.49174679999999998</v>
      </c>
      <c r="F5574" t="s">
        <v>41</v>
      </c>
      <c r="G5574">
        <v>-322.92110000000002</v>
      </c>
      <c r="H5574" s="1">
        <v>-3.9476839999999999E-6</v>
      </c>
      <c r="I5574">
        <v>16.115670000000001</v>
      </c>
      <c r="J5574">
        <v>-344.62909999999999</v>
      </c>
      <c r="K5574">
        <v>1.1105640000000001</v>
      </c>
      <c r="L5574">
        <v>17.494509999999998</v>
      </c>
      <c r="M5574">
        <v>0.99969620000000003</v>
      </c>
      <c r="N5574">
        <v>0</v>
      </c>
      <c r="O5574">
        <v>1.9909909999999999E-2</v>
      </c>
      <c r="P5574">
        <v>0.9821107</v>
      </c>
      <c r="Q5574">
        <v>0.15902149999999901</v>
      </c>
      <c r="R5574">
        <v>-0.10085239999999999</v>
      </c>
      <c r="S5574">
        <v>3.0597530000000002</v>
      </c>
      <c r="T5574">
        <v>-0.155337</v>
      </c>
      <c r="U5574">
        <v>-0.19238279999999999</v>
      </c>
      <c r="V5574">
        <v>0.1203562</v>
      </c>
      <c r="W5574">
        <v>0.1732746</v>
      </c>
      <c r="X5574">
        <v>0.97749189999999997</v>
      </c>
      <c r="Y5574">
        <v>8.2480300000000006E-2</v>
      </c>
      <c r="Z5574">
        <v>-3.0996169999999998E-3</v>
      </c>
      <c r="AA5574">
        <v>0.99658789999999997</v>
      </c>
      <c r="AB5574">
        <v>34</v>
      </c>
      <c r="AC5574">
        <v>21.707999999999899</v>
      </c>
      <c r="AD5574">
        <v>-1.11056794768399</v>
      </c>
      <c r="AE5574">
        <v>-1.3788400000000001</v>
      </c>
      <c r="AF5574">
        <v>1.8061084775418299</v>
      </c>
      <c r="AG5574">
        <v>-1.11056794768399</v>
      </c>
      <c r="AH5574">
        <v>21.6198826411302</v>
      </c>
      <c r="AI5574">
        <v>92.930389589748998</v>
      </c>
      <c r="AJ5574">
        <v>85.224642518209805</v>
      </c>
      <c r="AK5574">
        <v>21.723598100114899</v>
      </c>
      <c r="AL5574">
        <v>80.021734481974903</v>
      </c>
      <c r="AM5574">
        <v>82.980639854272198</v>
      </c>
      <c r="AN5574">
        <v>1.0000000582246</v>
      </c>
    </row>
    <row r="5575" spans="1:40" x14ac:dyDescent="0.25">
      <c r="A5575" t="str">
        <f>"20190312164138773"</f>
        <v>20190312164138773</v>
      </c>
      <c r="B5575" t="str">
        <f>"1552380098761395"</f>
        <v>1552380098761395</v>
      </c>
      <c r="C5575" t="s">
        <v>40</v>
      </c>
      <c r="D5575">
        <v>5.7323550000000001</v>
      </c>
      <c r="E5575">
        <v>0.49171979999999998</v>
      </c>
      <c r="F5575" t="s">
        <v>41</v>
      </c>
      <c r="G5575">
        <v>-322.41109999999998</v>
      </c>
      <c r="H5575" s="1">
        <v>-4.1944729999999997E-6</v>
      </c>
      <c r="I5575">
        <v>16.08344</v>
      </c>
      <c r="J5575">
        <v>-344.43610000000001</v>
      </c>
      <c r="K5575">
        <v>1.1105400000000001</v>
      </c>
      <c r="L5575">
        <v>17.49832</v>
      </c>
      <c r="M5575">
        <v>0.99969640000000004</v>
      </c>
      <c r="N5575">
        <v>0</v>
      </c>
      <c r="O5575">
        <v>1.989633E-2</v>
      </c>
      <c r="P5575">
        <v>0.9819793</v>
      </c>
      <c r="Q5575">
        <v>0.1593532</v>
      </c>
      <c r="R5575">
        <v>-0.1016051</v>
      </c>
      <c r="S5575">
        <v>3.0594480000000002</v>
      </c>
      <c r="T5575">
        <v>-0.1529267</v>
      </c>
      <c r="U5575">
        <v>-0.19430539999999999</v>
      </c>
      <c r="V5575">
        <v>0.12110219999999999</v>
      </c>
      <c r="W5575">
        <v>0.17360010000000001</v>
      </c>
      <c r="X5575">
        <v>0.97734189999999999</v>
      </c>
      <c r="Y5575">
        <v>8.3100019999999997E-2</v>
      </c>
      <c r="Z5575">
        <v>-3.0666119999999998E-3</v>
      </c>
      <c r="AA5575">
        <v>0.99653650000000005</v>
      </c>
      <c r="AB5575">
        <v>34</v>
      </c>
      <c r="AC5575">
        <v>22.024999999999999</v>
      </c>
      <c r="AD5575">
        <v>-1.1105441944729999</v>
      </c>
      <c r="AE5575">
        <v>-1.4148799999999999</v>
      </c>
      <c r="AF5575">
        <v>1.8481833570856101</v>
      </c>
      <c r="AG5575">
        <v>-1.1105441944729999</v>
      </c>
      <c r="AH5575">
        <v>21.936942546659299</v>
      </c>
      <c r="AI5575">
        <v>92.887875858841994</v>
      </c>
      <c r="AJ5575">
        <v>85.184213873544394</v>
      </c>
      <c r="AK5575">
        <v>22.042652708435899</v>
      </c>
      <c r="AL5575">
        <v>80.002796761900996</v>
      </c>
      <c r="AM5575">
        <v>82.936497029904999</v>
      </c>
      <c r="AN5575">
        <v>0.99999996353022902</v>
      </c>
    </row>
    <row r="5576" spans="1:40" x14ac:dyDescent="0.25">
      <c r="A5576" t="str">
        <f>"20190312164138794"</f>
        <v>20190312164138794</v>
      </c>
      <c r="B5576" t="str">
        <f>"1552380098781891"</f>
        <v>1552380098781891</v>
      </c>
      <c r="C5576" t="s">
        <v>40</v>
      </c>
      <c r="D5576">
        <v>5.6759729999999999</v>
      </c>
      <c r="E5576">
        <v>0.49142439999999998</v>
      </c>
      <c r="F5576" t="s">
        <v>41</v>
      </c>
      <c r="G5576">
        <v>-322.22469999999998</v>
      </c>
      <c r="H5576" s="1">
        <v>-4.283894E-6</v>
      </c>
      <c r="I5576">
        <v>16.076000000000001</v>
      </c>
      <c r="J5576">
        <v>-344.12090000000001</v>
      </c>
      <c r="K5576">
        <v>1.1104940000000001</v>
      </c>
      <c r="L5576">
        <v>17.504579999999901</v>
      </c>
      <c r="M5576">
        <v>0.99969730000000001</v>
      </c>
      <c r="N5576">
        <v>0</v>
      </c>
      <c r="O5576">
        <v>1.9843369999999999E-2</v>
      </c>
      <c r="P5576">
        <v>0.98170539999999995</v>
      </c>
      <c r="Q5576">
        <v>0.15990119999999999</v>
      </c>
      <c r="R5576">
        <v>-0.1033738</v>
      </c>
      <c r="S5576">
        <v>3.0595699999999999</v>
      </c>
      <c r="T5576">
        <v>-0.15297529999999901</v>
      </c>
      <c r="U5576">
        <v>-0.19592290000000001</v>
      </c>
      <c r="V5576">
        <v>0.12282949999999999</v>
      </c>
      <c r="W5576">
        <v>0.17413489999999901</v>
      </c>
      <c r="X5576">
        <v>0.97703119999999999</v>
      </c>
      <c r="Y5576">
        <v>8.3568799999999999E-2</v>
      </c>
      <c r="Z5576">
        <v>-3.07647E-3</v>
      </c>
      <c r="AA5576">
        <v>0.99649730000000003</v>
      </c>
      <c r="AB5576">
        <v>34</v>
      </c>
      <c r="AC5576">
        <v>21.8962</v>
      </c>
      <c r="AD5576">
        <v>-1.1104982838940001</v>
      </c>
      <c r="AE5576">
        <v>-1.42857999999999</v>
      </c>
      <c r="AF5576">
        <v>1.8580799936805601</v>
      </c>
      <c r="AG5576">
        <v>-1.1104982838940001</v>
      </c>
      <c r="AH5576">
        <v>21.807681778321101</v>
      </c>
      <c r="AI5576">
        <v>92.904611541839401</v>
      </c>
      <c r="AJ5576">
        <v>85.129989450382197</v>
      </c>
      <c r="AK5576">
        <v>21.914850039321902</v>
      </c>
      <c r="AL5576">
        <v>79.971681502583806</v>
      </c>
      <c r="AM5576">
        <v>82.834534207577207</v>
      </c>
      <c r="AN5576">
        <v>1.00000000762085</v>
      </c>
    </row>
    <row r="5577" spans="1:40" x14ac:dyDescent="0.25">
      <c r="A5577" t="str">
        <f>"20190312164138807"</f>
        <v>20190312164138807</v>
      </c>
      <c r="B5577" t="str">
        <f>"1552380098801413"</f>
        <v>1552380098801413</v>
      </c>
      <c r="C5577" t="s">
        <v>40</v>
      </c>
      <c r="D5577">
        <v>5.7865099999999998</v>
      </c>
      <c r="E5577">
        <v>0.49159199999999997</v>
      </c>
      <c r="F5577" t="s">
        <v>41</v>
      </c>
      <c r="G5577">
        <v>-321.61399999999998</v>
      </c>
      <c r="H5577" s="1">
        <v>-4.5781009999999997E-6</v>
      </c>
      <c r="I5577">
        <v>16.044920000000001</v>
      </c>
      <c r="J5577">
        <v>-343.92579999999998</v>
      </c>
      <c r="K5577">
        <v>1.110465</v>
      </c>
      <c r="L5577">
        <v>17.508420000000001</v>
      </c>
      <c r="M5577">
        <v>0.99969850000000005</v>
      </c>
      <c r="N5577">
        <v>0</v>
      </c>
      <c r="O5577">
        <v>1.978651E-2</v>
      </c>
      <c r="P5577">
        <v>0.98161739999999997</v>
      </c>
      <c r="Q5577">
        <v>0.15987119999999999</v>
      </c>
      <c r="R5577">
        <v>-0.10425180000000001</v>
      </c>
      <c r="S5577">
        <v>3.0595699999999999</v>
      </c>
      <c r="T5577">
        <v>-0.15096029999999999</v>
      </c>
      <c r="U5577">
        <v>-0.1984253</v>
      </c>
      <c r="V5577">
        <v>0.1236608</v>
      </c>
      <c r="W5577">
        <v>0.17409740000000001</v>
      </c>
      <c r="X5577">
        <v>0.97693300000000005</v>
      </c>
      <c r="Y5577">
        <v>8.4326300000000007E-2</v>
      </c>
      <c r="Z5577">
        <v>-3.0517729999999998E-3</v>
      </c>
      <c r="AA5577">
        <v>0.99643349999999997</v>
      </c>
      <c r="AB5577">
        <v>34</v>
      </c>
      <c r="AC5577">
        <v>22.311799999999899</v>
      </c>
      <c r="AD5577">
        <v>-1.1104695781010001</v>
      </c>
      <c r="AE5577">
        <v>-1.46349999999999</v>
      </c>
      <c r="AF5577">
        <v>1.90004630472897</v>
      </c>
      <c r="AG5577">
        <v>-1.1104695781010001</v>
      </c>
      <c r="AH5577">
        <v>22.223655974069899</v>
      </c>
      <c r="AI5577">
        <v>92.850190264146093</v>
      </c>
      <c r="AJ5577">
        <v>85.113291126270695</v>
      </c>
      <c r="AK5577">
        <v>22.332357768444801</v>
      </c>
      <c r="AL5577">
        <v>79.9738632678323</v>
      </c>
      <c r="AM5577">
        <v>82.785830611029894</v>
      </c>
      <c r="AN5577">
        <v>0.99999999231619996</v>
      </c>
    </row>
    <row r="5578" spans="1:40" x14ac:dyDescent="0.25">
      <c r="A5578" t="str">
        <f>"20190312164138819"</f>
        <v>20190312164138819</v>
      </c>
      <c r="B5578" t="str">
        <f>"1552380098812148"</f>
        <v>1552380098812148</v>
      </c>
      <c r="C5578" t="s">
        <v>40</v>
      </c>
      <c r="D5578">
        <v>5.5239240000000001</v>
      </c>
      <c r="E5578">
        <v>0.49149739999999997</v>
      </c>
      <c r="F5578" t="s">
        <v>41</v>
      </c>
      <c r="G5578">
        <v>-321.63619999999997</v>
      </c>
      <c r="H5578" s="1">
        <v>-4.5691629999999998E-6</v>
      </c>
      <c r="I5578">
        <v>16.036169999999998</v>
      </c>
      <c r="J5578">
        <v>-343.72489999999999</v>
      </c>
      <c r="K5578">
        <v>1.110433</v>
      </c>
      <c r="L5578">
        <v>17.512329999999999</v>
      </c>
      <c r="M5578">
        <v>0.99970000000000003</v>
      </c>
      <c r="N5578">
        <v>0</v>
      </c>
      <c r="O5578">
        <v>1.9714880000000001E-2</v>
      </c>
      <c r="P5578">
        <v>0.98158690000000004</v>
      </c>
      <c r="Q5578">
        <v>0.15951000000000001</v>
      </c>
      <c r="R5578">
        <v>-0.10509010000000001</v>
      </c>
      <c r="S5578">
        <v>3.0595699999999999</v>
      </c>
      <c r="T5578">
        <v>-0.1524276</v>
      </c>
      <c r="U5578">
        <v>-0.2020874</v>
      </c>
      <c r="V5578">
        <v>0.1244406</v>
      </c>
      <c r="W5578">
        <v>0.17372779999999999</v>
      </c>
      <c r="X5578">
        <v>0.97689979999999998</v>
      </c>
      <c r="Y5578">
        <v>8.5438710000000001E-2</v>
      </c>
      <c r="Z5578">
        <v>-3.10538E-3</v>
      </c>
      <c r="AA5578">
        <v>0.99633859999999996</v>
      </c>
      <c r="AB5578">
        <v>34</v>
      </c>
      <c r="AC5578">
        <v>22.088699999999999</v>
      </c>
      <c r="AD5578">
        <v>-1.110437569163</v>
      </c>
      <c r="AE5578">
        <v>-1.4761599999999899</v>
      </c>
      <c r="AF5578">
        <v>1.9065980842494099</v>
      </c>
      <c r="AG5578">
        <v>-1.110437569163</v>
      </c>
      <c r="AH5578">
        <v>21.999948471175699</v>
      </c>
      <c r="AI5578">
        <v>92.878754551205404</v>
      </c>
      <c r="AJ5578">
        <v>85.046908259977698</v>
      </c>
      <c r="AK5578">
        <v>22.110312539271298</v>
      </c>
      <c r="AL5578">
        <v>79.995367721721706</v>
      </c>
      <c r="AM5578">
        <v>82.740578052053095</v>
      </c>
      <c r="AN5578">
        <v>1.0000000153306099</v>
      </c>
    </row>
    <row r="5579" spans="1:40" x14ac:dyDescent="0.25">
      <c r="A5579" t="str">
        <f>"20190312164138831"</f>
        <v>20190312164138831</v>
      </c>
      <c r="B5579" t="str">
        <f>"1552380098821907"</f>
        <v>1552380098821907</v>
      </c>
      <c r="C5579" t="s">
        <v>40</v>
      </c>
      <c r="D5579">
        <v>5.6721690000000002</v>
      </c>
      <c r="E5579">
        <v>0.49141580000000001</v>
      </c>
      <c r="F5579" t="s">
        <v>41</v>
      </c>
      <c r="G5579">
        <v>-321.6576</v>
      </c>
      <c r="H5579" s="1">
        <v>-4.5574569999999999E-6</v>
      </c>
      <c r="I5579">
        <v>16.045069999999999</v>
      </c>
      <c r="J5579">
        <v>-343.53890000000001</v>
      </c>
      <c r="K5579">
        <v>1.1103970000000001</v>
      </c>
      <c r="L5579">
        <v>17.51596</v>
      </c>
      <c r="M5579">
        <v>0.99970170000000003</v>
      </c>
      <c r="N5579">
        <v>0</v>
      </c>
      <c r="O5579">
        <v>1.9626370000000001E-2</v>
      </c>
      <c r="P5579">
        <v>0.98146299999999997</v>
      </c>
      <c r="Q5579">
        <v>0.1596236</v>
      </c>
      <c r="R5579">
        <v>-0.1060707</v>
      </c>
      <c r="S5579">
        <v>3.0595400000000001</v>
      </c>
      <c r="T5579">
        <v>-0.15395799999999901</v>
      </c>
      <c r="U5579">
        <v>-0.20343020000000001</v>
      </c>
      <c r="V5579">
        <v>0.12534439999999999</v>
      </c>
      <c r="W5579">
        <v>0.1738307</v>
      </c>
      <c r="X5579">
        <v>0.97676589999999996</v>
      </c>
      <c r="Y5579">
        <v>8.578355E-2</v>
      </c>
      <c r="Z5579">
        <v>-3.1407200000000001E-3</v>
      </c>
      <c r="AA5579">
        <v>0.99630890000000005</v>
      </c>
      <c r="AB5579">
        <v>34</v>
      </c>
      <c r="AC5579">
        <v>21.8813</v>
      </c>
      <c r="AD5579">
        <v>-1.1104015574570001</v>
      </c>
      <c r="AE5579">
        <v>-1.47088999999999</v>
      </c>
      <c r="AF5579">
        <v>1.8952437860892699</v>
      </c>
      <c r="AG5579">
        <v>-1.1104015574570001</v>
      </c>
      <c r="AH5579">
        <v>21.792345567639899</v>
      </c>
      <c r="AI5579">
        <v>92.905961749063493</v>
      </c>
      <c r="AJ5579">
        <v>85.029588085793904</v>
      </c>
      <c r="AK5579">
        <v>21.9027684543974</v>
      </c>
      <c r="AL5579">
        <v>79.9893805080536</v>
      </c>
      <c r="AM5579">
        <v>82.687430630078794</v>
      </c>
      <c r="AN5579">
        <v>0.999999977138329</v>
      </c>
    </row>
    <row r="5580" spans="1:40" x14ac:dyDescent="0.25">
      <c r="A5580" t="str">
        <f>"20190312164138850"</f>
        <v>20190312164138850</v>
      </c>
      <c r="B5580" t="str">
        <f>"1552380098841430"</f>
        <v>1552380098841430</v>
      </c>
      <c r="C5580" t="s">
        <v>40</v>
      </c>
      <c r="D5580">
        <v>5.7514979999999998</v>
      </c>
      <c r="E5580">
        <v>0.49139319999999997</v>
      </c>
      <c r="F5580" t="s">
        <v>41</v>
      </c>
      <c r="G5580">
        <v>-321.56130000000002</v>
      </c>
      <c r="H5580" s="1">
        <v>-4.603882E-6</v>
      </c>
      <c r="I5580">
        <v>16.04</v>
      </c>
      <c r="J5580">
        <v>-343.27170000000001</v>
      </c>
      <c r="K5580">
        <v>1.110347</v>
      </c>
      <c r="L5580">
        <v>17.521059999999999</v>
      </c>
      <c r="M5580">
        <v>0.9997045</v>
      </c>
      <c r="N5580">
        <v>0</v>
      </c>
      <c r="O5580">
        <v>1.947436E-2</v>
      </c>
      <c r="P5580">
        <v>0.98132889999999995</v>
      </c>
      <c r="Q5580">
        <v>0.1587962</v>
      </c>
      <c r="R5580">
        <v>-0.1085243</v>
      </c>
      <c r="S5580">
        <v>3.0596009999999998</v>
      </c>
      <c r="T5580">
        <v>-0.1545842</v>
      </c>
      <c r="U5580">
        <v>-0.20547489999999999</v>
      </c>
      <c r="V5580">
        <v>0.12766469999999999</v>
      </c>
      <c r="W5580">
        <v>0.17298810000000001</v>
      </c>
      <c r="X5580">
        <v>0.97661500000000001</v>
      </c>
      <c r="Y5580">
        <v>8.6292069999999998E-2</v>
      </c>
      <c r="Z5580">
        <v>-3.158503E-3</v>
      </c>
      <c r="AA5580">
        <v>0.99626490000000001</v>
      </c>
      <c r="AB5580">
        <v>34</v>
      </c>
      <c r="AC5580">
        <v>21.7104</v>
      </c>
      <c r="AD5580">
        <v>-1.110351603882</v>
      </c>
      <c r="AE5580">
        <v>-1.48106</v>
      </c>
      <c r="AF5580">
        <v>1.89867663067065</v>
      </c>
      <c r="AG5580">
        <v>-1.110351603882</v>
      </c>
      <c r="AH5580">
        <v>21.6211440241693</v>
      </c>
      <c r="AI5580">
        <v>92.928585555769999</v>
      </c>
      <c r="AJ5580">
        <v>84.981403125059401</v>
      </c>
      <c r="AK5580">
        <v>21.732733894887001</v>
      </c>
      <c r="AL5580">
        <v>80.038400911047205</v>
      </c>
      <c r="AM5580">
        <v>82.552432686326796</v>
      </c>
      <c r="AN5580">
        <v>1.0000000082963501</v>
      </c>
    </row>
    <row r="5581" spans="1:40" x14ac:dyDescent="0.25">
      <c r="A5581" t="str">
        <f>"20190312164138861"</f>
        <v>20190312164138861</v>
      </c>
      <c r="B5581" t="str">
        <f>"1552380098852163"</f>
        <v>1552380098852163</v>
      </c>
      <c r="C5581" t="s">
        <v>40</v>
      </c>
      <c r="D5581">
        <v>5.7801489999999998</v>
      </c>
      <c r="E5581">
        <v>0.49132520000000002</v>
      </c>
      <c r="F5581" t="s">
        <v>41</v>
      </c>
      <c r="G5581">
        <v>-321.8571</v>
      </c>
      <c r="H5581" s="1">
        <v>-4.4635630000000004E-6</v>
      </c>
      <c r="I5581">
        <v>16.04288</v>
      </c>
      <c r="J5581">
        <v>-343.09890000000001</v>
      </c>
      <c r="K5581">
        <v>1.1103149999999999</v>
      </c>
      <c r="L5581">
        <v>17.524290000000001</v>
      </c>
      <c r="M5581">
        <v>0.99970680000000001</v>
      </c>
      <c r="N5581">
        <v>0</v>
      </c>
      <c r="O5581">
        <v>1.9360949999999998E-2</v>
      </c>
      <c r="P5581">
        <v>0.98125499999999999</v>
      </c>
      <c r="Q5581">
        <v>0.1585442</v>
      </c>
      <c r="R5581">
        <v>-0.10955529999999999</v>
      </c>
      <c r="S5581">
        <v>3.059418</v>
      </c>
      <c r="T5581">
        <v>-0.158631299999999</v>
      </c>
      <c r="U5581">
        <v>-0.2111816</v>
      </c>
      <c r="V5581">
        <v>0.12859489999999901</v>
      </c>
      <c r="W5581">
        <v>0.17272609999999999</v>
      </c>
      <c r="X5581">
        <v>0.9765393</v>
      </c>
      <c r="Y5581">
        <v>8.8023390000000007E-2</v>
      </c>
      <c r="Z5581">
        <v>-3.280009E-3</v>
      </c>
      <c r="AA5581">
        <v>0.99611300000000003</v>
      </c>
      <c r="AB5581">
        <v>34</v>
      </c>
      <c r="AC5581">
        <v>21.241800000000001</v>
      </c>
      <c r="AD5581">
        <v>-1.110319463563</v>
      </c>
      <c r="AE5581">
        <v>-1.4814099999999999</v>
      </c>
      <c r="AF5581">
        <v>1.8873056360567</v>
      </c>
      <c r="AG5581">
        <v>-1.110319463563</v>
      </c>
      <c r="AH5581">
        <v>21.151622189877301</v>
      </c>
      <c r="AI5581">
        <v>92.993020117422503</v>
      </c>
      <c r="AJ5581">
        <v>84.901145787592299</v>
      </c>
      <c r="AK5581">
        <v>21.2646620743987</v>
      </c>
      <c r="AL5581">
        <v>80.053641535549502</v>
      </c>
      <c r="AM5581">
        <v>82.498208569590602</v>
      </c>
      <c r="AN5581">
        <v>0.99999997918585404</v>
      </c>
    </row>
    <row r="5582" spans="1:40" x14ac:dyDescent="0.25">
      <c r="A5582" t="str">
        <f>"20190312164138872"</f>
        <v>20190312164138872</v>
      </c>
      <c r="B5582" t="str">
        <f>"1552380098861925"</f>
        <v>1552380098861925</v>
      </c>
      <c r="C5582" t="s">
        <v>40</v>
      </c>
      <c r="D5582">
        <v>5.7182870000000001</v>
      </c>
      <c r="E5582">
        <v>0.49119970000000002</v>
      </c>
      <c r="F5582" t="s">
        <v>41</v>
      </c>
      <c r="G5582">
        <v>-321.79829999999998</v>
      </c>
      <c r="H5582" s="1">
        <v>-4.4915930000000003E-6</v>
      </c>
      <c r="I5582">
        <v>16.041419999999999</v>
      </c>
      <c r="J5582">
        <v>-342.92320000000001</v>
      </c>
      <c r="K5582">
        <v>1.1102890000000001</v>
      </c>
      <c r="L5582">
        <v>17.52759</v>
      </c>
      <c r="M5582">
        <v>0.99970919999999996</v>
      </c>
      <c r="N5582">
        <v>0</v>
      </c>
      <c r="O5582">
        <v>1.9227870000000001E-2</v>
      </c>
      <c r="P5582">
        <v>0.98106979999999999</v>
      </c>
      <c r="Q5582">
        <v>0.15862809999999999</v>
      </c>
      <c r="R5582">
        <v>-0.111083399999999</v>
      </c>
      <c r="S5582">
        <v>3.0593569999999999</v>
      </c>
      <c r="T5582">
        <v>-0.1594729</v>
      </c>
      <c r="U5582">
        <v>-0.21298220000000001</v>
      </c>
      <c r="V5582">
        <v>0.1300009</v>
      </c>
      <c r="W5582">
        <v>0.17279749999999999</v>
      </c>
      <c r="X5582">
        <v>0.97634049999999994</v>
      </c>
      <c r="Y5582">
        <v>8.8473659999999996E-2</v>
      </c>
      <c r="Z5582">
        <v>-3.302176E-3</v>
      </c>
      <c r="AA5582">
        <v>0.99607310000000004</v>
      </c>
      <c r="AB5582">
        <v>34</v>
      </c>
      <c r="AC5582">
        <v>21.1249</v>
      </c>
      <c r="AD5582">
        <v>-1.1102934915929901</v>
      </c>
      <c r="AE5582">
        <v>-1.48616999999999</v>
      </c>
      <c r="AF5582">
        <v>1.8869382402816699</v>
      </c>
      <c r="AG5582">
        <v>-1.1102934915929901</v>
      </c>
      <c r="AH5582">
        <v>21.034595092120199</v>
      </c>
      <c r="AI5582">
        <v>93.009443445479207</v>
      </c>
      <c r="AJ5582">
        <v>84.873921569670799</v>
      </c>
      <c r="AK5582">
        <v>21.148226361791099</v>
      </c>
      <c r="AL5582">
        <v>80.049488283695595</v>
      </c>
      <c r="AM5582">
        <v>82.4156105978266</v>
      </c>
      <c r="AN5582">
        <v>0.999999990973655</v>
      </c>
    </row>
    <row r="5583" spans="1:40" x14ac:dyDescent="0.25">
      <c r="A5583" t="str">
        <f>"20190312164138884"</f>
        <v>20190312164138884</v>
      </c>
      <c r="B5583" t="str">
        <f>"1552380098871683"</f>
        <v>1552380098871683</v>
      </c>
      <c r="C5583" t="s">
        <v>40</v>
      </c>
      <c r="D5583">
        <v>6.151681</v>
      </c>
      <c r="E5583">
        <v>0.49116120000000002</v>
      </c>
      <c r="F5583" t="s">
        <v>41</v>
      </c>
      <c r="G5583">
        <v>-321.56169999999997</v>
      </c>
      <c r="H5583" s="1">
        <v>-4.607771E-6</v>
      </c>
      <c r="I5583">
        <v>16.016919999999999</v>
      </c>
      <c r="J5583">
        <v>-342.76310000000001</v>
      </c>
      <c r="K5583">
        <v>1.110268</v>
      </c>
      <c r="L5583">
        <v>17.530550000000002</v>
      </c>
      <c r="M5583">
        <v>0.99971180000000004</v>
      </c>
      <c r="N5583">
        <v>0</v>
      </c>
      <c r="O5583">
        <v>1.9093720000000002E-2</v>
      </c>
      <c r="P5583">
        <v>0.9809428</v>
      </c>
      <c r="Q5583">
        <v>0.15850310000000001</v>
      </c>
      <c r="R5583">
        <v>-0.1123741</v>
      </c>
      <c r="S5583">
        <v>3.059113</v>
      </c>
      <c r="T5583">
        <v>-0.1590019</v>
      </c>
      <c r="U5583">
        <v>-0.21633910000000001</v>
      </c>
      <c r="V5583">
        <v>0.13116829999999999</v>
      </c>
      <c r="W5583">
        <v>0.17266219999999999</v>
      </c>
      <c r="X5583">
        <v>0.97620830000000003</v>
      </c>
      <c r="Y5583">
        <v>8.9432880000000006E-2</v>
      </c>
      <c r="Z5583">
        <v>-3.3104929999999999E-3</v>
      </c>
      <c r="AA5583">
        <v>0.99598739999999997</v>
      </c>
      <c r="AB5583">
        <v>34</v>
      </c>
      <c r="AC5583">
        <v>21.2014</v>
      </c>
      <c r="AD5583">
        <v>-1.1102726077709999</v>
      </c>
      <c r="AE5583">
        <v>-1.51362999999999</v>
      </c>
      <c r="AF5583">
        <v>1.9129908905520601</v>
      </c>
      <c r="AG5583">
        <v>-1.1102726077709999</v>
      </c>
      <c r="AH5583">
        <v>21.1110290309928</v>
      </c>
      <c r="AI5583">
        <v>92.998267781863305</v>
      </c>
      <c r="AJ5583">
        <v>84.822243221644001</v>
      </c>
      <c r="AK5583">
        <v>21.226582064909199</v>
      </c>
      <c r="AL5583">
        <v>80.057358807958096</v>
      </c>
      <c r="AM5583">
        <v>82.347282707692401</v>
      </c>
      <c r="AN5583">
        <v>1.00000000161131</v>
      </c>
    </row>
    <row r="5584" spans="1:40" x14ac:dyDescent="0.25">
      <c r="A5584" t="str">
        <f>"20190312164138895"</f>
        <v>20190312164138895</v>
      </c>
      <c r="B5584" t="str">
        <f>"1552380098881443"</f>
        <v>1552380098881443</v>
      </c>
      <c r="C5584" t="s">
        <v>40</v>
      </c>
      <c r="D5584">
        <v>5.587504</v>
      </c>
      <c r="E5584">
        <v>0.49111830000000001</v>
      </c>
      <c r="F5584" t="s">
        <v>41</v>
      </c>
      <c r="G5584">
        <v>-321.45659999999998</v>
      </c>
      <c r="H5584" s="1">
        <v>-4.6606760000000003E-6</v>
      </c>
      <c r="I5584">
        <v>15.99874</v>
      </c>
      <c r="J5584">
        <v>-342.5976</v>
      </c>
      <c r="K5584">
        <v>1.110247</v>
      </c>
      <c r="L5584">
        <v>17.533570000000001</v>
      </c>
      <c r="M5584">
        <v>0.99971480000000001</v>
      </c>
      <c r="N5584">
        <v>0</v>
      </c>
      <c r="O5584">
        <v>1.8943660000000001E-2</v>
      </c>
      <c r="P5584">
        <v>0.98075219999999996</v>
      </c>
      <c r="Q5584">
        <v>0.15882969999999999</v>
      </c>
      <c r="R5584">
        <v>-0.11357150000000001</v>
      </c>
      <c r="S5584">
        <v>3.0588069999999998</v>
      </c>
      <c r="T5584">
        <v>-0.15939320000000001</v>
      </c>
      <c r="U5584">
        <v>-0.21990970000000001</v>
      </c>
      <c r="V5584">
        <v>0.13222579999999901</v>
      </c>
      <c r="W5584">
        <v>0.1729773</v>
      </c>
      <c r="X5584">
        <v>0.97600980000000004</v>
      </c>
      <c r="Y5584">
        <v>9.0445170000000005E-2</v>
      </c>
      <c r="Z5584">
        <v>-3.3373389999999999E-3</v>
      </c>
      <c r="AA5584">
        <v>0.99589589999999995</v>
      </c>
      <c r="AB5584">
        <v>34</v>
      </c>
      <c r="AC5584">
        <v>21.140999999999998</v>
      </c>
      <c r="AD5584">
        <v>-1.110251660676</v>
      </c>
      <c r="AE5584">
        <v>-1.5348299999999999</v>
      </c>
      <c r="AF5584">
        <v>1.9297903600383199</v>
      </c>
      <c r="AG5584">
        <v>-1.110251660676</v>
      </c>
      <c r="AH5584">
        <v>21.050374920566998</v>
      </c>
      <c r="AI5584">
        <v>93.0065471330919</v>
      </c>
      <c r="AJ5584">
        <v>84.762057899160993</v>
      </c>
      <c r="AK5584">
        <v>21.1677829231161</v>
      </c>
      <c r="AL5584">
        <v>80.0390287822201</v>
      </c>
      <c r="AM5584">
        <v>82.284775257218101</v>
      </c>
      <c r="AN5584">
        <v>0.99999996909848399</v>
      </c>
    </row>
    <row r="5585" spans="1:40" x14ac:dyDescent="0.25">
      <c r="A5585" t="str">
        <f>"20190312164138905"</f>
        <v>20190312164138905</v>
      </c>
      <c r="B5585" t="str">
        <f>"1552380098901939"</f>
        <v>1552380098901939</v>
      </c>
      <c r="C5585" t="s">
        <v>40</v>
      </c>
      <c r="D5585">
        <v>5.6651689999999997</v>
      </c>
      <c r="E5585">
        <v>0.4910002</v>
      </c>
      <c r="F5585" t="s">
        <v>41</v>
      </c>
      <c r="G5585">
        <v>-321.20249999999999</v>
      </c>
      <c r="H5585" s="1">
        <v>-4.7852520000000001E-6</v>
      </c>
      <c r="I5585">
        <v>15.973800000000001</v>
      </c>
      <c r="J5585">
        <v>-342.44310000000002</v>
      </c>
      <c r="K5585">
        <v>1.1102299999999901</v>
      </c>
      <c r="L5585">
        <v>17.536349999999999</v>
      </c>
      <c r="M5585">
        <v>0.99971770000000004</v>
      </c>
      <c r="N5585">
        <v>0</v>
      </c>
      <c r="O5585">
        <v>1.8788099999999999E-2</v>
      </c>
      <c r="P5585">
        <v>0.98053959999999996</v>
      </c>
      <c r="Q5585">
        <v>0.15920719999999999</v>
      </c>
      <c r="R5585">
        <v>-0.1148725</v>
      </c>
      <c r="S5585">
        <v>3.0587460000000002</v>
      </c>
      <c r="T5585">
        <v>-0.15872649999999999</v>
      </c>
      <c r="U5585">
        <v>-0.22299189999999999</v>
      </c>
      <c r="V5585">
        <v>0.1333801</v>
      </c>
      <c r="W5585">
        <v>0.17334369999999999</v>
      </c>
      <c r="X5585">
        <v>0.97578779999999998</v>
      </c>
      <c r="Y5585">
        <v>9.1290239999999995E-2</v>
      </c>
      <c r="Z5585">
        <v>-3.33717E-3</v>
      </c>
      <c r="AA5585">
        <v>0.99581869999999995</v>
      </c>
      <c r="AB5585">
        <v>34</v>
      </c>
      <c r="AC5585">
        <v>21.240600000000001</v>
      </c>
      <c r="AD5585">
        <v>-1.11023478525199</v>
      </c>
      <c r="AE5585">
        <v>-1.5625499999999899</v>
      </c>
      <c r="AF5585">
        <v>1.9560714523830101</v>
      </c>
      <c r="AG5585">
        <v>-1.11023478525199</v>
      </c>
      <c r="AH5585">
        <v>21.150016667534501</v>
      </c>
      <c r="AI5585">
        <v>92.992142030548294</v>
      </c>
      <c r="AJ5585">
        <v>84.715998389522497</v>
      </c>
      <c r="AK5585">
        <v>21.269274596050501</v>
      </c>
      <c r="AL5585">
        <v>80.017714529612505</v>
      </c>
      <c r="AM5585">
        <v>82.216496165031501</v>
      </c>
      <c r="AN5585">
        <v>1.0000000600172601</v>
      </c>
    </row>
    <row r="5586" spans="1:40" x14ac:dyDescent="0.25">
      <c r="A5586" t="str">
        <f>"20190312164138916"</f>
        <v>20190312164138916</v>
      </c>
      <c r="B5586" t="str">
        <f>"1552380098911701"</f>
        <v>1552380098911701</v>
      </c>
      <c r="C5586" t="s">
        <v>40</v>
      </c>
      <c r="D5586">
        <v>5.7166519999999998</v>
      </c>
      <c r="E5586">
        <v>0.49098740000000002</v>
      </c>
      <c r="F5586" t="s">
        <v>41</v>
      </c>
      <c r="G5586">
        <v>-320.86919999999998</v>
      </c>
      <c r="H5586" s="1">
        <v>-4.9481140000000001E-6</v>
      </c>
      <c r="I5586">
        <v>15.9437</v>
      </c>
      <c r="J5586">
        <v>-342.26319999999998</v>
      </c>
      <c r="K5586">
        <v>1.1102110000000001</v>
      </c>
      <c r="L5586">
        <v>17.539549999999998</v>
      </c>
      <c r="M5586">
        <v>0.99972130000000003</v>
      </c>
      <c r="N5586">
        <v>0</v>
      </c>
      <c r="O5586">
        <v>1.8598460000000001E-2</v>
      </c>
      <c r="P5586">
        <v>0.98034359999999998</v>
      </c>
      <c r="Q5586">
        <v>0.15943199999999999</v>
      </c>
      <c r="R5586">
        <v>-0.1162238</v>
      </c>
      <c r="S5586">
        <v>3.0586549999999999</v>
      </c>
      <c r="T5586">
        <v>-0.15740489999999999</v>
      </c>
      <c r="U5586">
        <v>-0.22579959999999999</v>
      </c>
      <c r="V5586">
        <v>0.13455300000000001</v>
      </c>
      <c r="W5586">
        <v>0.17355599999999999</v>
      </c>
      <c r="X5586">
        <v>0.97558900000000004</v>
      </c>
      <c r="Y5586">
        <v>9.2014390000000001E-2</v>
      </c>
      <c r="Z5586">
        <v>-3.318264E-3</v>
      </c>
      <c r="AA5586">
        <v>0.99575219999999998</v>
      </c>
      <c r="AB5586">
        <v>34</v>
      </c>
      <c r="AC5586">
        <v>21.393999999999998</v>
      </c>
      <c r="AD5586">
        <v>-1.1102159481139999</v>
      </c>
      <c r="AE5586">
        <v>-1.59584999999999</v>
      </c>
      <c r="AF5586">
        <v>1.9881869403711501</v>
      </c>
      <c r="AG5586">
        <v>-1.1102159481139999</v>
      </c>
      <c r="AH5586">
        <v>21.3035629543946</v>
      </c>
      <c r="AI5586">
        <v>92.970334827942395</v>
      </c>
      <c r="AJ5586">
        <v>84.668229332449698</v>
      </c>
      <c r="AK5586">
        <v>21.424921500746901</v>
      </c>
      <c r="AL5586">
        <v>80.005363284805298</v>
      </c>
      <c r="AM5586">
        <v>82.147320661528894</v>
      </c>
      <c r="AN5586">
        <v>1.0000000459329901</v>
      </c>
    </row>
    <row r="5587" spans="1:40" x14ac:dyDescent="0.25">
      <c r="A5587" t="str">
        <f>"20190312164138929"</f>
        <v>20190312164138929</v>
      </c>
      <c r="B5587" t="str">
        <f>"1552380098921460"</f>
        <v>1552380098921460</v>
      </c>
      <c r="C5587" t="s">
        <v>40</v>
      </c>
      <c r="D5587">
        <v>5.6542729999999999</v>
      </c>
      <c r="E5587">
        <v>0.49098740000000002</v>
      </c>
      <c r="F5587" t="s">
        <v>41</v>
      </c>
      <c r="G5587">
        <v>-320.61329999999998</v>
      </c>
      <c r="H5587" s="1">
        <v>-5.0740400000000003E-6</v>
      </c>
      <c r="I5587">
        <v>15.91592</v>
      </c>
      <c r="J5587">
        <v>-342.08819999999997</v>
      </c>
      <c r="K5587">
        <v>1.110182</v>
      </c>
      <c r="L5587">
        <v>17.5426</v>
      </c>
      <c r="M5587">
        <v>0.99972499999999997</v>
      </c>
      <c r="N5587">
        <v>0</v>
      </c>
      <c r="O5587">
        <v>1.8393610000000001E-2</v>
      </c>
      <c r="P5587">
        <v>0.98010489999999995</v>
      </c>
      <c r="Q5587">
        <v>0.1598494</v>
      </c>
      <c r="R5587">
        <v>-0.1176547</v>
      </c>
      <c r="S5587">
        <v>3.0584720000000001</v>
      </c>
      <c r="T5587">
        <v>-0.1568397</v>
      </c>
      <c r="U5587">
        <v>-0.22937009999999999</v>
      </c>
      <c r="V5587">
        <v>0.13578870000000001</v>
      </c>
      <c r="W5587">
        <v>0.1739607</v>
      </c>
      <c r="X5587">
        <v>0.97534560000000003</v>
      </c>
      <c r="Y5587">
        <v>9.2970810000000001E-2</v>
      </c>
      <c r="Z5587">
        <v>-3.320408E-3</v>
      </c>
      <c r="AA5587">
        <v>0.99566330000000003</v>
      </c>
      <c r="AB5587">
        <v>34</v>
      </c>
      <c r="AC5587">
        <v>21.474899999999899</v>
      </c>
      <c r="AD5587">
        <v>-1.1101870740399999</v>
      </c>
      <c r="AE5587">
        <v>-1.6266799999999899</v>
      </c>
      <c r="AF5587">
        <v>2.01609006432319</v>
      </c>
      <c r="AG5587">
        <v>-1.1101870740399999</v>
      </c>
      <c r="AH5587">
        <v>21.3845168031344</v>
      </c>
      <c r="AI5587">
        <v>92.958772112198503</v>
      </c>
      <c r="AJ5587">
        <v>84.614186266780195</v>
      </c>
      <c r="AK5587">
        <v>21.508014631536</v>
      </c>
      <c r="AL5587">
        <v>79.9818167223507</v>
      </c>
      <c r="AM5587">
        <v>82.074163342355405</v>
      </c>
      <c r="AN5587">
        <v>0.99999996781576905</v>
      </c>
    </row>
    <row r="5588" spans="1:40" x14ac:dyDescent="0.25">
      <c r="A5588" t="str">
        <f>"20190312164138940"</f>
        <v>20190312164138940</v>
      </c>
      <c r="B5588" t="str">
        <f>"1552380098932195"</f>
        <v>1552380098932195</v>
      </c>
      <c r="C5588" t="s">
        <v>40</v>
      </c>
      <c r="D5588">
        <v>5.695862</v>
      </c>
      <c r="E5588">
        <v>0.48537059999999999</v>
      </c>
      <c r="F5588" t="s">
        <v>41</v>
      </c>
      <c r="G5588">
        <v>-320.24639999999999</v>
      </c>
      <c r="H5588" s="1">
        <v>-5.25452099999999E-6</v>
      </c>
      <c r="I5588">
        <v>15.876110000000001</v>
      </c>
      <c r="J5588">
        <v>-341.91160000000002</v>
      </c>
      <c r="K5588">
        <v>1.110161</v>
      </c>
      <c r="L5588">
        <v>17.545679999999901</v>
      </c>
      <c r="M5588">
        <v>0.99972899999999998</v>
      </c>
      <c r="N5588">
        <v>0</v>
      </c>
      <c r="O5588">
        <v>1.8180890000000002E-2</v>
      </c>
      <c r="P5588">
        <v>0.97988390000000003</v>
      </c>
      <c r="Q5588">
        <v>0.16008710000000001</v>
      </c>
      <c r="R5588">
        <v>-0.1191622</v>
      </c>
      <c r="S5588">
        <v>3.0582280000000002</v>
      </c>
      <c r="T5588">
        <v>-0.1554451</v>
      </c>
      <c r="U5588">
        <v>-0.2333374</v>
      </c>
      <c r="V5588">
        <v>0.13709360000000001</v>
      </c>
      <c r="W5588">
        <v>0.1741866</v>
      </c>
      <c r="X5588">
        <v>0.97512270000000001</v>
      </c>
      <c r="Y5588">
        <v>9.405057E-2</v>
      </c>
      <c r="Z5588">
        <v>-3.3076160000000002E-3</v>
      </c>
      <c r="AA5588">
        <v>0.9955619</v>
      </c>
      <c r="AB5588">
        <v>34</v>
      </c>
      <c r="AC5588">
        <v>21.665199999999999</v>
      </c>
      <c r="AD5588">
        <v>-1.110166254521</v>
      </c>
      <c r="AE5588">
        <v>-1.66956999999999</v>
      </c>
      <c r="AF5588">
        <v>2.0578567562632699</v>
      </c>
      <c r="AG5588">
        <v>-1.110166254521</v>
      </c>
      <c r="AH5588">
        <v>21.5749451907284</v>
      </c>
      <c r="AI5588">
        <v>92.932344118760994</v>
      </c>
      <c r="AJ5588">
        <v>84.551509337488696</v>
      </c>
      <c r="AK5588">
        <v>21.701278845379299</v>
      </c>
      <c r="AL5588">
        <v>79.968672788377702</v>
      </c>
      <c r="AM5588">
        <v>81.997174259019303</v>
      </c>
      <c r="AN5588">
        <v>0.99999995341790304</v>
      </c>
    </row>
    <row r="5589" spans="1:40" x14ac:dyDescent="0.25">
      <c r="A5589" t="str">
        <f>"20190312164138950"</f>
        <v>20190312164138950</v>
      </c>
      <c r="B5589" t="str">
        <f>"1552380098941955"</f>
        <v>1552380098941955</v>
      </c>
      <c r="C5589" t="s">
        <v>40</v>
      </c>
      <c r="D5589">
        <v>5.7652839999999896</v>
      </c>
      <c r="E5589">
        <v>0.4864906</v>
      </c>
      <c r="F5589" t="s">
        <v>42</v>
      </c>
      <c r="G5589">
        <v>-340.91789999999997</v>
      </c>
      <c r="H5589">
        <v>1.0328870000000001</v>
      </c>
      <c r="I5589">
        <v>17.48537</v>
      </c>
      <c r="J5589">
        <v>-341.75069999999999</v>
      </c>
      <c r="K5589">
        <v>1.110144</v>
      </c>
      <c r="L5589">
        <v>17.548400000000001</v>
      </c>
      <c r="M5589">
        <v>0.99973270000000003</v>
      </c>
      <c r="N5589">
        <v>0</v>
      </c>
      <c r="O5589">
        <v>1.7972599999999998E-2</v>
      </c>
      <c r="P5589">
        <v>0.97964010000000001</v>
      </c>
      <c r="Q5589">
        <v>0.16037839999999901</v>
      </c>
      <c r="R5589">
        <v>-0.120765</v>
      </c>
      <c r="S5589">
        <v>3.0780029999999998</v>
      </c>
      <c r="T5589">
        <v>-0.2393769</v>
      </c>
      <c r="U5589">
        <v>-0.18649289999999999</v>
      </c>
      <c r="V5589">
        <v>0.13849620000000001</v>
      </c>
      <c r="W5589">
        <v>0.17446639999999999</v>
      </c>
      <c r="X5589">
        <v>0.97487449999999998</v>
      </c>
      <c r="Y5589">
        <v>7.8120679999999998E-2</v>
      </c>
      <c r="Z5589">
        <v>-4.4250180000000002E-3</v>
      </c>
      <c r="AA5589">
        <v>0.99693410000000005</v>
      </c>
      <c r="AB5589">
        <v>34</v>
      </c>
      <c r="AC5589">
        <v>0.83280000000001997</v>
      </c>
      <c r="AD5589">
        <v>-7.7256999999999895E-2</v>
      </c>
      <c r="AE5589">
        <v>-6.3030000000001196E-2</v>
      </c>
      <c r="AF5589">
        <v>7.7327303958427407E-2</v>
      </c>
      <c r="AG5589">
        <v>-7.7256999999999895E-2</v>
      </c>
      <c r="AH5589">
        <v>0.82447759797651599</v>
      </c>
      <c r="AI5589">
        <v>95.329967297629096</v>
      </c>
      <c r="AJ5589">
        <v>84.641934098275598</v>
      </c>
      <c r="AK5589">
        <v>0.831691929473651</v>
      </c>
      <c r="AL5589">
        <v>79.952392675922098</v>
      </c>
      <c r="AM5589">
        <v>81.914343597925296</v>
      </c>
      <c r="AN5589">
        <v>1.00000000644682</v>
      </c>
    </row>
    <row r="5590" spans="1:40" x14ac:dyDescent="0.25">
      <c r="A5590" t="str">
        <f>"20190312164138974"</f>
        <v>20190312164138974</v>
      </c>
      <c r="B5590" t="str">
        <f>"1552380098961475"</f>
        <v>1552380098961475</v>
      </c>
      <c r="C5590" t="s">
        <v>40</v>
      </c>
      <c r="D5590">
        <v>5.7716599999999998</v>
      </c>
      <c r="E5590">
        <v>0.4864906</v>
      </c>
      <c r="F5590" t="s">
        <v>42</v>
      </c>
      <c r="G5590">
        <v>-340.91180000000003</v>
      </c>
      <c r="H5590">
        <v>1.044718</v>
      </c>
      <c r="I5590">
        <v>17.493779999999902</v>
      </c>
      <c r="J5590">
        <v>-341.40050000000002</v>
      </c>
      <c r="K5590">
        <v>1.110098</v>
      </c>
      <c r="L5590">
        <v>17.55423</v>
      </c>
      <c r="M5590">
        <v>0.9997412</v>
      </c>
      <c r="N5590">
        <v>0</v>
      </c>
      <c r="O5590">
        <v>1.7499279999999999E-2</v>
      </c>
      <c r="P5590">
        <v>0.97914979999999996</v>
      </c>
      <c r="Q5590">
        <v>0.16092960000000001</v>
      </c>
      <c r="R5590">
        <v>-0.12396600000000001</v>
      </c>
      <c r="S5590">
        <v>3.0769959999999998</v>
      </c>
      <c r="T5590">
        <v>-0.23997679999999999</v>
      </c>
      <c r="U5590">
        <v>-0.19992070000000001</v>
      </c>
      <c r="V5590">
        <v>0.14124159999999999</v>
      </c>
      <c r="W5590">
        <v>0.17499419999999999</v>
      </c>
      <c r="X5590">
        <v>0.97438590000000003</v>
      </c>
      <c r="Y5590">
        <v>8.1989419999999993E-2</v>
      </c>
      <c r="Z5590">
        <v>-4.5505750000000003E-3</v>
      </c>
      <c r="AA5590">
        <v>0.99662280000000003</v>
      </c>
      <c r="AB5590">
        <v>34</v>
      </c>
      <c r="AC5590">
        <v>0.48869999999999397</v>
      </c>
      <c r="AD5590">
        <v>-6.5379999999999994E-2</v>
      </c>
      <c r="AE5590">
        <v>-6.0450000000003001E-2</v>
      </c>
      <c r="AF5590">
        <v>6.7798373211246404E-2</v>
      </c>
      <c r="AG5590">
        <v>-6.5379999999999994E-2</v>
      </c>
      <c r="AH5590">
        <v>0.47912111669588697</v>
      </c>
      <c r="AI5590">
        <v>97.694758954880299</v>
      </c>
      <c r="AJ5590">
        <v>81.945794800589496</v>
      </c>
      <c r="AK5590">
        <v>0.48829111017302501</v>
      </c>
      <c r="AL5590">
        <v>79.921679628526107</v>
      </c>
      <c r="AM5590">
        <v>81.752167269007003</v>
      </c>
      <c r="AN5590">
        <v>1.0000000208615001</v>
      </c>
    </row>
    <row r="5591" spans="1:40" x14ac:dyDescent="0.25">
      <c r="A5591" t="str">
        <f>"20190312164138989"</f>
        <v>20190312164138989</v>
      </c>
      <c r="B5591" t="str">
        <f>"1552380098981971"</f>
        <v>1552380098981971</v>
      </c>
      <c r="C5591" t="s">
        <v>40</v>
      </c>
      <c r="D5591">
        <v>5.8266450000000001</v>
      </c>
      <c r="E5591">
        <v>0.48665029999999998</v>
      </c>
      <c r="F5591" t="s">
        <v>42</v>
      </c>
      <c r="G5591">
        <v>-340.60750000000002</v>
      </c>
      <c r="H5591">
        <v>1.048753</v>
      </c>
      <c r="I5591">
        <v>17.499939999999999</v>
      </c>
      <c r="J5591">
        <v>-341.18329999999997</v>
      </c>
      <c r="K5591">
        <v>1.110077</v>
      </c>
      <c r="L5591">
        <v>17.55771</v>
      </c>
      <c r="M5591">
        <v>0.99974649999999998</v>
      </c>
      <c r="N5591">
        <v>0</v>
      </c>
      <c r="O5591">
        <v>1.7190130000000001E-2</v>
      </c>
      <c r="P5591">
        <v>0.9789196</v>
      </c>
      <c r="Q5591">
        <v>0.16116939999999999</v>
      </c>
      <c r="R5591">
        <v>-0.12546360000000001</v>
      </c>
      <c r="S5591">
        <v>3.0765380000000002</v>
      </c>
      <c r="T5591">
        <v>-0.23800769999999999</v>
      </c>
      <c r="U5591">
        <v>-0.20907590000000001</v>
      </c>
      <c r="V5591">
        <v>0.14244119999999999</v>
      </c>
      <c r="W5591">
        <v>0.1752223</v>
      </c>
      <c r="X5591">
        <v>0.97417019999999999</v>
      </c>
      <c r="Y5591">
        <v>8.4641199999999903E-2</v>
      </c>
      <c r="Z5591">
        <v>-4.5920240000000001E-3</v>
      </c>
      <c r="AA5591">
        <v>0.99640090000000003</v>
      </c>
      <c r="AB5591">
        <v>34</v>
      </c>
      <c r="AC5591">
        <v>0.57579999999995801</v>
      </c>
      <c r="AD5591">
        <v>-6.1323999999999899E-2</v>
      </c>
      <c r="AE5591">
        <v>-5.7770000000001397E-2</v>
      </c>
      <c r="AF5591">
        <v>6.6909215590683802E-2</v>
      </c>
      <c r="AG5591">
        <v>-6.1323999999999899E-2</v>
      </c>
      <c r="AH5591">
        <v>0.56833944556371696</v>
      </c>
      <c r="AI5591">
        <v>96.116488939110397</v>
      </c>
      <c r="AJ5591">
        <v>83.285613883102101</v>
      </c>
      <c r="AK5591">
        <v>0.57554079046635298</v>
      </c>
      <c r="AL5591">
        <v>79.908404785698494</v>
      </c>
      <c r="AM5591">
        <v>81.681276460875196</v>
      </c>
      <c r="AN5591">
        <v>0.99999996422138404</v>
      </c>
    </row>
    <row r="5592" spans="1:40" x14ac:dyDescent="0.25">
      <c r="A5592" t="str">
        <f>"20190312164139004"</f>
        <v>20190312164139004</v>
      </c>
      <c r="B5592" t="str">
        <f>"1552380098991731"</f>
        <v>1552380098991731</v>
      </c>
      <c r="C5592" t="s">
        <v>40</v>
      </c>
      <c r="D5592">
        <v>5.8677109999999999</v>
      </c>
      <c r="E5592">
        <v>0.48740480000000003</v>
      </c>
      <c r="F5592" t="s">
        <v>42</v>
      </c>
      <c r="G5592">
        <v>-340.31619999999998</v>
      </c>
      <c r="H5592">
        <v>1.035247</v>
      </c>
      <c r="I5592">
        <v>17.49784</v>
      </c>
      <c r="J5592">
        <v>-340.9667</v>
      </c>
      <c r="K5592">
        <v>1.1100639999999999</v>
      </c>
      <c r="L5592">
        <v>17.561129999999999</v>
      </c>
      <c r="M5592">
        <v>0.99975190000000003</v>
      </c>
      <c r="N5592">
        <v>0</v>
      </c>
      <c r="O5592">
        <v>1.6873389999999999E-2</v>
      </c>
      <c r="P5592">
        <v>0.97863460000000002</v>
      </c>
      <c r="Q5592">
        <v>0.16155039999999901</v>
      </c>
      <c r="R5592">
        <v>-0.1271842</v>
      </c>
      <c r="S5592">
        <v>3.0811160000000002</v>
      </c>
      <c r="T5592">
        <v>-0.26592500000000002</v>
      </c>
      <c r="U5592">
        <v>-0.2123718</v>
      </c>
      <c r="V5592">
        <v>0.14385539999999999</v>
      </c>
      <c r="W5592">
        <v>0.17559079999999999</v>
      </c>
      <c r="X5592">
        <v>0.97389599999999998</v>
      </c>
      <c r="Y5592">
        <v>8.5211369999999995E-2</v>
      </c>
      <c r="Z5592">
        <v>-5.1182720000000001E-3</v>
      </c>
      <c r="AA5592">
        <v>0.99634979999999995</v>
      </c>
      <c r="AB5592">
        <v>34</v>
      </c>
      <c r="AC5592">
        <v>0.65050000000002195</v>
      </c>
      <c r="AD5592">
        <v>-7.4816999999999897E-2</v>
      </c>
      <c r="AE5592">
        <v>-6.32899999999985E-2</v>
      </c>
      <c r="AF5592">
        <v>7.3297771662982694E-2</v>
      </c>
      <c r="AG5592">
        <v>-7.4816999999999897E-2</v>
      </c>
      <c r="AH5592">
        <v>0.64094026109305902</v>
      </c>
      <c r="AI5592">
        <v>96.615277424838396</v>
      </c>
      <c r="AJ5592">
        <v>83.476010718745101</v>
      </c>
      <c r="AK5592">
        <v>0.64944173342171096</v>
      </c>
      <c r="AL5592">
        <v>79.886958770342304</v>
      </c>
      <c r="AM5592">
        <v>81.5975270821028</v>
      </c>
      <c r="AN5592">
        <v>0.99999996198489904</v>
      </c>
    </row>
    <row r="5593" spans="1:40" x14ac:dyDescent="0.25">
      <c r="A5593" t="str">
        <f>"20190312164139018"</f>
        <v>20190312164139018</v>
      </c>
      <c r="B5593" t="str">
        <f>"1552380099012227"</f>
        <v>1552380099012227</v>
      </c>
      <c r="C5593" t="s">
        <v>40</v>
      </c>
      <c r="D5593">
        <v>5.7821290000000003</v>
      </c>
      <c r="E5593">
        <v>0.48801139999999998</v>
      </c>
      <c r="F5593" t="s">
        <v>42</v>
      </c>
      <c r="G5593">
        <v>-340.0179</v>
      </c>
      <c r="H5593">
        <v>1.0318700000000001</v>
      </c>
      <c r="I5593">
        <v>17.49164</v>
      </c>
      <c r="J5593">
        <v>-340.74270000000001</v>
      </c>
      <c r="K5593">
        <v>1.1100449999999999</v>
      </c>
      <c r="L5593">
        <v>17.564579999999999</v>
      </c>
      <c r="M5593">
        <v>0.99975749999999997</v>
      </c>
      <c r="N5593">
        <v>0</v>
      </c>
      <c r="O5593">
        <v>1.6537590000000001E-2</v>
      </c>
      <c r="P5593">
        <v>0.97811009999999998</v>
      </c>
      <c r="Q5593">
        <v>0.16216120000000001</v>
      </c>
      <c r="R5593">
        <v>-0.13040199999999999</v>
      </c>
      <c r="S5593">
        <v>3.0781860000000001</v>
      </c>
      <c r="T5593">
        <v>-0.25364300000000001</v>
      </c>
      <c r="U5593">
        <v>-0.22427369999999999</v>
      </c>
      <c r="V5593">
        <v>0.1467436</v>
      </c>
      <c r="W5593">
        <v>0.1761837</v>
      </c>
      <c r="X5593">
        <v>0.9733579</v>
      </c>
      <c r="Y5593">
        <v>8.8796879999999995E-2</v>
      </c>
      <c r="Z5593">
        <v>-5.0063449999999997E-3</v>
      </c>
      <c r="AA5593">
        <v>0.99603719999999996</v>
      </c>
      <c r="AB5593">
        <v>34</v>
      </c>
      <c r="AC5593">
        <v>0.72480000000001599</v>
      </c>
      <c r="AD5593">
        <v>-7.8175000000000106E-2</v>
      </c>
      <c r="AE5593">
        <v>-7.2939999999999103E-2</v>
      </c>
      <c r="AF5593">
        <v>8.3950908835350696E-2</v>
      </c>
      <c r="AG5593">
        <v>-7.8175000000000106E-2</v>
      </c>
      <c r="AH5593">
        <v>0.71525716762643099</v>
      </c>
      <c r="AI5593">
        <v>96.195268169301002</v>
      </c>
      <c r="AJ5593">
        <v>83.305728432376895</v>
      </c>
      <c r="AK5593">
        <v>0.72439761288967897</v>
      </c>
      <c r="AL5593">
        <v>79.852450418355204</v>
      </c>
      <c r="AM5593">
        <v>81.426643169962006</v>
      </c>
      <c r="AN5593">
        <v>0.99999999088952995</v>
      </c>
    </row>
    <row r="5594" spans="1:40" x14ac:dyDescent="0.25">
      <c r="A5594" t="str">
        <f>"20190312164139030"</f>
        <v>20190312164139030</v>
      </c>
      <c r="B5594" t="str">
        <f>"1552380099021987"</f>
        <v>1552380099021987</v>
      </c>
      <c r="C5594" t="s">
        <v>40</v>
      </c>
      <c r="D5594">
        <v>5.8016069999999997</v>
      </c>
      <c r="E5594">
        <v>0.48993720000000002</v>
      </c>
      <c r="F5594" t="s">
        <v>42</v>
      </c>
      <c r="G5594">
        <v>-339.71730000000002</v>
      </c>
      <c r="H5594">
        <v>1.0335190000000001</v>
      </c>
      <c r="I5594">
        <v>17.484549999999999</v>
      </c>
      <c r="J5594">
        <v>-340.54539999999997</v>
      </c>
      <c r="K5594">
        <v>1.1100350000000001</v>
      </c>
      <c r="L5594">
        <v>17.567540000000001</v>
      </c>
      <c r="M5594">
        <v>0.99976259999999995</v>
      </c>
      <c r="N5594">
        <v>0</v>
      </c>
      <c r="O5594">
        <v>1.6233649999999999E-2</v>
      </c>
      <c r="P5594">
        <v>0.97781010000000002</v>
      </c>
      <c r="Q5594">
        <v>0.1626031</v>
      </c>
      <c r="R5594">
        <v>-0.13209000000000001</v>
      </c>
      <c r="S5594">
        <v>3.0732119999999998</v>
      </c>
      <c r="T5594">
        <v>-0.229409</v>
      </c>
      <c r="U5594">
        <v>-0.23974609999999999</v>
      </c>
      <c r="V5594">
        <v>0.14813519999999999</v>
      </c>
      <c r="W5594">
        <v>0.17661450000000001</v>
      </c>
      <c r="X5594">
        <v>0.97306899999999996</v>
      </c>
      <c r="Y5594">
        <v>9.3647259999999996E-2</v>
      </c>
      <c r="Z5594">
        <v>-4.6937369999999999E-3</v>
      </c>
      <c r="AA5594">
        <v>0.99559439999999999</v>
      </c>
      <c r="AB5594">
        <v>34</v>
      </c>
      <c r="AC5594">
        <v>0.82809999999994899</v>
      </c>
      <c r="AD5594">
        <v>-7.6516000000000001E-2</v>
      </c>
      <c r="AE5594">
        <v>-8.2990000000002298E-2</v>
      </c>
      <c r="AF5594">
        <v>9.5615352964608102E-2</v>
      </c>
      <c r="AG5594">
        <v>-7.6516000000000001E-2</v>
      </c>
      <c r="AH5594">
        <v>0.81971462552521801</v>
      </c>
      <c r="AI5594">
        <v>95.2970954465044</v>
      </c>
      <c r="AJ5594">
        <v>83.346817592458194</v>
      </c>
      <c r="AK5594">
        <v>0.82881183707672501</v>
      </c>
      <c r="AL5594">
        <v>79.827374251202897</v>
      </c>
      <c r="AM5594">
        <v>81.344035083430597</v>
      </c>
      <c r="AN5594">
        <v>0.99999999892514402</v>
      </c>
    </row>
    <row r="5595" spans="1:40" x14ac:dyDescent="0.25">
      <c r="A5595" t="str">
        <f>"20190312164139042"</f>
        <v>20190312164139042</v>
      </c>
      <c r="B5595" t="str">
        <f>"1552380099031748"</f>
        <v>1552380099031748</v>
      </c>
      <c r="C5595" t="s">
        <v>40</v>
      </c>
      <c r="D5595">
        <v>5.9852480000000003</v>
      </c>
      <c r="E5595">
        <v>0.48993720000000002</v>
      </c>
      <c r="F5595" t="s">
        <v>42</v>
      </c>
      <c r="G5595">
        <v>-339.70659999999998</v>
      </c>
      <c r="H5595">
        <v>1.0497570000000001</v>
      </c>
      <c r="I5595">
        <v>17.496359999999999</v>
      </c>
      <c r="J5595">
        <v>-340.38130000000001</v>
      </c>
      <c r="K5595">
        <v>1.110025</v>
      </c>
      <c r="L5595">
        <v>17.569979999999902</v>
      </c>
      <c r="M5595">
        <v>0.99976659999999995</v>
      </c>
      <c r="N5595">
        <v>0</v>
      </c>
      <c r="O5595">
        <v>1.5978989999999998E-2</v>
      </c>
      <c r="P5595">
        <v>0.97753140000000005</v>
      </c>
      <c r="Q5595">
        <v>0.16290270000000001</v>
      </c>
      <c r="R5595">
        <v>-0.13377229999999901</v>
      </c>
      <c r="S5595">
        <v>3.0696110000000001</v>
      </c>
      <c r="T5595">
        <v>-0.22064690000000001</v>
      </c>
      <c r="U5595">
        <v>-0.26031490000000002</v>
      </c>
      <c r="V5595">
        <v>0.1495686</v>
      </c>
      <c r="W5595">
        <v>0.17690410000000001</v>
      </c>
      <c r="X5595">
        <v>0.97279709999999997</v>
      </c>
      <c r="Y5595">
        <v>0.1001158</v>
      </c>
      <c r="Z5595">
        <v>-4.7325040000000002E-3</v>
      </c>
      <c r="AA5595">
        <v>0.99496450000000003</v>
      </c>
      <c r="AB5595">
        <v>34</v>
      </c>
      <c r="AC5595">
        <v>0.67470000000002905</v>
      </c>
      <c r="AD5595">
        <v>-6.0267999999999898E-2</v>
      </c>
      <c r="AE5595">
        <v>-7.3619999999998201E-2</v>
      </c>
      <c r="AF5595">
        <v>8.3732516735600795E-2</v>
      </c>
      <c r="AG5595">
        <v>-6.0267999999999898E-2</v>
      </c>
      <c r="AH5595">
        <v>0.66816870947865803</v>
      </c>
      <c r="AI5595">
        <v>95.114275126355906</v>
      </c>
      <c r="AJ5595">
        <v>82.857133216482396</v>
      </c>
      <c r="AK5595">
        <v>0.67608637799415305</v>
      </c>
      <c r="AL5595">
        <v>79.810516081373194</v>
      </c>
      <c r="AM5595">
        <v>81.259159466829402</v>
      </c>
      <c r="AN5595">
        <v>1.0000000122355801</v>
      </c>
    </row>
    <row r="5596" spans="1:40" x14ac:dyDescent="0.25">
      <c r="A5596" t="str">
        <f>"20190312164139054"</f>
        <v>20190312164139054</v>
      </c>
      <c r="B5596" t="str">
        <f>"1552380099041508"</f>
        <v>1552380099041508</v>
      </c>
      <c r="C5596" t="s">
        <v>40</v>
      </c>
      <c r="D5596">
        <v>5.7955069999999997</v>
      </c>
      <c r="E5596">
        <v>0.52237979999999995</v>
      </c>
      <c r="F5596" t="s">
        <v>42</v>
      </c>
      <c r="G5596">
        <v>-339.41449999999998</v>
      </c>
      <c r="H5596">
        <v>1.0408360000000001</v>
      </c>
      <c r="I5596">
        <v>17.48612</v>
      </c>
      <c r="J5596">
        <v>-340.2047</v>
      </c>
      <c r="K5596">
        <v>1.110015</v>
      </c>
      <c r="L5596">
        <v>17.57254</v>
      </c>
      <c r="M5596">
        <v>0.99977110000000002</v>
      </c>
      <c r="N5596">
        <v>0</v>
      </c>
      <c r="O5596">
        <v>1.5700860000000001E-2</v>
      </c>
      <c r="P5596">
        <v>0.97716879999999995</v>
      </c>
      <c r="Q5596">
        <v>0.1635066</v>
      </c>
      <c r="R5596">
        <v>-0.13567270000000001</v>
      </c>
      <c r="S5596">
        <v>3.0692750000000002</v>
      </c>
      <c r="T5596">
        <v>-0.2196285</v>
      </c>
      <c r="U5596">
        <v>-0.26525880000000002</v>
      </c>
      <c r="V5596">
        <v>0.1511961</v>
      </c>
      <c r="W5596">
        <v>0.17749679999999901</v>
      </c>
      <c r="X5596">
        <v>0.97243740000000001</v>
      </c>
      <c r="Y5596">
        <v>0.10143919999999999</v>
      </c>
      <c r="Z5596">
        <v>-4.7382630000000004E-3</v>
      </c>
      <c r="AA5596">
        <v>0.99483049999999995</v>
      </c>
      <c r="AB5596">
        <v>33</v>
      </c>
      <c r="AC5596">
        <v>0.79020000000002699</v>
      </c>
      <c r="AD5596">
        <v>-6.9178999999999796E-2</v>
      </c>
      <c r="AE5596">
        <v>-8.6420000000000302E-2</v>
      </c>
      <c r="AF5596">
        <v>9.8074682231518606E-2</v>
      </c>
      <c r="AG5596">
        <v>-6.9178999999999796E-2</v>
      </c>
      <c r="AH5596">
        <v>0.78281670593727304</v>
      </c>
      <c r="AI5596">
        <v>95.011243754548602</v>
      </c>
      <c r="AJ5596">
        <v>82.858942800738006</v>
      </c>
      <c r="AK5596">
        <v>0.79196361812288796</v>
      </c>
      <c r="AL5596">
        <v>79.776010029451498</v>
      </c>
      <c r="AM5596">
        <v>81.1623240313602</v>
      </c>
      <c r="AN5596">
        <v>0.999999935792102</v>
      </c>
    </row>
    <row r="5597" spans="1:40" x14ac:dyDescent="0.25">
      <c r="A5597" t="str">
        <f>"20190312164139065"</f>
        <v>20190312164139065</v>
      </c>
      <c r="B5597" t="str">
        <f>"1552380099062004"</f>
        <v>1552380099062004</v>
      </c>
      <c r="C5597" t="s">
        <v>40</v>
      </c>
      <c r="D5597">
        <v>5.8038600000000002</v>
      </c>
      <c r="E5597">
        <v>0.52290340000000002</v>
      </c>
      <c r="F5597" t="s">
        <v>43</v>
      </c>
      <c r="G5597">
        <v>-311.52300000000002</v>
      </c>
      <c r="H5597">
        <v>-0.05</v>
      </c>
      <c r="I5597">
        <v>12.477449999999999</v>
      </c>
      <c r="J5597">
        <v>-340.03440000000001</v>
      </c>
      <c r="K5597">
        <v>1.1100049999999999</v>
      </c>
      <c r="L5597">
        <v>17.574919999999999</v>
      </c>
      <c r="M5597">
        <v>0.99977539999999998</v>
      </c>
      <c r="N5597">
        <v>0</v>
      </c>
      <c r="O5597">
        <v>1.542893E-2</v>
      </c>
      <c r="P5597">
        <v>0.97681810000000002</v>
      </c>
      <c r="Q5597">
        <v>0.16390779999999999</v>
      </c>
      <c r="R5597">
        <v>-0.13769909999999999</v>
      </c>
      <c r="S5597">
        <v>3.0161440000000002</v>
      </c>
      <c r="T5597">
        <v>-0.12198639999999999</v>
      </c>
      <c r="U5597">
        <v>-0.53579709999999903</v>
      </c>
      <c r="V5597">
        <v>0.15295549999999999</v>
      </c>
      <c r="W5597">
        <v>0.177886299999999</v>
      </c>
      <c r="X5597">
        <v>0.97209109999999999</v>
      </c>
      <c r="Y5597">
        <v>0.18991379999999999</v>
      </c>
      <c r="Z5597">
        <v>-4.4283109999999999E-3</v>
      </c>
      <c r="AA5597">
        <v>0.98179079999999996</v>
      </c>
      <c r="AB5597">
        <v>33</v>
      </c>
      <c r="AC5597">
        <v>28.511399999999998</v>
      </c>
      <c r="AD5597">
        <v>-1.160005</v>
      </c>
      <c r="AE5597">
        <v>-5.0974700000000004</v>
      </c>
      <c r="AF5597">
        <v>5.5279428442390302</v>
      </c>
      <c r="AG5597">
        <v>-1.160005</v>
      </c>
      <c r="AH5597">
        <v>28.383819625501399</v>
      </c>
      <c r="AI5597">
        <v>92.297178710559194</v>
      </c>
      <c r="AJ5597">
        <v>78.979213628658201</v>
      </c>
      <c r="AK5597">
        <v>28.940369386415899</v>
      </c>
      <c r="AL5597">
        <v>79.753333242692804</v>
      </c>
      <c r="AM5597">
        <v>81.058002409867399</v>
      </c>
      <c r="AN5597">
        <v>1.0000000137035701</v>
      </c>
    </row>
    <row r="5598" spans="1:40" x14ac:dyDescent="0.25">
      <c r="A5598" t="str">
        <f>"20190312164139076"</f>
        <v>20190312164139076</v>
      </c>
      <c r="B5598" t="str">
        <f>"1552380099071763"</f>
        <v>1552380099071763</v>
      </c>
      <c r="C5598" t="s">
        <v>40</v>
      </c>
      <c r="D5598">
        <v>5.8485670000000001</v>
      </c>
      <c r="E5598">
        <v>0.52434740000000002</v>
      </c>
      <c r="F5598" t="s">
        <v>43</v>
      </c>
      <c r="G5598">
        <v>-308.70699999999999</v>
      </c>
      <c r="H5598">
        <v>-0.05</v>
      </c>
      <c r="I5598">
        <v>11.89209</v>
      </c>
      <c r="J5598">
        <v>-339.86189999999999</v>
      </c>
      <c r="K5598">
        <v>1.109998</v>
      </c>
      <c r="L5598">
        <v>17.57733</v>
      </c>
      <c r="M5598">
        <v>0.99977959999999999</v>
      </c>
      <c r="N5598">
        <v>0</v>
      </c>
      <c r="O5598">
        <v>1.5151110000000001E-2</v>
      </c>
      <c r="P5598">
        <v>0.97644039999999999</v>
      </c>
      <c r="Q5598">
        <v>0.1645751</v>
      </c>
      <c r="R5598">
        <v>-0.13956849999999901</v>
      </c>
      <c r="S5598">
        <v>3.0128780000000002</v>
      </c>
      <c r="T5598">
        <v>-0.1115623</v>
      </c>
      <c r="U5598">
        <v>-0.54653929999999995</v>
      </c>
      <c r="V5598">
        <v>0.15455250000000001</v>
      </c>
      <c r="W5598">
        <v>0.1785427</v>
      </c>
      <c r="X5598">
        <v>0.97171810000000003</v>
      </c>
      <c r="Y5598">
        <v>0.19323870000000001</v>
      </c>
      <c r="Z5598">
        <v>-4.1040479999999999E-3</v>
      </c>
      <c r="AA5598">
        <v>0.98114319999999999</v>
      </c>
      <c r="AB5598">
        <v>33</v>
      </c>
      <c r="AC5598">
        <v>31.154900000000001</v>
      </c>
      <c r="AD5598">
        <v>-1.1599979999999901</v>
      </c>
      <c r="AE5598">
        <v>-5.6852400000000003</v>
      </c>
      <c r="AF5598">
        <v>6.14841950163835</v>
      </c>
      <c r="AG5598">
        <v>-1.1599979999999901</v>
      </c>
      <c r="AH5598">
        <v>31.023553971337702</v>
      </c>
      <c r="AI5598">
        <v>92.100525370804604</v>
      </c>
      <c r="AJ5598">
        <v>78.790065244939797</v>
      </c>
      <c r="AK5598">
        <v>31.648215727598799</v>
      </c>
      <c r="AL5598">
        <v>79.715112490373798</v>
      </c>
      <c r="AM5598">
        <v>80.962760931931697</v>
      </c>
      <c r="AN5598">
        <v>1.00000001842357</v>
      </c>
    </row>
    <row r="5599" spans="1:40" x14ac:dyDescent="0.25">
      <c r="A5599" t="str">
        <f>"20190312164139088"</f>
        <v>20190312164139088</v>
      </c>
      <c r="B5599" t="str">
        <f>"1552380099081523"</f>
        <v>1552380099081523</v>
      </c>
      <c r="C5599" t="s">
        <v>40</v>
      </c>
      <c r="D5599">
        <v>5.7983630000000002</v>
      </c>
      <c r="E5599">
        <v>0.52422970000000002</v>
      </c>
      <c r="F5599" t="s">
        <v>43</v>
      </c>
      <c r="G5599">
        <v>-312.35939999999999</v>
      </c>
      <c r="H5599">
        <v>-0.05</v>
      </c>
      <c r="I5599">
        <v>12.448700000000001</v>
      </c>
      <c r="J5599">
        <v>-339.70499999999998</v>
      </c>
      <c r="K5599">
        <v>1.109988</v>
      </c>
      <c r="L5599">
        <v>17.579439999999899</v>
      </c>
      <c r="M5599">
        <v>0.99978359999999999</v>
      </c>
      <c r="N5599">
        <v>0</v>
      </c>
      <c r="O5599">
        <v>1.4891160000000001E-2</v>
      </c>
      <c r="P5599">
        <v>0.97607489999999997</v>
      </c>
      <c r="Q5599">
        <v>0.16529679999999999</v>
      </c>
      <c r="R5599">
        <v>-0.14126150000000001</v>
      </c>
      <c r="S5599">
        <v>3.0134889999999999</v>
      </c>
      <c r="T5599">
        <v>-0.12710239999999901</v>
      </c>
      <c r="U5599">
        <v>-0.56195069999999903</v>
      </c>
      <c r="V5599">
        <v>0.15599080000000001</v>
      </c>
      <c r="W5599">
        <v>0.17925350000000001</v>
      </c>
      <c r="X5599">
        <v>0.97135729999999998</v>
      </c>
      <c r="Y5599">
        <v>0.1977555</v>
      </c>
      <c r="Z5599">
        <v>-4.7557199999999997E-3</v>
      </c>
      <c r="AA5599">
        <v>0.98023990000000005</v>
      </c>
      <c r="AB5599">
        <v>33</v>
      </c>
      <c r="AC5599">
        <v>27.345599999999902</v>
      </c>
      <c r="AD5599">
        <v>-1.159988</v>
      </c>
      <c r="AE5599">
        <v>-5.1307399999999896</v>
      </c>
      <c r="AF5599">
        <v>5.5278130683304996</v>
      </c>
      <c r="AG5599">
        <v>-1.159988</v>
      </c>
      <c r="AH5599">
        <v>27.218844045433102</v>
      </c>
      <c r="AI5599">
        <v>92.391540537754906</v>
      </c>
      <c r="AJ5599">
        <v>78.520059826506994</v>
      </c>
      <c r="AK5599">
        <v>27.798700700719099</v>
      </c>
      <c r="AL5599">
        <v>79.673718425008303</v>
      </c>
      <c r="AM5599">
        <v>80.876734855927197</v>
      </c>
      <c r="AN5599">
        <v>0.99999997560508902</v>
      </c>
    </row>
    <row r="5600" spans="1:40" x14ac:dyDescent="0.25">
      <c r="A5600" t="str">
        <f>"20190312164139099"</f>
        <v>20190312164139099</v>
      </c>
      <c r="B5600" t="str">
        <f>"1552380099091284"</f>
        <v>1552380099091284</v>
      </c>
      <c r="C5600" t="s">
        <v>40</v>
      </c>
      <c r="D5600">
        <v>5.9591269999999996</v>
      </c>
      <c r="E5600">
        <v>0.52414669999999997</v>
      </c>
      <c r="F5600" t="s">
        <v>43</v>
      </c>
      <c r="G5600">
        <v>-310.68970000000002</v>
      </c>
      <c r="H5600">
        <v>-0.05</v>
      </c>
      <c r="I5600">
        <v>12.1234</v>
      </c>
      <c r="J5600">
        <v>-339.52640000000002</v>
      </c>
      <c r="K5600">
        <v>1.1099840000000001</v>
      </c>
      <c r="L5600">
        <v>17.58182</v>
      </c>
      <c r="M5600">
        <v>0.99978789999999995</v>
      </c>
      <c r="N5600">
        <v>0</v>
      </c>
      <c r="O5600">
        <v>1.4593170000000001E-2</v>
      </c>
      <c r="P5600">
        <v>0.97572110000000001</v>
      </c>
      <c r="Q5600">
        <v>0.1656745</v>
      </c>
      <c r="R5600">
        <v>-0.14324970000000001</v>
      </c>
      <c r="S5600">
        <v>3.0119929999999999</v>
      </c>
      <c r="T5600">
        <v>-0.1204151</v>
      </c>
      <c r="U5600">
        <v>-0.56637569999999904</v>
      </c>
      <c r="V5600">
        <v>0.15768789999999999</v>
      </c>
      <c r="W5600">
        <v>0.1796189</v>
      </c>
      <c r="X5600">
        <v>0.97101579999999998</v>
      </c>
      <c r="Y5600">
        <v>0.1989601</v>
      </c>
      <c r="Z5600">
        <v>-4.5193469999999999E-3</v>
      </c>
      <c r="AA5600">
        <v>0.97999720000000001</v>
      </c>
      <c r="AB5600">
        <v>33</v>
      </c>
      <c r="AC5600">
        <v>28.8367</v>
      </c>
      <c r="AD5600">
        <v>-1.1599839999999999</v>
      </c>
      <c r="AE5600">
        <v>-5.4584199999999896</v>
      </c>
      <c r="AF5600">
        <v>5.86953281301584</v>
      </c>
      <c r="AG5600">
        <v>-1.1599839999999999</v>
      </c>
      <c r="AH5600">
        <v>28.7091164512813</v>
      </c>
      <c r="AI5600">
        <v>92.266919546669698</v>
      </c>
      <c r="AJ5600">
        <v>78.445207020820604</v>
      </c>
      <c r="AK5600">
        <v>29.325932990044102</v>
      </c>
      <c r="AL5600">
        <v>79.652437957400906</v>
      </c>
      <c r="AM5600">
        <v>80.775987257276597</v>
      </c>
      <c r="AN5600">
        <v>1.00000005344662</v>
      </c>
    </row>
    <row r="5601" spans="1:40" x14ac:dyDescent="0.25">
      <c r="A5601" t="str">
        <f>"20190312164139109"</f>
        <v>20190312164139109</v>
      </c>
      <c r="B5601" t="str">
        <f>"1552380099102019"</f>
        <v>1552380099102019</v>
      </c>
      <c r="C5601" t="s">
        <v>40</v>
      </c>
      <c r="D5601">
        <v>6.046335</v>
      </c>
      <c r="E5601">
        <v>0.52411809999999903</v>
      </c>
      <c r="F5601" t="s">
        <v>43</v>
      </c>
      <c r="G5601">
        <v>-310.19130000000001</v>
      </c>
      <c r="H5601">
        <v>-0.05</v>
      </c>
      <c r="I5601">
        <v>12.012890000000001</v>
      </c>
      <c r="J5601">
        <v>-339.35879999999997</v>
      </c>
      <c r="K5601">
        <v>1.1099749999999999</v>
      </c>
      <c r="L5601">
        <v>17.58398</v>
      </c>
      <c r="M5601">
        <v>0.99979220000000002</v>
      </c>
      <c r="N5601">
        <v>0</v>
      </c>
      <c r="O5601">
        <v>1.4303969999999999E-2</v>
      </c>
      <c r="P5601">
        <v>0.97539909999999996</v>
      </c>
      <c r="Q5601">
        <v>0.16617199999999999</v>
      </c>
      <c r="R5601">
        <v>-0.14485689999999901</v>
      </c>
      <c r="S5601">
        <v>3.0109560000000002</v>
      </c>
      <c r="T5601">
        <v>-0.1190606</v>
      </c>
      <c r="U5601">
        <v>-0.57159419999999905</v>
      </c>
      <c r="V5601">
        <v>0.15901390000000001</v>
      </c>
      <c r="W5601">
        <v>0.1801053</v>
      </c>
      <c r="X5601">
        <v>0.97070939999999994</v>
      </c>
      <c r="Y5601">
        <v>0.20038049999999999</v>
      </c>
      <c r="Z5601">
        <v>-4.4858399999999996E-3</v>
      </c>
      <c r="AA5601">
        <v>0.97970789999999996</v>
      </c>
      <c r="AB5601">
        <v>33</v>
      </c>
      <c r="AC5601">
        <v>29.167499999999901</v>
      </c>
      <c r="AD5601">
        <v>-1.159975</v>
      </c>
      <c r="AE5601">
        <v>-5.5710899999999999</v>
      </c>
      <c r="AF5601">
        <v>5.9786519223413102</v>
      </c>
      <c r="AG5601">
        <v>-1.159975</v>
      </c>
      <c r="AH5601">
        <v>29.040504202957301</v>
      </c>
      <c r="AI5601">
        <v>92.240432615797602</v>
      </c>
      <c r="AJ5601">
        <v>78.366887286268394</v>
      </c>
      <c r="AK5601">
        <v>29.672221102760702</v>
      </c>
      <c r="AL5601">
        <v>79.624107122198893</v>
      </c>
      <c r="AM5601">
        <v>80.696887911293601</v>
      </c>
      <c r="AN5601">
        <v>1.0000000393648201</v>
      </c>
    </row>
    <row r="5602" spans="1:40" x14ac:dyDescent="0.25">
      <c r="A5602" t="str">
        <f>"20190312164139130"</f>
        <v>20190312164139130</v>
      </c>
      <c r="B5602" t="str">
        <f>"1552380099121541"</f>
        <v>1552380099121541</v>
      </c>
      <c r="C5602" t="s">
        <v>40</v>
      </c>
      <c r="D5602">
        <v>5.8980839999999999</v>
      </c>
      <c r="E5602">
        <v>0.52427800000000002</v>
      </c>
      <c r="F5602" t="s">
        <v>43</v>
      </c>
      <c r="G5602">
        <v>-309.5652</v>
      </c>
      <c r="H5602">
        <v>-0.05</v>
      </c>
      <c r="I5602">
        <v>11.88083</v>
      </c>
      <c r="J5602">
        <v>-339.07</v>
      </c>
      <c r="K5602">
        <v>1.1099600000000001</v>
      </c>
      <c r="L5602">
        <v>17.587589999999999</v>
      </c>
      <c r="M5602">
        <v>0.9997994</v>
      </c>
      <c r="N5602">
        <v>0</v>
      </c>
      <c r="O5602">
        <v>1.379325E-2</v>
      </c>
      <c r="P5602">
        <v>0.97472630000000005</v>
      </c>
      <c r="Q5602">
        <v>0.1667496</v>
      </c>
      <c r="R5602">
        <v>-0.14867359999999999</v>
      </c>
      <c r="S5602">
        <v>3.0101010000000001</v>
      </c>
      <c r="T5602">
        <v>-0.117194699999999</v>
      </c>
      <c r="U5602">
        <v>-0.5762024</v>
      </c>
      <c r="V5602">
        <v>0.1623329</v>
      </c>
      <c r="W5602">
        <v>0.18065880000000001</v>
      </c>
      <c r="X5602">
        <v>0.97005699999999995</v>
      </c>
      <c r="Y5602">
        <v>0.2013828</v>
      </c>
      <c r="Z5602">
        <v>-4.41581E-3</v>
      </c>
      <c r="AA5602">
        <v>0.97950269999999995</v>
      </c>
      <c r="AB5602">
        <v>33</v>
      </c>
      <c r="AC5602">
        <v>29.5047999999999</v>
      </c>
      <c r="AD5602">
        <v>-1.1599600000000001</v>
      </c>
      <c r="AE5602">
        <v>-5.7067599999999903</v>
      </c>
      <c r="AF5602">
        <v>6.1041326001396499</v>
      </c>
      <c r="AG5602">
        <v>-1.1599600000000001</v>
      </c>
      <c r="AH5602">
        <v>29.379497707162201</v>
      </c>
      <c r="AI5602">
        <v>92.213747190405201</v>
      </c>
      <c r="AJ5602">
        <v>78.262733866530994</v>
      </c>
      <c r="AK5602">
        <v>30.029332785242399</v>
      </c>
      <c r="AL5602">
        <v>79.591865434825195</v>
      </c>
      <c r="AM5602">
        <v>80.499940782907203</v>
      </c>
      <c r="AN5602">
        <v>1.00000007784442</v>
      </c>
    </row>
    <row r="5603" spans="1:40" x14ac:dyDescent="0.25">
      <c r="A5603" t="str">
        <f>"20190312164139141"</f>
        <v>20190312164139141</v>
      </c>
      <c r="B5603" t="str">
        <f>"1552380099132101"</f>
        <v>1552380099132101</v>
      </c>
      <c r="C5603" t="s">
        <v>40</v>
      </c>
      <c r="D5603">
        <v>5.8165040000000001</v>
      </c>
      <c r="E5603">
        <v>0.5240127</v>
      </c>
      <c r="F5603" t="s">
        <v>43</v>
      </c>
      <c r="G5603">
        <v>-311.05340000000001</v>
      </c>
      <c r="H5603">
        <v>-0.05</v>
      </c>
      <c r="I5603">
        <v>12.117520000000001</v>
      </c>
      <c r="J5603">
        <v>-338.90170000000001</v>
      </c>
      <c r="K5603">
        <v>1.1099490000000001</v>
      </c>
      <c r="L5603">
        <v>17.589600000000001</v>
      </c>
      <c r="M5603">
        <v>0.99980349999999996</v>
      </c>
      <c r="N5603">
        <v>0</v>
      </c>
      <c r="O5603">
        <v>1.348649E-2</v>
      </c>
      <c r="P5603">
        <v>0.97444370000000002</v>
      </c>
      <c r="Q5603">
        <v>0.16709879999999999</v>
      </c>
      <c r="R5603">
        <v>-0.1501246</v>
      </c>
      <c r="S5603">
        <v>3.0094910000000001</v>
      </c>
      <c r="T5603">
        <v>-0.124601</v>
      </c>
      <c r="U5603">
        <v>-0.58758540000000004</v>
      </c>
      <c r="V5603">
        <v>0.16348770000000001</v>
      </c>
      <c r="W5603">
        <v>0.18099689999999999</v>
      </c>
      <c r="X5603">
        <v>0.96979990000000005</v>
      </c>
      <c r="Y5603">
        <v>0.20466619999999999</v>
      </c>
      <c r="Z5603">
        <v>-4.748642E-3</v>
      </c>
      <c r="AA5603">
        <v>0.97882029999999998</v>
      </c>
      <c r="AB5603">
        <v>33</v>
      </c>
      <c r="AC5603">
        <v>27.848299999999899</v>
      </c>
      <c r="AD5603">
        <v>-1.1599489999999999</v>
      </c>
      <c r="AE5603">
        <v>-5.4720800000000001</v>
      </c>
      <c r="AF5603">
        <v>5.8374466584750504</v>
      </c>
      <c r="AG5603">
        <v>-1.1599489999999999</v>
      </c>
      <c r="AH5603">
        <v>27.725646127066899</v>
      </c>
      <c r="AI5603">
        <v>92.344330544250596</v>
      </c>
      <c r="AJ5603">
        <v>78.110414832895103</v>
      </c>
      <c r="AK5603">
        <v>28.357233968363001</v>
      </c>
      <c r="AL5603">
        <v>79.5721679589536</v>
      </c>
      <c r="AM5603">
        <v>80.431114986497505</v>
      </c>
      <c r="AN5603">
        <v>0.99999997595045398</v>
      </c>
    </row>
    <row r="5604" spans="1:40" x14ac:dyDescent="0.25">
      <c r="A5604" t="str">
        <f>"20190312164139151"</f>
        <v>20190312164139151</v>
      </c>
      <c r="B5604" t="str">
        <f>"1552380099141861"</f>
        <v>1552380099141861</v>
      </c>
      <c r="C5604" t="s">
        <v>40</v>
      </c>
      <c r="D5604">
        <v>5.8413979999999999</v>
      </c>
      <c r="E5604">
        <v>0.52383559999999996</v>
      </c>
      <c r="F5604" t="s">
        <v>43</v>
      </c>
      <c r="G5604">
        <v>-310.41129999999998</v>
      </c>
      <c r="H5604">
        <v>-0.05</v>
      </c>
      <c r="I5604">
        <v>12.00548</v>
      </c>
      <c r="J5604">
        <v>-338.7457</v>
      </c>
      <c r="K5604">
        <v>1.109939</v>
      </c>
      <c r="L5604">
        <v>17.591429999999999</v>
      </c>
      <c r="M5604">
        <v>0.99980740000000001</v>
      </c>
      <c r="N5604">
        <v>0</v>
      </c>
      <c r="O5604">
        <v>1.319187E-2</v>
      </c>
      <c r="P5604">
        <v>0.97400779999999998</v>
      </c>
      <c r="Q5604">
        <v>0.16742089999999901</v>
      </c>
      <c r="R5604">
        <v>-0.1525734</v>
      </c>
      <c r="S5604">
        <v>3.0087890000000002</v>
      </c>
      <c r="T5604">
        <v>-0.1224992</v>
      </c>
      <c r="U5604">
        <v>-0.58972170000000002</v>
      </c>
      <c r="V5604">
        <v>0.1656504</v>
      </c>
      <c r="W5604">
        <v>0.18130309999999999</v>
      </c>
      <c r="X5604">
        <v>0.9693756</v>
      </c>
      <c r="Y5604">
        <v>0.205096</v>
      </c>
      <c r="Z5604">
        <v>-4.6661389999999997E-3</v>
      </c>
      <c r="AA5604">
        <v>0.97873069999999895</v>
      </c>
      <c r="AB5604">
        <v>33</v>
      </c>
      <c r="AC5604">
        <v>28.334399999999999</v>
      </c>
      <c r="AD5604">
        <v>-1.1599389999999901</v>
      </c>
      <c r="AE5604">
        <v>-5.5859499999999898</v>
      </c>
      <c r="AF5604">
        <v>5.9496890946163496</v>
      </c>
      <c r="AG5604">
        <v>-1.1599389999999901</v>
      </c>
      <c r="AH5604">
        <v>28.212724804527198</v>
      </c>
      <c r="AI5604">
        <v>92.303721504028701</v>
      </c>
      <c r="AJ5604">
        <v>78.091569943603204</v>
      </c>
      <c r="AK5604">
        <v>28.856578101055302</v>
      </c>
      <c r="AL5604">
        <v>79.554328698421301</v>
      </c>
      <c r="AM5604">
        <v>80.302756895527494</v>
      </c>
      <c r="AN5604">
        <v>0.99999996148256398</v>
      </c>
    </row>
    <row r="5605" spans="1:40" x14ac:dyDescent="0.25">
      <c r="A5605" t="str">
        <f>"20190312164139162"</f>
        <v>20190312164139162</v>
      </c>
      <c r="B5605" t="str">
        <f>"1552380099151621"</f>
        <v>1552380099151621</v>
      </c>
      <c r="C5605" t="s">
        <v>40</v>
      </c>
      <c r="D5605">
        <v>5.8691060000000004</v>
      </c>
      <c r="E5605">
        <v>0.52348490000000003</v>
      </c>
      <c r="F5605" t="s">
        <v>43</v>
      </c>
      <c r="G5605">
        <v>-309.78109999999998</v>
      </c>
      <c r="H5605">
        <v>-0.05</v>
      </c>
      <c r="I5605">
        <v>11.855740000000001</v>
      </c>
      <c r="J5605">
        <v>-338.5915</v>
      </c>
      <c r="K5605">
        <v>1.1099270000000001</v>
      </c>
      <c r="L5605">
        <v>17.593170000000001</v>
      </c>
      <c r="M5605">
        <v>0.99981140000000002</v>
      </c>
      <c r="N5605">
        <v>0</v>
      </c>
      <c r="O5605">
        <v>1.2892829999999999E-2</v>
      </c>
      <c r="P5605">
        <v>0.9736631</v>
      </c>
      <c r="Q5605">
        <v>0.1678164</v>
      </c>
      <c r="R5605">
        <v>-0.15433039999999901</v>
      </c>
      <c r="S5605">
        <v>3.0074770000000002</v>
      </c>
      <c r="T5605">
        <v>-0.1204394</v>
      </c>
      <c r="U5605">
        <v>-0.59555049999999998</v>
      </c>
      <c r="V5605">
        <v>0.16711870000000001</v>
      </c>
      <c r="W5605">
        <v>0.18168529999999999</v>
      </c>
      <c r="X5605">
        <v>0.96905200000000002</v>
      </c>
      <c r="Y5605">
        <v>0.20671429999999999</v>
      </c>
      <c r="Z5605">
        <v>-4.609068E-3</v>
      </c>
      <c r="AA5605">
        <v>0.97839050000000005</v>
      </c>
      <c r="AB5605">
        <v>33</v>
      </c>
      <c r="AC5605">
        <v>28.810400000000001</v>
      </c>
      <c r="AD5605">
        <v>-1.1599269999999999</v>
      </c>
      <c r="AE5605">
        <v>-5.7374299999999998</v>
      </c>
      <c r="AF5605">
        <v>6.0989309984376296</v>
      </c>
      <c r="AG5605">
        <v>-1.1599269999999999</v>
      </c>
      <c r="AH5605">
        <v>28.689296095389299</v>
      </c>
      <c r="AI5605">
        <v>92.264691105153702</v>
      </c>
      <c r="AJ5605">
        <v>77.998408587074593</v>
      </c>
      <c r="AK5605">
        <v>29.353332015598301</v>
      </c>
      <c r="AL5605">
        <v>79.532060757257796</v>
      </c>
      <c r="AM5605">
        <v>80.215252082074699</v>
      </c>
      <c r="AN5605">
        <v>0.99999999341488999</v>
      </c>
    </row>
    <row r="5606" spans="1:40" x14ac:dyDescent="0.25">
      <c r="A5606" t="str">
        <f>"20190312164139173"</f>
        <v>20190312164139173</v>
      </c>
      <c r="B5606" t="str">
        <f>"1552380099161381"</f>
        <v>1552380099161381</v>
      </c>
      <c r="C5606" t="s">
        <v>40</v>
      </c>
      <c r="D5606">
        <v>5.8378899999999998</v>
      </c>
      <c r="E5606">
        <v>0.52323869999999995</v>
      </c>
      <c r="F5606" t="s">
        <v>43</v>
      </c>
      <c r="G5606">
        <v>-309.35919999999999</v>
      </c>
      <c r="H5606">
        <v>-0.05</v>
      </c>
      <c r="I5606">
        <v>11.78242</v>
      </c>
      <c r="J5606">
        <v>-338.42599999999999</v>
      </c>
      <c r="K5606">
        <v>1.1099110000000001</v>
      </c>
      <c r="L5606">
        <v>17.594999999999999</v>
      </c>
      <c r="M5606">
        <v>0.99981580000000003</v>
      </c>
      <c r="N5606">
        <v>0</v>
      </c>
      <c r="O5606">
        <v>1.2560719999999999E-2</v>
      </c>
      <c r="P5606">
        <v>0.97329580000000004</v>
      </c>
      <c r="Q5606">
        <v>0.16817879999999999</v>
      </c>
      <c r="R5606">
        <v>-0.15624199999999999</v>
      </c>
      <c r="S5606">
        <v>3.006958</v>
      </c>
      <c r="T5606">
        <v>-0.11931509999999999</v>
      </c>
      <c r="U5606">
        <v>-0.59771730000000001</v>
      </c>
      <c r="V5606">
        <v>0.16871050000000001</v>
      </c>
      <c r="W5606">
        <v>0.18203230000000001</v>
      </c>
      <c r="X5606">
        <v>0.96871099999999999</v>
      </c>
      <c r="Y5606">
        <v>0.2071028</v>
      </c>
      <c r="Z5606">
        <v>-4.5611109999999996E-3</v>
      </c>
      <c r="AA5606">
        <v>0.97830859999999997</v>
      </c>
      <c r="AB5606">
        <v>33</v>
      </c>
      <c r="AC5606">
        <v>29.066800000000001</v>
      </c>
      <c r="AD5606">
        <v>-1.1599109999999999</v>
      </c>
      <c r="AE5606">
        <v>-5.8125799999999899</v>
      </c>
      <c r="AF5606">
        <v>6.1678157098419302</v>
      </c>
      <c r="AG5606">
        <v>-1.1599109999999999</v>
      </c>
      <c r="AH5606">
        <v>28.947165290108298</v>
      </c>
      <c r="AI5606">
        <v>92.244284604286307</v>
      </c>
      <c r="AJ5606">
        <v>77.971774948716103</v>
      </c>
      <c r="AK5606">
        <v>29.619684712895701</v>
      </c>
      <c r="AL5606">
        <v>79.511841996665495</v>
      </c>
      <c r="AM5606">
        <v>80.120471389909397</v>
      </c>
      <c r="AN5606">
        <v>0.99999999628726999</v>
      </c>
    </row>
    <row r="5607" spans="1:40" x14ac:dyDescent="0.25">
      <c r="A5607" t="str">
        <f>"20190312164139185"</f>
        <v>20190312164139185</v>
      </c>
      <c r="B5607" t="str">
        <f>"1552380099181876"</f>
        <v>1552380099181876</v>
      </c>
      <c r="C5607" t="s">
        <v>40</v>
      </c>
      <c r="D5607">
        <v>5.8978270000000004</v>
      </c>
      <c r="E5607">
        <v>0.52284090000000005</v>
      </c>
      <c r="F5607" t="s">
        <v>43</v>
      </c>
      <c r="G5607">
        <v>-308.81920000000002</v>
      </c>
      <c r="H5607">
        <v>-0.05</v>
      </c>
      <c r="I5607">
        <v>11.67216</v>
      </c>
      <c r="J5607">
        <v>-338.25510000000003</v>
      </c>
      <c r="K5607">
        <v>1.109891</v>
      </c>
      <c r="L5607">
        <v>17.596800000000002</v>
      </c>
      <c r="M5607">
        <v>0.99982009999999999</v>
      </c>
      <c r="N5607">
        <v>0</v>
      </c>
      <c r="O5607">
        <v>1.220299E-2</v>
      </c>
      <c r="P5607">
        <v>0.97290759999999998</v>
      </c>
      <c r="Q5607">
        <v>0.168459</v>
      </c>
      <c r="R5607">
        <v>-0.15834319999999999</v>
      </c>
      <c r="S5607">
        <v>3.0061339999999999</v>
      </c>
      <c r="T5607">
        <v>-0.117772</v>
      </c>
      <c r="U5607">
        <v>-0.60137940000000001</v>
      </c>
      <c r="V5607">
        <v>0.17046810000000001</v>
      </c>
      <c r="W5607">
        <v>0.18229580000000001</v>
      </c>
      <c r="X5607">
        <v>0.96835369999999998</v>
      </c>
      <c r="Y5607">
        <v>0.2079541</v>
      </c>
      <c r="Z5607">
        <v>-4.5054680000000003E-3</v>
      </c>
      <c r="AA5607">
        <v>0.9781282</v>
      </c>
      <c r="AB5607">
        <v>33</v>
      </c>
      <c r="AC5607">
        <v>29.4359</v>
      </c>
      <c r="AD5607">
        <v>-1.159891</v>
      </c>
      <c r="AE5607">
        <v>-5.9246400000000001</v>
      </c>
      <c r="AF5607">
        <v>6.2740803168983899</v>
      </c>
      <c r="AG5607">
        <v>-1.159891</v>
      </c>
      <c r="AH5607">
        <v>29.317653394476501</v>
      </c>
      <c r="AI5607">
        <v>92.215492479163601</v>
      </c>
      <c r="AJ5607">
        <v>77.9207038420016</v>
      </c>
      <c r="AK5607">
        <v>30.003903604588299</v>
      </c>
      <c r="AL5607">
        <v>79.496487798396799</v>
      </c>
      <c r="AM5607">
        <v>80.015998564943899</v>
      </c>
      <c r="AN5607">
        <v>1.0000000100594699</v>
      </c>
    </row>
    <row r="5608" spans="1:40" x14ac:dyDescent="0.25">
      <c r="A5608" t="str">
        <f>"20190312164139210"</f>
        <v>20190312164139210</v>
      </c>
      <c r="B5608" t="str">
        <f>"1552380099201396"</f>
        <v>1552380099201396</v>
      </c>
      <c r="C5608" t="s">
        <v>40</v>
      </c>
      <c r="D5608">
        <v>5.7907349999999997</v>
      </c>
      <c r="E5608">
        <v>0.52232699999999999</v>
      </c>
      <c r="F5608" t="s">
        <v>43</v>
      </c>
      <c r="G5608">
        <v>-308.5607</v>
      </c>
      <c r="H5608">
        <v>-0.05</v>
      </c>
      <c r="I5608">
        <v>11.622590000000001</v>
      </c>
      <c r="J5608">
        <v>-337.89690000000002</v>
      </c>
      <c r="K5608">
        <v>1.109847</v>
      </c>
      <c r="L5608">
        <v>17.60031</v>
      </c>
      <c r="M5608">
        <v>0.99982959999999999</v>
      </c>
      <c r="N5608">
        <v>0</v>
      </c>
      <c r="O5608">
        <v>1.140772E-2</v>
      </c>
      <c r="P5608">
        <v>0.97220770000000001</v>
      </c>
      <c r="Q5608">
        <v>0.16903679999999999</v>
      </c>
      <c r="R5608">
        <v>-0.16198479999999901</v>
      </c>
      <c r="S5608">
        <v>3.005493</v>
      </c>
      <c r="T5608">
        <v>-0.1173974</v>
      </c>
      <c r="U5608">
        <v>-0.60467530000000003</v>
      </c>
      <c r="V5608">
        <v>0.1733499</v>
      </c>
      <c r="W5608">
        <v>0.18283859999999999</v>
      </c>
      <c r="X5608">
        <v>0.96773960000000003</v>
      </c>
      <c r="Y5608">
        <v>0.20824870000000001</v>
      </c>
      <c r="Z5608">
        <v>-4.4665399999999997E-3</v>
      </c>
      <c r="AA5608">
        <v>0.97806570000000004</v>
      </c>
      <c r="AB5608">
        <v>33</v>
      </c>
      <c r="AC5608">
        <v>29.336200000000002</v>
      </c>
      <c r="AD5608">
        <v>-1.1598469999999901</v>
      </c>
      <c r="AE5608">
        <v>-5.9777199999999997</v>
      </c>
      <c r="AF5608">
        <v>6.3025663960667098</v>
      </c>
      <c r="AG5608">
        <v>-1.1598469999999901</v>
      </c>
      <c r="AH5608">
        <v>29.222234314141101</v>
      </c>
      <c r="AI5608">
        <v>92.2218722245089</v>
      </c>
      <c r="AJ5608">
        <v>77.829044753658707</v>
      </c>
      <c r="AK5608">
        <v>29.916660350894901</v>
      </c>
      <c r="AL5608">
        <v>79.464856317700907</v>
      </c>
      <c r="AM5608">
        <v>79.844390813890996</v>
      </c>
      <c r="AN5608">
        <v>1.0000000374440601</v>
      </c>
    </row>
    <row r="5609" spans="1:40" x14ac:dyDescent="0.25">
      <c r="A5609" t="str">
        <f>"20190312164139222"</f>
        <v>20190312164139222</v>
      </c>
      <c r="B5609" t="str">
        <f>"1552380099212133"</f>
        <v>1552380099212133</v>
      </c>
      <c r="C5609" t="s">
        <v>40</v>
      </c>
      <c r="D5609">
        <v>6.2088029999999996</v>
      </c>
      <c r="E5609">
        <v>0.52225719999999998</v>
      </c>
      <c r="F5609" t="s">
        <v>43</v>
      </c>
      <c r="G5609">
        <v>-308.0582</v>
      </c>
      <c r="H5609">
        <v>-0.05</v>
      </c>
      <c r="I5609">
        <v>11.52867</v>
      </c>
      <c r="J5609">
        <v>-337.69929999999999</v>
      </c>
      <c r="K5609">
        <v>1.1098170000000001</v>
      </c>
      <c r="L5609">
        <v>17.602139999999999</v>
      </c>
      <c r="M5609">
        <v>0.99983480000000002</v>
      </c>
      <c r="N5609">
        <v>0</v>
      </c>
      <c r="O5609">
        <v>1.0943029999999999E-2</v>
      </c>
      <c r="P5609">
        <v>0.97180710000000003</v>
      </c>
      <c r="Q5609">
        <v>0.1695315</v>
      </c>
      <c r="R5609">
        <v>-0.16386039999999999</v>
      </c>
      <c r="S5609">
        <v>3.004181</v>
      </c>
      <c r="T5609">
        <v>-0.1167743</v>
      </c>
      <c r="U5609">
        <v>-0.6112976</v>
      </c>
      <c r="V5609">
        <v>0.17478260000000001</v>
      </c>
      <c r="W5609">
        <v>0.18331310000000001</v>
      </c>
      <c r="X5609">
        <v>0.96739200000000003</v>
      </c>
      <c r="Y5609">
        <v>0.20994840000000001</v>
      </c>
      <c r="Z5609">
        <v>-4.4585939999999998E-3</v>
      </c>
      <c r="AA5609">
        <v>0.97770230000000002</v>
      </c>
      <c r="AB5609">
        <v>33</v>
      </c>
      <c r="AC5609">
        <v>29.641099999999899</v>
      </c>
      <c r="AD5609">
        <v>-1.1598170000000001</v>
      </c>
      <c r="AE5609">
        <v>-6.0734699999999897</v>
      </c>
      <c r="AF5609">
        <v>6.38811740927326</v>
      </c>
      <c r="AG5609">
        <v>-1.1598170000000001</v>
      </c>
      <c r="AH5609">
        <v>29.529466133475701</v>
      </c>
      <c r="AI5609">
        <v>92.198425234319302</v>
      </c>
      <c r="AJ5609">
        <v>77.793288422306901</v>
      </c>
      <c r="AK5609">
        <v>30.234791046677302</v>
      </c>
      <c r="AL5609">
        <v>79.4372013153788</v>
      </c>
      <c r="AM5609">
        <v>79.758624238424503</v>
      </c>
      <c r="AN5609">
        <v>0.99999996577918404</v>
      </c>
    </row>
    <row r="5610" spans="1:40" x14ac:dyDescent="0.25">
      <c r="A5610" t="str">
        <f>"20190312164139236"</f>
        <v>20190312164139236</v>
      </c>
      <c r="B5610" t="str">
        <f>"1552380099231654"</f>
        <v>1552380099231654</v>
      </c>
      <c r="C5610" t="s">
        <v>40</v>
      </c>
      <c r="D5610">
        <v>5.9075660000000001</v>
      </c>
      <c r="E5610">
        <v>0.52200519999999995</v>
      </c>
      <c r="F5610" t="s">
        <v>43</v>
      </c>
      <c r="G5610">
        <v>-307.75659999999999</v>
      </c>
      <c r="H5610">
        <v>-0.05</v>
      </c>
      <c r="I5610">
        <v>11.4566</v>
      </c>
      <c r="J5610">
        <v>-337.49110000000002</v>
      </c>
      <c r="K5610">
        <v>1.109791</v>
      </c>
      <c r="L5610">
        <v>17.603939999999898</v>
      </c>
      <c r="M5610">
        <v>0.99984030000000002</v>
      </c>
      <c r="N5610">
        <v>0</v>
      </c>
      <c r="O5610">
        <v>1.043326E-2</v>
      </c>
      <c r="P5610">
        <v>0.97145079999999995</v>
      </c>
      <c r="Q5610">
        <v>0.1696569</v>
      </c>
      <c r="R5610">
        <v>-0.16583139999999999</v>
      </c>
      <c r="S5610">
        <v>3.003387</v>
      </c>
      <c r="T5610">
        <v>-0.1163348</v>
      </c>
      <c r="U5610">
        <v>-0.61642459999999999</v>
      </c>
      <c r="V5610">
        <v>0.17626800000000001</v>
      </c>
      <c r="W5610">
        <v>0.18341850000000001</v>
      </c>
      <c r="X5610">
        <v>0.96710249999999998</v>
      </c>
      <c r="Y5610">
        <v>0.21110300000000001</v>
      </c>
      <c r="Z5610">
        <v>-4.444801E-3</v>
      </c>
      <c r="AA5610">
        <v>0.97745369999999998</v>
      </c>
      <c r="AB5610">
        <v>33</v>
      </c>
      <c r="AC5610">
        <v>29.734500000000001</v>
      </c>
      <c r="AD5610">
        <v>-1.159791</v>
      </c>
      <c r="AE5610">
        <v>-6.14733999999999</v>
      </c>
      <c r="AF5610">
        <v>6.4478582147278196</v>
      </c>
      <c r="AG5610">
        <v>-1.159791</v>
      </c>
      <c r="AH5610">
        <v>29.625513491920898</v>
      </c>
      <c r="AI5610">
        <v>92.190659163494502</v>
      </c>
      <c r="AJ5610">
        <v>77.721322640118103</v>
      </c>
      <c r="AK5610">
        <v>30.341243224048998</v>
      </c>
      <c r="AL5610">
        <v>79.431058544658896</v>
      </c>
      <c r="AM5610">
        <v>79.670427647727394</v>
      </c>
      <c r="AN5610">
        <v>0.99999999973624998</v>
      </c>
    </row>
    <row r="5611" spans="1:40" x14ac:dyDescent="0.25">
      <c r="A5611" t="str">
        <f>"20190312164139252"</f>
        <v>20190312164139252</v>
      </c>
      <c r="B5611" t="str">
        <f>"1552380099241413"</f>
        <v>1552380099241413</v>
      </c>
      <c r="C5611" t="s">
        <v>40</v>
      </c>
      <c r="D5611">
        <v>5.904166</v>
      </c>
      <c r="E5611">
        <v>0.52195429999999998</v>
      </c>
      <c r="F5611" t="s">
        <v>43</v>
      </c>
      <c r="G5611">
        <v>-308.01870000000002</v>
      </c>
      <c r="H5611">
        <v>-0.05</v>
      </c>
      <c r="I5611">
        <v>11.516819999999999</v>
      </c>
      <c r="J5611">
        <v>-337.26569999999998</v>
      </c>
      <c r="K5611">
        <v>1.1097649999999999</v>
      </c>
      <c r="L5611">
        <v>17.60568</v>
      </c>
      <c r="M5611">
        <v>0.99984609999999996</v>
      </c>
      <c r="N5611">
        <v>0</v>
      </c>
      <c r="O5611">
        <v>9.8552910000000004E-3</v>
      </c>
      <c r="P5611">
        <v>0.97070469999999998</v>
      </c>
      <c r="Q5611">
        <v>0.17021839999999999</v>
      </c>
      <c r="R5611">
        <v>-0.1695827</v>
      </c>
      <c r="S5611">
        <v>3.0028990000000002</v>
      </c>
      <c r="T5611">
        <v>-0.1181693</v>
      </c>
      <c r="U5611">
        <v>-0.62020869999999995</v>
      </c>
      <c r="V5611">
        <v>0.17946479999999901</v>
      </c>
      <c r="W5611">
        <v>0.18395049999999999</v>
      </c>
      <c r="X5611">
        <v>0.96641330000000003</v>
      </c>
      <c r="Y5611">
        <v>0.21174580000000001</v>
      </c>
      <c r="Z5611">
        <v>-4.5049920000000002E-3</v>
      </c>
      <c r="AA5611">
        <v>0.97731440000000003</v>
      </c>
      <c r="AB5611">
        <v>33</v>
      </c>
      <c r="AC5611">
        <v>29.2469999999999</v>
      </c>
      <c r="AD5611">
        <v>-1.1597649999999999</v>
      </c>
      <c r="AE5611">
        <v>-6.0888599999999897</v>
      </c>
      <c r="AF5611">
        <v>6.3672360433262503</v>
      </c>
      <c r="AG5611">
        <v>-1.1597649999999999</v>
      </c>
      <c r="AH5611">
        <v>29.141645284307</v>
      </c>
      <c r="AI5611">
        <v>92.226554364774401</v>
      </c>
      <c r="AJ5611">
        <v>77.674983804468397</v>
      </c>
      <c r="AK5611">
        <v>29.8516706326971</v>
      </c>
      <c r="AL5611">
        <v>79.400049943472396</v>
      </c>
      <c r="AM5611">
        <v>79.4799008745469</v>
      </c>
      <c r="AN5611">
        <v>1.0000000336530801</v>
      </c>
    </row>
    <row r="5612" spans="1:40" x14ac:dyDescent="0.25">
      <c r="A5612" t="str">
        <f>"20190312164139264"</f>
        <v>20190312164139264</v>
      </c>
      <c r="B5612" t="str">
        <f>"1552380099261908"</f>
        <v>1552380099261908</v>
      </c>
      <c r="C5612" t="s">
        <v>40</v>
      </c>
      <c r="D5612">
        <v>5.6229740000000001</v>
      </c>
      <c r="E5612">
        <v>0.52161469999999999</v>
      </c>
      <c r="F5612" t="s">
        <v>43</v>
      </c>
      <c r="G5612">
        <v>-307.71910000000003</v>
      </c>
      <c r="H5612">
        <v>-0.05</v>
      </c>
      <c r="I5612">
        <v>11.39758</v>
      </c>
      <c r="J5612">
        <v>-337.08150000000001</v>
      </c>
      <c r="K5612">
        <v>1.109739</v>
      </c>
      <c r="L5612">
        <v>17.607029999999899</v>
      </c>
      <c r="M5612">
        <v>0.99985069999999998</v>
      </c>
      <c r="N5612">
        <v>0</v>
      </c>
      <c r="O5612">
        <v>9.3691769999999994E-3</v>
      </c>
      <c r="P5612">
        <v>0.97033190000000002</v>
      </c>
      <c r="Q5612">
        <v>0.17027500000000001</v>
      </c>
      <c r="R5612">
        <v>-0.1716462</v>
      </c>
      <c r="S5612">
        <v>3.0010379999999999</v>
      </c>
      <c r="T5612">
        <v>-0.1177969</v>
      </c>
      <c r="U5612">
        <v>-0.63055419999999995</v>
      </c>
      <c r="V5612">
        <v>0.18106369999999999</v>
      </c>
      <c r="W5612">
        <v>0.1839885</v>
      </c>
      <c r="X5612">
        <v>0.96610770000000001</v>
      </c>
      <c r="Y5612">
        <v>0.2146179</v>
      </c>
      <c r="Z5612">
        <v>-4.5288309999999997E-3</v>
      </c>
      <c r="AA5612">
        <v>0.97668759999999999</v>
      </c>
      <c r="AB5612">
        <v>33</v>
      </c>
      <c r="AC5612">
        <v>29.362399999999901</v>
      </c>
      <c r="AD5612">
        <v>-1.1597389999999901</v>
      </c>
      <c r="AE5612">
        <v>-6.2094499999999897</v>
      </c>
      <c r="AF5612">
        <v>6.4746395754458099</v>
      </c>
      <c r="AG5612">
        <v>-1.1597389999999901</v>
      </c>
      <c r="AH5612">
        <v>29.259235630071899</v>
      </c>
      <c r="AI5612">
        <v>92.216268055811</v>
      </c>
      <c r="AJ5612">
        <v>77.5223563503138</v>
      </c>
      <c r="AK5612">
        <v>29.989478518909198</v>
      </c>
      <c r="AL5612">
        <v>79.397834105293597</v>
      </c>
      <c r="AM5612">
        <v>79.3850137049631</v>
      </c>
      <c r="AN5612">
        <v>0.99999995979461398</v>
      </c>
    </row>
    <row r="5613" spans="1:40" x14ac:dyDescent="0.25">
      <c r="A5613" t="str">
        <f>"20190312164139276"</f>
        <v>20190312164139276</v>
      </c>
      <c r="B5613" t="str">
        <f>"1552380099271668"</f>
        <v>1552380099271668</v>
      </c>
      <c r="C5613" t="s">
        <v>40</v>
      </c>
      <c r="D5613">
        <v>5.907724</v>
      </c>
      <c r="E5613">
        <v>0.52155659999999904</v>
      </c>
      <c r="F5613" t="s">
        <v>43</v>
      </c>
      <c r="G5613">
        <v>-307.71800000000002</v>
      </c>
      <c r="H5613">
        <v>-0.05</v>
      </c>
      <c r="I5613">
        <v>11.40851</v>
      </c>
      <c r="J5613">
        <v>-336.90159999999997</v>
      </c>
      <c r="K5613">
        <v>1.109721</v>
      </c>
      <c r="L5613">
        <v>17.608250000000002</v>
      </c>
      <c r="M5613">
        <v>0.99985520000000006</v>
      </c>
      <c r="N5613">
        <v>0</v>
      </c>
      <c r="O5613">
        <v>8.8841700000000003E-3</v>
      </c>
      <c r="P5613">
        <v>0.96996309999999997</v>
      </c>
      <c r="Q5613">
        <v>0.17011560000000001</v>
      </c>
      <c r="R5613">
        <v>-0.17387429999999901</v>
      </c>
      <c r="S5613">
        <v>3.0004879999999998</v>
      </c>
      <c r="T5613">
        <v>-0.1185075</v>
      </c>
      <c r="U5613">
        <v>-0.63339230000000002</v>
      </c>
      <c r="V5613">
        <v>0.18282709999999999</v>
      </c>
      <c r="W5613">
        <v>0.18381130000000001</v>
      </c>
      <c r="X5613">
        <v>0.96580929999999998</v>
      </c>
      <c r="Y5613">
        <v>0.2150627</v>
      </c>
      <c r="Z5613">
        <v>-4.5462410000000003E-3</v>
      </c>
      <c r="AA5613">
        <v>0.9765897</v>
      </c>
      <c r="AB5613">
        <v>33</v>
      </c>
      <c r="AC5613">
        <v>29.183599999999899</v>
      </c>
      <c r="AD5613">
        <v>-1.159721</v>
      </c>
      <c r="AE5613">
        <v>-6.1997400000000003</v>
      </c>
      <c r="AF5613">
        <v>6.4490502628538096</v>
      </c>
      <c r="AG5613">
        <v>-1.159721</v>
      </c>
      <c r="AH5613">
        <v>29.083418204739701</v>
      </c>
      <c r="AI5613">
        <v>92.229402631238401</v>
      </c>
      <c r="AJ5613">
        <v>77.497349238721398</v>
      </c>
      <c r="AK5613">
        <v>29.812420508278699</v>
      </c>
      <c r="AL5613">
        <v>79.408163222741194</v>
      </c>
      <c r="AM5613">
        <v>79.280781894591897</v>
      </c>
      <c r="AN5613">
        <v>0.99999997323429402</v>
      </c>
    </row>
    <row r="5614" spans="1:40" x14ac:dyDescent="0.25">
      <c r="A5614" t="str">
        <f>"20190312164139288"</f>
        <v>20190312164139288</v>
      </c>
      <c r="B5614" t="str">
        <f>"1552380099281429"</f>
        <v>1552380099281429</v>
      </c>
      <c r="C5614" t="s">
        <v>40</v>
      </c>
      <c r="D5614">
        <v>5.8892350000000002</v>
      </c>
      <c r="E5614">
        <v>0.52132429999999996</v>
      </c>
      <c r="F5614" t="s">
        <v>43</v>
      </c>
      <c r="G5614">
        <v>-307.72120000000001</v>
      </c>
      <c r="H5614">
        <v>-0.05</v>
      </c>
      <c r="I5614">
        <v>11.39021</v>
      </c>
      <c r="J5614">
        <v>-336.72109999999998</v>
      </c>
      <c r="K5614">
        <v>1.109707</v>
      </c>
      <c r="L5614">
        <v>17.60934</v>
      </c>
      <c r="M5614">
        <v>0.99985979999999997</v>
      </c>
      <c r="N5614">
        <v>0</v>
      </c>
      <c r="O5614">
        <v>8.3815179999999993E-3</v>
      </c>
      <c r="P5614">
        <v>0.9696285</v>
      </c>
      <c r="Q5614">
        <v>0.16999690000000001</v>
      </c>
      <c r="R5614">
        <v>-0.17584739999999999</v>
      </c>
      <c r="S5614">
        <v>2.9992070000000002</v>
      </c>
      <c r="T5614">
        <v>-0.1191976</v>
      </c>
      <c r="U5614">
        <v>-0.63909910000000003</v>
      </c>
      <c r="V5614">
        <v>0.1843178</v>
      </c>
      <c r="W5614">
        <v>0.18367729999999999</v>
      </c>
      <c r="X5614">
        <v>0.96555139999999995</v>
      </c>
      <c r="Y5614">
        <v>0.2164314</v>
      </c>
      <c r="Z5614">
        <v>-4.5808439999999997E-3</v>
      </c>
      <c r="AA5614">
        <v>0.97628709999999996</v>
      </c>
      <c r="AB5614">
        <v>33</v>
      </c>
      <c r="AC5614">
        <v>28.999899999999901</v>
      </c>
      <c r="AD5614">
        <v>-1.159707</v>
      </c>
      <c r="AE5614">
        <v>-6.2191299999999998</v>
      </c>
      <c r="AF5614">
        <v>6.4521356312819398</v>
      </c>
      <c r="AG5614">
        <v>-1.159707</v>
      </c>
      <c r="AH5614">
        <v>28.902561119398602</v>
      </c>
      <c r="AI5614">
        <v>92.242601989963404</v>
      </c>
      <c r="AJ5614">
        <v>77.415770286371099</v>
      </c>
      <c r="AK5614">
        <v>29.636683582865299</v>
      </c>
      <c r="AL5614">
        <v>79.415973634342706</v>
      </c>
      <c r="AM5614">
        <v>79.192612975526302</v>
      </c>
      <c r="AN5614">
        <v>0.999999953987043</v>
      </c>
    </row>
    <row r="5615" spans="1:40" x14ac:dyDescent="0.25">
      <c r="A5615" t="str">
        <f>"20190312164139300"</f>
        <v>20190312164139300</v>
      </c>
      <c r="B5615" t="str">
        <f>"1552380099281429"</f>
        <v>1552380099281429</v>
      </c>
      <c r="C5615" t="s">
        <v>40</v>
      </c>
      <c r="D5615">
        <v>5.8892350000000002</v>
      </c>
      <c r="E5615">
        <v>0.52132429999999996</v>
      </c>
      <c r="F5615" t="s">
        <v>43</v>
      </c>
      <c r="G5615">
        <v>-307.69720000000001</v>
      </c>
      <c r="H5615">
        <v>-0.05</v>
      </c>
      <c r="I5615">
        <v>11.38734</v>
      </c>
      <c r="J5615">
        <v>-336.54500000000002</v>
      </c>
      <c r="K5615">
        <v>1.109699</v>
      </c>
      <c r="L5615">
        <v>17.61035</v>
      </c>
      <c r="M5615">
        <v>0.99986370000000002</v>
      </c>
      <c r="N5615">
        <v>0</v>
      </c>
      <c r="O5615">
        <v>7.8865810000000001E-3</v>
      </c>
      <c r="P5615">
        <v>0.96925209999999995</v>
      </c>
      <c r="Q5615">
        <v>0.17003209999999999</v>
      </c>
      <c r="R5615">
        <v>-0.17787559999999999</v>
      </c>
      <c r="S5615">
        <v>2.9984440000000001</v>
      </c>
      <c r="T5615">
        <v>-0.1198089</v>
      </c>
      <c r="U5615">
        <v>-0.64279169999999997</v>
      </c>
      <c r="V5615">
        <v>0.1858707</v>
      </c>
      <c r="W5615">
        <v>0.18369650000000001</v>
      </c>
      <c r="X5615">
        <v>0.9652501</v>
      </c>
      <c r="Y5615">
        <v>0.2171466</v>
      </c>
      <c r="Z5615">
        <v>-4.5994440000000003E-3</v>
      </c>
      <c r="AA5615">
        <v>0.9761282</v>
      </c>
      <c r="AB5615">
        <v>33</v>
      </c>
      <c r="AC5615">
        <v>28.847799999999999</v>
      </c>
      <c r="AD5615">
        <v>-1.159699</v>
      </c>
      <c r="AE5615">
        <v>-6.2230099999999897</v>
      </c>
      <c r="AF5615">
        <v>6.4404054154322896</v>
      </c>
      <c r="AG5615">
        <v>-1.159699</v>
      </c>
      <c r="AH5615">
        <v>28.753417371634601</v>
      </c>
      <c r="AI5615">
        <v>92.253847210291894</v>
      </c>
      <c r="AJ5615">
        <v>77.374846349926003</v>
      </c>
      <c r="AK5615">
        <v>29.488688241987798</v>
      </c>
      <c r="AL5615">
        <v>79.414855416984494</v>
      </c>
      <c r="AM5615">
        <v>79.100410459095201</v>
      </c>
      <c r="AN5615">
        <v>1.00000003839037</v>
      </c>
    </row>
    <row r="5616" spans="1:40" x14ac:dyDescent="0.25">
      <c r="A5616" t="str">
        <f>"20190312164139311"</f>
        <v>20190312164139311</v>
      </c>
      <c r="B5616" t="str">
        <f>"1552380099301924"</f>
        <v>1552380099301924</v>
      </c>
      <c r="C5616" t="s">
        <v>40</v>
      </c>
      <c r="D5616">
        <v>5.9005559999999999</v>
      </c>
      <c r="E5616">
        <v>0.52108270000000001</v>
      </c>
      <c r="F5616" t="s">
        <v>43</v>
      </c>
      <c r="G5616">
        <v>-307.5052</v>
      </c>
      <c r="H5616">
        <v>-0.05</v>
      </c>
      <c r="I5616">
        <v>11.320309999999999</v>
      </c>
      <c r="J5616">
        <v>-336.38350000000003</v>
      </c>
      <c r="K5616">
        <v>1.109696</v>
      </c>
      <c r="L5616">
        <v>17.611179999999901</v>
      </c>
      <c r="M5616">
        <v>0.99986730000000001</v>
      </c>
      <c r="N5616">
        <v>0</v>
      </c>
      <c r="O5616">
        <v>7.4222289999999998E-3</v>
      </c>
      <c r="P5616">
        <v>0.96893180000000001</v>
      </c>
      <c r="Q5616">
        <v>0.1697929</v>
      </c>
      <c r="R5616">
        <v>-0.17983950000000001</v>
      </c>
      <c r="S5616">
        <v>2.9970699999999999</v>
      </c>
      <c r="T5616">
        <v>-0.11968769999999999</v>
      </c>
      <c r="U5616">
        <v>-0.64916989999999997</v>
      </c>
      <c r="V5616">
        <v>0.18738769999999999</v>
      </c>
      <c r="W5616">
        <v>0.18344379999999999</v>
      </c>
      <c r="X5616">
        <v>0.9650048</v>
      </c>
      <c r="Y5616">
        <v>0.2187692</v>
      </c>
      <c r="Z5616">
        <v>-4.6095149999999998E-3</v>
      </c>
      <c r="AA5616">
        <v>0.97576580000000002</v>
      </c>
      <c r="AB5616">
        <v>33</v>
      </c>
      <c r="AC5616">
        <v>28.878299999999999</v>
      </c>
      <c r="AD5616">
        <v>-1.1596959999999901</v>
      </c>
      <c r="AE5616">
        <v>-6.2908699999999902</v>
      </c>
      <c r="AF5616">
        <v>6.4950607365017001</v>
      </c>
      <c r="AG5616">
        <v>-1.1596959999999901</v>
      </c>
      <c r="AH5616">
        <v>28.786487311797998</v>
      </c>
      <c r="AI5616">
        <v>92.250465073896393</v>
      </c>
      <c r="AJ5616">
        <v>77.285329273739507</v>
      </c>
      <c r="AK5616">
        <v>29.532906401767601</v>
      </c>
      <c r="AL5616">
        <v>79.429584167968997</v>
      </c>
      <c r="AM5616">
        <v>79.010883896850004</v>
      </c>
      <c r="AN5616">
        <v>1.00000002094638</v>
      </c>
    </row>
    <row r="5617" spans="1:40" x14ac:dyDescent="0.25">
      <c r="A5617" t="str">
        <f>"20190312164139322"</f>
        <v>20190312164139322</v>
      </c>
      <c r="B5617" t="str">
        <f>"1552380099311685"</f>
        <v>1552380099311685</v>
      </c>
      <c r="C5617" t="s">
        <v>40</v>
      </c>
      <c r="D5617">
        <v>6.017849</v>
      </c>
      <c r="E5617">
        <v>0.52088140000000005</v>
      </c>
      <c r="F5617" t="s">
        <v>43</v>
      </c>
      <c r="G5617">
        <v>-307.51780000000002</v>
      </c>
      <c r="H5617">
        <v>-0.05</v>
      </c>
      <c r="I5617">
        <v>11.31879</v>
      </c>
      <c r="J5617">
        <v>-336.22050000000002</v>
      </c>
      <c r="K5617">
        <v>1.109696</v>
      </c>
      <c r="L5617">
        <v>17.611910000000002</v>
      </c>
      <c r="M5617">
        <v>0.99987079999999995</v>
      </c>
      <c r="N5617">
        <v>0</v>
      </c>
      <c r="O5617">
        <v>6.949846E-3</v>
      </c>
      <c r="P5617">
        <v>0.96854839999999998</v>
      </c>
      <c r="Q5617">
        <v>0.16979830000000001</v>
      </c>
      <c r="R5617">
        <v>-0.18188679999999999</v>
      </c>
      <c r="S5617">
        <v>2.9960629999999999</v>
      </c>
      <c r="T5617">
        <v>-0.12036860000000001</v>
      </c>
      <c r="U5617">
        <v>-0.65310669999999904</v>
      </c>
      <c r="V5617">
        <v>0.1889805</v>
      </c>
      <c r="W5617">
        <v>0.18343490000000001</v>
      </c>
      <c r="X5617">
        <v>0.96469579999999999</v>
      </c>
      <c r="Y5617">
        <v>0.21959799999999999</v>
      </c>
      <c r="Z5617">
        <v>-4.6342930000000003E-3</v>
      </c>
      <c r="AA5617">
        <v>0.97557939999999999</v>
      </c>
      <c r="AB5617">
        <v>33</v>
      </c>
      <c r="AC5617">
        <v>28.7027</v>
      </c>
      <c r="AD5617">
        <v>-1.1596959999999901</v>
      </c>
      <c r="AE5617">
        <v>-6.29312</v>
      </c>
      <c r="AF5617">
        <v>6.4823714387726996</v>
      </c>
      <c r="AG5617">
        <v>-1.1596959999999901</v>
      </c>
      <c r="AH5617">
        <v>28.613697574244298</v>
      </c>
      <c r="AI5617">
        <v>92.263593830142796</v>
      </c>
      <c r="AJ5617">
        <v>77.235233055042599</v>
      </c>
      <c r="AK5617">
        <v>29.361705045057299</v>
      </c>
      <c r="AL5617">
        <v>79.430102563675106</v>
      </c>
      <c r="AM5617">
        <v>78.916317066368606</v>
      </c>
      <c r="AN5617">
        <v>0.99999998922794897</v>
      </c>
    </row>
    <row r="5618" spans="1:40" x14ac:dyDescent="0.25">
      <c r="A5618" t="str">
        <f>"20190312164139333"</f>
        <v>20190312164139333</v>
      </c>
      <c r="B5618" t="str">
        <f>"1552380099321444"</f>
        <v>1552380099321444</v>
      </c>
      <c r="C5618" t="s">
        <v>40</v>
      </c>
      <c r="D5618">
        <v>6.1224309999999997</v>
      </c>
      <c r="E5618">
        <v>0.52087039999999996</v>
      </c>
      <c r="F5618" t="s">
        <v>43</v>
      </c>
      <c r="G5618">
        <v>-307.5609</v>
      </c>
      <c r="H5618">
        <v>-0.05</v>
      </c>
      <c r="I5618">
        <v>11.322800000000001</v>
      </c>
      <c r="J5618">
        <v>-336.05239999999998</v>
      </c>
      <c r="K5618">
        <v>1.1096950000000001</v>
      </c>
      <c r="L5618">
        <v>17.61261</v>
      </c>
      <c r="M5618">
        <v>0.99987400000000004</v>
      </c>
      <c r="N5618">
        <v>0</v>
      </c>
      <c r="O5618">
        <v>6.4565619999999999E-3</v>
      </c>
      <c r="P5618">
        <v>0.96811749999999996</v>
      </c>
      <c r="Q5618">
        <v>0.16978550000000001</v>
      </c>
      <c r="R5618">
        <v>-0.18417819999999999</v>
      </c>
      <c r="S5618">
        <v>2.9952700000000001</v>
      </c>
      <c r="T5618">
        <v>-0.121202</v>
      </c>
      <c r="U5618">
        <v>-0.65728759999999997</v>
      </c>
      <c r="V5618">
        <v>0.19079660000000001</v>
      </c>
      <c r="W5618">
        <v>0.18340680000000001</v>
      </c>
      <c r="X5618">
        <v>0.96434359999999997</v>
      </c>
      <c r="Y5618">
        <v>0.2204673</v>
      </c>
      <c r="Z5618">
        <v>-4.6645209999999996E-3</v>
      </c>
      <c r="AA5618">
        <v>0.97538320000000001</v>
      </c>
      <c r="AB5618">
        <v>33</v>
      </c>
      <c r="AC5618">
        <v>28.491499999999899</v>
      </c>
      <c r="AD5618">
        <v>-1.1596949999999999</v>
      </c>
      <c r="AE5618">
        <v>-6.2898099999999904</v>
      </c>
      <c r="AF5618">
        <v>6.4634446617747097</v>
      </c>
      <c r="AG5618">
        <v>-1.1596949999999999</v>
      </c>
      <c r="AH5618">
        <v>28.405417452062</v>
      </c>
      <c r="AI5618">
        <v>92.279682795526298</v>
      </c>
      <c r="AJ5618">
        <v>77.181027615461602</v>
      </c>
      <c r="AK5618">
        <v>29.154566537932901</v>
      </c>
      <c r="AL5618">
        <v>79.431740346551706</v>
      </c>
      <c r="AM5618">
        <v>78.808494673874605</v>
      </c>
      <c r="AN5618">
        <v>0.99999998785937905</v>
      </c>
    </row>
    <row r="5619" spans="1:40" x14ac:dyDescent="0.25">
      <c r="A5619" t="str">
        <f>"20190312164139346"</f>
        <v>20190312164139346</v>
      </c>
      <c r="B5619" t="str">
        <f>"1552380099341473"</f>
        <v>1552380099341473</v>
      </c>
      <c r="C5619" t="s">
        <v>40</v>
      </c>
      <c r="D5619">
        <v>5.7367889999999999</v>
      </c>
      <c r="E5619">
        <v>0.52072929999999995</v>
      </c>
      <c r="F5619" t="s">
        <v>43</v>
      </c>
      <c r="G5619">
        <v>-307.61989999999997</v>
      </c>
      <c r="H5619">
        <v>-0.05</v>
      </c>
      <c r="I5619">
        <v>11.31061</v>
      </c>
      <c r="J5619">
        <v>-335.8811</v>
      </c>
      <c r="K5619">
        <v>1.1096999999999999</v>
      </c>
      <c r="L5619">
        <v>17.613219999999998</v>
      </c>
      <c r="M5619">
        <v>0.99987729999999997</v>
      </c>
      <c r="N5619">
        <v>0</v>
      </c>
      <c r="O5619">
        <v>5.9486919999999898E-3</v>
      </c>
      <c r="P5619">
        <v>0.96765020000000002</v>
      </c>
      <c r="Q5619">
        <v>0.17011570000000001</v>
      </c>
      <c r="R5619">
        <v>-0.1863166</v>
      </c>
      <c r="S5619">
        <v>2.9939580000000001</v>
      </c>
      <c r="T5619">
        <v>-0.12211660000000001</v>
      </c>
      <c r="U5619">
        <v>-0.66360469999999905</v>
      </c>
      <c r="V5619">
        <v>0.19244600000000001</v>
      </c>
      <c r="W5619">
        <v>0.18372230000000001</v>
      </c>
      <c r="X5619">
        <v>0.96395580000000003</v>
      </c>
      <c r="Y5619">
        <v>0.22202</v>
      </c>
      <c r="Z5619">
        <v>-4.711453E-3</v>
      </c>
      <c r="AA5619">
        <v>0.97503070000000003</v>
      </c>
      <c r="AB5619">
        <v>33</v>
      </c>
      <c r="AC5619">
        <v>28.261199999999999</v>
      </c>
      <c r="AD5619">
        <v>-1.1597</v>
      </c>
      <c r="AE5619">
        <v>-6.3026099999999996</v>
      </c>
      <c r="AF5619">
        <v>6.4602703911613801</v>
      </c>
      <c r="AG5619">
        <v>-1.1597</v>
      </c>
      <c r="AH5619">
        <v>28.178003385606399</v>
      </c>
      <c r="AI5619">
        <v>92.297212667618993</v>
      </c>
      <c r="AJ5619">
        <v>77.087160349807107</v>
      </c>
      <c r="AK5619">
        <v>28.932332647336999</v>
      </c>
      <c r="AL5619">
        <v>79.413351880895902</v>
      </c>
      <c r="AM5619">
        <v>78.709795501554694</v>
      </c>
      <c r="AN5619">
        <v>1.00000006539346</v>
      </c>
    </row>
    <row r="5620" spans="1:40" x14ac:dyDescent="0.25">
      <c r="A5620" t="str">
        <f>"20190312164139356"</f>
        <v>20190312164139356</v>
      </c>
      <c r="B5620" t="str">
        <f>"1552380099352209"</f>
        <v>1552380099352209</v>
      </c>
      <c r="C5620" t="s">
        <v>40</v>
      </c>
      <c r="D5620">
        <v>5.8483140000000002</v>
      </c>
      <c r="E5620">
        <v>0.52055309999999999</v>
      </c>
      <c r="F5620" t="s">
        <v>43</v>
      </c>
      <c r="G5620">
        <v>-307.7919</v>
      </c>
      <c r="H5620">
        <v>-0.05</v>
      </c>
      <c r="I5620">
        <v>11.34186</v>
      </c>
      <c r="J5620">
        <v>-335.71730000000002</v>
      </c>
      <c r="K5620">
        <v>1.109707</v>
      </c>
      <c r="L5620">
        <v>17.61374</v>
      </c>
      <c r="M5620">
        <v>0.99987990000000004</v>
      </c>
      <c r="N5620">
        <v>0</v>
      </c>
      <c r="O5620">
        <v>5.4605690000000002E-3</v>
      </c>
      <c r="P5620">
        <v>0.96716329999999995</v>
      </c>
      <c r="Q5620">
        <v>0.17071359999999999</v>
      </c>
      <c r="R5620">
        <v>-0.1882867</v>
      </c>
      <c r="S5620">
        <v>2.9933169999999998</v>
      </c>
      <c r="T5620">
        <v>-0.1235831</v>
      </c>
      <c r="U5620">
        <v>-0.66830440000000002</v>
      </c>
      <c r="V5620">
        <v>0.1939467</v>
      </c>
      <c r="W5620">
        <v>0.18430579999999999</v>
      </c>
      <c r="X5620">
        <v>0.9635435</v>
      </c>
      <c r="Y5620">
        <v>0.22304189999999999</v>
      </c>
      <c r="Z5620">
        <v>-4.7691019999999999E-3</v>
      </c>
      <c r="AA5620">
        <v>0.97479720000000003</v>
      </c>
      <c r="AB5620">
        <v>33</v>
      </c>
      <c r="AC5620">
        <v>27.9254</v>
      </c>
      <c r="AD5620">
        <v>-1.159707</v>
      </c>
      <c r="AE5620">
        <v>-6.2718800000000003</v>
      </c>
      <c r="AF5620">
        <v>6.4137608492291101</v>
      </c>
      <c r="AG5620">
        <v>-1.159707</v>
      </c>
      <c r="AH5620">
        <v>27.8450154406504</v>
      </c>
      <c r="AI5620">
        <v>92.324125223452299</v>
      </c>
      <c r="AJ5620">
        <v>77.028852296664198</v>
      </c>
      <c r="AK5620">
        <v>28.597659579885399</v>
      </c>
      <c r="AL5620">
        <v>79.379338418877197</v>
      </c>
      <c r="AM5620">
        <v>78.619300475218694</v>
      </c>
      <c r="AN5620">
        <v>1.00000001337339</v>
      </c>
    </row>
    <row r="5621" spans="1:40" x14ac:dyDescent="0.25">
      <c r="A5621" t="str">
        <f>"20190312164139373"</f>
        <v>20190312164139373</v>
      </c>
      <c r="B5621" t="str">
        <f>"1552380099361969"</f>
        <v>1552380099361969</v>
      </c>
      <c r="C5621" t="s">
        <v>40</v>
      </c>
      <c r="D5621">
        <v>5.8504930000000002</v>
      </c>
      <c r="E5621">
        <v>0.52040169999999997</v>
      </c>
      <c r="F5621" t="s">
        <v>43</v>
      </c>
      <c r="G5621">
        <v>-307.28280000000001</v>
      </c>
      <c r="H5621">
        <v>-0.05</v>
      </c>
      <c r="I5621">
        <v>11.22348</v>
      </c>
      <c r="J5621">
        <v>-335.46789999999999</v>
      </c>
      <c r="K5621">
        <v>1.1097269999999999</v>
      </c>
      <c r="L5621">
        <v>17.614319999999999</v>
      </c>
      <c r="M5621">
        <v>0.99988379999999999</v>
      </c>
      <c r="N5621">
        <v>0</v>
      </c>
      <c r="O5621">
        <v>4.7070259999999996E-3</v>
      </c>
      <c r="P5621">
        <v>0.96581969999999995</v>
      </c>
      <c r="Q5621">
        <v>0.17302919999999999</v>
      </c>
      <c r="R5621">
        <v>-0.1930115</v>
      </c>
      <c r="S5621">
        <v>2.9924620000000002</v>
      </c>
      <c r="T5621">
        <v>-0.1220484</v>
      </c>
      <c r="U5621">
        <v>-0.67251590000000006</v>
      </c>
      <c r="V5621">
        <v>0.1979475</v>
      </c>
      <c r="W5621">
        <v>0.1865868</v>
      </c>
      <c r="X5621">
        <v>0.96228999999999998</v>
      </c>
      <c r="Y5621">
        <v>0.2236774</v>
      </c>
      <c r="Z5621">
        <v>-4.6929629999999996E-3</v>
      </c>
      <c r="AA5621">
        <v>0.97465190000000002</v>
      </c>
      <c r="AB5621">
        <v>33</v>
      </c>
      <c r="AC5621">
        <v>28.185099999999899</v>
      </c>
      <c r="AD5621">
        <v>-1.159727</v>
      </c>
      <c r="AE5621">
        <v>-6.3908399999999999</v>
      </c>
      <c r="AF5621">
        <v>6.51296349954562</v>
      </c>
      <c r="AG5621">
        <v>-1.159727</v>
      </c>
      <c r="AH5621">
        <v>28.109438882680699</v>
      </c>
      <c r="AI5621">
        <v>92.301638575423894</v>
      </c>
      <c r="AJ5621">
        <v>76.954748219656096</v>
      </c>
      <c r="AK5621">
        <v>28.8773997195057</v>
      </c>
      <c r="AL5621">
        <v>79.246339034122002</v>
      </c>
      <c r="AM5621">
        <v>78.376135527000002</v>
      </c>
      <c r="AN5621">
        <v>0.99999994539524295</v>
      </c>
    </row>
    <row r="5622" spans="1:40" x14ac:dyDescent="0.25">
      <c r="A5622" t="str">
        <f>"20190312164139386"</f>
        <v>20190312164139386</v>
      </c>
      <c r="B5622" t="str">
        <f>"1552380099381489"</f>
        <v>1552380099381489</v>
      </c>
      <c r="C5622" t="s">
        <v>40</v>
      </c>
      <c r="D5622">
        <v>5.9011239999999896</v>
      </c>
      <c r="E5622">
        <v>0.52028640000000004</v>
      </c>
      <c r="F5622" t="s">
        <v>43</v>
      </c>
      <c r="G5622">
        <v>-305.5016</v>
      </c>
      <c r="H5622">
        <v>-0.05</v>
      </c>
      <c r="I5622">
        <v>10.744479999999999</v>
      </c>
      <c r="J5622">
        <v>-335.291</v>
      </c>
      <c r="K5622">
        <v>1.109734</v>
      </c>
      <c r="L5622">
        <v>17.614619999999999</v>
      </c>
      <c r="M5622">
        <v>0.99988619999999995</v>
      </c>
      <c r="N5622">
        <v>0</v>
      </c>
      <c r="O5622">
        <v>4.1657839999999996E-3</v>
      </c>
      <c r="P5622">
        <v>0.96503859999999997</v>
      </c>
      <c r="Q5622">
        <v>0.1746743</v>
      </c>
      <c r="R5622">
        <v>-0.19542109999999999</v>
      </c>
      <c r="S5622">
        <v>2.98996</v>
      </c>
      <c r="T5622">
        <v>-0.1157144</v>
      </c>
      <c r="U5622">
        <v>-0.68545529999999999</v>
      </c>
      <c r="V5622">
        <v>0.1998393</v>
      </c>
      <c r="W5622">
        <v>0.18821209999999999</v>
      </c>
      <c r="X5622">
        <v>0.9615823</v>
      </c>
      <c r="Y5622">
        <v>0.22734979999999999</v>
      </c>
      <c r="Z5622">
        <v>-4.5005690000000003E-3</v>
      </c>
      <c r="AA5622">
        <v>0.97380270000000002</v>
      </c>
      <c r="AB5622">
        <v>33</v>
      </c>
      <c r="AC5622">
        <v>29.789400000000001</v>
      </c>
      <c r="AD5622">
        <v>-1.159734</v>
      </c>
      <c r="AE5622">
        <v>-6.8701400000000001</v>
      </c>
      <c r="AF5622">
        <v>6.98413883066425</v>
      </c>
      <c r="AG5622">
        <v>-1.159734</v>
      </c>
      <c r="AH5622">
        <v>29.717752445315998</v>
      </c>
      <c r="AI5622">
        <v>92.175615812159407</v>
      </c>
      <c r="AJ5622">
        <v>76.774595545492602</v>
      </c>
      <c r="AK5622">
        <v>30.549435159390999</v>
      </c>
      <c r="AL5622">
        <v>79.151537577161093</v>
      </c>
      <c r="AM5622">
        <v>78.259715763744694</v>
      </c>
      <c r="AN5622">
        <v>1.0000000300420899</v>
      </c>
    </row>
    <row r="5623" spans="1:40" x14ac:dyDescent="0.25">
      <c r="A5623" t="str">
        <f>"20190312164139399"</f>
        <v>20190312164139399</v>
      </c>
      <c r="B5623" t="str">
        <f>"1552380099392226"</f>
        <v>1552380099392226</v>
      </c>
      <c r="C5623" t="s">
        <v>40</v>
      </c>
      <c r="D5623">
        <v>5.5239820000000002</v>
      </c>
      <c r="E5623">
        <v>0.52016560000000001</v>
      </c>
      <c r="F5623" t="s">
        <v>43</v>
      </c>
      <c r="G5623">
        <v>-304.26209999999998</v>
      </c>
      <c r="H5623">
        <v>-0.05</v>
      </c>
      <c r="I5623">
        <v>10.432539999999999</v>
      </c>
      <c r="J5623">
        <v>-335.10390000000001</v>
      </c>
      <c r="K5623">
        <v>1.1097429999999999</v>
      </c>
      <c r="L5623">
        <v>17.614840000000001</v>
      </c>
      <c r="M5623">
        <v>0.99988860000000002</v>
      </c>
      <c r="N5623">
        <v>0</v>
      </c>
      <c r="O5623">
        <v>3.5892979999999999E-3</v>
      </c>
      <c r="P5623">
        <v>0.96420899999999998</v>
      </c>
      <c r="Q5623">
        <v>0.17629439999999999</v>
      </c>
      <c r="R5623">
        <v>-0.19804389999999999</v>
      </c>
      <c r="S5623">
        <v>2.9887999999999999</v>
      </c>
      <c r="T5623">
        <v>-0.1117095</v>
      </c>
      <c r="U5623">
        <v>-0.69180299999999995</v>
      </c>
      <c r="V5623">
        <v>0.20191139999999999</v>
      </c>
      <c r="W5623">
        <v>0.18981020000000001</v>
      </c>
      <c r="X5623">
        <v>0.96083499999999999</v>
      </c>
      <c r="Y5623">
        <v>0.22884489999999999</v>
      </c>
      <c r="Z5623">
        <v>-4.3518300000000001E-3</v>
      </c>
      <c r="AA5623">
        <v>0.97345320000000002</v>
      </c>
      <c r="AB5623">
        <v>33</v>
      </c>
      <c r="AC5623">
        <v>30.841799999999999</v>
      </c>
      <c r="AD5623">
        <v>-1.159743</v>
      </c>
      <c r="AE5623">
        <v>-7.1822999999999997</v>
      </c>
      <c r="AF5623">
        <v>7.28319720026591</v>
      </c>
      <c r="AG5623">
        <v>-1.159743</v>
      </c>
      <c r="AH5623">
        <v>30.774542948663001</v>
      </c>
      <c r="AI5623">
        <v>92.100217706967896</v>
      </c>
      <c r="AJ5623">
        <v>76.685183322349005</v>
      </c>
      <c r="AK5623">
        <v>31.645891660421199</v>
      </c>
      <c r="AL5623">
        <v>79.058292227313899</v>
      </c>
      <c r="AM5623">
        <v>78.132450934897605</v>
      </c>
      <c r="AN5623">
        <v>1.0000000113495</v>
      </c>
    </row>
    <row r="5624" spans="1:40" x14ac:dyDescent="0.25">
      <c r="A5624" t="str">
        <f>"20190312164139410"</f>
        <v>20190312164139410</v>
      </c>
      <c r="B5624" t="str">
        <f>"1552380099401985"</f>
        <v>1552380099401985</v>
      </c>
      <c r="C5624" t="s">
        <v>40</v>
      </c>
      <c r="D5624">
        <v>5.9023859999999999</v>
      </c>
      <c r="E5624">
        <v>0.52005509999999999</v>
      </c>
      <c r="F5624" t="s">
        <v>43</v>
      </c>
      <c r="G5624">
        <v>-302.91140000000001</v>
      </c>
      <c r="H5624">
        <v>-0.05</v>
      </c>
      <c r="I5624">
        <v>10.08351</v>
      </c>
      <c r="J5624">
        <v>-334.92070000000001</v>
      </c>
      <c r="K5624">
        <v>1.109745</v>
      </c>
      <c r="L5624">
        <v>17.614929999999902</v>
      </c>
      <c r="M5624">
        <v>0.99989059999999996</v>
      </c>
      <c r="N5624">
        <v>0</v>
      </c>
      <c r="O5624">
        <v>3.0135600000000002E-3</v>
      </c>
      <c r="P5624">
        <v>0.9633562</v>
      </c>
      <c r="Q5624">
        <v>0.17797929999999901</v>
      </c>
      <c r="R5624">
        <v>-0.20067019999999999</v>
      </c>
      <c r="S5624">
        <v>2.9874879999999999</v>
      </c>
      <c r="T5624">
        <v>-0.107625</v>
      </c>
      <c r="U5624">
        <v>-0.69891359999999902</v>
      </c>
      <c r="V5624">
        <v>0.20398930000000001</v>
      </c>
      <c r="W5624">
        <v>0.19147239999999999</v>
      </c>
      <c r="X5624">
        <v>0.96006599999999997</v>
      </c>
      <c r="Y5624">
        <v>0.23058609999999999</v>
      </c>
      <c r="Z5624">
        <v>-4.2039640000000001E-3</v>
      </c>
      <c r="AA5624">
        <v>0.97304279999999999</v>
      </c>
      <c r="AB5624">
        <v>33</v>
      </c>
      <c r="AC5624">
        <v>32.009300000000003</v>
      </c>
      <c r="AD5624">
        <v>-1.159745</v>
      </c>
      <c r="AE5624">
        <v>-7.53141999999999</v>
      </c>
      <c r="AF5624">
        <v>7.6183816505853397</v>
      </c>
      <c r="AG5624">
        <v>-1.159745</v>
      </c>
      <c r="AH5624">
        <v>31.946718587375901</v>
      </c>
      <c r="AI5624">
        <v>92.022404200912504</v>
      </c>
      <c r="AJ5624">
        <v>76.587102740285701</v>
      </c>
      <c r="AK5624">
        <v>32.863012277330697</v>
      </c>
      <c r="AL5624">
        <v>78.961275958429596</v>
      </c>
      <c r="AM5624">
        <v>78.004512510662394</v>
      </c>
      <c r="AN5624">
        <v>1.00000001941612</v>
      </c>
    </row>
    <row r="5625" spans="1:40" x14ac:dyDescent="0.25">
      <c r="A5625" t="str">
        <f>"20190312164139424"</f>
        <v>20190312164139424</v>
      </c>
      <c r="B5625" t="str">
        <f>"1552380099411744"</f>
        <v>1552380099411744</v>
      </c>
      <c r="C5625" t="s">
        <v>40</v>
      </c>
      <c r="D5625">
        <v>5.9980669999999998</v>
      </c>
      <c r="E5625">
        <v>0.51983630000000003</v>
      </c>
      <c r="F5625" t="s">
        <v>43</v>
      </c>
      <c r="G5625">
        <v>-301.4101</v>
      </c>
      <c r="H5625">
        <v>-0.05</v>
      </c>
      <c r="I5625">
        <v>9.6954799999999999</v>
      </c>
      <c r="J5625">
        <v>-334.7389</v>
      </c>
      <c r="K5625">
        <v>1.109742</v>
      </c>
      <c r="L5625">
        <v>17.614899999999999</v>
      </c>
      <c r="M5625">
        <v>0.999892</v>
      </c>
      <c r="N5625">
        <v>0</v>
      </c>
      <c r="O5625">
        <v>2.4365609999999998E-3</v>
      </c>
      <c r="P5625">
        <v>0.9624781</v>
      </c>
      <c r="Q5625">
        <v>0.1794906</v>
      </c>
      <c r="R5625">
        <v>-0.20351639999999999</v>
      </c>
      <c r="S5625">
        <v>2.9862060000000001</v>
      </c>
      <c r="T5625">
        <v>-0.1033473</v>
      </c>
      <c r="U5625">
        <v>-0.70571899999999999</v>
      </c>
      <c r="V5625">
        <v>0.20628679999999999</v>
      </c>
      <c r="W5625">
        <v>0.19295950000000001</v>
      </c>
      <c r="X5625">
        <v>0.95927700000000005</v>
      </c>
      <c r="Y5625">
        <v>0.23222880000000001</v>
      </c>
      <c r="Z5625">
        <v>-4.0459500000000004E-3</v>
      </c>
      <c r="AA5625">
        <v>0.97265279999999998</v>
      </c>
      <c r="AB5625">
        <v>33</v>
      </c>
      <c r="AC5625">
        <v>33.328800000000001</v>
      </c>
      <c r="AD5625">
        <v>-1.1597420000000001</v>
      </c>
      <c r="AE5625">
        <v>-7.9194199999999899</v>
      </c>
      <c r="AF5625">
        <v>7.9914535084267797</v>
      </c>
      <c r="AG5625">
        <v>-1.1597420000000001</v>
      </c>
      <c r="AH5625">
        <v>33.271270007732198</v>
      </c>
      <c r="AI5625">
        <v>91.941193774912804</v>
      </c>
      <c r="AJ5625">
        <v>76.493929630179906</v>
      </c>
      <c r="AK5625">
        <v>34.237198171160699</v>
      </c>
      <c r="AL5625">
        <v>78.874452009318304</v>
      </c>
      <c r="AM5625">
        <v>77.863708120439</v>
      </c>
      <c r="AN5625">
        <v>0.99999998761174402</v>
      </c>
    </row>
    <row r="5626" spans="1:40" x14ac:dyDescent="0.25">
      <c r="A5626" t="str">
        <f>"20190312164139436"</f>
        <v>20190312164139436</v>
      </c>
      <c r="B5626" t="str">
        <f>"1552380099431773"</f>
        <v>1552380099431773</v>
      </c>
      <c r="C5626" t="s">
        <v>40</v>
      </c>
      <c r="D5626">
        <v>5.8398070000000004</v>
      </c>
      <c r="E5626">
        <v>0.51953859999999996</v>
      </c>
      <c r="F5626" t="s">
        <v>43</v>
      </c>
      <c r="G5626">
        <v>-299.9588</v>
      </c>
      <c r="H5626">
        <v>-0.05</v>
      </c>
      <c r="I5626">
        <v>9.3143159999999998</v>
      </c>
      <c r="J5626">
        <v>-334.55059999999997</v>
      </c>
      <c r="K5626">
        <v>1.109737</v>
      </c>
      <c r="L5626">
        <v>17.61478</v>
      </c>
      <c r="M5626">
        <v>0.99989349999999999</v>
      </c>
      <c r="N5626">
        <v>0</v>
      </c>
      <c r="O5626">
        <v>1.8312879999999999E-3</v>
      </c>
      <c r="P5626">
        <v>0.96168489999999995</v>
      </c>
      <c r="Q5626">
        <v>0.18043409999999999</v>
      </c>
      <c r="R5626">
        <v>-0.20641200000000001</v>
      </c>
      <c r="S5626">
        <v>2.9848940000000002</v>
      </c>
      <c r="T5626">
        <v>-9.9531170000000002E-2</v>
      </c>
      <c r="U5626">
        <v>-0.7123718</v>
      </c>
      <c r="V5626">
        <v>0.20860699999999999</v>
      </c>
      <c r="W5626">
        <v>0.19387979999999999</v>
      </c>
      <c r="X5626">
        <v>0.95858949999999998</v>
      </c>
      <c r="Y5626">
        <v>0.23379659999999999</v>
      </c>
      <c r="Z5626">
        <v>-3.9031790000000001E-3</v>
      </c>
      <c r="AA5626">
        <v>0.97227770000000002</v>
      </c>
      <c r="AB5626">
        <v>33</v>
      </c>
      <c r="AC5626">
        <v>34.5917999999999</v>
      </c>
      <c r="AD5626">
        <v>-1.159737</v>
      </c>
      <c r="AE5626">
        <v>-8.3004639999999998</v>
      </c>
      <c r="AF5626">
        <v>8.3549244774190594</v>
      </c>
      <c r="AG5626">
        <v>-1.159737</v>
      </c>
      <c r="AH5626">
        <v>34.539830187708397</v>
      </c>
      <c r="AI5626">
        <v>91.869217967801305</v>
      </c>
      <c r="AJ5626">
        <v>76.401786305694699</v>
      </c>
      <c r="AK5626">
        <v>35.554881835386198</v>
      </c>
      <c r="AL5626">
        <v>78.820708433120004</v>
      </c>
      <c r="AM5626">
        <v>77.722786038118997</v>
      </c>
      <c r="AN5626">
        <v>1.00000004340364</v>
      </c>
    </row>
    <row r="5627" spans="1:40" x14ac:dyDescent="0.25">
      <c r="A5627" t="str">
        <f>"20190312164139452"</f>
        <v>20190312164139452</v>
      </c>
      <c r="B5627" t="str">
        <f>"1552380099441532"</f>
        <v>1552380099441532</v>
      </c>
      <c r="C5627" t="s">
        <v>40</v>
      </c>
      <c r="D5627">
        <v>6.1201990000000004</v>
      </c>
      <c r="E5627">
        <v>0.5194261</v>
      </c>
      <c r="F5627" t="s">
        <v>43</v>
      </c>
      <c r="G5627">
        <v>-299.38220000000001</v>
      </c>
      <c r="H5627">
        <v>-0.05</v>
      </c>
      <c r="I5627">
        <v>9.1506959999999999</v>
      </c>
      <c r="J5627">
        <v>-334.315</v>
      </c>
      <c r="K5627">
        <v>1.109726</v>
      </c>
      <c r="L5627">
        <v>17.614380000000001</v>
      </c>
      <c r="M5627">
        <v>0.99989450000000002</v>
      </c>
      <c r="N5627">
        <v>0</v>
      </c>
      <c r="O5627">
        <v>1.0529840000000001E-3</v>
      </c>
      <c r="P5627">
        <v>0.9602349</v>
      </c>
      <c r="Q5627">
        <v>0.18180350000000001</v>
      </c>
      <c r="R5627">
        <v>-0.2118872</v>
      </c>
      <c r="S5627">
        <v>2.9838870000000002</v>
      </c>
      <c r="T5627">
        <v>-9.8398570000000005E-2</v>
      </c>
      <c r="U5627">
        <v>-0.71813959999999999</v>
      </c>
      <c r="V5627">
        <v>0.2133446</v>
      </c>
      <c r="W5627">
        <v>0.1952081</v>
      </c>
      <c r="X5627">
        <v>0.95727629999999997</v>
      </c>
      <c r="Y5627">
        <v>0.23489360000000001</v>
      </c>
      <c r="Z5627">
        <v>-3.8517220000000001E-3</v>
      </c>
      <c r="AA5627">
        <v>0.97201340000000003</v>
      </c>
      <c r="AB5627">
        <v>33</v>
      </c>
      <c r="AC5627">
        <v>34.932799999999901</v>
      </c>
      <c r="AD5627">
        <v>-1.159726</v>
      </c>
      <c r="AE5627">
        <v>-8.46368399999999</v>
      </c>
      <c r="AF5627">
        <v>8.4916266652180106</v>
      </c>
      <c r="AG5627">
        <v>-1.159726</v>
      </c>
      <c r="AH5627">
        <v>34.8875479959597</v>
      </c>
      <c r="AI5627">
        <v>91.849944577510598</v>
      </c>
      <c r="AJ5627">
        <v>76.320217300226801</v>
      </c>
      <c r="AK5627">
        <v>35.9248339312363</v>
      </c>
      <c r="AL5627">
        <v>78.743119732412694</v>
      </c>
      <c r="AM5627">
        <v>77.436032304472306</v>
      </c>
      <c r="AN5627">
        <v>1.00000001759822</v>
      </c>
    </row>
    <row r="5628" spans="1:40" x14ac:dyDescent="0.25">
      <c r="A5628" t="str">
        <f>"20190312164139463"</f>
        <v>20190312164139463</v>
      </c>
      <c r="B5628" t="str">
        <f>"1552380099451294"</f>
        <v>1552380099451294</v>
      </c>
      <c r="C5628" t="s">
        <v>40</v>
      </c>
      <c r="D5628">
        <v>6.514964</v>
      </c>
      <c r="E5628">
        <v>0.51924970000000004</v>
      </c>
      <c r="F5628" t="s">
        <v>43</v>
      </c>
      <c r="G5628">
        <v>-298.06909999999999</v>
      </c>
      <c r="H5628">
        <v>-0.05</v>
      </c>
      <c r="I5628">
        <v>8.7096250000000008</v>
      </c>
      <c r="J5628">
        <v>-334.14530000000002</v>
      </c>
      <c r="K5628">
        <v>1.109715</v>
      </c>
      <c r="L5628">
        <v>17.61401</v>
      </c>
      <c r="M5628">
        <v>0.99989499999999998</v>
      </c>
      <c r="N5628">
        <v>0</v>
      </c>
      <c r="O5628">
        <v>4.7936069999999999E-4</v>
      </c>
      <c r="P5628">
        <v>0.95947289999999996</v>
      </c>
      <c r="Q5628">
        <v>0.1824895</v>
      </c>
      <c r="R5628">
        <v>-0.2147318</v>
      </c>
      <c r="S5628">
        <v>2.9807429999999999</v>
      </c>
      <c r="T5628">
        <v>-9.5372200000000004E-2</v>
      </c>
      <c r="U5628">
        <v>-0.73229979999999995</v>
      </c>
      <c r="V5628">
        <v>0.21564710000000001</v>
      </c>
      <c r="W5628">
        <v>0.1958693</v>
      </c>
      <c r="X5628">
        <v>0.95662510000000001</v>
      </c>
      <c r="Y5628">
        <v>0.23893229999999999</v>
      </c>
      <c r="Z5628">
        <v>-3.78064E-3</v>
      </c>
      <c r="AA5628">
        <v>0.97102889999999997</v>
      </c>
      <c r="AB5628">
        <v>33</v>
      </c>
      <c r="AC5628">
        <v>36.0762</v>
      </c>
      <c r="AD5628">
        <v>-1.1597150000000001</v>
      </c>
      <c r="AE5628">
        <v>-8.9043849999999996</v>
      </c>
      <c r="AF5628">
        <v>8.9129976633776593</v>
      </c>
      <c r="AG5628">
        <v>-1.1597150000000001</v>
      </c>
      <c r="AH5628">
        <v>36.036825589166497</v>
      </c>
      <c r="AI5628">
        <v>91.789341408342096</v>
      </c>
      <c r="AJ5628">
        <v>76.107813293737806</v>
      </c>
      <c r="AK5628">
        <v>37.140803232733198</v>
      </c>
      <c r="AL5628">
        <v>78.704490061773498</v>
      </c>
      <c r="AM5628">
        <v>77.296447716221806</v>
      </c>
      <c r="AN5628">
        <v>1.00000001818545</v>
      </c>
    </row>
    <row r="5629" spans="1:40" x14ac:dyDescent="0.25">
      <c r="A5629" t="str">
        <f>"20190312164139474"</f>
        <v>20190312164139474</v>
      </c>
      <c r="B5629" t="str">
        <f>"1552380099462029"</f>
        <v>1552380099462029</v>
      </c>
      <c r="C5629" t="s">
        <v>40</v>
      </c>
      <c r="D5629">
        <v>5.9730150000000002</v>
      </c>
      <c r="E5629">
        <v>0.51906350000000001</v>
      </c>
      <c r="F5629" t="s">
        <v>43</v>
      </c>
      <c r="G5629">
        <v>-297.56490000000002</v>
      </c>
      <c r="H5629">
        <v>-0.05</v>
      </c>
      <c r="I5629">
        <v>8.5405879999999996</v>
      </c>
      <c r="J5629">
        <v>-333.99200000000002</v>
      </c>
      <c r="K5629">
        <v>1.109699</v>
      </c>
      <c r="L5629">
        <v>17.61356</v>
      </c>
      <c r="M5629">
        <v>0.99989519999999998</v>
      </c>
      <c r="N5629">
        <v>0</v>
      </c>
      <c r="O5629" s="1">
        <v>-4.8844980000000003E-5</v>
      </c>
      <c r="P5629">
        <v>0.95885489999999995</v>
      </c>
      <c r="Q5629">
        <v>0.18270749999999999</v>
      </c>
      <c r="R5629">
        <v>-0.2172917</v>
      </c>
      <c r="S5629">
        <v>2.979279</v>
      </c>
      <c r="T5629">
        <v>-9.4452620000000001E-2</v>
      </c>
      <c r="U5629">
        <v>-0.73898319999999995</v>
      </c>
      <c r="V5629">
        <v>0.2177084</v>
      </c>
      <c r="W5629">
        <v>0.19606570000000001</v>
      </c>
      <c r="X5629">
        <v>0.95611780000000002</v>
      </c>
      <c r="Y5629">
        <v>0.2405844</v>
      </c>
      <c r="Z5629">
        <v>-3.754299E-3</v>
      </c>
      <c r="AA5629">
        <v>0.97062099999999996</v>
      </c>
      <c r="AB5629">
        <v>33</v>
      </c>
      <c r="AC5629">
        <v>36.427099999999903</v>
      </c>
      <c r="AD5629">
        <v>-1.159699</v>
      </c>
      <c r="AE5629">
        <v>-9.072972</v>
      </c>
      <c r="AF5629">
        <v>9.0625438006663295</v>
      </c>
      <c r="AG5629">
        <v>-1.159699</v>
      </c>
      <c r="AH5629">
        <v>36.392812164183397</v>
      </c>
      <c r="AI5629">
        <v>91.771125854399699</v>
      </c>
      <c r="AJ5629">
        <v>76.016607163554596</v>
      </c>
      <c r="AK5629">
        <v>37.522145182906797</v>
      </c>
      <c r="AL5629">
        <v>78.693014193481304</v>
      </c>
      <c r="AM5629">
        <v>77.172436089378294</v>
      </c>
      <c r="AN5629">
        <v>0.99999997681194397</v>
      </c>
    </row>
    <row r="5630" spans="1:40" x14ac:dyDescent="0.25">
      <c r="A5630" t="str">
        <f>"20190312164139486"</f>
        <v>20190312164139486</v>
      </c>
      <c r="B5630" t="str">
        <f>"1552380099481550"</f>
        <v>1552380099481550</v>
      </c>
      <c r="C5630" t="s">
        <v>40</v>
      </c>
      <c r="D5630">
        <v>5.8993330000000004</v>
      </c>
      <c r="E5630">
        <v>0.51869560000000003</v>
      </c>
      <c r="F5630" t="s">
        <v>43</v>
      </c>
      <c r="G5630">
        <v>-297.59280000000001</v>
      </c>
      <c r="H5630">
        <v>-0.05</v>
      </c>
      <c r="I5630">
        <v>8.5075070000000004</v>
      </c>
      <c r="J5630">
        <v>-333.81880000000001</v>
      </c>
      <c r="K5630">
        <v>1.109675</v>
      </c>
      <c r="L5630">
        <v>17.612950000000001</v>
      </c>
      <c r="M5630">
        <v>0.99989499999999998</v>
      </c>
      <c r="N5630">
        <v>0</v>
      </c>
      <c r="O5630">
        <v>-6.6284359999999997E-4</v>
      </c>
      <c r="P5630">
        <v>0.95813979999999999</v>
      </c>
      <c r="Q5630">
        <v>0.18329719999999999</v>
      </c>
      <c r="R5630">
        <v>-0.21993399999999999</v>
      </c>
      <c r="S5630">
        <v>2.9779360000000001</v>
      </c>
      <c r="T5630">
        <v>-9.4878790000000005E-2</v>
      </c>
      <c r="U5630">
        <v>-0.74499510000000002</v>
      </c>
      <c r="V5630">
        <v>0.219773</v>
      </c>
      <c r="W5630">
        <v>0.19662959999999999</v>
      </c>
      <c r="X5630">
        <v>0.95552950000000003</v>
      </c>
      <c r="Y5630">
        <v>0.24193400000000001</v>
      </c>
      <c r="Z5630">
        <v>-3.7738789999999999E-3</v>
      </c>
      <c r="AA5630">
        <v>0.97028539999999996</v>
      </c>
      <c r="AB5630">
        <v>33</v>
      </c>
      <c r="AC5630">
        <v>36.225999999999999</v>
      </c>
      <c r="AD5630">
        <v>-1.159675</v>
      </c>
      <c r="AE5630">
        <v>-9.1054429999999993</v>
      </c>
      <c r="AF5630">
        <v>9.0726812715184497</v>
      </c>
      <c r="AG5630">
        <v>-1.159675</v>
      </c>
      <c r="AH5630">
        <v>36.197138207425901</v>
      </c>
      <c r="AI5630">
        <v>91.779976827381802</v>
      </c>
      <c r="AJ5630">
        <v>75.928906086902103</v>
      </c>
      <c r="AK5630">
        <v>37.334852429970503</v>
      </c>
      <c r="AL5630">
        <v>78.660063945462696</v>
      </c>
      <c r="AM5630">
        <v>77.047166292763507</v>
      </c>
      <c r="AN5630">
        <v>0.99999999824770502</v>
      </c>
    </row>
    <row r="5631" spans="1:40" x14ac:dyDescent="0.25">
      <c r="A5631" t="str">
        <f>"20190312164139497"</f>
        <v>20190312164139497</v>
      </c>
      <c r="B5631" t="str">
        <f>"1552380099492286"</f>
        <v>1552380099492286</v>
      </c>
      <c r="C5631" t="s">
        <v>40</v>
      </c>
      <c r="D5631">
        <v>5.8811039999999997</v>
      </c>
      <c r="E5631">
        <v>0.51849540000000005</v>
      </c>
      <c r="F5631" t="s">
        <v>43</v>
      </c>
      <c r="G5631">
        <v>-297.4941</v>
      </c>
      <c r="H5631">
        <v>-0.05</v>
      </c>
      <c r="I5631">
        <v>8.4623109999999997</v>
      </c>
      <c r="J5631">
        <v>-333.65699999999998</v>
      </c>
      <c r="K5631">
        <v>1.10965</v>
      </c>
      <c r="L5631">
        <v>17.612269999999999</v>
      </c>
      <c r="M5631">
        <v>0.99989439999999996</v>
      </c>
      <c r="N5631">
        <v>0</v>
      </c>
      <c r="O5631">
        <v>-1.243875E-3</v>
      </c>
      <c r="P5631">
        <v>0.95755579999999996</v>
      </c>
      <c r="Q5631">
        <v>0.1832568</v>
      </c>
      <c r="R5631">
        <v>-0.22249559999999999</v>
      </c>
      <c r="S5631">
        <v>2.977112</v>
      </c>
      <c r="T5631">
        <v>-9.504485E-2</v>
      </c>
      <c r="U5631">
        <v>-0.74996949999999996</v>
      </c>
      <c r="V5631">
        <v>0.22178790000000001</v>
      </c>
      <c r="W5631">
        <v>0.19656599999999999</v>
      </c>
      <c r="X5631">
        <v>0.95507690000000001</v>
      </c>
      <c r="Y5631">
        <v>0.2429578</v>
      </c>
      <c r="Z5631">
        <v>-3.7785649999999998E-3</v>
      </c>
      <c r="AA5631">
        <v>0.97002949999999999</v>
      </c>
      <c r="AB5631">
        <v>33</v>
      </c>
      <c r="AC5631">
        <v>36.162899999999901</v>
      </c>
      <c r="AD5631">
        <v>-1.1596500000000001</v>
      </c>
      <c r="AE5631">
        <v>-9.1499590000000008</v>
      </c>
      <c r="AF5631">
        <v>9.0961741115578807</v>
      </c>
      <c r="AG5631">
        <v>-1.1596500000000001</v>
      </c>
      <c r="AH5631">
        <v>36.139327890512099</v>
      </c>
      <c r="AI5631">
        <v>91.782341567048306</v>
      </c>
      <c r="AJ5631">
        <v>75.872261238906702</v>
      </c>
      <c r="AK5631">
        <v>37.284530196426303</v>
      </c>
      <c r="AL5631">
        <v>78.663780220418602</v>
      </c>
      <c r="AM5631">
        <v>76.926491513323995</v>
      </c>
      <c r="AN5631">
        <v>0.99999997492800896</v>
      </c>
    </row>
    <row r="5632" spans="1:40" x14ac:dyDescent="0.25">
      <c r="A5632" t="str">
        <f>"20190312164139508"</f>
        <v>20190312164139508</v>
      </c>
      <c r="B5632" t="str">
        <f>"1552380099502045"</f>
        <v>1552380099502045</v>
      </c>
      <c r="C5632" t="s">
        <v>40</v>
      </c>
      <c r="D5632">
        <v>5.9672980000000004</v>
      </c>
      <c r="E5632">
        <v>0.5183236</v>
      </c>
      <c r="F5632" t="s">
        <v>43</v>
      </c>
      <c r="G5632">
        <v>-297.72329999999999</v>
      </c>
      <c r="H5632">
        <v>-0.05</v>
      </c>
      <c r="I5632">
        <v>8.48596199999999</v>
      </c>
      <c r="J5632">
        <v>-333.4948</v>
      </c>
      <c r="K5632">
        <v>1.1096200000000001</v>
      </c>
      <c r="L5632">
        <v>17.611450000000001</v>
      </c>
      <c r="M5632">
        <v>0.99989340000000004</v>
      </c>
      <c r="N5632">
        <v>0</v>
      </c>
      <c r="O5632">
        <v>-1.852633E-3</v>
      </c>
      <c r="P5632">
        <v>0.95689429999999998</v>
      </c>
      <c r="Q5632">
        <v>0.18329019999999999</v>
      </c>
      <c r="R5632">
        <v>-0.22529540000000001</v>
      </c>
      <c r="S5632">
        <v>2.9757389999999999</v>
      </c>
      <c r="T5632">
        <v>-9.6032859999999998E-2</v>
      </c>
      <c r="U5632">
        <v>-0.75576779999999999</v>
      </c>
      <c r="V5632">
        <v>0.22401689999999999</v>
      </c>
      <c r="W5632">
        <v>0.196573</v>
      </c>
      <c r="X5632">
        <v>0.95455520000000005</v>
      </c>
      <c r="Y5632">
        <v>0.24424670000000001</v>
      </c>
      <c r="Z5632">
        <v>-3.819767E-3</v>
      </c>
      <c r="AA5632">
        <v>0.96970559999999995</v>
      </c>
      <c r="AB5632">
        <v>33</v>
      </c>
      <c r="AC5632">
        <v>35.771500000000003</v>
      </c>
      <c r="AD5632">
        <v>-1.1596200000000001</v>
      </c>
      <c r="AE5632">
        <v>-9.1254880000000007</v>
      </c>
      <c r="AF5632">
        <v>9.0502642266152797</v>
      </c>
      <c r="AG5632">
        <v>-1.1596200000000001</v>
      </c>
      <c r="AH5632">
        <v>35.753069784430998</v>
      </c>
      <c r="AI5632">
        <v>91.800924881547999</v>
      </c>
      <c r="AJ5632">
        <v>75.794959558530294</v>
      </c>
      <c r="AK5632">
        <v>36.898970177043502</v>
      </c>
      <c r="AL5632">
        <v>78.663372293923103</v>
      </c>
      <c r="AM5632">
        <v>76.792717878635401</v>
      </c>
      <c r="AN5632">
        <v>1.00000007283082</v>
      </c>
    </row>
    <row r="5633" spans="1:40" x14ac:dyDescent="0.25">
      <c r="A5633" t="str">
        <f>"20190312164139519"</f>
        <v>20190312164139519</v>
      </c>
      <c r="B5633" t="str">
        <f>"1552380099511805"</f>
        <v>1552380099511805</v>
      </c>
      <c r="C5633" t="s">
        <v>40</v>
      </c>
      <c r="D5633">
        <v>5.89323</v>
      </c>
      <c r="E5633">
        <v>0.51815649999999902</v>
      </c>
      <c r="F5633" t="s">
        <v>43</v>
      </c>
      <c r="G5633">
        <v>-297.89479999999998</v>
      </c>
      <c r="H5633">
        <v>-0.05</v>
      </c>
      <c r="I5633">
        <v>8.4866030000000006</v>
      </c>
      <c r="J5633">
        <v>-333.32679999999999</v>
      </c>
      <c r="K5633">
        <v>1.1095870000000001</v>
      </c>
      <c r="L5633">
        <v>17.610529999999901</v>
      </c>
      <c r="M5633">
        <v>0.99989209999999995</v>
      </c>
      <c r="N5633">
        <v>0</v>
      </c>
      <c r="O5633">
        <v>-2.4917060000000002E-3</v>
      </c>
      <c r="P5633">
        <v>0.9562216</v>
      </c>
      <c r="Q5633">
        <v>0.1830976</v>
      </c>
      <c r="R5633">
        <v>-0.2282884</v>
      </c>
      <c r="S5633">
        <v>2.9741819999999999</v>
      </c>
      <c r="T5633">
        <v>-9.6879599999999996E-2</v>
      </c>
      <c r="U5633">
        <v>-0.76232909999999998</v>
      </c>
      <c r="V5633">
        <v>0.2264109</v>
      </c>
      <c r="W5633">
        <v>0.19635230000000001</v>
      </c>
      <c r="X5633">
        <v>0.95403559999999998</v>
      </c>
      <c r="Y5633">
        <v>0.24575350000000001</v>
      </c>
      <c r="Z5633">
        <v>-3.8580149999999998E-3</v>
      </c>
      <c r="AA5633">
        <v>0.96932459999999998</v>
      </c>
      <c r="AB5633">
        <v>33</v>
      </c>
      <c r="AC5633">
        <v>35.432000000000002</v>
      </c>
      <c r="AD5633">
        <v>-1.1595869999999999</v>
      </c>
      <c r="AE5633">
        <v>-9.1239269999999895</v>
      </c>
      <c r="AF5633">
        <v>9.0265365034919292</v>
      </c>
      <c r="AG5633">
        <v>-1.1595869999999999</v>
      </c>
      <c r="AH5633">
        <v>35.419049523178799</v>
      </c>
      <c r="AI5633">
        <v>91.817101325274905</v>
      </c>
      <c r="AJ5633">
        <v>75.702530640124806</v>
      </c>
      <c r="AK5633">
        <v>36.569551164662002</v>
      </c>
      <c r="AL5633">
        <v>78.676268244125495</v>
      </c>
      <c r="AM5633">
        <v>76.649591629461497</v>
      </c>
      <c r="AN5633">
        <v>1.0000000237107201</v>
      </c>
    </row>
    <row r="5634" spans="1:40" x14ac:dyDescent="0.25">
      <c r="A5634" t="str">
        <f>"20190312164139531"</f>
        <v>20190312164139531</v>
      </c>
      <c r="B5634" t="str">
        <f>"1552380099521565"</f>
        <v>1552380099521565</v>
      </c>
      <c r="C5634" t="s">
        <v>40</v>
      </c>
      <c r="D5634">
        <v>6.6054130000000004</v>
      </c>
      <c r="E5634">
        <v>0.51800040000000003</v>
      </c>
      <c r="F5634" t="s">
        <v>43</v>
      </c>
      <c r="G5634">
        <v>-298.4101</v>
      </c>
      <c r="H5634">
        <v>-0.05</v>
      </c>
      <c r="I5634">
        <v>8.5790860000000002</v>
      </c>
      <c r="J5634">
        <v>-333.15260000000001</v>
      </c>
      <c r="K5634">
        <v>1.1095489999999999</v>
      </c>
      <c r="L5634">
        <v>17.60941</v>
      </c>
      <c r="M5634">
        <v>0.9998901</v>
      </c>
      <c r="N5634">
        <v>0</v>
      </c>
      <c r="O5634">
        <v>-3.1830819999999998E-3</v>
      </c>
      <c r="P5634">
        <v>0.95547950000000004</v>
      </c>
      <c r="Q5634">
        <v>0.18316270000000001</v>
      </c>
      <c r="R5634">
        <v>-0.23132369999999999</v>
      </c>
      <c r="S5634">
        <v>2.9727480000000002</v>
      </c>
      <c r="T5634">
        <v>-9.8725080000000007E-2</v>
      </c>
      <c r="U5634">
        <v>-0.76892090000000002</v>
      </c>
      <c r="V5634">
        <v>0.2288007</v>
      </c>
      <c r="W5634">
        <v>0.196385</v>
      </c>
      <c r="X5634">
        <v>0.95345849999999999</v>
      </c>
      <c r="Y5634">
        <v>0.24720610000000001</v>
      </c>
      <c r="Z5634">
        <v>-3.9333780000000004E-3</v>
      </c>
      <c r="AA5634">
        <v>0.96895489999999995</v>
      </c>
      <c r="AB5634">
        <v>33</v>
      </c>
      <c r="AC5634">
        <v>34.7425</v>
      </c>
      <c r="AD5634">
        <v>-1.1595489999999999</v>
      </c>
      <c r="AE5634">
        <v>-9.0303240000000002</v>
      </c>
      <c r="AF5634">
        <v>8.9103810458636392</v>
      </c>
      <c r="AG5634">
        <v>-1.1595489999999999</v>
      </c>
      <c r="AH5634">
        <v>34.734827805086503</v>
      </c>
      <c r="AI5634">
        <v>91.852065357434498</v>
      </c>
      <c r="AJ5634">
        <v>75.612391414222699</v>
      </c>
      <c r="AK5634">
        <v>35.878234445341697</v>
      </c>
      <c r="AL5634">
        <v>78.674356851978402</v>
      </c>
      <c r="AM5634">
        <v>76.505933822605499</v>
      </c>
      <c r="AN5634">
        <v>0.99999996988386897</v>
      </c>
    </row>
    <row r="5635" spans="1:40" x14ac:dyDescent="0.25">
      <c r="A5635" t="str">
        <f>"20190312164139543"</f>
        <v>20190312164139543</v>
      </c>
      <c r="B5635" t="str">
        <f>"1552380099531833"</f>
        <v>1552380099531833</v>
      </c>
      <c r="C5635" t="s">
        <v>40</v>
      </c>
      <c r="D5635">
        <v>5.8302800000000001</v>
      </c>
      <c r="E5635">
        <v>0.51800040000000003</v>
      </c>
      <c r="F5635" t="s">
        <v>43</v>
      </c>
      <c r="G5635">
        <v>-298.63929999999999</v>
      </c>
      <c r="H5635">
        <v>-0.05</v>
      </c>
      <c r="I5635">
        <v>8.6022189999999998</v>
      </c>
      <c r="J5635">
        <v>-332.99509999999998</v>
      </c>
      <c r="K5635">
        <v>1.1095159999999999</v>
      </c>
      <c r="L5635">
        <v>17.608280000000001</v>
      </c>
      <c r="M5635">
        <v>0.999888</v>
      </c>
      <c r="N5635">
        <v>0</v>
      </c>
      <c r="O5635">
        <v>-3.8232850000000001E-3</v>
      </c>
      <c r="P5635">
        <v>0.95481490000000002</v>
      </c>
      <c r="Q5635">
        <v>0.1830244</v>
      </c>
      <c r="R5635">
        <v>-0.23416000000000001</v>
      </c>
      <c r="S5635">
        <v>2.971222</v>
      </c>
      <c r="T5635">
        <v>-9.9824430000000006E-2</v>
      </c>
      <c r="U5635">
        <v>-0.77542109999999997</v>
      </c>
      <c r="V5635">
        <v>0.23104</v>
      </c>
      <c r="W5635">
        <v>0.19621769999999999</v>
      </c>
      <c r="X5635">
        <v>0.95295289999999999</v>
      </c>
      <c r="Y5635">
        <v>0.24868850000000001</v>
      </c>
      <c r="Z5635">
        <v>-3.9813950000000004E-3</v>
      </c>
      <c r="AA5635">
        <v>0.96857539999999998</v>
      </c>
      <c r="AB5635">
        <v>33</v>
      </c>
      <c r="AC5635">
        <v>34.355799999999903</v>
      </c>
      <c r="AD5635">
        <v>-1.159516</v>
      </c>
      <c r="AE5635">
        <v>-9.0060610000000008</v>
      </c>
      <c r="AF5635">
        <v>8.8651805687727308</v>
      </c>
      <c r="AG5635">
        <v>-1.159516</v>
      </c>
      <c r="AH5635">
        <v>34.353370140718802</v>
      </c>
      <c r="AI5635">
        <v>91.8718707817427</v>
      </c>
      <c r="AJ5635">
        <v>75.530026886875802</v>
      </c>
      <c r="AK5635">
        <v>35.497745617101202</v>
      </c>
      <c r="AL5635">
        <v>78.684133539085494</v>
      </c>
      <c r="AM5635">
        <v>76.371806077755593</v>
      </c>
      <c r="AN5635">
        <v>1.00000004850584</v>
      </c>
    </row>
    <row r="5636" spans="1:40" x14ac:dyDescent="0.25">
      <c r="A5636" t="str">
        <f>"20190312164139553"</f>
        <v>20190312164139553</v>
      </c>
      <c r="B5636" t="str">
        <f>"1552380099541592"</f>
        <v>1552380099541592</v>
      </c>
      <c r="C5636" t="s">
        <v>40</v>
      </c>
      <c r="D5636">
        <v>5.8181859999999999</v>
      </c>
      <c r="E5636">
        <v>0.51672739999999995</v>
      </c>
      <c r="F5636" t="s">
        <v>43</v>
      </c>
      <c r="G5636">
        <v>-298.69600000000003</v>
      </c>
      <c r="H5636">
        <v>-0.05</v>
      </c>
      <c r="I5636">
        <v>8.5661620000000003</v>
      </c>
      <c r="J5636">
        <v>-332.84210000000002</v>
      </c>
      <c r="K5636">
        <v>1.1094820000000001</v>
      </c>
      <c r="L5636">
        <v>17.607060000000001</v>
      </c>
      <c r="M5636">
        <v>0.99988540000000004</v>
      </c>
      <c r="N5636">
        <v>0</v>
      </c>
      <c r="O5636">
        <v>-4.461947E-3</v>
      </c>
      <c r="P5636">
        <v>0.95408139999999997</v>
      </c>
      <c r="Q5636">
        <v>0.18310679999999999</v>
      </c>
      <c r="R5636">
        <v>-0.237067</v>
      </c>
      <c r="S5636">
        <v>2.9692690000000002</v>
      </c>
      <c r="T5636">
        <v>-0.1003792</v>
      </c>
      <c r="U5636">
        <v>-0.78277589999999997</v>
      </c>
      <c r="V5636">
        <v>0.23335310000000001</v>
      </c>
      <c r="W5636">
        <v>0.19626859999999999</v>
      </c>
      <c r="X5636">
        <v>0.95237859999999996</v>
      </c>
      <c r="Y5636">
        <v>0.25046750000000001</v>
      </c>
      <c r="Z5636">
        <v>-4.01316E-3</v>
      </c>
      <c r="AA5636">
        <v>0.96811670000000005</v>
      </c>
      <c r="AB5636">
        <v>33</v>
      </c>
      <c r="AC5636">
        <v>34.146099999999997</v>
      </c>
      <c r="AD5636">
        <v>-1.1594819999999999</v>
      </c>
      <c r="AE5636">
        <v>-9.0408980000000003</v>
      </c>
      <c r="AF5636">
        <v>8.8788669119199994</v>
      </c>
      <c r="AG5636">
        <v>-1.1594819999999999</v>
      </c>
      <c r="AH5636">
        <v>34.149308144673903</v>
      </c>
      <c r="AI5636">
        <v>91.882105908877094</v>
      </c>
      <c r="AJ5636">
        <v>75.425710261726394</v>
      </c>
      <c r="AK5636">
        <v>35.303738086891101</v>
      </c>
      <c r="AL5636">
        <v>78.681158969593696</v>
      </c>
      <c r="AM5636">
        <v>76.232544772494094</v>
      </c>
      <c r="AN5636">
        <v>1.0000000151817601</v>
      </c>
    </row>
    <row r="5637" spans="1:40" x14ac:dyDescent="0.25">
      <c r="A5637" t="str">
        <f>"20190312164139564"</f>
        <v>20190312164139564</v>
      </c>
      <c r="B5637" t="str">
        <f>"1552380099551353"</f>
        <v>1552380099551353</v>
      </c>
      <c r="C5637" t="s">
        <v>40</v>
      </c>
      <c r="D5637">
        <v>5.8396179999999998</v>
      </c>
      <c r="E5637">
        <v>0.51672739999999995</v>
      </c>
      <c r="F5637" t="s">
        <v>43</v>
      </c>
      <c r="G5637">
        <v>-318.89359999999999</v>
      </c>
      <c r="H5637">
        <v>-0.05</v>
      </c>
      <c r="I5637">
        <v>14.046950000000001</v>
      </c>
      <c r="J5637">
        <v>-332.68790000000001</v>
      </c>
      <c r="K5637">
        <v>1.1094459999999999</v>
      </c>
      <c r="L5637">
        <v>17.605740000000001</v>
      </c>
      <c r="M5637">
        <v>0.9998821</v>
      </c>
      <c r="N5637">
        <v>0</v>
      </c>
      <c r="O5637">
        <v>-5.1247139999999998E-3</v>
      </c>
      <c r="P5637">
        <v>0.95335499999999995</v>
      </c>
      <c r="Q5637">
        <v>0.18289839999999999</v>
      </c>
      <c r="R5637">
        <v>-0.24013090000000001</v>
      </c>
      <c r="S5637">
        <v>3.001862</v>
      </c>
      <c r="T5637">
        <v>-0.24953320000000001</v>
      </c>
      <c r="U5637">
        <v>-0.76617429999999997</v>
      </c>
      <c r="V5637">
        <v>0.23580039999999999</v>
      </c>
      <c r="W5637">
        <v>0.19602829999999999</v>
      </c>
      <c r="X5637">
        <v>0.95182509999999998</v>
      </c>
      <c r="Y5637">
        <v>0.24157020000000001</v>
      </c>
      <c r="Z5637">
        <v>-9.4472099999999993E-3</v>
      </c>
      <c r="AA5637">
        <v>0.97033740000000002</v>
      </c>
      <c r="AB5637">
        <v>33</v>
      </c>
      <c r="AC5637">
        <v>13.7943</v>
      </c>
      <c r="AD5637">
        <v>-1.159446</v>
      </c>
      <c r="AE5637">
        <v>-3.5587900000000001</v>
      </c>
      <c r="AF5637">
        <v>3.4650914230963701</v>
      </c>
      <c r="AG5637">
        <v>-1.159446</v>
      </c>
      <c r="AH5637">
        <v>13.7214682213888</v>
      </c>
      <c r="AI5637">
        <v>94.683596856925604</v>
      </c>
      <c r="AJ5637">
        <v>75.827371059502894</v>
      </c>
      <c r="AK5637">
        <v>14.1996430852299</v>
      </c>
      <c r="AL5637">
        <v>78.695199406975803</v>
      </c>
      <c r="AM5637">
        <v>76.085962094049506</v>
      </c>
      <c r="AN5637">
        <v>0.99999997201552904</v>
      </c>
    </row>
    <row r="5638" spans="1:40" x14ac:dyDescent="0.25">
      <c r="A5638" t="str">
        <f>"20190312164139574"</f>
        <v>20190312164139574</v>
      </c>
      <c r="B5638" t="str">
        <f>"1552380099562089"</f>
        <v>1552380099562089</v>
      </c>
      <c r="C5638" t="s">
        <v>40</v>
      </c>
      <c r="D5638">
        <v>6.1022740000000004</v>
      </c>
      <c r="E5638">
        <v>0.50870340000000003</v>
      </c>
      <c r="F5638" t="s">
        <v>43</v>
      </c>
      <c r="G5638">
        <v>-318.78750000000002</v>
      </c>
      <c r="H5638">
        <v>-0.05</v>
      </c>
      <c r="I5638">
        <v>14.017620000000001</v>
      </c>
      <c r="J5638">
        <v>-332.5335</v>
      </c>
      <c r="K5638">
        <v>1.1094139999999999</v>
      </c>
      <c r="L5638">
        <v>17.604310000000002</v>
      </c>
      <c r="M5638">
        <v>0.9998785</v>
      </c>
      <c r="N5638">
        <v>0</v>
      </c>
      <c r="O5638">
        <v>-5.8038300000000003E-3</v>
      </c>
      <c r="P5638">
        <v>0.95262270000000004</v>
      </c>
      <c r="Q5638">
        <v>0.1828833</v>
      </c>
      <c r="R5638">
        <v>-0.243031</v>
      </c>
      <c r="S5638">
        <v>2.9997560000000001</v>
      </c>
      <c r="T5638">
        <v>-0.25021139999999997</v>
      </c>
      <c r="U5638">
        <v>-0.77432250000000002</v>
      </c>
      <c r="V5638">
        <v>0.23807020000000001</v>
      </c>
      <c r="W5638">
        <v>0.19598109999999999</v>
      </c>
      <c r="X5638">
        <v>0.9512697</v>
      </c>
      <c r="Y5638">
        <v>0.2435379</v>
      </c>
      <c r="Z5638">
        <v>-9.5010719999999993E-3</v>
      </c>
      <c r="AA5638">
        <v>0.96984479999999995</v>
      </c>
      <c r="AB5638">
        <v>32</v>
      </c>
      <c r="AC5638">
        <v>13.745999999999899</v>
      </c>
      <c r="AD5638">
        <v>-1.1594139999999999</v>
      </c>
      <c r="AE5638">
        <v>-3.5866899999999999</v>
      </c>
      <c r="AF5638">
        <v>3.4836383246250802</v>
      </c>
      <c r="AG5638">
        <v>-1.1594139999999999</v>
      </c>
      <c r="AH5638">
        <v>13.675498809705999</v>
      </c>
      <c r="AI5638">
        <v>94.696683396493</v>
      </c>
      <c r="AJ5638">
        <v>75.708665543243299</v>
      </c>
      <c r="AK5638">
        <v>14.1597755806532</v>
      </c>
      <c r="AL5638">
        <v>78.697957890697296</v>
      </c>
      <c r="AM5638">
        <v>75.949428155489301</v>
      </c>
      <c r="AN5638">
        <v>1.00000002691166</v>
      </c>
    </row>
    <row r="5639" spans="1:40" x14ac:dyDescent="0.25">
      <c r="A5639" t="str">
        <f>"20190312164139586"</f>
        <v>20190312164139586</v>
      </c>
      <c r="B5639" t="str">
        <f>"1552380099581609"</f>
        <v>1552380099581609</v>
      </c>
      <c r="C5639" t="s">
        <v>40</v>
      </c>
      <c r="D5639">
        <v>5.8388140000000002</v>
      </c>
      <c r="E5639">
        <v>0.50865839999999996</v>
      </c>
      <c r="F5639" t="s">
        <v>43</v>
      </c>
      <c r="G5639">
        <v>-310.31920000000002</v>
      </c>
      <c r="H5639">
        <v>-0.05</v>
      </c>
      <c r="I5639">
        <v>12.19774</v>
      </c>
      <c r="J5639">
        <v>-332.36329999999998</v>
      </c>
      <c r="K5639">
        <v>1.109375</v>
      </c>
      <c r="L5639">
        <v>17.602509999999999</v>
      </c>
      <c r="M5639">
        <v>0.99987369999999998</v>
      </c>
      <c r="N5639">
        <v>0</v>
      </c>
      <c r="O5639">
        <v>-6.5818650000000001E-3</v>
      </c>
      <c r="P5639">
        <v>0.95172409999999996</v>
      </c>
      <c r="Q5639">
        <v>0.18326219999999999</v>
      </c>
      <c r="R5639">
        <v>-0.2462443</v>
      </c>
      <c r="S5639">
        <v>2.9933169999999998</v>
      </c>
      <c r="T5639">
        <v>-0.15622739999999999</v>
      </c>
      <c r="U5639">
        <v>-0.72851560000000004</v>
      </c>
      <c r="V5639">
        <v>0.24056440000000001</v>
      </c>
      <c r="W5639">
        <v>0.19632150000000001</v>
      </c>
      <c r="X5639">
        <v>0.95057179999999997</v>
      </c>
      <c r="Y5639">
        <v>0.22978999999999999</v>
      </c>
      <c r="Z5639">
        <v>-5.5681680000000001E-3</v>
      </c>
      <c r="AA5639">
        <v>0.97322430000000004</v>
      </c>
      <c r="AB5639">
        <v>32</v>
      </c>
      <c r="AC5639">
        <v>22.044099999999901</v>
      </c>
      <c r="AD5639">
        <v>-1.159375</v>
      </c>
      <c r="AE5639">
        <v>-5.4047700000000001</v>
      </c>
      <c r="AF5639">
        <v>5.2458588249806803</v>
      </c>
      <c r="AG5639">
        <v>-1.159375</v>
      </c>
      <c r="AH5639">
        <v>22.0217400094017</v>
      </c>
      <c r="AI5639">
        <v>92.931774093452603</v>
      </c>
      <c r="AJ5639">
        <v>76.601131727905894</v>
      </c>
      <c r="AK5639">
        <v>22.667602834087599</v>
      </c>
      <c r="AL5639">
        <v>78.678068335748605</v>
      </c>
      <c r="AM5639">
        <v>75.798144429077396</v>
      </c>
      <c r="AN5639">
        <v>1.0000000544324199</v>
      </c>
    </row>
    <row r="5640" spans="1:40" x14ac:dyDescent="0.25">
      <c r="A5640" t="str">
        <f>"20190312164139599"</f>
        <v>20190312164139599</v>
      </c>
      <c r="B5640" t="str">
        <f>"1552380099591368"</f>
        <v>1552380099591368</v>
      </c>
      <c r="C5640" t="s">
        <v>40</v>
      </c>
      <c r="D5640">
        <v>5.8433149999999996</v>
      </c>
      <c r="E5640">
        <v>0.50841959999999997</v>
      </c>
      <c r="F5640" t="s">
        <v>43</v>
      </c>
      <c r="G5640">
        <v>-309.68270000000001</v>
      </c>
      <c r="H5640">
        <v>-0.05</v>
      </c>
      <c r="I5640">
        <v>12.006819999999999</v>
      </c>
      <c r="J5640">
        <v>-332.18509999999998</v>
      </c>
      <c r="K5640">
        <v>1.109332</v>
      </c>
      <c r="L5640">
        <v>17.600560000000002</v>
      </c>
      <c r="M5640">
        <v>0.99986799999999998</v>
      </c>
      <c r="N5640">
        <v>0</v>
      </c>
      <c r="O5640">
        <v>-7.4118069999999899E-3</v>
      </c>
      <c r="P5640">
        <v>0.9508799</v>
      </c>
      <c r="Q5640">
        <v>0.18349679999999999</v>
      </c>
      <c r="R5640">
        <v>-0.2493126</v>
      </c>
      <c r="S5640">
        <v>2.9906920000000001</v>
      </c>
      <c r="T5640">
        <v>-0.1528764</v>
      </c>
      <c r="U5640">
        <v>-0.73785400000000001</v>
      </c>
      <c r="V5640">
        <v>0.2428652</v>
      </c>
      <c r="W5640">
        <v>0.19651779999999999</v>
      </c>
      <c r="X5640">
        <v>0.94994590000000001</v>
      </c>
      <c r="Y5640">
        <v>0.2320547</v>
      </c>
      <c r="Z5640">
        <v>-5.4667650000000002E-3</v>
      </c>
      <c r="AA5640">
        <v>0.97268739999999998</v>
      </c>
      <c r="AB5640">
        <v>32</v>
      </c>
      <c r="AC5640">
        <v>22.502399999999898</v>
      </c>
      <c r="AD5640">
        <v>-1.159332</v>
      </c>
      <c r="AE5640">
        <v>-5.5937400000000004</v>
      </c>
      <c r="AF5640">
        <v>5.4132530023040104</v>
      </c>
      <c r="AG5640">
        <v>-1.159332</v>
      </c>
      <c r="AH5640">
        <v>22.487031148567301</v>
      </c>
      <c r="AI5640">
        <v>92.869475238861398</v>
      </c>
      <c r="AJ5640">
        <v>76.464845752821105</v>
      </c>
      <c r="AK5640">
        <v>23.158452638935401</v>
      </c>
      <c r="AL5640">
        <v>78.666596894806304</v>
      </c>
      <c r="AM5640">
        <v>75.658832362404596</v>
      </c>
      <c r="AN5640">
        <v>0.99999998200734397</v>
      </c>
    </row>
    <row r="5641" spans="1:40" x14ac:dyDescent="0.25">
      <c r="A5641" t="str">
        <f>"20190312164139610"</f>
        <v>20190312164139610</v>
      </c>
      <c r="B5641" t="str">
        <f>"1552380099602104"</f>
        <v>1552380099602104</v>
      </c>
      <c r="C5641" t="s">
        <v>40</v>
      </c>
      <c r="D5641">
        <v>5.9605079999999999</v>
      </c>
      <c r="E5641">
        <v>0.50847690000000001</v>
      </c>
      <c r="F5641" t="s">
        <v>43</v>
      </c>
      <c r="G5641">
        <v>-309.43889999999999</v>
      </c>
      <c r="H5641">
        <v>-0.05</v>
      </c>
      <c r="I5641">
        <v>11.935029999999999</v>
      </c>
      <c r="J5641">
        <v>-332.00220000000002</v>
      </c>
      <c r="K5641">
        <v>1.1092869999999999</v>
      </c>
      <c r="L5641">
        <v>17.598299999999998</v>
      </c>
      <c r="M5641">
        <v>0.99986079999999999</v>
      </c>
      <c r="N5641">
        <v>0</v>
      </c>
      <c r="O5641">
        <v>-8.3096639999999996E-3</v>
      </c>
      <c r="P5641">
        <v>0.94980089999999995</v>
      </c>
      <c r="Q5641">
        <v>0.1837521</v>
      </c>
      <c r="R5641">
        <v>-0.2532064</v>
      </c>
      <c r="S5641">
        <v>2.9891969999999999</v>
      </c>
      <c r="T5641">
        <v>-0.15235399999999999</v>
      </c>
      <c r="U5641">
        <v>-0.74453740000000002</v>
      </c>
      <c r="V5641">
        <v>0.24593229999999999</v>
      </c>
      <c r="W5641">
        <v>0.19672690000000001</v>
      </c>
      <c r="X5641">
        <v>0.94911319999999999</v>
      </c>
      <c r="Y5641">
        <v>0.2333443</v>
      </c>
      <c r="Z5641">
        <v>-5.4366340000000001E-3</v>
      </c>
      <c r="AA5641">
        <v>0.97237899999999999</v>
      </c>
      <c r="AB5641">
        <v>32</v>
      </c>
      <c r="AC5641">
        <v>22.563300000000002</v>
      </c>
      <c r="AD5641">
        <v>-1.159287</v>
      </c>
      <c r="AE5641">
        <v>-5.66326999999999</v>
      </c>
      <c r="AF5641">
        <v>5.4619971178959501</v>
      </c>
      <c r="AG5641">
        <v>-1.159287</v>
      </c>
      <c r="AH5641">
        <v>22.553576397745601</v>
      </c>
      <c r="AI5641">
        <v>92.8599665954317</v>
      </c>
      <c r="AJ5641">
        <v>76.386290390736207</v>
      </c>
      <c r="AK5641">
        <v>23.234482288039501</v>
      </c>
      <c r="AL5641">
        <v>78.654378234693795</v>
      </c>
      <c r="AM5641">
        <v>75.473129791335097</v>
      </c>
      <c r="AN5641">
        <v>1.0000000178905599</v>
      </c>
    </row>
    <row r="5642" spans="1:40" x14ac:dyDescent="0.25">
      <c r="A5642" t="str">
        <f>"20190312164139623"</f>
        <v>20190312164139623</v>
      </c>
      <c r="B5642" t="str">
        <f>"1552380099611866"</f>
        <v>1552380099611866</v>
      </c>
      <c r="C5642" t="s">
        <v>40</v>
      </c>
      <c r="D5642">
        <v>5.8955299999999999</v>
      </c>
      <c r="E5642">
        <v>0.50833909999999904</v>
      </c>
      <c r="F5642" t="s">
        <v>43</v>
      </c>
      <c r="G5642">
        <v>-309.37479999999999</v>
      </c>
      <c r="H5642">
        <v>-0.05</v>
      </c>
      <c r="I5642">
        <v>11.87199</v>
      </c>
      <c r="J5642">
        <v>-331.83240000000001</v>
      </c>
      <c r="K5642">
        <v>1.1092409999999999</v>
      </c>
      <c r="L5642">
        <v>17.596070000000001</v>
      </c>
      <c r="M5642">
        <v>0.99985329999999994</v>
      </c>
      <c r="N5642">
        <v>0</v>
      </c>
      <c r="O5642">
        <v>-9.1613440000000001E-3</v>
      </c>
      <c r="P5642">
        <v>0.94880240000000005</v>
      </c>
      <c r="Q5642">
        <v>0.18378320000000001</v>
      </c>
      <c r="R5642">
        <v>-0.25690069999999998</v>
      </c>
      <c r="S5642">
        <v>2.9866329999999999</v>
      </c>
      <c r="T5642">
        <v>-0.15301699999999999</v>
      </c>
      <c r="U5642">
        <v>-0.75582890000000003</v>
      </c>
      <c r="V5642">
        <v>0.2488428</v>
      </c>
      <c r="W5642">
        <v>0.19671369999999999</v>
      </c>
      <c r="X5642">
        <v>0.94835700000000001</v>
      </c>
      <c r="Y5642">
        <v>0.23616400000000001</v>
      </c>
      <c r="Z5642">
        <v>-5.4904890000000003E-3</v>
      </c>
      <c r="AA5642">
        <v>0.9716977</v>
      </c>
      <c r="AB5642">
        <v>32</v>
      </c>
      <c r="AC5642">
        <v>22.457599999999999</v>
      </c>
      <c r="AD5642">
        <v>-1.159241</v>
      </c>
      <c r="AE5642">
        <v>-5.7240799999999998</v>
      </c>
      <c r="AF5642">
        <v>5.5043046832597096</v>
      </c>
      <c r="AG5642">
        <v>-1.159241</v>
      </c>
      <c r="AH5642">
        <v>22.452926166397599</v>
      </c>
      <c r="AI5642">
        <v>92.870693453336401</v>
      </c>
      <c r="AJ5642">
        <v>76.225664508757205</v>
      </c>
      <c r="AK5642">
        <v>23.1468162643577</v>
      </c>
      <c r="AL5642">
        <v>78.655149511638498</v>
      </c>
      <c r="AM5642">
        <v>75.297399942159103</v>
      </c>
      <c r="AN5642">
        <v>1.00000000916426</v>
      </c>
    </row>
    <row r="5643" spans="1:40" x14ac:dyDescent="0.25">
      <c r="A5643" t="str">
        <f>"20190312164139635"</f>
        <v>20190312164139635</v>
      </c>
      <c r="B5643" t="str">
        <f>"1552380099631892"</f>
        <v>1552380099631892</v>
      </c>
      <c r="C5643" t="s">
        <v>40</v>
      </c>
      <c r="D5643">
        <v>5.8406630000000002</v>
      </c>
      <c r="E5643">
        <v>0.50817670000000004</v>
      </c>
      <c r="F5643" t="s">
        <v>43</v>
      </c>
      <c r="G5643">
        <v>-309.15800000000002</v>
      </c>
      <c r="H5643">
        <v>-0.05</v>
      </c>
      <c r="I5643">
        <v>11.78876</v>
      </c>
      <c r="J5643">
        <v>-331.64980000000003</v>
      </c>
      <c r="K5643">
        <v>1.109189</v>
      </c>
      <c r="L5643">
        <v>17.59348</v>
      </c>
      <c r="M5643">
        <v>0.99984419999999996</v>
      </c>
      <c r="N5643">
        <v>0</v>
      </c>
      <c r="O5643">
        <v>-1.0104180000000001E-2</v>
      </c>
      <c r="P5643">
        <v>0.94777319999999998</v>
      </c>
      <c r="Q5643">
        <v>0.1834104</v>
      </c>
      <c r="R5643">
        <v>-0.26093440000000001</v>
      </c>
      <c r="S5643">
        <v>2.984467</v>
      </c>
      <c r="T5643">
        <v>-0.15258250000000001</v>
      </c>
      <c r="U5643">
        <v>-0.76437379999999999</v>
      </c>
      <c r="V5643">
        <v>0.25200820000000002</v>
      </c>
      <c r="W5643">
        <v>0.19629340000000001</v>
      </c>
      <c r="X5643">
        <v>0.94760789999999995</v>
      </c>
      <c r="Y5643">
        <v>0.23802799999999999</v>
      </c>
      <c r="Z5643">
        <v>-5.4763490000000001E-3</v>
      </c>
      <c r="AA5643">
        <v>0.97124279999999996</v>
      </c>
      <c r="AB5643">
        <v>32</v>
      </c>
      <c r="AC5643">
        <v>22.491800000000001</v>
      </c>
      <c r="AD5643">
        <v>-1.159189</v>
      </c>
      <c r="AE5643">
        <v>-5.8047199999999997</v>
      </c>
      <c r="AF5643">
        <v>5.5632842274692802</v>
      </c>
      <c r="AG5643">
        <v>-1.159189</v>
      </c>
      <c r="AH5643">
        <v>22.4932940564271</v>
      </c>
      <c r="AI5643">
        <v>92.863972927044003</v>
      </c>
      <c r="AJ5643">
        <v>76.107784915254499</v>
      </c>
      <c r="AK5643">
        <v>23.200045862933699</v>
      </c>
      <c r="AL5643">
        <v>78.679709464265102</v>
      </c>
      <c r="AM5643">
        <v>75.107384116814501</v>
      </c>
      <c r="AN5643">
        <v>0.999999981946604</v>
      </c>
    </row>
    <row r="5644" spans="1:40" x14ac:dyDescent="0.25">
      <c r="A5644" t="str">
        <f>"20190312164139650"</f>
        <v>20190312164139650</v>
      </c>
      <c r="B5644" t="str">
        <f>"1552380099641653"</f>
        <v>1552380099641653</v>
      </c>
      <c r="C5644" t="s">
        <v>40</v>
      </c>
      <c r="D5644">
        <v>5.8404559999999996</v>
      </c>
      <c r="E5644">
        <v>0.50808690000000001</v>
      </c>
      <c r="F5644" t="s">
        <v>43</v>
      </c>
      <c r="G5644">
        <v>-309.1438</v>
      </c>
      <c r="H5644">
        <v>-0.05</v>
      </c>
      <c r="I5644">
        <v>11.75311</v>
      </c>
      <c r="J5644">
        <v>-331.44639999999998</v>
      </c>
      <c r="K5644">
        <v>1.109135</v>
      </c>
      <c r="L5644">
        <v>17.590299999999999</v>
      </c>
      <c r="M5644">
        <v>0.99983259999999996</v>
      </c>
      <c r="N5644">
        <v>0</v>
      </c>
      <c r="O5644">
        <v>-1.120226E-2</v>
      </c>
      <c r="P5644">
        <v>0.94660460000000002</v>
      </c>
      <c r="Q5644">
        <v>0.18297379999999999</v>
      </c>
      <c r="R5644">
        <v>-0.26544410000000002</v>
      </c>
      <c r="S5644">
        <v>2.981995</v>
      </c>
      <c r="T5644">
        <v>-0.15359010000000001</v>
      </c>
      <c r="U5644">
        <v>-0.77383419999999903</v>
      </c>
      <c r="V5644">
        <v>0.25550850000000003</v>
      </c>
      <c r="W5644">
        <v>0.195802</v>
      </c>
      <c r="X5644">
        <v>0.9467719</v>
      </c>
      <c r="Y5644">
        <v>0.24003849999999999</v>
      </c>
      <c r="Z5644">
        <v>-5.5100749999999997E-3</v>
      </c>
      <c r="AA5644">
        <v>0.97074769999999999</v>
      </c>
      <c r="AB5644">
        <v>32</v>
      </c>
      <c r="AC5644">
        <v>22.302599999999899</v>
      </c>
      <c r="AD5644">
        <v>-1.159135</v>
      </c>
      <c r="AE5644">
        <v>-5.8371899999999899</v>
      </c>
      <c r="AF5644">
        <v>5.5728696056069298</v>
      </c>
      <c r="AG5644">
        <v>-1.159135</v>
      </c>
      <c r="AH5644">
        <v>22.3101960102269</v>
      </c>
      <c r="AI5644">
        <v>92.885644346636795</v>
      </c>
      <c r="AJ5644">
        <v>75.975067548244496</v>
      </c>
      <c r="AK5644">
        <v>23.0248847033827</v>
      </c>
      <c r="AL5644">
        <v>78.708422269965695</v>
      </c>
      <c r="AM5644">
        <v>74.897188792582099</v>
      </c>
      <c r="AN5644">
        <v>1.0000000237029201</v>
      </c>
    </row>
    <row r="5645" spans="1:40" x14ac:dyDescent="0.25">
      <c r="A5645" t="str">
        <f>"20190312164139664"</f>
        <v>20190312164139664</v>
      </c>
      <c r="B5645" t="str">
        <f>"1552380099651413"</f>
        <v>1552380099651413</v>
      </c>
      <c r="C5645" t="s">
        <v>40</v>
      </c>
      <c r="D5645">
        <v>5.9008609999999999</v>
      </c>
      <c r="E5645">
        <v>0.50821019999999995</v>
      </c>
      <c r="F5645" t="s">
        <v>43</v>
      </c>
      <c r="G5645">
        <v>-309.29500000000002</v>
      </c>
      <c r="H5645">
        <v>-0.05</v>
      </c>
      <c r="I5645">
        <v>11.75235</v>
      </c>
      <c r="J5645">
        <v>-331.23840000000001</v>
      </c>
      <c r="K5645">
        <v>1.1090660000000001</v>
      </c>
      <c r="L5645">
        <v>17.586790000000001</v>
      </c>
      <c r="M5645">
        <v>0.99981900000000001</v>
      </c>
      <c r="N5645">
        <v>0</v>
      </c>
      <c r="O5645">
        <v>-1.236338E-2</v>
      </c>
      <c r="P5645">
        <v>0.94450199999999995</v>
      </c>
      <c r="Q5645">
        <v>0.1824307</v>
      </c>
      <c r="R5645">
        <v>-0.27319470000000001</v>
      </c>
      <c r="S5645">
        <v>2.979187</v>
      </c>
      <c r="T5645">
        <v>-0.15589449999999999</v>
      </c>
      <c r="U5645">
        <v>-0.78515630000000003</v>
      </c>
      <c r="V5645">
        <v>0.26220470000000001</v>
      </c>
      <c r="W5645">
        <v>0.19517580000000001</v>
      </c>
      <c r="X5645">
        <v>0.94506880000000004</v>
      </c>
      <c r="Y5645">
        <v>0.24257509999999999</v>
      </c>
      <c r="Z5645">
        <v>-5.6006500000000004E-3</v>
      </c>
      <c r="AA5645">
        <v>0.97011639999999999</v>
      </c>
      <c r="AB5645">
        <v>32</v>
      </c>
      <c r="AC5645">
        <v>21.9434</v>
      </c>
      <c r="AD5645">
        <v>-1.1590659999999999</v>
      </c>
      <c r="AE5645">
        <v>-5.8344399999999998</v>
      </c>
      <c r="AF5645">
        <v>5.5482134353429204</v>
      </c>
      <c r="AG5645">
        <v>-1.1590659999999999</v>
      </c>
      <c r="AH5645">
        <v>21.956648632974701</v>
      </c>
      <c r="AI5645">
        <v>92.929849957740998</v>
      </c>
      <c r="AJ5645">
        <v>75.818818863790497</v>
      </c>
      <c r="AK5645">
        <v>22.6764310575625</v>
      </c>
      <c r="AL5645">
        <v>78.745006106430594</v>
      </c>
      <c r="AM5645">
        <v>74.493586584801605</v>
      </c>
      <c r="AN5645">
        <v>0.99999996717058404</v>
      </c>
    </row>
    <row r="5646" spans="1:40" x14ac:dyDescent="0.25">
      <c r="A5646" t="str">
        <f>"20190312164139675"</f>
        <v>20190312164139675</v>
      </c>
      <c r="B5646" t="str">
        <f>"1552380099671908"</f>
        <v>1552380099671908</v>
      </c>
      <c r="C5646" t="s">
        <v>40</v>
      </c>
      <c r="D5646">
        <v>5.9084190000000003</v>
      </c>
      <c r="E5646">
        <v>0.51430429999999905</v>
      </c>
      <c r="F5646" t="s">
        <v>43</v>
      </c>
      <c r="G5646">
        <v>-309.38830000000002</v>
      </c>
      <c r="H5646">
        <v>-0.05</v>
      </c>
      <c r="I5646">
        <v>11.663349999999999</v>
      </c>
      <c r="J5646">
        <v>-331.06400000000002</v>
      </c>
      <c r="K5646">
        <v>1.1090169999999999</v>
      </c>
      <c r="L5646">
        <v>17.583679999999902</v>
      </c>
      <c r="M5646">
        <v>0.99980599999999997</v>
      </c>
      <c r="N5646">
        <v>0</v>
      </c>
      <c r="O5646">
        <v>-1.3369290000000001E-2</v>
      </c>
      <c r="P5646">
        <v>0.94320320000000002</v>
      </c>
      <c r="Q5646">
        <v>0.18199570000000001</v>
      </c>
      <c r="R5646">
        <v>-0.27793020000000002</v>
      </c>
      <c r="S5646">
        <v>2.9735719999999999</v>
      </c>
      <c r="T5646">
        <v>-0.157737299999999</v>
      </c>
      <c r="U5646">
        <v>-0.8061218</v>
      </c>
      <c r="V5646">
        <v>0.26602379999999998</v>
      </c>
      <c r="W5646">
        <v>0.19468289999999999</v>
      </c>
      <c r="X5646">
        <v>0.94410269999999996</v>
      </c>
      <c r="Y5646">
        <v>0.24841530000000001</v>
      </c>
      <c r="Z5646">
        <v>-5.77175E-3</v>
      </c>
      <c r="AA5646">
        <v>0.96863650000000001</v>
      </c>
      <c r="AB5646">
        <v>32</v>
      </c>
      <c r="AC5646">
        <v>21.675699999999999</v>
      </c>
      <c r="AD5646">
        <v>-1.159017</v>
      </c>
      <c r="AE5646">
        <v>-5.9203299999999901</v>
      </c>
      <c r="AF5646">
        <v>5.6150421292039701</v>
      </c>
      <c r="AG5646">
        <v>-1.159017</v>
      </c>
      <c r="AH5646">
        <v>21.6951981608022</v>
      </c>
      <c r="AI5646">
        <v>92.960621237967601</v>
      </c>
      <c r="AJ5646">
        <v>75.489399960170402</v>
      </c>
      <c r="AK5646">
        <v>22.440000930380901</v>
      </c>
      <c r="AL5646">
        <v>78.773799917476296</v>
      </c>
      <c r="AM5646">
        <v>74.263532192581096</v>
      </c>
      <c r="AN5646">
        <v>1.0000000009330601</v>
      </c>
    </row>
    <row r="5647" spans="1:40" x14ac:dyDescent="0.25">
      <c r="A5647" t="str">
        <f>"20190312164139688"</f>
        <v>20190312164139688</v>
      </c>
      <c r="B5647" t="str">
        <f>"1552380099681668"</f>
        <v>1552380099681668</v>
      </c>
      <c r="C5647" t="s">
        <v>40</v>
      </c>
      <c r="D5647">
        <v>5.8856190000000002</v>
      </c>
      <c r="E5647">
        <v>0.51430429999999905</v>
      </c>
      <c r="F5647" t="s">
        <v>43</v>
      </c>
      <c r="G5647">
        <v>-312.327</v>
      </c>
      <c r="H5647">
        <v>-0.05</v>
      </c>
      <c r="I5647">
        <v>12.11838</v>
      </c>
      <c r="J5647">
        <v>-330.89769999999999</v>
      </c>
      <c r="K5647">
        <v>1.108968</v>
      </c>
      <c r="L5647">
        <v>17.580469999999998</v>
      </c>
      <c r="M5647">
        <v>0.99979220000000002</v>
      </c>
      <c r="N5647">
        <v>0</v>
      </c>
      <c r="O5647">
        <v>-1.437271E-2</v>
      </c>
      <c r="P5647">
        <v>0.94186510000000001</v>
      </c>
      <c r="Q5647">
        <v>0.18172260000000001</v>
      </c>
      <c r="R5647">
        <v>-0.28260809999999997</v>
      </c>
      <c r="S5647">
        <v>2.9614259999999999</v>
      </c>
      <c r="T5647">
        <v>-0.18318490000000001</v>
      </c>
      <c r="U5647">
        <v>-0.86380000000000001</v>
      </c>
      <c r="V5647">
        <v>0.269791</v>
      </c>
      <c r="W5647">
        <v>0.19434979999999999</v>
      </c>
      <c r="X5647">
        <v>0.94310179999999999</v>
      </c>
      <c r="Y5647">
        <v>0.2657448</v>
      </c>
      <c r="Z5647">
        <v>-7.1743529999999996E-3</v>
      </c>
      <c r="AA5647">
        <v>0.96401669999999995</v>
      </c>
      <c r="AB5647">
        <v>32</v>
      </c>
      <c r="AC5647">
        <v>18.570699999999899</v>
      </c>
      <c r="AD5647">
        <v>-1.158968</v>
      </c>
      <c r="AE5647">
        <v>-5.4620899999999999</v>
      </c>
      <c r="AF5647">
        <v>5.1760319773425598</v>
      </c>
      <c r="AG5647">
        <v>-1.158968</v>
      </c>
      <c r="AH5647">
        <v>18.580688394991299</v>
      </c>
      <c r="AI5647">
        <v>93.438597372414804</v>
      </c>
      <c r="AJ5647">
        <v>74.433730629017205</v>
      </c>
      <c r="AK5647">
        <v>19.3229525458006</v>
      </c>
      <c r="AL5647">
        <v>78.793256962058095</v>
      </c>
      <c r="AM5647">
        <v>74.035882848289006</v>
      </c>
      <c r="AN5647">
        <v>1.0000000168021399</v>
      </c>
    </row>
    <row r="5648" spans="1:40" x14ac:dyDescent="0.25">
      <c r="A5648" t="str">
        <f>"20190312164139699"</f>
        <v>20190312164139699</v>
      </c>
      <c r="B5648" t="str">
        <f>"1552380099691428"</f>
        <v>1552380099691428</v>
      </c>
      <c r="C5648" t="s">
        <v>40</v>
      </c>
      <c r="D5648">
        <v>5.8979080000000002</v>
      </c>
      <c r="E5648">
        <v>0.52360269999999998</v>
      </c>
      <c r="F5648" t="s">
        <v>43</v>
      </c>
      <c r="G5648">
        <v>-312.26889999999997</v>
      </c>
      <c r="H5648">
        <v>-0.05</v>
      </c>
      <c r="I5648">
        <v>12.05823</v>
      </c>
      <c r="J5648">
        <v>-330.72669999999999</v>
      </c>
      <c r="K5648">
        <v>1.108911</v>
      </c>
      <c r="L5648">
        <v>17.577030000000001</v>
      </c>
      <c r="M5648">
        <v>0.99977649999999996</v>
      </c>
      <c r="N5648">
        <v>0</v>
      </c>
      <c r="O5648">
        <v>-1.5421010000000001E-2</v>
      </c>
      <c r="P5648">
        <v>0.94034640000000003</v>
      </c>
      <c r="Q5648">
        <v>0.18160290000000001</v>
      </c>
      <c r="R5648">
        <v>-0.28769609999999901</v>
      </c>
      <c r="S5648">
        <v>2.957611</v>
      </c>
      <c r="T5648">
        <v>-0.18400340000000001</v>
      </c>
      <c r="U5648">
        <v>-0.8767395</v>
      </c>
      <c r="V5648">
        <v>0.27393260000000003</v>
      </c>
      <c r="W5648">
        <v>0.19416459999999999</v>
      </c>
      <c r="X5648">
        <v>0.94194529999999999</v>
      </c>
      <c r="Y5648">
        <v>0.26894010000000002</v>
      </c>
      <c r="Z5648">
        <v>-7.2444090000000003E-3</v>
      </c>
      <c r="AA5648">
        <v>0.96312960000000003</v>
      </c>
      <c r="AB5648">
        <v>32</v>
      </c>
      <c r="AC5648">
        <v>18.457799999999999</v>
      </c>
      <c r="AD5648">
        <v>-1.158911</v>
      </c>
      <c r="AE5648">
        <v>-5.5187999999999997</v>
      </c>
      <c r="AF5648">
        <v>5.2146057916897002</v>
      </c>
      <c r="AG5648">
        <v>-1.158911</v>
      </c>
      <c r="AH5648">
        <v>18.473867539283201</v>
      </c>
      <c r="AI5648">
        <v>93.454946666570194</v>
      </c>
      <c r="AJ5648">
        <v>74.237255612156304</v>
      </c>
      <c r="AK5648">
        <v>19.2306778384857</v>
      </c>
      <c r="AL5648">
        <v>78.804073497730798</v>
      </c>
      <c r="AM5648">
        <v>73.784733198416006</v>
      </c>
      <c r="AN5648">
        <v>0.99999995471400305</v>
      </c>
    </row>
    <row r="5649" spans="1:40" x14ac:dyDescent="0.25">
      <c r="A5649" t="str">
        <f>"20190312164139709"</f>
        <v>20190312164139709</v>
      </c>
      <c r="B5649" t="str">
        <f>"1552380099702164"</f>
        <v>1552380099702164</v>
      </c>
      <c r="C5649" t="s">
        <v>40</v>
      </c>
      <c r="D5649">
        <v>5.8859859999999999</v>
      </c>
      <c r="E5649">
        <v>0.52094870000000004</v>
      </c>
      <c r="F5649" t="s">
        <v>43</v>
      </c>
      <c r="G5649">
        <v>-316.09440000000001</v>
      </c>
      <c r="H5649">
        <v>-0.05</v>
      </c>
      <c r="I5649">
        <v>12.8172</v>
      </c>
      <c r="J5649">
        <v>-330.56400000000002</v>
      </c>
      <c r="K5649">
        <v>1.10886</v>
      </c>
      <c r="L5649">
        <v>17.573460000000001</v>
      </c>
      <c r="M5649">
        <v>0.99975970000000003</v>
      </c>
      <c r="N5649">
        <v>0</v>
      </c>
      <c r="O5649">
        <v>-1.646945E-2</v>
      </c>
      <c r="P5649">
        <v>0.93888260000000001</v>
      </c>
      <c r="Q5649">
        <v>0.1812985</v>
      </c>
      <c r="R5649">
        <v>-0.292626</v>
      </c>
      <c r="S5649">
        <v>2.9425050000000001</v>
      </c>
      <c r="T5649">
        <v>-0.23305239999999999</v>
      </c>
      <c r="U5649">
        <v>-0.95718380000000003</v>
      </c>
      <c r="V5649">
        <v>0.27791749999999998</v>
      </c>
      <c r="W5649">
        <v>0.1937941</v>
      </c>
      <c r="X5649">
        <v>0.94085370000000002</v>
      </c>
      <c r="Y5649">
        <v>0.29285329999999998</v>
      </c>
      <c r="Z5649">
        <v>-1.0020289999999999E-2</v>
      </c>
      <c r="AA5649">
        <v>0.95610490000000004</v>
      </c>
      <c r="AB5649">
        <v>32</v>
      </c>
      <c r="AC5649">
        <v>14.4696</v>
      </c>
      <c r="AD5649">
        <v>-1.15886</v>
      </c>
      <c r="AE5649">
        <v>-4.7562600000000002</v>
      </c>
      <c r="AF5649">
        <v>4.49128422997752</v>
      </c>
      <c r="AG5649">
        <v>-1.15886</v>
      </c>
      <c r="AH5649">
        <v>14.462258813995</v>
      </c>
      <c r="AI5649">
        <v>94.376016236496</v>
      </c>
      <c r="AJ5649">
        <v>72.747710947710203</v>
      </c>
      <c r="AK5649">
        <v>15.187874128297899</v>
      </c>
      <c r="AL5649">
        <v>78.825712976774895</v>
      </c>
      <c r="AM5649">
        <v>73.543457903206004</v>
      </c>
      <c r="AN5649">
        <v>0.99999998740237495</v>
      </c>
    </row>
    <row r="5650" spans="1:40" x14ac:dyDescent="0.25">
      <c r="A5650" t="str">
        <f>"20190312164139721"</f>
        <v>20190312164139721</v>
      </c>
      <c r="B5650" t="str">
        <f>"1552380099711923"</f>
        <v>1552380099711923</v>
      </c>
      <c r="C5650" t="s">
        <v>40</v>
      </c>
      <c r="D5650">
        <v>5.8104969999999998</v>
      </c>
      <c r="E5650">
        <v>0.51977479999999998</v>
      </c>
      <c r="F5650" t="s">
        <v>43</v>
      </c>
      <c r="G5650">
        <v>-314.1207</v>
      </c>
      <c r="H5650">
        <v>-0.05</v>
      </c>
      <c r="I5650">
        <v>12.23889</v>
      </c>
      <c r="J5650">
        <v>-330.41809999999998</v>
      </c>
      <c r="K5650">
        <v>1.1088150000000001</v>
      </c>
      <c r="L5650">
        <v>17.570160000000001</v>
      </c>
      <c r="M5650">
        <v>0.99974350000000001</v>
      </c>
      <c r="N5650">
        <v>0</v>
      </c>
      <c r="O5650">
        <v>-1.7424350000000002E-2</v>
      </c>
      <c r="P5650">
        <v>0.9373901</v>
      </c>
      <c r="Q5650">
        <v>0.18095839999999999</v>
      </c>
      <c r="R5650">
        <v>-0.2975795</v>
      </c>
      <c r="S5650">
        <v>2.938202</v>
      </c>
      <c r="T5650">
        <v>-0.20707300000000001</v>
      </c>
      <c r="U5650">
        <v>-0.95321659999999997</v>
      </c>
      <c r="V5650">
        <v>0.28201470000000001</v>
      </c>
      <c r="W5650">
        <v>0.19338949999999999</v>
      </c>
      <c r="X5650">
        <v>0.93971709999999997</v>
      </c>
      <c r="Y5650">
        <v>0.291352099999999</v>
      </c>
      <c r="Z5650">
        <v>-8.8032130000000007E-3</v>
      </c>
      <c r="AA5650">
        <v>0.95657539999999996</v>
      </c>
      <c r="AB5650">
        <v>32</v>
      </c>
      <c r="AC5650">
        <v>16.2973999999999</v>
      </c>
      <c r="AD5650">
        <v>-1.1588149999999999</v>
      </c>
      <c r="AE5650">
        <v>-5.33127</v>
      </c>
      <c r="AF5650">
        <v>5.0235162603036798</v>
      </c>
      <c r="AG5650">
        <v>-1.1588149999999999</v>
      </c>
      <c r="AH5650">
        <v>16.313324429517699</v>
      </c>
      <c r="AI5650">
        <v>93.883789620345297</v>
      </c>
      <c r="AJ5650">
        <v>72.8843360395975</v>
      </c>
      <c r="AK5650">
        <v>17.1085686649837</v>
      </c>
      <c r="AL5650">
        <v>78.8493420994551</v>
      </c>
      <c r="AM5650">
        <v>73.295186283483105</v>
      </c>
      <c r="AN5650">
        <v>1.0000000088793699</v>
      </c>
    </row>
    <row r="5651" spans="1:40" x14ac:dyDescent="0.25">
      <c r="A5651" t="str">
        <f>"20190312164139731"</f>
        <v>20190312164139731</v>
      </c>
      <c r="B5651" t="str">
        <f>"1552380099721685"</f>
        <v>1552380099721685</v>
      </c>
      <c r="C5651" t="s">
        <v>40</v>
      </c>
      <c r="D5651">
        <v>5.860805</v>
      </c>
      <c r="E5651">
        <v>0.51898610000000001</v>
      </c>
      <c r="F5651" t="s">
        <v>43</v>
      </c>
      <c r="G5651">
        <v>-313.06799999999998</v>
      </c>
      <c r="H5651">
        <v>-0.05</v>
      </c>
      <c r="I5651">
        <v>11.89828</v>
      </c>
      <c r="J5651">
        <v>-330.24689999999998</v>
      </c>
      <c r="K5651">
        <v>1.1087659999999999</v>
      </c>
      <c r="L5651">
        <v>17.566040000000001</v>
      </c>
      <c r="M5651">
        <v>0.99972260000000002</v>
      </c>
      <c r="N5651">
        <v>0</v>
      </c>
      <c r="O5651">
        <v>-1.858723E-2</v>
      </c>
      <c r="P5651">
        <v>0.93579639999999997</v>
      </c>
      <c r="Q5651">
        <v>0.18072360000000001</v>
      </c>
      <c r="R5651">
        <v>-0.30269420000000002</v>
      </c>
      <c r="S5651">
        <v>2.9337770000000001</v>
      </c>
      <c r="T5651">
        <v>-0.19594710000000001</v>
      </c>
      <c r="U5651">
        <v>-0.95907589999999998</v>
      </c>
      <c r="V5651">
        <v>0.28608640000000002</v>
      </c>
      <c r="W5651">
        <v>0.193083</v>
      </c>
      <c r="X5651">
        <v>0.93854859999999896</v>
      </c>
      <c r="Y5651">
        <v>0.29245300000000002</v>
      </c>
      <c r="Z5651">
        <v>-8.3009329999999999E-3</v>
      </c>
      <c r="AA5651">
        <v>0.95624390000000004</v>
      </c>
      <c r="AB5651">
        <v>32</v>
      </c>
      <c r="AC5651">
        <v>17.178899999999999</v>
      </c>
      <c r="AD5651">
        <v>-1.158766</v>
      </c>
      <c r="AE5651">
        <v>-5.6677600000000004</v>
      </c>
      <c r="AF5651">
        <v>5.3255868747265396</v>
      </c>
      <c r="AG5651">
        <v>-1.158766</v>
      </c>
      <c r="AH5651">
        <v>17.2106709508294</v>
      </c>
      <c r="AI5651">
        <v>93.680162460803601</v>
      </c>
      <c r="AJ5651">
        <v>72.806093595072795</v>
      </c>
      <c r="AK5651">
        <v>18.053027690133799</v>
      </c>
      <c r="AL5651">
        <v>78.867240207303595</v>
      </c>
      <c r="AM5651">
        <v>73.047840924887694</v>
      </c>
      <c r="AN5651">
        <v>0.99999997385795902</v>
      </c>
    </row>
    <row r="5652" spans="1:40" x14ac:dyDescent="0.25">
      <c r="A5652" t="str">
        <f>"20190312164139742"</f>
        <v>20190312164139742</v>
      </c>
      <c r="B5652" t="str">
        <f>"1552380099731951"</f>
        <v>1552380099731951</v>
      </c>
      <c r="C5652" t="s">
        <v>40</v>
      </c>
      <c r="D5652">
        <v>5.9164450000000004</v>
      </c>
      <c r="E5652">
        <v>0.51850909999999995</v>
      </c>
      <c r="F5652" t="s">
        <v>43</v>
      </c>
      <c r="G5652">
        <v>-312.3202</v>
      </c>
      <c r="H5652">
        <v>-0.05</v>
      </c>
      <c r="I5652">
        <v>11.641690000000001</v>
      </c>
      <c r="J5652">
        <v>-330.10750000000002</v>
      </c>
      <c r="K5652">
        <v>1.1087209999999901</v>
      </c>
      <c r="L5652">
        <v>17.562470000000001</v>
      </c>
      <c r="M5652">
        <v>0.99970409999999998</v>
      </c>
      <c r="N5652">
        <v>0</v>
      </c>
      <c r="O5652">
        <v>-1.9559420000000001E-2</v>
      </c>
      <c r="P5652">
        <v>0.93416509999999997</v>
      </c>
      <c r="Q5652">
        <v>0.18096509999999999</v>
      </c>
      <c r="R5652">
        <v>-0.30754999999999999</v>
      </c>
      <c r="S5652">
        <v>2.9292600000000002</v>
      </c>
      <c r="T5652">
        <v>-0.18934480000000001</v>
      </c>
      <c r="U5652">
        <v>-0.96804809999999997</v>
      </c>
      <c r="V5652">
        <v>0.2900797</v>
      </c>
      <c r="W5652">
        <v>0.19325709999999999</v>
      </c>
      <c r="X5652">
        <v>0.93728619999999996</v>
      </c>
      <c r="Y5652">
        <v>0.29463410000000001</v>
      </c>
      <c r="Z5652">
        <v>-8.0373340000000001E-3</v>
      </c>
      <c r="AA5652">
        <v>0.95557639999999999</v>
      </c>
      <c r="AB5652">
        <v>32</v>
      </c>
      <c r="AC5652">
        <v>17.787299999999998</v>
      </c>
      <c r="AD5652">
        <v>-1.1587209999999999</v>
      </c>
      <c r="AE5652">
        <v>-5.9207799999999997</v>
      </c>
      <c r="AF5652">
        <v>5.5504966527130701</v>
      </c>
      <c r="AG5652">
        <v>-1.1587209999999999</v>
      </c>
      <c r="AH5652">
        <v>17.831592896989701</v>
      </c>
      <c r="AI5652">
        <v>93.550367238933902</v>
      </c>
      <c r="AJ5652">
        <v>72.710035538286604</v>
      </c>
      <c r="AK5652">
        <v>18.711396331957602</v>
      </c>
      <c r="AL5652">
        <v>78.857073593305302</v>
      </c>
      <c r="AM5652">
        <v>72.803282700497604</v>
      </c>
      <c r="AN5652">
        <v>0.99999997988146905</v>
      </c>
    </row>
    <row r="5653" spans="1:40" x14ac:dyDescent="0.25">
      <c r="A5653" t="str">
        <f>"20190312164139753"</f>
        <v>20190312164139753</v>
      </c>
      <c r="B5653" t="str">
        <f>"1552380099741712"</f>
        <v>1552380099741712</v>
      </c>
      <c r="C5653" t="s">
        <v>40</v>
      </c>
      <c r="D5653">
        <v>5.9492260000000003</v>
      </c>
      <c r="E5653">
        <v>0.51802060000000005</v>
      </c>
      <c r="F5653" t="s">
        <v>43</v>
      </c>
      <c r="G5653">
        <v>-311.82249999999999</v>
      </c>
      <c r="H5653">
        <v>-0.05</v>
      </c>
      <c r="I5653">
        <v>11.446059999999999</v>
      </c>
      <c r="J5653">
        <v>-329.95179999999999</v>
      </c>
      <c r="K5653">
        <v>1.10867</v>
      </c>
      <c r="L5653">
        <v>17.55838</v>
      </c>
      <c r="M5653">
        <v>0.99968159999999895</v>
      </c>
      <c r="N5653">
        <v>0</v>
      </c>
      <c r="O5653">
        <v>-2.0677569999999999E-2</v>
      </c>
      <c r="P5653">
        <v>0.93241949999999996</v>
      </c>
      <c r="Q5653">
        <v>0.18104439999999999</v>
      </c>
      <c r="R5653">
        <v>-0.31275710000000001</v>
      </c>
      <c r="S5653">
        <v>2.9251710000000002</v>
      </c>
      <c r="T5653">
        <v>-0.18536849999999999</v>
      </c>
      <c r="U5653">
        <v>-0.9784851</v>
      </c>
      <c r="V5653">
        <v>0.29429490000000003</v>
      </c>
      <c r="W5653">
        <v>0.1932613</v>
      </c>
      <c r="X5653">
        <v>0.93597039999999998</v>
      </c>
      <c r="Y5653">
        <v>0.2970507</v>
      </c>
      <c r="Z5653">
        <v>-7.8806659999999997E-3</v>
      </c>
      <c r="AA5653">
        <v>0.95482920000000004</v>
      </c>
      <c r="AB5653">
        <v>32</v>
      </c>
      <c r="AC5653">
        <v>18.129300000000001</v>
      </c>
      <c r="AD5653">
        <v>-1.1586700000000001</v>
      </c>
      <c r="AE5653">
        <v>-6.1123199999999898</v>
      </c>
      <c r="AF5653">
        <v>5.7151420641398296</v>
      </c>
      <c r="AG5653">
        <v>-1.1586700000000001</v>
      </c>
      <c r="AH5653">
        <v>18.185125605229601</v>
      </c>
      <c r="AI5653">
        <v>93.478394577242199</v>
      </c>
      <c r="AJ5653">
        <v>72.553336684911002</v>
      </c>
      <c r="AK5653">
        <v>19.097229072830899</v>
      </c>
      <c r="AL5653">
        <v>78.856828598950599</v>
      </c>
      <c r="AM5653">
        <v>72.545414708241097</v>
      </c>
      <c r="AN5653">
        <v>1.0000000039599299</v>
      </c>
    </row>
    <row r="5654" spans="1:40" x14ac:dyDescent="0.25">
      <c r="A5654" t="str">
        <f>"20190312164139765"</f>
        <v>20190312164139765</v>
      </c>
      <c r="B5654" t="str">
        <f>"1552380099762207"</f>
        <v>1552380099762207</v>
      </c>
      <c r="C5654" t="s">
        <v>40</v>
      </c>
      <c r="D5654">
        <v>5.9294919999999998</v>
      </c>
      <c r="E5654">
        <v>0.51651610000000003</v>
      </c>
      <c r="F5654" t="s">
        <v>43</v>
      </c>
      <c r="G5654">
        <v>-312.01979999999998</v>
      </c>
      <c r="H5654">
        <v>-0.05</v>
      </c>
      <c r="I5654">
        <v>11.489000000000001</v>
      </c>
      <c r="J5654">
        <v>-329.7869</v>
      </c>
      <c r="K5654">
        <v>1.108608</v>
      </c>
      <c r="L5654">
        <v>17.55377</v>
      </c>
      <c r="M5654">
        <v>0.99965539999999997</v>
      </c>
      <c r="N5654">
        <v>0</v>
      </c>
      <c r="O5654">
        <v>-2.1902540000000002E-2</v>
      </c>
      <c r="P5654">
        <v>0.93062849999999997</v>
      </c>
      <c r="Q5654">
        <v>0.18130660000000001</v>
      </c>
      <c r="R5654">
        <v>-0.31789689999999998</v>
      </c>
      <c r="S5654">
        <v>2.9223020000000002</v>
      </c>
      <c r="T5654">
        <v>-0.18882409999999999</v>
      </c>
      <c r="U5654">
        <v>-0.98910520000000002</v>
      </c>
      <c r="V5654">
        <v>0.29835050000000002</v>
      </c>
      <c r="W5654">
        <v>0.19344420000000001</v>
      </c>
      <c r="X5654">
        <v>0.93464769999999997</v>
      </c>
      <c r="Y5654">
        <v>0.29925800000000002</v>
      </c>
      <c r="Z5654">
        <v>-8.0227660000000006E-3</v>
      </c>
      <c r="AA5654">
        <v>0.9541385</v>
      </c>
      <c r="AB5654">
        <v>32</v>
      </c>
      <c r="AC5654">
        <v>17.767099999999999</v>
      </c>
      <c r="AD5654">
        <v>-1.1586080000000001</v>
      </c>
      <c r="AE5654">
        <v>-6.0647699999999896</v>
      </c>
      <c r="AF5654">
        <v>5.65260054034853</v>
      </c>
      <c r="AG5654">
        <v>-1.1586080000000001</v>
      </c>
      <c r="AH5654">
        <v>17.827784499518501</v>
      </c>
      <c r="AI5654">
        <v>93.544915660827002</v>
      </c>
      <c r="AJ5654">
        <v>72.407901391881694</v>
      </c>
      <c r="AK5654">
        <v>18.7383074349762</v>
      </c>
      <c r="AL5654">
        <v>78.846147613131706</v>
      </c>
      <c r="AM5654">
        <v>72.296307548472598</v>
      </c>
      <c r="AN5654">
        <v>1.00000000123958</v>
      </c>
    </row>
    <row r="5655" spans="1:40" x14ac:dyDescent="0.25">
      <c r="A5655" t="str">
        <f>"20190312164139775"</f>
        <v>20190312164139775</v>
      </c>
      <c r="B5655" t="str">
        <f>"1552380099771967"</f>
        <v>1552380099771967</v>
      </c>
      <c r="C5655" t="s">
        <v>40</v>
      </c>
      <c r="D5655">
        <v>5.9364980000000003</v>
      </c>
      <c r="E5655">
        <v>0.51648769999999999</v>
      </c>
      <c r="F5655" t="s">
        <v>43</v>
      </c>
      <c r="G5655">
        <v>-318.42529999999999</v>
      </c>
      <c r="H5655">
        <v>-0.05</v>
      </c>
      <c r="I5655">
        <v>13.78065</v>
      </c>
      <c r="J5655">
        <v>-329.62650000000002</v>
      </c>
      <c r="K5655">
        <v>1.10854599999999</v>
      </c>
      <c r="L5655">
        <v>17.549099999999999</v>
      </c>
      <c r="M5655">
        <v>0.99962810000000002</v>
      </c>
      <c r="N5655">
        <v>0</v>
      </c>
      <c r="O5655">
        <v>-2.3121679999999999E-2</v>
      </c>
      <c r="P5655">
        <v>0.92880050000000003</v>
      </c>
      <c r="Q5655">
        <v>0.1813535</v>
      </c>
      <c r="R5655">
        <v>-0.32317289999999999</v>
      </c>
      <c r="S5655">
        <v>2.947784</v>
      </c>
      <c r="T5655">
        <v>-0.30060300000000001</v>
      </c>
      <c r="U5655">
        <v>-0.97894289999999995</v>
      </c>
      <c r="V5655">
        <v>0.30255100000000001</v>
      </c>
      <c r="W5655">
        <v>0.19340959999999999</v>
      </c>
      <c r="X5655">
        <v>0.93330360000000001</v>
      </c>
      <c r="Y5655">
        <v>0.29188629999999999</v>
      </c>
      <c r="Z5655">
        <v>-1.2170200000000001E-2</v>
      </c>
      <c r="AA5655">
        <v>0.95637559999999999</v>
      </c>
      <c r="AB5655">
        <v>32</v>
      </c>
      <c r="AC5655">
        <v>11.2012</v>
      </c>
      <c r="AD5655">
        <v>-1.1585460000000001</v>
      </c>
      <c r="AE5655">
        <v>-3.7684500000000001</v>
      </c>
      <c r="AF5655">
        <v>3.4750291990034499</v>
      </c>
      <c r="AG5655">
        <v>-1.1585460000000001</v>
      </c>
      <c r="AH5655">
        <v>11.177925490584</v>
      </c>
      <c r="AI5655">
        <v>95.652348277911202</v>
      </c>
      <c r="AJ5655">
        <v>72.7304085817931</v>
      </c>
      <c r="AK5655">
        <v>11.7628259802265</v>
      </c>
      <c r="AL5655">
        <v>78.848168140374298</v>
      </c>
      <c r="AM5655">
        <v>72.038751654543603</v>
      </c>
      <c r="AN5655">
        <v>0.99999999537305995</v>
      </c>
    </row>
    <row r="5656" spans="1:40" x14ac:dyDescent="0.25">
      <c r="A5656" t="str">
        <f>"20190312164139787"</f>
        <v>20190312164139787</v>
      </c>
      <c r="B5656" t="str">
        <f>"1552380099781727"</f>
        <v>1552380099781727</v>
      </c>
      <c r="C5656" t="s">
        <v>40</v>
      </c>
      <c r="D5656">
        <v>5.9051030000000004</v>
      </c>
      <c r="E5656">
        <v>0.51498690000000003</v>
      </c>
      <c r="F5656" t="s">
        <v>43</v>
      </c>
      <c r="G5656">
        <v>-317.40260000000001</v>
      </c>
      <c r="H5656">
        <v>-0.05</v>
      </c>
      <c r="I5656">
        <v>13.40161</v>
      </c>
      <c r="J5656">
        <v>-329.46519999999998</v>
      </c>
      <c r="K5656">
        <v>1.1084799999999999</v>
      </c>
      <c r="L5656">
        <v>17.544070000000001</v>
      </c>
      <c r="M5656">
        <v>0.99959750000000003</v>
      </c>
      <c r="N5656">
        <v>0</v>
      </c>
      <c r="O5656">
        <v>-2.4405509999999998E-2</v>
      </c>
      <c r="P5656">
        <v>0.92690260000000002</v>
      </c>
      <c r="Q5656">
        <v>0.181426</v>
      </c>
      <c r="R5656">
        <v>-0.32853670000000001</v>
      </c>
      <c r="S5656">
        <v>2.9375</v>
      </c>
      <c r="T5656">
        <v>-0.27840779999999998</v>
      </c>
      <c r="U5656">
        <v>-0.99667360000000005</v>
      </c>
      <c r="V5656">
        <v>0.3067858</v>
      </c>
      <c r="W5656">
        <v>0.19339700000000001</v>
      </c>
      <c r="X5656">
        <v>0.93192280000000005</v>
      </c>
      <c r="Y5656">
        <v>0.29699959999999997</v>
      </c>
      <c r="Z5656">
        <v>-1.141961E-2</v>
      </c>
      <c r="AA5656">
        <v>0.95480929999999997</v>
      </c>
      <c r="AB5656">
        <v>32</v>
      </c>
      <c r="AC5656">
        <v>12.0625999999999</v>
      </c>
      <c r="AD5656">
        <v>-1.15848</v>
      </c>
      <c r="AE5656">
        <v>-4.1424599999999998</v>
      </c>
      <c r="AF5656">
        <v>3.8153229022280502</v>
      </c>
      <c r="AG5656">
        <v>-1.15848</v>
      </c>
      <c r="AH5656">
        <v>12.0606098347015</v>
      </c>
      <c r="AI5656">
        <v>95.232642298804905</v>
      </c>
      <c r="AJ5656">
        <v>72.445453123963901</v>
      </c>
      <c r="AK5656">
        <v>12.7026404477008</v>
      </c>
      <c r="AL5656">
        <v>78.848904192074897</v>
      </c>
      <c r="AM5656">
        <v>71.778631825908803</v>
      </c>
      <c r="AN5656">
        <v>1.00000001592523</v>
      </c>
    </row>
    <row r="5657" spans="1:40" x14ac:dyDescent="0.25">
      <c r="A5657" t="str">
        <f>"20190312164139800"</f>
        <v>20190312164139800</v>
      </c>
      <c r="B5657" t="str">
        <f>"1552380099791489"</f>
        <v>1552380099791489</v>
      </c>
      <c r="C5657" t="s">
        <v>40</v>
      </c>
      <c r="D5657">
        <v>5.9260979999999996</v>
      </c>
      <c r="E5657">
        <v>0.51496200000000003</v>
      </c>
      <c r="F5657" t="s">
        <v>43</v>
      </c>
      <c r="G5657">
        <v>-316.06040000000002</v>
      </c>
      <c r="H5657">
        <v>-0.05</v>
      </c>
      <c r="I5657">
        <v>12.9534</v>
      </c>
      <c r="J5657">
        <v>-329.27409999999998</v>
      </c>
      <c r="K5657">
        <v>1.108401</v>
      </c>
      <c r="L5657">
        <v>17.537960000000002</v>
      </c>
      <c r="M5657">
        <v>0.99955850000000002</v>
      </c>
      <c r="N5657">
        <v>0</v>
      </c>
      <c r="O5657">
        <v>-2.5958120000000001E-2</v>
      </c>
      <c r="P5657">
        <v>0.9249638</v>
      </c>
      <c r="Q5657">
        <v>0.18095259999999999</v>
      </c>
      <c r="R5657">
        <v>-0.3342135</v>
      </c>
      <c r="S5657">
        <v>2.93045</v>
      </c>
      <c r="T5657">
        <v>-0.25325609999999998</v>
      </c>
      <c r="U5657">
        <v>-1.003571</v>
      </c>
      <c r="V5657">
        <v>0.3110908</v>
      </c>
      <c r="W5657">
        <v>0.192828</v>
      </c>
      <c r="X5657">
        <v>0.93061260000000001</v>
      </c>
      <c r="Y5657">
        <v>0.29841380000000001</v>
      </c>
      <c r="Z5657">
        <v>-1.0340780000000001E-2</v>
      </c>
      <c r="AA5657">
        <v>0.95438060000000002</v>
      </c>
      <c r="AB5657">
        <v>32</v>
      </c>
      <c r="AC5657">
        <v>13.2136999999999</v>
      </c>
      <c r="AD5657">
        <v>-1.158401</v>
      </c>
      <c r="AE5657">
        <v>-4.5845599999999997</v>
      </c>
      <c r="AF5657">
        <v>4.2110894009297102</v>
      </c>
      <c r="AG5657">
        <v>-1.158401</v>
      </c>
      <c r="AH5657">
        <v>13.237460589867799</v>
      </c>
      <c r="AI5657">
        <v>94.766944841180504</v>
      </c>
      <c r="AJ5657">
        <v>72.353137585468403</v>
      </c>
      <c r="AK5657">
        <v>13.939351838866999</v>
      </c>
      <c r="AL5657">
        <v>78.882130383164395</v>
      </c>
      <c r="AM5657">
        <v>71.515937808171103</v>
      </c>
      <c r="AN5657">
        <v>0.999999967353699</v>
      </c>
    </row>
    <row r="5658" spans="1:40" x14ac:dyDescent="0.25">
      <c r="A5658" t="str">
        <f>"20190312164139812"</f>
        <v>20190312164139812</v>
      </c>
      <c r="B5658" t="str">
        <f>"1552380099802223"</f>
        <v>1552380099802223</v>
      </c>
      <c r="C5658" t="s">
        <v>40</v>
      </c>
      <c r="D5658">
        <v>5.9073769999999897</v>
      </c>
      <c r="E5658">
        <v>0.5141386</v>
      </c>
      <c r="F5658" t="s">
        <v>43</v>
      </c>
      <c r="G5658">
        <v>-316.39249999999998</v>
      </c>
      <c r="H5658">
        <v>-0.05</v>
      </c>
      <c r="I5658">
        <v>13.054779999999999</v>
      </c>
      <c r="J5658">
        <v>-329.09570000000002</v>
      </c>
      <c r="K5658">
        <v>1.108325</v>
      </c>
      <c r="L5658">
        <v>17.531829999999999</v>
      </c>
      <c r="M5658">
        <v>0.99951789999999996</v>
      </c>
      <c r="N5658">
        <v>0</v>
      </c>
      <c r="O5658">
        <v>-2.7472420000000001E-2</v>
      </c>
      <c r="P5658">
        <v>0.92303109999999999</v>
      </c>
      <c r="Q5658">
        <v>0.18032100000000001</v>
      </c>
      <c r="R5658">
        <v>-0.33984979999999998</v>
      </c>
      <c r="S5658">
        <v>2.9268190000000001</v>
      </c>
      <c r="T5658">
        <v>-0.26319769999999998</v>
      </c>
      <c r="U5658">
        <v>-1.018616</v>
      </c>
      <c r="V5658">
        <v>0.3153938</v>
      </c>
      <c r="W5658">
        <v>0.1921013</v>
      </c>
      <c r="X5658">
        <v>0.92931370000000002</v>
      </c>
      <c r="Y5658">
        <v>0.3016335</v>
      </c>
      <c r="Z5658">
        <v>-1.075777E-2</v>
      </c>
      <c r="AA5658">
        <v>0.95336319999999997</v>
      </c>
      <c r="AB5658">
        <v>32</v>
      </c>
      <c r="AC5658">
        <v>12.703200000000001</v>
      </c>
      <c r="AD5658">
        <v>-1.158325</v>
      </c>
      <c r="AE5658">
        <v>-4.4770499999999904</v>
      </c>
      <c r="AF5658">
        <v>4.0960420372392301</v>
      </c>
      <c r="AG5658">
        <v>-1.158325</v>
      </c>
      <c r="AH5658">
        <v>12.727283741134</v>
      </c>
      <c r="AI5658">
        <v>94.951459849720095</v>
      </c>
      <c r="AJ5658">
        <v>72.160184279766099</v>
      </c>
      <c r="AK5658">
        <v>13.420246965081899</v>
      </c>
      <c r="AL5658">
        <v>78.924561497796205</v>
      </c>
      <c r="AM5658">
        <v>71.253631838157503</v>
      </c>
      <c r="AN5658">
        <v>1.0000000557738999</v>
      </c>
    </row>
    <row r="5659" spans="1:40" x14ac:dyDescent="0.25">
      <c r="A5659" t="str">
        <f>"20190312164139824"</f>
        <v>20190312164139824</v>
      </c>
      <c r="B5659" t="str">
        <f>"1552380099821743"</f>
        <v>1552380099821743</v>
      </c>
      <c r="C5659" t="s">
        <v>40</v>
      </c>
      <c r="D5659">
        <v>5.9006600000000002</v>
      </c>
      <c r="E5659">
        <v>0.51233589999999996</v>
      </c>
      <c r="F5659" t="s">
        <v>43</v>
      </c>
      <c r="G5659">
        <v>-315.35660000000001</v>
      </c>
      <c r="H5659">
        <v>-0.05</v>
      </c>
      <c r="I5659">
        <v>12.67802</v>
      </c>
      <c r="J5659">
        <v>-328.93389999999999</v>
      </c>
      <c r="K5659">
        <v>1.1082559999999999</v>
      </c>
      <c r="L5659">
        <v>17.526029999999999</v>
      </c>
      <c r="M5659">
        <v>0.99947799999999998</v>
      </c>
      <c r="N5659">
        <v>0</v>
      </c>
      <c r="O5659">
        <v>-2.888261E-2</v>
      </c>
      <c r="P5659">
        <v>0.92127170000000003</v>
      </c>
      <c r="Q5659">
        <v>0.17989330000000001</v>
      </c>
      <c r="R5659">
        <v>-0.34481460000000003</v>
      </c>
      <c r="S5659">
        <v>2.9186100000000001</v>
      </c>
      <c r="T5659">
        <v>-0.24606430000000001</v>
      </c>
      <c r="U5659">
        <v>-1.0310969999999999</v>
      </c>
      <c r="V5659">
        <v>0.31911909999999999</v>
      </c>
      <c r="W5659">
        <v>0.19158839999999999</v>
      </c>
      <c r="X5659">
        <v>0.92814700000000006</v>
      </c>
      <c r="Y5659">
        <v>0.30486400000000002</v>
      </c>
      <c r="Z5659">
        <v>-1.0096630000000001E-2</v>
      </c>
      <c r="AA5659">
        <v>0.95234240000000003</v>
      </c>
      <c r="AB5659">
        <v>32</v>
      </c>
      <c r="AC5659">
        <v>13.5772999999999</v>
      </c>
      <c r="AD5659">
        <v>-1.158256</v>
      </c>
      <c r="AE5659">
        <v>-4.8480099999999897</v>
      </c>
      <c r="AF5659">
        <v>4.4252351270426598</v>
      </c>
      <c r="AG5659">
        <v>-1.158256</v>
      </c>
      <c r="AH5659">
        <v>13.623737083344</v>
      </c>
      <c r="AI5659">
        <v>94.622813962406696</v>
      </c>
      <c r="AJ5659">
        <v>72.005270154106597</v>
      </c>
      <c r="AK5659">
        <v>14.3711681851974</v>
      </c>
      <c r="AL5659">
        <v>78.954503889225904</v>
      </c>
      <c r="AM5659">
        <v>71.025806748562303</v>
      </c>
      <c r="AN5659">
        <v>0.99999998430418402</v>
      </c>
    </row>
    <row r="5660" spans="1:40" x14ac:dyDescent="0.25">
      <c r="A5660" t="str">
        <f>"20190312164139837"</f>
        <v>20190312164139837</v>
      </c>
      <c r="B5660" t="str">
        <f>"1552380099832010"</f>
        <v>1552380099832010</v>
      </c>
      <c r="C5660" t="s">
        <v>40</v>
      </c>
      <c r="D5660">
        <v>5.8915899999999999</v>
      </c>
      <c r="E5660">
        <v>0.51164379999999998</v>
      </c>
      <c r="F5660" t="s">
        <v>43</v>
      </c>
      <c r="G5660">
        <v>-314.05119999999999</v>
      </c>
      <c r="H5660">
        <v>-0.05</v>
      </c>
      <c r="I5660">
        <v>12.24123</v>
      </c>
      <c r="J5660">
        <v>-328.7432</v>
      </c>
      <c r="K5660">
        <v>1.1081700000000001</v>
      </c>
      <c r="L5660">
        <v>17.518920000000001</v>
      </c>
      <c r="M5660">
        <v>0.99942759999999997</v>
      </c>
      <c r="N5660">
        <v>0</v>
      </c>
      <c r="O5660">
        <v>-3.0580610000000001E-2</v>
      </c>
      <c r="P5660">
        <v>0.91925449999999997</v>
      </c>
      <c r="Q5660">
        <v>0.1795571</v>
      </c>
      <c r="R5660">
        <v>-0.350329</v>
      </c>
      <c r="S5660">
        <v>2.9134220000000002</v>
      </c>
      <c r="T5660">
        <v>-0.22673889999999999</v>
      </c>
      <c r="U5660">
        <v>-1.034546</v>
      </c>
      <c r="V5660">
        <v>0.32314330000000002</v>
      </c>
      <c r="W5660">
        <v>0.19115409999999999</v>
      </c>
      <c r="X5660">
        <v>0.92684330000000004</v>
      </c>
      <c r="Y5660">
        <v>0.30491370000000001</v>
      </c>
      <c r="Z5660">
        <v>-9.1939250000000004E-3</v>
      </c>
      <c r="AA5660">
        <v>0.95233559999999995</v>
      </c>
      <c r="AB5660">
        <v>32</v>
      </c>
      <c r="AC5660">
        <v>14.692</v>
      </c>
      <c r="AD5660">
        <v>-1.1581699999999999</v>
      </c>
      <c r="AE5660">
        <v>-5.2776899999999998</v>
      </c>
      <c r="AF5660">
        <v>4.7994678223265899</v>
      </c>
      <c r="AG5660">
        <v>-1.1581699999999999</v>
      </c>
      <c r="AH5660">
        <v>14.765271947093</v>
      </c>
      <c r="AI5660">
        <v>94.266182302454695</v>
      </c>
      <c r="AJ5660">
        <v>71.993190557128997</v>
      </c>
      <c r="AK5660">
        <v>15.568863311046799</v>
      </c>
      <c r="AL5660">
        <v>78.979856103452505</v>
      </c>
      <c r="AM5660">
        <v>70.778924812911299</v>
      </c>
      <c r="AN5660">
        <v>0.99999999251829497</v>
      </c>
    </row>
    <row r="5661" spans="1:40" x14ac:dyDescent="0.25">
      <c r="A5661" t="str">
        <f>"20190312164139854"</f>
        <v>20190312164139854</v>
      </c>
      <c r="B5661" t="str">
        <f>"1552380099851530"</f>
        <v>1552380099851530</v>
      </c>
      <c r="C5661" t="s">
        <v>40</v>
      </c>
      <c r="D5661">
        <v>5.8101269999999996</v>
      </c>
      <c r="E5661">
        <v>0.51059309999999902</v>
      </c>
      <c r="F5661" t="s">
        <v>43</v>
      </c>
      <c r="G5661">
        <v>-313.45650000000001</v>
      </c>
      <c r="H5661">
        <v>-0.05</v>
      </c>
      <c r="I5661">
        <v>12.015470000000001</v>
      </c>
      <c r="J5661">
        <v>-328.50709999999998</v>
      </c>
      <c r="K5661">
        <v>1.1080680000000001</v>
      </c>
      <c r="L5661">
        <v>17.509399999999999</v>
      </c>
      <c r="M5661">
        <v>0.99935779999999996</v>
      </c>
      <c r="N5661">
        <v>0</v>
      </c>
      <c r="O5661">
        <v>-3.278126E-2</v>
      </c>
      <c r="P5661">
        <v>0.91578899999999996</v>
      </c>
      <c r="Q5661">
        <v>0.1784993</v>
      </c>
      <c r="R5661">
        <v>-0.35981729999999901</v>
      </c>
      <c r="S5661">
        <v>2.9075929999999999</v>
      </c>
      <c r="T5661">
        <v>-0.22028990000000001</v>
      </c>
      <c r="U5661">
        <v>-1.046783</v>
      </c>
      <c r="V5661">
        <v>0.33072859999999998</v>
      </c>
      <c r="W5661">
        <v>0.1899459</v>
      </c>
      <c r="X5661">
        <v>0.92441280000000003</v>
      </c>
      <c r="Y5661">
        <v>0.30701129999999999</v>
      </c>
      <c r="Z5661">
        <v>-8.859848E-3</v>
      </c>
      <c r="AA5661">
        <v>0.95166459999999997</v>
      </c>
      <c r="AB5661">
        <v>32</v>
      </c>
      <c r="AC5661">
        <v>15.0505999999999</v>
      </c>
      <c r="AD5661">
        <v>-1.1580680000000001</v>
      </c>
      <c r="AE5661">
        <v>-5.49392999999999</v>
      </c>
      <c r="AF5661">
        <v>4.9715739260262497</v>
      </c>
      <c r="AG5661">
        <v>-1.1580680000000001</v>
      </c>
      <c r="AH5661">
        <v>15.143510527037501</v>
      </c>
      <c r="AI5661">
        <v>94.155669984733194</v>
      </c>
      <c r="AJ5661">
        <v>71.825130385085799</v>
      </c>
      <c r="AK5661">
        <v>15.9807252612973</v>
      </c>
      <c r="AL5661">
        <v>79.050372313456506</v>
      </c>
      <c r="AM5661">
        <v>70.314235698920399</v>
      </c>
      <c r="AN5661">
        <v>0.999999938294303</v>
      </c>
    </row>
    <row r="5662" spans="1:40" x14ac:dyDescent="0.25">
      <c r="A5662" t="str">
        <f>"20190312164139865"</f>
        <v>20190312164139865</v>
      </c>
      <c r="B5662" t="str">
        <f>"1552380099861291"</f>
        <v>1552380099861291</v>
      </c>
      <c r="C5662" t="s">
        <v>40</v>
      </c>
      <c r="D5662">
        <v>5.8707140000000004</v>
      </c>
      <c r="E5662">
        <v>0.51018929999999996</v>
      </c>
      <c r="F5662" t="s">
        <v>43</v>
      </c>
      <c r="G5662">
        <v>-312.84620000000001</v>
      </c>
      <c r="H5662">
        <v>-0.05</v>
      </c>
      <c r="I5662">
        <v>11.738479999999999</v>
      </c>
      <c r="J5662">
        <v>-328.35789999999997</v>
      </c>
      <c r="K5662">
        <v>1.107998</v>
      </c>
      <c r="L5662">
        <v>17.50311</v>
      </c>
      <c r="M5662">
        <v>0.99930969999999997</v>
      </c>
      <c r="N5662">
        <v>0</v>
      </c>
      <c r="O5662">
        <v>-3.4216759999999999E-2</v>
      </c>
      <c r="P5662">
        <v>0.91379759999999999</v>
      </c>
      <c r="Q5662">
        <v>0.17811920000000001</v>
      </c>
      <c r="R5662">
        <v>-0.3650311</v>
      </c>
      <c r="S5662">
        <v>2.8980410000000001</v>
      </c>
      <c r="T5662">
        <v>-0.2142992</v>
      </c>
      <c r="U5662">
        <v>-1.0679019999999999</v>
      </c>
      <c r="V5662">
        <v>0.33469989999999999</v>
      </c>
      <c r="W5662">
        <v>0.1894768</v>
      </c>
      <c r="X5662">
        <v>0.92307879999999998</v>
      </c>
      <c r="Y5662">
        <v>0.31278319999999998</v>
      </c>
      <c r="Z5662">
        <v>-8.7398779999999995E-3</v>
      </c>
      <c r="AA5662">
        <v>0.94978430000000003</v>
      </c>
      <c r="AB5662">
        <v>32</v>
      </c>
      <c r="AC5662">
        <v>15.5116999999999</v>
      </c>
      <c r="AD5662">
        <v>-1.1579979999999901</v>
      </c>
      <c r="AE5662">
        <v>-5.7646299999999897</v>
      </c>
      <c r="AF5662">
        <v>5.2049504285498402</v>
      </c>
      <c r="AG5662">
        <v>-1.1579979999999901</v>
      </c>
      <c r="AH5662">
        <v>15.623377984203699</v>
      </c>
      <c r="AI5662">
        <v>94.022408171888202</v>
      </c>
      <c r="AJ5662">
        <v>71.574432704573795</v>
      </c>
      <c r="AK5662">
        <v>16.508252723076598</v>
      </c>
      <c r="AL5662">
        <v>79.0777473063158</v>
      </c>
      <c r="AM5662">
        <v>70.069820187173505</v>
      </c>
      <c r="AN5662">
        <v>0.99999997590384404</v>
      </c>
    </row>
    <row r="5663" spans="1:40" x14ac:dyDescent="0.25">
      <c r="A5663" t="str">
        <f>"20190312164139876"</f>
        <v>20190312164139876</v>
      </c>
      <c r="B5663" t="str">
        <f>"1552380099872027"</f>
        <v>1552380099872027</v>
      </c>
      <c r="C5663" t="s">
        <v>40</v>
      </c>
      <c r="D5663">
        <v>5.8148419999999996</v>
      </c>
      <c r="E5663">
        <v>0.50972019999999996</v>
      </c>
      <c r="F5663" t="s">
        <v>43</v>
      </c>
      <c r="G5663">
        <v>-312.57319999999999</v>
      </c>
      <c r="H5663">
        <v>-0.05</v>
      </c>
      <c r="I5663">
        <v>11.60538</v>
      </c>
      <c r="J5663">
        <v>-328.18049999999999</v>
      </c>
      <c r="K5663">
        <v>1.107923</v>
      </c>
      <c r="L5663">
        <v>17.495419999999999</v>
      </c>
      <c r="M5663">
        <v>0.99924860000000004</v>
      </c>
      <c r="N5663">
        <v>0</v>
      </c>
      <c r="O5663">
        <v>-3.5955229999999998E-2</v>
      </c>
      <c r="P5663">
        <v>0.91174880000000003</v>
      </c>
      <c r="Q5663">
        <v>0.1778219</v>
      </c>
      <c r="R5663">
        <v>-0.37026130000000002</v>
      </c>
      <c r="S5663">
        <v>2.8926090000000002</v>
      </c>
      <c r="T5663">
        <v>-0.21220710000000001</v>
      </c>
      <c r="U5663">
        <v>-1.0807800000000001</v>
      </c>
      <c r="V5663">
        <v>0.33841949999999998</v>
      </c>
      <c r="W5663">
        <v>0.18908169999999999</v>
      </c>
      <c r="X5663">
        <v>0.92180280000000003</v>
      </c>
      <c r="Y5663">
        <v>0.3154344</v>
      </c>
      <c r="Z5663">
        <v>-8.6347109999999998E-3</v>
      </c>
      <c r="AA5663">
        <v>0.94890810000000003</v>
      </c>
      <c r="AB5663">
        <v>32</v>
      </c>
      <c r="AC5663">
        <v>15.6073</v>
      </c>
      <c r="AD5663">
        <v>-1.157923</v>
      </c>
      <c r="AE5663">
        <v>-5.8900399999999999</v>
      </c>
      <c r="AF5663">
        <v>5.2994744176790602</v>
      </c>
      <c r="AG5663">
        <v>-1.157923</v>
      </c>
      <c r="AH5663">
        <v>15.733201849771801</v>
      </c>
      <c r="AI5663">
        <v>93.989750330539707</v>
      </c>
      <c r="AJ5663">
        <v>71.384734534479705</v>
      </c>
      <c r="AK5663">
        <v>16.642080856167802</v>
      </c>
      <c r="AL5663">
        <v>79.100802153417803</v>
      </c>
      <c r="AM5663">
        <v>69.8404066201077</v>
      </c>
      <c r="AN5663">
        <v>1.00000002467148</v>
      </c>
    </row>
    <row r="5664" spans="1:40" x14ac:dyDescent="0.25">
      <c r="A5664" t="str">
        <f>"20190312164139889"</f>
        <v>20190312164139889</v>
      </c>
      <c r="B5664" t="str">
        <f>"1552380099881787"</f>
        <v>1552380099881787</v>
      </c>
      <c r="C5664" t="s">
        <v>40</v>
      </c>
      <c r="D5664">
        <v>5.9200390000000001</v>
      </c>
      <c r="E5664">
        <v>0.50918969999999997</v>
      </c>
      <c r="F5664" t="s">
        <v>43</v>
      </c>
      <c r="G5664">
        <v>-312.28460000000001</v>
      </c>
      <c r="H5664">
        <v>-0.05</v>
      </c>
      <c r="I5664">
        <v>11.47852</v>
      </c>
      <c r="J5664">
        <v>-328.00369999999998</v>
      </c>
      <c r="K5664">
        <v>1.1078490000000001</v>
      </c>
      <c r="L5664">
        <v>17.48724</v>
      </c>
      <c r="M5664">
        <v>0.99918220000000002</v>
      </c>
      <c r="N5664">
        <v>0</v>
      </c>
      <c r="O5664">
        <v>-3.7757239999999997E-2</v>
      </c>
      <c r="P5664">
        <v>0.90961740000000002</v>
      </c>
      <c r="Q5664">
        <v>0.17783829999999901</v>
      </c>
      <c r="R5664">
        <v>-0.3754596</v>
      </c>
      <c r="S5664">
        <v>2.887543</v>
      </c>
      <c r="T5664">
        <v>-0.2103399</v>
      </c>
      <c r="U5664">
        <v>-1.0929869999999999</v>
      </c>
      <c r="V5664">
        <v>0.34205859999999999</v>
      </c>
      <c r="W5664">
        <v>0.18900069999999999</v>
      </c>
      <c r="X5664">
        <v>0.92047520000000005</v>
      </c>
      <c r="Y5664">
        <v>0.3177912</v>
      </c>
      <c r="Z5664">
        <v>-8.5234760000000003E-3</v>
      </c>
      <c r="AA5664">
        <v>0.94812240000000003</v>
      </c>
      <c r="AB5664">
        <v>32</v>
      </c>
      <c r="AC5664">
        <v>15.7190999999999</v>
      </c>
      <c r="AD5664">
        <v>-1.1578489999999999</v>
      </c>
      <c r="AE5664">
        <v>-6.0087199999999896</v>
      </c>
      <c r="AF5664">
        <v>5.3853688075948396</v>
      </c>
      <c r="AG5664">
        <v>-1.1578489999999999</v>
      </c>
      <c r="AH5664">
        <v>15.8597072657538</v>
      </c>
      <c r="AI5664">
        <v>93.954509112342606</v>
      </c>
      <c r="AJ5664">
        <v>71.2444166674793</v>
      </c>
      <c r="AK5664">
        <v>16.789077582047799</v>
      </c>
      <c r="AL5664">
        <v>79.105527748891404</v>
      </c>
      <c r="AM5664">
        <v>69.614386120643701</v>
      </c>
      <c r="AN5664">
        <v>0.99999997212474401</v>
      </c>
    </row>
    <row r="5665" spans="1:40" x14ac:dyDescent="0.25">
      <c r="A5665" t="str">
        <f>"20190312164139900"</f>
        <v>20190312164139900</v>
      </c>
      <c r="B5665" t="str">
        <f>"1552380099891547"</f>
        <v>1552380099891547</v>
      </c>
      <c r="C5665" t="s">
        <v>40</v>
      </c>
      <c r="D5665">
        <v>6.4322970000000002</v>
      </c>
      <c r="E5665">
        <v>0.508772</v>
      </c>
      <c r="F5665" t="s">
        <v>43</v>
      </c>
      <c r="G5665">
        <v>-311.94130000000001</v>
      </c>
      <c r="H5665">
        <v>-0.05</v>
      </c>
      <c r="I5665">
        <v>11.334759999999999</v>
      </c>
      <c r="J5665">
        <v>-327.85019999999997</v>
      </c>
      <c r="K5665">
        <v>1.1077870000000001</v>
      </c>
      <c r="L5665">
        <v>17.479979999999902</v>
      </c>
      <c r="M5665">
        <v>0.99912100000000004</v>
      </c>
      <c r="N5665">
        <v>0</v>
      </c>
      <c r="O5665">
        <v>-3.9339800000000001E-2</v>
      </c>
      <c r="P5665">
        <v>0.90756879999999995</v>
      </c>
      <c r="Q5665">
        <v>0.17762120000000001</v>
      </c>
      <c r="R5665">
        <v>-0.38048589999999999</v>
      </c>
      <c r="S5665">
        <v>2.8828740000000002</v>
      </c>
      <c r="T5665">
        <v>-0.207811</v>
      </c>
      <c r="U5665">
        <v>-1.1042479999999999</v>
      </c>
      <c r="V5665">
        <v>0.34572509999999901</v>
      </c>
      <c r="W5665">
        <v>0.1886921</v>
      </c>
      <c r="X5665">
        <v>0.91916779999999998</v>
      </c>
      <c r="Y5665">
        <v>0.3200442</v>
      </c>
      <c r="Z5665">
        <v>-8.3970940000000008E-3</v>
      </c>
      <c r="AA5665">
        <v>0.94736540000000002</v>
      </c>
      <c r="AB5665">
        <v>32</v>
      </c>
      <c r="AC5665">
        <v>15.9088999999999</v>
      </c>
      <c r="AD5665">
        <v>-1.1577869999999999</v>
      </c>
      <c r="AE5665">
        <v>-6.1452199999999904</v>
      </c>
      <c r="AF5665">
        <v>5.48924511976979</v>
      </c>
      <c r="AG5665">
        <v>-1.1577869999999999</v>
      </c>
      <c r="AH5665">
        <v>16.064323665541899</v>
      </c>
      <c r="AI5665">
        <v>93.901544952116694</v>
      </c>
      <c r="AJ5665">
        <v>71.134492343089804</v>
      </c>
      <c r="AK5665">
        <v>17.015721482017</v>
      </c>
      <c r="AL5665">
        <v>79.123533501223903</v>
      </c>
      <c r="AM5665">
        <v>69.387294886121694</v>
      </c>
      <c r="AN5665">
        <v>0.99999999896462999</v>
      </c>
    </row>
    <row r="5666" spans="1:40" x14ac:dyDescent="0.25">
      <c r="A5666" t="str">
        <f>"20190312164139910"</f>
        <v>20190312164139910</v>
      </c>
      <c r="B5666" t="str">
        <f>"1552380099902283"</f>
        <v>1552380099902283</v>
      </c>
      <c r="C5666" t="s">
        <v>40</v>
      </c>
      <c r="D5666">
        <v>5.9365180000000004</v>
      </c>
      <c r="E5666">
        <v>0.50836689999999995</v>
      </c>
      <c r="F5666" t="s">
        <v>43</v>
      </c>
      <c r="G5666">
        <v>-311.72109999999998</v>
      </c>
      <c r="H5666">
        <v>-0.05</v>
      </c>
      <c r="I5666">
        <v>11.225910000000001</v>
      </c>
      <c r="J5666">
        <v>-327.7063</v>
      </c>
      <c r="K5666">
        <v>1.107729</v>
      </c>
      <c r="L5666">
        <v>17.472809999999999</v>
      </c>
      <c r="M5666">
        <v>0.99905960000000005</v>
      </c>
      <c r="N5666">
        <v>0</v>
      </c>
      <c r="O5666">
        <v>-4.0871959999999999E-2</v>
      </c>
      <c r="P5666">
        <v>0.9055685</v>
      </c>
      <c r="Q5666">
        <v>0.17724419999999999</v>
      </c>
      <c r="R5666">
        <v>-0.38539620000000002</v>
      </c>
      <c r="S5666">
        <v>2.8781129999999999</v>
      </c>
      <c r="T5666">
        <v>-0.2065988</v>
      </c>
      <c r="U5666">
        <v>-1.1159969999999999</v>
      </c>
      <c r="V5666">
        <v>0.34932180000000002</v>
      </c>
      <c r="W5666">
        <v>0.18822759999999999</v>
      </c>
      <c r="X5666">
        <v>0.91790240000000001</v>
      </c>
      <c r="Y5666">
        <v>0.32248510000000002</v>
      </c>
      <c r="Z5666">
        <v>-8.3341230000000006E-3</v>
      </c>
      <c r="AA5666">
        <v>0.94653790000000004</v>
      </c>
      <c r="AB5666">
        <v>32</v>
      </c>
      <c r="AC5666">
        <v>15.985200000000001</v>
      </c>
      <c r="AD5666">
        <v>-1.157729</v>
      </c>
      <c r="AE5666">
        <v>-6.2468999999999903</v>
      </c>
      <c r="AF5666">
        <v>5.5629501577772498</v>
      </c>
      <c r="AG5666">
        <v>-1.157729</v>
      </c>
      <c r="AH5666">
        <v>16.153683119566001</v>
      </c>
      <c r="AI5666">
        <v>93.876663177776507</v>
      </c>
      <c r="AJ5666">
        <v>70.9974917951903</v>
      </c>
      <c r="AK5666">
        <v>17.123908117678798</v>
      </c>
      <c r="AL5666">
        <v>79.150633908530494</v>
      </c>
      <c r="AM5666">
        <v>69.164911989763695</v>
      </c>
      <c r="AN5666">
        <v>1.00000008264137</v>
      </c>
    </row>
    <row r="5667" spans="1:40" x14ac:dyDescent="0.25">
      <c r="A5667" t="str">
        <f>"20190312164139921"</f>
        <v>20190312164139921</v>
      </c>
      <c r="B5667" t="str">
        <f>"1552380099912043"</f>
        <v>1552380099912043</v>
      </c>
      <c r="C5667" t="s">
        <v>40</v>
      </c>
      <c r="D5667">
        <v>5.8202239999999996</v>
      </c>
      <c r="E5667">
        <v>0.50798699999999997</v>
      </c>
      <c r="F5667" t="s">
        <v>43</v>
      </c>
      <c r="G5667">
        <v>-311.60419999999999</v>
      </c>
      <c r="H5667">
        <v>-0.05</v>
      </c>
      <c r="I5667">
        <v>11.15466</v>
      </c>
      <c r="J5667">
        <v>-327.54919999999998</v>
      </c>
      <c r="K5667">
        <v>1.107667</v>
      </c>
      <c r="L5667">
        <v>17.46481</v>
      </c>
      <c r="M5667">
        <v>0.99898900000000002</v>
      </c>
      <c r="N5667">
        <v>0</v>
      </c>
      <c r="O5667">
        <v>-4.2562780000000001E-2</v>
      </c>
      <c r="P5667">
        <v>0.90351119999999996</v>
      </c>
      <c r="Q5667">
        <v>0.17729890000000001</v>
      </c>
      <c r="R5667">
        <v>-0.39017049999999998</v>
      </c>
      <c r="S5667">
        <v>2.8734130000000002</v>
      </c>
      <c r="T5667">
        <v>-0.20659659999999999</v>
      </c>
      <c r="U5667">
        <v>-1.127472</v>
      </c>
      <c r="V5667">
        <v>0.35264830000000003</v>
      </c>
      <c r="W5667">
        <v>0.188192</v>
      </c>
      <c r="X5667">
        <v>0.91663680000000003</v>
      </c>
      <c r="Y5667">
        <v>0.32468249999999999</v>
      </c>
      <c r="Z5667">
        <v>-8.3004659999999994E-3</v>
      </c>
      <c r="AA5667">
        <v>0.94578669999999998</v>
      </c>
      <c r="AB5667">
        <v>32</v>
      </c>
      <c r="AC5667">
        <v>15.944999999999901</v>
      </c>
      <c r="AD5667">
        <v>-1.157667</v>
      </c>
      <c r="AE5667">
        <v>-6.3101500000000001</v>
      </c>
      <c r="AF5667">
        <v>5.6001729429807003</v>
      </c>
      <c r="AG5667">
        <v>-1.157667</v>
      </c>
      <c r="AH5667">
        <v>16.1256599389991</v>
      </c>
      <c r="AI5667">
        <v>93.879697793172696</v>
      </c>
      <c r="AJ5667">
        <v>70.848737892172906</v>
      </c>
      <c r="AK5667">
        <v>17.1096182991445</v>
      </c>
      <c r="AL5667">
        <v>79.152710260715097</v>
      </c>
      <c r="AM5667">
        <v>68.957278980334095</v>
      </c>
      <c r="AN5667">
        <v>1.00000003773556</v>
      </c>
    </row>
    <row r="5668" spans="1:40" x14ac:dyDescent="0.25">
      <c r="A5668" t="str">
        <f>"20190312164139932"</f>
        <v>20190312164139932</v>
      </c>
      <c r="B5668" t="str">
        <f>"1552380099921803"</f>
        <v>1552380099921803</v>
      </c>
      <c r="C5668" t="s">
        <v>40</v>
      </c>
      <c r="D5668">
        <v>6.1456629999999999</v>
      </c>
      <c r="E5668">
        <v>0.50758729999999996</v>
      </c>
      <c r="F5668" t="s">
        <v>43</v>
      </c>
      <c r="G5668">
        <v>-311.35669999999999</v>
      </c>
      <c r="H5668">
        <v>-0.05</v>
      </c>
      <c r="I5668">
        <v>11.03233</v>
      </c>
      <c r="J5668">
        <v>-327.39060000000001</v>
      </c>
      <c r="K5668">
        <v>1.1076029999999999</v>
      </c>
      <c r="L5668">
        <v>17.45636</v>
      </c>
      <c r="M5668">
        <v>0.99891280000000005</v>
      </c>
      <c r="N5668">
        <v>0</v>
      </c>
      <c r="O5668">
        <v>-4.4312579999999997E-2</v>
      </c>
      <c r="P5668">
        <v>0.90140129999999996</v>
      </c>
      <c r="Q5668">
        <v>0.1776896</v>
      </c>
      <c r="R5668">
        <v>-0.3948448</v>
      </c>
      <c r="S5668">
        <v>2.8685299999999998</v>
      </c>
      <c r="T5668">
        <v>-0.20508299999999999</v>
      </c>
      <c r="U5668">
        <v>-1.139526</v>
      </c>
      <c r="V5668">
        <v>0.35582970000000003</v>
      </c>
      <c r="W5668">
        <v>0.18849399999999999</v>
      </c>
      <c r="X5668">
        <v>0.91534439999999995</v>
      </c>
      <c r="Y5668">
        <v>0.32701730000000001</v>
      </c>
      <c r="Z5668">
        <v>-8.2072719999999998E-3</v>
      </c>
      <c r="AA5668">
        <v>0.94498269999999995</v>
      </c>
      <c r="AB5668">
        <v>32</v>
      </c>
      <c r="AC5668">
        <v>16.033899999999999</v>
      </c>
      <c r="AD5668">
        <v>-1.1576029999999999</v>
      </c>
      <c r="AE5668">
        <v>-6.4240300000000001</v>
      </c>
      <c r="AF5668">
        <v>5.6816217349984601</v>
      </c>
      <c r="AG5668">
        <v>-1.1576029999999999</v>
      </c>
      <c r="AH5668">
        <v>16.229945915873099</v>
      </c>
      <c r="AI5668">
        <v>93.851303431771697</v>
      </c>
      <c r="AJ5668">
        <v>70.706366481647194</v>
      </c>
      <c r="AK5668">
        <v>17.234616754583801</v>
      </c>
      <c r="AL5668">
        <v>79.135091942682294</v>
      </c>
      <c r="AM5668">
        <v>68.756974629699897</v>
      </c>
      <c r="AN5668">
        <v>1.00000006702472</v>
      </c>
    </row>
    <row r="5669" spans="1:40" x14ac:dyDescent="0.25">
      <c r="A5669" t="str">
        <f>"20190312164139943"</f>
        <v>20190312164139943</v>
      </c>
      <c r="B5669" t="str">
        <f>"1552380099932070"</f>
        <v>1552380099932070</v>
      </c>
      <c r="C5669" t="s">
        <v>40</v>
      </c>
      <c r="D5669">
        <v>5.8206319999999998</v>
      </c>
      <c r="E5669">
        <v>0.5071888</v>
      </c>
      <c r="F5669" t="s">
        <v>43</v>
      </c>
      <c r="G5669">
        <v>-311.09969999999998</v>
      </c>
      <c r="H5669">
        <v>-0.05</v>
      </c>
      <c r="I5669">
        <v>10.907439999999999</v>
      </c>
      <c r="J5669">
        <v>-327.23390000000001</v>
      </c>
      <c r="K5669">
        <v>1.1075459999999999</v>
      </c>
      <c r="L5669">
        <v>17.44772</v>
      </c>
      <c r="M5669">
        <v>0.99883330000000004</v>
      </c>
      <c r="N5669">
        <v>0</v>
      </c>
      <c r="O5669">
        <v>-4.6068999999999999E-2</v>
      </c>
      <c r="P5669">
        <v>0.89921299999999904</v>
      </c>
      <c r="Q5669">
        <v>0.17770520000000001</v>
      </c>
      <c r="R5669">
        <v>-0.39979680000000001</v>
      </c>
      <c r="S5669">
        <v>2.863953</v>
      </c>
      <c r="T5669">
        <v>-0.2035072</v>
      </c>
      <c r="U5669">
        <v>-1.1513059999999999</v>
      </c>
      <c r="V5669">
        <v>0.35928779999999999</v>
      </c>
      <c r="W5669">
        <v>0.18841959999999999</v>
      </c>
      <c r="X5669">
        <v>0.91400780000000004</v>
      </c>
      <c r="Y5669">
        <v>0.32923200000000002</v>
      </c>
      <c r="Z5669">
        <v>-8.1067699999999993E-3</v>
      </c>
      <c r="AA5669">
        <v>0.94421429999999995</v>
      </c>
      <c r="AB5669">
        <v>32</v>
      </c>
      <c r="AC5669">
        <v>16.1342</v>
      </c>
      <c r="AD5669">
        <v>-1.157546</v>
      </c>
      <c r="AE5669">
        <v>-6.5402800000000001</v>
      </c>
      <c r="AF5669">
        <v>5.7644859927488898</v>
      </c>
      <c r="AG5669">
        <v>-1.157546</v>
      </c>
      <c r="AH5669">
        <v>16.3461376006763</v>
      </c>
      <c r="AI5669">
        <v>93.820745156345396</v>
      </c>
      <c r="AJ5669">
        <v>70.574737607300804</v>
      </c>
      <c r="AK5669">
        <v>17.371396776395301</v>
      </c>
      <c r="AL5669">
        <v>79.139431389140199</v>
      </c>
      <c r="AM5669">
        <v>68.540680938059396</v>
      </c>
      <c r="AN5669">
        <v>0.99999996367691901</v>
      </c>
    </row>
    <row r="5670" spans="1:40" x14ac:dyDescent="0.25">
      <c r="A5670" t="str">
        <f>"20190312164139954"</f>
        <v>20190312164139954</v>
      </c>
      <c r="B5670" t="str">
        <f>"1552380099941830"</f>
        <v>1552380099941830</v>
      </c>
      <c r="C5670" t="s">
        <v>40</v>
      </c>
      <c r="D5670">
        <v>5.8051339999999998</v>
      </c>
      <c r="E5670">
        <v>0.50695900000000005</v>
      </c>
      <c r="F5670" t="s">
        <v>43</v>
      </c>
      <c r="G5670">
        <v>-310.90589999999997</v>
      </c>
      <c r="H5670">
        <v>-0.05</v>
      </c>
      <c r="I5670">
        <v>10.799289999999999</v>
      </c>
      <c r="J5670">
        <v>-327.07920000000001</v>
      </c>
      <c r="K5670">
        <v>1.1074930000000001</v>
      </c>
      <c r="L5670">
        <v>17.4389</v>
      </c>
      <c r="M5670">
        <v>0.99875040000000004</v>
      </c>
      <c r="N5670">
        <v>0</v>
      </c>
      <c r="O5670">
        <v>-4.7832029999999998E-2</v>
      </c>
      <c r="P5670">
        <v>0.89693469999999997</v>
      </c>
      <c r="Q5670">
        <v>0.17778649999999999</v>
      </c>
      <c r="R5670">
        <v>-0.40484619999999999</v>
      </c>
      <c r="S5670">
        <v>2.858765</v>
      </c>
      <c r="T5670">
        <v>-0.2026675</v>
      </c>
      <c r="U5670">
        <v>-1.164032</v>
      </c>
      <c r="V5670">
        <v>0.36284650000000002</v>
      </c>
      <c r="W5670">
        <v>0.1884102</v>
      </c>
      <c r="X5670">
        <v>0.91260289999999999</v>
      </c>
      <c r="Y5670">
        <v>0.33177109999999999</v>
      </c>
      <c r="Z5670">
        <v>-8.0475909999999998E-3</v>
      </c>
      <c r="AA5670">
        <v>0.94332559999999999</v>
      </c>
      <c r="AB5670">
        <v>32</v>
      </c>
      <c r="AC5670">
        <v>16.173300000000001</v>
      </c>
      <c r="AD5670">
        <v>-1.1574930000000001</v>
      </c>
      <c r="AE5670">
        <v>-6.6396100000000002</v>
      </c>
      <c r="AF5670">
        <v>5.8327592050106603</v>
      </c>
      <c r="AG5670">
        <v>-1.1574930000000001</v>
      </c>
      <c r="AH5670">
        <v>16.400515521829501</v>
      </c>
      <c r="AI5670">
        <v>93.804365526217197</v>
      </c>
      <c r="AJ5670">
        <v>70.422331301291905</v>
      </c>
      <c r="AK5670">
        <v>17.445279572722701</v>
      </c>
      <c r="AL5670">
        <v>79.139980405875903</v>
      </c>
      <c r="AM5670">
        <v>68.317470764656505</v>
      </c>
      <c r="AN5670">
        <v>1.00000001955735</v>
      </c>
    </row>
    <row r="5671" spans="1:40" x14ac:dyDescent="0.25">
      <c r="A5671" t="str">
        <f>"20190312164139977"</f>
        <v>20190312164139977</v>
      </c>
      <c r="B5671" t="str">
        <f>"1552380099972086"</f>
        <v>1552380099972086</v>
      </c>
      <c r="C5671" t="s">
        <v>40</v>
      </c>
      <c r="D5671">
        <v>5.972817</v>
      </c>
      <c r="E5671">
        <v>0.50627719999999998</v>
      </c>
      <c r="F5671" t="s">
        <v>43</v>
      </c>
      <c r="G5671">
        <v>-311.03730000000002</v>
      </c>
      <c r="H5671">
        <v>-0.05</v>
      </c>
      <c r="I5671">
        <v>10.82179</v>
      </c>
      <c r="J5671">
        <v>-326.74360000000001</v>
      </c>
      <c r="K5671">
        <v>1.10738799999999</v>
      </c>
      <c r="L5671">
        <v>17.41882</v>
      </c>
      <c r="M5671">
        <v>0.99855470000000002</v>
      </c>
      <c r="N5671">
        <v>0</v>
      </c>
      <c r="O5671">
        <v>-5.1756490000000002E-2</v>
      </c>
      <c r="P5671">
        <v>0.89284490000000005</v>
      </c>
      <c r="Q5671">
        <v>0.17705760000000001</v>
      </c>
      <c r="R5671">
        <v>-0.41409980000000002</v>
      </c>
      <c r="S5671">
        <v>2.8541560000000001</v>
      </c>
      <c r="T5671">
        <v>-0.20593990000000001</v>
      </c>
      <c r="U5671">
        <v>-1.1773070000000001</v>
      </c>
      <c r="V5671">
        <v>0.36874440000000003</v>
      </c>
      <c r="W5671">
        <v>0.18751139999999999</v>
      </c>
      <c r="X5671">
        <v>0.91042129999999999</v>
      </c>
      <c r="Y5671">
        <v>0.33233960000000001</v>
      </c>
      <c r="Z5671">
        <v>-7.9321069999999903E-3</v>
      </c>
      <c r="AA5671">
        <v>0.94312640000000003</v>
      </c>
      <c r="AB5671">
        <v>32</v>
      </c>
      <c r="AC5671">
        <v>15.706300000000001</v>
      </c>
      <c r="AD5671">
        <v>-1.1573880000000001</v>
      </c>
      <c r="AE5671">
        <v>-6.5970300000000002</v>
      </c>
      <c r="AF5671">
        <v>5.7486634200221998</v>
      </c>
      <c r="AG5671">
        <v>-1.1573880000000001</v>
      </c>
      <c r="AH5671">
        <v>15.953083563768899</v>
      </c>
      <c r="AI5671">
        <v>93.904571639227697</v>
      </c>
      <c r="AJ5671">
        <v>70.183468993887203</v>
      </c>
      <c r="AK5671">
        <v>16.996692422110801</v>
      </c>
      <c r="AL5671">
        <v>79.192411618528297</v>
      </c>
      <c r="AM5671">
        <v>67.950767228786603</v>
      </c>
      <c r="AN5671">
        <v>0.99999995057750302</v>
      </c>
    </row>
    <row r="5672" spans="1:40" x14ac:dyDescent="0.25">
      <c r="A5672" t="str">
        <f>"20190312164139989"</f>
        <v>20190312164139989</v>
      </c>
      <c r="B5672" t="str">
        <f>"1552380099981846"</f>
        <v>1552380099981846</v>
      </c>
      <c r="C5672" t="s">
        <v>40</v>
      </c>
      <c r="D5672">
        <v>5.9077120000000001</v>
      </c>
      <c r="E5672">
        <v>0.50593540000000004</v>
      </c>
      <c r="F5672" t="s">
        <v>43</v>
      </c>
      <c r="G5672">
        <v>-310.8954</v>
      </c>
      <c r="H5672">
        <v>-0.05</v>
      </c>
      <c r="I5672">
        <v>10.73767</v>
      </c>
      <c r="J5672">
        <v>-326.58710000000002</v>
      </c>
      <c r="K5672">
        <v>1.1073360000000001</v>
      </c>
      <c r="L5672">
        <v>17.408809999999999</v>
      </c>
      <c r="M5672">
        <v>0.99845459999999997</v>
      </c>
      <c r="N5672">
        <v>0</v>
      </c>
      <c r="O5672">
        <v>-5.365168E-2</v>
      </c>
      <c r="P5672">
        <v>0.89104629999999996</v>
      </c>
      <c r="Q5672">
        <v>0.17591970000000001</v>
      </c>
      <c r="R5672">
        <v>-0.41843609999999998</v>
      </c>
      <c r="S5672">
        <v>2.8450009999999999</v>
      </c>
      <c r="T5672">
        <v>-0.20776900000000001</v>
      </c>
      <c r="U5672">
        <v>-1.199371</v>
      </c>
      <c r="V5672">
        <v>0.37145149999999999</v>
      </c>
      <c r="W5672">
        <v>0.18629680000000001</v>
      </c>
      <c r="X5672">
        <v>0.90956990000000004</v>
      </c>
      <c r="Y5672">
        <v>0.33782099999999998</v>
      </c>
      <c r="Z5672">
        <v>-8.0748399999999998E-3</v>
      </c>
      <c r="AA5672">
        <v>0.94117580000000001</v>
      </c>
      <c r="AB5672">
        <v>32</v>
      </c>
      <c r="AC5672">
        <v>15.691700000000001</v>
      </c>
      <c r="AD5672">
        <v>-1.1573359999999999</v>
      </c>
      <c r="AE5672">
        <v>-6.6711399999999896</v>
      </c>
      <c r="AF5672">
        <v>5.7928670939246603</v>
      </c>
      <c r="AG5672">
        <v>-1.1573359999999999</v>
      </c>
      <c r="AH5672">
        <v>15.953551164984299</v>
      </c>
      <c r="AI5672">
        <v>93.900847673738099</v>
      </c>
      <c r="AJ5672">
        <v>70.043619502633007</v>
      </c>
      <c r="AK5672">
        <v>17.012128924932998</v>
      </c>
      <c r="AL5672">
        <v>79.263252583307207</v>
      </c>
      <c r="AM5672">
        <v>67.7858050831139</v>
      </c>
      <c r="AN5672">
        <v>1.0000000587642399</v>
      </c>
    </row>
    <row r="5673" spans="1:40" x14ac:dyDescent="0.25">
      <c r="A5673" t="str">
        <f>"20190312164140022"</f>
        <v>20190312164140022</v>
      </c>
      <c r="B5673" t="str">
        <f>"1552380100012102"</f>
        <v>1552380100012102</v>
      </c>
      <c r="C5673" t="s">
        <v>40</v>
      </c>
      <c r="D5673">
        <v>5.8062719999999999</v>
      </c>
      <c r="E5673">
        <v>0.50569699999999995</v>
      </c>
      <c r="F5673" t="s">
        <v>43</v>
      </c>
      <c r="G5673">
        <v>-311.05799999999999</v>
      </c>
      <c r="H5673">
        <v>-0.05</v>
      </c>
      <c r="I5673">
        <v>10.79242</v>
      </c>
      <c r="J5673">
        <v>-326.10329999999999</v>
      </c>
      <c r="K5673">
        <v>1.107164</v>
      </c>
      <c r="L5673">
        <v>17.37613</v>
      </c>
      <c r="M5673">
        <v>0.99811260000000002</v>
      </c>
      <c r="N5673">
        <v>0</v>
      </c>
      <c r="O5673">
        <v>-5.9674320000000003E-2</v>
      </c>
      <c r="P5673">
        <v>0.88619899999999996</v>
      </c>
      <c r="Q5673">
        <v>0.1728046</v>
      </c>
      <c r="R5673">
        <v>-0.42987170000000002</v>
      </c>
      <c r="S5673">
        <v>2.840363</v>
      </c>
      <c r="T5673">
        <v>-0.2116835</v>
      </c>
      <c r="U5673">
        <v>-1.210175</v>
      </c>
      <c r="V5673">
        <v>0.3776931</v>
      </c>
      <c r="W5673">
        <v>0.18296480000000001</v>
      </c>
      <c r="X5673">
        <v>0.90767379999999998</v>
      </c>
      <c r="Y5673">
        <v>0.33572150000000001</v>
      </c>
      <c r="Z5673">
        <v>-7.7316469999999899E-3</v>
      </c>
      <c r="AA5673">
        <v>0.94192960000000003</v>
      </c>
      <c r="AB5673">
        <v>32</v>
      </c>
      <c r="AC5673">
        <v>15.0452999999999</v>
      </c>
      <c r="AD5673">
        <v>-1.1571639999999901</v>
      </c>
      <c r="AE5673">
        <v>-6.58371</v>
      </c>
      <c r="AF5673">
        <v>5.64603105089114</v>
      </c>
      <c r="AG5673">
        <v>-1.1571639999999901</v>
      </c>
      <c r="AH5673">
        <v>15.335265842537799</v>
      </c>
      <c r="AI5673">
        <v>94.050405830468193</v>
      </c>
      <c r="AJ5673">
        <v>69.787654669789404</v>
      </c>
      <c r="AK5673">
        <v>16.382523420152001</v>
      </c>
      <c r="AL5673">
        <v>79.457500714479096</v>
      </c>
      <c r="AM5673">
        <v>67.4072655387303</v>
      </c>
      <c r="AN5673">
        <v>0.99999996151654402</v>
      </c>
    </row>
    <row r="5674" spans="1:40" x14ac:dyDescent="0.25">
      <c r="A5674" t="str">
        <f>"20190312164140035"</f>
        <v>20190312164140035</v>
      </c>
      <c r="B5674" t="str">
        <f>"1552380100021862"</f>
        <v>1552380100021862</v>
      </c>
      <c r="C5674" t="s">
        <v>40</v>
      </c>
      <c r="D5674">
        <v>5.7444189999999997</v>
      </c>
      <c r="E5674">
        <v>0.50569699999999995</v>
      </c>
      <c r="F5674" t="s">
        <v>43</v>
      </c>
      <c r="G5674">
        <v>-311.55900000000003</v>
      </c>
      <c r="H5674">
        <v>-0.05</v>
      </c>
      <c r="I5674">
        <v>10.95898</v>
      </c>
      <c r="J5674">
        <v>-325.93549999999999</v>
      </c>
      <c r="K5674">
        <v>1.1070990000000001</v>
      </c>
      <c r="L5674">
        <v>17.364039999999999</v>
      </c>
      <c r="M5674">
        <v>0.99798129999999996</v>
      </c>
      <c r="N5674">
        <v>0</v>
      </c>
      <c r="O5674">
        <v>-6.1831379999999998E-2</v>
      </c>
      <c r="P5674">
        <v>0.88434590000000002</v>
      </c>
      <c r="Q5674">
        <v>0.17182790000000001</v>
      </c>
      <c r="R5674">
        <v>-0.4340598</v>
      </c>
      <c r="S5674">
        <v>2.8245849999999999</v>
      </c>
      <c r="T5674">
        <v>-0.22472790000000001</v>
      </c>
      <c r="U5674">
        <v>-1.246246</v>
      </c>
      <c r="V5674">
        <v>0.3800366</v>
      </c>
      <c r="W5674">
        <v>0.1819075</v>
      </c>
      <c r="X5674">
        <v>0.90690789999999999</v>
      </c>
      <c r="Y5674">
        <v>0.34557480000000002</v>
      </c>
      <c r="Z5674">
        <v>-8.4408209999999994E-3</v>
      </c>
      <c r="AA5674">
        <v>0.9383532</v>
      </c>
      <c r="AB5674">
        <v>32</v>
      </c>
      <c r="AC5674">
        <v>14.376499999999901</v>
      </c>
      <c r="AD5674">
        <v>-1.1570989999999901</v>
      </c>
      <c r="AE5674">
        <v>-6.40505999999999</v>
      </c>
      <c r="AF5674">
        <v>5.4742014092237898</v>
      </c>
      <c r="AG5674">
        <v>-1.1570989999999901</v>
      </c>
      <c r="AH5674">
        <v>14.665792283747001</v>
      </c>
      <c r="AI5674">
        <v>94.2274126545299</v>
      </c>
      <c r="AJ5674">
        <v>69.531244431813803</v>
      </c>
      <c r="AK5674">
        <v>15.696853903714601</v>
      </c>
      <c r="AL5674">
        <v>79.519114464006606</v>
      </c>
      <c r="AM5674">
        <v>67.264048652946499</v>
      </c>
      <c r="AN5674">
        <v>1.0000000474891</v>
      </c>
    </row>
    <row r="5675" spans="1:40" x14ac:dyDescent="0.25">
      <c r="A5675" t="str">
        <f>"20190312164140047"</f>
        <v>20190312164140047</v>
      </c>
      <c r="B5675" t="str">
        <f>"1552380100041890"</f>
        <v>1552380100041890</v>
      </c>
      <c r="C5675" t="s">
        <v>40</v>
      </c>
      <c r="D5675">
        <v>5.7614780000000003</v>
      </c>
      <c r="E5675">
        <v>0.52435240000000005</v>
      </c>
      <c r="F5675" t="s">
        <v>43</v>
      </c>
      <c r="G5675">
        <v>-311.61869999999999</v>
      </c>
      <c r="H5675">
        <v>-0.05</v>
      </c>
      <c r="I5675">
        <v>10.96753</v>
      </c>
      <c r="J5675">
        <v>-325.76209999999998</v>
      </c>
      <c r="K5675">
        <v>1.107035</v>
      </c>
      <c r="L5675">
        <v>17.35107</v>
      </c>
      <c r="M5675">
        <v>0.9978378</v>
      </c>
      <c r="N5675">
        <v>0</v>
      </c>
      <c r="O5675">
        <v>-6.4105079999999995E-2</v>
      </c>
      <c r="P5675">
        <v>0.88247790000000004</v>
      </c>
      <c r="Q5675">
        <v>0.17105119999999999</v>
      </c>
      <c r="R5675">
        <v>-0.43814920000000002</v>
      </c>
      <c r="S5675">
        <v>2.8185419999999999</v>
      </c>
      <c r="T5675">
        <v>-0.22779720000000001</v>
      </c>
      <c r="U5675">
        <v>-1.259277</v>
      </c>
      <c r="V5675">
        <v>0.38218289999999999</v>
      </c>
      <c r="W5675">
        <v>0.18105180000000001</v>
      </c>
      <c r="X5675">
        <v>0.90617689999999995</v>
      </c>
      <c r="Y5675">
        <v>0.34778039999999999</v>
      </c>
      <c r="Z5675">
        <v>-8.4762380000000005E-3</v>
      </c>
      <c r="AA5675">
        <v>0.93753770000000003</v>
      </c>
      <c r="AB5675">
        <v>32</v>
      </c>
      <c r="AC5675">
        <v>14.1433999999999</v>
      </c>
      <c r="AD5675">
        <v>-1.157035</v>
      </c>
      <c r="AE5675">
        <v>-6.38354</v>
      </c>
      <c r="AF5675">
        <v>5.4334390580015199</v>
      </c>
      <c r="AG5675">
        <v>-1.157035</v>
      </c>
      <c r="AH5675">
        <v>14.4432611113611</v>
      </c>
      <c r="AI5675">
        <v>94.287954382331193</v>
      </c>
      <c r="AJ5675">
        <v>69.384102599184899</v>
      </c>
      <c r="AK5675">
        <v>15.4747788843395</v>
      </c>
      <c r="AL5675">
        <v>79.568970346412698</v>
      </c>
      <c r="AM5675">
        <v>67.132265068551206</v>
      </c>
      <c r="AN5675">
        <v>1.0000000487146199</v>
      </c>
    </row>
    <row r="5676" spans="1:40" x14ac:dyDescent="0.25">
      <c r="A5676" t="str">
        <f>"20190312164140059"</f>
        <v>20190312164140059</v>
      </c>
      <c r="B5676" t="str">
        <f>"1552380100051649"</f>
        <v>1552380100051649</v>
      </c>
      <c r="C5676" t="s">
        <v>40</v>
      </c>
      <c r="D5676">
        <v>6.5404770000000001</v>
      </c>
      <c r="E5676">
        <v>0.52430149999999998</v>
      </c>
      <c r="F5676" t="s">
        <v>43</v>
      </c>
      <c r="G5676">
        <v>-314.59550000000002</v>
      </c>
      <c r="H5676">
        <v>-0.05</v>
      </c>
      <c r="I5676">
        <v>11.67801</v>
      </c>
      <c r="J5676">
        <v>-325.596</v>
      </c>
      <c r="K5676">
        <v>1.1069739999999999</v>
      </c>
      <c r="L5676">
        <v>17.33841</v>
      </c>
      <c r="M5676">
        <v>0.99769439999999998</v>
      </c>
      <c r="N5676">
        <v>0</v>
      </c>
      <c r="O5676">
        <v>-6.6300750000000006E-2</v>
      </c>
      <c r="P5676">
        <v>0.88069719999999996</v>
      </c>
      <c r="Q5676">
        <v>0.17008679999999901</v>
      </c>
      <c r="R5676">
        <v>-0.44208999999999998</v>
      </c>
      <c r="S5676">
        <v>2.7590330000000001</v>
      </c>
      <c r="T5676">
        <v>-0.28588059999999998</v>
      </c>
      <c r="U5676">
        <v>-1.4017029999999999</v>
      </c>
      <c r="V5676">
        <v>0.38424839999999999</v>
      </c>
      <c r="W5676">
        <v>0.18001110000000001</v>
      </c>
      <c r="X5676">
        <v>0.90551040000000005</v>
      </c>
      <c r="Y5676">
        <v>0.39145360000000001</v>
      </c>
      <c r="Z5676">
        <v>-1.264157E-2</v>
      </c>
      <c r="AA5676">
        <v>0.92011100000000001</v>
      </c>
      <c r="AB5676">
        <v>32</v>
      </c>
      <c r="AC5676">
        <v>11.000499999999899</v>
      </c>
      <c r="AD5676">
        <v>-1.1569739999999999</v>
      </c>
      <c r="AE5676">
        <v>-5.6603999999999903</v>
      </c>
      <c r="AF5676">
        <v>4.8758801222615302</v>
      </c>
      <c r="AG5676">
        <v>-1.1569739999999999</v>
      </c>
      <c r="AH5676">
        <v>11.253197795332399</v>
      </c>
      <c r="AI5676">
        <v>95.389225809644898</v>
      </c>
      <c r="AJ5676">
        <v>66.573474477433194</v>
      </c>
      <c r="AK5676">
        <v>12.318573635945601</v>
      </c>
      <c r="AL5676">
        <v>79.629593197151905</v>
      </c>
      <c r="AM5676">
        <v>67.006324682572796</v>
      </c>
      <c r="AN5676">
        <v>0.99999995676696396</v>
      </c>
    </row>
    <row r="5677" spans="1:40" x14ac:dyDescent="0.25">
      <c r="A5677" t="str">
        <f>"20190312164140069"</f>
        <v>20190312164140069</v>
      </c>
      <c r="B5677" t="str">
        <f>"1552380100062385"</f>
        <v>1552380100062385</v>
      </c>
      <c r="C5677" t="s">
        <v>40</v>
      </c>
      <c r="D5677">
        <v>6.3707039999999999</v>
      </c>
      <c r="E5677">
        <v>0.52280450000000001</v>
      </c>
      <c r="F5677" t="s">
        <v>43</v>
      </c>
      <c r="G5677">
        <v>-313.95229999999998</v>
      </c>
      <c r="H5677">
        <v>-0.05</v>
      </c>
      <c r="I5677">
        <v>11.34689</v>
      </c>
      <c r="J5677">
        <v>-325.43759999999997</v>
      </c>
      <c r="K5677">
        <v>1.1069070000000001</v>
      </c>
      <c r="L5677">
        <v>17.325710000000001</v>
      </c>
      <c r="M5677">
        <v>0.9975484</v>
      </c>
      <c r="N5677">
        <v>0</v>
      </c>
      <c r="O5677">
        <v>-6.8462640000000005E-2</v>
      </c>
      <c r="P5677">
        <v>0.87885859999999905</v>
      </c>
      <c r="Q5677">
        <v>0.16948450000000001</v>
      </c>
      <c r="R5677">
        <v>-0.44596239999999998</v>
      </c>
      <c r="S5677">
        <v>2.748993</v>
      </c>
      <c r="T5677">
        <v>-0.27315260000000002</v>
      </c>
      <c r="U5677">
        <v>-1.4145509999999999</v>
      </c>
      <c r="V5677">
        <v>0.38628899999999999</v>
      </c>
      <c r="W5677">
        <v>0.17932899999999999</v>
      </c>
      <c r="X5677">
        <v>0.90477730000000001</v>
      </c>
      <c r="Y5677">
        <v>0.3943334</v>
      </c>
      <c r="Z5677">
        <v>-1.204302E-2</v>
      </c>
      <c r="AA5677">
        <v>0.9188885</v>
      </c>
      <c r="AB5677">
        <v>32</v>
      </c>
      <c r="AC5677">
        <v>11.485299999999899</v>
      </c>
      <c r="AD5677">
        <v>-1.1569069999999999</v>
      </c>
      <c r="AE5677">
        <v>-5.9788199999999998</v>
      </c>
      <c r="AF5677">
        <v>5.1373800533614302</v>
      </c>
      <c r="AG5677">
        <v>-1.1569069999999999</v>
      </c>
      <c r="AH5677">
        <v>11.773724134214101</v>
      </c>
      <c r="AI5677">
        <v>95.146258253014693</v>
      </c>
      <c r="AJ5677">
        <v>66.426295461671998</v>
      </c>
      <c r="AK5677">
        <v>12.897739631729999</v>
      </c>
      <c r="AL5677">
        <v>79.669321829828107</v>
      </c>
      <c r="AM5677">
        <v>66.880244483631401</v>
      </c>
      <c r="AN5677">
        <v>1.00000002217864</v>
      </c>
    </row>
    <row r="5678" spans="1:40" x14ac:dyDescent="0.25">
      <c r="A5678" t="str">
        <f>"20190312164140080"</f>
        <v>20190312164140080</v>
      </c>
      <c r="B5678" t="str">
        <f>"1552380100072145"</f>
        <v>1552380100072145</v>
      </c>
      <c r="C5678" t="s">
        <v>40</v>
      </c>
      <c r="D5678">
        <v>6.1558250000000001</v>
      </c>
      <c r="E5678">
        <v>0.52229389999999998</v>
      </c>
      <c r="F5678" t="s">
        <v>43</v>
      </c>
      <c r="G5678">
        <v>-313.35090000000002</v>
      </c>
      <c r="H5678">
        <v>-0.05</v>
      </c>
      <c r="I5678">
        <v>11.085739999999999</v>
      </c>
      <c r="J5678">
        <v>-325.28489999999999</v>
      </c>
      <c r="K5678">
        <v>1.1068480000000001</v>
      </c>
      <c r="L5678">
        <v>17.313289999999999</v>
      </c>
      <c r="M5678">
        <v>0.99740200000000001</v>
      </c>
      <c r="N5678">
        <v>0</v>
      </c>
      <c r="O5678">
        <v>-7.0563360000000006E-2</v>
      </c>
      <c r="P5678">
        <v>0.87736329999999996</v>
      </c>
      <c r="Q5678">
        <v>0.16888029999999901</v>
      </c>
      <c r="R5678">
        <v>-0.44912469999999999</v>
      </c>
      <c r="S5678">
        <v>2.7450869999999998</v>
      </c>
      <c r="T5678">
        <v>-0.26275349999999997</v>
      </c>
      <c r="U5678">
        <v>-1.417206</v>
      </c>
      <c r="V5678">
        <v>0.38765640000000001</v>
      </c>
      <c r="W5678">
        <v>0.17865629999999999</v>
      </c>
      <c r="X5678">
        <v>0.90432539999999995</v>
      </c>
      <c r="Y5678">
        <v>0.39373449999999999</v>
      </c>
      <c r="Z5678">
        <v>-1.1384709999999999E-2</v>
      </c>
      <c r="AA5678">
        <v>0.91915369999999996</v>
      </c>
      <c r="AB5678">
        <v>32</v>
      </c>
      <c r="AC5678">
        <v>11.9339999999999</v>
      </c>
      <c r="AD5678">
        <v>-1.1568479999999901</v>
      </c>
      <c r="AE5678">
        <v>-6.2275499999999901</v>
      </c>
      <c r="AF5678">
        <v>5.3304628628776998</v>
      </c>
      <c r="AG5678">
        <v>-1.1568479999999901</v>
      </c>
      <c r="AH5678">
        <v>12.2532309728897</v>
      </c>
      <c r="AI5678">
        <v>94.948012502305602</v>
      </c>
      <c r="AJ5678">
        <v>66.4897511460955</v>
      </c>
      <c r="AK5678">
        <v>13.412449474372901</v>
      </c>
      <c r="AL5678">
        <v>79.708497071545395</v>
      </c>
      <c r="AM5678">
        <v>66.796679471562996</v>
      </c>
      <c r="AN5678">
        <v>0.99999999353790503</v>
      </c>
    </row>
    <row r="5679" spans="1:40" x14ac:dyDescent="0.25">
      <c r="A5679" t="str">
        <f>"20190312164140090"</f>
        <v>20190312164140090</v>
      </c>
      <c r="B5679" t="str">
        <f>"1552380100081905"</f>
        <v>1552380100081905</v>
      </c>
      <c r="C5679" t="s">
        <v>40</v>
      </c>
      <c r="D5679">
        <v>5.8206740000000003</v>
      </c>
      <c r="E5679">
        <v>0.52156359999999902</v>
      </c>
      <c r="F5679" t="s">
        <v>43</v>
      </c>
      <c r="G5679">
        <v>-312.9975</v>
      </c>
      <c r="H5679">
        <v>-0.05</v>
      </c>
      <c r="I5679">
        <v>10.92432</v>
      </c>
      <c r="J5679">
        <v>-325.14170000000001</v>
      </c>
      <c r="K5679">
        <v>1.106792</v>
      </c>
      <c r="L5679">
        <v>17.30124</v>
      </c>
      <c r="M5679">
        <v>0.99725710000000001</v>
      </c>
      <c r="N5679">
        <v>0</v>
      </c>
      <c r="O5679">
        <v>-7.2580989999999998E-2</v>
      </c>
      <c r="P5679">
        <v>0.87587950000000003</v>
      </c>
      <c r="Q5679">
        <v>0.16855419999999999</v>
      </c>
      <c r="R5679">
        <v>-0.45213389999999998</v>
      </c>
      <c r="S5679">
        <v>2.7397459999999998</v>
      </c>
      <c r="T5679">
        <v>-0.25794450000000002</v>
      </c>
      <c r="U5679">
        <v>-1.424561</v>
      </c>
      <c r="V5679">
        <v>0.38895069999999998</v>
      </c>
      <c r="W5679">
        <v>0.1782617</v>
      </c>
      <c r="X5679">
        <v>0.90384739999999997</v>
      </c>
      <c r="Y5679">
        <v>0.3945941</v>
      </c>
      <c r="Z5679">
        <v>-1.105166E-2</v>
      </c>
      <c r="AA5679">
        <v>0.91878910000000003</v>
      </c>
      <c r="AB5679">
        <v>31</v>
      </c>
      <c r="AC5679">
        <v>12.1442</v>
      </c>
      <c r="AD5679">
        <v>-1.156792</v>
      </c>
      <c r="AE5679">
        <v>-6.3769200000000001</v>
      </c>
      <c r="AF5679">
        <v>5.4398763465056899</v>
      </c>
      <c r="AG5679">
        <v>-1.156792</v>
      </c>
      <c r="AH5679">
        <v>12.486248292527099</v>
      </c>
      <c r="AI5679">
        <v>94.854745445620694</v>
      </c>
      <c r="AJ5679">
        <v>66.458716418428295</v>
      </c>
      <c r="AK5679">
        <v>13.6688265340947</v>
      </c>
      <c r="AL5679">
        <v>79.731474924274096</v>
      </c>
      <c r="AM5679">
        <v>66.716444353813799</v>
      </c>
      <c r="AN5679">
        <v>1.00000000160207</v>
      </c>
    </row>
    <row r="5680" spans="1:40" x14ac:dyDescent="0.25">
      <c r="A5680" t="str">
        <f>"20190312164140100"</f>
        <v>20190312164140100</v>
      </c>
      <c r="B5680" t="str">
        <f>"1552380100091670"</f>
        <v>1552380100091670</v>
      </c>
      <c r="C5680" t="s">
        <v>40</v>
      </c>
      <c r="D5680">
        <v>6.0111939999999997</v>
      </c>
      <c r="E5680">
        <v>0.52107899999999996</v>
      </c>
      <c r="F5680" t="s">
        <v>43</v>
      </c>
      <c r="G5680">
        <v>-312.68360000000001</v>
      </c>
      <c r="H5680">
        <v>-0.05</v>
      </c>
      <c r="I5680">
        <v>10.787430000000001</v>
      </c>
      <c r="J5680">
        <v>-325.00659999999999</v>
      </c>
      <c r="K5680">
        <v>1.106735</v>
      </c>
      <c r="L5680">
        <v>17.289639999999999</v>
      </c>
      <c r="M5680">
        <v>0.99711530000000004</v>
      </c>
      <c r="N5680">
        <v>0</v>
      </c>
      <c r="O5680">
        <v>-7.4502860000000004E-2</v>
      </c>
      <c r="P5680">
        <v>0.87425269999999999</v>
      </c>
      <c r="Q5680">
        <v>0.16843529999999901</v>
      </c>
      <c r="R5680">
        <v>-0.45531509999999997</v>
      </c>
      <c r="S5680">
        <v>2.7356569999999998</v>
      </c>
      <c r="T5680">
        <v>-0.25401849999999998</v>
      </c>
      <c r="U5680">
        <v>-1.4303589999999999</v>
      </c>
      <c r="V5680">
        <v>0.3905189</v>
      </c>
      <c r="W5680">
        <v>0.1780716</v>
      </c>
      <c r="X5680">
        <v>0.90320840000000002</v>
      </c>
      <c r="Y5680">
        <v>0.39495409999999997</v>
      </c>
      <c r="Z5680">
        <v>-1.074369E-2</v>
      </c>
      <c r="AA5680">
        <v>0.91863810000000001</v>
      </c>
      <c r="AB5680">
        <v>31</v>
      </c>
      <c r="AC5680">
        <v>12.322999999999899</v>
      </c>
      <c r="AD5680">
        <v>-1.1567350000000001</v>
      </c>
      <c r="AE5680">
        <v>-6.5022099999999901</v>
      </c>
      <c r="AF5680">
        <v>5.5278404061688704</v>
      </c>
      <c r="AG5680">
        <v>-1.1567350000000001</v>
      </c>
      <c r="AH5680">
        <v>12.685794690967599</v>
      </c>
      <c r="AI5680">
        <v>94.778361707613897</v>
      </c>
      <c r="AJ5680">
        <v>66.454814990833398</v>
      </c>
      <c r="AK5680">
        <v>13.886124094133701</v>
      </c>
      <c r="AL5680">
        <v>79.742543520477298</v>
      </c>
      <c r="AM5680">
        <v>66.617862921358096</v>
      </c>
      <c r="AN5680">
        <v>0.99999995990716395</v>
      </c>
    </row>
    <row r="5681" spans="1:40" x14ac:dyDescent="0.25">
      <c r="A5681" t="str">
        <f>"20190312164140110"</f>
        <v>20190312164140110</v>
      </c>
      <c r="B5681" t="str">
        <f>"1552380100102401"</f>
        <v>1552380100102401</v>
      </c>
      <c r="C5681" t="s">
        <v>40</v>
      </c>
      <c r="D5681">
        <v>5.9370580000000004</v>
      </c>
      <c r="E5681">
        <v>0.52076699999999998</v>
      </c>
      <c r="F5681" t="s">
        <v>43</v>
      </c>
      <c r="G5681">
        <v>-312.42989999999998</v>
      </c>
      <c r="H5681">
        <v>-0.05</v>
      </c>
      <c r="I5681">
        <v>10.667949999999999</v>
      </c>
      <c r="J5681">
        <v>-324.86320000000001</v>
      </c>
      <c r="K5681">
        <v>1.106676</v>
      </c>
      <c r="L5681">
        <v>17.276889999999899</v>
      </c>
      <c r="M5681">
        <v>0.99695690000000003</v>
      </c>
      <c r="N5681">
        <v>0</v>
      </c>
      <c r="O5681">
        <v>-7.6592279999999999E-2</v>
      </c>
      <c r="P5681">
        <v>0.87261659999999996</v>
      </c>
      <c r="Q5681">
        <v>0.1685537</v>
      </c>
      <c r="R5681">
        <v>-0.45839980000000002</v>
      </c>
      <c r="S5681">
        <v>2.7310180000000002</v>
      </c>
      <c r="T5681">
        <v>-0.25118469999999998</v>
      </c>
      <c r="U5681">
        <v>-1.437897</v>
      </c>
      <c r="V5681">
        <v>0.39184750000000002</v>
      </c>
      <c r="W5681">
        <v>0.178115299999999</v>
      </c>
      <c r="X5681">
        <v>0.90262419999999999</v>
      </c>
      <c r="Y5681">
        <v>0.3956847</v>
      </c>
      <c r="Z5681">
        <v>-1.0487379999999999E-2</v>
      </c>
      <c r="AA5681">
        <v>0.91832659999999999</v>
      </c>
      <c r="AB5681">
        <v>31</v>
      </c>
      <c r="AC5681">
        <v>12.433299999999999</v>
      </c>
      <c r="AD5681">
        <v>-1.156676</v>
      </c>
      <c r="AE5681">
        <v>-6.6089399999999898</v>
      </c>
      <c r="AF5681">
        <v>5.5993424958608102</v>
      </c>
      <c r="AG5681">
        <v>-1.156676</v>
      </c>
      <c r="AH5681">
        <v>12.816530131554201</v>
      </c>
      <c r="AI5681">
        <v>94.727645409972396</v>
      </c>
      <c r="AJ5681">
        <v>66.4002321347605</v>
      </c>
      <c r="AK5681">
        <v>14.034029370354199</v>
      </c>
      <c r="AL5681">
        <v>79.739999276387493</v>
      </c>
      <c r="AM5681">
        <v>66.533355942205205</v>
      </c>
      <c r="AN5681">
        <v>0.99999998488798902</v>
      </c>
    </row>
    <row r="5682" spans="1:40" x14ac:dyDescent="0.25">
      <c r="A5682" t="str">
        <f>"20190312164140121"</f>
        <v>20190312164140121</v>
      </c>
      <c r="B5682" t="str">
        <f>"1552380100112161"</f>
        <v>1552380100112161</v>
      </c>
      <c r="C5682" t="s">
        <v>40</v>
      </c>
      <c r="D5682">
        <v>5.791709</v>
      </c>
      <c r="E5682">
        <v>0.52092640000000001</v>
      </c>
      <c r="F5682" t="s">
        <v>43</v>
      </c>
      <c r="G5682">
        <v>-312.18</v>
      </c>
      <c r="H5682">
        <v>-0.05</v>
      </c>
      <c r="I5682">
        <v>10.5473</v>
      </c>
      <c r="J5682">
        <v>-324.709</v>
      </c>
      <c r="K5682">
        <v>1.1066069999999999</v>
      </c>
      <c r="L5682">
        <v>17.26294</v>
      </c>
      <c r="M5682">
        <v>0.99677939999999998</v>
      </c>
      <c r="N5682">
        <v>0</v>
      </c>
      <c r="O5682">
        <v>-7.8866549999999994E-2</v>
      </c>
      <c r="P5682">
        <v>0.8707935</v>
      </c>
      <c r="Q5682">
        <v>0.1689232</v>
      </c>
      <c r="R5682">
        <v>-0.46171820000000002</v>
      </c>
      <c r="S5682">
        <v>2.726105</v>
      </c>
      <c r="T5682">
        <v>-0.2486138</v>
      </c>
      <c r="U5682">
        <v>-1.446442</v>
      </c>
      <c r="V5682">
        <v>0.39326519999999998</v>
      </c>
      <c r="W5682">
        <v>0.17840339999999999</v>
      </c>
      <c r="X5682">
        <v>0.90195049999999999</v>
      </c>
      <c r="Y5682">
        <v>0.39654600000000001</v>
      </c>
      <c r="Z5682">
        <v>-1.023483E-2</v>
      </c>
      <c r="AA5682">
        <v>0.91795780000000005</v>
      </c>
      <c r="AB5682">
        <v>31</v>
      </c>
      <c r="AC5682">
        <v>12.5289999999999</v>
      </c>
      <c r="AD5682">
        <v>-1.1566069999999999</v>
      </c>
      <c r="AE5682">
        <v>-6.7156399999999996</v>
      </c>
      <c r="AF5682">
        <v>5.6689658499380204</v>
      </c>
      <c r="AG5682">
        <v>-1.1566069999999999</v>
      </c>
      <c r="AH5682">
        <v>12.9340381632754</v>
      </c>
      <c r="AI5682">
        <v>94.682186786052497</v>
      </c>
      <c r="AJ5682">
        <v>66.332246620724305</v>
      </c>
      <c r="AK5682">
        <v>14.1691304168349</v>
      </c>
      <c r="AL5682">
        <v>79.723223807839304</v>
      </c>
      <c r="AM5682">
        <v>66.4420092919231</v>
      </c>
      <c r="AN5682">
        <v>0.99999999755642399</v>
      </c>
    </row>
    <row r="5683" spans="1:40" x14ac:dyDescent="0.25">
      <c r="A5683" t="str">
        <f>"20190312164140132"</f>
        <v>20190312164140132</v>
      </c>
      <c r="B5683" t="str">
        <f>"1552380100121922"</f>
        <v>1552380100121922</v>
      </c>
      <c r="C5683" t="s">
        <v>40</v>
      </c>
      <c r="D5683">
        <v>5.8097310000000002</v>
      </c>
      <c r="E5683">
        <v>0.52134259999999999</v>
      </c>
      <c r="F5683" t="s">
        <v>43</v>
      </c>
      <c r="G5683">
        <v>-312.48219999999998</v>
      </c>
      <c r="H5683">
        <v>-0.05</v>
      </c>
      <c r="I5683">
        <v>10.71866</v>
      </c>
      <c r="J5683">
        <v>-324.55579999999998</v>
      </c>
      <c r="K5683">
        <v>1.1065339999999999</v>
      </c>
      <c r="L5683">
        <v>17.2486</v>
      </c>
      <c r="M5683">
        <v>0.99659379999999997</v>
      </c>
      <c r="N5683">
        <v>0</v>
      </c>
      <c r="O5683">
        <v>-8.1179429999999997E-2</v>
      </c>
      <c r="P5683">
        <v>0.86913490000000004</v>
      </c>
      <c r="Q5683">
        <v>0.1688306</v>
      </c>
      <c r="R5683">
        <v>-0.46486690000000003</v>
      </c>
      <c r="S5683">
        <v>2.7224430000000002</v>
      </c>
      <c r="T5683">
        <v>-0.25753130000000002</v>
      </c>
      <c r="U5683">
        <v>-1.4571529999999999</v>
      </c>
      <c r="V5683">
        <v>0.39446680000000001</v>
      </c>
      <c r="W5683">
        <v>0.17823029999999901</v>
      </c>
      <c r="X5683">
        <v>0.90145989999999998</v>
      </c>
      <c r="Y5683">
        <v>0.39766960000000001</v>
      </c>
      <c r="Z5683">
        <v>-1.0451810000000001E-2</v>
      </c>
      <c r="AA5683">
        <v>0.91746910000000004</v>
      </c>
      <c r="AB5683">
        <v>31</v>
      </c>
      <c r="AC5683">
        <v>12.073600000000001</v>
      </c>
      <c r="AD5683">
        <v>-1.156534</v>
      </c>
      <c r="AE5683">
        <v>-6.5299399999999999</v>
      </c>
      <c r="AF5683">
        <v>5.4891834474655097</v>
      </c>
      <c r="AG5683">
        <v>-1.156534</v>
      </c>
      <c r="AH5683">
        <v>12.475330711766601</v>
      </c>
      <c r="AI5683">
        <v>94.850203496241093</v>
      </c>
      <c r="AJ5683">
        <v>66.250359543989802</v>
      </c>
      <c r="AK5683">
        <v>13.678544592939399</v>
      </c>
      <c r="AL5683">
        <v>79.733303520879403</v>
      </c>
      <c r="AM5683">
        <v>66.366456273739004</v>
      </c>
      <c r="AN5683">
        <v>1.00000002372416</v>
      </c>
    </row>
    <row r="5684" spans="1:40" x14ac:dyDescent="0.25">
      <c r="A5684" t="str">
        <f>"20190312164140143"</f>
        <v>20190312164140143</v>
      </c>
      <c r="B5684" t="str">
        <f>"1552380100132189"</f>
        <v>1552380100132189</v>
      </c>
      <c r="C5684" t="s">
        <v>40</v>
      </c>
      <c r="D5684">
        <v>5.7645189999999999</v>
      </c>
      <c r="E5684">
        <v>0.52142319999999998</v>
      </c>
      <c r="F5684" t="s">
        <v>43</v>
      </c>
      <c r="G5684">
        <v>-312.50020000000001</v>
      </c>
      <c r="H5684">
        <v>-0.05</v>
      </c>
      <c r="I5684">
        <v>10.724500000000001</v>
      </c>
      <c r="J5684">
        <v>-324.40100000000001</v>
      </c>
      <c r="K5684">
        <v>1.1064620000000001</v>
      </c>
      <c r="L5684">
        <v>17.233699999999999</v>
      </c>
      <c r="M5684">
        <v>0.99639679999999997</v>
      </c>
      <c r="N5684">
        <v>0</v>
      </c>
      <c r="O5684">
        <v>-8.3560460000000003E-2</v>
      </c>
      <c r="P5684">
        <v>0.86751789999999995</v>
      </c>
      <c r="Q5684">
        <v>0.1688606</v>
      </c>
      <c r="R5684">
        <v>-0.46786620000000001</v>
      </c>
      <c r="S5684">
        <v>2.7161249999999999</v>
      </c>
      <c r="T5684">
        <v>-0.26056689999999999</v>
      </c>
      <c r="U5684">
        <v>-1.4698789999999999</v>
      </c>
      <c r="V5684">
        <v>0.3954606</v>
      </c>
      <c r="W5684">
        <v>0.17818049999999999</v>
      </c>
      <c r="X5684">
        <v>0.90103420000000001</v>
      </c>
      <c r="Y5684">
        <v>0.39967059999999999</v>
      </c>
      <c r="Z5684">
        <v>-1.046454E-2</v>
      </c>
      <c r="AA5684">
        <v>0.9165991</v>
      </c>
      <c r="AB5684">
        <v>31</v>
      </c>
      <c r="AC5684">
        <v>11.9008</v>
      </c>
      <c r="AD5684">
        <v>-1.1564620000000001</v>
      </c>
      <c r="AE5684">
        <v>-6.5091999999999901</v>
      </c>
      <c r="AF5684">
        <v>5.4522593037463496</v>
      </c>
      <c r="AG5684">
        <v>-1.1564620000000001</v>
      </c>
      <c r="AH5684">
        <v>12.3136374782536</v>
      </c>
      <c r="AI5684">
        <v>94.908261365936795</v>
      </c>
      <c r="AJ5684">
        <v>66.117090770492993</v>
      </c>
      <c r="AK5684">
        <v>13.516294011991</v>
      </c>
      <c r="AL5684">
        <v>79.736203052502503</v>
      </c>
      <c r="AM5684">
        <v>66.3035061613447</v>
      </c>
      <c r="AN5684">
        <v>1.00000000315112</v>
      </c>
    </row>
    <row r="5685" spans="1:40" x14ac:dyDescent="0.25">
      <c r="A5685" t="str">
        <f>"20190312164140154"</f>
        <v>20190312164140154</v>
      </c>
      <c r="B5685" t="str">
        <f>"1552380100141949"</f>
        <v>1552380100141949</v>
      </c>
      <c r="C5685" t="s">
        <v>40</v>
      </c>
      <c r="D5685">
        <v>5.7308089999999998</v>
      </c>
      <c r="E5685">
        <v>0.52142770000000005</v>
      </c>
      <c r="F5685" t="s">
        <v>43</v>
      </c>
      <c r="G5685">
        <v>-312.60860000000002</v>
      </c>
      <c r="H5685">
        <v>-0.05</v>
      </c>
      <c r="I5685">
        <v>10.801119999999999</v>
      </c>
      <c r="J5685">
        <v>-324.24400000000003</v>
      </c>
      <c r="K5685">
        <v>1.1063879999999999</v>
      </c>
      <c r="L5685">
        <v>17.218260000000001</v>
      </c>
      <c r="M5685">
        <v>0.99618790000000002</v>
      </c>
      <c r="N5685">
        <v>0</v>
      </c>
      <c r="O5685">
        <v>-8.6015620000000001E-2</v>
      </c>
      <c r="P5685">
        <v>0.86594550000000003</v>
      </c>
      <c r="Q5685">
        <v>0.1688993</v>
      </c>
      <c r="R5685">
        <v>-0.47075630000000002</v>
      </c>
      <c r="S5685">
        <v>2.7120669999999998</v>
      </c>
      <c r="T5685">
        <v>-0.26596930000000002</v>
      </c>
      <c r="U5685">
        <v>-1.479401</v>
      </c>
      <c r="V5685">
        <v>0.39627950000000001</v>
      </c>
      <c r="W5685">
        <v>0.17813970000000001</v>
      </c>
      <c r="X5685">
        <v>0.90068239999999999</v>
      </c>
      <c r="Y5685">
        <v>0.4004298</v>
      </c>
      <c r="Z5685">
        <v>-1.0499639999999999E-2</v>
      </c>
      <c r="AA5685">
        <v>0.91626730000000001</v>
      </c>
      <c r="AB5685">
        <v>31</v>
      </c>
      <c r="AC5685">
        <v>11.635400000000001</v>
      </c>
      <c r="AD5685">
        <v>-1.156388</v>
      </c>
      <c r="AE5685">
        <v>-6.4171399999999998</v>
      </c>
      <c r="AF5685">
        <v>5.3518862547476402</v>
      </c>
      <c r="AG5685">
        <v>-1.156388</v>
      </c>
      <c r="AH5685">
        <v>12.053013963254999</v>
      </c>
      <c r="AI5685">
        <v>95.011234939354907</v>
      </c>
      <c r="AJ5685">
        <v>66.057396885928597</v>
      </c>
      <c r="AK5685">
        <v>13.2383936068059</v>
      </c>
      <c r="AL5685">
        <v>79.738578593717307</v>
      </c>
      <c r="AM5685">
        <v>66.251611722016406</v>
      </c>
      <c r="AN5685">
        <v>0.99999999025304998</v>
      </c>
    </row>
    <row r="5686" spans="1:40" x14ac:dyDescent="0.25">
      <c r="A5686" t="str">
        <f>"20190312164140166"</f>
        <v>20190312164140166</v>
      </c>
      <c r="B5686" t="str">
        <f>"1552380100161472"</f>
        <v>1552380100161472</v>
      </c>
      <c r="C5686" t="s">
        <v>40</v>
      </c>
      <c r="D5686">
        <v>6.0705220000000004</v>
      </c>
      <c r="E5686">
        <v>0.52126620000000001</v>
      </c>
      <c r="F5686" t="s">
        <v>43</v>
      </c>
      <c r="G5686">
        <v>-312.59249999999997</v>
      </c>
      <c r="H5686">
        <v>-0.05</v>
      </c>
      <c r="I5686">
        <v>10.813639999999999</v>
      </c>
      <c r="J5686">
        <v>-324.08510000000001</v>
      </c>
      <c r="K5686">
        <v>1.1063099999999999</v>
      </c>
      <c r="L5686">
        <v>17.202059999999999</v>
      </c>
      <c r="M5686">
        <v>0.99596410000000002</v>
      </c>
      <c r="N5686">
        <v>0</v>
      </c>
      <c r="O5686">
        <v>-8.8567580000000007E-2</v>
      </c>
      <c r="P5686">
        <v>0.86432249999999999</v>
      </c>
      <c r="Q5686">
        <v>0.16888259999999999</v>
      </c>
      <c r="R5686">
        <v>-0.4737362</v>
      </c>
      <c r="S5686">
        <v>2.707703</v>
      </c>
      <c r="T5686">
        <v>-0.26873390000000003</v>
      </c>
      <c r="U5686">
        <v>-1.4883729999999999</v>
      </c>
      <c r="V5686">
        <v>0.39710869999999998</v>
      </c>
      <c r="W5686">
        <v>0.1780407</v>
      </c>
      <c r="X5686">
        <v>0.90033669999999999</v>
      </c>
      <c r="Y5686">
        <v>0.40102149999999998</v>
      </c>
      <c r="Z5686">
        <v>-1.0410229999999999E-2</v>
      </c>
      <c r="AA5686">
        <v>0.91600950000000003</v>
      </c>
      <c r="AB5686">
        <v>31</v>
      </c>
      <c r="AC5686">
        <v>11.492599999999999</v>
      </c>
      <c r="AD5686">
        <v>-1.1563099999999999</v>
      </c>
      <c r="AE5686">
        <v>-6.38842</v>
      </c>
      <c r="AF5686">
        <v>5.3043092547943997</v>
      </c>
      <c r="AG5686">
        <v>-1.1563099999999999</v>
      </c>
      <c r="AH5686">
        <v>11.9211017075699</v>
      </c>
      <c r="AI5686">
        <v>95.064334415911503</v>
      </c>
      <c r="AJ5686">
        <v>66.013266914619706</v>
      </c>
      <c r="AK5686">
        <v>13.0990616232165</v>
      </c>
      <c r="AL5686">
        <v>79.744343042463996</v>
      </c>
      <c r="AM5686">
        <v>66.199312709376201</v>
      </c>
      <c r="AN5686">
        <v>0.99999999191953404</v>
      </c>
    </row>
    <row r="5687" spans="1:40" x14ac:dyDescent="0.25">
      <c r="A5687" t="str">
        <f>"20190312164140178"</f>
        <v>20190312164140178</v>
      </c>
      <c r="B5687" t="str">
        <f>"1552380100172204"</f>
        <v>1552380100172204</v>
      </c>
      <c r="C5687" t="s">
        <v>40</v>
      </c>
      <c r="D5687">
        <v>5.784586</v>
      </c>
      <c r="E5687">
        <v>0.52094379999999996</v>
      </c>
      <c r="F5687" t="s">
        <v>43</v>
      </c>
      <c r="G5687">
        <v>-312.4864</v>
      </c>
      <c r="H5687">
        <v>-0.05</v>
      </c>
      <c r="I5687">
        <v>10.777419999999999</v>
      </c>
      <c r="J5687">
        <v>-323.92230000000001</v>
      </c>
      <c r="K5687">
        <v>1.1062339999999999</v>
      </c>
      <c r="L5687">
        <v>17.185210000000001</v>
      </c>
      <c r="M5687">
        <v>0.99572579999999999</v>
      </c>
      <c r="N5687">
        <v>0</v>
      </c>
      <c r="O5687">
        <v>-9.1206549999999997E-2</v>
      </c>
      <c r="P5687">
        <v>0.86270559999999996</v>
      </c>
      <c r="Q5687">
        <v>0.169037299999999</v>
      </c>
      <c r="R5687">
        <v>-0.4766186</v>
      </c>
      <c r="S5687">
        <v>2.7029719999999999</v>
      </c>
      <c r="T5687">
        <v>-0.26946619999999999</v>
      </c>
      <c r="U5687">
        <v>-1.4971920000000001</v>
      </c>
      <c r="V5687">
        <v>0.39776869999999998</v>
      </c>
      <c r="W5687">
        <v>0.17811250000000001</v>
      </c>
      <c r="X5687">
        <v>0.90003109999999997</v>
      </c>
      <c r="Y5687">
        <v>0.40156259999999999</v>
      </c>
      <c r="Z5687">
        <v>-1.0230700000000001E-2</v>
      </c>
      <c r="AA5687">
        <v>0.91577450000000005</v>
      </c>
      <c r="AB5687">
        <v>31</v>
      </c>
      <c r="AC5687">
        <v>11.4359</v>
      </c>
      <c r="AD5687">
        <v>-1.156234</v>
      </c>
      <c r="AE5687">
        <v>-6.4077900000000003</v>
      </c>
      <c r="AF5687">
        <v>5.2967298629256003</v>
      </c>
      <c r="AG5687">
        <v>-1.156234</v>
      </c>
      <c r="AH5687">
        <v>11.8802929881157</v>
      </c>
      <c r="AI5687">
        <v>95.079634656631399</v>
      </c>
      <c r="AJ5687">
        <v>65.970694752918305</v>
      </c>
      <c r="AK5687">
        <v>13.0588508601268</v>
      </c>
      <c r="AL5687">
        <v>79.740162376587406</v>
      </c>
      <c r="AM5687">
        <v>66.156970338252094</v>
      </c>
      <c r="AN5687">
        <v>0.99999999116157501</v>
      </c>
    </row>
    <row r="5688" spans="1:40" x14ac:dyDescent="0.25">
      <c r="A5688" t="str">
        <f>"20190312164140189"</f>
        <v>20190312164140189</v>
      </c>
      <c r="B5688" t="str">
        <f>"1552380100181964"</f>
        <v>1552380100181964</v>
      </c>
      <c r="C5688" t="s">
        <v>40</v>
      </c>
      <c r="D5688">
        <v>5.8421770000000004</v>
      </c>
      <c r="E5688">
        <v>0.52067109999999905</v>
      </c>
      <c r="F5688" t="s">
        <v>43</v>
      </c>
      <c r="G5688">
        <v>-312.23050000000001</v>
      </c>
      <c r="H5688">
        <v>-0.05</v>
      </c>
      <c r="I5688">
        <v>10.663639999999999</v>
      </c>
      <c r="J5688">
        <v>-323.75920000000002</v>
      </c>
      <c r="K5688">
        <v>1.1061559999999999</v>
      </c>
      <c r="L5688">
        <v>17.167479999999902</v>
      </c>
      <c r="M5688">
        <v>0.99547099999999999</v>
      </c>
      <c r="N5688">
        <v>0</v>
      </c>
      <c r="O5688">
        <v>-9.3946580000000002E-2</v>
      </c>
      <c r="P5688">
        <v>0.86112389999999905</v>
      </c>
      <c r="Q5688">
        <v>0.16928029999999999</v>
      </c>
      <c r="R5688">
        <v>-0.47938510000000001</v>
      </c>
      <c r="S5688">
        <v>2.6982729999999999</v>
      </c>
      <c r="T5688">
        <v>-0.26683899999999999</v>
      </c>
      <c r="U5688">
        <v>-1.505066</v>
      </c>
      <c r="V5688">
        <v>0.39822360000000001</v>
      </c>
      <c r="W5688">
        <v>0.17827390000000001</v>
      </c>
      <c r="X5688">
        <v>0.89979799999999999</v>
      </c>
      <c r="Y5688">
        <v>0.4017906</v>
      </c>
      <c r="Z5688">
        <v>-9.90247E-3</v>
      </c>
      <c r="AA5688">
        <v>0.91567799999999999</v>
      </c>
      <c r="AB5688">
        <v>31</v>
      </c>
      <c r="AC5688">
        <v>11.528700000000001</v>
      </c>
      <c r="AD5688">
        <v>-1.156156</v>
      </c>
      <c r="AE5688">
        <v>-6.5038399999999896</v>
      </c>
      <c r="AF5688">
        <v>5.35104891769695</v>
      </c>
      <c r="AG5688">
        <v>-1.156156</v>
      </c>
      <c r="AH5688">
        <v>11.997250749333899</v>
      </c>
      <c r="AI5688">
        <v>95.029695112985806</v>
      </c>
      <c r="AJ5688">
        <v>65.962032810376201</v>
      </c>
      <c r="AK5688">
        <v>13.187283524604799</v>
      </c>
      <c r="AL5688">
        <v>79.730764830649207</v>
      </c>
      <c r="AM5688">
        <v>66.127256092690203</v>
      </c>
      <c r="AN5688">
        <v>1.0000000299110801</v>
      </c>
    </row>
    <row r="5689" spans="1:40" x14ac:dyDescent="0.25">
      <c r="A5689" t="str">
        <f>"20190312164140201"</f>
        <v>20190312164140201</v>
      </c>
      <c r="B5689" t="str">
        <f>"1552380100191725"</f>
        <v>1552380100191725</v>
      </c>
      <c r="C5689" t="s">
        <v>40</v>
      </c>
      <c r="D5689">
        <v>5.843369</v>
      </c>
      <c r="E5689">
        <v>0.52049849999999998</v>
      </c>
      <c r="F5689" t="s">
        <v>43</v>
      </c>
      <c r="G5689">
        <v>-311.95620000000002</v>
      </c>
      <c r="H5689">
        <v>-0.05</v>
      </c>
      <c r="I5689">
        <v>10.535740000000001</v>
      </c>
      <c r="J5689">
        <v>-323.60160000000002</v>
      </c>
      <c r="K5689">
        <v>1.10608</v>
      </c>
      <c r="L5689">
        <v>17.15015</v>
      </c>
      <c r="M5689">
        <v>0.99521519999999997</v>
      </c>
      <c r="N5689">
        <v>0</v>
      </c>
      <c r="O5689">
        <v>-9.6617069999999999E-2</v>
      </c>
      <c r="P5689">
        <v>0.85941520000000005</v>
      </c>
      <c r="Q5689">
        <v>0.1698904</v>
      </c>
      <c r="R5689">
        <v>-0.48222680000000001</v>
      </c>
      <c r="S5689">
        <v>2.6932680000000002</v>
      </c>
      <c r="T5689">
        <v>-0.26381860000000001</v>
      </c>
      <c r="U5689">
        <v>-1.5132749999999999</v>
      </c>
      <c r="V5689">
        <v>0.39883550000000001</v>
      </c>
      <c r="W5689">
        <v>0.17880119999999999</v>
      </c>
      <c r="X5689">
        <v>0.89942230000000001</v>
      </c>
      <c r="Y5689">
        <v>0.40221489999999999</v>
      </c>
      <c r="Z5689">
        <v>-9.5801020000000001E-3</v>
      </c>
      <c r="AA5689">
        <v>0.91549519999999995</v>
      </c>
      <c r="AB5689">
        <v>31</v>
      </c>
      <c r="AC5689">
        <v>11.645399999999899</v>
      </c>
      <c r="AD5689">
        <v>-1.15608</v>
      </c>
      <c r="AE5689">
        <v>-6.6144100000000003</v>
      </c>
      <c r="AF5689">
        <v>5.41782489959534</v>
      </c>
      <c r="AG5689">
        <v>-1.15608</v>
      </c>
      <c r="AH5689">
        <v>12.1395829782719</v>
      </c>
      <c r="AI5689">
        <v>94.970196743584097</v>
      </c>
      <c r="AJ5689">
        <v>65.949072646361401</v>
      </c>
      <c r="AK5689">
        <v>13.343868348249799</v>
      </c>
      <c r="AL5689">
        <v>79.700059629494405</v>
      </c>
      <c r="AM5689">
        <v>66.085816734994097</v>
      </c>
      <c r="AN5689">
        <v>1.0000000494594801</v>
      </c>
    </row>
    <row r="5690" spans="1:40" x14ac:dyDescent="0.25">
      <c r="A5690" t="str">
        <f>"20190312164140212"</f>
        <v>20190312164140212</v>
      </c>
      <c r="B5690" t="str">
        <f>"1552380100201484"</f>
        <v>1552380100201484</v>
      </c>
      <c r="C5690" t="s">
        <v>40</v>
      </c>
      <c r="D5690">
        <v>5.7061229999999998</v>
      </c>
      <c r="E5690">
        <v>0.52033750000000001</v>
      </c>
      <c r="F5690" t="s">
        <v>43</v>
      </c>
      <c r="G5690">
        <v>-311.68200000000002</v>
      </c>
      <c r="H5690">
        <v>-0.05</v>
      </c>
      <c r="I5690">
        <v>10.39865</v>
      </c>
      <c r="J5690">
        <v>-323.43650000000002</v>
      </c>
      <c r="K5690">
        <v>1.105996</v>
      </c>
      <c r="L5690">
        <v>17.131319999999999</v>
      </c>
      <c r="M5690">
        <v>0.99493189999999998</v>
      </c>
      <c r="N5690">
        <v>0</v>
      </c>
      <c r="O5690">
        <v>-9.9491369999999996E-2</v>
      </c>
      <c r="P5690">
        <v>0.85775759999999901</v>
      </c>
      <c r="Q5690">
        <v>0.17017599999999999</v>
      </c>
      <c r="R5690">
        <v>-0.48506890000000003</v>
      </c>
      <c r="S5690">
        <v>2.6879879999999998</v>
      </c>
      <c r="T5690">
        <v>-0.26070589999999999</v>
      </c>
      <c r="U5690">
        <v>-1.5225219999999999</v>
      </c>
      <c r="V5690">
        <v>0.39926119999999998</v>
      </c>
      <c r="W5690">
        <v>0.17900199999999999</v>
      </c>
      <c r="X5690">
        <v>0.89919340000000003</v>
      </c>
      <c r="Y5690">
        <v>0.40276010000000001</v>
      </c>
      <c r="Z5690">
        <v>-9.2464269999999998E-3</v>
      </c>
      <c r="AA5690">
        <v>0.91525889999999999</v>
      </c>
      <c r="AB5690">
        <v>31</v>
      </c>
      <c r="AC5690">
        <v>11.7545</v>
      </c>
      <c r="AD5690">
        <v>-1.155996</v>
      </c>
      <c r="AE5690">
        <v>-6.7326699999999997</v>
      </c>
      <c r="AF5690">
        <v>5.48968407735362</v>
      </c>
      <c r="AG5690">
        <v>-1.155996</v>
      </c>
      <c r="AH5690">
        <v>12.276674853900699</v>
      </c>
      <c r="AI5690">
        <v>94.9130297516338</v>
      </c>
      <c r="AJ5690">
        <v>65.907537003211502</v>
      </c>
      <c r="AK5690">
        <v>13.4977666111681</v>
      </c>
      <c r="AL5690">
        <v>79.688365428583595</v>
      </c>
      <c r="AM5690">
        <v>66.057750068689003</v>
      </c>
      <c r="AN5690">
        <v>0.99999999621650004</v>
      </c>
    </row>
    <row r="5691" spans="1:40" x14ac:dyDescent="0.25">
      <c r="A5691" t="str">
        <f>"20190312164140224"</f>
        <v>20190312164140224</v>
      </c>
      <c r="B5691" t="str">
        <f>"1552380100212220"</f>
        <v>1552380100212220</v>
      </c>
      <c r="C5691" t="s">
        <v>40</v>
      </c>
      <c r="D5691">
        <v>5.844519</v>
      </c>
      <c r="E5691">
        <v>0.52006660000000005</v>
      </c>
      <c r="F5691" t="s">
        <v>43</v>
      </c>
      <c r="G5691">
        <v>-311.42500000000001</v>
      </c>
      <c r="H5691">
        <v>-0.05</v>
      </c>
      <c r="I5691">
        <v>10.274369999999999</v>
      </c>
      <c r="J5691">
        <v>-323.27800000000002</v>
      </c>
      <c r="K5691">
        <v>1.105917</v>
      </c>
      <c r="L5691">
        <v>17.112760000000002</v>
      </c>
      <c r="M5691">
        <v>0.99464719999999995</v>
      </c>
      <c r="N5691">
        <v>0</v>
      </c>
      <c r="O5691">
        <v>-0.1022988</v>
      </c>
      <c r="P5691">
        <v>0.8560584</v>
      </c>
      <c r="Q5691">
        <v>0.17023440000000001</v>
      </c>
      <c r="R5691">
        <v>-0.48804140000000001</v>
      </c>
      <c r="S5691">
        <v>2.682709</v>
      </c>
      <c r="T5691">
        <v>-0.25818629999999998</v>
      </c>
      <c r="U5691">
        <v>-1.5314639999999999</v>
      </c>
      <c r="V5691">
        <v>0.39988069999999998</v>
      </c>
      <c r="W5691">
        <v>0.1789781</v>
      </c>
      <c r="X5691">
        <v>0.89892280000000002</v>
      </c>
      <c r="Y5691">
        <v>0.40328150000000001</v>
      </c>
      <c r="Z5691">
        <v>-8.9432260000000003E-3</v>
      </c>
      <c r="AA5691">
        <v>0.91503230000000002</v>
      </c>
      <c r="AB5691">
        <v>31</v>
      </c>
      <c r="AC5691">
        <v>11.853</v>
      </c>
      <c r="AD5691">
        <v>-1.1559170000000001</v>
      </c>
      <c r="AE5691">
        <v>-6.8383900000000004</v>
      </c>
      <c r="AF5691">
        <v>5.5502273008195697</v>
      </c>
      <c r="AG5691">
        <v>-1.1559170000000001</v>
      </c>
      <c r="AH5691">
        <v>12.401943690946</v>
      </c>
      <c r="AI5691">
        <v>94.862654395001897</v>
      </c>
      <c r="AJ5691">
        <v>65.890108065874998</v>
      </c>
      <c r="AK5691">
        <v>13.636325550346999</v>
      </c>
      <c r="AL5691">
        <v>79.689756974826196</v>
      </c>
      <c r="AM5691">
        <v>66.018381937741793</v>
      </c>
      <c r="AN5691">
        <v>0.99999996743596897</v>
      </c>
    </row>
    <row r="5692" spans="1:40" x14ac:dyDescent="0.25">
      <c r="A5692" t="str">
        <f>"20190312164140237"</f>
        <v>20190312164140237</v>
      </c>
      <c r="B5692" t="str">
        <f>"1552380100232249"</f>
        <v>1552380100232249</v>
      </c>
      <c r="C5692" t="s">
        <v>40</v>
      </c>
      <c r="D5692">
        <v>5.8690759999999997</v>
      </c>
      <c r="E5692">
        <v>0.5197119</v>
      </c>
      <c r="F5692" t="s">
        <v>43</v>
      </c>
      <c r="G5692">
        <v>-311.2133</v>
      </c>
      <c r="H5692">
        <v>-0.05</v>
      </c>
      <c r="I5692">
        <v>10.17221</v>
      </c>
      <c r="J5692">
        <v>-323.10129999999998</v>
      </c>
      <c r="K5692">
        <v>1.105831</v>
      </c>
      <c r="L5692">
        <v>17.091639999999899</v>
      </c>
      <c r="M5692">
        <v>0.99431530000000001</v>
      </c>
      <c r="N5692">
        <v>0</v>
      </c>
      <c r="O5692">
        <v>-0.1054739</v>
      </c>
      <c r="P5692">
        <v>0.85419639999999997</v>
      </c>
      <c r="Q5692">
        <v>0.1704724</v>
      </c>
      <c r="R5692">
        <v>-0.49121029999999999</v>
      </c>
      <c r="S5692">
        <v>2.6773380000000002</v>
      </c>
      <c r="T5692">
        <v>-0.2565171</v>
      </c>
      <c r="U5692">
        <v>-1.540222</v>
      </c>
      <c r="V5692">
        <v>0.4003891</v>
      </c>
      <c r="W5692">
        <v>0.17912819999999999</v>
      </c>
      <c r="X5692">
        <v>0.89866659999999898</v>
      </c>
      <c r="Y5692">
        <v>0.40342610000000001</v>
      </c>
      <c r="Z5692">
        <v>-8.6241330000000008E-3</v>
      </c>
      <c r="AA5692">
        <v>0.9149716</v>
      </c>
      <c r="AB5692">
        <v>31</v>
      </c>
      <c r="AC5692">
        <v>11.8879999999999</v>
      </c>
      <c r="AD5692">
        <v>-1.1558310000000001</v>
      </c>
      <c r="AE5692">
        <v>-6.9194299999999904</v>
      </c>
      <c r="AF5692">
        <v>5.5873669439011397</v>
      </c>
      <c r="AG5692">
        <v>-1.1558310000000001</v>
      </c>
      <c r="AH5692">
        <v>12.4635681258238</v>
      </c>
      <c r="AI5692">
        <v>94.836989909601996</v>
      </c>
      <c r="AJ5692">
        <v>65.853500327051293</v>
      </c>
      <c r="AK5692">
        <v>13.7074850024872</v>
      </c>
      <c r="AL5692">
        <v>79.6810159593376</v>
      </c>
      <c r="AM5692">
        <v>65.985265418912306</v>
      </c>
      <c r="AN5692">
        <v>1.0000000006948</v>
      </c>
    </row>
    <row r="5693" spans="1:40" x14ac:dyDescent="0.25">
      <c r="A5693" t="str">
        <f>"20190312164140248"</f>
        <v>20190312164140248</v>
      </c>
      <c r="B5693" t="str">
        <f>"1552380100242009"</f>
        <v>1552380100242009</v>
      </c>
      <c r="C5693" t="s">
        <v>40</v>
      </c>
      <c r="D5693">
        <v>5.8450739999999897</v>
      </c>
      <c r="E5693">
        <v>0.51941899999999996</v>
      </c>
      <c r="F5693" t="s">
        <v>43</v>
      </c>
      <c r="G5693">
        <v>-310.91329999999999</v>
      </c>
      <c r="H5693">
        <v>-0.05</v>
      </c>
      <c r="I5693">
        <v>10.02985</v>
      </c>
      <c r="J5693">
        <v>-322.93520000000001</v>
      </c>
      <c r="K5693">
        <v>1.1057520000000001</v>
      </c>
      <c r="L5693">
        <v>17.070920000000001</v>
      </c>
      <c r="M5693">
        <v>0.99398520000000001</v>
      </c>
      <c r="N5693">
        <v>0</v>
      </c>
      <c r="O5693">
        <v>-0.1085402</v>
      </c>
      <c r="P5693">
        <v>0.85240000000000005</v>
      </c>
      <c r="Q5693">
        <v>0.17031930000000001</v>
      </c>
      <c r="R5693">
        <v>-0.49437379999999997</v>
      </c>
      <c r="S5693">
        <v>2.672272</v>
      </c>
      <c r="T5693">
        <v>-0.25342239999999999</v>
      </c>
      <c r="U5693">
        <v>-1.54834</v>
      </c>
      <c r="V5693">
        <v>0.40098040000000001</v>
      </c>
      <c r="W5693">
        <v>0.1788932</v>
      </c>
      <c r="X5693">
        <v>0.89844979999999997</v>
      </c>
      <c r="Y5693">
        <v>0.40347139999999998</v>
      </c>
      <c r="Z5693">
        <v>-8.2664399999999999E-3</v>
      </c>
      <c r="AA5693">
        <v>0.91495490000000002</v>
      </c>
      <c r="AB5693">
        <v>31</v>
      </c>
      <c r="AC5693">
        <v>12.0219</v>
      </c>
      <c r="AD5693">
        <v>-1.1557519999999999</v>
      </c>
      <c r="AE5693">
        <v>-7.0410700000000004</v>
      </c>
      <c r="AF5693">
        <v>5.6555449273873997</v>
      </c>
      <c r="AG5693">
        <v>-1.1557519999999999</v>
      </c>
      <c r="AH5693">
        <v>12.6282761592394</v>
      </c>
      <c r="AI5693">
        <v>94.774665546775793</v>
      </c>
      <c r="AJ5693">
        <v>65.874886475310504</v>
      </c>
      <c r="AK5693">
        <v>13.8850390660313</v>
      </c>
      <c r="AL5693">
        <v>79.694702049296197</v>
      </c>
      <c r="AM5693">
        <v>65.9486733883965</v>
      </c>
      <c r="AN5693">
        <v>1.00000005065521</v>
      </c>
    </row>
    <row r="5694" spans="1:40" x14ac:dyDescent="0.25">
      <c r="A5694" t="str">
        <f>"20190312164140261"</f>
        <v>20190312164140261</v>
      </c>
      <c r="B5694" t="str">
        <f>"1552380100251768"</f>
        <v>1552380100251768</v>
      </c>
      <c r="C5694" t="s">
        <v>40</v>
      </c>
      <c r="D5694">
        <v>5.833164</v>
      </c>
      <c r="E5694">
        <v>0.51941899999999996</v>
      </c>
      <c r="F5694" t="s">
        <v>43</v>
      </c>
      <c r="G5694">
        <v>-310.72649999999999</v>
      </c>
      <c r="H5694">
        <v>-0.05</v>
      </c>
      <c r="I5694">
        <v>9.9462740000000007</v>
      </c>
      <c r="J5694">
        <v>-322.7688</v>
      </c>
      <c r="K5694">
        <v>1.1056729999999999</v>
      </c>
      <c r="L5694">
        <v>17.049869999999999</v>
      </c>
      <c r="M5694">
        <v>0.99364169999999996</v>
      </c>
      <c r="N5694">
        <v>0</v>
      </c>
      <c r="O5694">
        <v>-0.11164109999999999</v>
      </c>
      <c r="P5694">
        <v>0.85077760000000002</v>
      </c>
      <c r="Q5694">
        <v>0.16973750000000001</v>
      </c>
      <c r="R5694">
        <v>-0.4973593</v>
      </c>
      <c r="S5694">
        <v>2.6671749999999999</v>
      </c>
      <c r="T5694">
        <v>-0.25249159999999998</v>
      </c>
      <c r="U5694">
        <v>-1.5564880000000001</v>
      </c>
      <c r="V5694">
        <v>0.40134310000000001</v>
      </c>
      <c r="W5694">
        <v>0.1782349</v>
      </c>
      <c r="X5694">
        <v>0.89841870000000001</v>
      </c>
      <c r="Y5694">
        <v>0.40348000000000001</v>
      </c>
      <c r="Z5694">
        <v>-7.9782800000000008E-3</v>
      </c>
      <c r="AA5694">
        <v>0.91495369999999998</v>
      </c>
      <c r="AB5694">
        <v>31</v>
      </c>
      <c r="AC5694">
        <v>12.042299999999999</v>
      </c>
      <c r="AD5694">
        <v>-1.155673</v>
      </c>
      <c r="AE5694">
        <v>-7.1035959999999996</v>
      </c>
      <c r="AF5694">
        <v>5.6758411237009199</v>
      </c>
      <c r="AG5694">
        <v>-1.155673</v>
      </c>
      <c r="AH5694">
        <v>12.673549663942</v>
      </c>
      <c r="AI5694">
        <v>94.757360948187298</v>
      </c>
      <c r="AJ5694">
        <v>65.874809055536005</v>
      </c>
      <c r="AK5694">
        <v>13.934475721347701</v>
      </c>
      <c r="AL5694">
        <v>79.733036068865403</v>
      </c>
      <c r="AM5694">
        <v>65.928649573409601</v>
      </c>
      <c r="AN5694">
        <v>1.0000000620026499</v>
      </c>
    </row>
    <row r="5695" spans="1:40" x14ac:dyDescent="0.25">
      <c r="A5695" t="str">
        <f>"20190312164140280"</f>
        <v>20190312164140280</v>
      </c>
      <c r="B5695" t="str">
        <f>"1552380100272265"</f>
        <v>1552380100272265</v>
      </c>
      <c r="C5695" t="s">
        <v>40</v>
      </c>
      <c r="D5695">
        <v>5.8080280000000002</v>
      </c>
      <c r="E5695">
        <v>0.52378210000000003</v>
      </c>
      <c r="F5695" t="s">
        <v>43</v>
      </c>
      <c r="G5695">
        <v>-310.67509999999999</v>
      </c>
      <c r="H5695">
        <v>-0.05</v>
      </c>
      <c r="I5695">
        <v>9.9313660000000006</v>
      </c>
      <c r="J5695">
        <v>-322.5086</v>
      </c>
      <c r="K5695">
        <v>1.1055459999999999</v>
      </c>
      <c r="L5695">
        <v>17.01566</v>
      </c>
      <c r="M5695">
        <v>0.99307049999999997</v>
      </c>
      <c r="N5695">
        <v>0</v>
      </c>
      <c r="O5695">
        <v>-0.11661059999999999</v>
      </c>
      <c r="P5695">
        <v>0.848272899999999</v>
      </c>
      <c r="Q5695">
        <v>0.1690277</v>
      </c>
      <c r="R5695">
        <v>-0.50185919999999995</v>
      </c>
      <c r="S5695">
        <v>2.6611940000000001</v>
      </c>
      <c r="T5695">
        <v>-0.25430320000000001</v>
      </c>
      <c r="U5695">
        <v>-1.566406</v>
      </c>
      <c r="V5695">
        <v>0.40163559999999998</v>
      </c>
      <c r="W5695">
        <v>0.17741379999999901</v>
      </c>
      <c r="X5695">
        <v>0.89845039999999998</v>
      </c>
      <c r="Y5695">
        <v>0.40234140000000002</v>
      </c>
      <c r="Z5695">
        <v>-7.5640669999999998E-3</v>
      </c>
      <c r="AA5695">
        <v>0.91545840000000001</v>
      </c>
      <c r="AB5695">
        <v>31</v>
      </c>
      <c r="AC5695">
        <v>11.833500000000001</v>
      </c>
      <c r="AD5695">
        <v>-1.155546</v>
      </c>
      <c r="AE5695">
        <v>-7.0842939999999999</v>
      </c>
      <c r="AF5695">
        <v>5.6164679767303696</v>
      </c>
      <c r="AG5695">
        <v>-1.155546</v>
      </c>
      <c r="AH5695">
        <v>12.4912576327498</v>
      </c>
      <c r="AI5695">
        <v>94.822737310743307</v>
      </c>
      <c r="AJ5695">
        <v>65.789795756663906</v>
      </c>
      <c r="AK5695">
        <v>13.7445085885049</v>
      </c>
      <c r="AL5695">
        <v>79.780842589217201</v>
      </c>
      <c r="AM5695">
        <v>65.913854051423499</v>
      </c>
      <c r="AN5695">
        <v>0.99999996643897904</v>
      </c>
    </row>
    <row r="5696" spans="1:40" x14ac:dyDescent="0.25">
      <c r="A5696" t="str">
        <f>"20190312164140290"</f>
        <v>20190312164140290</v>
      </c>
      <c r="B5696" t="str">
        <f>"1552380100282024"</f>
        <v>1552380100282024</v>
      </c>
      <c r="C5696" t="s">
        <v>40</v>
      </c>
      <c r="D5696">
        <v>5.8368739999999999</v>
      </c>
      <c r="E5696">
        <v>0.52369370000000004</v>
      </c>
      <c r="F5696" t="s">
        <v>43</v>
      </c>
      <c r="G5696">
        <v>-314.03519999999997</v>
      </c>
      <c r="H5696">
        <v>-0.05</v>
      </c>
      <c r="I5696">
        <v>11.89789</v>
      </c>
      <c r="J5696">
        <v>-322.34570000000002</v>
      </c>
      <c r="K5696">
        <v>1.1054740000000001</v>
      </c>
      <c r="L5696">
        <v>16.99335</v>
      </c>
      <c r="M5696">
        <v>0.9926912</v>
      </c>
      <c r="N5696">
        <v>0</v>
      </c>
      <c r="O5696">
        <v>-0.1197952</v>
      </c>
      <c r="P5696">
        <v>0.84662780000000004</v>
      </c>
      <c r="Q5696">
        <v>0.16816500000000001</v>
      </c>
      <c r="R5696">
        <v>-0.50491750000000002</v>
      </c>
      <c r="S5696">
        <v>2.6587830000000001</v>
      </c>
      <c r="T5696">
        <v>-0.36258889999999999</v>
      </c>
      <c r="U5696">
        <v>-1.6058650000000001</v>
      </c>
      <c r="V5696">
        <v>0.4019972</v>
      </c>
      <c r="W5696">
        <v>0.176484</v>
      </c>
      <c r="X5696">
        <v>0.89847180000000004</v>
      </c>
      <c r="Y5696">
        <v>0.40879320000000002</v>
      </c>
      <c r="Z5696">
        <v>-1.0751800000000001E-2</v>
      </c>
      <c r="AA5696">
        <v>0.91256369999999998</v>
      </c>
      <c r="AB5696">
        <v>31</v>
      </c>
      <c r="AC5696">
        <v>8.3105000000000402</v>
      </c>
      <c r="AD5696">
        <v>-1.1554739999999999</v>
      </c>
      <c r="AE5696">
        <v>-5.0954599999999903</v>
      </c>
      <c r="AF5696">
        <v>4.0067991515337296</v>
      </c>
      <c r="AG5696">
        <v>-1.1554739999999999</v>
      </c>
      <c r="AH5696">
        <v>8.7383454598801809</v>
      </c>
      <c r="AI5696">
        <v>96.853895987585901</v>
      </c>
      <c r="AJ5696">
        <v>65.367093523099797</v>
      </c>
      <c r="AK5696">
        <v>9.6823675297736997</v>
      </c>
      <c r="AL5696">
        <v>79.834970309853006</v>
      </c>
      <c r="AM5696">
        <v>65.895146519262099</v>
      </c>
      <c r="AN5696">
        <v>0.99999996322953899</v>
      </c>
    </row>
    <row r="5697" spans="1:40" x14ac:dyDescent="0.25">
      <c r="A5697" t="str">
        <f>"20190312164140301"</f>
        <v>20190312164140301</v>
      </c>
      <c r="B5697" t="str">
        <f>"1552380100291785"</f>
        <v>1552380100291785</v>
      </c>
      <c r="C5697" t="s">
        <v>40</v>
      </c>
      <c r="D5697">
        <v>5.8120469999999997</v>
      </c>
      <c r="E5697">
        <v>0.52411030000000003</v>
      </c>
      <c r="F5697" t="s">
        <v>43</v>
      </c>
      <c r="G5697">
        <v>-314.08210000000003</v>
      </c>
      <c r="H5697">
        <v>-0.05</v>
      </c>
      <c r="I5697">
        <v>11.960570000000001</v>
      </c>
      <c r="J5697">
        <v>-322.20519999999999</v>
      </c>
      <c r="K5697">
        <v>1.10541</v>
      </c>
      <c r="L5697">
        <v>16.97382</v>
      </c>
      <c r="M5697">
        <v>0.99235390000000001</v>
      </c>
      <c r="N5697">
        <v>0</v>
      </c>
      <c r="O5697">
        <v>-0.1225579</v>
      </c>
      <c r="P5697">
        <v>0.84525459999999997</v>
      </c>
      <c r="Q5697">
        <v>0.16732139999999901</v>
      </c>
      <c r="R5697">
        <v>-0.50749219999999995</v>
      </c>
      <c r="S5697">
        <v>2.653381</v>
      </c>
      <c r="T5697">
        <v>-0.37101659999999997</v>
      </c>
      <c r="U5697">
        <v>-1.6159969999999999</v>
      </c>
      <c r="V5697">
        <v>0.40222609999999998</v>
      </c>
      <c r="W5697">
        <v>0.17558660000000001</v>
      </c>
      <c r="X5697">
        <v>0.89854519999999904</v>
      </c>
      <c r="Y5697">
        <v>0.4095452</v>
      </c>
      <c r="Z5697">
        <v>-1.071128E-2</v>
      </c>
      <c r="AA5697">
        <v>0.91222700000000001</v>
      </c>
      <c r="AB5697">
        <v>31</v>
      </c>
      <c r="AC5697">
        <v>8.12309999999996</v>
      </c>
      <c r="AD5697">
        <v>-1.15541</v>
      </c>
      <c r="AE5697">
        <v>-5.0132499999999904</v>
      </c>
      <c r="AF5697">
        <v>3.92232611049665</v>
      </c>
      <c r="AG5697">
        <v>-1.15541</v>
      </c>
      <c r="AH5697">
        <v>8.5510463350630292</v>
      </c>
      <c r="AI5697">
        <v>97.0017296001798</v>
      </c>
      <c r="AJ5697">
        <v>65.359291289868494</v>
      </c>
      <c r="AK5697">
        <v>9.4783969008255102</v>
      </c>
      <c r="AL5697">
        <v>79.887203425422001</v>
      </c>
      <c r="AM5697">
        <v>65.884730894740102</v>
      </c>
      <c r="AN5697">
        <v>0.99999998303190396</v>
      </c>
    </row>
    <row r="5698" spans="1:40" x14ac:dyDescent="0.25">
      <c r="A5698" t="str">
        <f>"20190312164140311"</f>
        <v>20190312164140311</v>
      </c>
      <c r="B5698" t="str">
        <f>"1552380100301545"</f>
        <v>1552380100301545</v>
      </c>
      <c r="C5698" t="s">
        <v>40</v>
      </c>
      <c r="D5698">
        <v>5.7236710000000004</v>
      </c>
      <c r="E5698">
        <v>0.52323660000000005</v>
      </c>
      <c r="F5698" t="s">
        <v>43</v>
      </c>
      <c r="G5698">
        <v>-313.92270000000002</v>
      </c>
      <c r="H5698">
        <v>-0.05</v>
      </c>
      <c r="I5698">
        <v>11.87444</v>
      </c>
      <c r="J5698">
        <v>-322.0557</v>
      </c>
      <c r="K5698">
        <v>1.105351</v>
      </c>
      <c r="L5698">
        <v>16.95242</v>
      </c>
      <c r="M5698">
        <v>0.9919808</v>
      </c>
      <c r="N5698">
        <v>0</v>
      </c>
      <c r="O5698">
        <v>-0.1255423</v>
      </c>
      <c r="P5698">
        <v>0.84376070000000003</v>
      </c>
      <c r="Q5698">
        <v>0.16627459999999999</v>
      </c>
      <c r="R5698">
        <v>-0.51031419999999905</v>
      </c>
      <c r="S5698">
        <v>2.6446230000000002</v>
      </c>
      <c r="T5698">
        <v>-0.36892390000000003</v>
      </c>
      <c r="U5698">
        <v>-1.6282350000000001</v>
      </c>
      <c r="V5698">
        <v>0.4025128</v>
      </c>
      <c r="W5698">
        <v>0.17448659999999999</v>
      </c>
      <c r="X5698">
        <v>0.89863110000000002</v>
      </c>
      <c r="Y5698">
        <v>0.4112382</v>
      </c>
      <c r="Z5698">
        <v>-1.04061E-2</v>
      </c>
      <c r="AA5698">
        <v>0.91146850000000001</v>
      </c>
      <c r="AB5698">
        <v>31</v>
      </c>
      <c r="AC5698">
        <v>8.1329999999999796</v>
      </c>
      <c r="AD5698">
        <v>-1.155351</v>
      </c>
      <c r="AE5698">
        <v>-5.0779800000000002</v>
      </c>
      <c r="AF5698">
        <v>3.9591647598537101</v>
      </c>
      <c r="AG5698">
        <v>-1.155351</v>
      </c>
      <c r="AH5698">
        <v>8.5816054336237393</v>
      </c>
      <c r="AI5698">
        <v>96.969718438782493</v>
      </c>
      <c r="AJ5698">
        <v>65.233535664552505</v>
      </c>
      <c r="AK5698">
        <v>9.5212275126303396</v>
      </c>
      <c r="AL5698">
        <v>79.951217113352996</v>
      </c>
      <c r="AM5698">
        <v>65.871546454419303</v>
      </c>
      <c r="AN5698">
        <v>0.999999990815305</v>
      </c>
    </row>
    <row r="5699" spans="1:40" x14ac:dyDescent="0.25">
      <c r="A5699" t="str">
        <f>"20190312164140323"</f>
        <v>20190312164140323</v>
      </c>
      <c r="B5699" t="str">
        <f>"1552380100312281"</f>
        <v>1552380100312281</v>
      </c>
      <c r="C5699" t="s">
        <v>40</v>
      </c>
      <c r="D5699">
        <v>5.8347419999999897</v>
      </c>
      <c r="E5699">
        <v>0.52323660000000005</v>
      </c>
      <c r="F5699" t="s">
        <v>43</v>
      </c>
      <c r="G5699">
        <v>-313.74239999999998</v>
      </c>
      <c r="H5699">
        <v>-0.05</v>
      </c>
      <c r="I5699">
        <v>11.81326</v>
      </c>
      <c r="J5699">
        <v>-321.90890000000002</v>
      </c>
      <c r="K5699">
        <v>1.1052930000000001</v>
      </c>
      <c r="L5699">
        <v>16.93103</v>
      </c>
      <c r="M5699">
        <v>0.99160239999999999</v>
      </c>
      <c r="N5699">
        <v>0</v>
      </c>
      <c r="O5699">
        <v>-0.12849669999999999</v>
      </c>
      <c r="P5699">
        <v>0.84234409999999904</v>
      </c>
      <c r="Q5699">
        <v>0.16493469999999999</v>
      </c>
      <c r="R5699">
        <v>-0.51308209999999999</v>
      </c>
      <c r="S5699">
        <v>2.640533</v>
      </c>
      <c r="T5699">
        <v>-0.36696879999999998</v>
      </c>
      <c r="U5699">
        <v>-1.6323240000000001</v>
      </c>
      <c r="V5699">
        <v>0.40276010000000001</v>
      </c>
      <c r="W5699">
        <v>0.17309759999999999</v>
      </c>
      <c r="X5699">
        <v>0.8987889</v>
      </c>
      <c r="Y5699">
        <v>0.4102227</v>
      </c>
      <c r="Z5699">
        <v>-9.9297540000000007E-3</v>
      </c>
      <c r="AA5699">
        <v>0.9119313</v>
      </c>
      <c r="AB5699">
        <v>31</v>
      </c>
      <c r="AC5699">
        <v>8.1665000000000401</v>
      </c>
      <c r="AD5699">
        <v>-1.1552929999999999</v>
      </c>
      <c r="AE5699">
        <v>-5.1177699999999904</v>
      </c>
      <c r="AF5699">
        <v>3.9688233830374</v>
      </c>
      <c r="AG5699">
        <v>-1.1552929999999999</v>
      </c>
      <c r="AH5699">
        <v>8.6324263031059996</v>
      </c>
      <c r="AI5699">
        <v>96.932907138596903</v>
      </c>
      <c r="AJ5699">
        <v>65.309034951050805</v>
      </c>
      <c r="AK5699">
        <v>9.5710524416152793</v>
      </c>
      <c r="AL5699">
        <v>80.032030662968594</v>
      </c>
      <c r="AM5699">
        <v>65.862169534861593</v>
      </c>
      <c r="AN5699">
        <v>0.99999998202048901</v>
      </c>
    </row>
    <row r="5700" spans="1:40" x14ac:dyDescent="0.25">
      <c r="A5700" t="str">
        <f>"20190312164140333"</f>
        <v>20190312164140333</v>
      </c>
      <c r="B5700" t="str">
        <f>"1552380100322040"</f>
        <v>1552380100322040</v>
      </c>
      <c r="C5700" t="s">
        <v>40</v>
      </c>
      <c r="D5700">
        <v>5.7654239999999897</v>
      </c>
      <c r="E5700">
        <v>0.52310040000000002</v>
      </c>
      <c r="F5700" t="s">
        <v>43</v>
      </c>
      <c r="G5700">
        <v>-313.70780000000002</v>
      </c>
      <c r="H5700">
        <v>-0.05</v>
      </c>
      <c r="I5700">
        <v>11.821149999999999</v>
      </c>
      <c r="J5700">
        <v>-321.75779999999997</v>
      </c>
      <c r="K5700">
        <v>1.105229</v>
      </c>
      <c r="L5700">
        <v>16.90851</v>
      </c>
      <c r="M5700">
        <v>0.99119849999999998</v>
      </c>
      <c r="N5700">
        <v>0</v>
      </c>
      <c r="O5700">
        <v>-0.13157479999999999</v>
      </c>
      <c r="P5700">
        <v>0.84080370000000004</v>
      </c>
      <c r="Q5700">
        <v>0.163430399999999</v>
      </c>
      <c r="R5700">
        <v>-0.51608129999999997</v>
      </c>
      <c r="S5700">
        <v>2.6343990000000002</v>
      </c>
      <c r="T5700">
        <v>-0.3711082</v>
      </c>
      <c r="U5700">
        <v>-1.641418</v>
      </c>
      <c r="V5700">
        <v>0.40313909999999997</v>
      </c>
      <c r="W5700">
        <v>0.17154240000000001</v>
      </c>
      <c r="X5700">
        <v>0.89891719999999897</v>
      </c>
      <c r="Y5700">
        <v>0.41058699999999998</v>
      </c>
      <c r="Z5700">
        <v>-9.6898079999999994E-3</v>
      </c>
      <c r="AA5700">
        <v>0.91176999999999997</v>
      </c>
      <c r="AB5700">
        <v>31</v>
      </c>
      <c r="AC5700">
        <v>8.0499999999999492</v>
      </c>
      <c r="AD5700">
        <v>-1.1552290000000001</v>
      </c>
      <c r="AE5700">
        <v>-5.0873599999999897</v>
      </c>
      <c r="AF5700">
        <v>3.9260538970277401</v>
      </c>
      <c r="AG5700">
        <v>-1.1552290000000001</v>
      </c>
      <c r="AH5700">
        <v>8.5239960958155798</v>
      </c>
      <c r="AI5700">
        <v>97.0176457272958</v>
      </c>
      <c r="AJ5700">
        <v>65.269749971007798</v>
      </c>
      <c r="AK5700">
        <v>9.4555255108474601</v>
      </c>
      <c r="AL5700">
        <v>80.122490739600707</v>
      </c>
      <c r="AM5700">
        <v>65.845106261740099</v>
      </c>
      <c r="AN5700">
        <v>1.0000000307012</v>
      </c>
    </row>
    <row r="5701" spans="1:40" x14ac:dyDescent="0.25">
      <c r="A5701" t="str">
        <f>"20190312164140344"</f>
        <v>20190312164140344</v>
      </c>
      <c r="B5701" t="str">
        <f>"1552380100341561"</f>
        <v>1552380100341561</v>
      </c>
      <c r="C5701" t="s">
        <v>40</v>
      </c>
      <c r="D5701">
        <v>5.7806150000000001</v>
      </c>
      <c r="E5701">
        <v>0.52266140000000005</v>
      </c>
      <c r="F5701" t="s">
        <v>43</v>
      </c>
      <c r="G5701">
        <v>-313.63630000000001</v>
      </c>
      <c r="H5701">
        <v>-0.05</v>
      </c>
      <c r="I5701">
        <v>11.807309999999999</v>
      </c>
      <c r="J5701">
        <v>-321.60320000000002</v>
      </c>
      <c r="K5701">
        <v>1.1051679999999999</v>
      </c>
      <c r="L5701">
        <v>16.884889999999999</v>
      </c>
      <c r="M5701">
        <v>0.99077090000000001</v>
      </c>
      <c r="N5701">
        <v>0</v>
      </c>
      <c r="O5701">
        <v>-0.13475670000000001</v>
      </c>
      <c r="P5701">
        <v>0.83942759999999905</v>
      </c>
      <c r="Q5701">
        <v>0.1622236</v>
      </c>
      <c r="R5701">
        <v>-0.51869529999999997</v>
      </c>
      <c r="S5701">
        <v>2.6276250000000001</v>
      </c>
      <c r="T5701">
        <v>-0.37376549999999997</v>
      </c>
      <c r="U5701">
        <v>-1.650452</v>
      </c>
      <c r="V5701">
        <v>0.40302490000000002</v>
      </c>
      <c r="W5701">
        <v>0.170295</v>
      </c>
      <c r="X5701">
        <v>0.89920549999999999</v>
      </c>
      <c r="Y5701">
        <v>0.41095619999999999</v>
      </c>
      <c r="Z5701">
        <v>-9.3937910000000003E-3</v>
      </c>
      <c r="AA5701">
        <v>0.91160669999999999</v>
      </c>
      <c r="AB5701">
        <v>31</v>
      </c>
      <c r="AC5701">
        <v>7.9669000000000096</v>
      </c>
      <c r="AD5701">
        <v>-1.155168</v>
      </c>
      <c r="AE5701">
        <v>-5.0775799999999904</v>
      </c>
      <c r="AF5701">
        <v>3.8992510260715099</v>
      </c>
      <c r="AG5701">
        <v>-1.155168</v>
      </c>
      <c r="AH5701">
        <v>8.4521600857276606</v>
      </c>
      <c r="AI5701">
        <v>97.074337910038196</v>
      </c>
      <c r="AJ5701">
        <v>65.2346171961793</v>
      </c>
      <c r="AK5701">
        <v>9.3796365487854398</v>
      </c>
      <c r="AL5701">
        <v>80.195028524881295</v>
      </c>
      <c r="AM5701">
        <v>65.858024631172995</v>
      </c>
      <c r="AN5701">
        <v>0.99999999413762997</v>
      </c>
    </row>
    <row r="5702" spans="1:40" x14ac:dyDescent="0.25">
      <c r="A5702" t="str">
        <f>"20190312164140356"</f>
        <v>20190312164140356</v>
      </c>
      <c r="B5702" t="str">
        <f>"1552380100352296"</f>
        <v>1552380100352296</v>
      </c>
      <c r="C5702" t="s">
        <v>40</v>
      </c>
      <c r="D5702">
        <v>5.7107299999999999</v>
      </c>
      <c r="E5702">
        <v>0.52248409999999901</v>
      </c>
      <c r="F5702" t="s">
        <v>43</v>
      </c>
      <c r="G5702">
        <v>-313.37209999999999</v>
      </c>
      <c r="H5702">
        <v>-0.05</v>
      </c>
      <c r="I5702">
        <v>11.68211</v>
      </c>
      <c r="J5702">
        <v>-321.44479999999999</v>
      </c>
      <c r="K5702">
        <v>1.1051089999999999</v>
      </c>
      <c r="L5702">
        <v>16.86026</v>
      </c>
      <c r="M5702">
        <v>0.99031860000000005</v>
      </c>
      <c r="N5702">
        <v>0</v>
      </c>
      <c r="O5702">
        <v>-0.13804050000000001</v>
      </c>
      <c r="P5702">
        <v>0.83789130000000001</v>
      </c>
      <c r="Q5702">
        <v>0.16039919999999999</v>
      </c>
      <c r="R5702">
        <v>-0.52173809999999998</v>
      </c>
      <c r="S5702">
        <v>2.621216</v>
      </c>
      <c r="T5702">
        <v>-0.367865</v>
      </c>
      <c r="U5702">
        <v>-1.65683</v>
      </c>
      <c r="V5702">
        <v>0.40325709999999998</v>
      </c>
      <c r="W5702">
        <v>0.16842509999999999</v>
      </c>
      <c r="X5702">
        <v>0.89945359999999996</v>
      </c>
      <c r="Y5702">
        <v>0.4106089</v>
      </c>
      <c r="Z5702">
        <v>-8.8291469999999903E-3</v>
      </c>
      <c r="AA5702">
        <v>0.91176889999999999</v>
      </c>
      <c r="AB5702">
        <v>31</v>
      </c>
      <c r="AC5702">
        <v>8.0726999999999904</v>
      </c>
      <c r="AD5702">
        <v>-1.1551089999999999</v>
      </c>
      <c r="AE5702">
        <v>-5.1781499999999996</v>
      </c>
      <c r="AF5702">
        <v>3.9566926746927198</v>
      </c>
      <c r="AG5702">
        <v>-1.1551089999999999</v>
      </c>
      <c r="AH5702">
        <v>8.5857273298537393</v>
      </c>
      <c r="AI5702">
        <v>96.966296451266899</v>
      </c>
      <c r="AJ5702">
        <v>65.257605679007099</v>
      </c>
      <c r="AK5702">
        <v>9.5238861556848402</v>
      </c>
      <c r="AL5702">
        <v>80.303736743266199</v>
      </c>
      <c r="AM5702">
        <v>65.851606464739902</v>
      </c>
      <c r="AN5702">
        <v>1.00000004078168</v>
      </c>
    </row>
    <row r="5703" spans="1:40" x14ac:dyDescent="0.25">
      <c r="A5703" t="str">
        <f>"20190312164140367"</f>
        <v>20190312164140367</v>
      </c>
      <c r="B5703" t="str">
        <f>"1552380100362060"</f>
        <v>1552380100362060</v>
      </c>
      <c r="C5703" t="s">
        <v>40</v>
      </c>
      <c r="D5703">
        <v>5.7817400000000001</v>
      </c>
      <c r="E5703">
        <v>0.52257819999999999</v>
      </c>
      <c r="F5703" t="s">
        <v>43</v>
      </c>
      <c r="G5703">
        <v>-313.27940000000001</v>
      </c>
      <c r="H5703">
        <v>-0.05</v>
      </c>
      <c r="I5703">
        <v>11.65668</v>
      </c>
      <c r="J5703">
        <v>-321.29259999999999</v>
      </c>
      <c r="K5703">
        <v>1.105059</v>
      </c>
      <c r="L5703">
        <v>16.835819999999998</v>
      </c>
      <c r="M5703">
        <v>0.98986739999999995</v>
      </c>
      <c r="N5703">
        <v>0</v>
      </c>
      <c r="O5703">
        <v>-0.14123949999999999</v>
      </c>
      <c r="P5703">
        <v>0.83631180000000005</v>
      </c>
      <c r="Q5703">
        <v>0.15849569999999999</v>
      </c>
      <c r="R5703">
        <v>-0.52484469999999905</v>
      </c>
      <c r="S5703">
        <v>2.613953</v>
      </c>
      <c r="T5703">
        <v>-0.36978070000000002</v>
      </c>
      <c r="U5703">
        <v>-1.665802</v>
      </c>
      <c r="V5703">
        <v>0.4036343</v>
      </c>
      <c r="W5703">
        <v>0.1664774</v>
      </c>
      <c r="X5703">
        <v>0.89964690000000003</v>
      </c>
      <c r="Y5703">
        <v>0.41103400000000001</v>
      </c>
      <c r="Z5703">
        <v>-8.5153E-3</v>
      </c>
      <c r="AA5703">
        <v>0.91158030000000001</v>
      </c>
      <c r="AB5703">
        <v>31</v>
      </c>
      <c r="AC5703">
        <v>8.0131999999999799</v>
      </c>
      <c r="AD5703">
        <v>-1.1550590000000001</v>
      </c>
      <c r="AE5703">
        <v>-5.1791400000000003</v>
      </c>
      <c r="AF5703">
        <v>3.9376013646308499</v>
      </c>
      <c r="AG5703">
        <v>-1.1550590000000001</v>
      </c>
      <c r="AH5703">
        <v>8.5392839917468297</v>
      </c>
      <c r="AI5703">
        <v>97.002795507861805</v>
      </c>
      <c r="AJ5703">
        <v>65.244812310563901</v>
      </c>
      <c r="AK5703">
        <v>9.4740823773032208</v>
      </c>
      <c r="AL5703">
        <v>80.4169292029529</v>
      </c>
      <c r="AM5703">
        <v>65.836201721821695</v>
      </c>
      <c r="AN5703">
        <v>0.99999995876342895</v>
      </c>
    </row>
    <row r="5704" spans="1:40" x14ac:dyDescent="0.25">
      <c r="A5704" t="str">
        <f>"20190312164140379"</f>
        <v>20190312164140379</v>
      </c>
      <c r="B5704" t="str">
        <f>"1552380100371816"</f>
        <v>1552380100371816</v>
      </c>
      <c r="C5704" t="s">
        <v>40</v>
      </c>
      <c r="D5704">
        <v>5.7229390000000002</v>
      </c>
      <c r="E5704">
        <v>0.52262089999999894</v>
      </c>
      <c r="F5704" t="s">
        <v>43</v>
      </c>
      <c r="G5704">
        <v>-313.27370000000002</v>
      </c>
      <c r="H5704">
        <v>-0.05</v>
      </c>
      <c r="I5704">
        <v>11.67534</v>
      </c>
      <c r="J5704">
        <v>-321.13099999999997</v>
      </c>
      <c r="K5704">
        <v>1.1049910000000001</v>
      </c>
      <c r="L5704">
        <v>16.809629999999999</v>
      </c>
      <c r="M5704">
        <v>0.98937280000000005</v>
      </c>
      <c r="N5704">
        <v>0</v>
      </c>
      <c r="O5704">
        <v>-0.144666299999999</v>
      </c>
      <c r="P5704">
        <v>0.83435919999999897</v>
      </c>
      <c r="Q5704">
        <v>0.1569866</v>
      </c>
      <c r="R5704">
        <v>-0.52839369999999997</v>
      </c>
      <c r="S5704">
        <v>2.605896</v>
      </c>
      <c r="T5704">
        <v>-0.37536049999999999</v>
      </c>
      <c r="U5704">
        <v>-1.6770020000000001</v>
      </c>
      <c r="V5704">
        <v>0.40430149999999998</v>
      </c>
      <c r="W5704">
        <v>0.16488139999999901</v>
      </c>
      <c r="X5704">
        <v>0.89964129999999998</v>
      </c>
      <c r="Y5704">
        <v>0.41189019999999998</v>
      </c>
      <c r="Z5704">
        <v>-8.277085E-3</v>
      </c>
      <c r="AA5704">
        <v>0.91119589999999995</v>
      </c>
      <c r="AB5704">
        <v>31</v>
      </c>
      <c r="AC5704">
        <v>7.8572999999999498</v>
      </c>
      <c r="AD5704">
        <v>-1.1549909999999901</v>
      </c>
      <c r="AE5704">
        <v>-5.1342899999999903</v>
      </c>
      <c r="AF5704">
        <v>3.8846383992362101</v>
      </c>
      <c r="AG5704">
        <v>-1.1549909999999901</v>
      </c>
      <c r="AH5704">
        <v>8.3904154815427106</v>
      </c>
      <c r="AI5704">
        <v>97.120345236472502</v>
      </c>
      <c r="AJ5704">
        <v>65.156560518824193</v>
      </c>
      <c r="AK5704">
        <v>9.31791240867895</v>
      </c>
      <c r="AL5704">
        <v>80.509655403161702</v>
      </c>
      <c r="AM5704">
        <v>65.800706379818294</v>
      </c>
      <c r="AN5704">
        <v>1.00000002381694</v>
      </c>
    </row>
    <row r="5705" spans="1:40" x14ac:dyDescent="0.25">
      <c r="A5705" t="str">
        <f>"20190312164140391"</f>
        <v>20190312164140391</v>
      </c>
      <c r="B5705" t="str">
        <f>"1552380100381577"</f>
        <v>1552380100381577</v>
      </c>
      <c r="C5705" t="s">
        <v>40</v>
      </c>
      <c r="D5705">
        <v>5.7441769999999996</v>
      </c>
      <c r="E5705">
        <v>0.52269009999999905</v>
      </c>
      <c r="F5705" t="s">
        <v>43</v>
      </c>
      <c r="G5705">
        <v>-313.15589999999997</v>
      </c>
      <c r="H5705">
        <v>-0.05</v>
      </c>
      <c r="I5705">
        <v>11.62067</v>
      </c>
      <c r="J5705">
        <v>-320.96260000000001</v>
      </c>
      <c r="K5705">
        <v>1.1048389999999999</v>
      </c>
      <c r="L5705">
        <v>16.781459999999999</v>
      </c>
      <c r="M5705">
        <v>0.98881509999999995</v>
      </c>
      <c r="N5705">
        <v>0</v>
      </c>
      <c r="O5705">
        <v>-0.14847729999999901</v>
      </c>
      <c r="P5705">
        <v>0.83228550000000001</v>
      </c>
      <c r="Q5705">
        <v>0.1555059</v>
      </c>
      <c r="R5705">
        <v>-0.53208889999999998</v>
      </c>
      <c r="S5705">
        <v>2.5964659999999999</v>
      </c>
      <c r="T5705">
        <v>-0.37602809999999998</v>
      </c>
      <c r="U5705">
        <v>-1.68936199999999</v>
      </c>
      <c r="V5705">
        <v>0.4047654</v>
      </c>
      <c r="W5705">
        <v>0.16294810000000001</v>
      </c>
      <c r="X5705">
        <v>0.8997849</v>
      </c>
      <c r="Y5705">
        <v>0.41294989999999998</v>
      </c>
      <c r="Z5705">
        <v>-7.8919790000000004E-3</v>
      </c>
      <c r="AA5705">
        <v>0.91071950000000002</v>
      </c>
      <c r="AB5705">
        <v>31</v>
      </c>
      <c r="AC5705">
        <v>7.8067000000000304</v>
      </c>
      <c r="AD5705">
        <v>-1.1548389999999999</v>
      </c>
      <c r="AE5705">
        <v>-5.1607899999999898</v>
      </c>
      <c r="AF5705">
        <v>3.88517823782602</v>
      </c>
      <c r="AG5705">
        <v>-1.1548389999999999</v>
      </c>
      <c r="AH5705">
        <v>8.3591934588377796</v>
      </c>
      <c r="AI5705">
        <v>97.140893739509494</v>
      </c>
      <c r="AJ5705">
        <v>65.071980701721401</v>
      </c>
      <c r="AK5705">
        <v>9.2900149804978298</v>
      </c>
      <c r="AL5705">
        <v>80.621943783569193</v>
      </c>
      <c r="AM5705">
        <v>65.779552427503106</v>
      </c>
      <c r="AN5705">
        <v>0.99999998929938905</v>
      </c>
    </row>
    <row r="5706" spans="1:40" x14ac:dyDescent="0.25">
      <c r="A5706" t="str">
        <f>"20190312164140401"</f>
        <v>20190312164140401</v>
      </c>
      <c r="B5706" t="str">
        <f>"1552380100392312"</f>
        <v>1552380100392312</v>
      </c>
      <c r="C5706" t="s">
        <v>40</v>
      </c>
      <c r="D5706">
        <v>5.8196849999999998</v>
      </c>
      <c r="E5706">
        <v>0.52290270000000005</v>
      </c>
      <c r="F5706" t="s">
        <v>43</v>
      </c>
      <c r="G5706">
        <v>-313.03730000000002</v>
      </c>
      <c r="H5706">
        <v>-0.05</v>
      </c>
      <c r="I5706">
        <v>11.5688</v>
      </c>
      <c r="J5706">
        <v>-320.82490000000001</v>
      </c>
      <c r="K5706">
        <v>1.1047020000000001</v>
      </c>
      <c r="L5706">
        <v>16.758150000000001</v>
      </c>
      <c r="M5706">
        <v>0.98834639999999996</v>
      </c>
      <c r="N5706">
        <v>0</v>
      </c>
      <c r="O5706">
        <v>-0.1515985</v>
      </c>
      <c r="P5706">
        <v>0.83059229999999995</v>
      </c>
      <c r="Q5706">
        <v>0.15353820000000001</v>
      </c>
      <c r="R5706">
        <v>-0.53529700000000002</v>
      </c>
      <c r="S5706">
        <v>2.587097</v>
      </c>
      <c r="T5706">
        <v>-0.37697510000000001</v>
      </c>
      <c r="U5706">
        <v>-1.7015690000000001</v>
      </c>
      <c r="V5706">
        <v>0.40532200000000002</v>
      </c>
      <c r="W5706">
        <v>0.16063540000000001</v>
      </c>
      <c r="X5706">
        <v>0.89995020000000003</v>
      </c>
      <c r="Y5706">
        <v>0.41458590000000001</v>
      </c>
      <c r="Z5706">
        <v>-7.6363739999999996E-3</v>
      </c>
      <c r="AA5706">
        <v>0.90997819999999996</v>
      </c>
      <c r="AB5706">
        <v>31</v>
      </c>
      <c r="AC5706">
        <v>7.7875999999999896</v>
      </c>
      <c r="AD5706">
        <v>-1.1547019999999999</v>
      </c>
      <c r="AE5706">
        <v>-5.1893500000000001</v>
      </c>
      <c r="AF5706">
        <v>3.8894442548762198</v>
      </c>
      <c r="AG5706">
        <v>-1.1547019999999999</v>
      </c>
      <c r="AH5706">
        <v>8.3571109690217895</v>
      </c>
      <c r="AI5706">
        <v>97.140123746257103</v>
      </c>
      <c r="AJ5706">
        <v>65.042478899238404</v>
      </c>
      <c r="AK5706">
        <v>9.2899094220093499</v>
      </c>
      <c r="AL5706">
        <v>80.756221061293004</v>
      </c>
      <c r="AM5706">
        <v>65.754022753286606</v>
      </c>
      <c r="AN5706">
        <v>1.0000000089486001</v>
      </c>
    </row>
    <row r="5707" spans="1:40" x14ac:dyDescent="0.25">
      <c r="A5707" t="str">
        <f>"20190312164140412"</f>
        <v>20190312164140412</v>
      </c>
      <c r="B5707" t="str">
        <f>"1552380100402073"</f>
        <v>1552380100402073</v>
      </c>
      <c r="C5707" t="s">
        <v>40</v>
      </c>
      <c r="D5707">
        <v>5.811814</v>
      </c>
      <c r="E5707">
        <v>0.52308500000000002</v>
      </c>
      <c r="F5707" t="s">
        <v>43</v>
      </c>
      <c r="G5707">
        <v>-313.05849999999998</v>
      </c>
      <c r="H5707">
        <v>-0.05</v>
      </c>
      <c r="I5707">
        <v>11.60046</v>
      </c>
      <c r="J5707">
        <v>-320.66359999999997</v>
      </c>
      <c r="K5707">
        <v>1.104503</v>
      </c>
      <c r="L5707">
        <v>16.73019</v>
      </c>
      <c r="M5707">
        <v>0.98778189999999999</v>
      </c>
      <c r="N5707">
        <v>0</v>
      </c>
      <c r="O5707">
        <v>-0.15526010000000001</v>
      </c>
      <c r="P5707">
        <v>0.82848219999999995</v>
      </c>
      <c r="Q5707">
        <v>0.15132699999999999</v>
      </c>
      <c r="R5707">
        <v>-0.53918250000000001</v>
      </c>
      <c r="S5707">
        <v>2.5789789999999999</v>
      </c>
      <c r="T5707">
        <v>-0.3834419</v>
      </c>
      <c r="U5707">
        <v>-1.7127079999999999</v>
      </c>
      <c r="V5707">
        <v>0.40613250000000001</v>
      </c>
      <c r="W5707">
        <v>0.15808630000000001</v>
      </c>
      <c r="X5707">
        <v>0.90003619999999995</v>
      </c>
      <c r="Y5707">
        <v>0.41521730000000001</v>
      </c>
      <c r="Z5707">
        <v>-7.3451719999999996E-3</v>
      </c>
      <c r="AA5707">
        <v>0.90969259999999996</v>
      </c>
      <c r="AB5707">
        <v>31</v>
      </c>
      <c r="AC5707">
        <v>7.6050999999999904</v>
      </c>
      <c r="AD5707">
        <v>-1.1545030000000001</v>
      </c>
      <c r="AE5707">
        <v>-5.1297300000000003</v>
      </c>
      <c r="AF5707">
        <v>3.8260374899447198</v>
      </c>
      <c r="AG5707">
        <v>-1.1545030000000001</v>
      </c>
      <c r="AH5707">
        <v>8.1798154853658698</v>
      </c>
      <c r="AI5707">
        <v>97.285538267132097</v>
      </c>
      <c r="AJ5707">
        <v>64.932566660264499</v>
      </c>
      <c r="AK5707">
        <v>9.1038904555197107</v>
      </c>
      <c r="AL5707">
        <v>80.904164566264498</v>
      </c>
      <c r="AM5707">
        <v>65.713190823542007</v>
      </c>
      <c r="AN5707">
        <v>1.00000002355718</v>
      </c>
    </row>
    <row r="5708" spans="1:40" x14ac:dyDescent="0.25">
      <c r="A5708" t="str">
        <f>"20190312164140439"</f>
        <v>20190312164140439</v>
      </c>
      <c r="B5708" t="str">
        <f>"1552380100432328"</f>
        <v>1552380100432328</v>
      </c>
      <c r="C5708" t="s">
        <v>40</v>
      </c>
      <c r="D5708">
        <v>6.273123</v>
      </c>
      <c r="E5708">
        <v>0.52307399999999904</v>
      </c>
      <c r="F5708" t="s">
        <v>43</v>
      </c>
      <c r="G5708">
        <v>-313.0693</v>
      </c>
      <c r="H5708">
        <v>-0.05</v>
      </c>
      <c r="I5708">
        <v>11.62851</v>
      </c>
      <c r="J5708">
        <v>-320.30930000000001</v>
      </c>
      <c r="K5708">
        <v>1.1040669999999999</v>
      </c>
      <c r="L5708">
        <v>16.666989999999998</v>
      </c>
      <c r="M5708">
        <v>0.98648849999999999</v>
      </c>
      <c r="N5708">
        <v>0</v>
      </c>
      <c r="O5708">
        <v>-0.1632786</v>
      </c>
      <c r="P5708">
        <v>0.82359450000000001</v>
      </c>
      <c r="Q5708">
        <v>0.14648029999999901</v>
      </c>
      <c r="R5708">
        <v>-0.54793819999999904</v>
      </c>
      <c r="S5708">
        <v>2.5691830000000002</v>
      </c>
      <c r="T5708">
        <v>-0.39057370000000002</v>
      </c>
      <c r="U5708">
        <v>-1.725922</v>
      </c>
      <c r="V5708">
        <v>0.40820810000000002</v>
      </c>
      <c r="W5708">
        <v>0.15307689999999999</v>
      </c>
      <c r="X5708">
        <v>0.89996309999999902</v>
      </c>
      <c r="Y5708">
        <v>0.4126667</v>
      </c>
      <c r="Z5708">
        <v>-6.2569640000000003E-3</v>
      </c>
      <c r="AA5708">
        <v>0.91086060000000002</v>
      </c>
      <c r="AB5708">
        <v>31</v>
      </c>
      <c r="AC5708">
        <v>7.24</v>
      </c>
      <c r="AD5708">
        <v>-1.154067</v>
      </c>
      <c r="AE5708">
        <v>-5.0384799999999901</v>
      </c>
      <c r="AF5708">
        <v>3.7248444950253798</v>
      </c>
      <c r="AG5708">
        <v>-1.154067</v>
      </c>
      <c r="AH5708">
        <v>7.8315095997577604</v>
      </c>
      <c r="AI5708">
        <v>97.580192973196404</v>
      </c>
      <c r="AJ5708">
        <v>64.563174305028596</v>
      </c>
      <c r="AK5708">
        <v>8.7486501680949509</v>
      </c>
      <c r="AL5708">
        <v>81.194720118808902</v>
      </c>
      <c r="AM5708">
        <v>65.601756558756904</v>
      </c>
      <c r="AN5708">
        <v>0.99999998579041405</v>
      </c>
    </row>
    <row r="5709" spans="1:40" x14ac:dyDescent="0.25">
      <c r="A5709" t="str">
        <f>"20190312164140449"</f>
        <v>20190312164140449</v>
      </c>
      <c r="B5709" t="str">
        <f>"1552380100442088"</f>
        <v>1552380100442088</v>
      </c>
      <c r="C5709" t="s">
        <v>40</v>
      </c>
      <c r="D5709">
        <v>5.8029599999999997</v>
      </c>
      <c r="E5709">
        <v>0.52475360000000004</v>
      </c>
      <c r="F5709" t="s">
        <v>43</v>
      </c>
      <c r="G5709">
        <v>-313.01330000000002</v>
      </c>
      <c r="H5709">
        <v>-0.05</v>
      </c>
      <c r="I5709">
        <v>11.64189</v>
      </c>
      <c r="J5709">
        <v>-320.14139999999998</v>
      </c>
      <c r="K5709">
        <v>1.1037440000000001</v>
      </c>
      <c r="L5709">
        <v>16.63589</v>
      </c>
      <c r="M5709">
        <v>0.98583969999999999</v>
      </c>
      <c r="N5709">
        <v>0</v>
      </c>
      <c r="O5709">
        <v>-0.16712589999999999</v>
      </c>
      <c r="P5709">
        <v>0.82102619999999904</v>
      </c>
      <c r="Q5709">
        <v>0.1437427</v>
      </c>
      <c r="R5709">
        <v>-0.55249799999999905</v>
      </c>
      <c r="S5709">
        <v>2.5471189999999999</v>
      </c>
      <c r="T5709">
        <v>-0.4029008</v>
      </c>
      <c r="U5709">
        <v>-1.7543329999999999</v>
      </c>
      <c r="V5709">
        <v>0.40960859999999899</v>
      </c>
      <c r="W5709">
        <v>0.1504993</v>
      </c>
      <c r="X5709">
        <v>0.89976149999999999</v>
      </c>
      <c r="Y5709">
        <v>0.41951379999999999</v>
      </c>
      <c r="Z5709">
        <v>-6.4448099999999996E-3</v>
      </c>
      <c r="AA5709">
        <v>0.90772609999999998</v>
      </c>
      <c r="AB5709">
        <v>31</v>
      </c>
      <c r="AC5709">
        <v>7.1280999999999599</v>
      </c>
      <c r="AD5709">
        <v>-1.1537440000000001</v>
      </c>
      <c r="AE5709">
        <v>-4.9939999999999998</v>
      </c>
      <c r="AF5709">
        <v>3.6678915343790299</v>
      </c>
      <c r="AG5709">
        <v>-1.1537440000000001</v>
      </c>
      <c r="AH5709">
        <v>7.72675431333308</v>
      </c>
      <c r="AI5709">
        <v>97.682332210567793</v>
      </c>
      <c r="AJ5709">
        <v>64.606300349554004</v>
      </c>
      <c r="AK5709">
        <v>8.6306017023216093</v>
      </c>
      <c r="AL5709">
        <v>81.344137182367206</v>
      </c>
      <c r="AM5709">
        <v>65.523011493194701</v>
      </c>
      <c r="AN5709">
        <v>1.0000000006883401</v>
      </c>
    </row>
    <row r="5710" spans="1:40" x14ac:dyDescent="0.25">
      <c r="A5710" t="str">
        <f>"20190312164140461"</f>
        <v>20190312164140461</v>
      </c>
      <c r="B5710" t="str">
        <f>"1552380100451849"</f>
        <v>1552380100451849</v>
      </c>
      <c r="C5710" t="s">
        <v>40</v>
      </c>
      <c r="D5710">
        <v>6.0525520000000004</v>
      </c>
      <c r="E5710">
        <v>0.52744449999999998</v>
      </c>
      <c r="F5710" t="s">
        <v>43</v>
      </c>
      <c r="G5710">
        <v>-312.69779999999997</v>
      </c>
      <c r="H5710">
        <v>-0.05</v>
      </c>
      <c r="I5710">
        <v>11.382479999999999</v>
      </c>
      <c r="J5710">
        <v>-319.98669999999998</v>
      </c>
      <c r="K5710">
        <v>1.103391</v>
      </c>
      <c r="L5710">
        <v>16.6069</v>
      </c>
      <c r="M5710">
        <v>0.98522920000000003</v>
      </c>
      <c r="N5710">
        <v>0</v>
      </c>
      <c r="O5710">
        <v>-0.17066289999999901</v>
      </c>
      <c r="P5710">
        <v>0.81820729999999997</v>
      </c>
      <c r="Q5710">
        <v>0.141068</v>
      </c>
      <c r="R5710">
        <v>-0.55734810000000001</v>
      </c>
      <c r="S5710">
        <v>2.5238040000000002</v>
      </c>
      <c r="T5710">
        <v>-0.39118160000000002</v>
      </c>
      <c r="U5710">
        <v>-1.7811889999999999</v>
      </c>
      <c r="V5710">
        <v>0.41163060000000001</v>
      </c>
      <c r="W5710">
        <v>0.1479867</v>
      </c>
      <c r="X5710">
        <v>0.89925529999999998</v>
      </c>
      <c r="Y5710">
        <v>0.42670819999999998</v>
      </c>
      <c r="Z5710">
        <v>-6.3210389999999997E-3</v>
      </c>
      <c r="AA5710">
        <v>0.90436729999999999</v>
      </c>
      <c r="AB5710">
        <v>31</v>
      </c>
      <c r="AC5710">
        <v>7.2889000000000097</v>
      </c>
      <c r="AD5710">
        <v>-1.1533910000000001</v>
      </c>
      <c r="AE5710">
        <v>-5.2244199999999896</v>
      </c>
      <c r="AF5710">
        <v>3.8401698600184901</v>
      </c>
      <c r="AG5710">
        <v>-1.1533910000000001</v>
      </c>
      <c r="AH5710">
        <v>7.9422724023342797</v>
      </c>
      <c r="AI5710">
        <v>97.448671295356107</v>
      </c>
      <c r="AJ5710">
        <v>64.195758568325402</v>
      </c>
      <c r="AK5710">
        <v>8.8970167059276797</v>
      </c>
      <c r="AL5710">
        <v>81.489728752455704</v>
      </c>
      <c r="AM5710">
        <v>65.404246747676396</v>
      </c>
      <c r="AN5710">
        <v>0.99999995440566902</v>
      </c>
    </row>
    <row r="5711" spans="1:40" x14ac:dyDescent="0.25">
      <c r="A5711" t="str">
        <f>"20190312164140471"</f>
        <v>20190312164140471</v>
      </c>
      <c r="B5711" t="str">
        <f>"1552380100461609"</f>
        <v>1552380100461609</v>
      </c>
      <c r="C5711" t="s">
        <v>40</v>
      </c>
      <c r="D5711">
        <v>6.0050860000000004</v>
      </c>
      <c r="E5711">
        <v>0.52991489999999997</v>
      </c>
      <c r="F5711" t="s">
        <v>43</v>
      </c>
      <c r="G5711">
        <v>-312.78609999999998</v>
      </c>
      <c r="H5711">
        <v>-0.05</v>
      </c>
      <c r="I5711">
        <v>11.379440000000001</v>
      </c>
      <c r="J5711">
        <v>-319.84179999999998</v>
      </c>
      <c r="K5711">
        <v>1.102956</v>
      </c>
      <c r="L5711">
        <v>16.579129999999999</v>
      </c>
      <c r="M5711">
        <v>0.98464810000000003</v>
      </c>
      <c r="N5711">
        <v>0</v>
      </c>
      <c r="O5711">
        <v>-0.17395070000000001</v>
      </c>
      <c r="P5711">
        <v>0.81549510000000003</v>
      </c>
      <c r="Q5711">
        <v>0.1383566</v>
      </c>
      <c r="R5711">
        <v>-0.56198349999999997</v>
      </c>
      <c r="S5711">
        <v>2.4995419999999999</v>
      </c>
      <c r="T5711">
        <v>-0.40037660000000003</v>
      </c>
      <c r="U5711">
        <v>-1.8146059999999999</v>
      </c>
      <c r="V5711">
        <v>0.41366540000000002</v>
      </c>
      <c r="W5711">
        <v>0.1454821</v>
      </c>
      <c r="X5711">
        <v>0.89873019999999904</v>
      </c>
      <c r="Y5711">
        <v>0.43560929999999998</v>
      </c>
      <c r="Z5711">
        <v>-6.6872889999999999E-3</v>
      </c>
      <c r="AA5711">
        <v>0.90011099999999999</v>
      </c>
      <c r="AB5711">
        <v>31</v>
      </c>
      <c r="AC5711">
        <v>7.0556999999999999</v>
      </c>
      <c r="AD5711">
        <v>-1.1529559999999901</v>
      </c>
      <c r="AE5711">
        <v>-5.1996900000000004</v>
      </c>
      <c r="AF5711">
        <v>3.8267099134248599</v>
      </c>
      <c r="AG5711">
        <v>-1.1529559999999901</v>
      </c>
      <c r="AH5711">
        <v>7.7191194025988299</v>
      </c>
      <c r="AI5711">
        <v>97.622148256975194</v>
      </c>
      <c r="AJ5711">
        <v>63.630344817378599</v>
      </c>
      <c r="AK5711">
        <v>8.6924001662957195</v>
      </c>
      <c r="AL5711">
        <v>81.634802802095095</v>
      </c>
      <c r="AM5711">
        <v>65.284442553366404</v>
      </c>
      <c r="AN5711">
        <v>1.0000000384848</v>
      </c>
    </row>
    <row r="5712" spans="1:40" x14ac:dyDescent="0.25">
      <c r="A5712" t="str">
        <f>"20190312164140482"</f>
        <v>20190312164140482</v>
      </c>
      <c r="B5712" t="str">
        <f>"1552380100472345"</f>
        <v>1552380100472345</v>
      </c>
      <c r="C5712" t="s">
        <v>40</v>
      </c>
      <c r="D5712">
        <v>5.8103629999999997</v>
      </c>
      <c r="E5712">
        <v>0.53203540000000005</v>
      </c>
      <c r="F5712" t="s">
        <v>43</v>
      </c>
      <c r="G5712">
        <v>-312.85289999999998</v>
      </c>
      <c r="H5712">
        <v>-0.05</v>
      </c>
      <c r="I5712">
        <v>11.370240000000001</v>
      </c>
      <c r="J5712">
        <v>-319.69850000000002</v>
      </c>
      <c r="K5712">
        <v>1.1024659999999999</v>
      </c>
      <c r="L5712">
        <v>16.551210000000001</v>
      </c>
      <c r="M5712">
        <v>0.98407829999999996</v>
      </c>
      <c r="N5712">
        <v>0</v>
      </c>
      <c r="O5712">
        <v>-0.17710499999999901</v>
      </c>
      <c r="P5712">
        <v>0.81272409999999995</v>
      </c>
      <c r="Q5712">
        <v>0.13571340000000001</v>
      </c>
      <c r="R5712">
        <v>-0.56662270000000003</v>
      </c>
      <c r="S5712">
        <v>2.4762270000000002</v>
      </c>
      <c r="T5712">
        <v>-0.40850189999999997</v>
      </c>
      <c r="U5712">
        <v>-1.8455509999999999</v>
      </c>
      <c r="V5712">
        <v>0.41584729999999998</v>
      </c>
      <c r="W5712">
        <v>0.14309920000000001</v>
      </c>
      <c r="X5712">
        <v>0.89810559999999995</v>
      </c>
      <c r="Y5712">
        <v>0.44385740000000001</v>
      </c>
      <c r="Z5712">
        <v>-7.0176269999999898E-3</v>
      </c>
      <c r="AA5712">
        <v>0.89606989999999997</v>
      </c>
      <c r="AB5712">
        <v>31</v>
      </c>
      <c r="AC5712">
        <v>6.8456000000000401</v>
      </c>
      <c r="AD5712">
        <v>-1.152466</v>
      </c>
      <c r="AE5712">
        <v>-5.1809700000000003</v>
      </c>
      <c r="AF5712">
        <v>3.8177284594358198</v>
      </c>
      <c r="AG5712">
        <v>-1.152466</v>
      </c>
      <c r="AH5712">
        <v>7.5195344492725802</v>
      </c>
      <c r="AI5712">
        <v>97.781757300980601</v>
      </c>
      <c r="AJ5712">
        <v>63.082726520012599</v>
      </c>
      <c r="AK5712">
        <v>8.5115584239867204</v>
      </c>
      <c r="AL5712">
        <v>81.772776586218399</v>
      </c>
      <c r="AM5712">
        <v>65.154581199412604</v>
      </c>
      <c r="AN5712">
        <v>1.0000000133546401</v>
      </c>
    </row>
    <row r="5713" spans="1:40" x14ac:dyDescent="0.25">
      <c r="A5713" t="str">
        <f>"20190312164140492"</f>
        <v>20190312164140492</v>
      </c>
      <c r="B5713" t="str">
        <f>"1552380100482104"</f>
        <v>1552380100482104</v>
      </c>
      <c r="C5713" t="s">
        <v>40</v>
      </c>
      <c r="D5713">
        <v>5.9320810000000002</v>
      </c>
      <c r="E5713">
        <v>0.53406919999999902</v>
      </c>
      <c r="F5713" t="s">
        <v>43</v>
      </c>
      <c r="G5713">
        <v>-312.83850000000001</v>
      </c>
      <c r="H5713">
        <v>-0.05</v>
      </c>
      <c r="I5713">
        <v>11.311310000000001</v>
      </c>
      <c r="J5713">
        <v>-319.55709999999999</v>
      </c>
      <c r="K5713">
        <v>1.101912</v>
      </c>
      <c r="L5713">
        <v>16.523129999999998</v>
      </c>
      <c r="M5713">
        <v>0.98352759999999995</v>
      </c>
      <c r="N5713">
        <v>0</v>
      </c>
      <c r="O5713">
        <v>-0.180088</v>
      </c>
      <c r="P5713">
        <v>0.81008579999999997</v>
      </c>
      <c r="Q5713">
        <v>0.132932299999999</v>
      </c>
      <c r="R5713">
        <v>-0.57104290000000002</v>
      </c>
      <c r="S5713">
        <v>2.453522</v>
      </c>
      <c r="T5713">
        <v>-0.41218759999999999</v>
      </c>
      <c r="U5713">
        <v>-1.8740840000000001</v>
      </c>
      <c r="V5713">
        <v>0.41795579999999999</v>
      </c>
      <c r="W5713">
        <v>0.14065050000000001</v>
      </c>
      <c r="X5713">
        <v>0.89751340000000002</v>
      </c>
      <c r="Y5713">
        <v>0.4516096</v>
      </c>
      <c r="Z5713">
        <v>-7.2676040000000004E-3</v>
      </c>
      <c r="AA5713">
        <v>0.89218600000000003</v>
      </c>
      <c r="AB5713">
        <v>31</v>
      </c>
      <c r="AC5713">
        <v>6.7185999999999799</v>
      </c>
      <c r="AD5713">
        <v>-1.151912</v>
      </c>
      <c r="AE5713">
        <v>-5.2118199999999897</v>
      </c>
      <c r="AF5713">
        <v>3.84592253150754</v>
      </c>
      <c r="AG5713">
        <v>-1.151912</v>
      </c>
      <c r="AH5713">
        <v>7.4114126599740198</v>
      </c>
      <c r="AI5713">
        <v>97.854708588102696</v>
      </c>
      <c r="AJ5713">
        <v>62.574345589134502</v>
      </c>
      <c r="AK5713">
        <v>8.4289417479612805</v>
      </c>
      <c r="AL5713">
        <v>81.914510046173604</v>
      </c>
      <c r="AM5713">
        <v>65.029453872068103</v>
      </c>
      <c r="AN5713">
        <v>0.99999995854172397</v>
      </c>
    </row>
    <row r="5714" spans="1:40" x14ac:dyDescent="0.25">
      <c r="A5714" t="str">
        <f>"20190312164140502"</f>
        <v>20190312164140502</v>
      </c>
      <c r="B5714" t="str">
        <f>"1552380100491866"</f>
        <v>1552380100491866</v>
      </c>
      <c r="C5714" t="s">
        <v>40</v>
      </c>
      <c r="D5714">
        <v>6.1749999999999998</v>
      </c>
      <c r="E5714">
        <v>0.53622199999999998</v>
      </c>
      <c r="F5714" t="s">
        <v>43</v>
      </c>
      <c r="G5714">
        <v>-312.84350000000001</v>
      </c>
      <c r="H5714">
        <v>-0.05</v>
      </c>
      <c r="I5714">
        <v>11.273440000000001</v>
      </c>
      <c r="J5714">
        <v>-319.42630000000003</v>
      </c>
      <c r="K5714">
        <v>1.1013599999999999</v>
      </c>
      <c r="L5714">
        <v>16.496770000000001</v>
      </c>
      <c r="M5714">
        <v>0.98301830000000001</v>
      </c>
      <c r="N5714">
        <v>0</v>
      </c>
      <c r="O5714">
        <v>-0.18279529999999999</v>
      </c>
      <c r="P5714">
        <v>0.8075736</v>
      </c>
      <c r="Q5714">
        <v>0.130497</v>
      </c>
      <c r="R5714">
        <v>-0.5751482</v>
      </c>
      <c r="S5714">
        <v>2.4315190000000002</v>
      </c>
      <c r="T5714">
        <v>-0.4171937</v>
      </c>
      <c r="U5714">
        <v>-1.9013059999999999</v>
      </c>
      <c r="V5714">
        <v>0.41998869999999999</v>
      </c>
      <c r="W5714">
        <v>0.13857620000000001</v>
      </c>
      <c r="X5714">
        <v>0.89688690000000004</v>
      </c>
      <c r="Y5714">
        <v>0.4591401</v>
      </c>
      <c r="Z5714">
        <v>-7.5685049999999997E-3</v>
      </c>
      <c r="AA5714">
        <v>0.888331599999999</v>
      </c>
      <c r="AB5714">
        <v>31</v>
      </c>
      <c r="AC5714">
        <v>6.5828000000000104</v>
      </c>
      <c r="AD5714">
        <v>-1.1513599999999999</v>
      </c>
      <c r="AE5714">
        <v>-5.2233299999999998</v>
      </c>
      <c r="AF5714">
        <v>3.8593876000898302</v>
      </c>
      <c r="AG5714">
        <v>-1.1513599999999999</v>
      </c>
      <c r="AH5714">
        <v>7.2899334195855099</v>
      </c>
      <c r="AI5714">
        <v>97.946227184878296</v>
      </c>
      <c r="AJ5714">
        <v>62.102660925792399</v>
      </c>
      <c r="AK5714">
        <v>8.3284831607752494</v>
      </c>
      <c r="AL5714">
        <v>82.034534477991699</v>
      </c>
      <c r="AM5714">
        <v>64.9075350507146</v>
      </c>
      <c r="AN5714">
        <v>0.99999999136286999</v>
      </c>
    </row>
    <row r="5715" spans="1:40" x14ac:dyDescent="0.25">
      <c r="A5715" t="str">
        <f>"20190312164140512"</f>
        <v>20190312164140512</v>
      </c>
      <c r="B5715" t="str">
        <f>"1552380100501625"</f>
        <v>1552380100501625</v>
      </c>
      <c r="C5715" t="s">
        <v>40</v>
      </c>
      <c r="D5715">
        <v>6.0204199999999997</v>
      </c>
      <c r="E5715">
        <v>0.53795990000000005</v>
      </c>
      <c r="F5715" t="s">
        <v>43</v>
      </c>
      <c r="G5715">
        <v>-312.8569</v>
      </c>
      <c r="H5715">
        <v>-0.05</v>
      </c>
      <c r="I5715">
        <v>11.239179999999999</v>
      </c>
      <c r="J5715">
        <v>-319.28530000000001</v>
      </c>
      <c r="K5715">
        <v>1.1007119999999999</v>
      </c>
      <c r="L5715">
        <v>16.467739999999999</v>
      </c>
      <c r="M5715">
        <v>0.98247189999999995</v>
      </c>
      <c r="N5715">
        <v>0</v>
      </c>
      <c r="O5715">
        <v>-0.18564600000000001</v>
      </c>
      <c r="P5715">
        <v>0.80469889999999999</v>
      </c>
      <c r="Q5715">
        <v>0.12834280000000001</v>
      </c>
      <c r="R5715">
        <v>-0.57964499999999997</v>
      </c>
      <c r="S5715">
        <v>2.4096069999999998</v>
      </c>
      <c r="T5715">
        <v>-0.42230830000000003</v>
      </c>
      <c r="U5715">
        <v>-1.928436</v>
      </c>
      <c r="V5715">
        <v>0.42235430000000002</v>
      </c>
      <c r="W5715">
        <v>0.136876</v>
      </c>
      <c r="X5715">
        <v>0.89603670000000002</v>
      </c>
      <c r="Y5715">
        <v>0.46647280000000002</v>
      </c>
      <c r="Z5715">
        <v>-7.8421350000000001E-3</v>
      </c>
      <c r="AA5715">
        <v>0.88450079999999998</v>
      </c>
      <c r="AB5715">
        <v>31</v>
      </c>
      <c r="AC5715">
        <v>6.4284000000000097</v>
      </c>
      <c r="AD5715">
        <v>-1.150712</v>
      </c>
      <c r="AE5715">
        <v>-5.2285599999999901</v>
      </c>
      <c r="AF5715">
        <v>3.8694460664442798</v>
      </c>
      <c r="AG5715">
        <v>-1.150712</v>
      </c>
      <c r="AH5715">
        <v>7.1495427186136897</v>
      </c>
      <c r="AI5715">
        <v>98.0565754956164</v>
      </c>
      <c r="AJ5715">
        <v>61.577044233608298</v>
      </c>
      <c r="AK5715">
        <v>8.2105244688355405</v>
      </c>
      <c r="AL5715">
        <v>82.132885948726297</v>
      </c>
      <c r="AM5715">
        <v>64.762766838226497</v>
      </c>
      <c r="AN5715">
        <v>0.99999998092568898</v>
      </c>
    </row>
    <row r="5716" spans="1:40" x14ac:dyDescent="0.25">
      <c r="A5716" t="str">
        <f>"20190312164140523"</f>
        <v>20190312164140523</v>
      </c>
      <c r="B5716" t="str">
        <f>"1552380100512361"</f>
        <v>1552380100512361</v>
      </c>
      <c r="C5716" t="s">
        <v>40</v>
      </c>
      <c r="D5716">
        <v>6.4109420000000004</v>
      </c>
      <c r="E5716">
        <v>0.53795990000000005</v>
      </c>
      <c r="F5716" t="s">
        <v>43</v>
      </c>
      <c r="G5716">
        <v>-312.8417</v>
      </c>
      <c r="H5716">
        <v>-0.05</v>
      </c>
      <c r="I5716">
        <v>11.196949999999999</v>
      </c>
      <c r="J5716">
        <v>-319.1431</v>
      </c>
      <c r="K5716">
        <v>1.100036</v>
      </c>
      <c r="L5716">
        <v>16.437989999999999</v>
      </c>
      <c r="M5716">
        <v>0.98190049999999995</v>
      </c>
      <c r="N5716">
        <v>0</v>
      </c>
      <c r="O5716">
        <v>-0.18857360000000001</v>
      </c>
      <c r="P5716">
        <v>0.80155369999999904</v>
      </c>
      <c r="Q5716">
        <v>0.12631969999999901</v>
      </c>
      <c r="R5716">
        <v>-0.58442759999999905</v>
      </c>
      <c r="S5716">
        <v>2.3887019999999999</v>
      </c>
      <c r="T5716">
        <v>-0.42658289999999999</v>
      </c>
      <c r="U5716">
        <v>-1.9539489999999999</v>
      </c>
      <c r="V5716">
        <v>0.42498359999999902</v>
      </c>
      <c r="W5716">
        <v>0.13536280000000001</v>
      </c>
      <c r="X5716">
        <v>0.89502280000000001</v>
      </c>
      <c r="Y5716">
        <v>0.47317900000000002</v>
      </c>
      <c r="Z5716">
        <v>-8.0445410000000005E-3</v>
      </c>
      <c r="AA5716">
        <v>0.88092950000000003</v>
      </c>
      <c r="AB5716">
        <v>31</v>
      </c>
      <c r="AC5716">
        <v>6.3014000000000001</v>
      </c>
      <c r="AD5716">
        <v>-1.1500360000000001</v>
      </c>
      <c r="AE5716">
        <v>-5.2410399999999999</v>
      </c>
      <c r="AF5716">
        <v>3.8820868939213198</v>
      </c>
      <c r="AG5716">
        <v>-1.1500360000000001</v>
      </c>
      <c r="AH5716">
        <v>7.0382167311321302</v>
      </c>
      <c r="AI5716">
        <v>98.142474825655498</v>
      </c>
      <c r="AJ5716">
        <v>61.120078760812397</v>
      </c>
      <c r="AK5716">
        <v>8.1197091208761893</v>
      </c>
      <c r="AL5716">
        <v>82.220400474068995</v>
      </c>
      <c r="AM5716">
        <v>64.6002335875569</v>
      </c>
      <c r="AN5716">
        <v>0.99999998020631997</v>
      </c>
    </row>
    <row r="5717" spans="1:40" x14ac:dyDescent="0.25">
      <c r="A5717" t="str">
        <f>"20190312164140533"</f>
        <v>20190312164140533</v>
      </c>
      <c r="B5717" t="str">
        <f>"1552380100522120"</f>
        <v>1552380100522120</v>
      </c>
      <c r="C5717" t="s">
        <v>40</v>
      </c>
      <c r="D5717">
        <v>6.0420629999999997</v>
      </c>
      <c r="E5717">
        <v>0.58761229999999998</v>
      </c>
      <c r="F5717" t="s">
        <v>43</v>
      </c>
      <c r="G5717">
        <v>-312.82499999999999</v>
      </c>
      <c r="H5717">
        <v>-0.05</v>
      </c>
      <c r="I5717">
        <v>11.2019</v>
      </c>
      <c r="J5717">
        <v>-318.99059999999997</v>
      </c>
      <c r="K5717">
        <v>1.099278</v>
      </c>
      <c r="L5717">
        <v>16.405550000000002</v>
      </c>
      <c r="M5717">
        <v>0.98126449999999998</v>
      </c>
      <c r="N5717">
        <v>0</v>
      </c>
      <c r="O5717">
        <v>-0.19177040000000001</v>
      </c>
      <c r="P5717">
        <v>0.79792569999999996</v>
      </c>
      <c r="Q5717">
        <v>0.12391530000000001</v>
      </c>
      <c r="R5717">
        <v>-0.58988119999999999</v>
      </c>
      <c r="S5717">
        <v>2.3754879999999998</v>
      </c>
      <c r="T5717">
        <v>-0.43239610000000001</v>
      </c>
      <c r="U5717">
        <v>-1.9686889999999999</v>
      </c>
      <c r="V5717">
        <v>0.42811589999999999</v>
      </c>
      <c r="W5717">
        <v>0.13356309999999999</v>
      </c>
      <c r="X5717">
        <v>0.89379949999999997</v>
      </c>
      <c r="Y5717">
        <v>0.47588059999999899</v>
      </c>
      <c r="Z5717">
        <v>-7.9105759999999904E-3</v>
      </c>
      <c r="AA5717">
        <v>0.87947430000000004</v>
      </c>
      <c r="AB5717">
        <v>31</v>
      </c>
      <c r="AC5717">
        <v>6.16559999999998</v>
      </c>
      <c r="AD5717">
        <v>-1.149278</v>
      </c>
      <c r="AE5717">
        <v>-5.2036499999999997</v>
      </c>
      <c r="AF5717">
        <v>3.8464026109508702</v>
      </c>
      <c r="AG5717">
        <v>-1.149278</v>
      </c>
      <c r="AH5717">
        <v>6.9090077805167702</v>
      </c>
      <c r="AI5717">
        <v>98.269437483286893</v>
      </c>
      <c r="AJ5717">
        <v>60.894313326135602</v>
      </c>
      <c r="AK5717">
        <v>7.9906220958104903</v>
      </c>
      <c r="AL5717">
        <v>82.324460373448105</v>
      </c>
      <c r="AM5717">
        <v>64.406312255297493</v>
      </c>
      <c r="AN5717">
        <v>0.99999993585733205</v>
      </c>
    </row>
    <row r="5718" spans="1:40" x14ac:dyDescent="0.25">
      <c r="A5718" t="str">
        <f>"20190312164140546"</f>
        <v>20190312164140546</v>
      </c>
      <c r="B5718" t="str">
        <f>"1552380100541641"</f>
        <v>1552380100541641</v>
      </c>
      <c r="C5718" t="s">
        <v>40</v>
      </c>
      <c r="D5718">
        <v>6.0485530000000001</v>
      </c>
      <c r="E5718">
        <v>0.58568999999999904</v>
      </c>
      <c r="F5718" t="s">
        <v>43</v>
      </c>
      <c r="G5718">
        <v>-312.21899999999999</v>
      </c>
      <c r="H5718">
        <v>-0.05</v>
      </c>
      <c r="I5718">
        <v>8.9850009999999898</v>
      </c>
      <c r="J5718">
        <v>-318.83089999999999</v>
      </c>
      <c r="K5718">
        <v>1.098449</v>
      </c>
      <c r="L5718">
        <v>16.370760000000001</v>
      </c>
      <c r="M5718">
        <v>0.98054770000000002</v>
      </c>
      <c r="N5718">
        <v>0</v>
      </c>
      <c r="O5718">
        <v>-0.19531180000000001</v>
      </c>
      <c r="P5718">
        <v>0.79406339999999997</v>
      </c>
      <c r="Q5718">
        <v>0.1219597</v>
      </c>
      <c r="R5718">
        <v>-0.595473699999999</v>
      </c>
      <c r="S5718">
        <v>2.1077880000000002</v>
      </c>
      <c r="T5718">
        <v>-0.35772989999999999</v>
      </c>
      <c r="U5718">
        <v>-2.3097530000000002</v>
      </c>
      <c r="V5718">
        <v>0.43112739999999999</v>
      </c>
      <c r="W5718">
        <v>0.1322682</v>
      </c>
      <c r="X5718">
        <v>0.89254369999999905</v>
      </c>
      <c r="Y5718">
        <v>0.59028610000000004</v>
      </c>
      <c r="Z5718">
        <v>-1.426349E-2</v>
      </c>
      <c r="AA5718">
        <v>0.80706800000000001</v>
      </c>
      <c r="AB5718">
        <v>31</v>
      </c>
      <c r="AC5718">
        <v>6.6118999999999897</v>
      </c>
      <c r="AD5718">
        <v>-1.1484490000000001</v>
      </c>
      <c r="AE5718">
        <v>-7.3857590000000002</v>
      </c>
      <c r="AF5718">
        <v>5.8730088773496396</v>
      </c>
      <c r="AG5718">
        <v>-1.1484490000000001</v>
      </c>
      <c r="AH5718">
        <v>7.8223223943579701</v>
      </c>
      <c r="AI5718">
        <v>96.696345609480204</v>
      </c>
      <c r="AJ5718">
        <v>53.100734972831098</v>
      </c>
      <c r="AK5718">
        <v>9.8488525230253501</v>
      </c>
      <c r="AL5718">
        <v>82.399317232691999</v>
      </c>
      <c r="AM5718">
        <v>64.217958708675596</v>
      </c>
      <c r="AN5718">
        <v>0.99999998408584401</v>
      </c>
    </row>
    <row r="5719" spans="1:40" x14ac:dyDescent="0.25">
      <c r="A5719" t="str">
        <f>"20190312164140557"</f>
        <v>20190312164140557</v>
      </c>
      <c r="B5719" t="str">
        <f>"1552380100552376"</f>
        <v>1552380100552376</v>
      </c>
      <c r="C5719" t="s">
        <v>40</v>
      </c>
      <c r="D5719">
        <v>6.1910350000000003</v>
      </c>
      <c r="E5719">
        <v>0.58329059999999999</v>
      </c>
      <c r="F5719" t="s">
        <v>43</v>
      </c>
      <c r="G5719">
        <v>-311.97390000000001</v>
      </c>
      <c r="H5719">
        <v>-0.05</v>
      </c>
      <c r="I5719">
        <v>8.8084109999999995</v>
      </c>
      <c r="J5719">
        <v>-318.67869999999999</v>
      </c>
      <c r="K5719">
        <v>1.0976410000000001</v>
      </c>
      <c r="L5719">
        <v>16.337250000000001</v>
      </c>
      <c r="M5719">
        <v>0.97983549999999997</v>
      </c>
      <c r="N5719">
        <v>0</v>
      </c>
      <c r="O5719">
        <v>-0.1987641</v>
      </c>
      <c r="P5719">
        <v>0.79009149999999995</v>
      </c>
      <c r="Q5719">
        <v>0.1201009</v>
      </c>
      <c r="R5719">
        <v>-0.60110839999999999</v>
      </c>
      <c r="S5719">
        <v>2.0973820000000001</v>
      </c>
      <c r="T5719">
        <v>-0.3512827</v>
      </c>
      <c r="U5719">
        <v>-2.3131409999999999</v>
      </c>
      <c r="V5719">
        <v>0.43429030000000002</v>
      </c>
      <c r="W5719">
        <v>0.13103679999999901</v>
      </c>
      <c r="X5719">
        <v>0.89119090000000001</v>
      </c>
      <c r="Y5719">
        <v>0.59012290000000001</v>
      </c>
      <c r="Z5719">
        <v>-1.360187E-2</v>
      </c>
      <c r="AA5719">
        <v>0.80719890000000005</v>
      </c>
      <c r="AB5719">
        <v>31</v>
      </c>
      <c r="AC5719">
        <v>6.7047999999999703</v>
      </c>
      <c r="AD5719">
        <v>-1.1476409999999999</v>
      </c>
      <c r="AE5719">
        <v>-7.5288389999999996</v>
      </c>
      <c r="AF5719">
        <v>5.9682652891914696</v>
      </c>
      <c r="AG5719">
        <v>-1.1476409999999999</v>
      </c>
      <c r="AH5719">
        <v>7.9645301980404604</v>
      </c>
      <c r="AI5719">
        <v>96.577774038011697</v>
      </c>
      <c r="AJ5719">
        <v>53.153739434304597</v>
      </c>
      <c r="AK5719">
        <v>10.0185334107616</v>
      </c>
      <c r="AL5719">
        <v>82.470490608331204</v>
      </c>
      <c r="AM5719">
        <v>64.019351828802897</v>
      </c>
      <c r="AN5719">
        <v>0.999999963935569</v>
      </c>
    </row>
    <row r="5720" spans="1:40" x14ac:dyDescent="0.25">
      <c r="A5720" t="str">
        <f>"20190312164140568"</f>
        <v>20190312164140568</v>
      </c>
      <c r="B5720" t="str">
        <f>"1552380100562136"</f>
        <v>1552380100562136</v>
      </c>
      <c r="C5720" t="s">
        <v>40</v>
      </c>
      <c r="D5720">
        <v>6.2021309999999996</v>
      </c>
      <c r="E5720">
        <v>0.58530740000000003</v>
      </c>
      <c r="F5720" t="s">
        <v>43</v>
      </c>
      <c r="G5720">
        <v>-312.11779999999999</v>
      </c>
      <c r="H5720">
        <v>-0.05</v>
      </c>
      <c r="I5720">
        <v>9.0879969999999997</v>
      </c>
      <c r="J5720">
        <v>-318.52789999999999</v>
      </c>
      <c r="K5720">
        <v>1.0968089999999999</v>
      </c>
      <c r="L5720">
        <v>16.303039999999999</v>
      </c>
      <c r="M5720">
        <v>0.9790006</v>
      </c>
      <c r="N5720">
        <v>0</v>
      </c>
      <c r="O5720">
        <v>-0.20276559999999999</v>
      </c>
      <c r="P5720">
        <v>0.78571499999999905</v>
      </c>
      <c r="Q5720">
        <v>0.11838070000000001</v>
      </c>
      <c r="R5720">
        <v>-0.60715589999999997</v>
      </c>
      <c r="S5720">
        <v>2.09314</v>
      </c>
      <c r="T5720">
        <v>-0.36613420000000002</v>
      </c>
      <c r="U5720">
        <v>-2.3127439999999999</v>
      </c>
      <c r="V5720">
        <v>0.43743290000000001</v>
      </c>
      <c r="W5720">
        <v>0.1298223</v>
      </c>
      <c r="X5720">
        <v>0.88983060000000003</v>
      </c>
      <c r="Y5720">
        <v>0.58740619999999999</v>
      </c>
      <c r="Z5720">
        <v>-1.34745E-2</v>
      </c>
      <c r="AA5720">
        <v>0.80918009999999996</v>
      </c>
      <c r="AB5720">
        <v>31</v>
      </c>
      <c r="AC5720">
        <v>6.4100999999999999</v>
      </c>
      <c r="AD5720">
        <v>-1.146809</v>
      </c>
      <c r="AE5720">
        <v>-7.2150429999999997</v>
      </c>
      <c r="AF5720">
        <v>5.6847974041738398</v>
      </c>
      <c r="AG5720">
        <v>-1.146809</v>
      </c>
      <c r="AH5720">
        <v>7.6324073534869097</v>
      </c>
      <c r="AI5720">
        <v>96.871177658915698</v>
      </c>
      <c r="AJ5720">
        <v>53.320388052050099</v>
      </c>
      <c r="AK5720">
        <v>9.5857046907644605</v>
      </c>
      <c r="AL5720">
        <v>82.540675668331303</v>
      </c>
      <c r="AM5720">
        <v>63.821674339248602</v>
      </c>
      <c r="AN5720">
        <v>0.99999993413802701</v>
      </c>
    </row>
    <row r="5721" spans="1:40" x14ac:dyDescent="0.25">
      <c r="A5721" t="str">
        <f>"20190312164140579"</f>
        <v>20190312164140579</v>
      </c>
      <c r="B5721" t="str">
        <f>"1552380100571897"</f>
        <v>1552380100571897</v>
      </c>
      <c r="C5721" t="s">
        <v>40</v>
      </c>
      <c r="D5721">
        <v>5.866644</v>
      </c>
      <c r="E5721">
        <v>0.5835323</v>
      </c>
      <c r="F5721" t="s">
        <v>43</v>
      </c>
      <c r="G5721">
        <v>-311.87509999999997</v>
      </c>
      <c r="H5721">
        <v>-0.05</v>
      </c>
      <c r="I5721">
        <v>8.74664299999999</v>
      </c>
      <c r="J5721">
        <v>-318.37220000000002</v>
      </c>
      <c r="K5721">
        <v>1.0959159999999999</v>
      </c>
      <c r="L5721">
        <v>16.267489999999999</v>
      </c>
      <c r="M5721">
        <v>0.97810850000000005</v>
      </c>
      <c r="N5721">
        <v>0</v>
      </c>
      <c r="O5721">
        <v>-0.20695659999999999</v>
      </c>
      <c r="P5721">
        <v>0.78121879999999999</v>
      </c>
      <c r="Q5721">
        <v>0.1168935</v>
      </c>
      <c r="R5721">
        <v>-0.61321590000000004</v>
      </c>
      <c r="S5721">
        <v>2.0619510000000001</v>
      </c>
      <c r="T5721">
        <v>-0.35543849999999999</v>
      </c>
      <c r="U5721">
        <v>-2.3420100000000001</v>
      </c>
      <c r="V5721">
        <v>0.44046059999999998</v>
      </c>
      <c r="W5721">
        <v>0.12881129999999999</v>
      </c>
      <c r="X5721">
        <v>0.88848300000000002</v>
      </c>
      <c r="Y5721">
        <v>0.59511459999999905</v>
      </c>
      <c r="Z5721">
        <v>-1.315786E-2</v>
      </c>
      <c r="AA5721">
        <v>0.8035331</v>
      </c>
      <c r="AB5721">
        <v>31</v>
      </c>
      <c r="AC5721">
        <v>6.4971000000000396</v>
      </c>
      <c r="AD5721">
        <v>-1.1459159999999999</v>
      </c>
      <c r="AE5721">
        <v>-7.5208469999999998</v>
      </c>
      <c r="AF5721">
        <v>5.9341197302261799</v>
      </c>
      <c r="AG5721">
        <v>-1.1459159999999999</v>
      </c>
      <c r="AH5721">
        <v>7.8094097778201803</v>
      </c>
      <c r="AI5721">
        <v>96.663800227112006</v>
      </c>
      <c r="AJ5721">
        <v>52.769964335902301</v>
      </c>
      <c r="AK5721">
        <v>9.8749066592869195</v>
      </c>
      <c r="AL5721">
        <v>82.599092451142894</v>
      </c>
      <c r="AM5721">
        <v>63.630336370829902</v>
      </c>
      <c r="AN5721">
        <v>0.99999996622452403</v>
      </c>
    </row>
    <row r="5722" spans="1:40" x14ac:dyDescent="0.25">
      <c r="A5722" t="str">
        <f>"20190312164140590"</f>
        <v>20190312164140590</v>
      </c>
      <c r="B5722" t="str">
        <f>"1552380100581657"</f>
        <v>1552380100581657</v>
      </c>
      <c r="C5722" t="s">
        <v>40</v>
      </c>
      <c r="D5722">
        <v>5.9200839999999904</v>
      </c>
      <c r="E5722">
        <v>0.58234069999999905</v>
      </c>
      <c r="F5722" t="s">
        <v>43</v>
      </c>
      <c r="G5722">
        <v>-311.8057</v>
      </c>
      <c r="H5722">
        <v>-0.05</v>
      </c>
      <c r="I5722">
        <v>8.7545780000000004</v>
      </c>
      <c r="J5722">
        <v>-318.22489999999999</v>
      </c>
      <c r="K5722">
        <v>1.094957</v>
      </c>
      <c r="L5722">
        <v>16.232970000000002</v>
      </c>
      <c r="M5722">
        <v>0.97722509999999996</v>
      </c>
      <c r="N5722">
        <v>0</v>
      </c>
      <c r="O5722">
        <v>-0.21103759999999999</v>
      </c>
      <c r="P5722">
        <v>0.77685700000000002</v>
      </c>
      <c r="Q5722">
        <v>0.11555169999999999</v>
      </c>
      <c r="R5722">
        <v>-0.61898379999999997</v>
      </c>
      <c r="S5722">
        <v>2.0513919999999999</v>
      </c>
      <c r="T5722">
        <v>-0.35798600000000003</v>
      </c>
      <c r="U5722">
        <v>-2.3470460000000002</v>
      </c>
      <c r="V5722">
        <v>0.44330550000000002</v>
      </c>
      <c r="W5722">
        <v>0.12772600000000001</v>
      </c>
      <c r="X5722">
        <v>0.88722389999999995</v>
      </c>
      <c r="Y5722">
        <v>0.5946515</v>
      </c>
      <c r="Z5722">
        <v>-1.272831E-2</v>
      </c>
      <c r="AA5722">
        <v>0.80388280000000001</v>
      </c>
      <c r="AB5722">
        <v>31</v>
      </c>
      <c r="AC5722">
        <v>6.4191999999999796</v>
      </c>
      <c r="AD5722">
        <v>-1.144957</v>
      </c>
      <c r="AE5722">
        <v>-7.4783920000000004</v>
      </c>
      <c r="AF5722">
        <v>5.8755534579153599</v>
      </c>
      <c r="AG5722">
        <v>-1.144957</v>
      </c>
      <c r="AH5722">
        <v>7.7485890738781098</v>
      </c>
      <c r="AI5722">
        <v>96.715166912558701</v>
      </c>
      <c r="AJ5722">
        <v>52.827904391599802</v>
      </c>
      <c r="AK5722">
        <v>9.7915109970062009</v>
      </c>
      <c r="AL5722">
        <v>82.661793561251798</v>
      </c>
      <c r="AM5722">
        <v>63.450783128013299</v>
      </c>
      <c r="AN5722">
        <v>0.99999997306872901</v>
      </c>
    </row>
    <row r="5723" spans="1:40" x14ac:dyDescent="0.25">
      <c r="A5723" t="str">
        <f>"20190312164140602"</f>
        <v>20190312164140602</v>
      </c>
      <c r="B5723" t="str">
        <f>"1552380100591417"</f>
        <v>1552380100591417</v>
      </c>
      <c r="C5723" t="s">
        <v>40</v>
      </c>
      <c r="D5723">
        <v>5.9920479999999996</v>
      </c>
      <c r="E5723">
        <v>0.58157930000000002</v>
      </c>
      <c r="F5723" t="s">
        <v>43</v>
      </c>
      <c r="G5723">
        <v>-311.72660000000002</v>
      </c>
      <c r="H5723">
        <v>-0.05</v>
      </c>
      <c r="I5723">
        <v>8.7283939999999998</v>
      </c>
      <c r="J5723">
        <v>-318.07659999999998</v>
      </c>
      <c r="K5723">
        <v>1.0939289999999999</v>
      </c>
      <c r="L5723">
        <v>16.19781</v>
      </c>
      <c r="M5723">
        <v>0.97632960000000002</v>
      </c>
      <c r="N5723">
        <v>0</v>
      </c>
      <c r="O5723">
        <v>-0.2150947</v>
      </c>
      <c r="P5723">
        <v>0.77254519999999904</v>
      </c>
      <c r="Q5723">
        <v>0.1142691</v>
      </c>
      <c r="R5723">
        <v>-0.62459310000000001</v>
      </c>
      <c r="S5723">
        <v>2.0389710000000001</v>
      </c>
      <c r="T5723">
        <v>-0.35924820000000002</v>
      </c>
      <c r="U5723">
        <v>-2.3546749999999999</v>
      </c>
      <c r="V5723">
        <v>0.44603199999999998</v>
      </c>
      <c r="W5723">
        <v>0.12663630000000001</v>
      </c>
      <c r="X5723">
        <v>0.88601289999999999</v>
      </c>
      <c r="Y5723">
        <v>0.59502429999999995</v>
      </c>
      <c r="Z5723">
        <v>-1.231078E-2</v>
      </c>
      <c r="AA5723">
        <v>0.80361349999999998</v>
      </c>
      <c r="AB5723">
        <v>31</v>
      </c>
      <c r="AC5723">
        <v>6.3499999999999597</v>
      </c>
      <c r="AD5723">
        <v>-1.143929</v>
      </c>
      <c r="AE5723">
        <v>-7.4694159999999998</v>
      </c>
      <c r="AF5723">
        <v>5.8486588731034299</v>
      </c>
      <c r="AG5723">
        <v>-1.143929</v>
      </c>
      <c r="AH5723">
        <v>7.7034544992595304</v>
      </c>
      <c r="AI5723">
        <v>96.745077777023994</v>
      </c>
      <c r="AJ5723">
        <v>52.793306094811797</v>
      </c>
      <c r="AK5723">
        <v>9.7395377402181893</v>
      </c>
      <c r="AL5723">
        <v>82.724740702046304</v>
      </c>
      <c r="AM5723">
        <v>63.278640167982402</v>
      </c>
      <c r="AN5723">
        <v>1.0000000782340399</v>
      </c>
    </row>
    <row r="5724" spans="1:40" x14ac:dyDescent="0.25">
      <c r="A5724" t="str">
        <f>"20190312164140611"</f>
        <v>20190312164140611</v>
      </c>
      <c r="B5724" t="str">
        <f>"1552380100602154"</f>
        <v>1552380100602154</v>
      </c>
      <c r="C5724" t="s">
        <v>40</v>
      </c>
      <c r="D5724">
        <v>5.7603580000000001</v>
      </c>
      <c r="E5724">
        <v>0.57876470000000002</v>
      </c>
      <c r="F5724" t="s">
        <v>43</v>
      </c>
      <c r="G5724">
        <v>-311.62990000000002</v>
      </c>
      <c r="H5724">
        <v>-0.05</v>
      </c>
      <c r="I5724">
        <v>8.6650700000000001</v>
      </c>
      <c r="J5724">
        <v>-317.92950000000002</v>
      </c>
      <c r="K5724">
        <v>1.092795</v>
      </c>
      <c r="L5724">
        <v>16.162109999999998</v>
      </c>
      <c r="M5724">
        <v>0.97544920000000002</v>
      </c>
      <c r="N5724">
        <v>0</v>
      </c>
      <c r="O5724">
        <v>-0.2190126</v>
      </c>
      <c r="P5724">
        <v>0.76831159999999998</v>
      </c>
      <c r="Q5724">
        <v>0.1134868</v>
      </c>
      <c r="R5724">
        <v>-0.62993520000000003</v>
      </c>
      <c r="S5724">
        <v>2.0241699999999998</v>
      </c>
      <c r="T5724">
        <v>-0.35917710000000003</v>
      </c>
      <c r="U5724">
        <v>-2.365173</v>
      </c>
      <c r="V5724">
        <v>0.44864999999999999</v>
      </c>
      <c r="W5724">
        <v>0.12591069999999999</v>
      </c>
      <c r="X5724">
        <v>0.88479359999999996</v>
      </c>
      <c r="Y5724">
        <v>0.59647130000000004</v>
      </c>
      <c r="Z5724">
        <v>-1.194285E-2</v>
      </c>
      <c r="AA5724">
        <v>0.80254559999999997</v>
      </c>
      <c r="AB5724">
        <v>31</v>
      </c>
      <c r="AC5724">
        <v>6.2995999999999901</v>
      </c>
      <c r="AD5724">
        <v>-1.142795</v>
      </c>
      <c r="AE5724">
        <v>-7.4970400000000001</v>
      </c>
      <c r="AF5724">
        <v>5.8551259723600602</v>
      </c>
      <c r="AG5724">
        <v>-1.142795</v>
      </c>
      <c r="AH5724">
        <v>7.6843031916237701</v>
      </c>
      <c r="AI5724">
        <v>96.746281411096803</v>
      </c>
      <c r="AJ5724">
        <v>52.694076130420697</v>
      </c>
      <c r="AK5724">
        <v>9.7281548150216892</v>
      </c>
      <c r="AL5724">
        <v>82.766649563494994</v>
      </c>
      <c r="AM5724">
        <v>63.1119191917401</v>
      </c>
      <c r="AN5724">
        <v>1.00000002073772</v>
      </c>
    </row>
    <row r="5725" spans="1:40" x14ac:dyDescent="0.25">
      <c r="A5725" t="str">
        <f>"20190312164140625"</f>
        <v>20190312164140625</v>
      </c>
      <c r="B5725" t="str">
        <f>"1552380100621673"</f>
        <v>1552380100621673</v>
      </c>
      <c r="C5725" t="s">
        <v>40</v>
      </c>
      <c r="D5725">
        <v>6.3984259999999997</v>
      </c>
      <c r="E5725">
        <v>0.57558790000000004</v>
      </c>
      <c r="F5725" t="s">
        <v>43</v>
      </c>
      <c r="G5725">
        <v>-311.291</v>
      </c>
      <c r="H5725">
        <v>-0.05</v>
      </c>
      <c r="I5725">
        <v>8.3922880000000006</v>
      </c>
      <c r="J5725">
        <v>-317.76749999999998</v>
      </c>
      <c r="K5725">
        <v>1.091475</v>
      </c>
      <c r="L5725">
        <v>16.122039999999998</v>
      </c>
      <c r="M5725">
        <v>0.97447899999999998</v>
      </c>
      <c r="N5725">
        <v>0</v>
      </c>
      <c r="O5725">
        <v>-0.2232507</v>
      </c>
      <c r="P5725">
        <v>0.76362909999999995</v>
      </c>
      <c r="Q5725">
        <v>0.1126509</v>
      </c>
      <c r="R5725">
        <v>-0.63575190000000004</v>
      </c>
      <c r="S5725">
        <v>2.0187379999999999</v>
      </c>
      <c r="T5725">
        <v>-0.34751799999999999</v>
      </c>
      <c r="U5725">
        <v>-2.362762</v>
      </c>
      <c r="V5725">
        <v>0.45156649999999998</v>
      </c>
      <c r="W5725">
        <v>0.12504970000000001</v>
      </c>
      <c r="X5725">
        <v>0.88343099999999997</v>
      </c>
      <c r="Y5725">
        <v>0.59383009999999903</v>
      </c>
      <c r="Z5725">
        <v>-1.086989E-2</v>
      </c>
      <c r="AA5725">
        <v>0.80451700000000004</v>
      </c>
      <c r="AB5725">
        <v>31</v>
      </c>
      <c r="AC5725">
        <v>6.4764999999999802</v>
      </c>
      <c r="AD5725">
        <v>-1.141475</v>
      </c>
      <c r="AE5725">
        <v>-7.7297519999999897</v>
      </c>
      <c r="AF5725">
        <v>6.0112520318028499</v>
      </c>
      <c r="AG5725">
        <v>-1.141475</v>
      </c>
      <c r="AH5725">
        <v>7.9373974245063099</v>
      </c>
      <c r="AI5725">
        <v>96.540008514164995</v>
      </c>
      <c r="AJ5725">
        <v>52.862155948321004</v>
      </c>
      <c r="AK5725">
        <v>10.0219955118747</v>
      </c>
      <c r="AL5725">
        <v>82.816374326248706</v>
      </c>
      <c r="AM5725">
        <v>62.9261148573895</v>
      </c>
      <c r="AN5725">
        <v>1.00000003157666</v>
      </c>
    </row>
    <row r="5726" spans="1:40" x14ac:dyDescent="0.25">
      <c r="A5726" t="str">
        <f>"20190312164140636"</f>
        <v>20190312164140636</v>
      </c>
      <c r="B5726" t="str">
        <f>"1552380100631433"</f>
        <v>1552380100631433</v>
      </c>
      <c r="C5726" t="s">
        <v>40</v>
      </c>
      <c r="D5726">
        <v>5.870851</v>
      </c>
      <c r="E5726">
        <v>0.5741482</v>
      </c>
      <c r="F5726" t="s">
        <v>43</v>
      </c>
      <c r="G5726">
        <v>-310.8032</v>
      </c>
      <c r="H5726">
        <v>-0.05</v>
      </c>
      <c r="I5726">
        <v>7.958145</v>
      </c>
      <c r="J5726">
        <v>-317.6037</v>
      </c>
      <c r="K5726">
        <v>1.0900780000000001</v>
      </c>
      <c r="L5726">
        <v>16.080839999999998</v>
      </c>
      <c r="M5726">
        <v>0.97349490000000005</v>
      </c>
      <c r="N5726">
        <v>0</v>
      </c>
      <c r="O5726">
        <v>-0.22746949999999999</v>
      </c>
      <c r="P5726">
        <v>0.75924579999999997</v>
      </c>
      <c r="Q5726">
        <v>0.1120427</v>
      </c>
      <c r="R5726">
        <v>-0.64108710000000002</v>
      </c>
      <c r="S5726">
        <v>2.012848</v>
      </c>
      <c r="T5726">
        <v>-0.32991359999999997</v>
      </c>
      <c r="U5726">
        <v>-2.3595579999999998</v>
      </c>
      <c r="V5726">
        <v>0.45399250000000002</v>
      </c>
      <c r="W5726">
        <v>0.1243538</v>
      </c>
      <c r="X5726">
        <v>0.88228510000000004</v>
      </c>
      <c r="Y5726">
        <v>0.59121319999999999</v>
      </c>
      <c r="Z5726">
        <v>-9.6741129999999998E-3</v>
      </c>
      <c r="AA5726">
        <v>0.80645730000000004</v>
      </c>
      <c r="AB5726">
        <v>31</v>
      </c>
      <c r="AC5726">
        <v>6.8005000000000004</v>
      </c>
      <c r="AD5726">
        <v>-1.1400779999999999</v>
      </c>
      <c r="AE5726">
        <v>-8.1226949999999896</v>
      </c>
      <c r="AF5726">
        <v>6.2894506429251198</v>
      </c>
      <c r="AG5726">
        <v>-1.1400779999999999</v>
      </c>
      <c r="AH5726">
        <v>8.3733328758506396</v>
      </c>
      <c r="AI5726">
        <v>96.213073947140998</v>
      </c>
      <c r="AJ5726">
        <v>53.088736112080802</v>
      </c>
      <c r="AK5726">
        <v>10.5342142889575</v>
      </c>
      <c r="AL5726">
        <v>82.856560110153595</v>
      </c>
      <c r="AM5726">
        <v>62.771262399013501</v>
      </c>
      <c r="AN5726">
        <v>1.0000000276563401</v>
      </c>
    </row>
    <row r="5727" spans="1:40" x14ac:dyDescent="0.25">
      <c r="A5727" t="str">
        <f>"20190312164140648"</f>
        <v>20190312164140648</v>
      </c>
      <c r="B5727" t="str">
        <f>"1552380100642168"</f>
        <v>1552380100642168</v>
      </c>
      <c r="C5727" t="s">
        <v>40</v>
      </c>
      <c r="D5727">
        <v>6.4854510000000003</v>
      </c>
      <c r="E5727">
        <v>0.57259269999999995</v>
      </c>
      <c r="F5727" t="s">
        <v>43</v>
      </c>
      <c r="G5727">
        <v>-310.55650000000003</v>
      </c>
      <c r="H5727">
        <v>-0.05</v>
      </c>
      <c r="I5727">
        <v>7.7520899999999902</v>
      </c>
      <c r="J5727">
        <v>-317.45490000000001</v>
      </c>
      <c r="K5727">
        <v>1.0887359999999999</v>
      </c>
      <c r="L5727">
        <v>16.042300000000001</v>
      </c>
      <c r="M5727">
        <v>0.97258820000000001</v>
      </c>
      <c r="N5727">
        <v>0</v>
      </c>
      <c r="O5727">
        <v>-0.2312958</v>
      </c>
      <c r="P5727">
        <v>0.75459719999999997</v>
      </c>
      <c r="Q5727">
        <v>0.1116776</v>
      </c>
      <c r="R5727">
        <v>-0.64661489999999999</v>
      </c>
      <c r="S5727">
        <v>2.001617</v>
      </c>
      <c r="T5727">
        <v>-0.3238142</v>
      </c>
      <c r="U5727">
        <v>-2.3656009999999998</v>
      </c>
      <c r="V5727">
        <v>0.457034</v>
      </c>
      <c r="W5727">
        <v>0.1237751</v>
      </c>
      <c r="X5727">
        <v>0.88079490000000005</v>
      </c>
      <c r="Y5727">
        <v>0.59137359999999894</v>
      </c>
      <c r="Z5727">
        <v>-9.0852439999999993E-3</v>
      </c>
      <c r="AA5727">
        <v>0.80634649999999997</v>
      </c>
      <c r="AB5727">
        <v>31</v>
      </c>
      <c r="AC5727">
        <v>6.8983999999999801</v>
      </c>
      <c r="AD5727">
        <v>-1.138736</v>
      </c>
      <c r="AE5727">
        <v>-8.2902100000000001</v>
      </c>
      <c r="AF5727">
        <v>6.3979219311419202</v>
      </c>
      <c r="AG5727">
        <v>-1.138736</v>
      </c>
      <c r="AH5727">
        <v>8.5341310554978396</v>
      </c>
      <c r="AI5727">
        <v>96.093962270192606</v>
      </c>
      <c r="AJ5727">
        <v>53.1416038223039</v>
      </c>
      <c r="AK5727">
        <v>10.726673183568799</v>
      </c>
      <c r="AL5727">
        <v>82.889975170331297</v>
      </c>
      <c r="AM5727">
        <v>62.575738129452397</v>
      </c>
      <c r="AN5727">
        <v>1.00000000420101</v>
      </c>
    </row>
    <row r="5728" spans="1:40" x14ac:dyDescent="0.25">
      <c r="A5728" t="str">
        <f>"20190312164140659"</f>
        <v>20190312164140659</v>
      </c>
      <c r="B5728" t="str">
        <f>"1552380100651929"</f>
        <v>1552380100651929</v>
      </c>
      <c r="C5728" t="s">
        <v>40</v>
      </c>
      <c r="D5728">
        <v>5.5835470000000003</v>
      </c>
      <c r="E5728">
        <v>0.57153980000000004</v>
      </c>
      <c r="F5728" t="s">
        <v>43</v>
      </c>
      <c r="G5728">
        <v>-310.3347</v>
      </c>
      <c r="H5728">
        <v>-0.05</v>
      </c>
      <c r="I5728">
        <v>7.560867</v>
      </c>
      <c r="J5728">
        <v>-317.28919999999999</v>
      </c>
      <c r="K5728">
        <v>1.0872139999999999</v>
      </c>
      <c r="L5728">
        <v>15.99893</v>
      </c>
      <c r="M5728">
        <v>0.97156039999999999</v>
      </c>
      <c r="N5728">
        <v>0</v>
      </c>
      <c r="O5728">
        <v>-0.2355584</v>
      </c>
      <c r="P5728">
        <v>0.74987999999999999</v>
      </c>
      <c r="Q5728">
        <v>0.1110318</v>
      </c>
      <c r="R5728">
        <v>-0.65219039999999995</v>
      </c>
      <c r="S5728">
        <v>1.990753</v>
      </c>
      <c r="T5728">
        <v>-0.3183819</v>
      </c>
      <c r="U5728">
        <v>-2.3713380000000002</v>
      </c>
      <c r="V5728">
        <v>0.45975859999999902</v>
      </c>
      <c r="W5728">
        <v>0.1228737</v>
      </c>
      <c r="X5728">
        <v>0.87950219999999901</v>
      </c>
      <c r="Y5728">
        <v>0.59104579999999995</v>
      </c>
      <c r="Z5728">
        <v>-8.4464209999999904E-3</v>
      </c>
      <c r="AA5728">
        <v>0.80659380000000003</v>
      </c>
      <c r="AB5728">
        <v>31</v>
      </c>
      <c r="AC5728">
        <v>6.9544999999999897</v>
      </c>
      <c r="AD5728">
        <v>-1.1372139999999999</v>
      </c>
      <c r="AE5728">
        <v>-8.4380629999999996</v>
      </c>
      <c r="AF5728">
        <v>6.4915940861728503</v>
      </c>
      <c r="AG5728">
        <v>-1.1372139999999999</v>
      </c>
      <c r="AH5728">
        <v>8.6533253558266807</v>
      </c>
      <c r="AI5728">
        <v>96.001239764352206</v>
      </c>
      <c r="AJ5728">
        <v>53.123322508296198</v>
      </c>
      <c r="AK5728">
        <v>10.8772280097101</v>
      </c>
      <c r="AL5728">
        <v>82.942018966559502</v>
      </c>
      <c r="AM5728">
        <v>62.401741537549498</v>
      </c>
      <c r="AN5728">
        <v>1.00000001811524</v>
      </c>
    </row>
    <row r="5729" spans="1:40" x14ac:dyDescent="0.25">
      <c r="A5729" t="str">
        <f>"20190312164140681"</f>
        <v>20190312164140681</v>
      </c>
      <c r="B5729" t="str">
        <f>"1552380100671449"</f>
        <v>1552380100671449</v>
      </c>
      <c r="C5729" t="s">
        <v>40</v>
      </c>
      <c r="D5729">
        <v>5.841024</v>
      </c>
      <c r="E5729">
        <v>0.56979659999999999</v>
      </c>
      <c r="F5729" t="s">
        <v>43</v>
      </c>
      <c r="G5729">
        <v>-310.11149999999998</v>
      </c>
      <c r="H5729">
        <v>-0.05</v>
      </c>
      <c r="I5729">
        <v>7.3596500000000002</v>
      </c>
      <c r="J5729">
        <v>-317.0052</v>
      </c>
      <c r="K5729">
        <v>1.084498</v>
      </c>
      <c r="L5729">
        <v>15.92206</v>
      </c>
      <c r="M5729">
        <v>0.96974479999999996</v>
      </c>
      <c r="N5729">
        <v>0</v>
      </c>
      <c r="O5729">
        <v>-0.24291760000000001</v>
      </c>
      <c r="P5729">
        <v>0.74107959999999995</v>
      </c>
      <c r="Q5729">
        <v>0.10991190000000001</v>
      </c>
      <c r="R5729">
        <v>-0.6623599</v>
      </c>
      <c r="S5729">
        <v>1.9772339999999999</v>
      </c>
      <c r="T5729">
        <v>-0.31326599999999999</v>
      </c>
      <c r="U5729">
        <v>-2.3798520000000001</v>
      </c>
      <c r="V5729">
        <v>0.46516839999999998</v>
      </c>
      <c r="W5729">
        <v>0.121124499999999</v>
      </c>
      <c r="X5729">
        <v>0.87689640000000002</v>
      </c>
      <c r="Y5729">
        <v>0.58915869999999904</v>
      </c>
      <c r="Z5729">
        <v>-7.3861889999999996E-3</v>
      </c>
      <c r="AA5729">
        <v>0.80798359999999902</v>
      </c>
      <c r="AB5729">
        <v>31</v>
      </c>
      <c r="AC5729">
        <v>6.8937000000000204</v>
      </c>
      <c r="AD5729">
        <v>-1.134498</v>
      </c>
      <c r="AE5729">
        <v>-8.5624099999999999</v>
      </c>
      <c r="AF5729">
        <v>6.56081337445546</v>
      </c>
      <c r="AG5729">
        <v>-1.134498</v>
      </c>
      <c r="AH5729">
        <v>8.6752563235437794</v>
      </c>
      <c r="AI5729">
        <v>95.954680101577694</v>
      </c>
      <c r="AJ5729">
        <v>52.900972433983597</v>
      </c>
      <c r="AK5729">
        <v>10.9357866715487</v>
      </c>
      <c r="AL5729">
        <v>83.042995182832897</v>
      </c>
      <c r="AM5729">
        <v>62.055331371326602</v>
      </c>
      <c r="AN5729">
        <v>1.00000004059588</v>
      </c>
    </row>
    <row r="5730" spans="1:40" x14ac:dyDescent="0.25">
      <c r="A5730" t="str">
        <f>"20190312164140690"</f>
        <v>20190312164140690</v>
      </c>
      <c r="B5730" t="str">
        <f>"1552380100682185"</f>
        <v>1552380100682185</v>
      </c>
      <c r="C5730" t="s">
        <v>40</v>
      </c>
      <c r="D5730">
        <v>5.7853389999999996</v>
      </c>
      <c r="E5730">
        <v>0.56890549999999995</v>
      </c>
      <c r="F5730" t="s">
        <v>43</v>
      </c>
      <c r="G5730">
        <v>-309.74939999999998</v>
      </c>
      <c r="H5730">
        <v>-0.05</v>
      </c>
      <c r="I5730">
        <v>7.0128019999999998</v>
      </c>
      <c r="J5730">
        <v>-316.86660000000001</v>
      </c>
      <c r="K5730">
        <v>1.0831550000000001</v>
      </c>
      <c r="L5730">
        <v>15.88348</v>
      </c>
      <c r="M5730">
        <v>0.96884380000000003</v>
      </c>
      <c r="N5730">
        <v>0</v>
      </c>
      <c r="O5730">
        <v>-0.24648970000000001</v>
      </c>
      <c r="P5730">
        <v>0.73696619999999902</v>
      </c>
      <c r="Q5730">
        <v>0.1099706</v>
      </c>
      <c r="R5730">
        <v>-0.66692399999999996</v>
      </c>
      <c r="S5730">
        <v>1.9515990000000001</v>
      </c>
      <c r="T5730">
        <v>-0.3051468</v>
      </c>
      <c r="U5730">
        <v>-2.3963320000000001</v>
      </c>
      <c r="V5730">
        <v>0.46741680000000002</v>
      </c>
      <c r="W5730">
        <v>0.1208656</v>
      </c>
      <c r="X5730">
        <v>0.87573579999999995</v>
      </c>
      <c r="Y5730">
        <v>0.59414909999999999</v>
      </c>
      <c r="Z5730">
        <v>-7.1500610000000001E-3</v>
      </c>
      <c r="AA5730">
        <v>0.80432320000000002</v>
      </c>
      <c r="AB5730">
        <v>31</v>
      </c>
      <c r="AC5730">
        <v>7.11720000000002</v>
      </c>
      <c r="AD5730">
        <v>-1.1331549999999999</v>
      </c>
      <c r="AE5730">
        <v>-8.8706779999999892</v>
      </c>
      <c r="AF5730">
        <v>6.7747295783439698</v>
      </c>
      <c r="AG5730">
        <v>-1.1331549999999999</v>
      </c>
      <c r="AH5730">
        <v>8.9953412442240595</v>
      </c>
      <c r="AI5730">
        <v>95.746063644856093</v>
      </c>
      <c r="AJ5730">
        <v>53.015222490451002</v>
      </c>
      <c r="AK5730">
        <v>11.3180018207169</v>
      </c>
      <c r="AL5730">
        <v>83.057939087616603</v>
      </c>
      <c r="AM5730">
        <v>61.909295614770102</v>
      </c>
      <c r="AN5730">
        <v>1.00000007479361</v>
      </c>
    </row>
    <row r="5731" spans="1:40" x14ac:dyDescent="0.25">
      <c r="A5731" t="str">
        <f>"20190312164140702"</f>
        <v>20190312164140702</v>
      </c>
      <c r="B5731" t="str">
        <f>"1552380100691945"</f>
        <v>1552380100691945</v>
      </c>
      <c r="C5731" t="s">
        <v>40</v>
      </c>
      <c r="D5731">
        <v>5.8664540000000001</v>
      </c>
      <c r="E5731">
        <v>0.56802489999999894</v>
      </c>
      <c r="F5731" t="s">
        <v>43</v>
      </c>
      <c r="G5731">
        <v>-309.50689999999997</v>
      </c>
      <c r="H5731">
        <v>-0.05</v>
      </c>
      <c r="I5731">
        <v>6.7655329999999996</v>
      </c>
      <c r="J5731">
        <v>-316.71449999999999</v>
      </c>
      <c r="K5731">
        <v>1.081691</v>
      </c>
      <c r="L5731">
        <v>15.84061</v>
      </c>
      <c r="M5731">
        <v>0.96783819999999998</v>
      </c>
      <c r="N5731">
        <v>0</v>
      </c>
      <c r="O5731">
        <v>-0.25041560000000002</v>
      </c>
      <c r="P5731">
        <v>0.73257530000000004</v>
      </c>
      <c r="Q5731">
        <v>0.1098922</v>
      </c>
      <c r="R5731">
        <v>-0.67175669999999899</v>
      </c>
      <c r="S5731">
        <v>1.9401250000000001</v>
      </c>
      <c r="T5731">
        <v>-0.29871639999999999</v>
      </c>
      <c r="U5731">
        <v>-2.4036249999999999</v>
      </c>
      <c r="V5731">
        <v>0.46968110000000002</v>
      </c>
      <c r="W5731">
        <v>0.12043669999999999</v>
      </c>
      <c r="X5731">
        <v>0.87458259999999899</v>
      </c>
      <c r="Y5731">
        <v>0.59448619999999996</v>
      </c>
      <c r="Z5731">
        <v>-6.6141109999999998E-3</v>
      </c>
      <c r="AA5731">
        <v>0.80407859999999998</v>
      </c>
      <c r="AB5731">
        <v>31</v>
      </c>
      <c r="AC5731">
        <v>7.20760000000001</v>
      </c>
      <c r="AD5731">
        <v>-1.131691</v>
      </c>
      <c r="AE5731">
        <v>-9.0750770000000003</v>
      </c>
      <c r="AF5731">
        <v>6.91440504147167</v>
      </c>
      <c r="AG5731">
        <v>-1.131691</v>
      </c>
      <c r="AH5731">
        <v>9.1636374970820604</v>
      </c>
      <c r="AI5731">
        <v>95.630185034817501</v>
      </c>
      <c r="AJ5731">
        <v>52.9636913572742</v>
      </c>
      <c r="AK5731">
        <v>11.535249185645601</v>
      </c>
      <c r="AL5731">
        <v>83.0826937656647</v>
      </c>
      <c r="AM5731">
        <v>61.762663689535103</v>
      </c>
      <c r="AN5731">
        <v>1.0000000293134199</v>
      </c>
    </row>
    <row r="5732" spans="1:40" x14ac:dyDescent="0.25">
      <c r="A5732" t="str">
        <f>"20190312164140712"</f>
        <v>20190312164140712</v>
      </c>
      <c r="B5732" t="str">
        <f>"1552380100701704"</f>
        <v>1552380100701704</v>
      </c>
      <c r="C5732" t="s">
        <v>40</v>
      </c>
      <c r="D5732">
        <v>5.8281939999999999</v>
      </c>
      <c r="E5732">
        <v>0.56719989999999998</v>
      </c>
      <c r="F5732" t="s">
        <v>43</v>
      </c>
      <c r="G5732">
        <v>-309.28390000000002</v>
      </c>
      <c r="H5732">
        <v>-0.05</v>
      </c>
      <c r="I5732">
        <v>6.5453799999999998</v>
      </c>
      <c r="J5732">
        <v>-316.5711</v>
      </c>
      <c r="K5732">
        <v>1.080317</v>
      </c>
      <c r="L5732">
        <v>15.799440000000001</v>
      </c>
      <c r="M5732">
        <v>0.96687270000000003</v>
      </c>
      <c r="N5732">
        <v>0</v>
      </c>
      <c r="O5732">
        <v>-0.25412849999999998</v>
      </c>
      <c r="P5732">
        <v>0.72819619999999996</v>
      </c>
      <c r="Q5732">
        <v>0.1098962</v>
      </c>
      <c r="R5732">
        <v>-0.6765004</v>
      </c>
      <c r="S5732">
        <v>1.927826</v>
      </c>
      <c r="T5732">
        <v>-0.29361019999999999</v>
      </c>
      <c r="U5732">
        <v>-2.411591</v>
      </c>
      <c r="V5732">
        <v>0.47204990000000002</v>
      </c>
      <c r="W5732">
        <v>0.12009300000000001</v>
      </c>
      <c r="X5732">
        <v>0.87335359999999995</v>
      </c>
      <c r="Y5732">
        <v>0.59525819999999996</v>
      </c>
      <c r="Z5732">
        <v>-6.1706699999999996E-3</v>
      </c>
      <c r="AA5732">
        <v>0.80351079999999997</v>
      </c>
      <c r="AB5732">
        <v>31</v>
      </c>
      <c r="AC5732">
        <v>7.2871999999999799</v>
      </c>
      <c r="AD5732">
        <v>-1.130317</v>
      </c>
      <c r="AE5732">
        <v>-9.2540600000000008</v>
      </c>
      <c r="AF5732">
        <v>7.0328933380422196</v>
      </c>
      <c r="AG5732">
        <v>-1.130317</v>
      </c>
      <c r="AH5732">
        <v>9.3144487501763393</v>
      </c>
      <c r="AI5732">
        <v>95.531581550751497</v>
      </c>
      <c r="AJ5732">
        <v>52.945297135684498</v>
      </c>
      <c r="AK5732">
        <v>11.7259609731752</v>
      </c>
      <c r="AL5732">
        <v>83.102529915747297</v>
      </c>
      <c r="AM5732">
        <v>61.608662468219599</v>
      </c>
      <c r="AN5732">
        <v>0.99999997368598403</v>
      </c>
    </row>
    <row r="5733" spans="1:40" x14ac:dyDescent="0.25">
      <c r="A5733" t="str">
        <f>"20190312164140724"</f>
        <v>20190312164140724</v>
      </c>
      <c r="B5733" t="str">
        <f>"1552380100711465"</f>
        <v>1552380100711465</v>
      </c>
      <c r="C5733" t="s">
        <v>40</v>
      </c>
      <c r="D5733">
        <v>5.7708149999999998</v>
      </c>
      <c r="E5733">
        <v>0.5663608</v>
      </c>
      <c r="F5733" t="s">
        <v>43</v>
      </c>
      <c r="G5733">
        <v>-309.06979999999999</v>
      </c>
      <c r="H5733">
        <v>-0.05</v>
      </c>
      <c r="I5733">
        <v>6.325043</v>
      </c>
      <c r="J5733">
        <v>-316.42230000000001</v>
      </c>
      <c r="K5733">
        <v>1.078905</v>
      </c>
      <c r="L5733">
        <v>15.755979999999999</v>
      </c>
      <c r="M5733">
        <v>0.96584479999999995</v>
      </c>
      <c r="N5733">
        <v>0</v>
      </c>
      <c r="O5733">
        <v>-0.25802409999999998</v>
      </c>
      <c r="P5733">
        <v>0.72375269999999903</v>
      </c>
      <c r="Q5733">
        <v>0.10995580000000001</v>
      </c>
      <c r="R5733">
        <v>-0.68124289999999998</v>
      </c>
      <c r="S5733">
        <v>1.9155880000000001</v>
      </c>
      <c r="T5733">
        <v>-0.2886474</v>
      </c>
      <c r="U5733">
        <v>-2.4194640000000001</v>
      </c>
      <c r="V5733">
        <v>0.47427239999999998</v>
      </c>
      <c r="W5733">
        <v>0.1197886</v>
      </c>
      <c r="X5733">
        <v>0.87219049999999998</v>
      </c>
      <c r="Y5733">
        <v>0.59585010000000005</v>
      </c>
      <c r="Z5733">
        <v>-5.7108740000000003E-3</v>
      </c>
      <c r="AA5733">
        <v>0.80307539999999999</v>
      </c>
      <c r="AB5733">
        <v>31</v>
      </c>
      <c r="AC5733">
        <v>7.3525000000000098</v>
      </c>
      <c r="AD5733">
        <v>-1.1289049999999901</v>
      </c>
      <c r="AE5733">
        <v>-9.4309370000000001</v>
      </c>
      <c r="AF5733">
        <v>7.1500253098944597</v>
      </c>
      <c r="AG5733">
        <v>-1.1289049999999901</v>
      </c>
      <c r="AH5733">
        <v>9.4532421166985507</v>
      </c>
      <c r="AI5733">
        <v>95.4406952550016</v>
      </c>
      <c r="AJ5733">
        <v>52.897708097625397</v>
      </c>
      <c r="AK5733">
        <v>11.9063459948079</v>
      </c>
      <c r="AL5733">
        <v>83.120097360858296</v>
      </c>
      <c r="AM5733">
        <v>61.463909433796502</v>
      </c>
      <c r="AN5733">
        <v>0.99999994319098295</v>
      </c>
    </row>
    <row r="5734" spans="1:40" x14ac:dyDescent="0.25">
      <c r="A5734" t="str">
        <f>"20190312164140735"</f>
        <v>20190312164140735</v>
      </c>
      <c r="B5734" t="str">
        <f>"1552380100731961"</f>
        <v>1552380100731961</v>
      </c>
      <c r="C5734" t="s">
        <v>40</v>
      </c>
      <c r="D5734">
        <v>5.7611400000000001</v>
      </c>
      <c r="E5734">
        <v>0.564716199999999</v>
      </c>
      <c r="F5734" t="s">
        <v>43</v>
      </c>
      <c r="G5734">
        <v>-308.85050000000001</v>
      </c>
      <c r="H5734">
        <v>-0.05</v>
      </c>
      <c r="I5734">
        <v>6.0995179999999998</v>
      </c>
      <c r="J5734">
        <v>-316.27080000000001</v>
      </c>
      <c r="K5734">
        <v>1.077491</v>
      </c>
      <c r="L5734">
        <v>15.71106</v>
      </c>
      <c r="M5734">
        <v>0.96477199999999996</v>
      </c>
      <c r="N5734">
        <v>0</v>
      </c>
      <c r="O5734">
        <v>-0.26202760000000003</v>
      </c>
      <c r="P5734">
        <v>0.71908719999999904</v>
      </c>
      <c r="Q5734">
        <v>0.10998189999999999</v>
      </c>
      <c r="R5734">
        <v>-0.68616160000000004</v>
      </c>
      <c r="S5734">
        <v>1.903351</v>
      </c>
      <c r="T5734">
        <v>-0.28377529999999901</v>
      </c>
      <c r="U5734">
        <v>-2.427368</v>
      </c>
      <c r="V5734">
        <v>0.47662910000000003</v>
      </c>
      <c r="W5734">
        <v>0.1194331</v>
      </c>
      <c r="X5734">
        <v>0.87095370000000005</v>
      </c>
      <c r="Y5734">
        <v>0.59635559999999999</v>
      </c>
      <c r="Z5734">
        <v>-5.2478350000000002E-3</v>
      </c>
      <c r="AA5734">
        <v>0.80270330000000001</v>
      </c>
      <c r="AB5734">
        <v>31</v>
      </c>
      <c r="AC5734">
        <v>7.4202999999999903</v>
      </c>
      <c r="AD5734">
        <v>-1.127491</v>
      </c>
      <c r="AE5734">
        <v>-9.611542</v>
      </c>
      <c r="AF5734">
        <v>7.2679993335403204</v>
      </c>
      <c r="AG5734">
        <v>-1.127491</v>
      </c>
      <c r="AH5734">
        <v>9.5973336371084592</v>
      </c>
      <c r="AI5734">
        <v>95.350417477803504</v>
      </c>
      <c r="AJ5734">
        <v>52.8635861650408</v>
      </c>
      <c r="AK5734">
        <v>12.0914789504591</v>
      </c>
      <c r="AL5734">
        <v>83.1406133866045</v>
      </c>
      <c r="AM5734">
        <v>61.310332500841199</v>
      </c>
      <c r="AN5734">
        <v>0.99999995594305402</v>
      </c>
    </row>
    <row r="5735" spans="1:40" x14ac:dyDescent="0.25">
      <c r="A5735" t="str">
        <f>"20190312164140747"</f>
        <v>20190312164140747</v>
      </c>
      <c r="B5735" t="str">
        <f>"1552380100741722"</f>
        <v>1552380100741722</v>
      </c>
      <c r="C5735" t="s">
        <v>40</v>
      </c>
      <c r="D5735">
        <v>5.7583070000000003</v>
      </c>
      <c r="E5735">
        <v>0.56386939999999997</v>
      </c>
      <c r="F5735" t="s">
        <v>43</v>
      </c>
      <c r="G5735">
        <v>-308.5095</v>
      </c>
      <c r="H5735">
        <v>-0.05</v>
      </c>
      <c r="I5735">
        <v>5.7559509999999996</v>
      </c>
      <c r="J5735">
        <v>-316.11329999999998</v>
      </c>
      <c r="K5735">
        <v>1.0760749999999999</v>
      </c>
      <c r="L5735">
        <v>15.663360000000001</v>
      </c>
      <c r="M5735">
        <v>0.96361450000000004</v>
      </c>
      <c r="N5735">
        <v>0</v>
      </c>
      <c r="O5735">
        <v>-0.2662814</v>
      </c>
      <c r="P5735">
        <v>0.71420299999999903</v>
      </c>
      <c r="Q5735">
        <v>0.10970009999999999</v>
      </c>
      <c r="R5735">
        <v>-0.69128889999999998</v>
      </c>
      <c r="S5735">
        <v>1.8948670000000001</v>
      </c>
      <c r="T5735">
        <v>-0.27527030000000002</v>
      </c>
      <c r="U5735">
        <v>-2.4304809999999999</v>
      </c>
      <c r="V5735">
        <v>0.47900799999999999</v>
      </c>
      <c r="W5735">
        <v>0.11875280000000001</v>
      </c>
      <c r="X5735">
        <v>0.86974079999999998</v>
      </c>
      <c r="Y5735">
        <v>0.59515309999999999</v>
      </c>
      <c r="Z5735">
        <v>-4.610594E-3</v>
      </c>
      <c r="AA5735">
        <v>0.80359910000000001</v>
      </c>
      <c r="AB5735">
        <v>31</v>
      </c>
      <c r="AC5735">
        <v>7.6037999999999704</v>
      </c>
      <c r="AD5735">
        <v>-1.1260749999999999</v>
      </c>
      <c r="AE5735">
        <v>-9.9074089999999995</v>
      </c>
      <c r="AF5735">
        <v>7.4635320308704003</v>
      </c>
      <c r="AG5735">
        <v>-1.1260749999999999</v>
      </c>
      <c r="AH5735">
        <v>9.8876044829780501</v>
      </c>
      <c r="AI5735">
        <v>95.193829709314997</v>
      </c>
      <c r="AJ5735">
        <v>52.953135788038999</v>
      </c>
      <c r="AK5735">
        <v>12.439335902421</v>
      </c>
      <c r="AL5735">
        <v>83.179871233975305</v>
      </c>
      <c r="AM5735">
        <v>61.156313125971401</v>
      </c>
      <c r="AN5735">
        <v>0.99999997537823904</v>
      </c>
    </row>
    <row r="5736" spans="1:40" x14ac:dyDescent="0.25">
      <c r="A5736" t="str">
        <f>"20190312164140759"</f>
        <v>20190312164140759</v>
      </c>
      <c r="B5736" t="str">
        <f>"1552380100751481"</f>
        <v>1552380100751481</v>
      </c>
      <c r="C5736" t="s">
        <v>40</v>
      </c>
      <c r="D5736">
        <v>5.7638280000000002</v>
      </c>
      <c r="E5736">
        <v>0.56319459999999999</v>
      </c>
      <c r="F5736" t="s">
        <v>43</v>
      </c>
      <c r="G5736">
        <v>-308.34100000000001</v>
      </c>
      <c r="H5736">
        <v>-0.05</v>
      </c>
      <c r="I5736">
        <v>5.5895539999999997</v>
      </c>
      <c r="J5736">
        <v>-315.95549999999997</v>
      </c>
      <c r="K5736">
        <v>1.0746770000000001</v>
      </c>
      <c r="L5736">
        <v>15.61511</v>
      </c>
      <c r="M5736">
        <v>0.96242300000000003</v>
      </c>
      <c r="N5736">
        <v>0</v>
      </c>
      <c r="O5736">
        <v>-0.27058539999999998</v>
      </c>
      <c r="P5736">
        <v>0.70935419999999905</v>
      </c>
      <c r="Q5736">
        <v>0.1092429</v>
      </c>
      <c r="R5736">
        <v>-0.69633480000000003</v>
      </c>
      <c r="S5736">
        <v>1.8817140000000001</v>
      </c>
      <c r="T5736">
        <v>-0.27262649999999999</v>
      </c>
      <c r="U5736">
        <v>-2.438904</v>
      </c>
      <c r="V5736">
        <v>0.48125800000000002</v>
      </c>
      <c r="W5736">
        <v>0.1179047</v>
      </c>
      <c r="X5736">
        <v>0.86861339999999998</v>
      </c>
      <c r="Y5736">
        <v>0.59565709999999905</v>
      </c>
      <c r="Z5736">
        <v>-4.1828990000000003E-3</v>
      </c>
      <c r="AA5736">
        <v>0.80322799999999905</v>
      </c>
      <c r="AB5736">
        <v>31</v>
      </c>
      <c r="AC5736">
        <v>7.6144999999999596</v>
      </c>
      <c r="AD5736">
        <v>-1.1246769999999999</v>
      </c>
      <c r="AE5736">
        <v>-10.025556</v>
      </c>
      <c r="AF5736">
        <v>7.5303495208451601</v>
      </c>
      <c r="AG5736">
        <v>-1.1246769999999999</v>
      </c>
      <c r="AH5736">
        <v>9.9642555378945197</v>
      </c>
      <c r="AI5736">
        <v>95.145513979847493</v>
      </c>
      <c r="AJ5736">
        <v>52.920335109160902</v>
      </c>
      <c r="AK5736">
        <v>12.5402332787266</v>
      </c>
      <c r="AL5736">
        <v>83.228807824806196</v>
      </c>
      <c r="AM5736">
        <v>61.011216626744201</v>
      </c>
      <c r="AN5736">
        <v>1.0000000097528201</v>
      </c>
    </row>
    <row r="5737" spans="1:40" x14ac:dyDescent="0.25">
      <c r="A5737" t="str">
        <f>"20190312164140769"</f>
        <v>20190312164140769</v>
      </c>
      <c r="B5737" t="str">
        <f>"1552380100762217"</f>
        <v>1552380100762217</v>
      </c>
      <c r="C5737" t="s">
        <v>40</v>
      </c>
      <c r="D5737">
        <v>5.7699780000000001</v>
      </c>
      <c r="E5737">
        <v>0.56247469999999999</v>
      </c>
      <c r="F5737" t="s">
        <v>43</v>
      </c>
      <c r="G5737">
        <v>-308.22500000000002</v>
      </c>
      <c r="H5737">
        <v>-0.05</v>
      </c>
      <c r="I5737">
        <v>5.4854279999999997</v>
      </c>
      <c r="J5737">
        <v>-315.81439999999998</v>
      </c>
      <c r="K5737">
        <v>1.0735049999999999</v>
      </c>
      <c r="L5737">
        <v>15.570830000000001</v>
      </c>
      <c r="M5737">
        <v>0.96130110000000002</v>
      </c>
      <c r="N5737">
        <v>0</v>
      </c>
      <c r="O5737">
        <v>-0.27457559999999998</v>
      </c>
      <c r="P5737">
        <v>0.70508190000000004</v>
      </c>
      <c r="Q5737">
        <v>0.1086391</v>
      </c>
      <c r="R5737">
        <v>-0.70075489999999996</v>
      </c>
      <c r="S5737">
        <v>1.8681030000000001</v>
      </c>
      <c r="T5737">
        <v>-0.27178249999999998</v>
      </c>
      <c r="U5737">
        <v>-2.4478759999999999</v>
      </c>
      <c r="V5737">
        <v>0.48302669999999998</v>
      </c>
      <c r="W5737">
        <v>0.1169813</v>
      </c>
      <c r="X5737">
        <v>0.86775609999999903</v>
      </c>
      <c r="Y5737">
        <v>0.59658469999999997</v>
      </c>
      <c r="Z5737">
        <v>-3.8414429999999999E-3</v>
      </c>
      <c r="AA5737">
        <v>0.80254099999999995</v>
      </c>
      <c r="AB5737">
        <v>31</v>
      </c>
      <c r="AC5737">
        <v>7.5893999999999497</v>
      </c>
      <c r="AD5737">
        <v>-1.123505</v>
      </c>
      <c r="AE5737">
        <v>-10.085401999999901</v>
      </c>
      <c r="AF5737">
        <v>7.5533338014089004</v>
      </c>
      <c r="AG5737">
        <v>-1.123505</v>
      </c>
      <c r="AH5737">
        <v>9.9883250173171305</v>
      </c>
      <c r="AI5737">
        <v>95.126682671315905</v>
      </c>
      <c r="AJ5737">
        <v>52.902835724844401</v>
      </c>
      <c r="AK5737">
        <v>12.573056575554499</v>
      </c>
      <c r="AL5737">
        <v>83.282083595024105</v>
      </c>
      <c r="AM5737">
        <v>60.897991143460096</v>
      </c>
      <c r="AN5737">
        <v>1.00000003327489</v>
      </c>
    </row>
    <row r="5738" spans="1:40" x14ac:dyDescent="0.25">
      <c r="A5738" t="str">
        <f>"20190312164140780"</f>
        <v>20190312164140780</v>
      </c>
      <c r="B5738" t="str">
        <f>"1552380100771978"</f>
        <v>1552380100771978</v>
      </c>
      <c r="C5738" t="s">
        <v>40</v>
      </c>
      <c r="D5738">
        <v>5.7751960000000002</v>
      </c>
      <c r="E5738">
        <v>0.56192259999999905</v>
      </c>
      <c r="F5738" t="s">
        <v>43</v>
      </c>
      <c r="G5738">
        <v>-308.13290000000001</v>
      </c>
      <c r="H5738">
        <v>-0.05</v>
      </c>
      <c r="I5738">
        <v>5.415146</v>
      </c>
      <c r="J5738">
        <v>-315.66770000000002</v>
      </c>
      <c r="K5738">
        <v>1.0723049999999901</v>
      </c>
      <c r="L5738">
        <v>15.524509999999999</v>
      </c>
      <c r="M5738">
        <v>0.96010260000000003</v>
      </c>
      <c r="N5738">
        <v>0</v>
      </c>
      <c r="O5738">
        <v>-0.27876859999999998</v>
      </c>
      <c r="P5738">
        <v>0.70060230000000001</v>
      </c>
      <c r="Q5738">
        <v>0.1077269</v>
      </c>
      <c r="R5738">
        <v>-0.70537329999999998</v>
      </c>
      <c r="S5738">
        <v>1.8568420000000001</v>
      </c>
      <c r="T5738">
        <v>-0.27158379999999999</v>
      </c>
      <c r="U5738">
        <v>-2.4549259999999999</v>
      </c>
      <c r="V5738">
        <v>0.48485980000000001</v>
      </c>
      <c r="W5738">
        <v>0.11575050000000001</v>
      </c>
      <c r="X5738">
        <v>0.86689839999999996</v>
      </c>
      <c r="Y5738">
        <v>0.59655000000000002</v>
      </c>
      <c r="Z5738">
        <v>-3.4336430000000001E-3</v>
      </c>
      <c r="AA5738">
        <v>0.80256859999999997</v>
      </c>
      <c r="AB5738">
        <v>31</v>
      </c>
      <c r="AC5738">
        <v>7.5348000000000104</v>
      </c>
      <c r="AD5738">
        <v>-1.1223050000000001</v>
      </c>
      <c r="AE5738">
        <v>-10.109363999999999</v>
      </c>
      <c r="AF5738">
        <v>7.5476278451273098</v>
      </c>
      <c r="AG5738">
        <v>-1.1223050000000001</v>
      </c>
      <c r="AH5738">
        <v>9.9757834087112602</v>
      </c>
      <c r="AI5738">
        <v>95.126710907376193</v>
      </c>
      <c r="AJ5738">
        <v>52.889032895447897</v>
      </c>
      <c r="AK5738">
        <v>12.559558480260501</v>
      </c>
      <c r="AL5738">
        <v>83.353085511921194</v>
      </c>
      <c r="AM5738">
        <v>60.781537477447898</v>
      </c>
      <c r="AN5738">
        <v>1.0000000199144199</v>
      </c>
    </row>
    <row r="5739" spans="1:40" x14ac:dyDescent="0.25">
      <c r="A5739" t="str">
        <f>"20190312164140790"</f>
        <v>20190312164140790</v>
      </c>
      <c r="B5739" t="str">
        <f>"1552380100781738"</f>
        <v>1552380100781738</v>
      </c>
      <c r="C5739" t="s">
        <v>40</v>
      </c>
      <c r="D5739">
        <v>5.8284140000000004</v>
      </c>
      <c r="E5739">
        <v>0.56127660000000001</v>
      </c>
      <c r="F5739" t="s">
        <v>43</v>
      </c>
      <c r="G5739">
        <v>-308.08300000000003</v>
      </c>
      <c r="H5739">
        <v>-0.05</v>
      </c>
      <c r="I5739">
        <v>5.3892670000000003</v>
      </c>
      <c r="J5739">
        <v>-315.53160000000003</v>
      </c>
      <c r="K5739">
        <v>1.071248</v>
      </c>
      <c r="L5739">
        <v>15.48062</v>
      </c>
      <c r="M5739">
        <v>0.95893079999999997</v>
      </c>
      <c r="N5739">
        <v>0</v>
      </c>
      <c r="O5739">
        <v>-0.28280260000000002</v>
      </c>
      <c r="P5739">
        <v>0.69630119999999995</v>
      </c>
      <c r="Q5739">
        <v>0.1069412</v>
      </c>
      <c r="R5739">
        <v>-0.70973809999999904</v>
      </c>
      <c r="S5739">
        <v>1.843628</v>
      </c>
      <c r="T5739">
        <v>-0.27280079999999901</v>
      </c>
      <c r="U5739">
        <v>-2.4635929999999999</v>
      </c>
      <c r="V5739">
        <v>0.48655039999999999</v>
      </c>
      <c r="W5739">
        <v>0.11469940000000001</v>
      </c>
      <c r="X5739">
        <v>0.86609049999999999</v>
      </c>
      <c r="Y5739">
        <v>0.59729089999999996</v>
      </c>
      <c r="Z5739">
        <v>-3.102105E-3</v>
      </c>
      <c r="AA5739">
        <v>0.80201869999999997</v>
      </c>
      <c r="AB5739">
        <v>31</v>
      </c>
      <c r="AC5739">
        <v>7.4486000000000496</v>
      </c>
      <c r="AD5739">
        <v>-1.121248</v>
      </c>
      <c r="AE5739">
        <v>-10.091353</v>
      </c>
      <c r="AF5739">
        <v>7.5121885874528198</v>
      </c>
      <c r="AG5739">
        <v>-1.121248</v>
      </c>
      <c r="AH5739">
        <v>9.9196521331566601</v>
      </c>
      <c r="AI5739">
        <v>95.148988827746606</v>
      </c>
      <c r="AJ5739">
        <v>52.863220848652098</v>
      </c>
      <c r="AK5739">
        <v>12.4935852698014</v>
      </c>
      <c r="AL5739">
        <v>83.413712783555397</v>
      </c>
      <c r="AM5739">
        <v>60.673690260978503</v>
      </c>
      <c r="AN5739">
        <v>0.99999999914538495</v>
      </c>
    </row>
    <row r="5740" spans="1:40" x14ac:dyDescent="0.25">
      <c r="A5740" t="str">
        <f>"20190312164140802"</f>
        <v>20190312164140802</v>
      </c>
      <c r="B5740" t="str">
        <f>"1552380100791497"</f>
        <v>1552380100791497</v>
      </c>
      <c r="C5740" t="s">
        <v>40</v>
      </c>
      <c r="D5740">
        <v>5.7684579999999999</v>
      </c>
      <c r="E5740">
        <v>0.56127660000000001</v>
      </c>
      <c r="F5740" t="s">
        <v>43</v>
      </c>
      <c r="G5740">
        <v>-308.00549999999998</v>
      </c>
      <c r="H5740">
        <v>-0.05</v>
      </c>
      <c r="I5740">
        <v>5.3254549999999998</v>
      </c>
      <c r="J5740">
        <v>-315.38440000000003</v>
      </c>
      <c r="K5740">
        <v>1.0701350000000001</v>
      </c>
      <c r="L5740">
        <v>15.43268</v>
      </c>
      <c r="M5740">
        <v>0.95762539999999996</v>
      </c>
      <c r="N5740">
        <v>0</v>
      </c>
      <c r="O5740">
        <v>-0.2872229</v>
      </c>
      <c r="P5740">
        <v>0.6916023</v>
      </c>
      <c r="Q5740">
        <v>0.1068079</v>
      </c>
      <c r="R5740">
        <v>-0.71433740000000001</v>
      </c>
      <c r="S5740">
        <v>1.8314509999999999</v>
      </c>
      <c r="T5740">
        <v>-0.27285169999999997</v>
      </c>
      <c r="U5740">
        <v>-2.471222</v>
      </c>
      <c r="V5740">
        <v>0.48825239999999998</v>
      </c>
      <c r="W5740">
        <v>0.114283</v>
      </c>
      <c r="X5740">
        <v>0.86518729999999999</v>
      </c>
      <c r="Y5740">
        <v>0.5973427</v>
      </c>
      <c r="Z5740">
        <v>-2.676964E-3</v>
      </c>
      <c r="AA5740">
        <v>0.80198159999999996</v>
      </c>
      <c r="AB5740">
        <v>31</v>
      </c>
      <c r="AC5740">
        <v>7.3789000000000398</v>
      </c>
      <c r="AD5740">
        <v>-1.1201350000000001</v>
      </c>
      <c r="AE5740">
        <v>-10.107225</v>
      </c>
      <c r="AF5740">
        <v>7.5011738390196001</v>
      </c>
      <c r="AG5740">
        <v>-1.1201350000000001</v>
      </c>
      <c r="AH5740">
        <v>9.8922690737541892</v>
      </c>
      <c r="AI5740">
        <v>95.1556408302135</v>
      </c>
      <c r="AJ5740">
        <v>52.827449779461503</v>
      </c>
      <c r="AK5740">
        <v>12.465123296982201</v>
      </c>
      <c r="AL5740">
        <v>83.437728918918594</v>
      </c>
      <c r="AM5740">
        <v>60.562596273767603</v>
      </c>
      <c r="AN5740">
        <v>1.00000003713802</v>
      </c>
    </row>
    <row r="5741" spans="1:40" x14ac:dyDescent="0.25">
      <c r="A5741" t="str">
        <f>"20190312164140812"</f>
        <v>20190312164140812</v>
      </c>
      <c r="B5741" t="str">
        <f>"1552380100802233"</f>
        <v>1552380100802233</v>
      </c>
      <c r="C5741" t="s">
        <v>40</v>
      </c>
      <c r="D5741">
        <v>5.7717150000000004</v>
      </c>
      <c r="E5741">
        <v>0.54078300000000001</v>
      </c>
      <c r="F5741" t="s">
        <v>43</v>
      </c>
      <c r="G5741">
        <v>-307.94009999999997</v>
      </c>
      <c r="H5741">
        <v>-0.05</v>
      </c>
      <c r="I5741">
        <v>5.2458339999999897</v>
      </c>
      <c r="J5741">
        <v>-315.23430000000002</v>
      </c>
      <c r="K5741">
        <v>1.0690409999999999</v>
      </c>
      <c r="L5741">
        <v>15.382929999999901</v>
      </c>
      <c r="M5741">
        <v>0.95623990000000003</v>
      </c>
      <c r="N5741">
        <v>0</v>
      </c>
      <c r="O5741">
        <v>-0.29183320000000001</v>
      </c>
      <c r="P5741">
        <v>0.68628520000000004</v>
      </c>
      <c r="Q5741">
        <v>0.1066011</v>
      </c>
      <c r="R5741">
        <v>-0.71947839999999996</v>
      </c>
      <c r="S5741">
        <v>1.8148500000000001</v>
      </c>
      <c r="T5741">
        <v>-0.27307870000000001</v>
      </c>
      <c r="U5741">
        <v>-2.4834589999999999</v>
      </c>
      <c r="V5741">
        <v>0.49048930000000002</v>
      </c>
      <c r="W5741">
        <v>0.113770899999999</v>
      </c>
      <c r="X5741">
        <v>0.86398869999999905</v>
      </c>
      <c r="Y5741">
        <v>0.59886629999999996</v>
      </c>
      <c r="Z5741">
        <v>-2.3191660000000001E-3</v>
      </c>
      <c r="AA5741">
        <v>0.80084569999999999</v>
      </c>
      <c r="AB5741">
        <v>31</v>
      </c>
      <c r="AC5741">
        <v>7.29420000000004</v>
      </c>
      <c r="AD5741">
        <v>-1.119041</v>
      </c>
      <c r="AE5741">
        <v>-10.137096</v>
      </c>
      <c r="AF5741">
        <v>7.5061982626649799</v>
      </c>
      <c r="AG5741">
        <v>-1.119041</v>
      </c>
      <c r="AH5741">
        <v>9.8563885079917295</v>
      </c>
      <c r="AI5741">
        <v>95.161188194295505</v>
      </c>
      <c r="AJ5741">
        <v>52.708673308347997</v>
      </c>
      <c r="AK5741">
        <v>12.4396004573534</v>
      </c>
      <c r="AL5741">
        <v>83.467262619798404</v>
      </c>
      <c r="AM5741">
        <v>60.416276376544197</v>
      </c>
      <c r="AN5741">
        <v>1.00000002241449</v>
      </c>
    </row>
    <row r="5742" spans="1:40" x14ac:dyDescent="0.25">
      <c r="A5742" t="str">
        <f>"20190312164140825"</f>
        <v>20190312164140825</v>
      </c>
      <c r="B5742" t="str">
        <f>"1552380100821753"</f>
        <v>1552380100821753</v>
      </c>
      <c r="C5742" t="s">
        <v>40</v>
      </c>
      <c r="D5742">
        <v>6.0724669999999996</v>
      </c>
      <c r="E5742">
        <v>0.54003290000000004</v>
      </c>
      <c r="F5742" t="s">
        <v>43</v>
      </c>
      <c r="G5742">
        <v>-305.60090000000002</v>
      </c>
      <c r="H5742">
        <v>-0.05</v>
      </c>
      <c r="I5742">
        <v>3.3462369999999999</v>
      </c>
      <c r="J5742">
        <v>-315.07659999999998</v>
      </c>
      <c r="K5742">
        <v>1.067917</v>
      </c>
      <c r="L5742">
        <v>15.329800000000001</v>
      </c>
      <c r="M5742">
        <v>0.95474389999999998</v>
      </c>
      <c r="N5742">
        <v>0</v>
      </c>
      <c r="O5742">
        <v>-0.2967243</v>
      </c>
      <c r="P5742">
        <v>0.6806508</v>
      </c>
      <c r="Q5742">
        <v>0.1065716</v>
      </c>
      <c r="R5742">
        <v>-0.7248154</v>
      </c>
      <c r="S5742">
        <v>1.907349</v>
      </c>
      <c r="T5742">
        <v>-0.22156190000000001</v>
      </c>
      <c r="U5742">
        <v>-2.3831790000000002</v>
      </c>
      <c r="V5742">
        <v>0.49277759999999998</v>
      </c>
      <c r="W5742">
        <v>0.1133957</v>
      </c>
      <c r="X5742">
        <v>0.86273500000000003</v>
      </c>
      <c r="Y5742">
        <v>0.55945780000000001</v>
      </c>
      <c r="Z5742">
        <v>3.3812970000000002E-4</v>
      </c>
      <c r="AA5742">
        <v>0.82885880000000001</v>
      </c>
      <c r="AB5742">
        <v>31</v>
      </c>
      <c r="AC5742">
        <v>9.4756999999999607</v>
      </c>
      <c r="AD5742">
        <v>-1.117917</v>
      </c>
      <c r="AE5742">
        <v>-11.983563</v>
      </c>
      <c r="AF5742">
        <v>8.5853992160644896</v>
      </c>
      <c r="AG5742">
        <v>-1.117917</v>
      </c>
      <c r="AH5742">
        <v>12.538183654454899</v>
      </c>
      <c r="AI5742">
        <v>94.207502153576698</v>
      </c>
      <c r="AJ5742">
        <v>55.598986745682097</v>
      </c>
      <c r="AK5742">
        <v>15.236957290447799</v>
      </c>
      <c r="AL5742">
        <v>83.488899968063706</v>
      </c>
      <c r="AM5742">
        <v>60.265825018586298</v>
      </c>
      <c r="AN5742">
        <v>1.00000001403262</v>
      </c>
    </row>
    <row r="5743" spans="1:40" x14ac:dyDescent="0.25">
      <c r="A5743" t="str">
        <f>"20190312164140837"</f>
        <v>20190312164140837</v>
      </c>
      <c r="B5743" t="str">
        <f>"1552380100831513"</f>
        <v>1552380100831513</v>
      </c>
      <c r="C5743" t="s">
        <v>40</v>
      </c>
      <c r="D5743">
        <v>5.9042830000000004</v>
      </c>
      <c r="E5743">
        <v>0.54079849999999996</v>
      </c>
      <c r="F5743" t="s">
        <v>43</v>
      </c>
      <c r="G5743">
        <v>-305.42770000000002</v>
      </c>
      <c r="H5743">
        <v>-0.05</v>
      </c>
      <c r="I5743">
        <v>3.1307680000000002</v>
      </c>
      <c r="J5743">
        <v>-314.91890000000001</v>
      </c>
      <c r="K5743">
        <v>1.066811</v>
      </c>
      <c r="L5743">
        <v>15.276120000000001</v>
      </c>
      <c r="M5743">
        <v>0.95320959999999999</v>
      </c>
      <c r="N5743">
        <v>0</v>
      </c>
      <c r="O5743">
        <v>-0.30164780000000002</v>
      </c>
      <c r="P5743">
        <v>0.67504500000000001</v>
      </c>
      <c r="Q5743">
        <v>0.106144</v>
      </c>
      <c r="R5743">
        <v>-0.73010120000000001</v>
      </c>
      <c r="S5743">
        <v>1.893127</v>
      </c>
      <c r="T5743">
        <v>-0.21933659999999999</v>
      </c>
      <c r="U5743">
        <v>-2.3934630000000001</v>
      </c>
      <c r="V5743">
        <v>0.4949923</v>
      </c>
      <c r="W5743">
        <v>0.11261019999999899</v>
      </c>
      <c r="X5743">
        <v>0.86156919999999904</v>
      </c>
      <c r="Y5743">
        <v>0.55996669999999904</v>
      </c>
      <c r="Z5743">
        <v>6.990675E-4</v>
      </c>
      <c r="AA5743">
        <v>0.8285148</v>
      </c>
      <c r="AB5743">
        <v>31</v>
      </c>
      <c r="AC5743">
        <v>9.4911999999999903</v>
      </c>
      <c r="AD5743">
        <v>-1.116811</v>
      </c>
      <c r="AE5743">
        <v>-12.145352000000001</v>
      </c>
      <c r="AF5743">
        <v>8.6702945026953397</v>
      </c>
      <c r="AG5743">
        <v>-1.116811</v>
      </c>
      <c r="AH5743">
        <v>12.6468738684984</v>
      </c>
      <c r="AI5743">
        <v>94.165754843603096</v>
      </c>
      <c r="AJ5743">
        <v>55.566704387864803</v>
      </c>
      <c r="AK5743">
        <v>15.3741566343946</v>
      </c>
      <c r="AL5743">
        <v>83.534195590960096</v>
      </c>
      <c r="AM5743">
        <v>60.121592756786903</v>
      </c>
      <c r="AN5743">
        <v>0.99999996029598404</v>
      </c>
    </row>
    <row r="5744" spans="1:40" x14ac:dyDescent="0.25">
      <c r="A5744" t="str">
        <f>"20190312164140860"</f>
        <v>20190312164140860</v>
      </c>
      <c r="B5744" t="str">
        <f>"1552380100852009"</f>
        <v>1552380100852009</v>
      </c>
      <c r="C5744" t="s">
        <v>40</v>
      </c>
      <c r="D5744">
        <v>6.1201650000000001</v>
      </c>
      <c r="E5744">
        <v>0.53966700000000001</v>
      </c>
      <c r="F5744" t="s">
        <v>43</v>
      </c>
      <c r="G5744">
        <v>-305.57330000000002</v>
      </c>
      <c r="H5744">
        <v>-0.05</v>
      </c>
      <c r="I5744">
        <v>3.2259829999999998</v>
      </c>
      <c r="J5744">
        <v>-314.61860000000001</v>
      </c>
      <c r="K5744">
        <v>1.0647799999999901</v>
      </c>
      <c r="L5744">
        <v>15.1709</v>
      </c>
      <c r="M5744">
        <v>0.95020979999999999</v>
      </c>
      <c r="N5744">
        <v>0</v>
      </c>
      <c r="O5744">
        <v>-0.31102619999999997</v>
      </c>
      <c r="P5744">
        <v>0.66430929999999999</v>
      </c>
      <c r="Q5744">
        <v>0.10552980000000001</v>
      </c>
      <c r="R5744">
        <v>-0.7399713</v>
      </c>
      <c r="S5744">
        <v>1.8706050000000001</v>
      </c>
      <c r="T5744">
        <v>-0.22354080000000001</v>
      </c>
      <c r="U5744">
        <v>-2.4119570000000001</v>
      </c>
      <c r="V5744">
        <v>0.4991179</v>
      </c>
      <c r="W5744">
        <v>0.1112057</v>
      </c>
      <c r="X5744">
        <v>0.85936869999999999</v>
      </c>
      <c r="Y5744">
        <v>0.55971630000000006</v>
      </c>
      <c r="Z5744">
        <v>1.477061E-3</v>
      </c>
      <c r="AA5744">
        <v>0.82868299999999995</v>
      </c>
      <c r="AB5744">
        <v>31</v>
      </c>
      <c r="AC5744">
        <v>9.0452999999999903</v>
      </c>
      <c r="AD5744">
        <v>-1.1147800000000001</v>
      </c>
      <c r="AE5744">
        <v>-11.944917</v>
      </c>
      <c r="AF5744">
        <v>8.4914011817247008</v>
      </c>
      <c r="AG5744">
        <v>-1.1147800000000001</v>
      </c>
      <c r="AH5744">
        <v>12.2445750386178</v>
      </c>
      <c r="AI5744">
        <v>94.278526617649703</v>
      </c>
      <c r="AJ5744">
        <v>55.259360448774103</v>
      </c>
      <c r="AK5744">
        <v>14.9424310724105</v>
      </c>
      <c r="AL5744">
        <v>83.615176285889007</v>
      </c>
      <c r="AM5744">
        <v>59.8521517243937</v>
      </c>
      <c r="AN5744">
        <v>0.99999997417629405</v>
      </c>
    </row>
    <row r="5745" spans="1:40" x14ac:dyDescent="0.25">
      <c r="A5745" t="str">
        <f>"20190312164140874"</f>
        <v>20190312164140874</v>
      </c>
      <c r="B5745" t="str">
        <f>"1552380100861769"</f>
        <v>1552380100861769</v>
      </c>
      <c r="C5745" t="s">
        <v>40</v>
      </c>
      <c r="D5745">
        <v>6.053445</v>
      </c>
      <c r="E5745">
        <v>0.53943229999999998</v>
      </c>
      <c r="F5745" t="s">
        <v>43</v>
      </c>
      <c r="G5745">
        <v>-305.52690000000001</v>
      </c>
      <c r="H5745">
        <v>-0.05</v>
      </c>
      <c r="I5745">
        <v>3.1621090000000001</v>
      </c>
      <c r="J5745">
        <v>-314.42099999999999</v>
      </c>
      <c r="K5745">
        <v>1.0635059999999901</v>
      </c>
      <c r="L5745">
        <v>15.099819999999999</v>
      </c>
      <c r="M5745">
        <v>0.9481868</v>
      </c>
      <c r="N5745">
        <v>0</v>
      </c>
      <c r="O5745">
        <v>-0.3171757</v>
      </c>
      <c r="P5745">
        <v>0.65775980000000001</v>
      </c>
      <c r="Q5745">
        <v>0.10537199999999999</v>
      </c>
      <c r="R5745">
        <v>-0.74582130000000002</v>
      </c>
      <c r="S5745">
        <v>1.841888</v>
      </c>
      <c r="T5745">
        <v>-0.2258435</v>
      </c>
      <c r="U5745">
        <v>-2.4328609999999999</v>
      </c>
      <c r="V5745">
        <v>0.50113050000000003</v>
      </c>
      <c r="W5745">
        <v>0.1105024</v>
      </c>
      <c r="X5745">
        <v>0.85828749999999998</v>
      </c>
      <c r="Y5745">
        <v>0.56397469999999905</v>
      </c>
      <c r="Z5745">
        <v>1.795573E-3</v>
      </c>
      <c r="AA5745">
        <v>0.82579009999999997</v>
      </c>
      <c r="AB5745">
        <v>31</v>
      </c>
      <c r="AC5745">
        <v>8.8940999999999804</v>
      </c>
      <c r="AD5745">
        <v>-1.1135060000000001</v>
      </c>
      <c r="AE5745">
        <v>-11.937711</v>
      </c>
      <c r="AF5745">
        <v>8.4523488968760798</v>
      </c>
      <c r="AG5745">
        <v>-1.1135060000000001</v>
      </c>
      <c r="AH5745">
        <v>12.1537081803106</v>
      </c>
      <c r="AI5745">
        <v>94.301526989825902</v>
      </c>
      <c r="AJ5745">
        <v>55.183150723332098</v>
      </c>
      <c r="AK5745">
        <v>14.845697020305501</v>
      </c>
      <c r="AL5745">
        <v>83.655722443107095</v>
      </c>
      <c r="AM5745">
        <v>59.720517734893697</v>
      </c>
      <c r="AN5745">
        <v>0.99999999554612995</v>
      </c>
    </row>
    <row r="5746" spans="1:40" x14ac:dyDescent="0.25">
      <c r="A5746" t="str">
        <f>"20190312164140887"</f>
        <v>20190312164140887</v>
      </c>
      <c r="B5746" t="str">
        <f>"1552380100882265"</f>
        <v>1552380100882265</v>
      </c>
      <c r="C5746" t="s">
        <v>40</v>
      </c>
      <c r="D5746">
        <v>5.9550179999999999</v>
      </c>
      <c r="E5746">
        <v>0.5386531</v>
      </c>
      <c r="F5746" t="s">
        <v>43</v>
      </c>
      <c r="G5746">
        <v>-305.44209999999998</v>
      </c>
      <c r="H5746">
        <v>-0.05</v>
      </c>
      <c r="I5746">
        <v>3.036835</v>
      </c>
      <c r="J5746">
        <v>-314.26920000000001</v>
      </c>
      <c r="K5746">
        <v>1.062586</v>
      </c>
      <c r="L5746">
        <v>15.0441</v>
      </c>
      <c r="M5746">
        <v>0.94660630000000001</v>
      </c>
      <c r="N5746">
        <v>0</v>
      </c>
      <c r="O5746">
        <v>-0.32188820000000001</v>
      </c>
      <c r="P5746">
        <v>0.65213169999999898</v>
      </c>
      <c r="Q5746">
        <v>0.1052314</v>
      </c>
      <c r="R5746">
        <v>-0.75076730000000003</v>
      </c>
      <c r="S5746">
        <v>1.8218380000000001</v>
      </c>
      <c r="T5746">
        <v>-0.2259322</v>
      </c>
      <c r="U5746">
        <v>-2.4476010000000001</v>
      </c>
      <c r="V5746">
        <v>0.50332440000000001</v>
      </c>
      <c r="W5746">
        <v>0.1099214</v>
      </c>
      <c r="X5746">
        <v>0.85707749999999905</v>
      </c>
      <c r="Y5746">
        <v>0.56660469999999996</v>
      </c>
      <c r="Z5746">
        <v>2.0587410000000002E-3</v>
      </c>
      <c r="AA5746">
        <v>0.82398719999999903</v>
      </c>
      <c r="AB5746">
        <v>31</v>
      </c>
      <c r="AC5746">
        <v>8.8271000000000299</v>
      </c>
      <c r="AD5746">
        <v>-1.1125860000000001</v>
      </c>
      <c r="AE5746">
        <v>-12.007265</v>
      </c>
      <c r="AF5746">
        <v>8.4789388260727296</v>
      </c>
      <c r="AG5746">
        <v>-1.1125860000000001</v>
      </c>
      <c r="AH5746">
        <v>12.155021732978</v>
      </c>
      <c r="AI5746">
        <v>94.293284046706006</v>
      </c>
      <c r="AJ5746">
        <v>55.1016544566222</v>
      </c>
      <c r="AK5746">
        <v>14.861857372241399</v>
      </c>
      <c r="AL5746">
        <v>83.689215376334005</v>
      </c>
      <c r="AM5746">
        <v>59.576133687302303</v>
      </c>
      <c r="AN5746">
        <v>1.00000000340978</v>
      </c>
    </row>
    <row r="5747" spans="1:40" x14ac:dyDescent="0.25">
      <c r="A5747" t="str">
        <f>"20190312164140903"</f>
        <v>20190312164140903</v>
      </c>
      <c r="B5747" t="str">
        <f>"1552380100892025"</f>
        <v>1552380100892025</v>
      </c>
      <c r="C5747" t="s">
        <v>40</v>
      </c>
      <c r="D5747">
        <v>6.4561760000000001</v>
      </c>
      <c r="E5747">
        <v>0.5379718</v>
      </c>
      <c r="F5747" t="s">
        <v>43</v>
      </c>
      <c r="G5747">
        <v>-305.32510000000002</v>
      </c>
      <c r="H5747">
        <v>-0.05</v>
      </c>
      <c r="I5747">
        <v>2.888992</v>
      </c>
      <c r="J5747">
        <v>-314.05180000000001</v>
      </c>
      <c r="K5747">
        <v>1.061342</v>
      </c>
      <c r="L5747">
        <v>14.963100000000001</v>
      </c>
      <c r="M5747">
        <v>0.94429830000000003</v>
      </c>
      <c r="N5747">
        <v>0</v>
      </c>
      <c r="O5747">
        <v>-0.3286309</v>
      </c>
      <c r="P5747">
        <v>0.64311549999999995</v>
      </c>
      <c r="Q5747">
        <v>0.1050398</v>
      </c>
      <c r="R5747">
        <v>-0.75853079999999995</v>
      </c>
      <c r="S5747">
        <v>1.8079529999999999</v>
      </c>
      <c r="T5747">
        <v>-0.2248983</v>
      </c>
      <c r="U5747">
        <v>-2.4570310000000002</v>
      </c>
      <c r="V5747">
        <v>0.50746119999999995</v>
      </c>
      <c r="W5747">
        <v>0.1090744</v>
      </c>
      <c r="X5747">
        <v>0.85474319999999904</v>
      </c>
      <c r="Y5747">
        <v>0.56528630000000002</v>
      </c>
      <c r="Z5747">
        <v>2.6600360000000002E-3</v>
      </c>
      <c r="AA5747">
        <v>0.82489049999999997</v>
      </c>
      <c r="AB5747">
        <v>31</v>
      </c>
      <c r="AC5747">
        <v>8.7266999999999904</v>
      </c>
      <c r="AD5747">
        <v>-1.1113420000000001</v>
      </c>
      <c r="AE5747">
        <v>-12.074108000000001</v>
      </c>
      <c r="AF5747">
        <v>8.4877532899851005</v>
      </c>
      <c r="AG5747">
        <v>-1.1113420000000001</v>
      </c>
      <c r="AH5747">
        <v>12.142805542320399</v>
      </c>
      <c r="AI5747">
        <v>94.289934729131602</v>
      </c>
      <c r="AJ5747">
        <v>55.046666272211603</v>
      </c>
      <c r="AK5747">
        <v>14.856808654324899</v>
      </c>
      <c r="AL5747">
        <v>83.738038554650799</v>
      </c>
      <c r="AM5747">
        <v>59.302387540812397</v>
      </c>
      <c r="AN5747">
        <v>1.0000000160935101</v>
      </c>
    </row>
    <row r="5748" spans="1:40" x14ac:dyDescent="0.25">
      <c r="A5748" t="str">
        <f>"20190312164140913"</f>
        <v>20190312164140913</v>
      </c>
      <c r="B5748" t="str">
        <f>"1552380100901785"</f>
        <v>1552380100901785</v>
      </c>
      <c r="C5748" t="s">
        <v>40</v>
      </c>
      <c r="D5748">
        <v>5.8639570000000001</v>
      </c>
      <c r="E5748">
        <v>0.5379718</v>
      </c>
      <c r="F5748" t="s">
        <v>43</v>
      </c>
      <c r="G5748">
        <v>-305.25599999999997</v>
      </c>
      <c r="H5748">
        <v>-0.05</v>
      </c>
      <c r="I5748">
        <v>2.7506560000000002</v>
      </c>
      <c r="J5748">
        <v>-313.90699999999998</v>
      </c>
      <c r="K5748">
        <v>1.0605690000000001</v>
      </c>
      <c r="L5748">
        <v>14.90814</v>
      </c>
      <c r="M5748">
        <v>0.94272659999999997</v>
      </c>
      <c r="N5748">
        <v>0</v>
      </c>
      <c r="O5748">
        <v>-0.33313480000000001</v>
      </c>
      <c r="P5748">
        <v>0.63772740000000006</v>
      </c>
      <c r="Q5748">
        <v>0.1054162</v>
      </c>
      <c r="R5748">
        <v>-0.76301459999999999</v>
      </c>
      <c r="S5748">
        <v>1.782532</v>
      </c>
      <c r="T5748">
        <v>-0.22521910000000001</v>
      </c>
      <c r="U5748">
        <v>-2.4749150000000002</v>
      </c>
      <c r="V5748">
        <v>0.50938779999999995</v>
      </c>
      <c r="W5748">
        <v>0.1090483</v>
      </c>
      <c r="X5748">
        <v>0.85359979999999902</v>
      </c>
      <c r="Y5748">
        <v>0.56974309999999995</v>
      </c>
      <c r="Z5748">
        <v>2.8259270000000002E-3</v>
      </c>
      <c r="AA5748">
        <v>0.8218181</v>
      </c>
      <c r="AB5748">
        <v>31</v>
      </c>
      <c r="AC5748">
        <v>8.6509999999999998</v>
      </c>
      <c r="AD5748">
        <v>-1.1105689999999999</v>
      </c>
      <c r="AE5748">
        <v>-12.157484</v>
      </c>
      <c r="AF5748">
        <v>8.5331984156608307</v>
      </c>
      <c r="AG5748">
        <v>-1.1105689999999999</v>
      </c>
      <c r="AH5748">
        <v>12.140113785693799</v>
      </c>
      <c r="AI5748">
        <v>94.280088647441005</v>
      </c>
      <c r="AJ5748">
        <v>54.896892993298302</v>
      </c>
      <c r="AK5748">
        <v>14.8805645536179</v>
      </c>
      <c r="AL5748">
        <v>83.739543101811904</v>
      </c>
      <c r="AM5748">
        <v>59.173254968612</v>
      </c>
      <c r="AN5748">
        <v>1.00000004054088</v>
      </c>
    </row>
    <row r="5749" spans="1:40" x14ac:dyDescent="0.25">
      <c r="A5749" t="str">
        <f>"20190312164140926"</f>
        <v>20190312164140926</v>
      </c>
      <c r="B5749" t="str">
        <f>"1552380100922281"</f>
        <v>1552380100922281</v>
      </c>
      <c r="C5749" t="s">
        <v>40</v>
      </c>
      <c r="D5749">
        <v>5.8530280000000001</v>
      </c>
      <c r="E5749">
        <v>0.53048819999999997</v>
      </c>
      <c r="F5749" t="s">
        <v>43</v>
      </c>
      <c r="G5749">
        <v>-305.15570000000002</v>
      </c>
      <c r="H5749">
        <v>-0.05</v>
      </c>
      <c r="I5749">
        <v>2.576279</v>
      </c>
      <c r="J5749">
        <v>-313.75650000000002</v>
      </c>
      <c r="K5749">
        <v>1.0598209999999999</v>
      </c>
      <c r="L5749">
        <v>14.84998</v>
      </c>
      <c r="M5749">
        <v>0.94105890000000003</v>
      </c>
      <c r="N5749">
        <v>0</v>
      </c>
      <c r="O5749">
        <v>-0.33783750000000001</v>
      </c>
      <c r="P5749">
        <v>0.63214459999999995</v>
      </c>
      <c r="Q5749">
        <v>0.10595250000000001</v>
      </c>
      <c r="R5749">
        <v>-0.76757240000000004</v>
      </c>
      <c r="S5749">
        <v>1.7651669999999999</v>
      </c>
      <c r="T5749">
        <v>-0.22400410000000001</v>
      </c>
      <c r="U5749">
        <v>-2.4873660000000002</v>
      </c>
      <c r="V5749">
        <v>0.51128850000000003</v>
      </c>
      <c r="W5749">
        <v>0.1091839</v>
      </c>
      <c r="X5749">
        <v>0.85244529999999996</v>
      </c>
      <c r="Y5749">
        <v>0.57141129999999996</v>
      </c>
      <c r="Z5749">
        <v>3.1169040000000002E-3</v>
      </c>
      <c r="AA5749">
        <v>0.82065789999999905</v>
      </c>
      <c r="AB5749">
        <v>31</v>
      </c>
      <c r="AC5749">
        <v>8.6007999999999907</v>
      </c>
      <c r="AD5749">
        <v>-1.1098209999999999</v>
      </c>
      <c r="AE5749">
        <v>-12.273701000000001</v>
      </c>
      <c r="AF5749">
        <v>8.5986361139066307</v>
      </c>
      <c r="AG5749">
        <v>-1.1098209999999999</v>
      </c>
      <c r="AH5749">
        <v>12.175289062213899</v>
      </c>
      <c r="AI5749">
        <v>94.258220212808695</v>
      </c>
      <c r="AJ5749">
        <v>54.768858148380197</v>
      </c>
      <c r="AK5749">
        <v>14.9467691967156</v>
      </c>
      <c r="AL5749">
        <v>83.731727007828496</v>
      </c>
      <c r="AM5749">
        <v>59.045074944205901</v>
      </c>
      <c r="AN5749">
        <v>1.00000002187177</v>
      </c>
    </row>
    <row r="5750" spans="1:40" x14ac:dyDescent="0.25">
      <c r="A5750" t="str">
        <f>"20190312164140939"</f>
        <v>20190312164140939</v>
      </c>
      <c r="B5750" t="str">
        <f>"1552380100932041"</f>
        <v>1552380100932041</v>
      </c>
      <c r="C5750" t="s">
        <v>40</v>
      </c>
      <c r="D5750">
        <v>5.5905610000000001</v>
      </c>
      <c r="E5750">
        <v>0.52957310000000002</v>
      </c>
      <c r="F5750" t="s">
        <v>43</v>
      </c>
      <c r="G5750">
        <v>-307.66890000000001</v>
      </c>
      <c r="H5750">
        <v>-0.05</v>
      </c>
      <c r="I5750">
        <v>6.5694889999999999</v>
      </c>
      <c r="J5750">
        <v>-313.57549999999998</v>
      </c>
      <c r="K5750">
        <v>1.058969</v>
      </c>
      <c r="L5750">
        <v>14.77924</v>
      </c>
      <c r="M5750">
        <v>0.93901179999999995</v>
      </c>
      <c r="N5750">
        <v>0</v>
      </c>
      <c r="O5750">
        <v>-0.34350950000000002</v>
      </c>
      <c r="P5750">
        <v>0.62567269999999997</v>
      </c>
      <c r="Q5750">
        <v>0.1068654</v>
      </c>
      <c r="R5750">
        <v>-0.77273119999999995</v>
      </c>
      <c r="S5750">
        <v>1.810608</v>
      </c>
      <c r="T5750">
        <v>-0.33008939999999998</v>
      </c>
      <c r="U5750">
        <v>-2.4628299999999999</v>
      </c>
      <c r="V5750">
        <v>0.51320200000000005</v>
      </c>
      <c r="W5750">
        <v>0.109638899999999</v>
      </c>
      <c r="X5750">
        <v>0.851236199999999</v>
      </c>
      <c r="Y5750">
        <v>0.55199719999999997</v>
      </c>
      <c r="Z5750">
        <v>6.5545789999999996E-3</v>
      </c>
      <c r="AA5750">
        <v>0.83382019999999901</v>
      </c>
      <c r="AB5750">
        <v>31</v>
      </c>
      <c r="AC5750">
        <v>5.9065999999999601</v>
      </c>
      <c r="AD5750">
        <v>-1.1089690000000001</v>
      </c>
      <c r="AE5750">
        <v>-8.20975099999999</v>
      </c>
      <c r="AF5750">
        <v>5.6133236701549798</v>
      </c>
      <c r="AG5750">
        <v>-1.1089690000000001</v>
      </c>
      <c r="AH5750">
        <v>8.2681657957817496</v>
      </c>
      <c r="AI5750">
        <v>96.332089680146396</v>
      </c>
      <c r="AJ5750">
        <v>55.827104478566298</v>
      </c>
      <c r="AK5750">
        <v>10.0549381149472</v>
      </c>
      <c r="AL5750">
        <v>83.705499993706098</v>
      </c>
      <c r="AM5750">
        <v>58.914634919557002</v>
      </c>
      <c r="AN5750">
        <v>1.0000000246938201</v>
      </c>
    </row>
    <row r="5751" spans="1:40" x14ac:dyDescent="0.25">
      <c r="A5751" t="str">
        <f>"20190312164140949"</f>
        <v>20190312164140949</v>
      </c>
      <c r="B5751" t="str">
        <f>"1552380100941802"</f>
        <v>1552380100941802</v>
      </c>
      <c r="C5751" t="s">
        <v>40</v>
      </c>
      <c r="D5751">
        <v>6.0110900000000003</v>
      </c>
      <c r="E5751">
        <v>0.52910140000000006</v>
      </c>
      <c r="F5751" t="s">
        <v>43</v>
      </c>
      <c r="G5751">
        <v>-307.01670000000001</v>
      </c>
      <c r="H5751">
        <v>-0.05</v>
      </c>
      <c r="I5751">
        <v>5.7263640000000002</v>
      </c>
      <c r="J5751">
        <v>-313.43290000000002</v>
      </c>
      <c r="K5751">
        <v>1.0583670000000001</v>
      </c>
      <c r="L5751">
        <v>14.722200000000001</v>
      </c>
      <c r="M5751">
        <v>0.93735460000000004</v>
      </c>
      <c r="N5751">
        <v>0</v>
      </c>
      <c r="O5751">
        <v>-0.348022</v>
      </c>
      <c r="P5751">
        <v>0.6198536</v>
      </c>
      <c r="Q5751">
        <v>0.10758330000000001</v>
      </c>
      <c r="R5751">
        <v>-0.77730779999999999</v>
      </c>
      <c r="S5751">
        <v>1.7919309999999999</v>
      </c>
      <c r="T5751">
        <v>-0.30298069999999999</v>
      </c>
      <c r="U5751">
        <v>-2.473328</v>
      </c>
      <c r="V5751">
        <v>0.51541700000000001</v>
      </c>
      <c r="W5751">
        <v>0.10999250000000001</v>
      </c>
      <c r="X5751">
        <v>0.84985109999999997</v>
      </c>
      <c r="Y5751">
        <v>0.55398369999999997</v>
      </c>
      <c r="Z5751">
        <v>6.3991619999999999E-3</v>
      </c>
      <c r="AA5751">
        <v>0.83250299999999999</v>
      </c>
      <c r="AB5751">
        <v>31</v>
      </c>
      <c r="AC5751">
        <v>6.4161999999999999</v>
      </c>
      <c r="AD5751">
        <v>-1.1083670000000001</v>
      </c>
      <c r="AE5751">
        <v>-8.9958360000000006</v>
      </c>
      <c r="AF5751">
        <v>6.13831264824484</v>
      </c>
      <c r="AG5751">
        <v>-1.1083670000000001</v>
      </c>
      <c r="AH5751">
        <v>9.0550230111060905</v>
      </c>
      <c r="AI5751">
        <v>95.785353032901796</v>
      </c>
      <c r="AJ5751">
        <v>55.8670338430532</v>
      </c>
      <c r="AK5751">
        <v>10.9954900439203</v>
      </c>
      <c r="AL5751">
        <v>83.685116538205804</v>
      </c>
      <c r="AM5751">
        <v>58.764060467766399</v>
      </c>
      <c r="AN5751">
        <v>0.99999996305822902</v>
      </c>
    </row>
    <row r="5752" spans="1:40" x14ac:dyDescent="0.25">
      <c r="A5752" t="str">
        <f>"20190312164140960"</f>
        <v>20190312164140960</v>
      </c>
      <c r="B5752" t="str">
        <f>"1552380100951561"</f>
        <v>1552380100951561</v>
      </c>
      <c r="C5752" t="s">
        <v>40</v>
      </c>
      <c r="D5752">
        <v>5.8991369999999996</v>
      </c>
      <c r="E5752">
        <v>0.52843319999999905</v>
      </c>
      <c r="F5752" t="s">
        <v>43</v>
      </c>
      <c r="G5752">
        <v>-306.54250000000002</v>
      </c>
      <c r="H5752">
        <v>-0.05</v>
      </c>
      <c r="I5752">
        <v>5.0765079999999996</v>
      </c>
      <c r="J5752">
        <v>-313.29730000000001</v>
      </c>
      <c r="K5752">
        <v>1.057812</v>
      </c>
      <c r="L5752">
        <v>14.667630000000001</v>
      </c>
      <c r="M5752">
        <v>0.93575330000000001</v>
      </c>
      <c r="N5752">
        <v>0</v>
      </c>
      <c r="O5752">
        <v>-0.3523194</v>
      </c>
      <c r="P5752">
        <v>0.61422469999999996</v>
      </c>
      <c r="Q5752">
        <v>0.1084837</v>
      </c>
      <c r="R5752">
        <v>-0.78163909999999903</v>
      </c>
      <c r="S5752">
        <v>1.7744139999999999</v>
      </c>
      <c r="T5752">
        <v>-0.28542830000000002</v>
      </c>
      <c r="U5752">
        <v>-2.483978</v>
      </c>
      <c r="V5752">
        <v>0.5175535</v>
      </c>
      <c r="W5752">
        <v>0.1105503</v>
      </c>
      <c r="X5752">
        <v>0.84847929999999905</v>
      </c>
      <c r="Y5752">
        <v>0.55585289999999998</v>
      </c>
      <c r="Z5752">
        <v>6.3721689999999996E-3</v>
      </c>
      <c r="AA5752">
        <v>0.8312562</v>
      </c>
      <c r="AB5752">
        <v>31</v>
      </c>
      <c r="AC5752">
        <v>6.7547999999999799</v>
      </c>
      <c r="AD5752">
        <v>-1.107812</v>
      </c>
      <c r="AE5752">
        <v>-9.5911220000000004</v>
      </c>
      <c r="AF5752">
        <v>6.5375570207221996</v>
      </c>
      <c r="AG5752">
        <v>-1.107812</v>
      </c>
      <c r="AH5752">
        <v>9.6153650340530703</v>
      </c>
      <c r="AI5752">
        <v>95.442514187251504</v>
      </c>
      <c r="AJ5752">
        <v>55.787929365137799</v>
      </c>
      <c r="AK5752">
        <v>11.679989039576499</v>
      </c>
      <c r="AL5752">
        <v>83.652961457101199</v>
      </c>
      <c r="AM5752">
        <v>58.617737783515501</v>
      </c>
      <c r="AN5752">
        <v>1.0000000583604101</v>
      </c>
    </row>
    <row r="5753" spans="1:40" x14ac:dyDescent="0.25">
      <c r="A5753" t="str">
        <f>"20190312164140972"</f>
        <v>20190312164140972</v>
      </c>
      <c r="B5753" t="str">
        <f>"1552380100962296"</f>
        <v>1552380100962296</v>
      </c>
      <c r="C5753" t="s">
        <v>40</v>
      </c>
      <c r="D5753">
        <v>5.9964250000000003</v>
      </c>
      <c r="E5753">
        <v>0.52785550000000003</v>
      </c>
      <c r="F5753" t="s">
        <v>43</v>
      </c>
      <c r="G5753">
        <v>-306.14699999999999</v>
      </c>
      <c r="H5753">
        <v>-0.05</v>
      </c>
      <c r="I5753">
        <v>4.5363769999999999</v>
      </c>
      <c r="J5753">
        <v>-313.1454</v>
      </c>
      <c r="K5753">
        <v>1.05724</v>
      </c>
      <c r="L5753">
        <v>14.605259999999999</v>
      </c>
      <c r="M5753">
        <v>0.93391630000000003</v>
      </c>
      <c r="N5753">
        <v>0</v>
      </c>
      <c r="O5753">
        <v>-0.35717500000000002</v>
      </c>
      <c r="P5753">
        <v>0.60830410000000001</v>
      </c>
      <c r="Q5753">
        <v>0.1092926</v>
      </c>
      <c r="R5753">
        <v>-0.78614329999999999</v>
      </c>
      <c r="S5753">
        <v>1.7596130000000001</v>
      </c>
      <c r="T5753">
        <v>-0.27262069999999999</v>
      </c>
      <c r="U5753">
        <v>-2.4931950000000001</v>
      </c>
      <c r="V5753">
        <v>0.5194647</v>
      </c>
      <c r="W5753">
        <v>0.1110057</v>
      </c>
      <c r="X5753">
        <v>0.84725099999999998</v>
      </c>
      <c r="Y5753">
        <v>0.55636609999999997</v>
      </c>
      <c r="Z5753">
        <v>6.5440029999999996E-3</v>
      </c>
      <c r="AA5753">
        <v>0.83091159999999997</v>
      </c>
      <c r="AB5753">
        <v>31</v>
      </c>
      <c r="AC5753">
        <v>6.9984000000000002</v>
      </c>
      <c r="AD5753">
        <v>-1.10724</v>
      </c>
      <c r="AE5753">
        <v>-10.068883</v>
      </c>
      <c r="AF5753">
        <v>6.8487795203161204</v>
      </c>
      <c r="AG5753">
        <v>-1.10724</v>
      </c>
      <c r="AH5753">
        <v>10.051464148548</v>
      </c>
      <c r="AI5753">
        <v>95.201511341220893</v>
      </c>
      <c r="AJ5753">
        <v>55.730604301444103</v>
      </c>
      <c r="AK5753">
        <v>12.213258896177001</v>
      </c>
      <c r="AL5753">
        <v>83.6267073079798</v>
      </c>
      <c r="AM5753">
        <v>58.486795613692699</v>
      </c>
      <c r="AN5753">
        <v>1.00000004848978</v>
      </c>
    </row>
    <row r="5754" spans="1:40" x14ac:dyDescent="0.25">
      <c r="A5754" t="str">
        <f>"20190312164140984"</f>
        <v>20190312164140984</v>
      </c>
      <c r="B5754" t="str">
        <f>"1552380100972058"</f>
        <v>1552380100972058</v>
      </c>
      <c r="C5754" t="s">
        <v>40</v>
      </c>
      <c r="D5754">
        <v>5.84971</v>
      </c>
      <c r="E5754">
        <v>0.52900459999999905</v>
      </c>
      <c r="F5754" t="s">
        <v>43</v>
      </c>
      <c r="G5754">
        <v>-305.81380000000001</v>
      </c>
      <c r="H5754">
        <v>-0.05</v>
      </c>
      <c r="I5754">
        <v>4.080902</v>
      </c>
      <c r="J5754">
        <v>-312.98770000000002</v>
      </c>
      <c r="K5754">
        <v>1.056675</v>
      </c>
      <c r="L5754">
        <v>14.53964</v>
      </c>
      <c r="M5754">
        <v>0.93196639999999997</v>
      </c>
      <c r="N5754">
        <v>0</v>
      </c>
      <c r="O5754">
        <v>-0.36224600000000001</v>
      </c>
      <c r="P5754">
        <v>0.60206419999999905</v>
      </c>
      <c r="Q5754">
        <v>0.1098018</v>
      </c>
      <c r="R5754">
        <v>-0.790861699999999</v>
      </c>
      <c r="S5754">
        <v>1.7438959999999999</v>
      </c>
      <c r="T5754">
        <v>-0.2633684</v>
      </c>
      <c r="U5754">
        <v>-2.5033259999999999</v>
      </c>
      <c r="V5754">
        <v>0.52150850000000004</v>
      </c>
      <c r="W5754">
        <v>0.11115360000000001</v>
      </c>
      <c r="X5754">
        <v>0.84597500000000003</v>
      </c>
      <c r="Y5754">
        <v>0.5570039</v>
      </c>
      <c r="Z5754">
        <v>6.7785099999999997E-3</v>
      </c>
      <c r="AA5754">
        <v>0.83048219999999995</v>
      </c>
      <c r="AB5754">
        <v>31</v>
      </c>
      <c r="AC5754">
        <v>7.1738999999999997</v>
      </c>
      <c r="AD5754">
        <v>-1.1066750000000001</v>
      </c>
      <c r="AE5754">
        <v>-10.458738</v>
      </c>
      <c r="AF5754">
        <v>7.0952258309142104</v>
      </c>
      <c r="AG5754">
        <v>-1.1066750000000001</v>
      </c>
      <c r="AH5754">
        <v>10.3964439782988</v>
      </c>
      <c r="AI5754">
        <v>95.024710086674006</v>
      </c>
      <c r="AJ5754">
        <v>55.687768845008399</v>
      </c>
      <c r="AK5754">
        <v>12.6353870752424</v>
      </c>
      <c r="AL5754">
        <v>83.618179988246595</v>
      </c>
      <c r="AM5754">
        <v>58.347889768815897</v>
      </c>
      <c r="AN5754">
        <v>0.99999996949510395</v>
      </c>
    </row>
    <row r="5755" spans="1:40" x14ac:dyDescent="0.25">
      <c r="A5755" t="str">
        <f>"20190312164141004"</f>
        <v>20190312164141004</v>
      </c>
      <c r="B5755" t="str">
        <f>"1552380100991578"</f>
        <v>1552380100991578</v>
      </c>
      <c r="C5755" t="s">
        <v>40</v>
      </c>
      <c r="D5755">
        <v>5.8760789999999998</v>
      </c>
      <c r="E5755">
        <v>0.53187050000000002</v>
      </c>
      <c r="F5755" t="s">
        <v>43</v>
      </c>
      <c r="G5755">
        <v>-305.49599999999998</v>
      </c>
      <c r="H5755">
        <v>-0.05</v>
      </c>
      <c r="I5755">
        <v>3.5265960000000001</v>
      </c>
      <c r="J5755">
        <v>-312.73230000000001</v>
      </c>
      <c r="K5755">
        <v>1.0558320000000001</v>
      </c>
      <c r="L5755">
        <v>14.431240000000001</v>
      </c>
      <c r="M5755">
        <v>0.92871110000000001</v>
      </c>
      <c r="N5755">
        <v>0</v>
      </c>
      <c r="O5755">
        <v>-0.37053249999999999</v>
      </c>
      <c r="P5755">
        <v>0.59121780000000002</v>
      </c>
      <c r="Q5755">
        <v>0.1103209</v>
      </c>
      <c r="R5755">
        <v>-0.79893130000000001</v>
      </c>
      <c r="S5755">
        <v>1.7158199999999999</v>
      </c>
      <c r="T5755">
        <v>-0.25346109999999999</v>
      </c>
      <c r="U5755">
        <v>-2.5223080000000002</v>
      </c>
      <c r="V5755">
        <v>0.52546300000000001</v>
      </c>
      <c r="W5755">
        <v>0.111083399999999</v>
      </c>
      <c r="X5755">
        <v>0.84353369999999905</v>
      </c>
      <c r="Y5755">
        <v>0.55890289999999998</v>
      </c>
      <c r="Z5755">
        <v>7.1980689999999996E-3</v>
      </c>
      <c r="AA5755">
        <v>0.82920190000000005</v>
      </c>
      <c r="AB5755">
        <v>31</v>
      </c>
      <c r="AC5755">
        <v>7.2363000000000204</v>
      </c>
      <c r="AD5755">
        <v>-1.1058319999999999</v>
      </c>
      <c r="AE5755">
        <v>-10.904643999999999</v>
      </c>
      <c r="AF5755">
        <v>7.39393842505996</v>
      </c>
      <c r="AG5755">
        <v>-1.1058319999999999</v>
      </c>
      <c r="AH5755">
        <v>10.685747045959999</v>
      </c>
      <c r="AI5755">
        <v>94.864173283195797</v>
      </c>
      <c r="AJ5755">
        <v>55.318935845105401</v>
      </c>
      <c r="AK5755">
        <v>13.041410191234901</v>
      </c>
      <c r="AL5755">
        <v>83.622227376561796</v>
      </c>
      <c r="AM5755">
        <v>58.079956144658198</v>
      </c>
      <c r="AN5755">
        <v>0.99999999458012401</v>
      </c>
    </row>
    <row r="5756" spans="1:40" x14ac:dyDescent="0.25">
      <c r="A5756" t="str">
        <f>"20190312164141017"</f>
        <v>20190312164141017</v>
      </c>
      <c r="B5756" t="str">
        <f>"1552380101012073"</f>
        <v>1552380101012073</v>
      </c>
      <c r="C5756" t="s">
        <v>40</v>
      </c>
      <c r="D5756">
        <v>6.4351159999999998</v>
      </c>
      <c r="E5756">
        <v>0.53516629999999998</v>
      </c>
      <c r="F5756" t="s">
        <v>43</v>
      </c>
      <c r="G5756">
        <v>-305.0849</v>
      </c>
      <c r="H5756">
        <v>-0.05</v>
      </c>
      <c r="I5756">
        <v>2.6489720000000001</v>
      </c>
      <c r="J5756">
        <v>-312.55149999999998</v>
      </c>
      <c r="K5756">
        <v>1.055275</v>
      </c>
      <c r="L5756">
        <v>14.353120000000001</v>
      </c>
      <c r="M5756">
        <v>0.92633350000000003</v>
      </c>
      <c r="N5756">
        <v>0</v>
      </c>
      <c r="O5756">
        <v>-0.3764496</v>
      </c>
      <c r="P5756">
        <v>0.58439790000000003</v>
      </c>
      <c r="Q5756">
        <v>0.11089980000000001</v>
      </c>
      <c r="R5756">
        <v>-0.80385390000000001</v>
      </c>
      <c r="S5756">
        <v>1.6609799999999999</v>
      </c>
      <c r="T5756">
        <v>-0.24018139999999999</v>
      </c>
      <c r="U5756">
        <v>-2.5590519999999999</v>
      </c>
      <c r="V5756">
        <v>0.52720480000000003</v>
      </c>
      <c r="W5756">
        <v>0.1112829</v>
      </c>
      <c r="X5756">
        <v>0.8424199</v>
      </c>
      <c r="Y5756">
        <v>0.57153169999999898</v>
      </c>
      <c r="Z5756">
        <v>6.7329629999999998E-3</v>
      </c>
      <c r="AA5756">
        <v>0.82055239999999996</v>
      </c>
      <c r="AB5756">
        <v>31</v>
      </c>
      <c r="AC5756">
        <v>7.4665999999999704</v>
      </c>
      <c r="AD5756">
        <v>-1.105275</v>
      </c>
      <c r="AE5756">
        <v>-11.704148</v>
      </c>
      <c r="AF5756">
        <v>7.9813283507412498</v>
      </c>
      <c r="AG5756">
        <v>-1.105275</v>
      </c>
      <c r="AH5756">
        <v>11.2523492060393</v>
      </c>
      <c r="AI5756">
        <v>94.580654815524895</v>
      </c>
      <c r="AJ5756">
        <v>54.651796573965399</v>
      </c>
      <c r="AK5756">
        <v>13.839747025239401</v>
      </c>
      <c r="AL5756">
        <v>83.610725825017795</v>
      </c>
      <c r="AM5756">
        <v>57.960766916188497</v>
      </c>
      <c r="AN5756">
        <v>1.00000003644572</v>
      </c>
    </row>
    <row r="5757" spans="1:40" x14ac:dyDescent="0.25">
      <c r="A5757" t="str">
        <f>"20190312164141031"</f>
        <v>20190312164141031</v>
      </c>
      <c r="B5757" t="str">
        <f>"1552380101021834"</f>
        <v>1552380101021834</v>
      </c>
      <c r="C5757" t="s">
        <v>40</v>
      </c>
      <c r="D5757">
        <v>5.7533690000000002</v>
      </c>
      <c r="E5757">
        <v>0.53619099999999997</v>
      </c>
      <c r="F5757" t="s">
        <v>43</v>
      </c>
      <c r="G5757">
        <v>-304.90370000000001</v>
      </c>
      <c r="H5757">
        <v>-0.05</v>
      </c>
      <c r="I5757">
        <v>2.1118320000000002</v>
      </c>
      <c r="J5757">
        <v>-312.36959999999999</v>
      </c>
      <c r="K5757">
        <v>1.0547610000000001</v>
      </c>
      <c r="L5757">
        <v>14.27252</v>
      </c>
      <c r="M5757">
        <v>0.9238632</v>
      </c>
      <c r="N5757">
        <v>0</v>
      </c>
      <c r="O5757">
        <v>-0.38248260000000001</v>
      </c>
      <c r="P5757">
        <v>0.57737550000000004</v>
      </c>
      <c r="Q5757">
        <v>0.11167340000000001</v>
      </c>
      <c r="R5757">
        <v>-0.80880560000000001</v>
      </c>
      <c r="S5757">
        <v>1.617218</v>
      </c>
      <c r="T5757">
        <v>-0.23372319999999999</v>
      </c>
      <c r="U5757">
        <v>-2.588562</v>
      </c>
      <c r="V5757">
        <v>0.52897569999999905</v>
      </c>
      <c r="W5757">
        <v>0.1116857</v>
      </c>
      <c r="X5757">
        <v>0.84125559999999999</v>
      </c>
      <c r="Y5757">
        <v>0.58035729999999996</v>
      </c>
      <c r="Z5757">
        <v>6.6504479999999998E-3</v>
      </c>
      <c r="AA5757">
        <v>0.81433480000000003</v>
      </c>
      <c r="AB5757">
        <v>31</v>
      </c>
      <c r="AC5757">
        <v>7.4658999999999702</v>
      </c>
      <c r="AD5757">
        <v>-1.1047610000000001</v>
      </c>
      <c r="AE5757">
        <v>-12.160688</v>
      </c>
      <c r="AF5757">
        <v>8.3300757204322604</v>
      </c>
      <c r="AG5757">
        <v>-1.1047610000000001</v>
      </c>
      <c r="AH5757">
        <v>11.4809674175797</v>
      </c>
      <c r="AI5757">
        <v>94.453465991099506</v>
      </c>
      <c r="AJ5757">
        <v>54.0370423957174</v>
      </c>
      <c r="AK5757">
        <v>14.2275532407643</v>
      </c>
      <c r="AL5757">
        <v>83.587501987816395</v>
      </c>
      <c r="AM5757">
        <v>57.838602702049997</v>
      </c>
      <c r="AN5757">
        <v>0.99999998565316905</v>
      </c>
    </row>
    <row r="5758" spans="1:40" x14ac:dyDescent="0.25">
      <c r="A5758" t="str">
        <f>"20190312164141050"</f>
        <v>20190312164141050</v>
      </c>
      <c r="B5758" t="str">
        <f>"1552380101042328"</f>
        <v>1552380101042328</v>
      </c>
      <c r="C5758" t="s">
        <v>40</v>
      </c>
      <c r="D5758">
        <v>6.505795</v>
      </c>
      <c r="E5758">
        <v>0.53791880000000003</v>
      </c>
      <c r="F5758" t="s">
        <v>43</v>
      </c>
      <c r="G5758">
        <v>-304.98910000000001</v>
      </c>
      <c r="H5758">
        <v>-0.05</v>
      </c>
      <c r="I5758">
        <v>2.159958</v>
      </c>
      <c r="J5758">
        <v>-312.137</v>
      </c>
      <c r="K5758">
        <v>1.0541499999999999</v>
      </c>
      <c r="L5758">
        <v>14.16766</v>
      </c>
      <c r="M5758">
        <v>0.92060280000000005</v>
      </c>
      <c r="N5758">
        <v>0</v>
      </c>
      <c r="O5758">
        <v>-0.3902774</v>
      </c>
      <c r="P5758">
        <v>0.56741269999999999</v>
      </c>
      <c r="Q5758">
        <v>0.11274240000000001</v>
      </c>
      <c r="R5758">
        <v>-0.81567880000000004</v>
      </c>
      <c r="S5758">
        <v>1.588959</v>
      </c>
      <c r="T5758">
        <v>-0.23784540000000001</v>
      </c>
      <c r="U5758">
        <v>-2.6077270000000001</v>
      </c>
      <c r="V5758">
        <v>0.53208849999999996</v>
      </c>
      <c r="W5758">
        <v>0.1122548</v>
      </c>
      <c r="X5758">
        <v>0.83921429999999997</v>
      </c>
      <c r="Y5758">
        <v>0.58256709999999901</v>
      </c>
      <c r="Z5758">
        <v>7.3441469999999997E-3</v>
      </c>
      <c r="AA5758">
        <v>0.81274939999999996</v>
      </c>
      <c r="AB5758">
        <v>31</v>
      </c>
      <c r="AC5758">
        <v>7.1478999999999902</v>
      </c>
      <c r="AD5758">
        <v>-1.10415</v>
      </c>
      <c r="AE5758">
        <v>-12.007702</v>
      </c>
      <c r="AF5758">
        <v>8.2140976264612</v>
      </c>
      <c r="AG5758">
        <v>-1.10415</v>
      </c>
      <c r="AH5758">
        <v>11.197782496832501</v>
      </c>
      <c r="AI5758">
        <v>94.545849616397007</v>
      </c>
      <c r="AJ5758">
        <v>53.738209194897998</v>
      </c>
      <c r="AK5758">
        <v>13.9312913933312</v>
      </c>
      <c r="AL5758">
        <v>83.554688555463301</v>
      </c>
      <c r="AM5758">
        <v>57.624005640679897</v>
      </c>
      <c r="AN5758">
        <v>0.99999997663988904</v>
      </c>
    </row>
    <row r="5759" spans="1:40" x14ac:dyDescent="0.25">
      <c r="A5759" t="str">
        <f>"20190312164141063"</f>
        <v>20190312164141063</v>
      </c>
      <c r="B5759" t="str">
        <f>"1552380101052089"</f>
        <v>1552380101052089</v>
      </c>
      <c r="C5759" t="s">
        <v>40</v>
      </c>
      <c r="D5759">
        <v>4.9906790000000001</v>
      </c>
      <c r="E5759">
        <v>0.53884519999999902</v>
      </c>
      <c r="F5759" t="s">
        <v>43</v>
      </c>
      <c r="G5759">
        <v>-304.48770000000002</v>
      </c>
      <c r="H5759">
        <v>-0.05</v>
      </c>
      <c r="I5759">
        <v>1.114609</v>
      </c>
      <c r="J5759">
        <v>-311.96409999999997</v>
      </c>
      <c r="K5759">
        <v>1.0537160000000001</v>
      </c>
      <c r="L5759">
        <v>14.08826</v>
      </c>
      <c r="M5759">
        <v>0.918099</v>
      </c>
      <c r="N5759">
        <v>0</v>
      </c>
      <c r="O5759">
        <v>-0.39613979999999999</v>
      </c>
      <c r="P5759">
        <v>0.56072630000000001</v>
      </c>
      <c r="Q5759">
        <v>0.1131341</v>
      </c>
      <c r="R5759">
        <v>-0.82023599999999997</v>
      </c>
      <c r="S5759">
        <v>1.543976</v>
      </c>
      <c r="T5759">
        <v>-0.2228677</v>
      </c>
      <c r="U5759">
        <v>-2.6347049999999999</v>
      </c>
      <c r="V5759">
        <v>0.53357330000000003</v>
      </c>
      <c r="W5759">
        <v>0.1123022</v>
      </c>
      <c r="X5759">
        <v>0.83826469999999897</v>
      </c>
      <c r="Y5759">
        <v>0.591369699999999</v>
      </c>
      <c r="Z5759">
        <v>6.966613E-3</v>
      </c>
      <c r="AA5759">
        <v>0.80637040000000004</v>
      </c>
      <c r="AB5759">
        <v>31</v>
      </c>
      <c r="AC5759">
        <v>7.4763999999999502</v>
      </c>
      <c r="AD5759">
        <v>-1.1037159999999999</v>
      </c>
      <c r="AE5759">
        <v>-12.973651</v>
      </c>
      <c r="AF5759">
        <v>8.9017808159586398</v>
      </c>
      <c r="AG5759">
        <v>-1.1037159999999999</v>
      </c>
      <c r="AH5759">
        <v>11.9395900528294</v>
      </c>
      <c r="AI5759">
        <v>94.238482296882793</v>
      </c>
      <c r="AJ5759">
        <v>53.292952719138697</v>
      </c>
      <c r="AK5759">
        <v>14.933643270603801</v>
      </c>
      <c r="AL5759">
        <v>83.5519554682798</v>
      </c>
      <c r="AM5759">
        <v>57.5223802493691</v>
      </c>
      <c r="AN5759">
        <v>0.99999997893190895</v>
      </c>
    </row>
    <row r="5760" spans="1:40" x14ac:dyDescent="0.25">
      <c r="A5760" t="str">
        <f>"20190312164141088"</f>
        <v>20190312164141088</v>
      </c>
      <c r="B5760" t="str">
        <f>"1552380101082346"</f>
        <v>1552380101082346</v>
      </c>
      <c r="C5760" t="s">
        <v>40</v>
      </c>
      <c r="D5760">
        <v>5.8816639999999998</v>
      </c>
      <c r="E5760">
        <v>0.53985000000000005</v>
      </c>
      <c r="F5760" t="s">
        <v>43</v>
      </c>
      <c r="G5760">
        <v>-304.21730000000002</v>
      </c>
      <c r="H5760">
        <v>-0.05</v>
      </c>
      <c r="I5760">
        <v>0.53126530000000005</v>
      </c>
      <c r="J5760">
        <v>-311.6447</v>
      </c>
      <c r="K5760">
        <v>1.052991</v>
      </c>
      <c r="L5760">
        <v>13.93756</v>
      </c>
      <c r="M5760">
        <v>0.91327230000000004</v>
      </c>
      <c r="N5760">
        <v>0</v>
      </c>
      <c r="O5760">
        <v>-0.40715669999999998</v>
      </c>
      <c r="P5760">
        <v>0.54877670000000001</v>
      </c>
      <c r="Q5760">
        <v>0.1140412</v>
      </c>
      <c r="R5760">
        <v>-0.82815419999999995</v>
      </c>
      <c r="S5760">
        <v>1.515137</v>
      </c>
      <c r="T5760">
        <v>-0.2158659</v>
      </c>
      <c r="U5760">
        <v>-2.6514890000000002</v>
      </c>
      <c r="V5760">
        <v>0.53558459999999997</v>
      </c>
      <c r="W5760">
        <v>0.11260729999999999</v>
      </c>
      <c r="X5760">
        <v>0.83694009999999996</v>
      </c>
      <c r="Y5760">
        <v>0.59053619999999996</v>
      </c>
      <c r="Z5760">
        <v>7.674195E-3</v>
      </c>
      <c r="AA5760">
        <v>0.80697469999999905</v>
      </c>
      <c r="AB5760">
        <v>31</v>
      </c>
      <c r="AC5760">
        <v>7.4273999999999702</v>
      </c>
      <c r="AD5760">
        <v>-1.1029910000000001</v>
      </c>
      <c r="AE5760">
        <v>-13.4062947</v>
      </c>
      <c r="AF5760">
        <v>9.1726982691587402</v>
      </c>
      <c r="AG5760">
        <v>-1.1029910000000001</v>
      </c>
      <c r="AH5760">
        <v>12.1795816847021</v>
      </c>
      <c r="AI5760">
        <v>94.137570299459199</v>
      </c>
      <c r="AJ5760">
        <v>53.015830222193998</v>
      </c>
      <c r="AK5760">
        <v>15.287157770411101</v>
      </c>
      <c r="AL5760">
        <v>83.534363066130993</v>
      </c>
      <c r="AM5760">
        <v>57.383528385010401</v>
      </c>
      <c r="AN5760">
        <v>0.99999999937922901</v>
      </c>
    </row>
    <row r="5761" spans="1:40" x14ac:dyDescent="0.25">
      <c r="A5761" t="str">
        <f>"20190312164141099"</f>
        <v>20190312164141099</v>
      </c>
      <c r="B5761" t="str">
        <f>"1552380101092105"</f>
        <v>1552380101092105</v>
      </c>
      <c r="C5761" t="s">
        <v>40</v>
      </c>
      <c r="D5761">
        <v>6.0159779999999996</v>
      </c>
      <c r="E5761">
        <v>0.54027950000000002</v>
      </c>
      <c r="F5761" t="s">
        <v>43</v>
      </c>
      <c r="G5761">
        <v>-303.7296</v>
      </c>
      <c r="H5761">
        <v>-0.05</v>
      </c>
      <c r="I5761">
        <v>-0.49293520000000002</v>
      </c>
      <c r="J5761">
        <v>-311.49220000000003</v>
      </c>
      <c r="K5761">
        <v>1.052665</v>
      </c>
      <c r="L5761">
        <v>13.864229999999999</v>
      </c>
      <c r="M5761">
        <v>0.91088349999999996</v>
      </c>
      <c r="N5761">
        <v>0</v>
      </c>
      <c r="O5761">
        <v>-0.41247869999999998</v>
      </c>
      <c r="P5761">
        <v>0.5431494</v>
      </c>
      <c r="Q5761">
        <v>0.1145713</v>
      </c>
      <c r="R5761">
        <v>-0.83178249999999998</v>
      </c>
      <c r="S5761">
        <v>1.468628</v>
      </c>
      <c r="T5761">
        <v>-0.20465559999999999</v>
      </c>
      <c r="U5761">
        <v>-2.677521</v>
      </c>
      <c r="V5761">
        <v>0.53634090000000001</v>
      </c>
      <c r="W5761">
        <v>0.1128618</v>
      </c>
      <c r="X5761">
        <v>0.83642139999999998</v>
      </c>
      <c r="Y5761">
        <v>0.5999063</v>
      </c>
      <c r="Z5761">
        <v>7.2908900000000004E-3</v>
      </c>
      <c r="AA5761">
        <v>0.800037</v>
      </c>
      <c r="AB5761">
        <v>31</v>
      </c>
      <c r="AC5761">
        <v>7.7626000000000097</v>
      </c>
      <c r="AD5761">
        <v>-1.102665</v>
      </c>
      <c r="AE5761">
        <v>-14.357165200000001</v>
      </c>
      <c r="AF5761">
        <v>9.8316763393055897</v>
      </c>
      <c r="AG5761">
        <v>-1.102665</v>
      </c>
      <c r="AH5761">
        <v>12.9348018766671</v>
      </c>
      <c r="AI5761">
        <v>93.882600233462298</v>
      </c>
      <c r="AJ5761">
        <v>52.7617212511215</v>
      </c>
      <c r="AK5761">
        <v>16.284558002344301</v>
      </c>
      <c r="AL5761">
        <v>83.519688083701894</v>
      </c>
      <c r="AM5761">
        <v>57.330672462507899</v>
      </c>
      <c r="AN5761">
        <v>1.0000000526449999</v>
      </c>
    </row>
    <row r="5762" spans="1:40" x14ac:dyDescent="0.25">
      <c r="A5762" t="str">
        <f>"20190312164141110"</f>
        <v>20190312164141110</v>
      </c>
      <c r="B5762" t="str">
        <f>"1552380101101865"</f>
        <v>1552380101101865</v>
      </c>
      <c r="C5762" t="s">
        <v>40</v>
      </c>
      <c r="D5762">
        <v>6.1731860000000003</v>
      </c>
      <c r="E5762">
        <v>0.54039190000000004</v>
      </c>
      <c r="F5762" t="s">
        <v>43</v>
      </c>
      <c r="G5762">
        <v>-303.5265</v>
      </c>
      <c r="H5762">
        <v>-0.05</v>
      </c>
      <c r="I5762">
        <v>-0.94406129999999999</v>
      </c>
      <c r="J5762">
        <v>-311.3467</v>
      </c>
      <c r="K5762">
        <v>1.052379</v>
      </c>
      <c r="L5762">
        <v>13.79266</v>
      </c>
      <c r="M5762">
        <v>0.90853130000000004</v>
      </c>
      <c r="N5762">
        <v>0</v>
      </c>
      <c r="O5762">
        <v>-0.41763830000000002</v>
      </c>
      <c r="P5762">
        <v>0.53772619999999904</v>
      </c>
      <c r="Q5762">
        <v>0.1148725</v>
      </c>
      <c r="R5762">
        <v>-0.83525759999999905</v>
      </c>
      <c r="S5762">
        <v>1.446777</v>
      </c>
      <c r="T5762">
        <v>-0.2002729</v>
      </c>
      <c r="U5762">
        <v>-2.689575</v>
      </c>
      <c r="V5762">
        <v>0.53702910000000004</v>
      </c>
      <c r="W5762">
        <v>0.1129082</v>
      </c>
      <c r="X5762">
        <v>0.83597339999999998</v>
      </c>
      <c r="Y5762">
        <v>0.60192679999999998</v>
      </c>
      <c r="Z5762">
        <v>7.4404049999999998E-3</v>
      </c>
      <c r="AA5762">
        <v>0.79851660000000002</v>
      </c>
      <c r="AB5762">
        <v>32</v>
      </c>
      <c r="AC5762">
        <v>7.8201999999999998</v>
      </c>
      <c r="AD5762">
        <v>-1.102379</v>
      </c>
      <c r="AE5762">
        <v>-14.736721299999999</v>
      </c>
      <c r="AF5762">
        <v>10.0795028997762</v>
      </c>
      <c r="AG5762">
        <v>-1.102379</v>
      </c>
      <c r="AH5762">
        <v>13.2028576828322</v>
      </c>
      <c r="AI5762">
        <v>93.796924903856507</v>
      </c>
      <c r="AJ5762">
        <v>52.640675794788898</v>
      </c>
      <c r="AK5762">
        <v>16.647133962318001</v>
      </c>
      <c r="AL5762">
        <v>83.517012249182699</v>
      </c>
      <c r="AM5762">
        <v>57.2833210947461</v>
      </c>
      <c r="AN5762">
        <v>1.0000000206908</v>
      </c>
    </row>
    <row r="5763" spans="1:40" x14ac:dyDescent="0.25">
      <c r="A5763" t="str">
        <f>"20190312164141121"</f>
        <v>20190312164141121</v>
      </c>
      <c r="B5763" t="str">
        <f>"1552380101111626"</f>
        <v>1552380101111626</v>
      </c>
      <c r="C5763" t="s">
        <v>40</v>
      </c>
      <c r="D5763">
        <v>5.9847590000000004</v>
      </c>
      <c r="E5763">
        <v>0.54081239999999997</v>
      </c>
      <c r="F5763" t="s">
        <v>41</v>
      </c>
      <c r="G5763">
        <v>-303.76569999999998</v>
      </c>
      <c r="H5763" s="1">
        <v>-4.8962639999999999E-6</v>
      </c>
      <c r="I5763">
        <v>-0.53907780000000005</v>
      </c>
      <c r="J5763">
        <v>-311.21550000000002</v>
      </c>
      <c r="K5763">
        <v>1.0521259999999999</v>
      </c>
      <c r="L5763">
        <v>13.72766</v>
      </c>
      <c r="M5763">
        <v>0.90637049999999997</v>
      </c>
      <c r="N5763">
        <v>0</v>
      </c>
      <c r="O5763">
        <v>-0.4223112</v>
      </c>
      <c r="P5763">
        <v>0.53284310000000001</v>
      </c>
      <c r="Q5763">
        <v>0.1155376</v>
      </c>
      <c r="R5763">
        <v>-0.83828989999999903</v>
      </c>
      <c r="S5763">
        <v>1.4280090000000001</v>
      </c>
      <c r="T5763">
        <v>-0.19823579999999999</v>
      </c>
      <c r="U5763">
        <v>-2.699646</v>
      </c>
      <c r="V5763">
        <v>0.53755410000000003</v>
      </c>
      <c r="W5763">
        <v>0.1133474</v>
      </c>
      <c r="X5763">
        <v>0.8355764</v>
      </c>
      <c r="Y5763">
        <v>0.60339609999999899</v>
      </c>
      <c r="Z5763">
        <v>7.6544250000000003E-3</v>
      </c>
      <c r="AA5763">
        <v>0.79740489999999997</v>
      </c>
      <c r="AB5763">
        <v>32</v>
      </c>
      <c r="AC5763">
        <v>7.4498000000000397</v>
      </c>
      <c r="AD5763">
        <v>-1.0521308962639999</v>
      </c>
      <c r="AE5763">
        <v>-14.2667378</v>
      </c>
      <c r="AF5763">
        <v>9.7438899574801905</v>
      </c>
      <c r="AG5763">
        <v>-1.0521308962639999</v>
      </c>
      <c r="AH5763">
        <v>12.7238393741551</v>
      </c>
      <c r="AI5763">
        <v>93.756113790548397</v>
      </c>
      <c r="AJ5763">
        <v>52.55518210879</v>
      </c>
      <c r="AK5763">
        <v>16.0607116699621</v>
      </c>
      <c r="AL5763">
        <v>83.491685102036101</v>
      </c>
      <c r="AM5763">
        <v>57.245474929496098</v>
      </c>
      <c r="AN5763">
        <v>0.99999998187526495</v>
      </c>
    </row>
    <row r="5764" spans="1:40" x14ac:dyDescent="0.25">
      <c r="A5764" t="str">
        <f>"20190312164141132"</f>
        <v>20190312164141132</v>
      </c>
      <c r="B5764" t="str">
        <f>"1552380101122362"</f>
        <v>1552380101122362</v>
      </c>
      <c r="C5764" t="s">
        <v>40</v>
      </c>
      <c r="D5764">
        <v>5.9231069999999999</v>
      </c>
      <c r="E5764">
        <v>0.54111030000000004</v>
      </c>
      <c r="F5764" t="s">
        <v>41</v>
      </c>
      <c r="G5764">
        <v>-303.58089999999999</v>
      </c>
      <c r="H5764" s="1">
        <v>-4.7050739999999998E-6</v>
      </c>
      <c r="I5764">
        <v>-0.95155909999999999</v>
      </c>
      <c r="J5764">
        <v>-311.0677</v>
      </c>
      <c r="K5764">
        <v>1.0518620000000001</v>
      </c>
      <c r="L5764">
        <v>13.65302</v>
      </c>
      <c r="M5764">
        <v>0.90386840000000002</v>
      </c>
      <c r="N5764">
        <v>0</v>
      </c>
      <c r="O5764">
        <v>-0.42764400000000002</v>
      </c>
      <c r="P5764">
        <v>0.5275031</v>
      </c>
      <c r="Q5764">
        <v>0.1160499</v>
      </c>
      <c r="R5764">
        <v>-0.84158929999999998</v>
      </c>
      <c r="S5764">
        <v>1.4093020000000001</v>
      </c>
      <c r="T5764">
        <v>-0.19421630000000001</v>
      </c>
      <c r="U5764">
        <v>-2.709686</v>
      </c>
      <c r="V5764">
        <v>0.53791339999999999</v>
      </c>
      <c r="W5764">
        <v>0.11361980000000001</v>
      </c>
      <c r="X5764">
        <v>0.83530819999999995</v>
      </c>
      <c r="Y5764">
        <v>0.60426309999999905</v>
      </c>
      <c r="Z5764">
        <v>7.8563539999999994E-3</v>
      </c>
      <c r="AA5764">
        <v>0.79674609999999901</v>
      </c>
      <c r="AB5764">
        <v>32</v>
      </c>
      <c r="AC5764">
        <v>7.4868000000000103</v>
      </c>
      <c r="AD5764">
        <v>-1.051866705074</v>
      </c>
      <c r="AE5764">
        <v>-14.6045791</v>
      </c>
      <c r="AF5764">
        <v>9.9587364062160795</v>
      </c>
      <c r="AG5764">
        <v>-1.051866705074</v>
      </c>
      <c r="AH5764">
        <v>12.9603313092679</v>
      </c>
      <c r="AI5764">
        <v>93.682222358116206</v>
      </c>
      <c r="AJ5764">
        <v>52.461274986558998</v>
      </c>
      <c r="AK5764">
        <v>16.378432221055998</v>
      </c>
      <c r="AL5764">
        <v>83.475976610797403</v>
      </c>
      <c r="AM5764">
        <v>57.219680802659497</v>
      </c>
      <c r="AN5764">
        <v>1.00000003691941</v>
      </c>
    </row>
    <row r="5765" spans="1:40" x14ac:dyDescent="0.25">
      <c r="A5765" t="str">
        <f>"20190312164141166"</f>
        <v>20190312164141166</v>
      </c>
      <c r="B5765" t="str">
        <f>"1552380101161401"</f>
        <v>1552380101161401</v>
      </c>
      <c r="C5765" t="s">
        <v>40</v>
      </c>
      <c r="D5765">
        <v>5.9589939999999997</v>
      </c>
      <c r="E5765">
        <v>0.54130029999999996</v>
      </c>
      <c r="F5765" t="s">
        <v>41</v>
      </c>
      <c r="G5765">
        <v>-303.47370000000001</v>
      </c>
      <c r="H5765" s="1">
        <v>-4.5868660000000004E-6</v>
      </c>
      <c r="I5765">
        <v>-1.2098770000000001</v>
      </c>
      <c r="J5765">
        <v>-310.64060000000001</v>
      </c>
      <c r="K5765">
        <v>1.0511469999999901</v>
      </c>
      <c r="L5765">
        <v>13.431150000000001</v>
      </c>
      <c r="M5765">
        <v>0.89627299999999999</v>
      </c>
      <c r="N5765">
        <v>0</v>
      </c>
      <c r="O5765">
        <v>-0.44335150000000001</v>
      </c>
      <c r="P5765">
        <v>0.5124628</v>
      </c>
      <c r="Q5765">
        <v>0.1180161</v>
      </c>
      <c r="R5765">
        <v>-0.85056100000000001</v>
      </c>
      <c r="S5765">
        <v>1.3898010000000001</v>
      </c>
      <c r="T5765">
        <v>-0.19250680000000001</v>
      </c>
      <c r="U5765">
        <v>-2.7201230000000001</v>
      </c>
      <c r="V5765">
        <v>0.53805559999999997</v>
      </c>
      <c r="W5765">
        <v>0.11493059999999999</v>
      </c>
      <c r="X5765">
        <v>0.83503719999999904</v>
      </c>
      <c r="Y5765">
        <v>0.59614369999999905</v>
      </c>
      <c r="Z5765">
        <v>9.2542230000000007E-3</v>
      </c>
      <c r="AA5765">
        <v>0.80282439999999999</v>
      </c>
      <c r="AB5765">
        <v>32</v>
      </c>
      <c r="AC5765">
        <v>7.1668999999999903</v>
      </c>
      <c r="AD5765">
        <v>-1.05115158686599</v>
      </c>
      <c r="AE5765">
        <v>-14.641026999999999</v>
      </c>
      <c r="AF5765">
        <v>9.9043846077374607</v>
      </c>
      <c r="AG5765">
        <v>-1.05115158686599</v>
      </c>
      <c r="AH5765">
        <v>12.8620045357963</v>
      </c>
      <c r="AI5765">
        <v>93.704833832316396</v>
      </c>
      <c r="AJ5765">
        <v>52.401935973486196</v>
      </c>
      <c r="AK5765">
        <v>16.267541756375</v>
      </c>
      <c r="AL5765">
        <v>83.400377809046304</v>
      </c>
      <c r="AM5765">
        <v>57.204322327233697</v>
      </c>
      <c r="AN5765">
        <v>0.99999999844577903</v>
      </c>
    </row>
    <row r="5766" spans="1:40" x14ac:dyDescent="0.25">
      <c r="A5766" t="str">
        <f>"20190312164141177"</f>
        <v>20190312164141177</v>
      </c>
      <c r="B5766" t="str">
        <f>"1552380101172137"</f>
        <v>1552380101172137</v>
      </c>
      <c r="C5766" t="s">
        <v>40</v>
      </c>
      <c r="D5766">
        <v>5.9006509999999999</v>
      </c>
      <c r="E5766">
        <v>0.54105630000000005</v>
      </c>
      <c r="F5766" t="s">
        <v>41</v>
      </c>
      <c r="G5766">
        <v>-302.99340000000001</v>
      </c>
      <c r="H5766" s="1">
        <v>-4.1023690000000001E-6</v>
      </c>
      <c r="I5766">
        <v>-2.2496849999999999</v>
      </c>
      <c r="J5766">
        <v>-310.4907</v>
      </c>
      <c r="K5766">
        <v>1.0509109999999999</v>
      </c>
      <c r="L5766">
        <v>13.35141</v>
      </c>
      <c r="M5766">
        <v>0.89348340000000004</v>
      </c>
      <c r="N5766">
        <v>0</v>
      </c>
      <c r="O5766">
        <v>-0.44895040000000003</v>
      </c>
      <c r="P5766">
        <v>0.50742969999999998</v>
      </c>
      <c r="Q5766">
        <v>0.1185631</v>
      </c>
      <c r="R5766">
        <v>-0.85349779999999997</v>
      </c>
      <c r="S5766">
        <v>1.339081</v>
      </c>
      <c r="T5766">
        <v>-0.1840657</v>
      </c>
      <c r="U5766">
        <v>-2.7458499999999999</v>
      </c>
      <c r="V5766">
        <v>0.53773490000000002</v>
      </c>
      <c r="W5766">
        <v>0.11526069999999999</v>
      </c>
      <c r="X5766">
        <v>0.83519829999999995</v>
      </c>
      <c r="Y5766">
        <v>0.60603899999999999</v>
      </c>
      <c r="Z5766">
        <v>8.8705940000000007E-3</v>
      </c>
      <c r="AA5766">
        <v>0.79538540000000002</v>
      </c>
      <c r="AB5766">
        <v>32</v>
      </c>
      <c r="AC5766">
        <v>7.4972999999999903</v>
      </c>
      <c r="AD5766">
        <v>-1.050915102369</v>
      </c>
      <c r="AE5766">
        <v>-15.601095000000001</v>
      </c>
      <c r="AF5766">
        <v>10.5352600422334</v>
      </c>
      <c r="AG5766">
        <v>-1.050915102369</v>
      </c>
      <c r="AH5766">
        <v>13.653398005580399</v>
      </c>
      <c r="AI5766">
        <v>93.487208898880894</v>
      </c>
      <c r="AJ5766">
        <v>52.345437965396997</v>
      </c>
      <c r="AK5766">
        <v>17.277482565716902</v>
      </c>
      <c r="AL5766">
        <v>83.381338124096501</v>
      </c>
      <c r="AM5766">
        <v>57.224905033795601</v>
      </c>
      <c r="AN5766">
        <v>1.00000002598269</v>
      </c>
    </row>
    <row r="5767" spans="1:40" x14ac:dyDescent="0.25">
      <c r="A5767" t="str">
        <f>"20190312164141189"</f>
        <v>20190312164141189</v>
      </c>
      <c r="B5767" t="str">
        <f>"1552380101181897"</f>
        <v>1552380101181897</v>
      </c>
      <c r="C5767" t="s">
        <v>40</v>
      </c>
      <c r="D5767">
        <v>5.9687510000000001</v>
      </c>
      <c r="E5767">
        <v>0.54104969999999997</v>
      </c>
      <c r="F5767" t="s">
        <v>41</v>
      </c>
      <c r="G5767">
        <v>-302.81630000000001</v>
      </c>
      <c r="H5767" s="1">
        <v>-3.9341400000000004E-6</v>
      </c>
      <c r="I5767">
        <v>-2.605934</v>
      </c>
      <c r="J5767">
        <v>-310.34089999999998</v>
      </c>
      <c r="K5767">
        <v>1.0506850000000001</v>
      </c>
      <c r="L5767">
        <v>13.269590000000001</v>
      </c>
      <c r="M5767">
        <v>0.89059059999999901</v>
      </c>
      <c r="N5767">
        <v>0</v>
      </c>
      <c r="O5767">
        <v>-0.45466420000000002</v>
      </c>
      <c r="P5767">
        <v>0.50190259999999998</v>
      </c>
      <c r="Q5767">
        <v>0.1190273</v>
      </c>
      <c r="R5767">
        <v>-0.85669499999999998</v>
      </c>
      <c r="S5767">
        <v>1.3240050000000001</v>
      </c>
      <c r="T5767">
        <v>-0.18130589999999999</v>
      </c>
      <c r="U5767">
        <v>-2.7529910000000002</v>
      </c>
      <c r="V5767">
        <v>0.53776539999999995</v>
      </c>
      <c r="W5767">
        <v>0.1154961</v>
      </c>
      <c r="X5767">
        <v>0.835146099999999</v>
      </c>
      <c r="Y5767">
        <v>0.60530490000000003</v>
      </c>
      <c r="Z5767">
        <v>9.1620199999999999E-3</v>
      </c>
      <c r="AA5767">
        <v>0.79594100000000001</v>
      </c>
      <c r="AB5767">
        <v>32</v>
      </c>
      <c r="AC5767">
        <v>7.5245999999999604</v>
      </c>
      <c r="AD5767">
        <v>-1.0506889341399901</v>
      </c>
      <c r="AE5767">
        <v>-15.875524</v>
      </c>
      <c r="AF5767">
        <v>10.6799181437135</v>
      </c>
      <c r="AG5767">
        <v>-1.0506889341399901</v>
      </c>
      <c r="AH5767">
        <v>13.8706564569618</v>
      </c>
      <c r="AI5767">
        <v>93.434726968512507</v>
      </c>
      <c r="AJ5767">
        <v>52.404992616778898</v>
      </c>
      <c r="AK5767">
        <v>17.537380344276102</v>
      </c>
      <c r="AL5767">
        <v>83.367759787994999</v>
      </c>
      <c r="AM5767">
        <v>57.221795837964301</v>
      </c>
      <c r="AN5767">
        <v>0.99999999144878904</v>
      </c>
    </row>
    <row r="5768" spans="1:40" x14ac:dyDescent="0.25">
      <c r="A5768" t="str">
        <f>"20190312164141201"</f>
        <v>20190312164141201</v>
      </c>
      <c r="B5768" t="str">
        <f>"1552380101191658"</f>
        <v>1552380101191658</v>
      </c>
      <c r="C5768" t="s">
        <v>40</v>
      </c>
      <c r="D5768">
        <v>5.9578860000000002</v>
      </c>
      <c r="E5768">
        <v>0.54085519999999998</v>
      </c>
      <c r="F5768" t="s">
        <v>41</v>
      </c>
      <c r="G5768">
        <v>-302.67309999999998</v>
      </c>
      <c r="H5768" s="1">
        <v>-3.777591E-6</v>
      </c>
      <c r="I5768">
        <v>-2.947476</v>
      </c>
      <c r="J5768">
        <v>-310.19150000000002</v>
      </c>
      <c r="K5768">
        <v>1.050457</v>
      </c>
      <c r="L5768">
        <v>13.187290000000001</v>
      </c>
      <c r="M5768">
        <v>0.88764639999999995</v>
      </c>
      <c r="N5768">
        <v>0</v>
      </c>
      <c r="O5768">
        <v>-0.46038820000000003</v>
      </c>
      <c r="P5768">
        <v>0.4966158</v>
      </c>
      <c r="Q5768">
        <v>0.119119</v>
      </c>
      <c r="R5768">
        <v>-0.85975780000000002</v>
      </c>
      <c r="S5768">
        <v>1.3057859999999999</v>
      </c>
      <c r="T5768">
        <v>-0.17892720000000001</v>
      </c>
      <c r="U5768">
        <v>-2.7616879999999999</v>
      </c>
      <c r="V5768">
        <v>0.537552699999999</v>
      </c>
      <c r="W5768">
        <v>0.11536730000000001</v>
      </c>
      <c r="X5768">
        <v>0.83530079999999995</v>
      </c>
      <c r="Y5768">
        <v>0.60545539999999998</v>
      </c>
      <c r="Z5768">
        <v>9.4295130000000005E-3</v>
      </c>
      <c r="AA5768">
        <v>0.79582339999999996</v>
      </c>
      <c r="AB5768">
        <v>32</v>
      </c>
      <c r="AC5768">
        <v>7.5184000000000397</v>
      </c>
      <c r="AD5768">
        <v>-1.050460777591</v>
      </c>
      <c r="AE5768">
        <v>-16.134765999999999</v>
      </c>
      <c r="AF5768">
        <v>10.823578145011</v>
      </c>
      <c r="AG5768">
        <v>-1.050460777591</v>
      </c>
      <c r="AH5768">
        <v>14.053885875534201</v>
      </c>
      <c r="AI5768">
        <v>93.389016911922496</v>
      </c>
      <c r="AJ5768">
        <v>52.3983902798389</v>
      </c>
      <c r="AK5768">
        <v>17.7697782740516</v>
      </c>
      <c r="AL5768">
        <v>83.375189022736706</v>
      </c>
      <c r="AM5768">
        <v>57.236941990172703</v>
      </c>
      <c r="AN5768">
        <v>0.99999997283360897</v>
      </c>
    </row>
    <row r="5769" spans="1:40" x14ac:dyDescent="0.25">
      <c r="A5769" t="str">
        <f>"20190312164141216"</f>
        <v>20190312164141216</v>
      </c>
      <c r="B5769" t="str">
        <f>"1552380101212154"</f>
        <v>1552380101212154</v>
      </c>
      <c r="C5769" t="s">
        <v>40</v>
      </c>
      <c r="D5769">
        <v>6.4191310000000001</v>
      </c>
      <c r="E5769">
        <v>0.54071610000000003</v>
      </c>
      <c r="F5769" t="s">
        <v>41</v>
      </c>
      <c r="G5769">
        <v>-302.577</v>
      </c>
      <c r="H5769" s="1">
        <v>-3.6630619999999999E-6</v>
      </c>
      <c r="I5769">
        <v>-3.1640980000000001</v>
      </c>
      <c r="J5769">
        <v>-310.00580000000002</v>
      </c>
      <c r="K5769">
        <v>1.0501830000000001</v>
      </c>
      <c r="L5769">
        <v>13.0831</v>
      </c>
      <c r="M5769">
        <v>0.88387299999999902</v>
      </c>
      <c r="N5769">
        <v>0</v>
      </c>
      <c r="O5769">
        <v>-0.46759450000000002</v>
      </c>
      <c r="P5769">
        <v>0.48994110000000002</v>
      </c>
      <c r="Q5769">
        <v>0.1193603</v>
      </c>
      <c r="R5769">
        <v>-0.86354540000000002</v>
      </c>
      <c r="S5769">
        <v>1.28952</v>
      </c>
      <c r="T5769">
        <v>-0.17789720000000001</v>
      </c>
      <c r="U5769">
        <v>-2.7691349999999999</v>
      </c>
      <c r="V5769">
        <v>0.53724059999999996</v>
      </c>
      <c r="W5769">
        <v>0.115337</v>
      </c>
      <c r="X5769">
        <v>0.83550579999999997</v>
      </c>
      <c r="Y5769">
        <v>0.60365459999999904</v>
      </c>
      <c r="Z5769">
        <v>9.9337939999999993E-3</v>
      </c>
      <c r="AA5769">
        <v>0.79718420000000001</v>
      </c>
      <c r="AB5769">
        <v>32</v>
      </c>
      <c r="AC5769">
        <v>7.4288000000000203</v>
      </c>
      <c r="AD5769">
        <v>-1.050186663062</v>
      </c>
      <c r="AE5769">
        <v>-16.247198000000001</v>
      </c>
      <c r="AF5769">
        <v>10.849974694356099</v>
      </c>
      <c r="AG5769">
        <v>-1.050186663062</v>
      </c>
      <c r="AH5769">
        <v>14.1153164490824</v>
      </c>
      <c r="AI5769">
        <v>93.375834353032005</v>
      </c>
      <c r="AJ5769">
        <v>52.451715373884099</v>
      </c>
      <c r="AK5769">
        <v>17.834433025840202</v>
      </c>
      <c r="AL5769">
        <v>83.376937024427605</v>
      </c>
      <c r="AM5769">
        <v>57.258479326601901</v>
      </c>
      <c r="AN5769">
        <v>1.0000000138454901</v>
      </c>
    </row>
    <row r="5770" spans="1:40" x14ac:dyDescent="0.25">
      <c r="A5770" t="str">
        <f>"20190312164141229"</f>
        <v>20190312164141229</v>
      </c>
      <c r="B5770" t="str">
        <f>"1552380101221913"</f>
        <v>1552380101221913</v>
      </c>
      <c r="C5770" t="s">
        <v>40</v>
      </c>
      <c r="D5770">
        <v>5.8929589999999896</v>
      </c>
      <c r="E5770">
        <v>0.54057809999999995</v>
      </c>
      <c r="F5770" t="s">
        <v>41</v>
      </c>
      <c r="G5770">
        <v>-302.45850000000002</v>
      </c>
      <c r="H5770" s="1">
        <v>-3.4952149999999998E-6</v>
      </c>
      <c r="I5770">
        <v>-3.4524469999999998</v>
      </c>
      <c r="J5770">
        <v>-309.8535</v>
      </c>
      <c r="K5770">
        <v>1.049976</v>
      </c>
      <c r="L5770">
        <v>12.995699999999999</v>
      </c>
      <c r="M5770">
        <v>0.88067260000000003</v>
      </c>
      <c r="N5770">
        <v>0</v>
      </c>
      <c r="O5770">
        <v>-0.47359699999999999</v>
      </c>
      <c r="P5770">
        <v>0.48435719999999999</v>
      </c>
      <c r="Q5770">
        <v>0.1195515</v>
      </c>
      <c r="R5770">
        <v>-0.86666359999999998</v>
      </c>
      <c r="S5770">
        <v>1.2683409999999999</v>
      </c>
      <c r="T5770">
        <v>-0.17648639999999999</v>
      </c>
      <c r="U5770">
        <v>-2.7788390000000001</v>
      </c>
      <c r="V5770">
        <v>0.53696119999999903</v>
      </c>
      <c r="W5770">
        <v>0.11531089999999999</v>
      </c>
      <c r="X5770">
        <v>0.83568899999999902</v>
      </c>
      <c r="Y5770">
        <v>0.604321</v>
      </c>
      <c r="Z5770">
        <v>1.024015E-2</v>
      </c>
      <c r="AA5770">
        <v>0.79667509999999997</v>
      </c>
      <c r="AB5770">
        <v>32</v>
      </c>
      <c r="AC5770">
        <v>7.39499999999998</v>
      </c>
      <c r="AD5770">
        <v>-1.0499794952149999</v>
      </c>
      <c r="AE5770">
        <v>-16.448146999999999</v>
      </c>
      <c r="AF5770">
        <v>10.9467434102509</v>
      </c>
      <c r="AG5770">
        <v>-1.0499794952149999</v>
      </c>
      <c r="AH5770">
        <v>14.2549156586665</v>
      </c>
      <c r="AI5770">
        <v>93.343383015140603</v>
      </c>
      <c r="AJ5770">
        <v>52.478346097986503</v>
      </c>
      <c r="AK5770">
        <v>18.003784842802901</v>
      </c>
      <c r="AL5770">
        <v>83.378442525370602</v>
      </c>
      <c r="AM5770">
        <v>57.277749955973697</v>
      </c>
      <c r="AN5770">
        <v>1.00000001934262</v>
      </c>
    </row>
    <row r="5771" spans="1:40" x14ac:dyDescent="0.25">
      <c r="A5771" t="str">
        <f>"20190312164141250"</f>
        <v>20190312164141250</v>
      </c>
      <c r="B5771" t="str">
        <f>"1552380101242409"</f>
        <v>1552380101242409</v>
      </c>
      <c r="C5771" t="s">
        <v>40</v>
      </c>
      <c r="D5771">
        <v>5.8892730000000002</v>
      </c>
      <c r="E5771">
        <v>0.5403</v>
      </c>
      <c r="F5771" t="s">
        <v>41</v>
      </c>
      <c r="G5771">
        <v>-302.36790000000002</v>
      </c>
      <c r="H5771" s="1">
        <v>-3.3634549999999999E-6</v>
      </c>
      <c r="I5771">
        <v>-3.6801870000000001</v>
      </c>
      <c r="J5771">
        <v>-309.58269999999999</v>
      </c>
      <c r="K5771">
        <v>1.0496179999999999</v>
      </c>
      <c r="L5771">
        <v>12.83722</v>
      </c>
      <c r="M5771">
        <v>0.87478180000000005</v>
      </c>
      <c r="N5771">
        <v>0</v>
      </c>
      <c r="O5771">
        <v>-0.48439500000000002</v>
      </c>
      <c r="P5771">
        <v>0.47436060000000002</v>
      </c>
      <c r="Q5771">
        <v>0.1202141</v>
      </c>
      <c r="R5771">
        <v>-0.87208419999999898</v>
      </c>
      <c r="S5771">
        <v>1.2509159999999999</v>
      </c>
      <c r="T5771">
        <v>-0.17546059999999999</v>
      </c>
      <c r="U5771">
        <v>-2.7866819999999999</v>
      </c>
      <c r="V5771">
        <v>0.53628089999999995</v>
      </c>
      <c r="W5771">
        <v>0.11559560000000001</v>
      </c>
      <c r="X5771">
        <v>0.83608640000000001</v>
      </c>
      <c r="Y5771">
        <v>0.59951589999999999</v>
      </c>
      <c r="Z5771">
        <v>1.1082069999999999E-2</v>
      </c>
      <c r="AA5771">
        <v>0.80028619999999995</v>
      </c>
      <c r="AB5771">
        <v>32</v>
      </c>
      <c r="AC5771">
        <v>7.2147999999999604</v>
      </c>
      <c r="AD5771">
        <v>-1.049621363455</v>
      </c>
      <c r="AE5771">
        <v>-16.517406999999999</v>
      </c>
      <c r="AF5771">
        <v>10.9179377238772</v>
      </c>
      <c r="AG5771">
        <v>-1.049621363455</v>
      </c>
      <c r="AH5771">
        <v>14.264797808296199</v>
      </c>
      <c r="AI5771">
        <v>93.344042824520201</v>
      </c>
      <c r="AJ5771">
        <v>52.5704141263762</v>
      </c>
      <c r="AK5771">
        <v>17.994096967079301</v>
      </c>
      <c r="AL5771">
        <v>83.362020522475405</v>
      </c>
      <c r="AM5771">
        <v>57.323155193252397</v>
      </c>
      <c r="AN5771">
        <v>1.0000000073545601</v>
      </c>
    </row>
    <row r="5772" spans="1:40" x14ac:dyDescent="0.25">
      <c r="A5772" t="str">
        <f>"20190312164141263"</f>
        <v>20190312164141263</v>
      </c>
      <c r="B5772" t="str">
        <f>"1552380101252170"</f>
        <v>1552380101252170</v>
      </c>
      <c r="C5772" t="s">
        <v>40</v>
      </c>
      <c r="D5772">
        <v>5.9477510000000002</v>
      </c>
      <c r="E5772">
        <v>0.54013690000000003</v>
      </c>
      <c r="F5772" t="s">
        <v>41</v>
      </c>
      <c r="G5772">
        <v>-302.15190000000001</v>
      </c>
      <c r="H5772" s="1">
        <v>-3.0476080000000001E-6</v>
      </c>
      <c r="I5772">
        <v>-4.22682</v>
      </c>
      <c r="J5772">
        <v>-309.41309999999999</v>
      </c>
      <c r="K5772">
        <v>1.0493969999999999</v>
      </c>
      <c r="L5772">
        <v>12.73569</v>
      </c>
      <c r="M5772">
        <v>0.87095140000000004</v>
      </c>
      <c r="N5772">
        <v>0</v>
      </c>
      <c r="O5772">
        <v>-0.49125059999999898</v>
      </c>
      <c r="P5772">
        <v>0.46761799999999998</v>
      </c>
      <c r="Q5772">
        <v>0.12032909999999999</v>
      </c>
      <c r="R5772">
        <v>-0.87570199999999998</v>
      </c>
      <c r="S5772">
        <v>1.219482</v>
      </c>
      <c r="T5772">
        <v>-0.172257299999999</v>
      </c>
      <c r="U5772">
        <v>-2.800446</v>
      </c>
      <c r="V5772">
        <v>0.53618909999999997</v>
      </c>
      <c r="W5772">
        <v>0.11546629999999999</v>
      </c>
      <c r="X5772">
        <v>0.8361632</v>
      </c>
      <c r="Y5772">
        <v>0.60222880000000001</v>
      </c>
      <c r="Z5772">
        <v>1.124608E-2</v>
      </c>
      <c r="AA5772">
        <v>0.79824439999999997</v>
      </c>
      <c r="AB5772">
        <v>32</v>
      </c>
      <c r="AC5772">
        <v>7.2611999999999703</v>
      </c>
      <c r="AD5772">
        <v>-1.0494000476080001</v>
      </c>
      <c r="AE5772">
        <v>-16.962510000000002</v>
      </c>
      <c r="AF5772">
        <v>11.1709717239165</v>
      </c>
      <c r="AG5772">
        <v>-1.0494000476080001</v>
      </c>
      <c r="AH5772">
        <v>14.6105893524136</v>
      </c>
      <c r="AI5772">
        <v>93.265636194785699</v>
      </c>
      <c r="AJ5772">
        <v>52.599176673690202</v>
      </c>
      <c r="AK5772">
        <v>18.421758084974499</v>
      </c>
      <c r="AL5772">
        <v>83.369479140367801</v>
      </c>
      <c r="AM5772">
        <v>57.3300040198217</v>
      </c>
      <c r="AN5772">
        <v>1.0000000572143599</v>
      </c>
    </row>
    <row r="5773" spans="1:40" x14ac:dyDescent="0.25">
      <c r="A5773" t="str">
        <f>"20190312164141284"</f>
        <v>20190312164141284</v>
      </c>
      <c r="B5773" t="str">
        <f>"1552380101271689"</f>
        <v>1552380101271689</v>
      </c>
      <c r="C5773" t="s">
        <v>40</v>
      </c>
      <c r="D5773">
        <v>5.9100239999999999</v>
      </c>
      <c r="E5773">
        <v>0.54039139999999997</v>
      </c>
      <c r="F5773" t="s">
        <v>41</v>
      </c>
      <c r="G5773">
        <v>-302.08260000000001</v>
      </c>
      <c r="H5773" s="1">
        <v>-2.9220370000000001E-6</v>
      </c>
      <c r="I5773">
        <v>-4.4533990000000001</v>
      </c>
      <c r="J5773">
        <v>-309.1671</v>
      </c>
      <c r="K5773">
        <v>1.0490969999999999</v>
      </c>
      <c r="L5773">
        <v>12.58502</v>
      </c>
      <c r="M5773">
        <v>0.86518729999999999</v>
      </c>
      <c r="N5773">
        <v>0</v>
      </c>
      <c r="O5773">
        <v>-0.50133539999999999</v>
      </c>
      <c r="P5773">
        <v>0.45765939999999999</v>
      </c>
      <c r="Q5773">
        <v>0.1211291</v>
      </c>
      <c r="R5773">
        <v>-0.88083820000000002</v>
      </c>
      <c r="S5773">
        <v>1.1981809999999999</v>
      </c>
      <c r="T5773">
        <v>-0.17152519999999999</v>
      </c>
      <c r="U5773">
        <v>-2.8095699999999999</v>
      </c>
      <c r="V5773">
        <v>0.53593250000000003</v>
      </c>
      <c r="W5773">
        <v>0.1159229</v>
      </c>
      <c r="X5773">
        <v>0.83626440000000002</v>
      </c>
      <c r="Y5773">
        <v>0.59902359999999999</v>
      </c>
      <c r="Z5773">
        <v>1.1980660000000001E-2</v>
      </c>
      <c r="AA5773">
        <v>0.80064179999999996</v>
      </c>
      <c r="AB5773">
        <v>32</v>
      </c>
      <c r="AC5773">
        <v>7.0844999999999896</v>
      </c>
      <c r="AD5773">
        <v>-1.0490999220370001</v>
      </c>
      <c r="AE5773">
        <v>-17.038419000000001</v>
      </c>
      <c r="AF5773">
        <v>11.154294910339701</v>
      </c>
      <c r="AG5773">
        <v>-1.0490999220370001</v>
      </c>
      <c r="AH5773">
        <v>14.6249435184305</v>
      </c>
      <c r="AI5773">
        <v>93.264476332611494</v>
      </c>
      <c r="AJ5773">
        <v>52.667604354500703</v>
      </c>
      <c r="AK5773">
        <v>18.4230257696865</v>
      </c>
      <c r="AL5773">
        <v>83.3431403403915</v>
      </c>
      <c r="AM5773">
        <v>57.345615337281103</v>
      </c>
      <c r="AN5773">
        <v>0.99999995500400896</v>
      </c>
    </row>
    <row r="5774" spans="1:40" x14ac:dyDescent="0.25">
      <c r="A5774" t="str">
        <f>"20190312164141304"</f>
        <v>20190312164141304</v>
      </c>
      <c r="B5774" t="str">
        <f>"1552380101301945"</f>
        <v>1552380101301945</v>
      </c>
      <c r="C5774" t="s">
        <v>40</v>
      </c>
      <c r="D5774">
        <v>6.2021980000000001</v>
      </c>
      <c r="E5774">
        <v>0.56390169999999995</v>
      </c>
      <c r="F5774" t="s">
        <v>41</v>
      </c>
      <c r="G5774">
        <v>-301.96609999999998</v>
      </c>
      <c r="H5774" s="1">
        <v>-2.6909470000000002E-6</v>
      </c>
      <c r="I5774">
        <v>-4.8766860000000003</v>
      </c>
      <c r="J5774">
        <v>-308.90199999999999</v>
      </c>
      <c r="K5774">
        <v>1.048791</v>
      </c>
      <c r="L5774">
        <v>12.41803</v>
      </c>
      <c r="M5774">
        <v>0.85869859999999898</v>
      </c>
      <c r="N5774">
        <v>0</v>
      </c>
      <c r="O5774">
        <v>-0.51237270000000001</v>
      </c>
      <c r="P5774">
        <v>0.447189</v>
      </c>
      <c r="Q5774">
        <v>0.12113889999999999</v>
      </c>
      <c r="R5774">
        <v>-0.8861985</v>
      </c>
      <c r="S5774">
        <v>1.164612</v>
      </c>
      <c r="T5774">
        <v>-0.16966989999999901</v>
      </c>
      <c r="U5774">
        <v>-2.8240660000000002</v>
      </c>
      <c r="V5774">
        <v>0.53518759999999999</v>
      </c>
      <c r="W5774">
        <v>0.1155885</v>
      </c>
      <c r="X5774">
        <v>0.83678759999999996</v>
      </c>
      <c r="Y5774">
        <v>0.59837099999999999</v>
      </c>
      <c r="Z5774">
        <v>1.260348E-2</v>
      </c>
      <c r="AA5774">
        <v>0.80111999999999906</v>
      </c>
      <c r="AB5774">
        <v>32</v>
      </c>
      <c r="AC5774">
        <v>6.9359000000000002</v>
      </c>
      <c r="AD5774">
        <v>-1.0487936909469999</v>
      </c>
      <c r="AE5774">
        <v>-17.294716000000001</v>
      </c>
      <c r="AF5774">
        <v>11.262131006851099</v>
      </c>
      <c r="AG5774">
        <v>-1.0487936909469999</v>
      </c>
      <c r="AH5774">
        <v>14.7712148845412</v>
      </c>
      <c r="AI5774">
        <v>93.231669335218399</v>
      </c>
      <c r="AJ5774">
        <v>52.676737005373397</v>
      </c>
      <c r="AK5774">
        <v>18.604417544952501</v>
      </c>
      <c r="AL5774">
        <v>83.362429872195605</v>
      </c>
      <c r="AM5774">
        <v>57.398075464715802</v>
      </c>
      <c r="AN5774">
        <v>0.99999997801988405</v>
      </c>
    </row>
    <row r="5775" spans="1:40" x14ac:dyDescent="0.25">
      <c r="A5775" t="str">
        <f>"20190312164141316"</f>
        <v>20190312164141316</v>
      </c>
      <c r="B5775" t="str">
        <f>"1552380101311706"</f>
        <v>1552380101311706</v>
      </c>
      <c r="C5775" t="s">
        <v>40</v>
      </c>
      <c r="D5775">
        <v>6.1711530000000003</v>
      </c>
      <c r="E5775">
        <v>0.56233440000000001</v>
      </c>
      <c r="F5775" t="s">
        <v>41</v>
      </c>
      <c r="G5775">
        <v>-304.14150000000001</v>
      </c>
      <c r="H5775" s="1">
        <v>-4.415495E-6</v>
      </c>
      <c r="I5775">
        <v>-1.9645999999999999</v>
      </c>
      <c r="J5775">
        <v>-308.75749999999999</v>
      </c>
      <c r="K5775">
        <v>1.0486230000000001</v>
      </c>
      <c r="L5775">
        <v>12.32526</v>
      </c>
      <c r="M5775">
        <v>0.85504599999999897</v>
      </c>
      <c r="N5775">
        <v>0</v>
      </c>
      <c r="O5775">
        <v>-0.51844659999999998</v>
      </c>
      <c r="P5775">
        <v>0.44159019999999999</v>
      </c>
      <c r="Q5775">
        <v>0.12105970000000001</v>
      </c>
      <c r="R5775">
        <v>-0.88901229999999998</v>
      </c>
      <c r="S5775">
        <v>0.96838380000000002</v>
      </c>
      <c r="T5775">
        <v>-0.21334639999999999</v>
      </c>
      <c r="U5775">
        <v>-2.9257200000000001</v>
      </c>
      <c r="V5775">
        <v>0.53457049999999995</v>
      </c>
      <c r="W5775">
        <v>0.1153327</v>
      </c>
      <c r="X5775">
        <v>0.83721730000000005</v>
      </c>
      <c r="Y5775">
        <v>0.64851639999999999</v>
      </c>
      <c r="Z5775">
        <v>1.407593E-2</v>
      </c>
      <c r="AA5775">
        <v>0.76107060000000004</v>
      </c>
      <c r="AB5775">
        <v>32</v>
      </c>
      <c r="AC5775">
        <v>4.6159999999999801</v>
      </c>
      <c r="AD5775">
        <v>-1.0486274154949999</v>
      </c>
      <c r="AE5775">
        <v>-14.289859999999999</v>
      </c>
      <c r="AF5775">
        <v>9.7781955009661807</v>
      </c>
      <c r="AG5775">
        <v>-1.0486274154949999</v>
      </c>
      <c r="AH5775">
        <v>11.3009375977111</v>
      </c>
      <c r="AI5775">
        <v>94.013881667314493</v>
      </c>
      <c r="AJ5775">
        <v>49.131830388586799</v>
      </c>
      <c r="AK5775">
        <v>14.9807849360106</v>
      </c>
      <c r="AL5775">
        <v>83.377185154182499</v>
      </c>
      <c r="AM5775">
        <v>57.441416053822302</v>
      </c>
      <c r="AN5775">
        <v>1.00000002928941</v>
      </c>
    </row>
    <row r="5776" spans="1:40" x14ac:dyDescent="0.25">
      <c r="A5776" t="str">
        <f>"20190312164141328"</f>
        <v>20190312164141328</v>
      </c>
      <c r="B5776" t="str">
        <f>"1552380101321465"</f>
        <v>1552380101321465</v>
      </c>
      <c r="C5776" t="s">
        <v>40</v>
      </c>
      <c r="D5776">
        <v>6.1856999999999998</v>
      </c>
      <c r="E5776">
        <v>0.56204430000000005</v>
      </c>
      <c r="F5776" t="s">
        <v>41</v>
      </c>
      <c r="G5776">
        <v>-303.91059999999999</v>
      </c>
      <c r="H5776" s="1">
        <v>-4.1844460000000001E-6</v>
      </c>
      <c r="I5776">
        <v>-2.4596269999999998</v>
      </c>
      <c r="J5776">
        <v>-308.61340000000001</v>
      </c>
      <c r="K5776">
        <v>1.048468</v>
      </c>
      <c r="L5776">
        <v>12.23062</v>
      </c>
      <c r="M5776">
        <v>0.85129279999999996</v>
      </c>
      <c r="N5776">
        <v>0</v>
      </c>
      <c r="O5776">
        <v>-0.52458769999999999</v>
      </c>
      <c r="P5776">
        <v>0.43615219999999999</v>
      </c>
      <c r="Q5776">
        <v>0.1208569</v>
      </c>
      <c r="R5776">
        <v>-0.89172019999999996</v>
      </c>
      <c r="S5776">
        <v>0.95932010000000001</v>
      </c>
      <c r="T5776">
        <v>-0.20755180000000001</v>
      </c>
      <c r="U5776">
        <v>-2.9263309999999998</v>
      </c>
      <c r="V5776">
        <v>0.53370379999999995</v>
      </c>
      <c r="W5776">
        <v>0.1149665</v>
      </c>
      <c r="X5776">
        <v>0.83782040000000002</v>
      </c>
      <c r="Y5776">
        <v>0.64523920000000001</v>
      </c>
      <c r="Z5776">
        <v>1.435052E-2</v>
      </c>
      <c r="AA5776">
        <v>0.76384589999999997</v>
      </c>
      <c r="AB5776">
        <v>32</v>
      </c>
      <c r="AC5776">
        <v>4.7028000000000203</v>
      </c>
      <c r="AD5776">
        <v>-1.0484721844460001</v>
      </c>
      <c r="AE5776">
        <v>-14.690246999999999</v>
      </c>
      <c r="AF5776">
        <v>9.9930419097042797</v>
      </c>
      <c r="AG5776">
        <v>-1.0484721844460001</v>
      </c>
      <c r="AH5776">
        <v>11.656558439086901</v>
      </c>
      <c r="AI5776">
        <v>93.906543422625603</v>
      </c>
      <c r="AJ5776">
        <v>49.393871387445898</v>
      </c>
      <c r="AK5776">
        <v>15.389461822120699</v>
      </c>
      <c r="AL5776">
        <v>83.398307390711693</v>
      </c>
      <c r="AM5776">
        <v>57.502269826424801</v>
      </c>
      <c r="AN5776">
        <v>1.00000003245642</v>
      </c>
    </row>
    <row r="5777" spans="1:40" x14ac:dyDescent="0.25">
      <c r="A5777" t="str">
        <f>"20190312164141340"</f>
        <v>20190312164141340</v>
      </c>
      <c r="B5777" t="str">
        <f>"1552380101332201"</f>
        <v>1552380101332201</v>
      </c>
      <c r="C5777" t="s">
        <v>40</v>
      </c>
      <c r="D5777">
        <v>6.2903440000000002</v>
      </c>
      <c r="E5777">
        <v>0.56162060000000003</v>
      </c>
      <c r="F5777" t="s">
        <v>41</v>
      </c>
      <c r="G5777">
        <v>-303.8603</v>
      </c>
      <c r="H5777" s="1">
        <v>-4.1404430000000003E-6</v>
      </c>
      <c r="I5777">
        <v>-2.5509409999999999</v>
      </c>
      <c r="J5777">
        <v>-308.46839999999997</v>
      </c>
      <c r="K5777">
        <v>1.0483129999999901</v>
      </c>
      <c r="L5777">
        <v>12.13449</v>
      </c>
      <c r="M5777">
        <v>0.84744359999999996</v>
      </c>
      <c r="N5777">
        <v>0</v>
      </c>
      <c r="O5777">
        <v>-0.5307847</v>
      </c>
      <c r="P5777">
        <v>0.4303959</v>
      </c>
      <c r="Q5777">
        <v>0.1208982</v>
      </c>
      <c r="R5777">
        <v>-0.89450719999999995</v>
      </c>
      <c r="S5777">
        <v>0.94262699999999999</v>
      </c>
      <c r="T5777">
        <v>-0.20792910000000001</v>
      </c>
      <c r="U5777">
        <v>-2.9314269999999998</v>
      </c>
      <c r="V5777">
        <v>0.53301639999999995</v>
      </c>
      <c r="W5777">
        <v>0.1148358</v>
      </c>
      <c r="X5777">
        <v>0.83827569999999996</v>
      </c>
      <c r="Y5777">
        <v>0.64400369999999996</v>
      </c>
      <c r="Z5777">
        <v>1.494297E-2</v>
      </c>
      <c r="AA5777">
        <v>0.76487640000000001</v>
      </c>
      <c r="AB5777">
        <v>32</v>
      </c>
      <c r="AC5777">
        <v>4.6080999999999701</v>
      </c>
      <c r="AD5777">
        <v>-1.0483171404429901</v>
      </c>
      <c r="AE5777">
        <v>-14.685430999999999</v>
      </c>
      <c r="AF5777">
        <v>9.9535256098593106</v>
      </c>
      <c r="AG5777">
        <v>-1.0483171404429901</v>
      </c>
      <c r="AH5777">
        <v>11.646504193264301</v>
      </c>
      <c r="AI5777">
        <v>93.914439885924693</v>
      </c>
      <c r="AJ5777">
        <v>49.481596851435398</v>
      </c>
      <c r="AK5777">
        <v>15.356194216562701</v>
      </c>
      <c r="AL5777">
        <v>83.405845306919502</v>
      </c>
      <c r="AM5777">
        <v>57.549817838367503</v>
      </c>
      <c r="AN5777">
        <v>0.99999994642054302</v>
      </c>
    </row>
    <row r="5778" spans="1:40" x14ac:dyDescent="0.25">
      <c r="A5778" t="str">
        <f>"20190312164141351"</f>
        <v>20190312164141351</v>
      </c>
      <c r="B5778" t="str">
        <f>"1552380101341962"</f>
        <v>1552380101341962</v>
      </c>
      <c r="C5778" t="s">
        <v>40</v>
      </c>
      <c r="D5778">
        <v>6.1805099999999999</v>
      </c>
      <c r="E5778">
        <v>0.56084840000000002</v>
      </c>
      <c r="F5778" t="s">
        <v>41</v>
      </c>
      <c r="G5778">
        <v>-303.80259999999998</v>
      </c>
      <c r="H5778" s="1">
        <v>-4.0863259999999996E-6</v>
      </c>
      <c r="I5778">
        <v>-2.665203</v>
      </c>
      <c r="J5778">
        <v>-308.32810000000001</v>
      </c>
      <c r="K5778">
        <v>1.048163</v>
      </c>
      <c r="L5778">
        <v>12.039429999999999</v>
      </c>
      <c r="M5778">
        <v>0.84360369999999996</v>
      </c>
      <c r="N5778">
        <v>0</v>
      </c>
      <c r="O5778">
        <v>-0.5368676</v>
      </c>
      <c r="P5778">
        <v>0.42431390000000002</v>
      </c>
      <c r="Q5778">
        <v>0.1212049</v>
      </c>
      <c r="R5778">
        <v>-0.89736689999999997</v>
      </c>
      <c r="S5778">
        <v>0.92578130000000003</v>
      </c>
      <c r="T5778">
        <v>-0.2080005</v>
      </c>
      <c r="U5778">
        <v>-2.9364620000000001</v>
      </c>
      <c r="V5778">
        <v>0.53267980000000004</v>
      </c>
      <c r="W5778">
        <v>0.1149618</v>
      </c>
      <c r="X5778">
        <v>0.83847240000000001</v>
      </c>
      <c r="Y5778">
        <v>0.64287729999999998</v>
      </c>
      <c r="Z5778">
        <v>1.550174E-2</v>
      </c>
      <c r="AA5778">
        <v>0.7658123</v>
      </c>
      <c r="AB5778">
        <v>32</v>
      </c>
      <c r="AC5778">
        <v>4.5255000000000196</v>
      </c>
      <c r="AD5778">
        <v>-1.048167086326</v>
      </c>
      <c r="AE5778">
        <v>-14.704632999999999</v>
      </c>
      <c r="AF5778">
        <v>9.9297290376458598</v>
      </c>
      <c r="AG5778">
        <v>-1.048167086326</v>
      </c>
      <c r="AH5778">
        <v>11.658677390687201</v>
      </c>
      <c r="AI5778">
        <v>93.915456954503398</v>
      </c>
      <c r="AJ5778">
        <v>49.578868055054997</v>
      </c>
      <c r="AK5778">
        <v>15.3500140554348</v>
      </c>
      <c r="AL5778">
        <v>83.398578098450102</v>
      </c>
      <c r="AM5778">
        <v>57.572288412159303</v>
      </c>
      <c r="AN5778">
        <v>0.999999975174519</v>
      </c>
    </row>
    <row r="5779" spans="1:40" x14ac:dyDescent="0.25">
      <c r="A5779" t="str">
        <f>"20190312164141365"</f>
        <v>20190312164141365</v>
      </c>
      <c r="B5779" t="str">
        <f>"1552380101351722"</f>
        <v>1552380101351722</v>
      </c>
      <c r="C5779" t="s">
        <v>40</v>
      </c>
      <c r="D5779">
        <v>6.0950059999999997</v>
      </c>
      <c r="E5779">
        <v>0.55989940000000005</v>
      </c>
      <c r="F5779" t="s">
        <v>41</v>
      </c>
      <c r="G5779">
        <v>-303.69069999999999</v>
      </c>
      <c r="H5779" s="1">
        <v>-3.9695550000000003E-6</v>
      </c>
      <c r="I5779">
        <v>-2.917605</v>
      </c>
      <c r="J5779">
        <v>-308.17520000000002</v>
      </c>
      <c r="K5779">
        <v>1.047998</v>
      </c>
      <c r="L5779">
        <v>11.93436</v>
      </c>
      <c r="M5779">
        <v>0.83931939999999905</v>
      </c>
      <c r="N5779">
        <v>0</v>
      </c>
      <c r="O5779">
        <v>-0.54354230000000003</v>
      </c>
      <c r="P5779">
        <v>0.41753380000000001</v>
      </c>
      <c r="Q5779">
        <v>0.1213389</v>
      </c>
      <c r="R5779">
        <v>-0.90052330000000003</v>
      </c>
      <c r="S5779">
        <v>0.91152949999999999</v>
      </c>
      <c r="T5779">
        <v>-0.20602680000000001</v>
      </c>
      <c r="U5779">
        <v>-2.9399410000000001</v>
      </c>
      <c r="V5779">
        <v>0.53237429999999997</v>
      </c>
      <c r="W5779">
        <v>0.1148965</v>
      </c>
      <c r="X5779">
        <v>0.83867539999999996</v>
      </c>
      <c r="Y5779">
        <v>0.64046009999999998</v>
      </c>
      <c r="Z5779">
        <v>1.6009949999999998E-2</v>
      </c>
      <c r="AA5779">
        <v>0.76782459999999997</v>
      </c>
      <c r="AB5779">
        <v>32</v>
      </c>
      <c r="AC5779">
        <v>4.4845000000000201</v>
      </c>
      <c r="AD5779">
        <v>-1.048001969555</v>
      </c>
      <c r="AE5779">
        <v>-14.851965</v>
      </c>
      <c r="AF5779">
        <v>9.9829982193018996</v>
      </c>
      <c r="AG5779">
        <v>-1.048001969555</v>
      </c>
      <c r="AH5779">
        <v>11.783449373298099</v>
      </c>
      <c r="AI5779">
        <v>93.8820953593128</v>
      </c>
      <c r="AJ5779">
        <v>49.728559450520201</v>
      </c>
      <c r="AK5779">
        <v>15.4792842440422</v>
      </c>
      <c r="AL5779">
        <v>83.402344725985202</v>
      </c>
      <c r="AM5779">
        <v>57.593439922879597</v>
      </c>
      <c r="AN5779">
        <v>1.00000001378895</v>
      </c>
    </row>
    <row r="5780" spans="1:40" x14ac:dyDescent="0.25">
      <c r="A5780" t="str">
        <f>"20190312164141376"</f>
        <v>20190312164141376</v>
      </c>
      <c r="B5780" t="str">
        <f>"1552380101372217"</f>
        <v>1552380101372217</v>
      </c>
      <c r="C5780" t="s">
        <v>40</v>
      </c>
      <c r="D5780">
        <v>6.1868379999999998</v>
      </c>
      <c r="E5780">
        <v>0.55969669999999905</v>
      </c>
      <c r="F5780" t="s">
        <v>41</v>
      </c>
      <c r="G5780">
        <v>-303.56619999999998</v>
      </c>
      <c r="H5780" s="1">
        <v>-3.8372810000000002E-6</v>
      </c>
      <c r="I5780">
        <v>-3.2045720000000002</v>
      </c>
      <c r="J5780">
        <v>-308.02980000000002</v>
      </c>
      <c r="K5780">
        <v>1.0478419999999999</v>
      </c>
      <c r="L5780">
        <v>11.833159999999999</v>
      </c>
      <c r="M5780">
        <v>0.83515399999999995</v>
      </c>
      <c r="N5780">
        <v>0</v>
      </c>
      <c r="O5780">
        <v>-0.54992200000000002</v>
      </c>
      <c r="P5780">
        <v>0.41090090000000001</v>
      </c>
      <c r="Q5780">
        <v>0.1215145</v>
      </c>
      <c r="R5780">
        <v>-0.90354540000000005</v>
      </c>
      <c r="S5780">
        <v>0.89608759999999998</v>
      </c>
      <c r="T5780">
        <v>-0.20375589999999999</v>
      </c>
      <c r="U5780">
        <v>-2.9433590000000001</v>
      </c>
      <c r="V5780">
        <v>0.53216730000000001</v>
      </c>
      <c r="W5780">
        <v>0.11487890000000001</v>
      </c>
      <c r="X5780">
        <v>0.83880909999999997</v>
      </c>
      <c r="Y5780">
        <v>0.63855779999999995</v>
      </c>
      <c r="Z5780">
        <v>1.6439249999999999E-2</v>
      </c>
      <c r="AA5780">
        <v>0.76939829999999998</v>
      </c>
      <c r="AB5780">
        <v>32</v>
      </c>
      <c r="AC5780">
        <v>4.4636000000000404</v>
      </c>
      <c r="AD5780">
        <v>-1.047845837281</v>
      </c>
      <c r="AE5780">
        <v>-15.037732</v>
      </c>
      <c r="AF5780">
        <v>10.0598236180613</v>
      </c>
      <c r="AG5780">
        <v>-1.047845837281</v>
      </c>
      <c r="AH5780">
        <v>11.9446936853382</v>
      </c>
      <c r="AI5780">
        <v>93.8387092049975</v>
      </c>
      <c r="AJ5780">
        <v>49.895909439928197</v>
      </c>
      <c r="AK5780">
        <v>15.6516369547012</v>
      </c>
      <c r="AL5780">
        <v>83.403359440970107</v>
      </c>
      <c r="AM5780">
        <v>57.607652624084302</v>
      </c>
      <c r="AN5780">
        <v>0.99999995154865395</v>
      </c>
    </row>
    <row r="5781" spans="1:40" x14ac:dyDescent="0.25">
      <c r="A5781" t="str">
        <f>"20190312164141388"</f>
        <v>20190312164141388</v>
      </c>
      <c r="B5781" t="str">
        <f>"1552380101381977"</f>
        <v>1552380101381977</v>
      </c>
      <c r="C5781" t="s">
        <v>40</v>
      </c>
      <c r="D5781">
        <v>6.2598120000000002</v>
      </c>
      <c r="E5781">
        <v>0.56373050000000002</v>
      </c>
      <c r="F5781" t="s">
        <v>41</v>
      </c>
      <c r="G5781">
        <v>-303.54059999999998</v>
      </c>
      <c r="H5781" s="1">
        <v>-3.8059209999999998E-6</v>
      </c>
      <c r="I5781">
        <v>-3.2744300000000002</v>
      </c>
      <c r="J5781">
        <v>-307.89069999999998</v>
      </c>
      <c r="K5781">
        <v>1.0476920000000001</v>
      </c>
      <c r="L5781">
        <v>11.733980000000001</v>
      </c>
      <c r="M5781">
        <v>0.8310419</v>
      </c>
      <c r="N5781">
        <v>0</v>
      </c>
      <c r="O5781">
        <v>-0.5561178</v>
      </c>
      <c r="P5781">
        <v>0.40471430000000003</v>
      </c>
      <c r="Q5781">
        <v>0.12147139999999999</v>
      </c>
      <c r="R5781">
        <v>-0.90633960000000002</v>
      </c>
      <c r="S5781">
        <v>0.87634279999999998</v>
      </c>
      <c r="T5781">
        <v>-0.2045546</v>
      </c>
      <c r="U5781">
        <v>-2.9492189999999998</v>
      </c>
      <c r="V5781">
        <v>0.53169820000000001</v>
      </c>
      <c r="W5781">
        <v>0.1146606</v>
      </c>
      <c r="X5781">
        <v>0.8391364</v>
      </c>
      <c r="Y5781">
        <v>0.63799240000000002</v>
      </c>
      <c r="Z5781">
        <v>1.7036519999999999E-2</v>
      </c>
      <c r="AA5781">
        <v>0.76985419999999904</v>
      </c>
      <c r="AB5781">
        <v>32</v>
      </c>
      <c r="AC5781">
        <v>4.3500999999999896</v>
      </c>
      <c r="AD5781">
        <v>-1.047695805921</v>
      </c>
      <c r="AE5781">
        <v>-15.00841</v>
      </c>
      <c r="AF5781">
        <v>10.0089697835687</v>
      </c>
      <c r="AG5781">
        <v>-1.047695805921</v>
      </c>
      <c r="AH5781">
        <v>11.908637483265601</v>
      </c>
      <c r="AI5781">
        <v>93.853001507549905</v>
      </c>
      <c r="AJ5781">
        <v>49.953625235163997</v>
      </c>
      <c r="AK5781">
        <v>15.5914332034606</v>
      </c>
      <c r="AL5781">
        <v>83.415950387863504</v>
      </c>
      <c r="AM5781">
        <v>57.640611501101503</v>
      </c>
      <c r="AN5781">
        <v>0.99999996344027897</v>
      </c>
    </row>
    <row r="5782" spans="1:40" x14ac:dyDescent="0.25">
      <c r="A5782" t="str">
        <f>"20190312164141400"</f>
        <v>20190312164141400</v>
      </c>
      <c r="B5782" t="str">
        <f>"1552380101391738"</f>
        <v>1552380101391738</v>
      </c>
      <c r="C5782" t="s">
        <v>40</v>
      </c>
      <c r="D5782">
        <v>6.3588709999999997</v>
      </c>
      <c r="E5782">
        <v>0.56435849999999999</v>
      </c>
      <c r="F5782" t="s">
        <v>43</v>
      </c>
      <c r="G5782">
        <v>-305.23469999999998</v>
      </c>
      <c r="H5782">
        <v>-0.05</v>
      </c>
      <c r="I5782">
        <v>2.383591</v>
      </c>
      <c r="J5782">
        <v>-307.7373</v>
      </c>
      <c r="K5782">
        <v>1.0475239999999999</v>
      </c>
      <c r="L5782">
        <v>11.62354</v>
      </c>
      <c r="M5782">
        <v>0.82641640000000005</v>
      </c>
      <c r="N5782">
        <v>0</v>
      </c>
      <c r="O5782">
        <v>-0.56296950000000001</v>
      </c>
      <c r="P5782">
        <v>0.39772950000000001</v>
      </c>
      <c r="Q5782">
        <v>0.1212418</v>
      </c>
      <c r="R5782">
        <v>-0.90945690000000001</v>
      </c>
      <c r="S5782">
        <v>0.84619140000000004</v>
      </c>
      <c r="T5782">
        <v>-0.3497248</v>
      </c>
      <c r="U5782">
        <v>-2.979034</v>
      </c>
      <c r="V5782">
        <v>0.53126930000000006</v>
      </c>
      <c r="W5782">
        <v>0.1142333</v>
      </c>
      <c r="X5782">
        <v>0.8394663</v>
      </c>
      <c r="Y5782">
        <v>0.64044939999999995</v>
      </c>
      <c r="Z5782">
        <v>2.9652749999999999E-2</v>
      </c>
      <c r="AA5782">
        <v>0.76742769999999905</v>
      </c>
      <c r="AB5782">
        <v>32</v>
      </c>
      <c r="AC5782">
        <v>2.5026000000000201</v>
      </c>
      <c r="AD5782">
        <v>-1.0975239999999999</v>
      </c>
      <c r="AE5782">
        <v>-9.2399489999999993</v>
      </c>
      <c r="AF5782">
        <v>6.1466781698153001</v>
      </c>
      <c r="AG5782">
        <v>-1.0975239999999999</v>
      </c>
      <c r="AH5782">
        <v>7.1760417296635897</v>
      </c>
      <c r="AI5782">
        <v>96.6255879108801</v>
      </c>
      <c r="AJ5782">
        <v>49.418110272289702</v>
      </c>
      <c r="AK5782">
        <v>9.5121914593711399</v>
      </c>
      <c r="AL5782">
        <v>83.440594995867798</v>
      </c>
      <c r="AM5782">
        <v>57.6716897377663</v>
      </c>
      <c r="AN5782">
        <v>0.99999999239353499</v>
      </c>
    </row>
    <row r="5783" spans="1:40" x14ac:dyDescent="0.25">
      <c r="A5783" t="str">
        <f>"20190312164141412"</f>
        <v>20190312164141412</v>
      </c>
      <c r="B5783" t="str">
        <f>"1552380101401498"</f>
        <v>1552380101401498</v>
      </c>
      <c r="C5783" t="s">
        <v>40</v>
      </c>
      <c r="D5783">
        <v>6.2168419999999998</v>
      </c>
      <c r="E5783">
        <v>0.56396990000000002</v>
      </c>
      <c r="F5783" t="s">
        <v>43</v>
      </c>
      <c r="G5783">
        <v>-305.0985</v>
      </c>
      <c r="H5783">
        <v>-0.05</v>
      </c>
      <c r="I5783">
        <v>1.967422</v>
      </c>
      <c r="J5783">
        <v>-307.59570000000002</v>
      </c>
      <c r="K5783">
        <v>1.0473699999999999</v>
      </c>
      <c r="L5783">
        <v>11.519410000000001</v>
      </c>
      <c r="M5783">
        <v>0.82201759999999902</v>
      </c>
      <c r="N5783">
        <v>0</v>
      </c>
      <c r="O5783">
        <v>-0.5693743</v>
      </c>
      <c r="P5783">
        <v>0.39168950000000002</v>
      </c>
      <c r="Q5783">
        <v>0.12078609999999999</v>
      </c>
      <c r="R5783">
        <v>-0.91213509999999998</v>
      </c>
      <c r="S5783">
        <v>0.81625369999999997</v>
      </c>
      <c r="T5783">
        <v>-0.33949849999999998</v>
      </c>
      <c r="U5783">
        <v>-2.9869379999999999</v>
      </c>
      <c r="V5783">
        <v>0.53038160000000001</v>
      </c>
      <c r="W5783">
        <v>0.1136103</v>
      </c>
      <c r="X5783">
        <v>0.84011199999999997</v>
      </c>
      <c r="Y5783">
        <v>0.64220980000000005</v>
      </c>
      <c r="Z5783">
        <v>2.955224E-2</v>
      </c>
      <c r="AA5783">
        <v>0.76595899999999995</v>
      </c>
      <c r="AB5783">
        <v>32</v>
      </c>
      <c r="AC5783">
        <v>2.4972000000000198</v>
      </c>
      <c r="AD5783">
        <v>-1.09737</v>
      </c>
      <c r="AE5783">
        <v>-9.5519879999999997</v>
      </c>
      <c r="AF5783">
        <v>6.3519109093644301</v>
      </c>
      <c r="AG5783">
        <v>-1.09737</v>
      </c>
      <c r="AH5783">
        <v>7.4003496737535803</v>
      </c>
      <c r="AI5783">
        <v>96.420003675557197</v>
      </c>
      <c r="AJ5783">
        <v>49.359657018450399</v>
      </c>
      <c r="AK5783">
        <v>9.8140801102919308</v>
      </c>
      <c r="AL5783">
        <v>83.476524601111294</v>
      </c>
      <c r="AM5783">
        <v>57.734860861948597</v>
      </c>
      <c r="AN5783">
        <v>1.0000000572143199</v>
      </c>
    </row>
    <row r="5784" spans="1:40" x14ac:dyDescent="0.25">
      <c r="A5784" t="str">
        <f>"20190312164141423"</f>
        <v>20190312164141423</v>
      </c>
      <c r="B5784" t="str">
        <f>"1552380101412233"</f>
        <v>1552380101412233</v>
      </c>
      <c r="C5784" t="s">
        <v>40</v>
      </c>
      <c r="D5784">
        <v>6.3511100000000003</v>
      </c>
      <c r="E5784">
        <v>0.56396990000000002</v>
      </c>
      <c r="F5784" t="s">
        <v>43</v>
      </c>
      <c r="G5784">
        <v>-304.91460000000001</v>
      </c>
      <c r="H5784">
        <v>-0.05</v>
      </c>
      <c r="I5784">
        <v>1.4493259999999999</v>
      </c>
      <c r="J5784">
        <v>-307.464</v>
      </c>
      <c r="K5784">
        <v>1.0472239999999999</v>
      </c>
      <c r="L5784">
        <v>11.42108</v>
      </c>
      <c r="M5784">
        <v>0.81783019999999995</v>
      </c>
      <c r="N5784">
        <v>0</v>
      </c>
      <c r="O5784">
        <v>-0.57537340000000003</v>
      </c>
      <c r="P5784">
        <v>0.3858605</v>
      </c>
      <c r="Q5784">
        <v>0.12022330000000001</v>
      </c>
      <c r="R5784">
        <v>-0.91469009999999995</v>
      </c>
      <c r="S5784">
        <v>0.79614259999999903</v>
      </c>
      <c r="T5784">
        <v>-0.32585920000000002</v>
      </c>
      <c r="U5784">
        <v>-2.990265</v>
      </c>
      <c r="V5784">
        <v>0.52967010000000003</v>
      </c>
      <c r="W5784">
        <v>0.1128892</v>
      </c>
      <c r="X5784">
        <v>0.84065780000000001</v>
      </c>
      <c r="Y5784">
        <v>0.64169469999999995</v>
      </c>
      <c r="Z5784">
        <v>2.9212780000000001E-2</v>
      </c>
      <c r="AA5784">
        <v>0.76640369999999902</v>
      </c>
      <c r="AB5784">
        <v>32</v>
      </c>
      <c r="AC5784">
        <v>2.5493999999999901</v>
      </c>
      <c r="AD5784">
        <v>-1.097224</v>
      </c>
      <c r="AE5784">
        <v>-9.97175399999999</v>
      </c>
      <c r="AF5784">
        <v>6.6135172095844297</v>
      </c>
      <c r="AG5784">
        <v>-1.097224</v>
      </c>
      <c r="AH5784">
        <v>7.7349427412193101</v>
      </c>
      <c r="AI5784">
        <v>96.153622858207299</v>
      </c>
      <c r="AJ5784">
        <v>49.468953407337096</v>
      </c>
      <c r="AK5784">
        <v>10.235812112264799</v>
      </c>
      <c r="AL5784">
        <v>83.518107488566898</v>
      </c>
      <c r="AM5784">
        <v>57.786355392197898</v>
      </c>
      <c r="AN5784">
        <v>0.999999961505744</v>
      </c>
    </row>
    <row r="5785" spans="1:40" x14ac:dyDescent="0.25">
      <c r="A5785" t="str">
        <f>"20190312164141437"</f>
        <v>20190312164141437</v>
      </c>
      <c r="B5785" t="str">
        <f>"1552380101431754"</f>
        <v>1552380101431754</v>
      </c>
      <c r="C5785" t="s">
        <v>40</v>
      </c>
      <c r="D5785">
        <v>6.2643120000000003</v>
      </c>
      <c r="E5785">
        <v>0.56321580000000004</v>
      </c>
      <c r="F5785" t="s">
        <v>43</v>
      </c>
      <c r="G5785">
        <v>-304.85840000000002</v>
      </c>
      <c r="H5785">
        <v>-0.05</v>
      </c>
      <c r="I5785">
        <v>1.358093</v>
      </c>
      <c r="J5785">
        <v>-307.30549999999999</v>
      </c>
      <c r="K5785">
        <v>1.04705</v>
      </c>
      <c r="L5785">
        <v>11.30118</v>
      </c>
      <c r="M5785">
        <v>0.81267650000000002</v>
      </c>
      <c r="N5785">
        <v>0</v>
      </c>
      <c r="O5785">
        <v>-0.5826308</v>
      </c>
      <c r="P5785">
        <v>0.378751</v>
      </c>
      <c r="Q5785">
        <v>0.1191315</v>
      </c>
      <c r="R5785">
        <v>-0.91779920000000004</v>
      </c>
      <c r="S5785">
        <v>0.77563479999999996</v>
      </c>
      <c r="T5785">
        <v>-0.32661760000000001</v>
      </c>
      <c r="U5785">
        <v>-2.995514</v>
      </c>
      <c r="V5785">
        <v>0.52882890000000005</v>
      </c>
      <c r="W5785">
        <v>0.1116085</v>
      </c>
      <c r="X5785">
        <v>0.84135819999999995</v>
      </c>
      <c r="Y5785">
        <v>0.64013589999999998</v>
      </c>
      <c r="Z5785">
        <v>3.0338770000000001E-2</v>
      </c>
      <c r="AA5785">
        <v>0.76766239999999997</v>
      </c>
      <c r="AB5785">
        <v>32</v>
      </c>
      <c r="AC5785">
        <v>2.4470999999999701</v>
      </c>
      <c r="AD5785">
        <v>-1.0970500000000001</v>
      </c>
      <c r="AE5785">
        <v>-9.9430870000000002</v>
      </c>
      <c r="AF5785">
        <v>6.5795632457181297</v>
      </c>
      <c r="AG5785">
        <v>-1.0970500000000001</v>
      </c>
      <c r="AH5785">
        <v>7.69391998452467</v>
      </c>
      <c r="AI5785">
        <v>96.184764102834507</v>
      </c>
      <c r="AJ5785">
        <v>49.464130245747498</v>
      </c>
      <c r="AK5785">
        <v>10.182856963307101</v>
      </c>
      <c r="AL5785">
        <v>83.5919534112994</v>
      </c>
      <c r="AM5785">
        <v>57.848916693052402</v>
      </c>
      <c r="AN5785">
        <v>1.00000004172734</v>
      </c>
    </row>
    <row r="5786" spans="1:40" x14ac:dyDescent="0.25">
      <c r="A5786" t="str">
        <f>"20190312164141452"</f>
        <v>20190312164141452</v>
      </c>
      <c r="B5786" t="str">
        <f>"1552380101441514"</f>
        <v>1552380101441514</v>
      </c>
      <c r="C5786" t="s">
        <v>40</v>
      </c>
      <c r="D5786">
        <v>6.2655949999999896</v>
      </c>
      <c r="E5786">
        <v>0.56246180000000001</v>
      </c>
      <c r="F5786" t="s">
        <v>43</v>
      </c>
      <c r="G5786">
        <v>-304.75830000000002</v>
      </c>
      <c r="H5786">
        <v>-0.05</v>
      </c>
      <c r="I5786">
        <v>1.191635</v>
      </c>
      <c r="J5786">
        <v>-307.12950000000001</v>
      </c>
      <c r="K5786">
        <v>1.0468550000000001</v>
      </c>
      <c r="L5786">
        <v>11.164490000000001</v>
      </c>
      <c r="M5786">
        <v>0.80675010000000003</v>
      </c>
      <c r="N5786">
        <v>0</v>
      </c>
      <c r="O5786">
        <v>-0.59081059999999996</v>
      </c>
      <c r="P5786">
        <v>0.37122450000000001</v>
      </c>
      <c r="Q5786">
        <v>0.1176251</v>
      </c>
      <c r="R5786">
        <v>-0.92106330000000003</v>
      </c>
      <c r="S5786">
        <v>0.75564580000000003</v>
      </c>
      <c r="T5786">
        <v>-0.32545299999999999</v>
      </c>
      <c r="U5786">
        <v>-2.9991150000000002</v>
      </c>
      <c r="V5786">
        <v>0.52736749999999999</v>
      </c>
      <c r="W5786">
        <v>0.10991430000000001</v>
      </c>
      <c r="X5786">
        <v>0.84249769999999902</v>
      </c>
      <c r="Y5786">
        <v>0.63743819999999995</v>
      </c>
      <c r="Z5786">
        <v>3.1494359999999999E-2</v>
      </c>
      <c r="AA5786">
        <v>0.76985760000000003</v>
      </c>
      <c r="AB5786">
        <v>32</v>
      </c>
      <c r="AC5786">
        <v>2.37119999999998</v>
      </c>
      <c r="AD5786">
        <v>-1.0968549999999999</v>
      </c>
      <c r="AE5786">
        <v>-9.9728549999999991</v>
      </c>
      <c r="AF5786">
        <v>6.5697754056222903</v>
      </c>
      <c r="AG5786">
        <v>-1.0968549999999999</v>
      </c>
      <c r="AH5786">
        <v>7.7170588393517798</v>
      </c>
      <c r="AI5786">
        <v>96.176862847212405</v>
      </c>
      <c r="AJ5786">
        <v>49.591202077981698</v>
      </c>
      <c r="AK5786">
        <v>10.1940196635754</v>
      </c>
      <c r="AL5786">
        <v>83.689624659769294</v>
      </c>
      <c r="AM5786">
        <v>57.955195783655597</v>
      </c>
      <c r="AN5786">
        <v>1.0000000039530099</v>
      </c>
    </row>
    <row r="5787" spans="1:40" x14ac:dyDescent="0.25">
      <c r="A5787" t="str">
        <f>"20190312164141473"</f>
        <v>20190312164141473</v>
      </c>
      <c r="B5787" t="str">
        <f>"1552380101462011"</f>
        <v>1552380101462011</v>
      </c>
      <c r="C5787" t="s">
        <v>40</v>
      </c>
      <c r="D5787">
        <v>6.1310399999999996</v>
      </c>
      <c r="E5787">
        <v>0.56238250000000001</v>
      </c>
      <c r="F5787" t="s">
        <v>43</v>
      </c>
      <c r="G5787">
        <v>-304.67559999999997</v>
      </c>
      <c r="H5787">
        <v>-0.05</v>
      </c>
      <c r="I5787">
        <v>1.117462</v>
      </c>
      <c r="J5787">
        <v>-306.88470000000001</v>
      </c>
      <c r="K5787">
        <v>1.0465880000000001</v>
      </c>
      <c r="L5787">
        <v>10.97015</v>
      </c>
      <c r="M5787">
        <v>0.79820999999999998</v>
      </c>
      <c r="N5787">
        <v>0</v>
      </c>
      <c r="O5787">
        <v>-0.60229949999999999</v>
      </c>
      <c r="P5787">
        <v>0.35970229999999997</v>
      </c>
      <c r="Q5787">
        <v>0.1169893</v>
      </c>
      <c r="R5787">
        <v>-0.92570399999999997</v>
      </c>
      <c r="S5787">
        <v>0.73352050000000002</v>
      </c>
      <c r="T5787">
        <v>-0.32788309999999998</v>
      </c>
      <c r="U5787">
        <v>-3.0033569999999998</v>
      </c>
      <c r="V5787">
        <v>0.52591980000000005</v>
      </c>
      <c r="W5787">
        <v>0.1089929</v>
      </c>
      <c r="X5787">
        <v>0.84352179999999999</v>
      </c>
      <c r="Y5787">
        <v>0.63204039999999995</v>
      </c>
      <c r="Z5787">
        <v>3.3609189999999997E-2</v>
      </c>
      <c r="AA5787">
        <v>0.77420619999999996</v>
      </c>
      <c r="AB5787">
        <v>33</v>
      </c>
      <c r="AC5787">
        <v>2.20910000000003</v>
      </c>
      <c r="AD5787">
        <v>-1.0965879999999999</v>
      </c>
      <c r="AE5787">
        <v>-9.8526880000000006</v>
      </c>
      <c r="AF5787">
        <v>6.4581186163175603</v>
      </c>
      <c r="AG5787">
        <v>-1.0965879999999999</v>
      </c>
      <c r="AH5787">
        <v>7.60823016204235</v>
      </c>
      <c r="AI5787">
        <v>96.270671309078907</v>
      </c>
      <c r="AJ5787">
        <v>49.674296081799703</v>
      </c>
      <c r="AK5787">
        <v>10.039669690920199</v>
      </c>
      <c r="AL5787">
        <v>83.7427364287458</v>
      </c>
      <c r="AM5787">
        <v>58.057245292149403</v>
      </c>
      <c r="AN5787">
        <v>1.0000000576788399</v>
      </c>
    </row>
    <row r="5788" spans="1:40" x14ac:dyDescent="0.25">
      <c r="A5788" t="str">
        <f>"20190312164141496"</f>
        <v>20190312164141496</v>
      </c>
      <c r="B5788" t="str">
        <f>"1552380101492265"</f>
        <v>1552380101492265</v>
      </c>
      <c r="C5788" t="s">
        <v>40</v>
      </c>
      <c r="D5788">
        <v>6.0882209999999999</v>
      </c>
      <c r="E5788">
        <v>0.55009509999999995</v>
      </c>
      <c r="F5788" t="s">
        <v>43</v>
      </c>
      <c r="G5788">
        <v>-304.5487</v>
      </c>
      <c r="H5788">
        <v>-0.05</v>
      </c>
      <c r="I5788">
        <v>0.84207149999999997</v>
      </c>
      <c r="J5788">
        <v>-306.62880000000001</v>
      </c>
      <c r="K5788">
        <v>1.046295</v>
      </c>
      <c r="L5788">
        <v>10.7608</v>
      </c>
      <c r="M5788">
        <v>0.78887259999999904</v>
      </c>
      <c r="N5788">
        <v>0</v>
      </c>
      <c r="O5788">
        <v>-0.61447980000000002</v>
      </c>
      <c r="P5788">
        <v>0.34845350000000003</v>
      </c>
      <c r="Q5788">
        <v>0.1161975</v>
      </c>
      <c r="R5788">
        <v>-0.93009620000000004</v>
      </c>
      <c r="S5788">
        <v>0.69470209999999999</v>
      </c>
      <c r="T5788">
        <v>-0.3261212</v>
      </c>
      <c r="U5788">
        <v>-3.012054</v>
      </c>
      <c r="V5788">
        <v>0.52330920000000003</v>
      </c>
      <c r="W5788">
        <v>0.10794719999999999</v>
      </c>
      <c r="X5788">
        <v>0.84527799999999997</v>
      </c>
      <c r="Y5788">
        <v>0.63015489999999996</v>
      </c>
      <c r="Z5788">
        <v>3.517638E-2</v>
      </c>
      <c r="AA5788">
        <v>0.77567229999999998</v>
      </c>
      <c r="AB5788">
        <v>33</v>
      </c>
      <c r="AC5788">
        <v>2.0801000000000101</v>
      </c>
      <c r="AD5788">
        <v>-1.096295</v>
      </c>
      <c r="AE5788">
        <v>-9.9187285000000003</v>
      </c>
      <c r="AF5788">
        <v>6.471021125399</v>
      </c>
      <c r="AG5788">
        <v>-1.096295</v>
      </c>
      <c r="AH5788">
        <v>7.64667863115882</v>
      </c>
      <c r="AI5788">
        <v>96.245619215009995</v>
      </c>
      <c r="AJ5788">
        <v>49.760346889754203</v>
      </c>
      <c r="AK5788">
        <v>10.0770864450299</v>
      </c>
      <c r="AL5788">
        <v>83.803005918575195</v>
      </c>
      <c r="AM5788">
        <v>58.238468325162202</v>
      </c>
      <c r="AN5788">
        <v>1.00000000703824</v>
      </c>
    </row>
    <row r="5789" spans="1:40" x14ac:dyDescent="0.25">
      <c r="A5789" t="str">
        <f>"20190312164141508"</f>
        <v>20190312164141508</v>
      </c>
      <c r="B5789" t="str">
        <f>"1552380101502025"</f>
        <v>1552380101502025</v>
      </c>
      <c r="C5789" t="s">
        <v>40</v>
      </c>
      <c r="D5789">
        <v>6.5345599999999999</v>
      </c>
      <c r="E5789">
        <v>0.54992439999999998</v>
      </c>
      <c r="F5789" t="s">
        <v>41</v>
      </c>
      <c r="G5789">
        <v>-302.61880000000002</v>
      </c>
      <c r="H5789" s="1">
        <v>-2.5425499999999999E-6</v>
      </c>
      <c r="I5789">
        <v>-5.558033</v>
      </c>
      <c r="J5789">
        <v>-306.4871</v>
      </c>
      <c r="K5789">
        <v>1.0461389999999999</v>
      </c>
      <c r="L5789">
        <v>10.64142</v>
      </c>
      <c r="M5789">
        <v>0.78348700000000004</v>
      </c>
      <c r="N5789">
        <v>0</v>
      </c>
      <c r="O5789">
        <v>-0.62133229999999995</v>
      </c>
      <c r="P5789">
        <v>0.3420434</v>
      </c>
      <c r="Q5789">
        <v>0.1158645</v>
      </c>
      <c r="R5789">
        <v>-0.93251379999999995</v>
      </c>
      <c r="S5789">
        <v>0.73114009999999996</v>
      </c>
      <c r="T5789">
        <v>-0.19076870000000001</v>
      </c>
      <c r="U5789">
        <v>-2.9753720000000001</v>
      </c>
      <c r="V5789">
        <v>0.52181379999999999</v>
      </c>
      <c r="W5789">
        <v>0.1074774</v>
      </c>
      <c r="X5789">
        <v>0.84626179999999995</v>
      </c>
      <c r="Y5789">
        <v>0.61247859999999998</v>
      </c>
      <c r="Z5789">
        <v>2.1971040000000001E-2</v>
      </c>
      <c r="AA5789">
        <v>0.79018180000000005</v>
      </c>
      <c r="AB5789">
        <v>33</v>
      </c>
      <c r="AC5789">
        <v>3.8682999999999699</v>
      </c>
      <c r="AD5789">
        <v>-1.04614154255</v>
      </c>
      <c r="AE5789">
        <v>-16.199452999999998</v>
      </c>
      <c r="AF5789">
        <v>10.248610843481799</v>
      </c>
      <c r="AG5789">
        <v>-1.04614154255</v>
      </c>
      <c r="AH5789">
        <v>13.0451546538151</v>
      </c>
      <c r="AI5789">
        <v>93.608329765262496</v>
      </c>
      <c r="AJ5789">
        <v>51.845906097938901</v>
      </c>
      <c r="AK5789">
        <v>16.6224094610299</v>
      </c>
      <c r="AL5789">
        <v>83.830081161292597</v>
      </c>
      <c r="AM5789">
        <v>58.341585934300397</v>
      </c>
      <c r="AN5789">
        <v>1.00000003376021</v>
      </c>
    </row>
    <row r="5790" spans="1:40" x14ac:dyDescent="0.25">
      <c r="A5790" t="str">
        <f>"20190312164141520"</f>
        <v>20190312164141520</v>
      </c>
      <c r="B5790" t="str">
        <f>"1552380101511785"</f>
        <v>1552380101511785</v>
      </c>
      <c r="C5790" t="s">
        <v>40</v>
      </c>
      <c r="D5790">
        <v>6.245628</v>
      </c>
      <c r="E5790">
        <v>0.54998709999999995</v>
      </c>
      <c r="F5790" t="s">
        <v>41</v>
      </c>
      <c r="G5790">
        <v>-302.69850000000002</v>
      </c>
      <c r="H5790" s="1">
        <v>-2.717283E-6</v>
      </c>
      <c r="I5790">
        <v>-5.2332749999999999</v>
      </c>
      <c r="J5790">
        <v>-306.34010000000001</v>
      </c>
      <c r="K5790">
        <v>1.0459769999999999</v>
      </c>
      <c r="L5790">
        <v>10.516170000000001</v>
      </c>
      <c r="M5790">
        <v>0.77778519999999995</v>
      </c>
      <c r="N5790">
        <v>0</v>
      </c>
      <c r="O5790">
        <v>-0.6284556</v>
      </c>
      <c r="P5790">
        <v>0.33522439999999998</v>
      </c>
      <c r="Q5790">
        <v>0.1155389</v>
      </c>
      <c r="R5790">
        <v>-0.93502669999999999</v>
      </c>
      <c r="S5790">
        <v>0.71133419999999903</v>
      </c>
      <c r="T5790">
        <v>-0.19642290000000001</v>
      </c>
      <c r="U5790">
        <v>-2.9806210000000002</v>
      </c>
      <c r="V5790">
        <v>0.52032609999999901</v>
      </c>
      <c r="W5790">
        <v>0.10700759999999999</v>
      </c>
      <c r="X5790">
        <v>0.84723680000000001</v>
      </c>
      <c r="Y5790">
        <v>0.6105486</v>
      </c>
      <c r="Z5790">
        <v>2.326551E-2</v>
      </c>
      <c r="AA5790">
        <v>0.79163700000000004</v>
      </c>
      <c r="AB5790">
        <v>33</v>
      </c>
      <c r="AC5790">
        <v>3.64159999999998</v>
      </c>
      <c r="AD5790">
        <v>-1.0459797172830001</v>
      </c>
      <c r="AE5790">
        <v>-15.7494449999999</v>
      </c>
      <c r="AF5790">
        <v>9.9200336513551992</v>
      </c>
      <c r="AG5790">
        <v>-1.0459797172830001</v>
      </c>
      <c r="AH5790">
        <v>12.6777253372617</v>
      </c>
      <c r="AI5790">
        <v>93.717709556580303</v>
      </c>
      <c r="AJ5790">
        <v>51.957622809323702</v>
      </c>
      <c r="AK5790">
        <v>16.131517626684499</v>
      </c>
      <c r="AL5790">
        <v>83.857154868762805</v>
      </c>
      <c r="AM5790">
        <v>58.444049148162598</v>
      </c>
      <c r="AN5790">
        <v>1.0000000360365999</v>
      </c>
    </row>
    <row r="5791" spans="1:40" x14ac:dyDescent="0.25">
      <c r="A5791" t="str">
        <f>"20190312164141534"</f>
        <v>20190312164141534</v>
      </c>
      <c r="B5791" t="str">
        <f>"1552380101521546"</f>
        <v>1552380101521546</v>
      </c>
      <c r="C5791" t="s">
        <v>40</v>
      </c>
      <c r="D5791">
        <v>6.5389660000000003</v>
      </c>
      <c r="E5791">
        <v>0.55003519999999995</v>
      </c>
      <c r="F5791" t="s">
        <v>41</v>
      </c>
      <c r="G5791">
        <v>-302.63319999999999</v>
      </c>
      <c r="H5791" s="1">
        <v>-2.5327030000000002E-6</v>
      </c>
      <c r="I5791">
        <v>-5.5869479999999996</v>
      </c>
      <c r="J5791">
        <v>-306.19220000000001</v>
      </c>
      <c r="K5791">
        <v>1.0458130000000001</v>
      </c>
      <c r="L5791">
        <v>10.38715</v>
      </c>
      <c r="M5791">
        <v>0.77186359999999998</v>
      </c>
      <c r="N5791">
        <v>0</v>
      </c>
      <c r="O5791">
        <v>-0.63571509999999998</v>
      </c>
      <c r="P5791">
        <v>0.32809329999999998</v>
      </c>
      <c r="Q5791">
        <v>0.114967</v>
      </c>
      <c r="R5791">
        <v>-0.9376234</v>
      </c>
      <c r="S5791">
        <v>0.68737789999999999</v>
      </c>
      <c r="T5791">
        <v>-0.1939553</v>
      </c>
      <c r="U5791">
        <v>-2.985992</v>
      </c>
      <c r="V5791">
        <v>0.51891120000000002</v>
      </c>
      <c r="W5791">
        <v>0.1062893</v>
      </c>
      <c r="X5791">
        <v>0.84819439999999902</v>
      </c>
      <c r="Y5791">
        <v>0.60948249999999904</v>
      </c>
      <c r="Z5791">
        <v>2.3598540000000001E-2</v>
      </c>
      <c r="AA5791">
        <v>0.79244820000000005</v>
      </c>
      <c r="AB5791">
        <v>33</v>
      </c>
      <c r="AC5791">
        <v>3.5590000000000201</v>
      </c>
      <c r="AD5791">
        <v>-1.0458155327030001</v>
      </c>
      <c r="AE5791">
        <v>-15.974098</v>
      </c>
      <c r="AF5791">
        <v>10.0268373230353</v>
      </c>
      <c r="AG5791">
        <v>-1.0458155327030001</v>
      </c>
      <c r="AH5791">
        <v>12.850162927572301</v>
      </c>
      <c r="AI5791">
        <v>93.671269864918202</v>
      </c>
      <c r="AJ5791">
        <v>52.035485148473498</v>
      </c>
      <c r="AK5791">
        <v>16.3327243317277</v>
      </c>
      <c r="AL5791">
        <v>83.8985462372152</v>
      </c>
      <c r="AM5791">
        <v>58.542399898765503</v>
      </c>
      <c r="AN5791">
        <v>0.99999999448564403</v>
      </c>
    </row>
    <row r="5792" spans="1:40" x14ac:dyDescent="0.25">
      <c r="A5792" t="str">
        <f>"20190312164141550"</f>
        <v>20190312164141550</v>
      </c>
      <c r="B5792" t="str">
        <f>"1552380101542042"</f>
        <v>1552380101542042</v>
      </c>
      <c r="C5792" t="s">
        <v>40</v>
      </c>
      <c r="D5792">
        <v>6.100689</v>
      </c>
      <c r="E5792">
        <v>0.55011580000000004</v>
      </c>
      <c r="F5792" t="s">
        <v>41</v>
      </c>
      <c r="G5792">
        <v>-302.56130000000002</v>
      </c>
      <c r="H5792" s="1">
        <v>-2.3154790000000002E-6</v>
      </c>
      <c r="I5792">
        <v>-6.006011</v>
      </c>
      <c r="J5792">
        <v>-306.00380000000001</v>
      </c>
      <c r="K5792">
        <v>1.0456019999999999</v>
      </c>
      <c r="L5792">
        <v>10.21927</v>
      </c>
      <c r="M5792">
        <v>0.76408640000000005</v>
      </c>
      <c r="N5792">
        <v>0</v>
      </c>
      <c r="O5792">
        <v>-0.64504220000000001</v>
      </c>
      <c r="P5792">
        <v>0.31993159999999998</v>
      </c>
      <c r="Q5792">
        <v>0.1139327</v>
      </c>
      <c r="R5792">
        <v>-0.94056550000000005</v>
      </c>
      <c r="S5792">
        <v>0.66250609999999999</v>
      </c>
      <c r="T5792">
        <v>-0.19082299999999999</v>
      </c>
      <c r="U5792">
        <v>-2.9911500000000002</v>
      </c>
      <c r="V5792">
        <v>0.5160844</v>
      </c>
      <c r="W5792">
        <v>0.10511239999999999</v>
      </c>
      <c r="X5792">
        <v>0.85006369999999898</v>
      </c>
      <c r="Y5792">
        <v>0.6064349</v>
      </c>
      <c r="Z5792">
        <v>2.406778E-2</v>
      </c>
      <c r="AA5792">
        <v>0.79476880000000005</v>
      </c>
      <c r="AB5792">
        <v>33</v>
      </c>
      <c r="AC5792">
        <v>3.4424999999999901</v>
      </c>
      <c r="AD5792">
        <v>-1.045604315479</v>
      </c>
      <c r="AE5792">
        <v>-16.225280999999999</v>
      </c>
      <c r="AF5792">
        <v>10.137144684213199</v>
      </c>
      <c r="AG5792">
        <v>-1.045604315479</v>
      </c>
      <c r="AH5792">
        <v>13.0451230776819</v>
      </c>
      <c r="AI5792">
        <v>93.621428950997696</v>
      </c>
      <c r="AJ5792">
        <v>52.149824463466103</v>
      </c>
      <c r="AK5792">
        <v>16.5538583673139</v>
      </c>
      <c r="AL5792">
        <v>83.966357614941899</v>
      </c>
      <c r="AM5792">
        <v>58.737534168893298</v>
      </c>
      <c r="AN5792">
        <v>1.0000000093074</v>
      </c>
    </row>
    <row r="5793" spans="1:40" x14ac:dyDescent="0.25">
      <c r="A5793" t="str">
        <f>"20190312164141564"</f>
        <v>20190312164141564</v>
      </c>
      <c r="B5793" t="str">
        <f>"1552380101551802"</f>
        <v>1552380101551802</v>
      </c>
      <c r="C5793" t="s">
        <v>40</v>
      </c>
      <c r="D5793">
        <v>5.4934339999999997</v>
      </c>
      <c r="E5793">
        <v>0.55002209999999996</v>
      </c>
      <c r="F5793" t="s">
        <v>41</v>
      </c>
      <c r="G5793">
        <v>-302.51740000000001</v>
      </c>
      <c r="H5793" s="1">
        <v>-2.194297E-6</v>
      </c>
      <c r="I5793">
        <v>-6.2376809999999896</v>
      </c>
      <c r="J5793">
        <v>-305.85759999999999</v>
      </c>
      <c r="K5793">
        <v>1.04545</v>
      </c>
      <c r="L5793">
        <v>10.08624</v>
      </c>
      <c r="M5793">
        <v>0.75786480000000001</v>
      </c>
      <c r="N5793">
        <v>0</v>
      </c>
      <c r="O5793">
        <v>-0.65234119999999995</v>
      </c>
      <c r="P5793">
        <v>0.31227749999999999</v>
      </c>
      <c r="Q5793">
        <v>0.1136539</v>
      </c>
      <c r="R5793">
        <v>-0.94316800000000001</v>
      </c>
      <c r="S5793">
        <v>0.63485719999999901</v>
      </c>
      <c r="T5793">
        <v>-0.19039790000000001</v>
      </c>
      <c r="U5793">
        <v>-2.9967039999999998</v>
      </c>
      <c r="V5793">
        <v>0.51488880000000004</v>
      </c>
      <c r="W5793">
        <v>0.10468520000000001</v>
      </c>
      <c r="X5793">
        <v>0.85084099999999996</v>
      </c>
      <c r="Y5793">
        <v>0.6061318</v>
      </c>
      <c r="Z5793">
        <v>2.4610839999999998E-2</v>
      </c>
      <c r="AA5793">
        <v>0.79498340000000001</v>
      </c>
      <c r="AB5793">
        <v>33</v>
      </c>
      <c r="AC5793">
        <v>3.3401999999999799</v>
      </c>
      <c r="AD5793">
        <v>-1.0454521942970001</v>
      </c>
      <c r="AE5793">
        <v>-16.323920999999999</v>
      </c>
      <c r="AF5793">
        <v>10.1528733503959</v>
      </c>
      <c r="AG5793">
        <v>-1.0454521942970001</v>
      </c>
      <c r="AH5793">
        <v>13.1291049229136</v>
      </c>
      <c r="AI5793">
        <v>93.604364142878197</v>
      </c>
      <c r="AJ5793">
        <v>52.284845987714</v>
      </c>
      <c r="AK5793">
        <v>16.629708465172001</v>
      </c>
      <c r="AL5793">
        <v>83.990969727904996</v>
      </c>
      <c r="AM5793">
        <v>58.819653943268001</v>
      </c>
      <c r="AN5793">
        <v>0.99999993737273796</v>
      </c>
    </row>
    <row r="5794" spans="1:40" x14ac:dyDescent="0.25">
      <c r="A5794" t="str">
        <f>"20190312164141584"</f>
        <v>20190312164141584</v>
      </c>
      <c r="B5794" t="str">
        <f>"1552380101572297"</f>
        <v>1552380101572297</v>
      </c>
      <c r="C5794" t="s">
        <v>40</v>
      </c>
      <c r="D5794">
        <v>5.9705719999999998</v>
      </c>
      <c r="E5794">
        <v>0.54978909999999903</v>
      </c>
      <c r="F5794" t="s">
        <v>41</v>
      </c>
      <c r="G5794">
        <v>-302.4948</v>
      </c>
      <c r="H5794" s="1">
        <v>-2.0986679999999999E-6</v>
      </c>
      <c r="I5794">
        <v>-6.4272689999999999</v>
      </c>
      <c r="J5794">
        <v>-305.63130000000001</v>
      </c>
      <c r="K5794">
        <v>1.045207</v>
      </c>
      <c r="L5794">
        <v>9.8751529999999992</v>
      </c>
      <c r="M5794">
        <v>0.7478918</v>
      </c>
      <c r="N5794">
        <v>0</v>
      </c>
      <c r="O5794">
        <v>-0.66375209999999996</v>
      </c>
      <c r="P5794">
        <v>0.30119279999999998</v>
      </c>
      <c r="Q5794">
        <v>0.11377760000000001</v>
      </c>
      <c r="R5794">
        <v>-0.94675120000000001</v>
      </c>
      <c r="S5794">
        <v>0.61117549999999998</v>
      </c>
      <c r="T5794">
        <v>-0.19000980000000001</v>
      </c>
      <c r="U5794">
        <v>-3.001312</v>
      </c>
      <c r="V5794">
        <v>0.51201620000000003</v>
      </c>
      <c r="W5794">
        <v>0.10462349999999999</v>
      </c>
      <c r="X5794">
        <v>0.85258040000000002</v>
      </c>
      <c r="Y5794">
        <v>0.60033950000000003</v>
      </c>
      <c r="Z5794">
        <v>2.566541E-2</v>
      </c>
      <c r="AA5794">
        <v>0.79933330000000002</v>
      </c>
      <c r="AB5794">
        <v>33</v>
      </c>
      <c r="AC5794">
        <v>3.1365000000000101</v>
      </c>
      <c r="AD5794">
        <v>-1.045209098668</v>
      </c>
      <c r="AE5794">
        <v>-16.302422</v>
      </c>
      <c r="AF5794">
        <v>10.0711289592247</v>
      </c>
      <c r="AG5794">
        <v>-1.045209098668</v>
      </c>
      <c r="AH5794">
        <v>13.115142218660599</v>
      </c>
      <c r="AI5794">
        <v>93.616776730435902</v>
      </c>
      <c r="AJ5794">
        <v>52.479310551223001</v>
      </c>
      <c r="AK5794">
        <v>16.5688580170441</v>
      </c>
      <c r="AL5794">
        <v>83.994524788024805</v>
      </c>
      <c r="AM5794">
        <v>59.013125378658799</v>
      </c>
      <c r="AN5794">
        <v>1.00000000213942</v>
      </c>
    </row>
    <row r="5795" spans="1:40" x14ac:dyDescent="0.25">
      <c r="A5795" t="str">
        <f>"20190312164141598"</f>
        <v>20190312164141598</v>
      </c>
      <c r="B5795" t="str">
        <f>"1552380101591818"</f>
        <v>1552380101591818</v>
      </c>
      <c r="C5795" t="s">
        <v>40</v>
      </c>
      <c r="D5795">
        <v>5.826721</v>
      </c>
      <c r="E5795">
        <v>0.54915579999999997</v>
      </c>
      <c r="F5795" t="s">
        <v>41</v>
      </c>
      <c r="G5795">
        <v>-302.13679999999999</v>
      </c>
      <c r="H5795" s="1">
        <v>-1.062547E-6</v>
      </c>
      <c r="I5795">
        <v>-8.4176409999999997</v>
      </c>
      <c r="J5795">
        <v>-305.48070000000001</v>
      </c>
      <c r="K5795">
        <v>1.0450459999999999</v>
      </c>
      <c r="L5795">
        <v>9.7315369999999994</v>
      </c>
      <c r="M5795">
        <v>0.74103330000000001</v>
      </c>
      <c r="N5795">
        <v>0</v>
      </c>
      <c r="O5795">
        <v>-0.67140080000000002</v>
      </c>
      <c r="P5795">
        <v>0.29302919999999999</v>
      </c>
      <c r="Q5795">
        <v>0.1136004</v>
      </c>
      <c r="R5795">
        <v>-0.94933089999999998</v>
      </c>
      <c r="S5795">
        <v>0.57437130000000003</v>
      </c>
      <c r="T5795">
        <v>-0.17179320000000001</v>
      </c>
      <c r="U5795">
        <v>-3.006653</v>
      </c>
      <c r="V5795">
        <v>0.51064240000000005</v>
      </c>
      <c r="W5795">
        <v>0.1043043</v>
      </c>
      <c r="X5795">
        <v>0.85344299999999995</v>
      </c>
      <c r="Y5795">
        <v>0.60183999999999904</v>
      </c>
      <c r="Z5795">
        <v>2.3738410000000001E-2</v>
      </c>
      <c r="AA5795">
        <v>0.79826379999999997</v>
      </c>
      <c r="AB5795">
        <v>33</v>
      </c>
      <c r="AC5795">
        <v>3.3439000000000099</v>
      </c>
      <c r="AD5795">
        <v>-1.0450470625470001</v>
      </c>
      <c r="AE5795">
        <v>-18.149177999999999</v>
      </c>
      <c r="AF5795">
        <v>11.168740865700199</v>
      </c>
      <c r="AG5795">
        <v>-1.0450470625470001</v>
      </c>
      <c r="AH5795">
        <v>14.6171054475231</v>
      </c>
      <c r="AI5795">
        <v>93.251444954882402</v>
      </c>
      <c r="AJ5795">
        <v>52.617023530440001</v>
      </c>
      <c r="AK5795">
        <v>18.425326796345001</v>
      </c>
      <c r="AL5795">
        <v>84.012914208273202</v>
      </c>
      <c r="AM5795">
        <v>59.106559705054202</v>
      </c>
      <c r="AN5795">
        <v>1.00000000096262</v>
      </c>
    </row>
    <row r="5796" spans="1:40" x14ac:dyDescent="0.25">
      <c r="A5796" t="str">
        <f>"20190312164141611"</f>
        <v>20190312164141611</v>
      </c>
      <c r="B5796" t="str">
        <f>"1552380101601578"</f>
        <v>1552380101601578</v>
      </c>
      <c r="C5796" t="s">
        <v>40</v>
      </c>
      <c r="D5796">
        <v>6.6189759999999902</v>
      </c>
      <c r="E5796">
        <v>0.54907320000000004</v>
      </c>
      <c r="F5796" t="s">
        <v>41</v>
      </c>
      <c r="G5796">
        <v>-301.98129999999998</v>
      </c>
      <c r="H5796" s="1">
        <v>-5.8081480000000002E-7</v>
      </c>
      <c r="I5796">
        <v>-9.3491689999999998</v>
      </c>
      <c r="J5796">
        <v>-305.33769999999998</v>
      </c>
      <c r="K5796">
        <v>1.0448959999999901</v>
      </c>
      <c r="L5796">
        <v>9.5912480000000002</v>
      </c>
      <c r="M5796">
        <v>0.7342959</v>
      </c>
      <c r="N5796">
        <v>0</v>
      </c>
      <c r="O5796">
        <v>-0.67876309999999995</v>
      </c>
      <c r="P5796">
        <v>0.28514030000000001</v>
      </c>
      <c r="Q5796">
        <v>0.11390500000000001</v>
      </c>
      <c r="R5796">
        <v>-0.95169380000000003</v>
      </c>
      <c r="S5796">
        <v>0.55194089999999996</v>
      </c>
      <c r="T5796">
        <v>-0.16482929999999901</v>
      </c>
      <c r="U5796">
        <v>-3.0094910000000001</v>
      </c>
      <c r="V5796">
        <v>0.50922369999999995</v>
      </c>
      <c r="W5796">
        <v>0.1044846</v>
      </c>
      <c r="X5796">
        <v>0.85426829999999998</v>
      </c>
      <c r="Y5796">
        <v>0.599767099999999</v>
      </c>
      <c r="Z5796">
        <v>2.3362379999999999E-2</v>
      </c>
      <c r="AA5796">
        <v>0.79983349999999998</v>
      </c>
      <c r="AB5796">
        <v>33</v>
      </c>
      <c r="AC5796">
        <v>3.3563999999999998</v>
      </c>
      <c r="AD5796">
        <v>-1.0448965808148001</v>
      </c>
      <c r="AE5796">
        <v>-18.940417</v>
      </c>
      <c r="AF5796">
        <v>11.5959771596879</v>
      </c>
      <c r="AG5796">
        <v>-1.0448965808148001</v>
      </c>
      <c r="AH5796">
        <v>15.2762606781538</v>
      </c>
      <c r="AI5796">
        <v>93.118478357506305</v>
      </c>
      <c r="AJ5796">
        <v>52.798419491157901</v>
      </c>
      <c r="AK5796">
        <v>19.207358888184299</v>
      </c>
      <c r="AL5796">
        <v>84.002527428876405</v>
      </c>
      <c r="AM5796">
        <v>59.201109061878299</v>
      </c>
      <c r="AN5796">
        <v>1.0000000683318599</v>
      </c>
    </row>
    <row r="5797" spans="1:40" x14ac:dyDescent="0.25">
      <c r="A5797" t="str">
        <f>"20190312164141624"</f>
        <v>20190312164141624</v>
      </c>
      <c r="B5797" t="str">
        <f>"1552380101612313"</f>
        <v>1552380101612313</v>
      </c>
      <c r="C5797" t="s">
        <v>40</v>
      </c>
      <c r="D5797">
        <v>5.9058999999999999</v>
      </c>
      <c r="E5797">
        <v>0.54925690000000005</v>
      </c>
      <c r="F5797" t="s">
        <v>41</v>
      </c>
      <c r="G5797">
        <v>-301.85410000000002</v>
      </c>
      <c r="H5797" s="1">
        <v>-6.6375320000000006E-8</v>
      </c>
      <c r="I5797">
        <v>-10.36586</v>
      </c>
      <c r="J5797">
        <v>-305.20670000000001</v>
      </c>
      <c r="K5797">
        <v>1.0447610000000001</v>
      </c>
      <c r="L5797">
        <v>9.4609380000000005</v>
      </c>
      <c r="M5797">
        <v>0.72799069999999899</v>
      </c>
      <c r="N5797">
        <v>0</v>
      </c>
      <c r="O5797">
        <v>-0.68552139999999995</v>
      </c>
      <c r="P5797">
        <v>0.27757300000000001</v>
      </c>
      <c r="Q5797">
        <v>0.1138367</v>
      </c>
      <c r="R5797">
        <v>-0.95393649999999997</v>
      </c>
      <c r="S5797">
        <v>0.52603149999999999</v>
      </c>
      <c r="T5797">
        <v>-0.1577808</v>
      </c>
      <c r="U5797">
        <v>-3.01355</v>
      </c>
      <c r="V5797">
        <v>0.50814490000000001</v>
      </c>
      <c r="W5797">
        <v>0.10429579999999999</v>
      </c>
      <c r="X5797">
        <v>0.85493339999999995</v>
      </c>
      <c r="Y5797">
        <v>0.59923530000000003</v>
      </c>
      <c r="Z5797">
        <v>2.283965E-2</v>
      </c>
      <c r="AA5797">
        <v>0.80024709999999999</v>
      </c>
      <c r="AB5797">
        <v>33</v>
      </c>
      <c r="AC5797">
        <v>3.35259999999999</v>
      </c>
      <c r="AD5797">
        <v>-1.04476106637532</v>
      </c>
      <c r="AE5797">
        <v>-19.826798</v>
      </c>
      <c r="AF5797">
        <v>12.1033182892174</v>
      </c>
      <c r="AG5797">
        <v>-1.04476106637532</v>
      </c>
      <c r="AH5797">
        <v>15.9899120935962</v>
      </c>
      <c r="AI5797">
        <v>92.982247104548406</v>
      </c>
      <c r="AJ5797">
        <v>52.876659391495899</v>
      </c>
      <c r="AK5797">
        <v>20.081312906701399</v>
      </c>
      <c r="AL5797">
        <v>84.013403802484703</v>
      </c>
      <c r="AM5797">
        <v>59.274112735435097</v>
      </c>
      <c r="AN5797">
        <v>0.99999998586460404</v>
      </c>
    </row>
    <row r="5798" spans="1:40" x14ac:dyDescent="0.25">
      <c r="A5798" t="str">
        <f>"20190312164141640"</f>
        <v>20190312164141640</v>
      </c>
      <c r="B5798" t="str">
        <f>"1552380101631833"</f>
        <v>1552380101631833</v>
      </c>
      <c r="C5798" t="s">
        <v>40</v>
      </c>
      <c r="D5798">
        <v>6.8486339999999997</v>
      </c>
      <c r="E5798">
        <v>0.54928449999999995</v>
      </c>
      <c r="F5798" t="s">
        <v>41</v>
      </c>
      <c r="G5798">
        <v>-301.98129999999998</v>
      </c>
      <c r="H5798" s="1">
        <v>-2.8013559999999999E-7</v>
      </c>
      <c r="I5798">
        <v>-9.9852539999999994</v>
      </c>
      <c r="J5798">
        <v>-305.0247</v>
      </c>
      <c r="K5798">
        <v>1.0445719999999901</v>
      </c>
      <c r="L5798">
        <v>9.2759699999999992</v>
      </c>
      <c r="M5798">
        <v>0.71897330000000004</v>
      </c>
      <c r="N5798">
        <v>0</v>
      </c>
      <c r="O5798">
        <v>-0.69497330000000002</v>
      </c>
      <c r="P5798">
        <v>0.26777250000000002</v>
      </c>
      <c r="Q5798">
        <v>0.1136837</v>
      </c>
      <c r="R5798">
        <v>-0.95675180000000004</v>
      </c>
      <c r="S5798">
        <v>0.50067139999999999</v>
      </c>
      <c r="T5798">
        <v>-0.16217239999999999</v>
      </c>
      <c r="U5798">
        <v>-3.0185240000000002</v>
      </c>
      <c r="V5798">
        <v>0.50579280000000004</v>
      </c>
      <c r="W5798">
        <v>0.1040146</v>
      </c>
      <c r="X5798">
        <v>0.85636129999999999</v>
      </c>
      <c r="Y5798">
        <v>0.59553239999999996</v>
      </c>
      <c r="Z5798">
        <v>2.4225670000000001E-2</v>
      </c>
      <c r="AA5798">
        <v>0.80296590000000001</v>
      </c>
      <c r="AB5798">
        <v>33</v>
      </c>
      <c r="AC5798">
        <v>3.0434000000000201</v>
      </c>
      <c r="AD5798">
        <v>-1.0445722801356001</v>
      </c>
      <c r="AE5798">
        <v>-19.261223999999999</v>
      </c>
      <c r="AF5798">
        <v>11.7001760200825</v>
      </c>
      <c r="AG5798">
        <v>-1.0445722801356001</v>
      </c>
      <c r="AH5798">
        <v>15.530293274605601</v>
      </c>
      <c r="AI5798">
        <v>93.075032030197804</v>
      </c>
      <c r="AJ5798">
        <v>53.006446570222302</v>
      </c>
      <c r="AK5798">
        <v>19.472423047597399</v>
      </c>
      <c r="AL5798">
        <v>84.029603778608106</v>
      </c>
      <c r="AM5798">
        <v>59.432620598873498</v>
      </c>
      <c r="AN5798">
        <v>1.00000003484134</v>
      </c>
    </row>
    <row r="5799" spans="1:40" x14ac:dyDescent="0.25">
      <c r="A5799" t="str">
        <f>"20190312164141664"</f>
        <v>20190312164141664</v>
      </c>
      <c r="B5799" t="str">
        <f>"1552380101652329"</f>
        <v>1552380101652329</v>
      </c>
      <c r="C5799" t="s">
        <v>40</v>
      </c>
      <c r="D5799">
        <v>6.0938319999999999</v>
      </c>
      <c r="E5799">
        <v>0.54887750000000002</v>
      </c>
      <c r="F5799" t="s">
        <v>41</v>
      </c>
      <c r="G5799">
        <v>-302.05399999999997</v>
      </c>
      <c r="H5799" s="1">
        <v>-3.50052499999999E-7</v>
      </c>
      <c r="I5799">
        <v>-9.8783049999999992</v>
      </c>
      <c r="J5799">
        <v>-304.78789999999998</v>
      </c>
      <c r="K5799">
        <v>1.0443249999999999</v>
      </c>
      <c r="L5799">
        <v>9.0271910000000002</v>
      </c>
      <c r="M5799">
        <v>0.70673379999999997</v>
      </c>
      <c r="N5799">
        <v>0</v>
      </c>
      <c r="O5799">
        <v>-0.70741669999999901</v>
      </c>
      <c r="P5799">
        <v>0.25369910000000001</v>
      </c>
      <c r="Q5799">
        <v>0.1132029</v>
      </c>
      <c r="R5799">
        <v>-0.96063609999999999</v>
      </c>
      <c r="S5799">
        <v>0.46899410000000002</v>
      </c>
      <c r="T5799">
        <v>-0.16491040000000001</v>
      </c>
      <c r="U5799">
        <v>-3.0239560000000001</v>
      </c>
      <c r="V5799">
        <v>0.50349049999999995</v>
      </c>
      <c r="W5799">
        <v>0.1033444</v>
      </c>
      <c r="X5799">
        <v>0.857797899999999</v>
      </c>
      <c r="Y5799">
        <v>0.58993809999999902</v>
      </c>
      <c r="Z5799">
        <v>2.56644E-2</v>
      </c>
      <c r="AA5799">
        <v>0.80704049999999905</v>
      </c>
      <c r="AB5799">
        <v>33</v>
      </c>
      <c r="AC5799">
        <v>2.7338999999999398</v>
      </c>
      <c r="AD5799">
        <v>-1.0443253500525</v>
      </c>
      <c r="AE5799">
        <v>-18.905495999999999</v>
      </c>
      <c r="AF5799">
        <v>11.3936007465608</v>
      </c>
      <c r="AG5799">
        <v>-1.0443253500525</v>
      </c>
      <c r="AH5799">
        <v>15.2612699233665</v>
      </c>
      <c r="AI5799">
        <v>93.138612467423201</v>
      </c>
      <c r="AJ5799">
        <v>53.256098620428702</v>
      </c>
      <c r="AK5799">
        <v>19.073833203702002</v>
      </c>
      <c r="AL5799">
        <v>84.068211226088707</v>
      </c>
      <c r="AM5799">
        <v>59.588897457395603</v>
      </c>
      <c r="AN5799">
        <v>0.99999999292300901</v>
      </c>
    </row>
    <row r="5800" spans="1:40" x14ac:dyDescent="0.25">
      <c r="A5800" t="str">
        <f>"20190312164141685"</f>
        <v>20190312164141685</v>
      </c>
      <c r="B5800" t="str">
        <f>"1552380101681610"</f>
        <v>1552380101681610</v>
      </c>
      <c r="C5800" t="s">
        <v>40</v>
      </c>
      <c r="D5800">
        <v>6.2128649999999999</v>
      </c>
      <c r="E5800">
        <v>0.54787769999999902</v>
      </c>
      <c r="F5800" t="s">
        <v>41</v>
      </c>
      <c r="G5800">
        <v>-302.11099999999999</v>
      </c>
      <c r="H5800" s="1">
        <v>-3.1005889999999999E-7</v>
      </c>
      <c r="I5800">
        <v>-9.9949560000000002</v>
      </c>
      <c r="J5800">
        <v>-304.565</v>
      </c>
      <c r="K5800">
        <v>1.0441009999999999</v>
      </c>
      <c r="L5800">
        <v>8.7851560000000006</v>
      </c>
      <c r="M5800">
        <v>0.69470319999999997</v>
      </c>
      <c r="N5800">
        <v>0</v>
      </c>
      <c r="O5800">
        <v>-0.71923490000000001</v>
      </c>
      <c r="P5800">
        <v>0.24010619999999999</v>
      </c>
      <c r="Q5800">
        <v>0.1133662</v>
      </c>
      <c r="R5800">
        <v>-0.96410450000000003</v>
      </c>
      <c r="S5800">
        <v>0.42639159999999998</v>
      </c>
      <c r="T5800">
        <v>-0.16634499999999999</v>
      </c>
      <c r="U5800">
        <v>-3.029938</v>
      </c>
      <c r="V5800">
        <v>0.50117879999999904</v>
      </c>
      <c r="W5800">
        <v>0.1033449</v>
      </c>
      <c r="X5800">
        <v>0.85915049999999904</v>
      </c>
      <c r="Y5800">
        <v>0.58767119999999995</v>
      </c>
      <c r="Z5800">
        <v>2.6802909999999999E-2</v>
      </c>
      <c r="AA5800">
        <v>0.80865580000000004</v>
      </c>
      <c r="AB5800">
        <v>33</v>
      </c>
      <c r="AC5800">
        <v>2.4540000000000002</v>
      </c>
      <c r="AD5800">
        <v>-1.0441013100589001</v>
      </c>
      <c r="AE5800">
        <v>-18.780111999999999</v>
      </c>
      <c r="AF5800">
        <v>11.247918545558299</v>
      </c>
      <c r="AG5800">
        <v>-1.0441013100589001</v>
      </c>
      <c r="AH5800">
        <v>15.166695583121999</v>
      </c>
      <c r="AI5800">
        <v>93.164947202349495</v>
      </c>
      <c r="AJ5800">
        <v>53.438644317741499</v>
      </c>
      <c r="AK5800">
        <v>18.911226138573699</v>
      </c>
      <c r="AL5800">
        <v>84.068182286254995</v>
      </c>
      <c r="AM5800">
        <v>59.743180949128401</v>
      </c>
      <c r="AN5800">
        <v>0.999999969787849</v>
      </c>
    </row>
    <row r="5801" spans="1:40" x14ac:dyDescent="0.25">
      <c r="A5801" t="str">
        <f>"20190312164141700"</f>
        <v>20190312164141700</v>
      </c>
      <c r="B5801" t="str">
        <f>"1552380101692346"</f>
        <v>1552380101692346</v>
      </c>
      <c r="C5801" t="s">
        <v>40</v>
      </c>
      <c r="D5801">
        <v>5.9047109999999998</v>
      </c>
      <c r="E5801">
        <v>0.5475854</v>
      </c>
      <c r="F5801" t="s">
        <v>41</v>
      </c>
      <c r="G5801">
        <v>-302.09050000000002</v>
      </c>
      <c r="H5801" s="1">
        <v>-4.6461530000000003E-6</v>
      </c>
      <c r="I5801">
        <v>-10.449949999999999</v>
      </c>
      <c r="J5801">
        <v>-304.41309999999999</v>
      </c>
      <c r="K5801">
        <v>1.043955</v>
      </c>
      <c r="L5801">
        <v>8.6159669999999995</v>
      </c>
      <c r="M5801">
        <v>0.68622490000000003</v>
      </c>
      <c r="N5801">
        <v>0</v>
      </c>
      <c r="O5801">
        <v>-0.72732859999999999</v>
      </c>
      <c r="P5801">
        <v>0.22976060000000001</v>
      </c>
      <c r="Q5801">
        <v>0.11365599999999999</v>
      </c>
      <c r="R5801">
        <v>-0.96658820000000001</v>
      </c>
      <c r="S5801">
        <v>0.39028930000000001</v>
      </c>
      <c r="T5801">
        <v>-0.16468250000000001</v>
      </c>
      <c r="U5801">
        <v>-3.0338750000000001</v>
      </c>
      <c r="V5801">
        <v>0.50033570000000005</v>
      </c>
      <c r="W5801">
        <v>0.1034976</v>
      </c>
      <c r="X5801">
        <v>0.85962340000000004</v>
      </c>
      <c r="Y5801">
        <v>0.58778850000000005</v>
      </c>
      <c r="Z5801">
        <v>2.7123689999999999E-2</v>
      </c>
      <c r="AA5801">
        <v>0.80855980000000005</v>
      </c>
      <c r="AB5801">
        <v>33</v>
      </c>
      <c r="AC5801">
        <v>2.32259999999996</v>
      </c>
      <c r="AD5801">
        <v>-1.0439596461530001</v>
      </c>
      <c r="AE5801">
        <v>-19.065916999999999</v>
      </c>
      <c r="AF5801">
        <v>11.361153529745501</v>
      </c>
      <c r="AG5801">
        <v>-1.0439596461530001</v>
      </c>
      <c r="AH5801">
        <v>15.416152896699399</v>
      </c>
      <c r="AI5801">
        <v>93.120335907600406</v>
      </c>
      <c r="AJ5801">
        <v>53.611112762335097</v>
      </c>
      <c r="AK5801">
        <v>19.178723403909299</v>
      </c>
      <c r="AL5801">
        <v>84.059386100066405</v>
      </c>
      <c r="AM5801">
        <v>59.798858194873397</v>
      </c>
      <c r="AN5801">
        <v>0.99999997786390404</v>
      </c>
    </row>
    <row r="5802" spans="1:40" x14ac:dyDescent="0.25">
      <c r="A5802" t="str">
        <f>"20190312164141718"</f>
        <v>20190312164141718</v>
      </c>
      <c r="B5802" t="str">
        <f>"1552380101711865"</f>
        <v>1552380101711865</v>
      </c>
      <c r="C5802" t="s">
        <v>40</v>
      </c>
      <c r="D5802">
        <v>6.0025120000000003</v>
      </c>
      <c r="E5802">
        <v>0.54697799999999996</v>
      </c>
      <c r="F5802" t="s">
        <v>41</v>
      </c>
      <c r="G5802">
        <v>-302.12040000000002</v>
      </c>
      <c r="H5802" s="1">
        <v>-4.5490610000000002E-6</v>
      </c>
      <c r="I5802">
        <v>-10.750819999999999</v>
      </c>
      <c r="J5802">
        <v>-304.22190000000001</v>
      </c>
      <c r="K5802">
        <v>1.0437669999999999</v>
      </c>
      <c r="L5802">
        <v>8.3968810000000005</v>
      </c>
      <c r="M5802">
        <v>0.67517629999999995</v>
      </c>
      <c r="N5802">
        <v>0</v>
      </c>
      <c r="O5802">
        <v>-0.73759640000000004</v>
      </c>
      <c r="P5802">
        <v>0.21718170000000001</v>
      </c>
      <c r="Q5802">
        <v>0.113686</v>
      </c>
      <c r="R5802">
        <v>-0.96948829999999997</v>
      </c>
      <c r="S5802">
        <v>0.35958859999999998</v>
      </c>
      <c r="T5802">
        <v>-0.16373399999999999</v>
      </c>
      <c r="U5802">
        <v>-3.0374759999999998</v>
      </c>
      <c r="V5802">
        <v>0.49857790000000002</v>
      </c>
      <c r="W5802">
        <v>0.10339039999999999</v>
      </c>
      <c r="X5802">
        <v>0.86065700000000001</v>
      </c>
      <c r="Y5802">
        <v>0.58375730000000003</v>
      </c>
      <c r="Z5802">
        <v>2.7809279999999999E-2</v>
      </c>
      <c r="AA5802">
        <v>0.8114519</v>
      </c>
      <c r="AB5802">
        <v>33</v>
      </c>
      <c r="AC5802">
        <v>2.1014999999999802</v>
      </c>
      <c r="AD5802">
        <v>-1.043771549061</v>
      </c>
      <c r="AE5802">
        <v>-19.147701000000001</v>
      </c>
      <c r="AF5802">
        <v>11.3452074927515</v>
      </c>
      <c r="AG5802">
        <v>-1.043771549061</v>
      </c>
      <c r="AH5802">
        <v>15.4973437623498</v>
      </c>
      <c r="AI5802">
        <v>93.110696970562699</v>
      </c>
      <c r="AJ5802">
        <v>53.793099548132801</v>
      </c>
      <c r="AK5802">
        <v>19.234626479052199</v>
      </c>
      <c r="AL5802">
        <v>84.065561375203004</v>
      </c>
      <c r="AM5802">
        <v>59.9163221212062</v>
      </c>
      <c r="AN5802">
        <v>0.99999998441478399</v>
      </c>
    </row>
    <row r="5803" spans="1:40" x14ac:dyDescent="0.25">
      <c r="A5803" t="str">
        <f>"20190312164141741"</f>
        <v>20190312164141741</v>
      </c>
      <c r="B5803" t="str">
        <f>"1552380101732365"</f>
        <v>1552380101732365</v>
      </c>
      <c r="C5803" t="s">
        <v>40</v>
      </c>
      <c r="D5803">
        <v>6.3254609999999998</v>
      </c>
      <c r="E5803">
        <v>0.54650600000000005</v>
      </c>
      <c r="F5803" t="s">
        <v>41</v>
      </c>
      <c r="G5803">
        <v>-302.11989999999997</v>
      </c>
      <c r="H5803" s="1">
        <v>-4.3581619999999901E-6</v>
      </c>
      <c r="I5803">
        <v>-11.31152</v>
      </c>
      <c r="J5803">
        <v>-304.00380000000001</v>
      </c>
      <c r="K5803">
        <v>1.043553</v>
      </c>
      <c r="L5803">
        <v>8.1379699999999993</v>
      </c>
      <c r="M5803">
        <v>0.66202899999999998</v>
      </c>
      <c r="N5803">
        <v>0</v>
      </c>
      <c r="O5803">
        <v>-0.74941950000000002</v>
      </c>
      <c r="P5803">
        <v>0.20255590000000001</v>
      </c>
      <c r="Q5803">
        <v>0.1133854</v>
      </c>
      <c r="R5803">
        <v>-0.9726844</v>
      </c>
      <c r="S5803">
        <v>0.3243103</v>
      </c>
      <c r="T5803">
        <v>-0.16103509999999999</v>
      </c>
      <c r="U5803">
        <v>-3.0406490000000002</v>
      </c>
      <c r="V5803">
        <v>0.4963785</v>
      </c>
      <c r="W5803">
        <v>0.10295029999999999</v>
      </c>
      <c r="X5803">
        <v>0.86198009999999903</v>
      </c>
      <c r="Y5803">
        <v>0.57879519999999995</v>
      </c>
      <c r="Z5803">
        <v>2.8320390000000001E-2</v>
      </c>
      <c r="AA5803">
        <v>0.81498099999999996</v>
      </c>
      <c r="AB5803">
        <v>33</v>
      </c>
      <c r="AC5803">
        <v>1.8839000000000401</v>
      </c>
      <c r="AD5803">
        <v>-1.0435573581619999</v>
      </c>
      <c r="AE5803">
        <v>-19.449490000000001</v>
      </c>
      <c r="AF5803">
        <v>11.432194123128101</v>
      </c>
      <c r="AG5803">
        <v>-1.0435573581619999</v>
      </c>
      <c r="AH5803">
        <v>15.778717837599199</v>
      </c>
      <c r="AI5803">
        <v>93.065667832598294</v>
      </c>
      <c r="AJ5803">
        <v>54.075448702836702</v>
      </c>
      <c r="AK5803">
        <v>19.512867831952001</v>
      </c>
      <c r="AL5803">
        <v>84.090912836587094</v>
      </c>
      <c r="AM5803">
        <v>60.064148832421601</v>
      </c>
      <c r="AN5803">
        <v>1.0000000361641701</v>
      </c>
    </row>
    <row r="5804" spans="1:40" x14ac:dyDescent="0.25">
      <c r="A5804" t="str">
        <f>"20190312164141763"</f>
        <v>20190312164141763</v>
      </c>
      <c r="B5804" t="str">
        <f>"1552380101751882"</f>
        <v>1552380101751882</v>
      </c>
      <c r="C5804" t="s">
        <v>40</v>
      </c>
      <c r="D5804">
        <v>6.2381799999999998</v>
      </c>
      <c r="E5804">
        <v>0.54593239999999998</v>
      </c>
      <c r="F5804" t="s">
        <v>41</v>
      </c>
      <c r="G5804">
        <v>-302.17880000000002</v>
      </c>
      <c r="H5804" s="1">
        <v>-4.2659899999999996E-6</v>
      </c>
      <c r="I5804">
        <v>-11.61308</v>
      </c>
      <c r="J5804">
        <v>-303.78649999999999</v>
      </c>
      <c r="K5804">
        <v>1.043342</v>
      </c>
      <c r="L5804">
        <v>7.870819</v>
      </c>
      <c r="M5804">
        <v>0.64836059999999995</v>
      </c>
      <c r="N5804">
        <v>0</v>
      </c>
      <c r="O5804">
        <v>-0.76127590000000001</v>
      </c>
      <c r="P5804">
        <v>0.1879856</v>
      </c>
      <c r="Q5804">
        <v>0.112967899999999</v>
      </c>
      <c r="R5804">
        <v>-0.97565389999999996</v>
      </c>
      <c r="S5804">
        <v>0.28131099999999998</v>
      </c>
      <c r="T5804">
        <v>-0.1608542</v>
      </c>
      <c r="U5804">
        <v>-3.0444339999999999</v>
      </c>
      <c r="V5804">
        <v>0.49373080000000003</v>
      </c>
      <c r="W5804">
        <v>0.1024238</v>
      </c>
      <c r="X5804">
        <v>0.86356200000000005</v>
      </c>
      <c r="Y5804">
        <v>0.5755458</v>
      </c>
      <c r="Z5804">
        <v>2.9219499999999999E-2</v>
      </c>
      <c r="AA5804">
        <v>0.81724730000000001</v>
      </c>
      <c r="AB5804">
        <v>34</v>
      </c>
      <c r="AC5804">
        <v>1.6076999999999599</v>
      </c>
      <c r="AD5804">
        <v>-1.0433462659899999</v>
      </c>
      <c r="AE5804">
        <v>-19.483898999999901</v>
      </c>
      <c r="AF5804">
        <v>11.3767861011265</v>
      </c>
      <c r="AG5804">
        <v>-1.0433462659899999</v>
      </c>
      <c r="AH5804">
        <v>15.830599503182199</v>
      </c>
      <c r="AI5804">
        <v>93.063534587683904</v>
      </c>
      <c r="AJ5804">
        <v>54.2967865165718</v>
      </c>
      <c r="AK5804">
        <v>19.522492516369301</v>
      </c>
      <c r="AL5804">
        <v>84.121239358496993</v>
      </c>
      <c r="AM5804">
        <v>60.241776121860099</v>
      </c>
      <c r="AN5804">
        <v>1.00000003275953</v>
      </c>
    </row>
    <row r="5805" spans="1:40" x14ac:dyDescent="0.25">
      <c r="A5805" t="str">
        <f>"20190312164141786"</f>
        <v>20190312164141786</v>
      </c>
      <c r="B5805" t="str">
        <f>"1552380101782138"</f>
        <v>1552380101782138</v>
      </c>
      <c r="C5805" t="s">
        <v>40</v>
      </c>
      <c r="D5805">
        <v>6.2033100000000001</v>
      </c>
      <c r="E5805">
        <v>0.54557419999999901</v>
      </c>
      <c r="F5805" t="s">
        <v>41</v>
      </c>
      <c r="G5805">
        <v>-302.23899999999998</v>
      </c>
      <c r="H5805" s="1">
        <v>-4.1961679999999997E-6</v>
      </c>
      <c r="I5805">
        <v>-11.84967</v>
      </c>
      <c r="J5805">
        <v>-303.57420000000002</v>
      </c>
      <c r="K5805">
        <v>1.043145</v>
      </c>
      <c r="L5805">
        <v>7.600098</v>
      </c>
      <c r="M5805">
        <v>0.63442049999999905</v>
      </c>
      <c r="N5805">
        <v>0</v>
      </c>
      <c r="O5805">
        <v>-0.77293100000000003</v>
      </c>
      <c r="P5805">
        <v>0.1738808</v>
      </c>
      <c r="Q5805">
        <v>0.1124008</v>
      </c>
      <c r="R5805">
        <v>-0.97833099999999995</v>
      </c>
      <c r="S5805">
        <v>0.23913570000000001</v>
      </c>
      <c r="T5805">
        <v>-0.16123080000000001</v>
      </c>
      <c r="U5805">
        <v>-3.0474549999999998</v>
      </c>
      <c r="V5805">
        <v>0.4905639</v>
      </c>
      <c r="W5805">
        <v>0.1017835</v>
      </c>
      <c r="X5805">
        <v>0.86544049999999995</v>
      </c>
      <c r="Y5805">
        <v>0.57198879999999996</v>
      </c>
      <c r="Z5805">
        <v>3.021925E-2</v>
      </c>
      <c r="AA5805">
        <v>0.81970460000000001</v>
      </c>
      <c r="AB5805">
        <v>34</v>
      </c>
      <c r="AC5805">
        <v>1.33519999999998</v>
      </c>
      <c r="AD5805">
        <v>-1.0431491961679999</v>
      </c>
      <c r="AE5805">
        <v>-19.449767999999999</v>
      </c>
      <c r="AF5805">
        <v>11.2755314049319</v>
      </c>
      <c r="AG5805">
        <v>-1.0431491961679999</v>
      </c>
      <c r="AH5805">
        <v>15.835770142756401</v>
      </c>
      <c r="AI5805">
        <v>93.071559933358699</v>
      </c>
      <c r="AJ5805">
        <v>54.5480221440653</v>
      </c>
      <c r="AK5805">
        <v>19.467855164945401</v>
      </c>
      <c r="AL5805">
        <v>84.158118627181096</v>
      </c>
      <c r="AM5805">
        <v>60.453820841397203</v>
      </c>
      <c r="AN5805">
        <v>1.0000000399478499</v>
      </c>
    </row>
    <row r="5806" spans="1:40" x14ac:dyDescent="0.25">
      <c r="A5806" t="str">
        <f>"20190312164141801"</f>
        <v>20190312164141801</v>
      </c>
      <c r="B5806" t="str">
        <f>"1552380101791898"</f>
        <v>1552380101791898</v>
      </c>
      <c r="C5806" t="s">
        <v>40</v>
      </c>
      <c r="D5806">
        <v>6.0193000000000003</v>
      </c>
      <c r="E5806">
        <v>0.54557540000000004</v>
      </c>
      <c r="F5806" t="s">
        <v>41</v>
      </c>
      <c r="G5806">
        <v>-302.28969999999998</v>
      </c>
      <c r="H5806" s="1">
        <v>-4.0427539999999996E-6</v>
      </c>
      <c r="I5806">
        <v>-12.32691</v>
      </c>
      <c r="J5806">
        <v>-303.42489999999998</v>
      </c>
      <c r="K5806">
        <v>1.043013</v>
      </c>
      <c r="L5806">
        <v>7.404083</v>
      </c>
      <c r="M5806">
        <v>0.6242666</v>
      </c>
      <c r="N5806">
        <v>0</v>
      </c>
      <c r="O5806">
        <v>-0.78115509999999999</v>
      </c>
      <c r="P5806">
        <v>0.16279689999999999</v>
      </c>
      <c r="Q5806">
        <v>0.11193939999999999</v>
      </c>
      <c r="R5806">
        <v>-0.98028919999999997</v>
      </c>
      <c r="S5806">
        <v>0.1965942</v>
      </c>
      <c r="T5806">
        <v>-0.1596543</v>
      </c>
      <c r="U5806">
        <v>-3.0498349999999999</v>
      </c>
      <c r="V5806">
        <v>0.48909340000000001</v>
      </c>
      <c r="W5806">
        <v>0.1012427</v>
      </c>
      <c r="X5806">
        <v>0.86633570000000004</v>
      </c>
      <c r="Y5806">
        <v>0.57269939999999997</v>
      </c>
      <c r="Z5806">
        <v>3.051067E-2</v>
      </c>
      <c r="AA5806">
        <v>0.81919750000000002</v>
      </c>
      <c r="AB5806">
        <v>34</v>
      </c>
      <c r="AC5806">
        <v>1.13519999999999</v>
      </c>
      <c r="AD5806">
        <v>-1.043017042754</v>
      </c>
      <c r="AE5806">
        <v>-19.730993000000002</v>
      </c>
      <c r="AF5806">
        <v>11.3993860967414</v>
      </c>
      <c r="AG5806">
        <v>-1.043017042754</v>
      </c>
      <c r="AH5806">
        <v>16.077563480545699</v>
      </c>
      <c r="AI5806">
        <v>93.029356881617005</v>
      </c>
      <c r="AJ5806">
        <v>54.662425793433897</v>
      </c>
      <c r="AK5806">
        <v>19.7363100757217</v>
      </c>
      <c r="AL5806">
        <v>84.189264798602395</v>
      </c>
      <c r="AM5806">
        <v>60.552920047606399</v>
      </c>
      <c r="AN5806">
        <v>0.99999999166067</v>
      </c>
    </row>
    <row r="5807" spans="1:40" x14ac:dyDescent="0.25">
      <c r="A5807" t="str">
        <f>"20190312164141820"</f>
        <v>20190312164141820</v>
      </c>
      <c r="B5807" t="str">
        <f>"1552380101811417"</f>
        <v>1552380101811417</v>
      </c>
      <c r="C5807" t="s">
        <v>40</v>
      </c>
      <c r="D5807">
        <v>5.9863019999999896</v>
      </c>
      <c r="E5807">
        <v>0.54537619999999998</v>
      </c>
      <c r="F5807" t="s">
        <v>41</v>
      </c>
      <c r="G5807">
        <v>-302.36619999999999</v>
      </c>
      <c r="H5807" s="1">
        <v>-3.9550810000000002E-6</v>
      </c>
      <c r="I5807">
        <v>-12.6244</v>
      </c>
      <c r="J5807">
        <v>-303.2534</v>
      </c>
      <c r="K5807">
        <v>1.0428599999999999</v>
      </c>
      <c r="L5807">
        <v>7.1719059999999999</v>
      </c>
      <c r="M5807">
        <v>0.6121955</v>
      </c>
      <c r="N5807">
        <v>0</v>
      </c>
      <c r="O5807">
        <v>-0.79065069999999904</v>
      </c>
      <c r="P5807">
        <v>0.15153069999999999</v>
      </c>
      <c r="Q5807">
        <v>0.11160050000000001</v>
      </c>
      <c r="R5807">
        <v>-0.98213229999999996</v>
      </c>
      <c r="S5807">
        <v>0.16131589999999901</v>
      </c>
      <c r="T5807">
        <v>-0.15892229999999999</v>
      </c>
      <c r="U5807">
        <v>-3.0516969999999999</v>
      </c>
      <c r="V5807">
        <v>0.48577320000000002</v>
      </c>
      <c r="W5807">
        <v>0.1008902</v>
      </c>
      <c r="X5807">
        <v>0.86824279999999998</v>
      </c>
      <c r="Y5807">
        <v>0.5695791</v>
      </c>
      <c r="Z5807">
        <v>3.1129790000000001E-2</v>
      </c>
      <c r="AA5807">
        <v>0.82134680000000004</v>
      </c>
      <c r="AB5807">
        <v>34</v>
      </c>
      <c r="AC5807">
        <v>0.88720000000000698</v>
      </c>
      <c r="AD5807">
        <v>-1.0428639550809999</v>
      </c>
      <c r="AE5807">
        <v>-19.796306000000001</v>
      </c>
      <c r="AF5807">
        <v>11.3867108361553</v>
      </c>
      <c r="AG5807">
        <v>-1.0428639550809999</v>
      </c>
      <c r="AH5807">
        <v>16.1510849183326</v>
      </c>
      <c r="AI5807">
        <v>93.020848207251504</v>
      </c>
      <c r="AJ5807">
        <v>54.815698995898799</v>
      </c>
      <c r="AK5807">
        <v>19.788943704357202</v>
      </c>
      <c r="AL5807">
        <v>84.209565538492498</v>
      </c>
      <c r="AM5807">
        <v>60.773421558748502</v>
      </c>
      <c r="AN5807">
        <v>0.99999999702305997</v>
      </c>
    </row>
    <row r="5808" spans="1:40" x14ac:dyDescent="0.25">
      <c r="A5808" t="str">
        <f>"20190312164141841"</f>
        <v>20190312164141841</v>
      </c>
      <c r="B5808" t="str">
        <f>"1552380101831914"</f>
        <v>1552380101831914</v>
      </c>
      <c r="C5808" t="s">
        <v>40</v>
      </c>
      <c r="D5808">
        <v>6.0284839999999997</v>
      </c>
      <c r="E5808">
        <v>0.54489739999999998</v>
      </c>
      <c r="F5808" t="s">
        <v>41</v>
      </c>
      <c r="G5808">
        <v>-302.42200000000003</v>
      </c>
      <c r="H5808" s="1">
        <v>-3.8793399999999997E-6</v>
      </c>
      <c r="I5808">
        <v>-12.87022</v>
      </c>
      <c r="J5808">
        <v>-303.06150000000002</v>
      </c>
      <c r="K5808">
        <v>1.0427029999999999</v>
      </c>
      <c r="L5808">
        <v>6.9029850000000001</v>
      </c>
      <c r="M5808">
        <v>0.59815750000000001</v>
      </c>
      <c r="N5808">
        <v>0</v>
      </c>
      <c r="O5808">
        <v>-0.80132369999999997</v>
      </c>
      <c r="P5808">
        <v>0.1383064</v>
      </c>
      <c r="Q5808">
        <v>0.11152720000000001</v>
      </c>
      <c r="R5808">
        <v>-0.98409009999999997</v>
      </c>
      <c r="S5808">
        <v>0.12664790000000001</v>
      </c>
      <c r="T5808">
        <v>-0.1588638</v>
      </c>
      <c r="U5808">
        <v>-3.0531009999999998</v>
      </c>
      <c r="V5808">
        <v>0.48217330000000003</v>
      </c>
      <c r="W5808">
        <v>0.1008067</v>
      </c>
      <c r="X5808">
        <v>0.87025680000000005</v>
      </c>
      <c r="Y5808">
        <v>0.56440369999999995</v>
      </c>
      <c r="Z5808">
        <v>3.2009450000000002E-2</v>
      </c>
      <c r="AA5808">
        <v>0.82487819999999901</v>
      </c>
      <c r="AB5808">
        <v>34</v>
      </c>
      <c r="AC5808">
        <v>0.63949999999999796</v>
      </c>
      <c r="AD5808">
        <v>-1.0427068793400001</v>
      </c>
      <c r="AE5808">
        <v>-19.773204999999901</v>
      </c>
      <c r="AF5808">
        <v>11.2841955341264</v>
      </c>
      <c r="AG5808">
        <v>-1.0427068793400001</v>
      </c>
      <c r="AH5808">
        <v>16.183018240111402</v>
      </c>
      <c r="AI5808">
        <v>93.025391971603895</v>
      </c>
      <c r="AJ5808">
        <v>55.1124675538655</v>
      </c>
      <c r="AK5808">
        <v>19.756274594376301</v>
      </c>
      <c r="AL5808">
        <v>84.214374210949998</v>
      </c>
      <c r="AM5808">
        <v>61.010976391085599</v>
      </c>
      <c r="AN5808">
        <v>0.99999998997201001</v>
      </c>
    </row>
    <row r="5809" spans="1:40" x14ac:dyDescent="0.25">
      <c r="A5809" t="str">
        <f>"20190312164141864"</f>
        <v>20190312164141864</v>
      </c>
      <c r="B5809" t="str">
        <f>"1552380101851434"</f>
        <v>1552380101851434</v>
      </c>
      <c r="C5809" t="s">
        <v>40</v>
      </c>
      <c r="D5809">
        <v>7.0387810000000002</v>
      </c>
      <c r="E5809">
        <v>0.54442230000000003</v>
      </c>
      <c r="F5809" t="s">
        <v>41</v>
      </c>
      <c r="G5809">
        <v>-302.47160000000002</v>
      </c>
      <c r="H5809" s="1">
        <v>-3.693322E-6</v>
      </c>
      <c r="I5809">
        <v>-13.3346</v>
      </c>
      <c r="J5809">
        <v>-302.86290000000002</v>
      </c>
      <c r="K5809">
        <v>1.0425530000000001</v>
      </c>
      <c r="L5809">
        <v>6.6135859999999997</v>
      </c>
      <c r="M5809">
        <v>0.58299330000000005</v>
      </c>
      <c r="N5809">
        <v>0</v>
      </c>
      <c r="O5809">
        <v>-0.81242259999999999</v>
      </c>
      <c r="P5809">
        <v>0.1285607</v>
      </c>
      <c r="Q5809">
        <v>0.11130660000000001</v>
      </c>
      <c r="R5809">
        <v>-0.98543559999999997</v>
      </c>
      <c r="S5809">
        <v>8.9019780000000007E-2</v>
      </c>
      <c r="T5809">
        <v>-0.1573435</v>
      </c>
      <c r="U5809">
        <v>-3.053833</v>
      </c>
      <c r="V5809">
        <v>0.4744524</v>
      </c>
      <c r="W5809">
        <v>0.10076400000000001</v>
      </c>
      <c r="X5809">
        <v>0.87449500000000002</v>
      </c>
      <c r="Y5809">
        <v>0.55904370000000003</v>
      </c>
      <c r="Z5809">
        <v>3.2628070000000002E-2</v>
      </c>
      <c r="AA5809">
        <v>0.82849589999999995</v>
      </c>
      <c r="AB5809">
        <v>34</v>
      </c>
      <c r="AC5809">
        <v>0.39130000000000098</v>
      </c>
      <c r="AD5809">
        <v>-1.0425566933220001</v>
      </c>
      <c r="AE5809">
        <v>-19.948186</v>
      </c>
      <c r="AF5809">
        <v>11.281454618818399</v>
      </c>
      <c r="AG5809">
        <v>-1.0425566933220001</v>
      </c>
      <c r="AH5809">
        <v>16.390455882725099</v>
      </c>
      <c r="AI5809">
        <v>92.999318534839006</v>
      </c>
      <c r="AJ5809">
        <v>55.460591601100802</v>
      </c>
      <c r="AK5809">
        <v>19.924989004233002</v>
      </c>
      <c r="AL5809">
        <v>84.216833228818999</v>
      </c>
      <c r="AM5809">
        <v>61.518201647111901</v>
      </c>
      <c r="AN5809">
        <v>0.999999984293379</v>
      </c>
    </row>
    <row r="5810" spans="1:40" x14ac:dyDescent="0.25">
      <c r="A5810" t="str">
        <f>"20190312164141886"</f>
        <v>20190312164141886</v>
      </c>
      <c r="B5810" t="str">
        <f>"1552380101881691"</f>
        <v>1552380101881691</v>
      </c>
      <c r="C5810" t="s">
        <v>40</v>
      </c>
      <c r="D5810">
        <v>6.0303319999999996</v>
      </c>
      <c r="E5810">
        <v>0.54367540000000003</v>
      </c>
      <c r="F5810" t="s">
        <v>41</v>
      </c>
      <c r="G5810">
        <v>-302.4547</v>
      </c>
      <c r="H5810" s="1">
        <v>-3.4805439999999999E-6</v>
      </c>
      <c r="I5810">
        <v>-13.820119999999999</v>
      </c>
      <c r="J5810">
        <v>-302.6694</v>
      </c>
      <c r="K5810">
        <v>1.0424</v>
      </c>
      <c r="L5810">
        <v>6.3204349999999998</v>
      </c>
      <c r="M5810">
        <v>0.56757299999999999</v>
      </c>
      <c r="N5810">
        <v>0</v>
      </c>
      <c r="O5810">
        <v>-0.82326949999999999</v>
      </c>
      <c r="P5810">
        <v>0.1153479</v>
      </c>
      <c r="Q5810">
        <v>0.1123571</v>
      </c>
      <c r="R5810">
        <v>-0.98695040000000001</v>
      </c>
      <c r="S5810">
        <v>6.1004639999999999E-2</v>
      </c>
      <c r="T5810">
        <v>-0.1558186</v>
      </c>
      <c r="U5810">
        <v>-3.0539860000000001</v>
      </c>
      <c r="V5810">
        <v>0.46968100000000002</v>
      </c>
      <c r="W5810">
        <v>0.10187590000000001</v>
      </c>
      <c r="X5810">
        <v>0.87693849999999995</v>
      </c>
      <c r="Y5810">
        <v>0.55098829999999999</v>
      </c>
      <c r="Z5810">
        <v>3.3263550000000003E-2</v>
      </c>
      <c r="AA5810">
        <v>0.83384979999999997</v>
      </c>
      <c r="AB5810">
        <v>34</v>
      </c>
      <c r="AC5810">
        <v>0.21469999999999301</v>
      </c>
      <c r="AD5810">
        <v>-1.0424034805439999</v>
      </c>
      <c r="AE5810">
        <v>-20.140554999999999</v>
      </c>
      <c r="AF5810">
        <v>11.224910648327899</v>
      </c>
      <c r="AG5810">
        <v>-1.0424034805439999</v>
      </c>
      <c r="AH5810">
        <v>16.6590792901554</v>
      </c>
      <c r="AI5810">
        <v>92.970535037950597</v>
      </c>
      <c r="AJ5810">
        <v>56.027855801873699</v>
      </c>
      <c r="AK5810">
        <v>20.114923486677199</v>
      </c>
      <c r="AL5810">
        <v>84.152796815228598</v>
      </c>
      <c r="AM5810">
        <v>61.8268666753102</v>
      </c>
      <c r="AN5810">
        <v>1.0000000367720201</v>
      </c>
    </row>
    <row r="5811" spans="1:40" x14ac:dyDescent="0.25">
      <c r="A5811" t="str">
        <f>"20190312164141909"</f>
        <v>20190312164141909</v>
      </c>
      <c r="B5811" t="str">
        <f>"1552380101902189"</f>
        <v>1552380101902189</v>
      </c>
      <c r="C5811" t="s">
        <v>40</v>
      </c>
      <c r="D5811">
        <v>6.0478120000000004</v>
      </c>
      <c r="E5811">
        <v>0.52908920000000004</v>
      </c>
      <c r="F5811" t="s">
        <v>41</v>
      </c>
      <c r="G5811">
        <v>-302.49189999999999</v>
      </c>
      <c r="H5811" s="1">
        <v>-3.0762829999999998E-6</v>
      </c>
      <c r="I5811">
        <v>-14.785500000000001</v>
      </c>
      <c r="J5811">
        <v>-302.47710000000001</v>
      </c>
      <c r="K5811">
        <v>1.0422499999999999</v>
      </c>
      <c r="L5811">
        <v>6.0168460000000001</v>
      </c>
      <c r="M5811">
        <v>0.55155189999999998</v>
      </c>
      <c r="N5811">
        <v>0</v>
      </c>
      <c r="O5811">
        <v>-0.83408760000000004</v>
      </c>
      <c r="P5811">
        <v>0.10227749999999999</v>
      </c>
      <c r="Q5811">
        <v>0.11282499999999999</v>
      </c>
      <c r="R5811">
        <v>-0.98833700000000002</v>
      </c>
      <c r="S5811">
        <v>2.5695800000000001E-2</v>
      </c>
      <c r="T5811">
        <v>-0.15082609999999999</v>
      </c>
      <c r="U5811">
        <v>-3.053833</v>
      </c>
      <c r="V5811">
        <v>0.46434609999999898</v>
      </c>
      <c r="W5811">
        <v>0.1024409</v>
      </c>
      <c r="X5811">
        <v>0.87970939999999997</v>
      </c>
      <c r="Y5811">
        <v>0.54448490000000005</v>
      </c>
      <c r="Z5811">
        <v>3.3092879999999998E-2</v>
      </c>
      <c r="AA5811">
        <v>0.83811749999999996</v>
      </c>
      <c r="AB5811">
        <v>34</v>
      </c>
      <c r="AC5811">
        <v>-1.4799999999979699E-2</v>
      </c>
      <c r="AD5811">
        <v>-1.04225307628299</v>
      </c>
      <c r="AE5811">
        <v>-20.802346</v>
      </c>
      <c r="AF5811">
        <v>11.457663636019999</v>
      </c>
      <c r="AG5811">
        <v>-1.04225307628299</v>
      </c>
      <c r="AH5811">
        <v>17.300154120044098</v>
      </c>
      <c r="AI5811">
        <v>92.875460445078303</v>
      </c>
      <c r="AJ5811">
        <v>56.484017165514302</v>
      </c>
      <c r="AK5811">
        <v>20.776421252190499</v>
      </c>
      <c r="AL5811">
        <v>84.120254424342804</v>
      </c>
      <c r="AM5811">
        <v>62.173100528254601</v>
      </c>
      <c r="AN5811">
        <v>1.00000003351318</v>
      </c>
    </row>
    <row r="5812" spans="1:40" x14ac:dyDescent="0.25">
      <c r="A5812" t="str">
        <f>"20190312164141930"</f>
        <v>20190312164141930</v>
      </c>
      <c r="B5812" t="str">
        <f>"1552380101921706"</f>
        <v>1552380101921706</v>
      </c>
      <c r="C5812" t="s">
        <v>40</v>
      </c>
      <c r="D5812">
        <v>5.9711759999999998</v>
      </c>
      <c r="E5812">
        <v>0.52910040000000003</v>
      </c>
      <c r="F5812" t="s">
        <v>41</v>
      </c>
      <c r="G5812">
        <v>-301.7543</v>
      </c>
      <c r="H5812" s="1">
        <v>-2.3632800000000002E-6</v>
      </c>
      <c r="I5812">
        <v>-15.9901</v>
      </c>
      <c r="J5812">
        <v>-302.30399999999997</v>
      </c>
      <c r="K5812">
        <v>1.042114</v>
      </c>
      <c r="L5812">
        <v>5.7324519999999897</v>
      </c>
      <c r="M5812">
        <v>0.53650410000000004</v>
      </c>
      <c r="N5812">
        <v>0</v>
      </c>
      <c r="O5812">
        <v>-0.84384509999999902</v>
      </c>
      <c r="P5812">
        <v>9.0942990000000001E-2</v>
      </c>
      <c r="Q5812">
        <v>0.1125319</v>
      </c>
      <c r="R5812">
        <v>-0.98947750000000001</v>
      </c>
      <c r="S5812">
        <v>9.9884029999999999E-2</v>
      </c>
      <c r="T5812">
        <v>-0.14404610000000001</v>
      </c>
      <c r="U5812">
        <v>-3.0415040000000002</v>
      </c>
      <c r="V5812">
        <v>0.45867639999999998</v>
      </c>
      <c r="W5812">
        <v>0.1022815</v>
      </c>
      <c r="X5812">
        <v>0.88269719999999996</v>
      </c>
      <c r="Y5812">
        <v>0.50851590000000002</v>
      </c>
      <c r="Z5812">
        <v>3.2972410000000001E-2</v>
      </c>
      <c r="AA5812">
        <v>0.86042109999999905</v>
      </c>
      <c r="AB5812">
        <v>34</v>
      </c>
      <c r="AC5812">
        <v>0.54970000000002905</v>
      </c>
      <c r="AD5812">
        <v>-1.0421163632799999</v>
      </c>
      <c r="AE5812">
        <v>-21.722552</v>
      </c>
      <c r="AF5812">
        <v>11.1651931998389</v>
      </c>
      <c r="AG5812">
        <v>-1.0421163632799999</v>
      </c>
      <c r="AH5812">
        <v>18.583469909530699</v>
      </c>
      <c r="AI5812">
        <v>92.752026250714906</v>
      </c>
      <c r="AJ5812">
        <v>59.001998118696903</v>
      </c>
      <c r="AK5812">
        <v>21.704674602093899</v>
      </c>
      <c r="AL5812">
        <v>84.129435081854695</v>
      </c>
      <c r="AM5812">
        <v>62.542234914382497</v>
      </c>
      <c r="AN5812">
        <v>0.99999994602352305</v>
      </c>
    </row>
    <row r="5813" spans="1:40" x14ac:dyDescent="0.25">
      <c r="A5813" t="str">
        <f>"20190312164141953"</f>
        <v>20190312164141953</v>
      </c>
      <c r="B5813" t="str">
        <f>"1552380101941733"</f>
        <v>1552380101941733</v>
      </c>
      <c r="C5813" t="s">
        <v>40</v>
      </c>
      <c r="D5813">
        <v>6.0569139999999999</v>
      </c>
      <c r="E5813">
        <v>0.52789180000000002</v>
      </c>
      <c r="F5813" t="s">
        <v>41</v>
      </c>
      <c r="G5813">
        <v>-301.85989999999998</v>
      </c>
      <c r="H5813" s="1">
        <v>-2.4769189999999998E-6</v>
      </c>
      <c r="I5813">
        <v>-15.790699999999999</v>
      </c>
      <c r="J5813">
        <v>-302.12720000000002</v>
      </c>
      <c r="K5813">
        <v>1.041979</v>
      </c>
      <c r="L5813">
        <v>5.429932</v>
      </c>
      <c r="M5813">
        <v>0.52045799999999998</v>
      </c>
      <c r="N5813">
        <v>0</v>
      </c>
      <c r="O5813">
        <v>-0.85383519999999902</v>
      </c>
      <c r="P5813">
        <v>7.87881E-2</v>
      </c>
      <c r="Q5813">
        <v>0.11191570000000001</v>
      </c>
      <c r="R5813">
        <v>-0.99058919999999995</v>
      </c>
      <c r="S5813">
        <v>6.2774659999999996E-2</v>
      </c>
      <c r="T5813">
        <v>-0.1473312</v>
      </c>
      <c r="U5813">
        <v>-3.0428769999999998</v>
      </c>
      <c r="V5813">
        <v>0.45285839999999999</v>
      </c>
      <c r="W5813">
        <v>0.1018114</v>
      </c>
      <c r="X5813">
        <v>0.88575040000000005</v>
      </c>
      <c r="Y5813">
        <v>0.50272829999999902</v>
      </c>
      <c r="Z5813">
        <v>3.4504060000000003E-2</v>
      </c>
      <c r="AA5813">
        <v>0.86375559999999996</v>
      </c>
      <c r="AB5813">
        <v>34</v>
      </c>
      <c r="AC5813">
        <v>0.26730000000003401</v>
      </c>
      <c r="AD5813">
        <v>-1.0419814769189999</v>
      </c>
      <c r="AE5813">
        <v>-21.220631999999998</v>
      </c>
      <c r="AF5813">
        <v>10.7906858842635</v>
      </c>
      <c r="AG5813">
        <v>-1.0419814769189999</v>
      </c>
      <c r="AH5813">
        <v>18.214942928146101</v>
      </c>
      <c r="AI5813">
        <v>92.817638315110202</v>
      </c>
      <c r="AJ5813">
        <v>59.357141702192102</v>
      </c>
      <c r="AK5813">
        <v>21.196904800623798</v>
      </c>
      <c r="AL5813">
        <v>84.1565116770321</v>
      </c>
      <c r="AM5813">
        <v>62.920661504295701</v>
      </c>
      <c r="AN5813">
        <v>1.0000000313603301</v>
      </c>
    </row>
    <row r="5814" spans="1:40" x14ac:dyDescent="0.25">
      <c r="A5814" t="str">
        <f>"20190312164141975"</f>
        <v>20190312164141975</v>
      </c>
      <c r="B5814" t="str">
        <f>"1552380101971990"</f>
        <v>1552380101971990</v>
      </c>
      <c r="C5814" t="s">
        <v>40</v>
      </c>
      <c r="D5814">
        <v>6.0667460000000002</v>
      </c>
      <c r="E5814">
        <v>0.52635769999999904</v>
      </c>
      <c r="F5814" t="s">
        <v>41</v>
      </c>
      <c r="G5814">
        <v>-301.88909999999998</v>
      </c>
      <c r="H5814" s="1">
        <v>-2.503129E-6</v>
      </c>
      <c r="I5814">
        <v>-15.74769</v>
      </c>
      <c r="J5814">
        <v>-301.95269999999999</v>
      </c>
      <c r="K5814">
        <v>1.041852</v>
      </c>
      <c r="L5814">
        <v>5.1182559999999997</v>
      </c>
      <c r="M5814">
        <v>0.50389459999999997</v>
      </c>
      <c r="N5814">
        <v>0</v>
      </c>
      <c r="O5814">
        <v>-0.86371359999999997</v>
      </c>
      <c r="P5814">
        <v>6.6715360000000001E-2</v>
      </c>
      <c r="Q5814">
        <v>0.11281670000000001</v>
      </c>
      <c r="R5814">
        <v>-0.99137339999999996</v>
      </c>
      <c r="S5814">
        <v>3.4210209999999998E-2</v>
      </c>
      <c r="T5814">
        <v>-0.1497067</v>
      </c>
      <c r="U5814">
        <v>-3.042694</v>
      </c>
      <c r="V5814">
        <v>0.4465674</v>
      </c>
      <c r="W5814">
        <v>0.1028891</v>
      </c>
      <c r="X5814">
        <v>0.88881460000000001</v>
      </c>
      <c r="Y5814">
        <v>0.49413980000000002</v>
      </c>
      <c r="Z5814">
        <v>3.590256E-2</v>
      </c>
      <c r="AA5814">
        <v>0.86864079999999999</v>
      </c>
      <c r="AB5814">
        <v>34</v>
      </c>
      <c r="AC5814">
        <v>6.3600000000008095E-2</v>
      </c>
      <c r="AD5814">
        <v>-1.0418545031290001</v>
      </c>
      <c r="AE5814">
        <v>-20.865946000000001</v>
      </c>
      <c r="AF5814">
        <v>10.4337589957348</v>
      </c>
      <c r="AG5814">
        <v>-1.0418545031290001</v>
      </c>
      <c r="AH5814">
        <v>18.010152429107499</v>
      </c>
      <c r="AI5814">
        <v>92.865554481535995</v>
      </c>
      <c r="AJ5814">
        <v>59.9151493959506</v>
      </c>
      <c r="AK5814">
        <v>20.840210606096498</v>
      </c>
      <c r="AL5814">
        <v>84.094437852275206</v>
      </c>
      <c r="AM5814">
        <v>63.323659688066698</v>
      </c>
      <c r="AN5814">
        <v>1.00000000140736</v>
      </c>
    </row>
    <row r="5815" spans="1:40" x14ac:dyDescent="0.25">
      <c r="A5815" t="str">
        <f>"20190312164141999"</f>
        <v>20190312164141999</v>
      </c>
      <c r="B5815" t="str">
        <f>"1552380101991510"</f>
        <v>1552380101991510</v>
      </c>
      <c r="C5815" t="s">
        <v>40</v>
      </c>
      <c r="D5815">
        <v>6.0213460000000003</v>
      </c>
      <c r="E5815">
        <v>0.52576909999999999</v>
      </c>
      <c r="F5815" t="s">
        <v>41</v>
      </c>
      <c r="G5815">
        <v>-301.8929</v>
      </c>
      <c r="H5815" s="1">
        <v>-3.7479760000000001E-6</v>
      </c>
      <c r="I5815">
        <v>-12.848280000000001</v>
      </c>
      <c r="J5815">
        <v>-301.78149999999999</v>
      </c>
      <c r="K5815">
        <v>1.0417379999999901</v>
      </c>
      <c r="L5815">
        <v>4.7985530000000001</v>
      </c>
      <c r="M5815">
        <v>0.48688330000000002</v>
      </c>
      <c r="N5815">
        <v>0</v>
      </c>
      <c r="O5815">
        <v>-0.87341589999999902</v>
      </c>
      <c r="P5815">
        <v>5.5615329999999998E-2</v>
      </c>
      <c r="Q5815">
        <v>0.1152261</v>
      </c>
      <c r="R5815">
        <v>-0.99178120000000003</v>
      </c>
      <c r="S5815">
        <v>1.013184E-2</v>
      </c>
      <c r="T5815">
        <v>-0.1766064</v>
      </c>
      <c r="U5815">
        <v>-3.0455320000000001</v>
      </c>
      <c r="V5815">
        <v>0.43908439999999999</v>
      </c>
      <c r="W5815">
        <v>0.1055392</v>
      </c>
      <c r="X5815">
        <v>0.89222549999999901</v>
      </c>
      <c r="Y5815">
        <v>0.48394559999999998</v>
      </c>
      <c r="Z5815">
        <v>4.3295989999999999E-2</v>
      </c>
      <c r="AA5815">
        <v>0.87402639999999998</v>
      </c>
      <c r="AB5815">
        <v>34</v>
      </c>
      <c r="AC5815">
        <v>-0.111400000000003</v>
      </c>
      <c r="AD5815">
        <v>-1.0417417479759901</v>
      </c>
      <c r="AE5815">
        <v>-17.646832999999901</v>
      </c>
      <c r="AF5815">
        <v>8.6594590083893195</v>
      </c>
      <c r="AG5815">
        <v>-1.0417417479759901</v>
      </c>
      <c r="AH5815">
        <v>15.3061339178035</v>
      </c>
      <c r="AI5815">
        <v>93.390086840762905</v>
      </c>
      <c r="AJ5815">
        <v>60.500949668364299</v>
      </c>
      <c r="AK5815">
        <v>17.616730448559</v>
      </c>
      <c r="AL5815">
        <v>83.941766867739403</v>
      </c>
      <c r="AM5815">
        <v>63.797155269032899</v>
      </c>
      <c r="AN5815">
        <v>0.99999998795512401</v>
      </c>
    </row>
    <row r="5816" spans="1:40" x14ac:dyDescent="0.25">
      <c r="A5816" t="str">
        <f>"20190312164142019"</f>
        <v>20190312164142019</v>
      </c>
      <c r="B5816" t="str">
        <f>"1552380102012009"</f>
        <v>1552380102012009</v>
      </c>
      <c r="C5816" t="s">
        <v>40</v>
      </c>
      <c r="D5816">
        <v>6.0673629999999896</v>
      </c>
      <c r="E5816">
        <v>0.5249393</v>
      </c>
      <c r="F5816" t="s">
        <v>41</v>
      </c>
      <c r="G5816">
        <v>-301.90210000000002</v>
      </c>
      <c r="H5816" s="1">
        <v>-3.5579459999999998E-6</v>
      </c>
      <c r="I5816">
        <v>-13.296939999999999</v>
      </c>
      <c r="J5816">
        <v>-301.62529999999998</v>
      </c>
      <c r="K5816">
        <v>1.0416299999999901</v>
      </c>
      <c r="L5816">
        <v>4.4921569999999997</v>
      </c>
      <c r="M5816">
        <v>0.4705783</v>
      </c>
      <c r="N5816">
        <v>0</v>
      </c>
      <c r="O5816">
        <v>-0.88230739999999996</v>
      </c>
      <c r="P5816">
        <v>4.6443760000000001E-2</v>
      </c>
      <c r="Q5816">
        <v>0.1176914</v>
      </c>
      <c r="R5816">
        <v>-0.9919637</v>
      </c>
      <c r="S5816">
        <v>-2.029419E-2</v>
      </c>
      <c r="T5816">
        <v>-0.175377799999999</v>
      </c>
      <c r="U5816">
        <v>-3.0463870000000002</v>
      </c>
      <c r="V5816">
        <v>0.4307337</v>
      </c>
      <c r="W5816">
        <v>0.1083027</v>
      </c>
      <c r="X5816">
        <v>0.89595709999999995</v>
      </c>
      <c r="Y5816">
        <v>0.47640969999999999</v>
      </c>
      <c r="Z5816">
        <v>4.3859259999999997E-2</v>
      </c>
      <c r="AA5816">
        <v>0.87812880000000004</v>
      </c>
      <c r="AB5816">
        <v>34</v>
      </c>
      <c r="AC5816">
        <v>-0.27680000000003702</v>
      </c>
      <c r="AD5816">
        <v>-1.0416335579460001</v>
      </c>
      <c r="AE5816">
        <v>-17.789096999999899</v>
      </c>
      <c r="AF5816">
        <v>8.5863398479083397</v>
      </c>
      <c r="AG5816">
        <v>-1.0416335579460001</v>
      </c>
      <c r="AH5816">
        <v>15.512719431136301</v>
      </c>
      <c r="AI5816">
        <v>93.362159938268604</v>
      </c>
      <c r="AJ5816">
        <v>61.035331692334204</v>
      </c>
      <c r="AK5816">
        <v>17.7610443556107</v>
      </c>
      <c r="AL5816">
        <v>83.782517480892395</v>
      </c>
      <c r="AM5816">
        <v>64.323958575845296</v>
      </c>
      <c r="AN5816">
        <v>1.0000000600916901</v>
      </c>
    </row>
    <row r="5817" spans="1:40" x14ac:dyDescent="0.25">
      <c r="A5817" t="str">
        <f>"20190312164142042"</f>
        <v>20190312164142042</v>
      </c>
      <c r="B5817" t="str">
        <f>"1552380102031526"</f>
        <v>1552380102031526</v>
      </c>
      <c r="C5817" t="s">
        <v>40</v>
      </c>
      <c r="D5817">
        <v>6.0868659999999997</v>
      </c>
      <c r="E5817">
        <v>0.52441669999999996</v>
      </c>
      <c r="F5817" t="s">
        <v>41</v>
      </c>
      <c r="G5817">
        <v>-301.8974</v>
      </c>
      <c r="H5817" s="1">
        <v>-2.8355709999999998E-6</v>
      </c>
      <c r="I5817">
        <v>-14.977930000000001</v>
      </c>
      <c r="J5817">
        <v>-301.47320000000002</v>
      </c>
      <c r="K5817">
        <v>1.041531</v>
      </c>
      <c r="L5817">
        <v>4.1802060000000001</v>
      </c>
      <c r="M5817">
        <v>0.45398129999999998</v>
      </c>
      <c r="N5817">
        <v>0</v>
      </c>
      <c r="O5817">
        <v>-0.89096089999999994</v>
      </c>
      <c r="P5817">
        <v>3.6776160000000002E-2</v>
      </c>
      <c r="Q5817">
        <v>0.11872340000000001</v>
      </c>
      <c r="R5817">
        <v>-0.99224630000000003</v>
      </c>
      <c r="S5817">
        <v>-4.2572020000000002E-2</v>
      </c>
      <c r="T5817">
        <v>-0.16293820000000001</v>
      </c>
      <c r="U5817">
        <v>-3.0456240000000001</v>
      </c>
      <c r="V5817">
        <v>0.42268509999999998</v>
      </c>
      <c r="W5817">
        <v>0.1096285</v>
      </c>
      <c r="X5817">
        <v>0.89962149999999996</v>
      </c>
      <c r="Y5817">
        <v>0.46635749999999998</v>
      </c>
      <c r="Z5817">
        <v>4.1597589999999997E-2</v>
      </c>
      <c r="AA5817">
        <v>0.88361780000000001</v>
      </c>
      <c r="AB5817">
        <v>35</v>
      </c>
      <c r="AC5817">
        <v>-0.42419999999998398</v>
      </c>
      <c r="AD5817">
        <v>-1.041533835571</v>
      </c>
      <c r="AE5817">
        <v>-19.158135999999999</v>
      </c>
      <c r="AF5817">
        <v>9.0490559979660805</v>
      </c>
      <c r="AG5817">
        <v>-1.041533835571</v>
      </c>
      <c r="AH5817">
        <v>16.827617086162299</v>
      </c>
      <c r="AI5817">
        <v>93.120238305930201</v>
      </c>
      <c r="AJ5817">
        <v>61.730845320523301</v>
      </c>
      <c r="AK5817">
        <v>19.134756439094399</v>
      </c>
      <c r="AL5817">
        <v>83.706099153772698</v>
      </c>
      <c r="AM5817">
        <v>64.833622817893598</v>
      </c>
      <c r="AN5817">
        <v>0.99999997251825401</v>
      </c>
    </row>
    <row r="5818" spans="1:40" x14ac:dyDescent="0.25">
      <c r="A5818" t="str">
        <f>"20190312164142065"</f>
        <v>20190312164142065</v>
      </c>
      <c r="B5818" t="str">
        <f>"1552380102062289"</f>
        <v>1552380102062289</v>
      </c>
      <c r="C5818" t="s">
        <v>40</v>
      </c>
      <c r="D5818">
        <v>6.4729140000000003</v>
      </c>
      <c r="E5818">
        <v>0.52362540000000002</v>
      </c>
      <c r="F5818" t="s">
        <v>41</v>
      </c>
      <c r="G5818">
        <v>-301.89490000000001</v>
      </c>
      <c r="H5818" s="1">
        <v>-2.776983E-6</v>
      </c>
      <c r="I5818">
        <v>-15.112909999999999</v>
      </c>
      <c r="J5818">
        <v>-301.32100000000003</v>
      </c>
      <c r="K5818">
        <v>1.0414460000000001</v>
      </c>
      <c r="L5818">
        <v>3.8525999999999998</v>
      </c>
      <c r="M5818">
        <v>0.43656149999999999</v>
      </c>
      <c r="N5818">
        <v>0</v>
      </c>
      <c r="O5818">
        <v>-0.89962439999999999</v>
      </c>
      <c r="P5818">
        <v>2.7604380000000001E-2</v>
      </c>
      <c r="Q5818">
        <v>0.11882909999999999</v>
      </c>
      <c r="R5818">
        <v>-0.99253119999999995</v>
      </c>
      <c r="S5818">
        <v>-6.6558839999999994E-2</v>
      </c>
      <c r="T5818">
        <v>-0.16441549999999999</v>
      </c>
      <c r="U5818">
        <v>-3.0455930000000002</v>
      </c>
      <c r="V5818">
        <v>0.41349390000000003</v>
      </c>
      <c r="W5818">
        <v>0.1100878</v>
      </c>
      <c r="X5818">
        <v>0.90382709999999999</v>
      </c>
      <c r="Y5818">
        <v>0.4560748</v>
      </c>
      <c r="Z5818">
        <v>4.2811630000000003E-2</v>
      </c>
      <c r="AA5818">
        <v>0.88891109999999895</v>
      </c>
      <c r="AB5818">
        <v>35</v>
      </c>
      <c r="AC5818">
        <v>-0.57390000000003705</v>
      </c>
      <c r="AD5818">
        <v>-1.0414487769830001</v>
      </c>
      <c r="AE5818">
        <v>-18.965509999999998</v>
      </c>
      <c r="AF5818">
        <v>8.7698811411263407</v>
      </c>
      <c r="AG5818">
        <v>-1.0414487769830001</v>
      </c>
      <c r="AH5818">
        <v>16.761552670225999</v>
      </c>
      <c r="AI5818">
        <v>93.151124076123693</v>
      </c>
      <c r="AJ5818">
        <v>62.380800158649798</v>
      </c>
      <c r="AK5818">
        <v>18.945845948421599</v>
      </c>
      <c r="AL5818">
        <v>83.679622982058603</v>
      </c>
      <c r="AM5818">
        <v>65.416272157246198</v>
      </c>
      <c r="AN5818">
        <v>0.99999997787022898</v>
      </c>
    </row>
    <row r="5819" spans="1:40" x14ac:dyDescent="0.25">
      <c r="A5819" t="str">
        <f>"20190312164142088"</f>
        <v>20190312164142088</v>
      </c>
      <c r="B5819" t="str">
        <f>"1552380102081809"</f>
        <v>1552380102081809</v>
      </c>
      <c r="C5819" t="s">
        <v>40</v>
      </c>
      <c r="D5819">
        <v>6.1472800000000003</v>
      </c>
      <c r="E5819">
        <v>0.5234953</v>
      </c>
      <c r="F5819" t="s">
        <v>41</v>
      </c>
      <c r="G5819">
        <v>-301.88639999999998</v>
      </c>
      <c r="H5819" s="1">
        <v>-2.5557229999999999E-6</v>
      </c>
      <c r="I5819">
        <v>-15.623430000000001</v>
      </c>
      <c r="J5819">
        <v>-301.16969999999998</v>
      </c>
      <c r="K5819">
        <v>1.0413520000000001</v>
      </c>
      <c r="L5819">
        <v>3.5099490000000002</v>
      </c>
      <c r="M5819">
        <v>0.41836180000000001</v>
      </c>
      <c r="N5819">
        <v>0</v>
      </c>
      <c r="O5819">
        <v>-0.90823069999999895</v>
      </c>
      <c r="P5819">
        <v>1.8994E-2</v>
      </c>
      <c r="Q5819">
        <v>0.11714620000000001</v>
      </c>
      <c r="R5819">
        <v>-0.99293310000000001</v>
      </c>
      <c r="S5819">
        <v>-8.8378910000000005E-2</v>
      </c>
      <c r="T5819">
        <v>-0.1628009</v>
      </c>
      <c r="U5819">
        <v>-3.0445250000000001</v>
      </c>
      <c r="V5819">
        <v>0.40314129999999998</v>
      </c>
      <c r="W5819">
        <v>0.1088204</v>
      </c>
      <c r="X5819">
        <v>0.90864469999999997</v>
      </c>
      <c r="Y5819">
        <v>0.44449729999999998</v>
      </c>
      <c r="Z5819">
        <v>4.3245930000000002E-2</v>
      </c>
      <c r="AA5819">
        <v>0.89473570000000002</v>
      </c>
      <c r="AB5819">
        <v>35</v>
      </c>
      <c r="AC5819">
        <v>-0.716700000000003</v>
      </c>
      <c r="AD5819">
        <v>-1.041354555723</v>
      </c>
      <c r="AE5819">
        <v>-19.133379000000001</v>
      </c>
      <c r="AF5819">
        <v>8.6304657636958702</v>
      </c>
      <c r="AG5819">
        <v>-1.041354555723</v>
      </c>
      <c r="AH5819">
        <v>17.028084401959699</v>
      </c>
      <c r="AI5819">
        <v>93.122321897314706</v>
      </c>
      <c r="AJ5819">
        <v>63.1224148090539</v>
      </c>
      <c r="AK5819">
        <v>19.118708560185599</v>
      </c>
      <c r="AL5819">
        <v>83.752678658698997</v>
      </c>
      <c r="AM5819">
        <v>66.074421811556803</v>
      </c>
      <c r="AN5819">
        <v>0.99999998902996901</v>
      </c>
    </row>
    <row r="5820" spans="1:40" x14ac:dyDescent="0.25">
      <c r="A5820" t="str">
        <f>"20190312164142110"</f>
        <v>20190312164142110</v>
      </c>
      <c r="B5820" t="str">
        <f>"1552380102102305"</f>
        <v>1552380102102305</v>
      </c>
      <c r="C5820" t="s">
        <v>40</v>
      </c>
      <c r="D5820">
        <v>6.1746489999999996</v>
      </c>
      <c r="E5820">
        <v>0.50911700000000004</v>
      </c>
      <c r="F5820" t="s">
        <v>41</v>
      </c>
      <c r="G5820">
        <v>-301.87439999999998</v>
      </c>
      <c r="H5820" s="1">
        <v>-2.77469E-6</v>
      </c>
      <c r="I5820">
        <v>-15.1055299999999</v>
      </c>
      <c r="J5820">
        <v>-301.0369</v>
      </c>
      <c r="K5820">
        <v>1.0412709999999901</v>
      </c>
      <c r="L5820">
        <v>3.1933590000000001</v>
      </c>
      <c r="M5820">
        <v>0.40157599999999999</v>
      </c>
      <c r="N5820">
        <v>0</v>
      </c>
      <c r="O5820">
        <v>-0.91577660000000005</v>
      </c>
      <c r="P5820">
        <v>1.232574E-2</v>
      </c>
      <c r="Q5820">
        <v>0.114963</v>
      </c>
      <c r="R5820">
        <v>-0.9932936</v>
      </c>
      <c r="S5820">
        <v>-0.1152039</v>
      </c>
      <c r="T5820">
        <v>-0.1702621</v>
      </c>
      <c r="U5820">
        <v>-3.0436399999999999</v>
      </c>
      <c r="V5820">
        <v>0.3925169</v>
      </c>
      <c r="W5820">
        <v>0.1070777</v>
      </c>
      <c r="X5820">
        <v>0.91349049999999998</v>
      </c>
      <c r="Y5820">
        <v>0.43587019999999999</v>
      </c>
      <c r="Z5820">
        <v>4.5975950000000002E-2</v>
      </c>
      <c r="AA5820">
        <v>0.89883449999999998</v>
      </c>
      <c r="AB5820">
        <v>35</v>
      </c>
      <c r="AC5820">
        <v>-0.83749999999997704</v>
      </c>
      <c r="AD5820">
        <v>-1.0412737746899901</v>
      </c>
      <c r="AE5820">
        <v>-18.298888999999999</v>
      </c>
      <c r="AF5820">
        <v>8.0895829732090903</v>
      </c>
      <c r="AG5820">
        <v>-1.0412737746899901</v>
      </c>
      <c r="AH5820">
        <v>16.3692197566311</v>
      </c>
      <c r="AI5820">
        <v>93.263919028756305</v>
      </c>
      <c r="AJ5820">
        <v>63.701657859769703</v>
      </c>
      <c r="AK5820">
        <v>18.288711250254199</v>
      </c>
      <c r="AL5820">
        <v>83.853115138749502</v>
      </c>
      <c r="AM5820">
        <v>66.747331011725706</v>
      </c>
      <c r="AN5820">
        <v>1.0000000221065699</v>
      </c>
    </row>
    <row r="5821" spans="1:40" x14ac:dyDescent="0.25">
      <c r="A5821" t="str">
        <f>"20190312164142131"</f>
        <v>20190312164142131</v>
      </c>
      <c r="B5821" t="str">
        <f>"1552380102121825"</f>
        <v>1552380102121825</v>
      </c>
      <c r="C5821" t="s">
        <v>40</v>
      </c>
      <c r="D5821">
        <v>6.1089399999999996</v>
      </c>
      <c r="E5821">
        <v>0.51265620000000001</v>
      </c>
      <c r="F5821" t="s">
        <v>41</v>
      </c>
      <c r="G5821">
        <v>-301.09289999999999</v>
      </c>
      <c r="H5821" s="1">
        <v>-1.6799880000000001E-6</v>
      </c>
      <c r="I5821">
        <v>-6.5238880000000004</v>
      </c>
      <c r="J5821">
        <v>-300.90690000000001</v>
      </c>
      <c r="K5821">
        <v>1.0412030000000001</v>
      </c>
      <c r="L5821">
        <v>2.8668520000000002</v>
      </c>
      <c r="M5821">
        <v>0.3843086</v>
      </c>
      <c r="N5821">
        <v>0</v>
      </c>
      <c r="O5821">
        <v>-0.92315570000000002</v>
      </c>
      <c r="P5821">
        <v>5.3692069999999904E-3</v>
      </c>
      <c r="Q5821">
        <v>0.114374</v>
      </c>
      <c r="R5821">
        <v>-0.99342339999999996</v>
      </c>
      <c r="S5821">
        <v>-1.7639160000000001E-2</v>
      </c>
      <c r="T5821">
        <v>-0.32773069999999999</v>
      </c>
      <c r="U5821">
        <v>-3.058411</v>
      </c>
      <c r="V5821">
        <v>0.38174649999999999</v>
      </c>
      <c r="W5821">
        <v>0.1069417</v>
      </c>
      <c r="X5821">
        <v>0.91805939999999997</v>
      </c>
      <c r="Y5821">
        <v>0.3895286</v>
      </c>
      <c r="Z5821">
        <v>9.0081330000000001E-2</v>
      </c>
      <c r="AA5821">
        <v>0.91659849999999998</v>
      </c>
      <c r="AB5821">
        <v>35</v>
      </c>
      <c r="AC5821">
        <v>-0.18599999999997799</v>
      </c>
      <c r="AD5821">
        <v>-1.0412046799879999</v>
      </c>
      <c r="AE5821">
        <v>-9.3907399999999992</v>
      </c>
      <c r="AF5821">
        <v>3.7349231412164499</v>
      </c>
      <c r="AG5821">
        <v>-1.0412046799879999</v>
      </c>
      <c r="AH5821">
        <v>8.4936476286542106</v>
      </c>
      <c r="AI5821">
        <v>96.402727582454204</v>
      </c>
      <c r="AJ5821">
        <v>66.263402637569001</v>
      </c>
      <c r="AK5821">
        <v>9.3367985999573992</v>
      </c>
      <c r="AL5821">
        <v>83.860952166395407</v>
      </c>
      <c r="AM5821">
        <v>67.421532866838604</v>
      </c>
      <c r="AN5821">
        <v>0.99999998969475001</v>
      </c>
    </row>
    <row r="5822" spans="1:40" x14ac:dyDescent="0.25">
      <c r="A5822" t="str">
        <f>"20190312164142153"</f>
        <v>20190312164142153</v>
      </c>
      <c r="B5822" t="str">
        <f>"1552380102141853"</f>
        <v>1552380102141853</v>
      </c>
      <c r="C5822" t="s">
        <v>40</v>
      </c>
      <c r="D5822">
        <v>6.0798649999999999</v>
      </c>
      <c r="E5822">
        <v>0.51182369999999999</v>
      </c>
      <c r="F5822" t="s">
        <v>41</v>
      </c>
      <c r="G5822">
        <v>-301.13959999999997</v>
      </c>
      <c r="H5822" s="1">
        <v>-1.234974E-6</v>
      </c>
      <c r="I5822">
        <v>-7.4915869999999902</v>
      </c>
      <c r="J5822">
        <v>-300.7826</v>
      </c>
      <c r="K5822">
        <v>1.0411490000000001</v>
      </c>
      <c r="L5822">
        <v>2.537811</v>
      </c>
      <c r="M5822">
        <v>0.36696089999999998</v>
      </c>
      <c r="N5822">
        <v>0</v>
      </c>
      <c r="O5822">
        <v>-0.93018789999999996</v>
      </c>
      <c r="P5822">
        <v>-3.386979E-3</v>
      </c>
      <c r="Q5822">
        <v>0.11526690000000001</v>
      </c>
      <c r="R5822">
        <v>-0.99332880000000001</v>
      </c>
      <c r="S5822">
        <v>-6.8664550000000005E-2</v>
      </c>
      <c r="T5822">
        <v>-0.30714170000000002</v>
      </c>
      <c r="U5822">
        <v>-3.0556030000000001</v>
      </c>
      <c r="V5822">
        <v>0.3726448</v>
      </c>
      <c r="W5822">
        <v>0.10821450000000001</v>
      </c>
      <c r="X5822">
        <v>0.92164279999999998</v>
      </c>
      <c r="Y5822">
        <v>0.38762029999999997</v>
      </c>
      <c r="Z5822">
        <v>8.5627439999999999E-2</v>
      </c>
      <c r="AA5822">
        <v>0.91783360000000003</v>
      </c>
      <c r="AB5822">
        <v>35</v>
      </c>
      <c r="AC5822">
        <v>-0.35699999999997001</v>
      </c>
      <c r="AD5822">
        <v>-1.0411502349739901</v>
      </c>
      <c r="AE5822">
        <v>-10.029398</v>
      </c>
      <c r="AF5822">
        <v>3.96992719071386</v>
      </c>
      <c r="AG5822">
        <v>-1.0411502349739901</v>
      </c>
      <c r="AH5822">
        <v>9.1006850672751103</v>
      </c>
      <c r="AI5822">
        <v>95.986199868982695</v>
      </c>
      <c r="AJ5822">
        <v>66.432068148074194</v>
      </c>
      <c r="AK5822">
        <v>9.9833253180030006</v>
      </c>
      <c r="AL5822">
        <v>83.787600394107102</v>
      </c>
      <c r="AM5822">
        <v>67.985201119772398</v>
      </c>
      <c r="AN5822">
        <v>0.99999998788456401</v>
      </c>
    </row>
    <row r="5823" spans="1:40" x14ac:dyDescent="0.25">
      <c r="A5823" t="str">
        <f>"20190312164142178"</f>
        <v>20190312164142178</v>
      </c>
      <c r="B5823" t="str">
        <f>"1552380102172111"</f>
        <v>1552380102172111</v>
      </c>
      <c r="C5823" t="s">
        <v>40</v>
      </c>
      <c r="D5823">
        <v>6.114662</v>
      </c>
      <c r="E5823">
        <v>0.51046009999999997</v>
      </c>
      <c r="F5823" t="s">
        <v>41</v>
      </c>
      <c r="G5823">
        <v>-301.09899999999999</v>
      </c>
      <c r="H5823" s="1">
        <v>-7.6982509999999896E-7</v>
      </c>
      <c r="I5823">
        <v>-8.4527149999999995</v>
      </c>
      <c r="J5823">
        <v>-300.65159999999997</v>
      </c>
      <c r="K5823">
        <v>1.041093</v>
      </c>
      <c r="L5823">
        <v>2.1702270000000001</v>
      </c>
      <c r="M5823">
        <v>0.34765439999999997</v>
      </c>
      <c r="N5823">
        <v>0</v>
      </c>
      <c r="O5823">
        <v>-0.93757460000000004</v>
      </c>
      <c r="P5823">
        <v>-1.4736340000000001E-2</v>
      </c>
      <c r="Q5823">
        <v>0.1149753</v>
      </c>
      <c r="R5823">
        <v>-0.9932588</v>
      </c>
      <c r="S5823">
        <v>-8.7890629999999997E-2</v>
      </c>
      <c r="T5823">
        <v>-0.28925380000000001</v>
      </c>
      <c r="U5823">
        <v>-3.0534059999999998</v>
      </c>
      <c r="V5823">
        <v>0.36411500000000002</v>
      </c>
      <c r="W5823">
        <v>0.1082771</v>
      </c>
      <c r="X5823">
        <v>0.92503849999999999</v>
      </c>
      <c r="Y5823">
        <v>0.37434240000000002</v>
      </c>
      <c r="Z5823">
        <v>8.2035529999999995E-2</v>
      </c>
      <c r="AA5823">
        <v>0.92365469999999905</v>
      </c>
      <c r="AB5823">
        <v>35</v>
      </c>
      <c r="AC5823">
        <v>-0.44740000000001601</v>
      </c>
      <c r="AD5823">
        <v>-1.0410937698250999</v>
      </c>
      <c r="AE5823">
        <v>-10.622942</v>
      </c>
      <c r="AF5823">
        <v>4.0737110171936397</v>
      </c>
      <c r="AG5823">
        <v>-1.0410937698250999</v>
      </c>
      <c r="AH5823">
        <v>9.7115895615644803</v>
      </c>
      <c r="AI5823">
        <v>95.645704930458706</v>
      </c>
      <c r="AJ5823">
        <v>67.243459892066198</v>
      </c>
      <c r="AK5823">
        <v>10.582720326147699</v>
      </c>
      <c r="AL5823">
        <v>83.783992211398299</v>
      </c>
      <c r="AM5823">
        <v>68.514336744367696</v>
      </c>
      <c r="AN5823">
        <v>0.99999994504582801</v>
      </c>
    </row>
    <row r="5824" spans="1:40" x14ac:dyDescent="0.25">
      <c r="A5824" t="str">
        <f>"20190312164142199"</f>
        <v>20190312164142199</v>
      </c>
      <c r="B5824" t="str">
        <f>"1552380102191628"</f>
        <v>1552380102191628</v>
      </c>
      <c r="C5824" t="s">
        <v>40</v>
      </c>
      <c r="D5824">
        <v>6.0605989999999998</v>
      </c>
      <c r="E5824">
        <v>0.50822259999999997</v>
      </c>
      <c r="F5824" t="s">
        <v>41</v>
      </c>
      <c r="G5824">
        <v>-301.1155</v>
      </c>
      <c r="H5824" s="1">
        <v>-4.4524799999999996E-6</v>
      </c>
      <c r="I5824">
        <v>-10.51083</v>
      </c>
      <c r="J5824">
        <v>-300.54289999999997</v>
      </c>
      <c r="K5824">
        <v>1.041045</v>
      </c>
      <c r="L5824">
        <v>1.8442080000000001</v>
      </c>
      <c r="M5824">
        <v>0.3306287</v>
      </c>
      <c r="N5824">
        <v>0</v>
      </c>
      <c r="O5824">
        <v>-0.94371309999999997</v>
      </c>
      <c r="P5824">
        <v>-2.2685319999999998E-2</v>
      </c>
      <c r="Q5824">
        <v>0.112201</v>
      </c>
      <c r="R5824">
        <v>-0.9934267</v>
      </c>
      <c r="S5824">
        <v>-0.1114807</v>
      </c>
      <c r="T5824">
        <v>-0.25020959999999998</v>
      </c>
      <c r="U5824">
        <v>-3.0476679999999998</v>
      </c>
      <c r="V5824">
        <v>0.35474800000000001</v>
      </c>
      <c r="W5824">
        <v>0.1059052</v>
      </c>
      <c r="X5824">
        <v>0.92894449999999995</v>
      </c>
      <c r="Y5824">
        <v>0.36478139999999998</v>
      </c>
      <c r="Z5824">
        <v>7.2069649999999999E-2</v>
      </c>
      <c r="AA5824">
        <v>0.92829980000000001</v>
      </c>
      <c r="AB5824">
        <v>35</v>
      </c>
      <c r="AC5824">
        <v>-0.57260000000002198</v>
      </c>
      <c r="AD5824">
        <v>-1.04104945248</v>
      </c>
      <c r="AE5824">
        <v>-12.355038</v>
      </c>
      <c r="AF5824">
        <v>4.5929690960044001</v>
      </c>
      <c r="AG5824">
        <v>-1.04104945248</v>
      </c>
      <c r="AH5824">
        <v>11.390115053649801</v>
      </c>
      <c r="AI5824">
        <v>94.845214692531698</v>
      </c>
      <c r="AJ5824">
        <v>68.038653836268395</v>
      </c>
      <c r="AK5824">
        <v>12.325334478818</v>
      </c>
      <c r="AL5824">
        <v>83.920678313489205</v>
      </c>
      <c r="AM5824">
        <v>69.098999348390606</v>
      </c>
      <c r="AN5824">
        <v>0.99999996948564396</v>
      </c>
    </row>
    <row r="5825" spans="1:40" x14ac:dyDescent="0.25">
      <c r="A5825" t="str">
        <f>"20190312164142221"</f>
        <v>20190312164142221</v>
      </c>
      <c r="B5825" t="str">
        <f>"1552380102212124"</f>
        <v>1552380102212124</v>
      </c>
      <c r="C5825" t="s">
        <v>40</v>
      </c>
      <c r="D5825">
        <v>5.9695729999999996</v>
      </c>
      <c r="E5825">
        <v>0.50677349999999999</v>
      </c>
      <c r="F5825" t="s">
        <v>41</v>
      </c>
      <c r="G5825">
        <v>-301.06450000000001</v>
      </c>
      <c r="H5825" s="1">
        <v>-4.133665E-6</v>
      </c>
      <c r="I5825">
        <v>-11.42108</v>
      </c>
      <c r="J5825">
        <v>-300.43619999999999</v>
      </c>
      <c r="K5825">
        <v>1.0410029999999999</v>
      </c>
      <c r="L5825">
        <v>1.5039979999999999</v>
      </c>
      <c r="M5825">
        <v>0.31295580000000001</v>
      </c>
      <c r="N5825">
        <v>0</v>
      </c>
      <c r="O5825">
        <v>-0.94972060000000003</v>
      </c>
      <c r="P5825">
        <v>-3.0112799999999999E-2</v>
      </c>
      <c r="Q5825">
        <v>0.1082695</v>
      </c>
      <c r="R5825">
        <v>-0.99366560000000004</v>
      </c>
      <c r="S5825">
        <v>-0.1196899</v>
      </c>
      <c r="T5825">
        <v>-0.23889830000000001</v>
      </c>
      <c r="U5825">
        <v>-3.044098</v>
      </c>
      <c r="V5825">
        <v>0.344302</v>
      </c>
      <c r="W5825">
        <v>0.10242809999999999</v>
      </c>
      <c r="X5825">
        <v>0.9332549</v>
      </c>
      <c r="Y5825">
        <v>0.34991090000000002</v>
      </c>
      <c r="Z5825">
        <v>6.9835899999999895E-2</v>
      </c>
      <c r="AA5825">
        <v>0.93417629999999996</v>
      </c>
      <c r="AB5825">
        <v>35</v>
      </c>
      <c r="AC5825">
        <v>-0.62830000000002395</v>
      </c>
      <c r="AD5825">
        <v>-1.041007133665</v>
      </c>
      <c r="AE5825">
        <v>-12.925077999999999</v>
      </c>
      <c r="AF5825">
        <v>4.6120475631941096</v>
      </c>
      <c r="AG5825">
        <v>-1.041007133665</v>
      </c>
      <c r="AH5825">
        <v>12.001453562874801</v>
      </c>
      <c r="AI5825">
        <v>94.628985816301295</v>
      </c>
      <c r="AJ5825">
        <v>68.978694112666901</v>
      </c>
      <c r="AK5825">
        <v>12.8992079679082</v>
      </c>
      <c r="AL5825">
        <v>84.120991759937795</v>
      </c>
      <c r="AM5825">
        <v>69.749670889560505</v>
      </c>
      <c r="AN5825">
        <v>1.0000000456238001</v>
      </c>
    </row>
    <row r="5826" spans="1:40" x14ac:dyDescent="0.25">
      <c r="A5826" t="str">
        <f>"20190312164142244"</f>
        <v>20190312164142244</v>
      </c>
      <c r="B5826" t="str">
        <f>"1552380102231643"</f>
        <v>1552380102231643</v>
      </c>
      <c r="C5826" t="s">
        <v>40</v>
      </c>
      <c r="D5826">
        <v>6.0565509999999998</v>
      </c>
      <c r="E5826">
        <v>0.50563069999999999</v>
      </c>
      <c r="F5826" t="s">
        <v>41</v>
      </c>
      <c r="G5826">
        <v>-301.01710000000003</v>
      </c>
      <c r="H5826" s="1">
        <v>-3.9737660000000003E-6</v>
      </c>
      <c r="I5826">
        <v>-11.77875</v>
      </c>
      <c r="J5826">
        <v>-300.33589999999998</v>
      </c>
      <c r="K5826">
        <v>1.0410280000000001</v>
      </c>
      <c r="L5826">
        <v>1.163116</v>
      </c>
      <c r="M5826">
        <v>0.29512110000000003</v>
      </c>
      <c r="N5826">
        <v>0</v>
      </c>
      <c r="O5826">
        <v>-0.95541229999999999</v>
      </c>
      <c r="P5826">
        <v>-3.8497490000000002E-2</v>
      </c>
      <c r="Q5826">
        <v>0.1056305</v>
      </c>
      <c r="R5826">
        <v>-0.99366010000000005</v>
      </c>
      <c r="S5826">
        <v>-0.13299559999999999</v>
      </c>
      <c r="T5826">
        <v>-0.23833789999999999</v>
      </c>
      <c r="U5826">
        <v>-3.041077</v>
      </c>
      <c r="V5826">
        <v>0.33465610000000001</v>
      </c>
      <c r="W5826">
        <v>0.1003247</v>
      </c>
      <c r="X5826">
        <v>0.9369847</v>
      </c>
      <c r="Y5826">
        <v>0.33645700000000001</v>
      </c>
      <c r="Z5826">
        <v>7.0594530000000003E-2</v>
      </c>
      <c r="AA5826">
        <v>0.93904900000000002</v>
      </c>
      <c r="AB5826">
        <v>35</v>
      </c>
      <c r="AC5826">
        <v>-0.68120000000004599</v>
      </c>
      <c r="AD5826">
        <v>-1.0410319737659901</v>
      </c>
      <c r="AE5826">
        <v>-12.941865999999999</v>
      </c>
      <c r="AF5826">
        <v>4.4417867707468597</v>
      </c>
      <c r="AG5826">
        <v>-1.0410319737659901</v>
      </c>
      <c r="AH5826">
        <v>12.0863461796118</v>
      </c>
      <c r="AI5826">
        <v>94.622094441595607</v>
      </c>
      <c r="AJ5826">
        <v>69.821392100026401</v>
      </c>
      <c r="AK5826">
        <v>12.9187066403956</v>
      </c>
      <c r="AL5826">
        <v>84.242131780378301</v>
      </c>
      <c r="AM5826">
        <v>70.345161426539306</v>
      </c>
      <c r="AN5826">
        <v>1.00000003936569</v>
      </c>
    </row>
    <row r="5827" spans="1:40" x14ac:dyDescent="0.25">
      <c r="A5827" t="str">
        <f>"20190312164142266"</f>
        <v>20190312164142266</v>
      </c>
      <c r="B5827" t="str">
        <f>"1552380102261900"</f>
        <v>1552380102261900</v>
      </c>
      <c r="C5827" t="s">
        <v>40</v>
      </c>
      <c r="D5827">
        <v>6.055453</v>
      </c>
      <c r="E5827">
        <v>0.50416419999999995</v>
      </c>
      <c r="F5827" t="s">
        <v>41</v>
      </c>
      <c r="G5827">
        <v>-300.99020000000002</v>
      </c>
      <c r="H5827" s="1">
        <v>-3.7649320000000002E-6</v>
      </c>
      <c r="I5827">
        <v>-12.24888</v>
      </c>
      <c r="J5827">
        <v>-300.23680000000002</v>
      </c>
      <c r="K5827">
        <v>1.0411539999999999</v>
      </c>
      <c r="L5827">
        <v>0.80270390000000003</v>
      </c>
      <c r="M5827">
        <v>0.27519569999999999</v>
      </c>
      <c r="N5827">
        <v>0</v>
      </c>
      <c r="O5827">
        <v>-0.9613372</v>
      </c>
      <c r="P5827">
        <v>-4.9668179999999999E-2</v>
      </c>
      <c r="Q5827">
        <v>0.1048673</v>
      </c>
      <c r="R5827">
        <v>-0.99324539999999994</v>
      </c>
      <c r="S5827">
        <v>-0.14822389999999999</v>
      </c>
      <c r="T5827">
        <v>-0.23584540000000001</v>
      </c>
      <c r="U5827">
        <v>-3.0384829999999998</v>
      </c>
      <c r="V5827">
        <v>0.3257082</v>
      </c>
      <c r="W5827">
        <v>0.10028289999999999</v>
      </c>
      <c r="X5827">
        <v>0.940137</v>
      </c>
      <c r="Y5827">
        <v>0.32157580000000002</v>
      </c>
      <c r="Z5827">
        <v>7.0800569999999993E-2</v>
      </c>
      <c r="AA5827">
        <v>0.94423319999999999</v>
      </c>
      <c r="AB5827">
        <v>35</v>
      </c>
      <c r="AC5827">
        <v>-0.75339999999999896</v>
      </c>
      <c r="AD5827">
        <v>-1.0411577649320001</v>
      </c>
      <c r="AE5827">
        <v>-13.051583900000001</v>
      </c>
      <c r="AF5827">
        <v>4.2890197633081302</v>
      </c>
      <c r="AG5827">
        <v>-1.0411577649320001</v>
      </c>
      <c r="AH5827">
        <v>12.2624710947225</v>
      </c>
      <c r="AI5827">
        <v>94.582179879296305</v>
      </c>
      <c r="AJ5827">
        <v>70.721797558981606</v>
      </c>
      <c r="AK5827">
        <v>13.0325706355435</v>
      </c>
      <c r="AL5827">
        <v>84.244538859025596</v>
      </c>
      <c r="AM5827">
        <v>70.891479831060096</v>
      </c>
      <c r="AN5827">
        <v>1.0000000351743199</v>
      </c>
    </row>
    <row r="5828" spans="1:40" x14ac:dyDescent="0.25">
      <c r="A5828" t="str">
        <f>"20190312164142291"</f>
        <v>20190312164142291</v>
      </c>
      <c r="B5828" t="str">
        <f>"1552380102282396"</f>
        <v>1552380102282396</v>
      </c>
      <c r="C5828" t="s">
        <v>40</v>
      </c>
      <c r="D5828">
        <v>6.0502010000000004</v>
      </c>
      <c r="E5828">
        <v>0.50336550000000002</v>
      </c>
      <c r="F5828" t="s">
        <v>41</v>
      </c>
      <c r="G5828">
        <v>-301.00450000000001</v>
      </c>
      <c r="H5828" s="1">
        <v>-3.4264969999999998E-6</v>
      </c>
      <c r="I5828">
        <v>-13.046609999999999</v>
      </c>
      <c r="J5828">
        <v>-300.14240000000001</v>
      </c>
      <c r="K5828">
        <v>1.0411840000000001</v>
      </c>
      <c r="L5828">
        <v>0.4327087</v>
      </c>
      <c r="M5828">
        <v>0.2552372</v>
      </c>
      <c r="N5828">
        <v>0</v>
      </c>
      <c r="O5828">
        <v>-0.96682389999999996</v>
      </c>
      <c r="P5828">
        <v>-6.1688340000000001E-2</v>
      </c>
      <c r="Q5828">
        <v>0.1054122</v>
      </c>
      <c r="R5828">
        <v>-0.9925136</v>
      </c>
      <c r="S5828">
        <v>-0.1682739</v>
      </c>
      <c r="T5828">
        <v>-0.22824439999999999</v>
      </c>
      <c r="U5828">
        <v>-3.0360719999999999</v>
      </c>
      <c r="V5828">
        <v>0.31772929999999999</v>
      </c>
      <c r="W5828">
        <v>0.10129630000000001</v>
      </c>
      <c r="X5828">
        <v>0.94275509999999996</v>
      </c>
      <c r="Y5828">
        <v>0.30821079999999901</v>
      </c>
      <c r="Z5828">
        <v>6.9357249999999995E-2</v>
      </c>
      <c r="AA5828">
        <v>0.94878640000000003</v>
      </c>
      <c r="AB5828">
        <v>35</v>
      </c>
      <c r="AC5828">
        <v>-0.86209999999999798</v>
      </c>
      <c r="AD5828">
        <v>-1.041187426497</v>
      </c>
      <c r="AE5828">
        <v>-13.4793187</v>
      </c>
      <c r="AF5828">
        <v>4.2489000340131904</v>
      </c>
      <c r="AG5828">
        <v>-1.041187426497</v>
      </c>
      <c r="AH5828">
        <v>12.737076917922099</v>
      </c>
      <c r="AI5828">
        <v>94.434064329618707</v>
      </c>
      <c r="AJ5828">
        <v>71.552065634741197</v>
      </c>
      <c r="AK5828">
        <v>13.467381006312801</v>
      </c>
      <c r="AL5828">
        <v>84.186178002558904</v>
      </c>
      <c r="AM5828">
        <v>71.3750466496423</v>
      </c>
      <c r="AN5828">
        <v>1.0000000135240901</v>
      </c>
    </row>
    <row r="5829" spans="1:40" x14ac:dyDescent="0.25">
      <c r="A5829" t="str">
        <f>"20190312164142311"</f>
        <v>20190312164142311</v>
      </c>
      <c r="B5829" t="str">
        <f>"1552380102301916"</f>
        <v>1552380102301916</v>
      </c>
      <c r="C5829" t="s">
        <v>40</v>
      </c>
      <c r="D5829">
        <v>6.2640770000000003</v>
      </c>
      <c r="E5829">
        <v>0.50296660000000004</v>
      </c>
      <c r="F5829" t="s">
        <v>41</v>
      </c>
      <c r="G5829">
        <v>-301.07740000000001</v>
      </c>
      <c r="H5829" s="1">
        <v>-3.114141E-6</v>
      </c>
      <c r="I5829">
        <v>-13.819990000000001</v>
      </c>
      <c r="J5829">
        <v>-300.06700000000001</v>
      </c>
      <c r="K5829">
        <v>1.041288</v>
      </c>
      <c r="L5829">
        <v>0.11346440000000001</v>
      </c>
      <c r="M5829">
        <v>0.2397899</v>
      </c>
      <c r="N5829">
        <v>0</v>
      </c>
      <c r="O5829">
        <v>-0.97076819999999997</v>
      </c>
      <c r="P5829">
        <v>-6.9196690000000005E-2</v>
      </c>
      <c r="Q5829">
        <v>0.10532420000000001</v>
      </c>
      <c r="R5829">
        <v>-0.99202749999999995</v>
      </c>
      <c r="S5829">
        <v>-0.19903560000000001</v>
      </c>
      <c r="T5829">
        <v>-0.22162589999999999</v>
      </c>
      <c r="U5829">
        <v>-3.0338129999999999</v>
      </c>
      <c r="V5829">
        <v>0.30994470000000002</v>
      </c>
      <c r="W5829">
        <v>0.1013997</v>
      </c>
      <c r="X5829">
        <v>0.9453319</v>
      </c>
      <c r="Y5829">
        <v>0.30267300000000003</v>
      </c>
      <c r="Z5829">
        <v>6.7881250000000004E-2</v>
      </c>
      <c r="AA5829">
        <v>0.95067409999999997</v>
      </c>
      <c r="AB5829">
        <v>35</v>
      </c>
      <c r="AC5829">
        <v>-1.0104</v>
      </c>
      <c r="AD5829">
        <v>-1.041291114141</v>
      </c>
      <c r="AE5829">
        <v>-13.9334544</v>
      </c>
      <c r="AF5829">
        <v>4.2983226017435801</v>
      </c>
      <c r="AG5829">
        <v>-1.041291114141</v>
      </c>
      <c r="AH5829">
        <v>13.2112015922966</v>
      </c>
      <c r="AI5829">
        <v>94.286393216201901</v>
      </c>
      <c r="AJ5829">
        <v>71.977474430184401</v>
      </c>
      <c r="AK5829">
        <v>13.931823709958</v>
      </c>
      <c r="AL5829">
        <v>84.180222928473199</v>
      </c>
      <c r="AM5829">
        <v>71.847304251155606</v>
      </c>
      <c r="AN5829">
        <v>1.00000000868789</v>
      </c>
    </row>
    <row r="5830" spans="1:40" x14ac:dyDescent="0.25">
      <c r="A5830" t="str">
        <f>"20190312164142333"</f>
        <v>20190312164142333</v>
      </c>
      <c r="B5830" t="str">
        <f>"1552380102322412"</f>
        <v>1552380102322412</v>
      </c>
      <c r="C5830" t="s">
        <v>40</v>
      </c>
      <c r="D5830">
        <v>5.9939900000000002</v>
      </c>
      <c r="E5830">
        <v>0.50212460000000003</v>
      </c>
      <c r="F5830" t="s">
        <v>41</v>
      </c>
      <c r="G5830">
        <v>-301.11180000000002</v>
      </c>
      <c r="H5830" s="1">
        <v>-2.930034E-6</v>
      </c>
      <c r="I5830">
        <v>-14.2705</v>
      </c>
      <c r="J5830">
        <v>-299.99299999999999</v>
      </c>
      <c r="K5830">
        <v>1.04162</v>
      </c>
      <c r="L5830">
        <v>-0.22909550000000001</v>
      </c>
      <c r="M5830">
        <v>0.2236158</v>
      </c>
      <c r="N5830">
        <v>0</v>
      </c>
      <c r="O5830">
        <v>-0.97462700000000002</v>
      </c>
      <c r="P5830">
        <v>-7.7200870000000005E-2</v>
      </c>
      <c r="Q5830">
        <v>0.1054722</v>
      </c>
      <c r="R5830">
        <v>-0.99142129999999995</v>
      </c>
      <c r="S5830">
        <v>-0.22024540000000001</v>
      </c>
      <c r="T5830">
        <v>-0.2194971</v>
      </c>
      <c r="U5830">
        <v>-3.0320429999999998</v>
      </c>
      <c r="V5830">
        <v>0.30193680000000001</v>
      </c>
      <c r="W5830">
        <v>0.1010576</v>
      </c>
      <c r="X5830">
        <v>0.94795649999999998</v>
      </c>
      <c r="Y5830">
        <v>0.29346899999999998</v>
      </c>
      <c r="Z5830">
        <v>6.7776329999999996E-2</v>
      </c>
      <c r="AA5830">
        <v>0.95356300000000005</v>
      </c>
      <c r="AB5830">
        <v>35</v>
      </c>
      <c r="AC5830">
        <v>-1.11880000000002</v>
      </c>
      <c r="AD5830">
        <v>-1.0416229300340001</v>
      </c>
      <c r="AE5830">
        <v>-14.041404500000001</v>
      </c>
      <c r="AF5830">
        <v>4.2074924926669004</v>
      </c>
      <c r="AG5830">
        <v>-1.0416229300340001</v>
      </c>
      <c r="AH5830">
        <v>13.3625399559504</v>
      </c>
      <c r="AI5830">
        <v>94.252245826670503</v>
      </c>
      <c r="AJ5830">
        <v>72.522233799008504</v>
      </c>
      <c r="AK5830">
        <v>14.0479694432538</v>
      </c>
      <c r="AL5830">
        <v>84.199924957184194</v>
      </c>
      <c r="AM5830">
        <v>72.332628375926006</v>
      </c>
      <c r="AN5830">
        <v>0.99999999780212501</v>
      </c>
    </row>
    <row r="5831" spans="1:40" x14ac:dyDescent="0.25">
      <c r="A5831" t="str">
        <f>"20190312164142355"</f>
        <v>20190312164142355</v>
      </c>
      <c r="B5831" t="str">
        <f>"1552380102351692"</f>
        <v>1552380102351692</v>
      </c>
      <c r="C5831" t="s">
        <v>40</v>
      </c>
      <c r="D5831">
        <v>6.3286550000000004</v>
      </c>
      <c r="E5831">
        <v>0.50099579999999999</v>
      </c>
      <c r="F5831" t="s">
        <v>41</v>
      </c>
      <c r="G5831">
        <v>-301.14229999999998</v>
      </c>
      <c r="H5831" s="1">
        <v>-2.681468E-6</v>
      </c>
      <c r="I5831">
        <v>-14.868830000000001</v>
      </c>
      <c r="J5831">
        <v>-299.92439999999999</v>
      </c>
      <c r="K5831">
        <v>1.0424869999999999</v>
      </c>
      <c r="L5831">
        <v>-0.58026119999999903</v>
      </c>
      <c r="M5831">
        <v>0.20676359999999999</v>
      </c>
      <c r="N5831">
        <v>0</v>
      </c>
      <c r="O5831">
        <v>-0.97835419999999995</v>
      </c>
      <c r="P5831">
        <v>-8.6078420000000003E-2</v>
      </c>
      <c r="Q5831">
        <v>0.1060055</v>
      </c>
      <c r="R5831">
        <v>-0.99063279999999998</v>
      </c>
      <c r="S5831">
        <v>-0.23791499999999999</v>
      </c>
      <c r="T5831">
        <v>-0.21561169999999999</v>
      </c>
      <c r="U5831">
        <v>-3.0303650000000002</v>
      </c>
      <c r="V5831">
        <v>0.29403780000000002</v>
      </c>
      <c r="W5831">
        <v>0.100551</v>
      </c>
      <c r="X5831">
        <v>0.95048999999999995</v>
      </c>
      <c r="Y5831">
        <v>0.28252379999999999</v>
      </c>
      <c r="Z5831">
        <v>6.7116919999999997E-2</v>
      </c>
      <c r="AA5831">
        <v>0.95690940000000002</v>
      </c>
      <c r="AB5831">
        <v>35</v>
      </c>
      <c r="AC5831">
        <v>-1.21789999999998</v>
      </c>
      <c r="AD5831">
        <v>-1.042489681468</v>
      </c>
      <c r="AE5831">
        <v>-14.288568799999901</v>
      </c>
      <c r="AF5831">
        <v>4.1242469970065496</v>
      </c>
      <c r="AG5831">
        <v>-1.042489681468</v>
      </c>
      <c r="AH5831">
        <v>13.655790180603001</v>
      </c>
      <c r="AI5831">
        <v>94.179761251501105</v>
      </c>
      <c r="AJ5831">
        <v>73.194921144179801</v>
      </c>
      <c r="AK5831">
        <v>14.303034764865</v>
      </c>
      <c r="AL5831">
        <v>84.229099537458794</v>
      </c>
      <c r="AM5831">
        <v>72.810342538651</v>
      </c>
      <c r="AN5831">
        <v>0.999999985764919</v>
      </c>
    </row>
    <row r="5832" spans="1:40" x14ac:dyDescent="0.25">
      <c r="A5832" t="str">
        <f>"20190312164142378"</f>
        <v>20190312164142378</v>
      </c>
      <c r="B5832" t="str">
        <f>"1552380102372188"</f>
        <v>1552380102372188</v>
      </c>
      <c r="C5832" t="s">
        <v>40</v>
      </c>
      <c r="D5832">
        <v>5.8112199999999996</v>
      </c>
      <c r="E5832">
        <v>0.50032909999999997</v>
      </c>
      <c r="F5832" t="s">
        <v>41</v>
      </c>
      <c r="G5832">
        <v>-301.18349999999998</v>
      </c>
      <c r="H5832" s="1">
        <v>-2.428066E-6</v>
      </c>
      <c r="I5832">
        <v>-15.485029999999901</v>
      </c>
      <c r="J5832">
        <v>-299.85939999999999</v>
      </c>
      <c r="K5832">
        <v>1.0440499999999999</v>
      </c>
      <c r="L5832">
        <v>-0.95028690000000005</v>
      </c>
      <c r="M5832">
        <v>0.18878490000000001</v>
      </c>
      <c r="N5832">
        <v>0</v>
      </c>
      <c r="O5832">
        <v>-0.98199650000000005</v>
      </c>
      <c r="P5832">
        <v>-9.5489569999999996E-2</v>
      </c>
      <c r="Q5832">
        <v>0.1065395</v>
      </c>
      <c r="R5832">
        <v>-0.98971279999999995</v>
      </c>
      <c r="S5832">
        <v>-0.25585940000000001</v>
      </c>
      <c r="T5832">
        <v>-0.21184500000000001</v>
      </c>
      <c r="U5832">
        <v>-3.0288089999999999</v>
      </c>
      <c r="V5832">
        <v>0.2854834</v>
      </c>
      <c r="W5832">
        <v>9.9875850000000002E-2</v>
      </c>
      <c r="X5832">
        <v>0.95316529999999999</v>
      </c>
      <c r="Y5832">
        <v>0.27058259999999901</v>
      </c>
      <c r="Z5832">
        <v>6.6467520000000002E-2</v>
      </c>
      <c r="AA5832">
        <v>0.96039940000000001</v>
      </c>
      <c r="AB5832">
        <v>35</v>
      </c>
      <c r="AC5832">
        <v>-1.3240999999999801</v>
      </c>
      <c r="AD5832">
        <v>-1.044052428066</v>
      </c>
      <c r="AE5832">
        <v>-14.534743099999901</v>
      </c>
      <c r="AF5832">
        <v>4.0236983594454196</v>
      </c>
      <c r="AG5832">
        <v>-1.044052428066</v>
      </c>
      <c r="AH5832">
        <v>13.952002693648501</v>
      </c>
      <c r="AI5832">
        <v>94.112566365915896</v>
      </c>
      <c r="AJ5832">
        <v>73.912663257307003</v>
      </c>
      <c r="AK5832">
        <v>14.558110218154299</v>
      </c>
      <c r="AL5832">
        <v>84.267978717188001</v>
      </c>
      <c r="AM5832">
        <v>73.326468561830396</v>
      </c>
      <c r="AN5832">
        <v>1.0000000231064301</v>
      </c>
    </row>
    <row r="5833" spans="1:40" x14ac:dyDescent="0.25">
      <c r="A5833" t="str">
        <f>"20190312164142400"</f>
        <v>20190312164142400</v>
      </c>
      <c r="B5833" t="str">
        <f>"1552380102391709"</f>
        <v>1552380102391709</v>
      </c>
      <c r="C5833" t="s">
        <v>40</v>
      </c>
      <c r="D5833">
        <v>6.0539019999999999</v>
      </c>
      <c r="E5833">
        <v>0.49972499999999997</v>
      </c>
      <c r="F5833" t="s">
        <v>41</v>
      </c>
      <c r="G5833">
        <v>-301.2749</v>
      </c>
      <c r="H5833" s="1">
        <v>-2.1335399999999998E-6</v>
      </c>
      <c r="I5833">
        <v>-16.228279999999899</v>
      </c>
      <c r="J5833">
        <v>-299.80470000000003</v>
      </c>
      <c r="K5833">
        <v>1.0460259999999999</v>
      </c>
      <c r="L5833">
        <v>-1.3022769999999999</v>
      </c>
      <c r="M5833">
        <v>0.17155049999999999</v>
      </c>
      <c r="N5833">
        <v>0</v>
      </c>
      <c r="O5833">
        <v>-0.98516420000000005</v>
      </c>
      <c r="P5833">
        <v>-0.1033005</v>
      </c>
      <c r="Q5833">
        <v>0.1073083</v>
      </c>
      <c r="R5833">
        <v>-0.98884479999999997</v>
      </c>
      <c r="S5833">
        <v>-0.28039550000000002</v>
      </c>
      <c r="T5833">
        <v>-0.2068149</v>
      </c>
      <c r="U5833">
        <v>-3.0263979999999999</v>
      </c>
      <c r="V5833">
        <v>0.2760977</v>
      </c>
      <c r="W5833">
        <v>9.9652379999999999E-2</v>
      </c>
      <c r="X5833">
        <v>0.95594950000000001</v>
      </c>
      <c r="Y5833">
        <v>0.26150099999999998</v>
      </c>
      <c r="Z5833">
        <v>6.5332929999999997E-2</v>
      </c>
      <c r="AA5833">
        <v>0.96298950000000005</v>
      </c>
      <c r="AB5833">
        <v>36</v>
      </c>
      <c r="AC5833">
        <v>-1.47019999999997</v>
      </c>
      <c r="AD5833">
        <v>-1.0460281335399999</v>
      </c>
      <c r="AE5833">
        <v>-14.9260029999999</v>
      </c>
      <c r="AF5833">
        <v>3.9895896946346201</v>
      </c>
      <c r="AG5833">
        <v>-1.0460281335399999</v>
      </c>
      <c r="AH5833">
        <v>14.3825499025026</v>
      </c>
      <c r="AI5833">
        <v>94.0088857361376</v>
      </c>
      <c r="AJ5833">
        <v>74.496465103397199</v>
      </c>
      <c r="AK5833">
        <v>14.9622438987496</v>
      </c>
      <c r="AL5833">
        <v>84.280846621742299</v>
      </c>
      <c r="AM5833">
        <v>73.890204627654697</v>
      </c>
      <c r="AN5833">
        <v>0.99999999166760201</v>
      </c>
    </row>
    <row r="5834" spans="1:40" x14ac:dyDescent="0.25">
      <c r="A5834" t="str">
        <f>"20190312164142421"</f>
        <v>20190312164142421</v>
      </c>
      <c r="B5834" t="str">
        <f>"1552380102412204"</f>
        <v>1552380102412204</v>
      </c>
      <c r="C5834" t="s">
        <v>40</v>
      </c>
      <c r="D5834">
        <v>6.049474</v>
      </c>
      <c r="E5834">
        <v>0.49927519999999997</v>
      </c>
      <c r="F5834" t="s">
        <v>41</v>
      </c>
      <c r="G5834">
        <v>-301.36360000000002</v>
      </c>
      <c r="H5834" s="1">
        <v>-1.827666E-6</v>
      </c>
      <c r="I5834">
        <v>-16.996269999999999</v>
      </c>
      <c r="J5834">
        <v>-299.75470000000001</v>
      </c>
      <c r="K5834">
        <v>1.0483750000000001</v>
      </c>
      <c r="L5834">
        <v>-1.661316</v>
      </c>
      <c r="M5834">
        <v>0.1537829</v>
      </c>
      <c r="N5834">
        <v>0</v>
      </c>
      <c r="O5834">
        <v>-0.98810050000000005</v>
      </c>
      <c r="P5834">
        <v>-0.1126336</v>
      </c>
      <c r="Q5834">
        <v>0.1089403</v>
      </c>
      <c r="R5834">
        <v>-0.98764660000000004</v>
      </c>
      <c r="S5834">
        <v>-0.30041499999999999</v>
      </c>
      <c r="T5834">
        <v>-0.20157749999999999</v>
      </c>
      <c r="U5834">
        <v>-3.0243530000000001</v>
      </c>
      <c r="V5834">
        <v>0.26768819999999999</v>
      </c>
      <c r="W5834">
        <v>0.10050969999999999</v>
      </c>
      <c r="X5834">
        <v>0.95824889999999996</v>
      </c>
      <c r="Y5834">
        <v>0.25048910000000002</v>
      </c>
      <c r="Z5834">
        <v>6.4097429999999997E-2</v>
      </c>
      <c r="AA5834">
        <v>0.96599520000000005</v>
      </c>
      <c r="AB5834">
        <v>36</v>
      </c>
      <c r="AC5834">
        <v>-1.6089</v>
      </c>
      <c r="AD5834">
        <v>-1.0483768276659999</v>
      </c>
      <c r="AE5834">
        <v>-15.334954</v>
      </c>
      <c r="AF5834">
        <v>3.9298574438883498</v>
      </c>
      <c r="AG5834">
        <v>-1.0483768276659999</v>
      </c>
      <c r="AH5834">
        <v>14.836527745356401</v>
      </c>
      <c r="AI5834">
        <v>93.907593314920902</v>
      </c>
      <c r="AJ5834">
        <v>75.164349130364101</v>
      </c>
      <c r="AK5834">
        <v>15.383934121049901</v>
      </c>
      <c r="AL5834">
        <v>84.231478350677904</v>
      </c>
      <c r="AM5834">
        <v>74.392218127867594</v>
      </c>
      <c r="AN5834">
        <v>1.0000000632822601</v>
      </c>
    </row>
    <row r="5835" spans="1:40" x14ac:dyDescent="0.25">
      <c r="A5835" t="str">
        <f>"20190312164142445"</f>
        <v>20190312164142445</v>
      </c>
      <c r="B5835" t="str">
        <f>"1552380102431724"</f>
        <v>1552380102431724</v>
      </c>
      <c r="C5835" t="s">
        <v>40</v>
      </c>
      <c r="D5835">
        <v>6.0457070000000002</v>
      </c>
      <c r="E5835">
        <v>0.49873780000000001</v>
      </c>
      <c r="F5835" t="s">
        <v>41</v>
      </c>
      <c r="G5835">
        <v>-301.49959999999999</v>
      </c>
      <c r="H5835" s="1">
        <v>-1.4604719999999999E-6</v>
      </c>
      <c r="I5835">
        <v>-17.936579999999999</v>
      </c>
      <c r="J5835">
        <v>-299.70839999999998</v>
      </c>
      <c r="K5835">
        <v>1.0515840000000001</v>
      </c>
      <c r="L5835">
        <v>-2.0300289999999999</v>
      </c>
      <c r="M5835">
        <v>0.1347875</v>
      </c>
      <c r="N5835">
        <v>0</v>
      </c>
      <c r="O5835">
        <v>-0.99087230000000004</v>
      </c>
      <c r="P5835">
        <v>-0.12291870000000001</v>
      </c>
      <c r="Q5835">
        <v>0.109733399999999</v>
      </c>
      <c r="R5835">
        <v>-0.98633159999999998</v>
      </c>
      <c r="S5835">
        <v>-0.32400509999999999</v>
      </c>
      <c r="T5835">
        <v>-0.19466520000000001</v>
      </c>
      <c r="U5835">
        <v>-3.0220340000000001</v>
      </c>
      <c r="V5835">
        <v>0.25896380000000002</v>
      </c>
      <c r="W5835">
        <v>0.1016165</v>
      </c>
      <c r="X5835">
        <v>0.96052689999999996</v>
      </c>
      <c r="Y5835">
        <v>0.23943729999999999</v>
      </c>
      <c r="Z5835">
        <v>6.2287490000000001E-2</v>
      </c>
      <c r="AA5835">
        <v>0.96891179999999999</v>
      </c>
      <c r="AB5835">
        <v>36</v>
      </c>
      <c r="AC5835">
        <v>-1.7911999999999999</v>
      </c>
      <c r="AD5835">
        <v>-1.0515854604719901</v>
      </c>
      <c r="AE5835">
        <v>-15.906551</v>
      </c>
      <c r="AF5835">
        <v>3.90202287735644</v>
      </c>
      <c r="AG5835">
        <v>-1.0515854604719901</v>
      </c>
      <c r="AH5835">
        <v>15.4532699280632</v>
      </c>
      <c r="AI5835">
        <v>93.7748202017669</v>
      </c>
      <c r="AJ5835">
        <v>75.828770715602701</v>
      </c>
      <c r="AK5835">
        <v>15.972951073163401</v>
      </c>
      <c r="AL5835">
        <v>84.167736916498797</v>
      </c>
      <c r="AM5835">
        <v>74.911468491717599</v>
      </c>
      <c r="AN5835">
        <v>1.00000004420314</v>
      </c>
    </row>
    <row r="5836" spans="1:40" x14ac:dyDescent="0.25">
      <c r="A5836" t="str">
        <f>"20190312164142467"</f>
        <v>20190312164142467</v>
      </c>
      <c r="B5836" t="str">
        <f>"1552380102461980"</f>
        <v>1552380102461980</v>
      </c>
      <c r="C5836" t="s">
        <v>40</v>
      </c>
      <c r="D5836">
        <v>6.0449260000000002</v>
      </c>
      <c r="E5836">
        <v>0.49806119999999998</v>
      </c>
      <c r="F5836" t="s">
        <v>41</v>
      </c>
      <c r="G5836">
        <v>-301.64420000000001</v>
      </c>
      <c r="H5836" s="1">
        <v>-1.159735E-6</v>
      </c>
      <c r="I5836">
        <v>-18.727260000000001</v>
      </c>
      <c r="J5836">
        <v>-299.66820000000001</v>
      </c>
      <c r="K5836">
        <v>1.0548999999999999</v>
      </c>
      <c r="L5836">
        <v>-2.392792</v>
      </c>
      <c r="M5836">
        <v>0.11585529999999999</v>
      </c>
      <c r="N5836">
        <v>0</v>
      </c>
      <c r="O5836">
        <v>-0.99326400000000004</v>
      </c>
      <c r="P5836">
        <v>-0.13177269999999999</v>
      </c>
      <c r="Q5836">
        <v>0.10924489999999901</v>
      </c>
      <c r="R5836">
        <v>-0.98524179999999995</v>
      </c>
      <c r="S5836">
        <v>-0.35000609999999999</v>
      </c>
      <c r="T5836">
        <v>-0.19014200000000001</v>
      </c>
      <c r="U5836">
        <v>-3.019104</v>
      </c>
      <c r="V5836">
        <v>0.2490397</v>
      </c>
      <c r="W5836">
        <v>0.1019395</v>
      </c>
      <c r="X5836">
        <v>0.96311349999999996</v>
      </c>
      <c r="Y5836">
        <v>0.22924829999999999</v>
      </c>
      <c r="Z5836">
        <v>6.1177740000000001E-2</v>
      </c>
      <c r="AA5836">
        <v>0.97144350000000002</v>
      </c>
      <c r="AB5836">
        <v>36</v>
      </c>
      <c r="AC5836">
        <v>-1.97599999999999</v>
      </c>
      <c r="AD5836">
        <v>-1.054901159735</v>
      </c>
      <c r="AE5836">
        <v>-16.334467999999902</v>
      </c>
      <c r="AF5836">
        <v>3.83935040939296</v>
      </c>
      <c r="AG5836">
        <v>-1.054901159735</v>
      </c>
      <c r="AH5836">
        <v>15.9300604057416</v>
      </c>
      <c r="AI5836">
        <v>93.683471781341794</v>
      </c>
      <c r="AJ5836">
        <v>76.449403999126105</v>
      </c>
      <c r="AK5836">
        <v>16.420117312415599</v>
      </c>
      <c r="AL5836">
        <v>84.149133657448402</v>
      </c>
      <c r="AM5836">
        <v>75.502140497849894</v>
      </c>
      <c r="AN5836">
        <v>1.0000000238592901</v>
      </c>
    </row>
    <row r="5837" spans="1:40" x14ac:dyDescent="0.25">
      <c r="A5837" t="str">
        <f>"20190312164142490"</f>
        <v>20190312164142490</v>
      </c>
      <c r="B5837" t="str">
        <f>"1552380102482476"</f>
        <v>1552380102482476</v>
      </c>
      <c r="C5837" t="s">
        <v>40</v>
      </c>
      <c r="D5837">
        <v>5.9032549999999997</v>
      </c>
      <c r="E5837">
        <v>0.49783300000000003</v>
      </c>
      <c r="F5837" t="s">
        <v>41</v>
      </c>
      <c r="G5837">
        <v>-301.66520000000003</v>
      </c>
      <c r="H5837" s="1">
        <v>-1.2123509999999999E-6</v>
      </c>
      <c r="I5837">
        <v>-18.617650000000001</v>
      </c>
      <c r="J5837">
        <v>-299.63389999999998</v>
      </c>
      <c r="K5837">
        <v>1.057966</v>
      </c>
      <c r="L5837">
        <v>-2.7552490000000001</v>
      </c>
      <c r="M5837">
        <v>9.7088079999999993E-2</v>
      </c>
      <c r="N5837">
        <v>0</v>
      </c>
      <c r="O5837">
        <v>-0.99527379999999999</v>
      </c>
      <c r="P5837">
        <v>-0.1392669</v>
      </c>
      <c r="Q5837">
        <v>0.10874399999999999</v>
      </c>
      <c r="R5837">
        <v>-0.98426599999999997</v>
      </c>
      <c r="S5837">
        <v>-0.3713379</v>
      </c>
      <c r="T5837">
        <v>-0.1961598</v>
      </c>
      <c r="U5837">
        <v>-3.017029</v>
      </c>
      <c r="V5837">
        <v>0.2381036</v>
      </c>
      <c r="W5837">
        <v>0.1020263</v>
      </c>
      <c r="X5837">
        <v>0.96586609999999995</v>
      </c>
      <c r="Y5837">
        <v>0.21769359999999999</v>
      </c>
      <c r="Z5837">
        <v>6.3403580000000001E-2</v>
      </c>
      <c r="AA5837">
        <v>0.97395560000000003</v>
      </c>
      <c r="AB5837">
        <v>36</v>
      </c>
      <c r="AC5837">
        <v>-2.0313000000000399</v>
      </c>
      <c r="AD5837">
        <v>-1.057967212351</v>
      </c>
      <c r="AE5837">
        <v>-15.862401</v>
      </c>
      <c r="AF5837">
        <v>3.5462361362174502</v>
      </c>
      <c r="AG5837">
        <v>-1.057967212351</v>
      </c>
      <c r="AH5837">
        <v>15.522312205529699</v>
      </c>
      <c r="AI5837">
        <v>93.8014785542818</v>
      </c>
      <c r="AJ5837">
        <v>77.131035499213496</v>
      </c>
      <c r="AK5837">
        <v>15.9573575996203</v>
      </c>
      <c r="AL5837">
        <v>84.144134217139893</v>
      </c>
      <c r="AM5837">
        <v>76.151665856985801</v>
      </c>
      <c r="AN5837">
        <v>1.0000000066769299</v>
      </c>
    </row>
    <row r="5838" spans="1:40" x14ac:dyDescent="0.25">
      <c r="A5838" t="str">
        <f>"20190312164142513"</f>
        <v>20190312164142513</v>
      </c>
      <c r="B5838" t="str">
        <f>"1552380102501996"</f>
        <v>1552380102501996</v>
      </c>
      <c r="C5838" t="s">
        <v>40</v>
      </c>
      <c r="D5838">
        <v>6.0497329999999998</v>
      </c>
      <c r="E5838">
        <v>0.49734679999999998</v>
      </c>
      <c r="F5838" t="s">
        <v>41</v>
      </c>
      <c r="G5838">
        <v>-301.75490000000002</v>
      </c>
      <c r="H5838" s="1">
        <v>-1.0871210000000001E-6</v>
      </c>
      <c r="I5838">
        <v>-18.965199999999999</v>
      </c>
      <c r="J5838">
        <v>-299.60399999999998</v>
      </c>
      <c r="K5838">
        <v>1.06108799999999</v>
      </c>
      <c r="L5838">
        <v>-3.1446529999999999</v>
      </c>
      <c r="M5838">
        <v>7.7405940000000006E-2</v>
      </c>
      <c r="N5838">
        <v>0</v>
      </c>
      <c r="O5838">
        <v>-0.99699789999999999</v>
      </c>
      <c r="P5838">
        <v>-0.14747170000000001</v>
      </c>
      <c r="Q5838">
        <v>0.1088556</v>
      </c>
      <c r="R5838">
        <v>-0.98305799999999999</v>
      </c>
      <c r="S5838">
        <v>-0.39434809999999998</v>
      </c>
      <c r="T5838">
        <v>-0.19670579999999999</v>
      </c>
      <c r="U5838">
        <v>-3.0138850000000001</v>
      </c>
      <c r="V5838">
        <v>0.22707550000000001</v>
      </c>
      <c r="W5838">
        <v>0.1024124</v>
      </c>
      <c r="X5838">
        <v>0.96847740000000004</v>
      </c>
      <c r="Y5838">
        <v>0.20583319999999999</v>
      </c>
      <c r="Z5838">
        <v>6.3865889999999995E-2</v>
      </c>
      <c r="AA5838">
        <v>0.97650079999999995</v>
      </c>
      <c r="AB5838">
        <v>36</v>
      </c>
      <c r="AC5838">
        <v>-2.1508999999999698</v>
      </c>
      <c r="AD5838">
        <v>-1.0610890871209999</v>
      </c>
      <c r="AE5838">
        <v>-15.820546999999999</v>
      </c>
      <c r="AF5838">
        <v>3.3542380486174901</v>
      </c>
      <c r="AG5838">
        <v>-1.0610890871209999</v>
      </c>
      <c r="AH5838">
        <v>15.537959214172201</v>
      </c>
      <c r="AI5838">
        <v>93.8189679612356</v>
      </c>
      <c r="AJ5838">
        <v>77.818276271638695</v>
      </c>
      <c r="AK5838">
        <v>15.931258565439199</v>
      </c>
      <c r="AL5838">
        <v>84.121895957206405</v>
      </c>
      <c r="AM5838">
        <v>76.804420165699</v>
      </c>
      <c r="AN5838">
        <v>1.00000002834238</v>
      </c>
    </row>
    <row r="5839" spans="1:40" x14ac:dyDescent="0.25">
      <c r="A5839" t="str">
        <f>"20190312164142537"</f>
        <v>20190312164142537</v>
      </c>
      <c r="B5839" t="str">
        <f>"1552380102532253"</f>
        <v>1552380102532253</v>
      </c>
      <c r="C5839" t="s">
        <v>40</v>
      </c>
      <c r="D5839">
        <v>6.0448529999999998</v>
      </c>
      <c r="E5839">
        <v>0.49681150000000002</v>
      </c>
      <c r="F5839" t="s">
        <v>41</v>
      </c>
      <c r="G5839">
        <v>-301.86059999999998</v>
      </c>
      <c r="H5839" s="1">
        <v>-8.9510099999999898E-7</v>
      </c>
      <c r="I5839">
        <v>-19.478390000000001</v>
      </c>
      <c r="J5839">
        <v>-299.584</v>
      </c>
      <c r="K5839">
        <v>1.063822</v>
      </c>
      <c r="L5839">
        <v>-3.4861149999999999</v>
      </c>
      <c r="M5839">
        <v>6.0825259999999999E-2</v>
      </c>
      <c r="N5839">
        <v>0</v>
      </c>
      <c r="O5839">
        <v>-0.99814669999999905</v>
      </c>
      <c r="P5839">
        <v>-0.1525792</v>
      </c>
      <c r="Q5839">
        <v>0.1100555</v>
      </c>
      <c r="R5839">
        <v>-0.98214420000000002</v>
      </c>
      <c r="S5839">
        <v>-0.4159851</v>
      </c>
      <c r="T5839">
        <v>-0.19560089999999999</v>
      </c>
      <c r="U5839">
        <v>-3.0109560000000002</v>
      </c>
      <c r="V5839">
        <v>0.2160656</v>
      </c>
      <c r="W5839">
        <v>0.103878</v>
      </c>
      <c r="X5839">
        <v>0.97083730000000001</v>
      </c>
      <c r="Y5839">
        <v>0.1965771</v>
      </c>
      <c r="Z5839">
        <v>6.3712190000000002E-2</v>
      </c>
      <c r="AA5839">
        <v>0.97841610000000001</v>
      </c>
      <c r="AB5839">
        <v>36</v>
      </c>
      <c r="AC5839">
        <v>-2.27659999999997</v>
      </c>
      <c r="AD5839">
        <v>-1.063822895101</v>
      </c>
      <c r="AE5839">
        <v>-15.992274999999999</v>
      </c>
      <c r="AF5839">
        <v>3.23110685007833</v>
      </c>
      <c r="AG5839">
        <v>-1.063822895101</v>
      </c>
      <c r="AH5839">
        <v>15.7558534547356</v>
      </c>
      <c r="AI5839">
        <v>93.784186745448693</v>
      </c>
      <c r="AJ5839">
        <v>78.410836493462895</v>
      </c>
      <c r="AK5839">
        <v>16.118892291837799</v>
      </c>
      <c r="AL5839">
        <v>84.037472937668397</v>
      </c>
      <c r="AM5839">
        <v>77.452973196295105</v>
      </c>
      <c r="AN5839">
        <v>1.00000002272932</v>
      </c>
    </row>
    <row r="5840" spans="1:40" x14ac:dyDescent="0.25">
      <c r="A5840" t="str">
        <f>"20190312164142556"</f>
        <v>20190312164142556</v>
      </c>
      <c r="B5840" t="str">
        <f>"1552380102551772"</f>
        <v>1552380102551772</v>
      </c>
      <c r="C5840" t="s">
        <v>40</v>
      </c>
      <c r="D5840">
        <v>6.0191270000000001</v>
      </c>
      <c r="E5840">
        <v>0.47740149999999998</v>
      </c>
      <c r="F5840" t="s">
        <v>41</v>
      </c>
      <c r="G5840">
        <v>-301.96089999999998</v>
      </c>
      <c r="H5840" s="1">
        <v>-5.9166469999999899E-7</v>
      </c>
      <c r="I5840">
        <v>-20.247890000000002</v>
      </c>
      <c r="J5840">
        <v>-299.56830000000002</v>
      </c>
      <c r="K5840">
        <v>1.066827</v>
      </c>
      <c r="L5840">
        <v>-3.858215</v>
      </c>
      <c r="M5840">
        <v>4.3495840000000001E-2</v>
      </c>
      <c r="N5840">
        <v>0</v>
      </c>
      <c r="O5840">
        <v>-0.99905169999999999</v>
      </c>
      <c r="P5840">
        <v>-0.15716579999999999</v>
      </c>
      <c r="Q5840">
        <v>0.1109907</v>
      </c>
      <c r="R5840">
        <v>-0.98131539999999995</v>
      </c>
      <c r="S5840">
        <v>-0.42678830000000001</v>
      </c>
      <c r="T5840">
        <v>-0.19101360000000001</v>
      </c>
      <c r="U5840">
        <v>-3.0096440000000002</v>
      </c>
      <c r="V5840">
        <v>0.2037997</v>
      </c>
      <c r="W5840">
        <v>0.105244699999999</v>
      </c>
      <c r="X5840">
        <v>0.97333930000000002</v>
      </c>
      <c r="Y5840">
        <v>0.1830599</v>
      </c>
      <c r="Z5840">
        <v>6.2403519999999997E-2</v>
      </c>
      <c r="AA5840">
        <v>0.98111919999999997</v>
      </c>
      <c r="AB5840">
        <v>36</v>
      </c>
      <c r="AC5840">
        <v>-2.3925999999999501</v>
      </c>
      <c r="AD5840">
        <v>-1.0668275916647001</v>
      </c>
      <c r="AE5840">
        <v>-16.389674999999901</v>
      </c>
      <c r="AF5840">
        <v>3.0903992094430901</v>
      </c>
      <c r="AG5840">
        <v>-1.0668275916647001</v>
      </c>
      <c r="AH5840">
        <v>16.2028780892153</v>
      </c>
      <c r="AI5840">
        <v>93.7005055138617</v>
      </c>
      <c r="AJ5840">
        <v>79.201586894540299</v>
      </c>
      <c r="AK5840">
        <v>16.529426691752999</v>
      </c>
      <c r="AL5840">
        <v>83.958735525156996</v>
      </c>
      <c r="AM5840">
        <v>78.174139962786001</v>
      </c>
      <c r="AN5840">
        <v>1.0000000787613299</v>
      </c>
    </row>
    <row r="5841" spans="1:40" x14ac:dyDescent="0.25">
      <c r="A5841" t="str">
        <f>"20190312164142581"</f>
        <v>20190312164142581</v>
      </c>
      <c r="B5841" t="str">
        <f>"1552380102572271"</f>
        <v>1552380102572271</v>
      </c>
      <c r="C5841" t="s">
        <v>40</v>
      </c>
      <c r="D5841">
        <v>5.9755890000000003</v>
      </c>
      <c r="E5841">
        <v>0.48074879999999998</v>
      </c>
      <c r="F5841" t="s">
        <v>42</v>
      </c>
      <c r="G5841">
        <v>-299.64069999999998</v>
      </c>
      <c r="H5841">
        <v>1.008143</v>
      </c>
      <c r="I5841">
        <v>-4.621054</v>
      </c>
      <c r="J5841">
        <v>-299.5591</v>
      </c>
      <c r="K5841">
        <v>1.0700160000000001</v>
      </c>
      <c r="L5841">
        <v>-4.2546999999999997</v>
      </c>
      <c r="M5841">
        <v>2.5796030000000001E-2</v>
      </c>
      <c r="N5841">
        <v>0</v>
      </c>
      <c r="O5841">
        <v>-0.99966529999999998</v>
      </c>
      <c r="P5841">
        <v>-0.15986929999999999</v>
      </c>
      <c r="Q5841">
        <v>0.11101610000000001</v>
      </c>
      <c r="R5841">
        <v>-0.98087559999999996</v>
      </c>
      <c r="S5841">
        <v>-0.28851320000000003</v>
      </c>
      <c r="T5841">
        <v>-0.23405680000000001</v>
      </c>
      <c r="U5841">
        <v>-3.0373839999999999</v>
      </c>
      <c r="V5841">
        <v>0.18924240000000001</v>
      </c>
      <c r="W5841">
        <v>0.1059778</v>
      </c>
      <c r="X5841">
        <v>0.97619469999999997</v>
      </c>
      <c r="Y5841">
        <v>0.1199344</v>
      </c>
      <c r="Z5841">
        <v>7.6344350000000005E-2</v>
      </c>
      <c r="AA5841">
        <v>0.98984209999999995</v>
      </c>
      <c r="AB5841">
        <v>36</v>
      </c>
      <c r="AC5841">
        <v>-8.1599999999980299E-2</v>
      </c>
      <c r="AD5841">
        <v>-6.1872999999999997E-2</v>
      </c>
      <c r="AE5841">
        <v>-0.36635400000000001</v>
      </c>
      <c r="AF5841">
        <v>8.8615210266228206E-2</v>
      </c>
      <c r="AG5841">
        <v>-6.1872999999999997E-2</v>
      </c>
      <c r="AH5841">
        <v>0.35449370431570898</v>
      </c>
      <c r="AI5841">
        <v>99.610658257266294</v>
      </c>
      <c r="AJ5841">
        <v>75.965006325007906</v>
      </c>
      <c r="AK5841">
        <v>0.37060317054634201</v>
      </c>
      <c r="AL5841">
        <v>83.9164955054176</v>
      </c>
      <c r="AM5841">
        <v>79.028881923286306</v>
      </c>
      <c r="AN5841">
        <v>1.00000003617934</v>
      </c>
    </row>
    <row r="5842" spans="1:40" x14ac:dyDescent="0.25">
      <c r="A5842" t="str">
        <f>"20190312164142601"</f>
        <v>20190312164142601</v>
      </c>
      <c r="B5842" t="str">
        <f>"1552380102591788"</f>
        <v>1552380102591788</v>
      </c>
      <c r="C5842" t="s">
        <v>40</v>
      </c>
      <c r="D5842">
        <v>6.0312029999999996</v>
      </c>
      <c r="E5842">
        <v>0.48125250000000003</v>
      </c>
      <c r="F5842" t="s">
        <v>42</v>
      </c>
      <c r="G5842">
        <v>-299.66950000000003</v>
      </c>
      <c r="H5842">
        <v>0.99684249999999996</v>
      </c>
      <c r="I5842">
        <v>-5.2799490000000002</v>
      </c>
      <c r="J5842">
        <v>-299.55700000000002</v>
      </c>
      <c r="K5842">
        <v>1.0728089999999999</v>
      </c>
      <c r="L5842">
        <v>-4.6145940000000003</v>
      </c>
      <c r="M5842">
        <v>1.025329E-2</v>
      </c>
      <c r="N5842">
        <v>0</v>
      </c>
      <c r="O5842">
        <v>-0.99994470000000002</v>
      </c>
      <c r="P5842">
        <v>-0.16111130000000001</v>
      </c>
      <c r="Q5842">
        <v>0.1109561</v>
      </c>
      <c r="R5842">
        <v>-0.98067930000000003</v>
      </c>
      <c r="S5842">
        <v>-0.32629390000000003</v>
      </c>
      <c r="T5842">
        <v>-0.21618309999999999</v>
      </c>
      <c r="U5842">
        <v>-3.029785</v>
      </c>
      <c r="V5842">
        <v>0.175284</v>
      </c>
      <c r="W5842">
        <v>0.1067241</v>
      </c>
      <c r="X5842">
        <v>0.97871629999999998</v>
      </c>
      <c r="Y5842">
        <v>0.1169968</v>
      </c>
      <c r="Z5842">
        <v>7.0718180000000005E-2</v>
      </c>
      <c r="AA5842">
        <v>0.99061129999999997</v>
      </c>
      <c r="AB5842">
        <v>37</v>
      </c>
      <c r="AC5842">
        <v>-0.11250000000001099</v>
      </c>
      <c r="AD5842">
        <v>-7.5966500000000103E-2</v>
      </c>
      <c r="AE5842">
        <v>-0.66535499999999903</v>
      </c>
      <c r="AF5842">
        <v>0.117822956991061</v>
      </c>
      <c r="AG5842">
        <v>-7.5966500000000103E-2</v>
      </c>
      <c r="AH5842">
        <v>0.65585457316925699</v>
      </c>
      <c r="AI5842">
        <v>96.503825380094298</v>
      </c>
      <c r="AJ5842">
        <v>79.815563105645595</v>
      </c>
      <c r="AK5842">
        <v>0.67067009733802496</v>
      </c>
      <c r="AL5842">
        <v>83.873491892678203</v>
      </c>
      <c r="AM5842">
        <v>79.8462139507362</v>
      </c>
      <c r="AN5842">
        <v>1.00000005503124</v>
      </c>
    </row>
    <row r="5843" spans="1:40" x14ac:dyDescent="0.25">
      <c r="A5843" t="str">
        <f>"20190312164142623"</f>
        <v>20190312164142623</v>
      </c>
      <c r="B5843" t="str">
        <f>"1552380102612284"</f>
        <v>1552380102612284</v>
      </c>
      <c r="C5843" t="s">
        <v>40</v>
      </c>
      <c r="D5843">
        <v>6.0390059999999997</v>
      </c>
      <c r="E5843">
        <v>0.48154209999999897</v>
      </c>
      <c r="F5843" t="s">
        <v>42</v>
      </c>
      <c r="G5843">
        <v>-299.66849999999999</v>
      </c>
      <c r="H5843">
        <v>1.0057560000000001</v>
      </c>
      <c r="I5843">
        <v>-5.6170920000000004</v>
      </c>
      <c r="J5843">
        <v>-299.56049999999999</v>
      </c>
      <c r="K5843">
        <v>1.0754520000000001</v>
      </c>
      <c r="L5843">
        <v>-4.9769589999999999</v>
      </c>
      <c r="M5843">
        <v>-5.0254409999999899E-3</v>
      </c>
      <c r="N5843">
        <v>0</v>
      </c>
      <c r="O5843">
        <v>-0.99998399999999998</v>
      </c>
      <c r="P5843">
        <v>-0.1642429</v>
      </c>
      <c r="Q5843">
        <v>0.1117942</v>
      </c>
      <c r="R5843">
        <v>-0.98006470000000001</v>
      </c>
      <c r="S5843">
        <v>-0.33648679999999997</v>
      </c>
      <c r="T5843">
        <v>-0.2018973</v>
      </c>
      <c r="U5843">
        <v>-3.026672</v>
      </c>
      <c r="V5843">
        <v>0.1634708</v>
      </c>
      <c r="W5843">
        <v>0.1083573</v>
      </c>
      <c r="X5843">
        <v>0.98057939999999999</v>
      </c>
      <c r="Y5843">
        <v>0.1052549</v>
      </c>
      <c r="Z5843">
        <v>6.616909E-2</v>
      </c>
      <c r="AA5843">
        <v>0.99224140000000005</v>
      </c>
      <c r="AB5843">
        <v>37</v>
      </c>
      <c r="AC5843">
        <v>-0.108000000000004</v>
      </c>
      <c r="AD5843">
        <v>-6.9696000000000202E-2</v>
      </c>
      <c r="AE5843">
        <v>-0.64013299999999895</v>
      </c>
      <c r="AF5843">
        <v>0.10358770292341</v>
      </c>
      <c r="AG5843">
        <v>-6.9696000000000202E-2</v>
      </c>
      <c r="AH5843">
        <v>0.63336735197910099</v>
      </c>
      <c r="AI5843">
        <v>96.197893220145701</v>
      </c>
      <c r="AJ5843">
        <v>80.711469064533404</v>
      </c>
      <c r="AK5843">
        <v>0.645555688663625</v>
      </c>
      <c r="AL5843">
        <v>83.779370132648097</v>
      </c>
      <c r="AM5843">
        <v>80.535352588227795</v>
      </c>
      <c r="AN5843">
        <v>0.99999998331014495</v>
      </c>
    </row>
    <row r="5844" spans="1:40" x14ac:dyDescent="0.25">
      <c r="A5844" t="str">
        <f>"20190312164142645"</f>
        <v>20190312164142645</v>
      </c>
      <c r="B5844" t="str">
        <f>"1552380102642541"</f>
        <v>1552380102642541</v>
      </c>
      <c r="C5844" t="s">
        <v>40</v>
      </c>
      <c r="D5844">
        <v>6.0099910000000003</v>
      </c>
      <c r="E5844">
        <v>0.48143000000000002</v>
      </c>
      <c r="F5844" t="s">
        <v>42</v>
      </c>
      <c r="G5844">
        <v>-299.6721</v>
      </c>
      <c r="H5844">
        <v>1.0122979999999999</v>
      </c>
      <c r="I5844">
        <v>-5.9543359999999996</v>
      </c>
      <c r="J5844">
        <v>-299.5702</v>
      </c>
      <c r="K5844">
        <v>1.0780050000000001</v>
      </c>
      <c r="L5844">
        <v>-5.357056</v>
      </c>
      <c r="M5844">
        <v>-2.0707929999999999E-2</v>
      </c>
      <c r="N5844">
        <v>0</v>
      </c>
      <c r="O5844">
        <v>-0.99978120000000004</v>
      </c>
      <c r="P5844">
        <v>-0.1666397</v>
      </c>
      <c r="Q5844">
        <v>0.1134501</v>
      </c>
      <c r="R5844">
        <v>-0.97946960000000005</v>
      </c>
      <c r="S5844">
        <v>-0.34512330000000002</v>
      </c>
      <c r="T5844">
        <v>-0.19520319999999999</v>
      </c>
      <c r="U5844">
        <v>-3.025452</v>
      </c>
      <c r="V5844">
        <v>0.1505329</v>
      </c>
      <c r="W5844">
        <v>0.1109057</v>
      </c>
      <c r="X5844">
        <v>0.98236440000000003</v>
      </c>
      <c r="Y5844">
        <v>9.2506920000000006E-2</v>
      </c>
      <c r="Z5844">
        <v>6.4021079999999994E-2</v>
      </c>
      <c r="AA5844">
        <v>0.99365170000000003</v>
      </c>
      <c r="AB5844">
        <v>37</v>
      </c>
      <c r="AC5844">
        <v>-0.1019</v>
      </c>
      <c r="AD5844">
        <v>-6.5706999999999904E-2</v>
      </c>
      <c r="AE5844">
        <v>-0.59727999999999903</v>
      </c>
      <c r="AF5844">
        <v>8.8469265079581305E-2</v>
      </c>
      <c r="AG5844">
        <v>-6.5706999999999904E-2</v>
      </c>
      <c r="AH5844">
        <v>0.59229666738817999</v>
      </c>
      <c r="AI5844">
        <v>96.261377953313996</v>
      </c>
      <c r="AJ5844">
        <v>81.504737280213007</v>
      </c>
      <c r="AK5844">
        <v>0.60246125428268504</v>
      </c>
      <c r="AL5844">
        <v>83.632472309926399</v>
      </c>
      <c r="AM5844">
        <v>81.288031188225503</v>
      </c>
      <c r="AN5844">
        <v>1.00000002133112</v>
      </c>
    </row>
    <row r="5845" spans="1:40" x14ac:dyDescent="0.25">
      <c r="A5845" t="str">
        <f>"20190312164142691"</f>
        <v>20190312164142691</v>
      </c>
      <c r="B5845" t="str">
        <f>"1552380102682556"</f>
        <v>1552380102682556</v>
      </c>
      <c r="C5845" t="s">
        <v>40</v>
      </c>
      <c r="D5845">
        <v>5.9853259999999997</v>
      </c>
      <c r="E5845">
        <v>0.48102780000000001</v>
      </c>
      <c r="F5845" t="s">
        <v>42</v>
      </c>
      <c r="G5845">
        <v>-299.67840000000001</v>
      </c>
      <c r="H5845">
        <v>1.0195989999999999</v>
      </c>
      <c r="I5845">
        <v>-6.2931059999999999</v>
      </c>
      <c r="J5845">
        <v>-299.6078</v>
      </c>
      <c r="K5845">
        <v>1.082417</v>
      </c>
      <c r="L5845">
        <v>-6.127167</v>
      </c>
      <c r="M5845">
        <v>-5.1514249999999998E-2</v>
      </c>
      <c r="N5845">
        <v>0</v>
      </c>
      <c r="O5845">
        <v>-0.99866509999999997</v>
      </c>
      <c r="P5845">
        <v>-0.16698250000000001</v>
      </c>
      <c r="Q5845">
        <v>0.1137285</v>
      </c>
      <c r="R5845">
        <v>-0.97937870000000005</v>
      </c>
      <c r="S5845">
        <v>-0.34927370000000002</v>
      </c>
      <c r="T5845">
        <v>-0.1878262</v>
      </c>
      <c r="U5845">
        <v>-3.0252080000000001</v>
      </c>
      <c r="V5845">
        <v>0.1205175</v>
      </c>
      <c r="W5845">
        <v>0.1131394</v>
      </c>
      <c r="X5845">
        <v>0.98624290000000003</v>
      </c>
      <c r="Y5845">
        <v>6.3147780000000001E-2</v>
      </c>
      <c r="Z5845">
        <v>6.1579090000000003E-2</v>
      </c>
      <c r="AA5845">
        <v>0.99610259999999995</v>
      </c>
      <c r="AB5845">
        <v>37</v>
      </c>
      <c r="AC5845">
        <v>-7.0600000000013097E-2</v>
      </c>
      <c r="AD5845">
        <v>-6.2817999999999999E-2</v>
      </c>
      <c r="AE5845">
        <v>-0.165938999999999</v>
      </c>
      <c r="AF5845">
        <v>5.5253346650409901E-2</v>
      </c>
      <c r="AG5845">
        <v>-6.2817999999999999E-2</v>
      </c>
      <c r="AH5845">
        <v>0.15102920662601199</v>
      </c>
      <c r="AI5845">
        <v>111.33626416656899</v>
      </c>
      <c r="AJ5845">
        <v>69.905184075927295</v>
      </c>
      <c r="AK5845">
        <v>0.17265241004443799</v>
      </c>
      <c r="AL5845">
        <v>83.503680062413906</v>
      </c>
      <c r="AM5845">
        <v>83.033076889243802</v>
      </c>
      <c r="AN5845">
        <v>1.0000000247195</v>
      </c>
    </row>
    <row r="5846" spans="1:40" x14ac:dyDescent="0.25">
      <c r="A5846" t="str">
        <f>"20190312164142712"</f>
        <v>20190312164142712</v>
      </c>
      <c r="B5846" t="str">
        <f>"1552380102702076"</f>
        <v>1552380102702076</v>
      </c>
      <c r="C5846" t="s">
        <v>40</v>
      </c>
      <c r="D5846">
        <v>5.9216040000000003</v>
      </c>
      <c r="E5846">
        <v>0.48053980000000002</v>
      </c>
      <c r="F5846" t="s">
        <v>42</v>
      </c>
      <c r="G5846">
        <v>-299.70510000000002</v>
      </c>
      <c r="H5846">
        <v>1.0291809999999999</v>
      </c>
      <c r="I5846">
        <v>-6.9713469999999997</v>
      </c>
      <c r="J5846">
        <v>-299.6336</v>
      </c>
      <c r="K5846">
        <v>1.084149</v>
      </c>
      <c r="L5846">
        <v>-6.4882809999999997</v>
      </c>
      <c r="M5846">
        <v>-6.5497529999999998E-2</v>
      </c>
      <c r="N5846">
        <v>0</v>
      </c>
      <c r="O5846">
        <v>-0.99784419999999996</v>
      </c>
      <c r="P5846">
        <v>-0.16753170000000001</v>
      </c>
      <c r="Q5846">
        <v>0.11336069999999999</v>
      </c>
      <c r="R5846">
        <v>-0.97932750000000002</v>
      </c>
      <c r="S5846">
        <v>-0.34844969999999997</v>
      </c>
      <c r="T5846">
        <v>-0.19029499999999999</v>
      </c>
      <c r="U5846">
        <v>-3.0258479999999999</v>
      </c>
      <c r="V5846">
        <v>0.1072116</v>
      </c>
      <c r="W5846">
        <v>0.1136264</v>
      </c>
      <c r="X5846">
        <v>0.98772199999999999</v>
      </c>
      <c r="Y5846">
        <v>4.886513E-2</v>
      </c>
      <c r="Z5846">
        <v>6.2321630000000003E-2</v>
      </c>
      <c r="AA5846">
        <v>0.99685919999999895</v>
      </c>
      <c r="AB5846">
        <v>37</v>
      </c>
      <c r="AC5846">
        <v>-7.1500000000014496E-2</v>
      </c>
      <c r="AD5846">
        <v>-5.49680000000001E-2</v>
      </c>
      <c r="AE5846">
        <v>-0.483066</v>
      </c>
      <c r="AF5846">
        <v>3.9209759577170503E-2</v>
      </c>
      <c r="AG5846">
        <v>-5.49680000000001E-2</v>
      </c>
      <c r="AH5846">
        <v>0.48062208067920498</v>
      </c>
      <c r="AI5846">
        <v>96.503062007347594</v>
      </c>
      <c r="AJ5846">
        <v>85.336066202771207</v>
      </c>
      <c r="AK5846">
        <v>0.48534160207683302</v>
      </c>
      <c r="AL5846">
        <v>83.475595867283701</v>
      </c>
      <c r="AM5846">
        <v>83.805122422671701</v>
      </c>
      <c r="AN5846">
        <v>1.0000000176177599</v>
      </c>
    </row>
    <row r="5847" spans="1:40" x14ac:dyDescent="0.25">
      <c r="A5847" t="str">
        <f>"20190312164142735"</f>
        <v>20190312164142735</v>
      </c>
      <c r="B5847" t="str">
        <f>"1552380102721596"</f>
        <v>1552380102721596</v>
      </c>
      <c r="C5847" t="s">
        <v>40</v>
      </c>
      <c r="D5847">
        <v>5.8325870000000002</v>
      </c>
      <c r="E5847">
        <v>0.48038950000000002</v>
      </c>
      <c r="F5847" t="s">
        <v>42</v>
      </c>
      <c r="G5847">
        <v>-299.72699999999998</v>
      </c>
      <c r="H5847">
        <v>1.0318750000000001</v>
      </c>
      <c r="I5847">
        <v>-7.3122749999999996</v>
      </c>
      <c r="J5847">
        <v>-299.66609999999997</v>
      </c>
      <c r="K5847">
        <v>1.0857760000000001</v>
      </c>
      <c r="L5847">
        <v>-6.8678589999999904</v>
      </c>
      <c r="M5847">
        <v>-7.9849009999999998E-2</v>
      </c>
      <c r="N5847">
        <v>0</v>
      </c>
      <c r="O5847">
        <v>-0.99679709999999999</v>
      </c>
      <c r="P5847">
        <v>-0.1681107</v>
      </c>
      <c r="Q5847">
        <v>0.1128765</v>
      </c>
      <c r="R5847">
        <v>-0.97928470000000001</v>
      </c>
      <c r="S5847">
        <v>-0.3424683</v>
      </c>
      <c r="T5847">
        <v>-0.19132440000000001</v>
      </c>
      <c r="U5847">
        <v>-3.0268860000000002</v>
      </c>
      <c r="V5847">
        <v>9.3524739999999995E-2</v>
      </c>
      <c r="W5847">
        <v>0.1139955</v>
      </c>
      <c r="X5847">
        <v>0.98906930000000004</v>
      </c>
      <c r="Y5847">
        <v>3.2501349999999998E-2</v>
      </c>
      <c r="Z5847">
        <v>6.2565739999999995E-2</v>
      </c>
      <c r="AA5847">
        <v>0.9975115</v>
      </c>
      <c r="AB5847">
        <v>37</v>
      </c>
      <c r="AC5847">
        <v>-6.0900000000060503E-2</v>
      </c>
      <c r="AD5847">
        <v>-5.39009999999999E-2</v>
      </c>
      <c r="AE5847">
        <v>-0.44441599999999998</v>
      </c>
      <c r="AF5847">
        <v>2.4860061527010799E-2</v>
      </c>
      <c r="AG5847">
        <v>-5.39009999999999E-2</v>
      </c>
      <c r="AH5847">
        <v>0.441485222711823</v>
      </c>
      <c r="AI5847">
        <v>96.949899392012199</v>
      </c>
      <c r="AJ5847">
        <v>86.777074506211406</v>
      </c>
      <c r="AK5847">
        <v>0.44545767737579101</v>
      </c>
      <c r="AL5847">
        <v>83.454309344820601</v>
      </c>
      <c r="AM5847">
        <v>84.598268099820899</v>
      </c>
      <c r="AN5847">
        <v>0.99999996560740301</v>
      </c>
    </row>
    <row r="5848" spans="1:40" x14ac:dyDescent="0.25">
      <c r="A5848" t="str">
        <f>"20190312164142757"</f>
        <v>20190312164142757</v>
      </c>
      <c r="B5848" t="str">
        <f>"1552380102751852"</f>
        <v>1552380102751852</v>
      </c>
      <c r="C5848" t="s">
        <v>40</v>
      </c>
      <c r="D5848">
        <v>6.0124009999999997</v>
      </c>
      <c r="E5848">
        <v>0.48023830000000001</v>
      </c>
      <c r="F5848" t="s">
        <v>42</v>
      </c>
      <c r="G5848">
        <v>-299.75529999999998</v>
      </c>
      <c r="H5848">
        <v>1.0350950000000001</v>
      </c>
      <c r="I5848">
        <v>-7.6547229999999997</v>
      </c>
      <c r="J5848">
        <v>-299.7047</v>
      </c>
      <c r="K5848">
        <v>1.087256</v>
      </c>
      <c r="L5848">
        <v>-7.2557070000000001</v>
      </c>
      <c r="M5848">
        <v>-9.4122949999999997E-2</v>
      </c>
      <c r="N5848">
        <v>0</v>
      </c>
      <c r="O5848">
        <v>-0.99554940000000003</v>
      </c>
      <c r="P5848">
        <v>-0.16705020000000001</v>
      </c>
      <c r="Q5848">
        <v>0.1105845</v>
      </c>
      <c r="R5848">
        <v>-0.97972729999999997</v>
      </c>
      <c r="S5848">
        <v>-0.34228520000000001</v>
      </c>
      <c r="T5848">
        <v>-0.19399640000000001</v>
      </c>
      <c r="U5848">
        <v>-3.027069</v>
      </c>
      <c r="V5848">
        <v>7.8129110000000002E-2</v>
      </c>
      <c r="W5848">
        <v>0.11258360000000001</v>
      </c>
      <c r="X5848">
        <v>0.9905659</v>
      </c>
      <c r="Y5848">
        <v>1.8105469999999999E-2</v>
      </c>
      <c r="Z5848">
        <v>6.3325309999999996E-2</v>
      </c>
      <c r="AA5848">
        <v>0.99782870000000001</v>
      </c>
      <c r="AB5848">
        <v>37</v>
      </c>
      <c r="AC5848">
        <v>-5.0599999999974402E-2</v>
      </c>
      <c r="AD5848">
        <v>-5.2160999999999902E-2</v>
      </c>
      <c r="AE5848">
        <v>-0.39901599999999798</v>
      </c>
      <c r="AF5848">
        <v>1.2606361420041E-2</v>
      </c>
      <c r="AG5848">
        <v>-5.2160999999999902E-2</v>
      </c>
      <c r="AH5848">
        <v>0.395357976442333</v>
      </c>
      <c r="AI5848">
        <v>97.512056647827293</v>
      </c>
      <c r="AJ5848">
        <v>88.173688887270899</v>
      </c>
      <c r="AK5848">
        <v>0.39898323248706702</v>
      </c>
      <c r="AL5848">
        <v>83.535729758304399</v>
      </c>
      <c r="AM5848">
        <v>85.490234341982401</v>
      </c>
      <c r="AN5848">
        <v>1.00000001353058</v>
      </c>
    </row>
    <row r="5849" spans="1:40" x14ac:dyDescent="0.25">
      <c r="A5849" t="str">
        <f>"20190312164142780"</f>
        <v>20190312164142780</v>
      </c>
      <c r="B5849" t="str">
        <f>"1552380102772348"</f>
        <v>1552380102772348</v>
      </c>
      <c r="C5849" t="s">
        <v>40</v>
      </c>
      <c r="D5849">
        <v>5.9971699999999997</v>
      </c>
      <c r="E5849">
        <v>0.47992770000000001</v>
      </c>
      <c r="F5849" t="s">
        <v>41</v>
      </c>
      <c r="G5849">
        <v>-301.48360000000002</v>
      </c>
      <c r="H5849" s="1">
        <v>-3.5383110000000002E-6</v>
      </c>
      <c r="I5849">
        <v>-23.083159999999999</v>
      </c>
      <c r="J5849">
        <v>-299.74790000000002</v>
      </c>
      <c r="K5849">
        <v>1.088527</v>
      </c>
      <c r="L5849">
        <v>-7.6315609999999996</v>
      </c>
      <c r="M5849">
        <v>-0.107502399999999</v>
      </c>
      <c r="N5849">
        <v>0</v>
      </c>
      <c r="O5849">
        <v>-0.99419250000000003</v>
      </c>
      <c r="P5849">
        <v>-0.1645356</v>
      </c>
      <c r="Q5849">
        <v>0.1076511</v>
      </c>
      <c r="R5849">
        <v>-0.9804794</v>
      </c>
      <c r="S5849">
        <v>-0.34027099999999999</v>
      </c>
      <c r="T5849">
        <v>-0.20797660000000001</v>
      </c>
      <c r="U5849">
        <v>-3.0275569999999998</v>
      </c>
      <c r="V5849">
        <v>6.2071359999999999E-2</v>
      </c>
      <c r="W5849">
        <v>0.1104953</v>
      </c>
      <c r="X5849">
        <v>0.99193640000000005</v>
      </c>
      <c r="Y5849">
        <v>3.9517739999999999E-3</v>
      </c>
      <c r="Z5849">
        <v>6.7726910000000001E-2</v>
      </c>
      <c r="AA5849">
        <v>0.99769600000000003</v>
      </c>
      <c r="AB5849">
        <v>37</v>
      </c>
      <c r="AC5849">
        <v>-1.7357</v>
      </c>
      <c r="AD5849">
        <v>-1.088530538311</v>
      </c>
      <c r="AE5849">
        <v>-15.4515989999999</v>
      </c>
      <c r="AF5849">
        <v>6.4221981968315398E-2</v>
      </c>
      <c r="AG5849">
        <v>-1.088530538311</v>
      </c>
      <c r="AH5849">
        <v>15.472813344289101</v>
      </c>
      <c r="AI5849">
        <v>94.0241604096462</v>
      </c>
      <c r="AJ5849">
        <v>89.762187566902597</v>
      </c>
      <c r="AK5849">
        <v>15.511188735329601</v>
      </c>
      <c r="AL5849">
        <v>83.656131417146099</v>
      </c>
      <c r="AM5849">
        <v>86.419331111248894</v>
      </c>
      <c r="AN5849">
        <v>0.99999994334964803</v>
      </c>
    </row>
    <row r="5850" spans="1:40" x14ac:dyDescent="0.25">
      <c r="A5850" t="str">
        <f>"20190312164142801"</f>
        <v>20190312164142801</v>
      </c>
      <c r="B5850" t="str">
        <f>"1552380102791869"</f>
        <v>1552380102791869</v>
      </c>
      <c r="C5850" t="s">
        <v>40</v>
      </c>
      <c r="D5850">
        <v>5.9411930000000002</v>
      </c>
      <c r="E5850">
        <v>0.47984589999999999</v>
      </c>
      <c r="F5850" t="s">
        <v>42</v>
      </c>
      <c r="G5850">
        <v>-299.86110000000002</v>
      </c>
      <c r="H5850">
        <v>1.0126500000000001</v>
      </c>
      <c r="I5850">
        <v>-8.6613699999999998</v>
      </c>
      <c r="J5850">
        <v>-299.79570000000001</v>
      </c>
      <c r="K5850">
        <v>1.0896809999999999</v>
      </c>
      <c r="L5850">
        <v>-8.0046389999999992</v>
      </c>
      <c r="M5850">
        <v>-0.1203444</v>
      </c>
      <c r="N5850">
        <v>0</v>
      </c>
      <c r="O5850">
        <v>-0.99271880000000001</v>
      </c>
      <c r="P5850">
        <v>-0.16457060000000001</v>
      </c>
      <c r="Q5850">
        <v>0.1066097</v>
      </c>
      <c r="R5850">
        <v>-0.98058719999999999</v>
      </c>
      <c r="S5850">
        <v>-0.3329163</v>
      </c>
      <c r="T5850">
        <v>-0.22298460000000001</v>
      </c>
      <c r="U5850">
        <v>-3.0283509999999998</v>
      </c>
      <c r="V5850">
        <v>4.9170579999999998E-2</v>
      </c>
      <c r="W5850">
        <v>0.1101427</v>
      </c>
      <c r="X5850">
        <v>0.99269879999999999</v>
      </c>
      <c r="Y5850">
        <v>-1.143365E-2</v>
      </c>
      <c r="Z5850">
        <v>7.2416720000000004E-2</v>
      </c>
      <c r="AA5850">
        <v>0.99730890000000005</v>
      </c>
      <c r="AB5850">
        <v>38</v>
      </c>
      <c r="AC5850">
        <v>-6.5400000000010894E-2</v>
      </c>
      <c r="AD5850">
        <v>-7.7030999999999794E-2</v>
      </c>
      <c r="AE5850">
        <v>-0.65673099999999995</v>
      </c>
      <c r="AF5850">
        <v>-1.3920636588589099E-2</v>
      </c>
      <c r="AG5850">
        <v>-7.7030999999999794E-2</v>
      </c>
      <c r="AH5850">
        <v>0.65096052673578997</v>
      </c>
      <c r="AI5850">
        <v>96.747147430534795</v>
      </c>
      <c r="AJ5850">
        <v>91.225069943932198</v>
      </c>
      <c r="AK5850">
        <v>0.65565018603838499</v>
      </c>
      <c r="AL5850">
        <v>83.6764585539118</v>
      </c>
      <c r="AM5850">
        <v>87.164330110571498</v>
      </c>
      <c r="AN5850">
        <v>1.0000000339111299</v>
      </c>
    </row>
    <row r="5851" spans="1:40" x14ac:dyDescent="0.25">
      <c r="A5851" t="str">
        <f>"20190312164142824"</f>
        <v>20190312164142824</v>
      </c>
      <c r="B5851" t="str">
        <f>"1552380102812364"</f>
        <v>1552380102812364</v>
      </c>
      <c r="C5851" t="s">
        <v>40</v>
      </c>
      <c r="D5851">
        <v>6.0438679999999998</v>
      </c>
      <c r="E5851">
        <v>0.47993819999999998</v>
      </c>
      <c r="F5851" t="s">
        <v>42</v>
      </c>
      <c r="G5851">
        <v>-299.90499999999997</v>
      </c>
      <c r="H5851">
        <v>1.015369</v>
      </c>
      <c r="I5851">
        <v>-9.0063560000000003</v>
      </c>
      <c r="J5851">
        <v>-299.84949999999998</v>
      </c>
      <c r="K5851">
        <v>1.0907439999999999</v>
      </c>
      <c r="L5851">
        <v>-8.3863529999999997</v>
      </c>
      <c r="M5851">
        <v>-0.13306129999999999</v>
      </c>
      <c r="N5851">
        <v>0</v>
      </c>
      <c r="O5851">
        <v>-0.99109329999999995</v>
      </c>
      <c r="P5851">
        <v>-0.16535329999999901</v>
      </c>
      <c r="Q5851">
        <v>0.1068938</v>
      </c>
      <c r="R5851">
        <v>-0.98042439999999997</v>
      </c>
      <c r="S5851">
        <v>-0.32965090000000002</v>
      </c>
      <c r="T5851">
        <v>-0.2242432</v>
      </c>
      <c r="U5851">
        <v>-3.0284420000000001</v>
      </c>
      <c r="V5851">
        <v>3.7180829999999998E-2</v>
      </c>
      <c r="W5851">
        <v>0.1110503</v>
      </c>
      <c r="X5851">
        <v>0.99311910000000003</v>
      </c>
      <c r="Y5851">
        <v>-2.5320039999999999E-2</v>
      </c>
      <c r="Z5851">
        <v>7.2637339999999995E-2</v>
      </c>
      <c r="AA5851">
        <v>0.99703699999999995</v>
      </c>
      <c r="AB5851">
        <v>38</v>
      </c>
      <c r="AC5851">
        <v>-5.5499999999994998E-2</v>
      </c>
      <c r="AD5851">
        <v>-7.5375000000000095E-2</v>
      </c>
      <c r="AE5851">
        <v>-0.62000299999999997</v>
      </c>
      <c r="AF5851">
        <v>-2.7095836214224098E-2</v>
      </c>
      <c r="AG5851">
        <v>-7.5375000000000095E-2</v>
      </c>
      <c r="AH5851">
        <v>0.61288833640711204</v>
      </c>
      <c r="AI5851">
        <v>97.004440954873601</v>
      </c>
      <c r="AJ5851">
        <v>92.531402043920295</v>
      </c>
      <c r="AK5851">
        <v>0.61810006299063303</v>
      </c>
      <c r="AL5851">
        <v>83.624136124587494</v>
      </c>
      <c r="AM5851">
        <v>87.855936745623197</v>
      </c>
      <c r="AN5851">
        <v>1.0000000650171901</v>
      </c>
    </row>
    <row r="5852" spans="1:40" x14ac:dyDescent="0.25">
      <c r="A5852" t="str">
        <f>"20190312164142846"</f>
        <v>20190312164142846</v>
      </c>
      <c r="B5852" t="str">
        <f>"1552380102841644"</f>
        <v>1552380102841644</v>
      </c>
      <c r="C5852" t="s">
        <v>40</v>
      </c>
      <c r="D5852">
        <v>5.9800250000000004</v>
      </c>
      <c r="E5852">
        <v>0.47986200000000001</v>
      </c>
      <c r="F5852" t="s">
        <v>41</v>
      </c>
      <c r="G5852">
        <v>-301.46339999999998</v>
      </c>
      <c r="H5852" s="1">
        <v>-3.4615729999999999E-6</v>
      </c>
      <c r="I5852">
        <v>-23.24952</v>
      </c>
      <c r="J5852">
        <v>-299.9083</v>
      </c>
      <c r="K5852">
        <v>1.091715</v>
      </c>
      <c r="L5852">
        <v>-8.7683719999999994</v>
      </c>
      <c r="M5852">
        <v>-0.1453392</v>
      </c>
      <c r="N5852">
        <v>0</v>
      </c>
      <c r="O5852">
        <v>-0.98936650000000004</v>
      </c>
      <c r="P5852">
        <v>-0.16261300000000001</v>
      </c>
      <c r="Q5852">
        <v>0.107362</v>
      </c>
      <c r="R5852">
        <v>-0.98083169999999997</v>
      </c>
      <c r="S5852">
        <v>-0.32885740000000002</v>
      </c>
      <c r="T5852">
        <v>-0.22226070000000001</v>
      </c>
      <c r="U5852">
        <v>-3.0286559999999998</v>
      </c>
      <c r="V5852">
        <v>2.203724E-2</v>
      </c>
      <c r="W5852">
        <v>0.1122103</v>
      </c>
      <c r="X5852">
        <v>0.99344010000000005</v>
      </c>
      <c r="Y5852">
        <v>-3.7972310000000002E-2</v>
      </c>
      <c r="Z5852">
        <v>7.1791960000000002E-2</v>
      </c>
      <c r="AA5852">
        <v>0.99669649999999999</v>
      </c>
      <c r="AB5852">
        <v>38</v>
      </c>
      <c r="AC5852">
        <v>-1.5550999999999799</v>
      </c>
      <c r="AD5852">
        <v>-1.091718461573</v>
      </c>
      <c r="AE5852">
        <v>-14.481147999999999</v>
      </c>
      <c r="AF5852">
        <v>-0.56296013674643397</v>
      </c>
      <c r="AG5852">
        <v>-1.091718461573</v>
      </c>
      <c r="AH5852">
        <v>14.4720869731159</v>
      </c>
      <c r="AI5852">
        <v>94.310754093519293</v>
      </c>
      <c r="AJ5852">
        <v>92.227666629437294</v>
      </c>
      <c r="AK5852">
        <v>14.5241204440178</v>
      </c>
      <c r="AL5852">
        <v>83.557254656665904</v>
      </c>
      <c r="AM5852">
        <v>88.729230075666706</v>
      </c>
      <c r="AN5852">
        <v>1.00000001183045</v>
      </c>
    </row>
    <row r="5853" spans="1:40" x14ac:dyDescent="0.25">
      <c r="A5853" t="str">
        <f>"20190312164142868"</f>
        <v>20190312164142868</v>
      </c>
      <c r="B5853" t="str">
        <f>"1552380102862144"</f>
        <v>1552380102862144</v>
      </c>
      <c r="C5853" t="s">
        <v>40</v>
      </c>
      <c r="D5853">
        <v>6.0359230000000004</v>
      </c>
      <c r="E5853">
        <v>0.47965400000000002</v>
      </c>
      <c r="F5853" t="s">
        <v>41</v>
      </c>
      <c r="G5853">
        <v>-301.46940000000001</v>
      </c>
      <c r="H5853" s="1">
        <v>-3.3598099999999999E-6</v>
      </c>
      <c r="I5853">
        <v>-23.490410000000001</v>
      </c>
      <c r="J5853">
        <v>-299.9717</v>
      </c>
      <c r="K5853">
        <v>1.0926180000000001</v>
      </c>
      <c r="L5853">
        <v>-9.1510929999999995</v>
      </c>
      <c r="M5853">
        <v>-0.15714259999999999</v>
      </c>
      <c r="N5853">
        <v>0</v>
      </c>
      <c r="O5853">
        <v>-0.98755990000000005</v>
      </c>
      <c r="P5853">
        <v>-0.1586263</v>
      </c>
      <c r="Q5853">
        <v>0.1059978</v>
      </c>
      <c r="R5853">
        <v>-0.98163290000000003</v>
      </c>
      <c r="S5853">
        <v>-0.32128909999999899</v>
      </c>
      <c r="T5853">
        <v>-0.22468850000000001</v>
      </c>
      <c r="U5853">
        <v>-3.0299680000000002</v>
      </c>
      <c r="V5853">
        <v>5.9813660000000001E-3</v>
      </c>
      <c r="W5853">
        <v>0.1115227</v>
      </c>
      <c r="X5853">
        <v>0.99374390000000001</v>
      </c>
      <c r="Y5853">
        <v>-5.2412510000000002E-2</v>
      </c>
      <c r="Z5853">
        <v>7.2327550000000004E-2</v>
      </c>
      <c r="AA5853">
        <v>0.99600290000000002</v>
      </c>
      <c r="AB5853">
        <v>38</v>
      </c>
      <c r="AC5853">
        <v>-1.4977</v>
      </c>
      <c r="AD5853">
        <v>-1.0926213598100001</v>
      </c>
      <c r="AE5853">
        <v>-14.339316999999999</v>
      </c>
      <c r="AF5853">
        <v>-0.76983983443503801</v>
      </c>
      <c r="AG5853">
        <v>-1.0926213598100001</v>
      </c>
      <c r="AH5853">
        <v>14.314301747411699</v>
      </c>
      <c r="AI5853">
        <v>94.358690829032099</v>
      </c>
      <c r="AJ5853">
        <v>93.078468031063593</v>
      </c>
      <c r="AK5853">
        <v>14.3765680648252</v>
      </c>
      <c r="AL5853">
        <v>83.596900094044798</v>
      </c>
      <c r="AM5853">
        <v>89.655139630027406</v>
      </c>
      <c r="AN5853">
        <v>1.00000001407086</v>
      </c>
    </row>
    <row r="5854" spans="1:40" x14ac:dyDescent="0.25">
      <c r="A5854" t="str">
        <f>"20190312164142892"</f>
        <v>20190312164142892</v>
      </c>
      <c r="B5854" t="str">
        <f>"1552380102881660"</f>
        <v>1552380102881660</v>
      </c>
      <c r="C5854" t="s">
        <v>40</v>
      </c>
      <c r="D5854">
        <v>6.0111439999999998</v>
      </c>
      <c r="E5854">
        <v>0.479514</v>
      </c>
      <c r="F5854" t="s">
        <v>41</v>
      </c>
      <c r="G5854">
        <v>-301.4452</v>
      </c>
      <c r="H5854" s="1">
        <v>-3.318351E-6</v>
      </c>
      <c r="I5854">
        <v>-23.57207</v>
      </c>
      <c r="J5854">
        <v>-300.03949999999998</v>
      </c>
      <c r="K5854">
        <v>1.093478</v>
      </c>
      <c r="L5854">
        <v>-9.5331119999999991</v>
      </c>
      <c r="M5854">
        <v>-0.1683714</v>
      </c>
      <c r="N5854">
        <v>0</v>
      </c>
      <c r="O5854">
        <v>-0.98570659999999999</v>
      </c>
      <c r="P5854">
        <v>-0.1554816</v>
      </c>
      <c r="Q5854">
        <v>0.1048251</v>
      </c>
      <c r="R5854">
        <v>-0.9822613</v>
      </c>
      <c r="S5854">
        <v>-0.30969239999999998</v>
      </c>
      <c r="T5854">
        <v>-0.22963819999999999</v>
      </c>
      <c r="U5854">
        <v>-3.0308839999999999</v>
      </c>
      <c r="V5854">
        <v>-8.6715079999999996E-3</v>
      </c>
      <c r="W5854">
        <v>0.1109285</v>
      </c>
      <c r="X5854">
        <v>0.99379059999999997</v>
      </c>
      <c r="Y5854">
        <v>-6.7583290000000004E-2</v>
      </c>
      <c r="Z5854">
        <v>7.3661649999999995E-2</v>
      </c>
      <c r="AA5854">
        <v>0.99499070000000001</v>
      </c>
      <c r="AB5854">
        <v>38</v>
      </c>
      <c r="AC5854">
        <v>-1.4057000000000199</v>
      </c>
      <c r="AD5854">
        <v>-1.0934813183509999</v>
      </c>
      <c r="AE5854">
        <v>-14.038957999999999</v>
      </c>
      <c r="AF5854">
        <v>-0.97232739225070897</v>
      </c>
      <c r="AG5854">
        <v>-1.0934813183509999</v>
      </c>
      <c r="AH5854">
        <v>13.9911716985689</v>
      </c>
      <c r="AI5854">
        <v>94.458163528068496</v>
      </c>
      <c r="AJ5854">
        <v>93.975423132476493</v>
      </c>
      <c r="AK5854">
        <v>14.067480494038</v>
      </c>
      <c r="AL5854">
        <v>83.631157987132994</v>
      </c>
      <c r="AM5854">
        <v>90.499932482314406</v>
      </c>
      <c r="AN5854">
        <v>1.0000000419057999</v>
      </c>
    </row>
    <row r="5855" spans="1:40" x14ac:dyDescent="0.25">
      <c r="A5855" t="str">
        <f>"20190312164142914"</f>
        <v>20190312164142914</v>
      </c>
      <c r="B5855" t="str">
        <f>"1552380102902156"</f>
        <v>1552380102902156</v>
      </c>
      <c r="C5855" t="s">
        <v>40</v>
      </c>
      <c r="D5855">
        <v>6.0102969999999996</v>
      </c>
      <c r="E5855">
        <v>0.47962749999999998</v>
      </c>
      <c r="F5855" t="s">
        <v>41</v>
      </c>
      <c r="G5855">
        <v>-301.43540000000002</v>
      </c>
      <c r="H5855" s="1">
        <v>-3.2827829999999999E-6</v>
      </c>
      <c r="I5855">
        <v>-23.648879999999998</v>
      </c>
      <c r="J5855">
        <v>-300.11290000000002</v>
      </c>
      <c r="K5855">
        <v>1.0943590000000001</v>
      </c>
      <c r="L5855">
        <v>-9.9232479999999992</v>
      </c>
      <c r="M5855">
        <v>-0.17921779999999901</v>
      </c>
      <c r="N5855">
        <v>0</v>
      </c>
      <c r="O5855">
        <v>-0.98379179999999999</v>
      </c>
      <c r="P5855">
        <v>-0.15340039999999999</v>
      </c>
      <c r="Q5855">
        <v>0.1044997</v>
      </c>
      <c r="R5855">
        <v>-0.98262340000000004</v>
      </c>
      <c r="S5855">
        <v>-0.29980469999999998</v>
      </c>
      <c r="T5855">
        <v>-0.23485909999999999</v>
      </c>
      <c r="U5855">
        <v>-3.0317989999999999</v>
      </c>
      <c r="V5855">
        <v>-2.1861269999999999E-2</v>
      </c>
      <c r="W5855">
        <v>0.111083</v>
      </c>
      <c r="X5855">
        <v>0.99357070000000003</v>
      </c>
      <c r="Y5855">
        <v>-8.1818890000000005E-2</v>
      </c>
      <c r="Z5855">
        <v>7.5055060000000007E-2</v>
      </c>
      <c r="AA5855">
        <v>0.99381710000000001</v>
      </c>
      <c r="AB5855">
        <v>38</v>
      </c>
      <c r="AC5855">
        <v>-1.32249999999999</v>
      </c>
      <c r="AD5855">
        <v>-1.094362282783</v>
      </c>
      <c r="AE5855">
        <v>-13.725631999999999</v>
      </c>
      <c r="AF5855">
        <v>-1.1515796633723101</v>
      </c>
      <c r="AG5855">
        <v>-1.094362282783</v>
      </c>
      <c r="AH5855">
        <v>13.654414242825</v>
      </c>
      <c r="AI5855">
        <v>94.566156749546707</v>
      </c>
      <c r="AJ5855">
        <v>94.820776738316496</v>
      </c>
      <c r="AK5855">
        <v>13.746519299143801</v>
      </c>
      <c r="AL5855">
        <v>83.622250741006397</v>
      </c>
      <c r="AM5855">
        <v>91.260460312340498</v>
      </c>
      <c r="AN5855">
        <v>1.0000000419567501</v>
      </c>
    </row>
    <row r="5856" spans="1:40" x14ac:dyDescent="0.25">
      <c r="A5856" t="str">
        <f>"20190312164142936"</f>
        <v>20190312164142936</v>
      </c>
      <c r="B5856" t="str">
        <f>"1552380102932413"</f>
        <v>1552380102932413</v>
      </c>
      <c r="C5856" t="s">
        <v>40</v>
      </c>
      <c r="D5856">
        <v>6.0719260000000004</v>
      </c>
      <c r="E5856">
        <v>0.48001929999999998</v>
      </c>
      <c r="F5856" t="s">
        <v>41</v>
      </c>
      <c r="G5856">
        <v>-301.47789999999998</v>
      </c>
      <c r="H5856" s="1">
        <v>-3.1330389999999999E-6</v>
      </c>
      <c r="I5856">
        <v>-24.02431</v>
      </c>
      <c r="J5856">
        <v>-300.1857</v>
      </c>
      <c r="K5856">
        <v>1.0951959999999901</v>
      </c>
      <c r="L5856">
        <v>-10.290010000000001</v>
      </c>
      <c r="M5856">
        <v>-0.18877469999999999</v>
      </c>
      <c r="N5856">
        <v>0</v>
      </c>
      <c r="O5856">
        <v>-0.98200209999999999</v>
      </c>
      <c r="P5856">
        <v>-0.1494491</v>
      </c>
      <c r="Q5856">
        <v>0.1042619</v>
      </c>
      <c r="R5856">
        <v>-0.98325680000000004</v>
      </c>
      <c r="S5856">
        <v>-0.293518099999999</v>
      </c>
      <c r="T5856">
        <v>-0.23532900000000001</v>
      </c>
      <c r="U5856">
        <v>-3.032257</v>
      </c>
      <c r="V5856">
        <v>-3.5660770000000001E-2</v>
      </c>
      <c r="W5856">
        <v>0.11128339999999901</v>
      </c>
      <c r="X5856">
        <v>0.9931487</v>
      </c>
      <c r="Y5856">
        <v>-9.3558810000000006E-2</v>
      </c>
      <c r="Z5856">
        <v>7.495462E-2</v>
      </c>
      <c r="AA5856">
        <v>0.99278829999999996</v>
      </c>
      <c r="AB5856">
        <v>38</v>
      </c>
      <c r="AC5856">
        <v>-1.29219999999997</v>
      </c>
      <c r="AD5856">
        <v>-1.0951991330390001</v>
      </c>
      <c r="AE5856">
        <v>-13.734299999999999</v>
      </c>
      <c r="AF5856">
        <v>-1.3154776454639401</v>
      </c>
      <c r="AG5856">
        <v>-1.0951991330390001</v>
      </c>
      <c r="AH5856">
        <v>13.6452872823909</v>
      </c>
      <c r="AI5856">
        <v>94.567754534320898</v>
      </c>
      <c r="AJ5856">
        <v>95.506597942763094</v>
      </c>
      <c r="AK5856">
        <v>13.7522291864157</v>
      </c>
      <c r="AL5856">
        <v>83.610696847472695</v>
      </c>
      <c r="AM5856">
        <v>92.056423365237194</v>
      </c>
      <c r="AN5856">
        <v>1.00000001297212</v>
      </c>
    </row>
    <row r="5857" spans="1:40" x14ac:dyDescent="0.25">
      <c r="A5857" t="str">
        <f>"20190312164142958"</f>
        <v>20190312164142958</v>
      </c>
      <c r="B5857" t="str">
        <f>"1552380102951932"</f>
        <v>1552380102951932</v>
      </c>
      <c r="C5857" t="s">
        <v>40</v>
      </c>
      <c r="D5857">
        <v>6.1290659999999999</v>
      </c>
      <c r="E5857">
        <v>0.48030260000000002</v>
      </c>
      <c r="F5857" t="s">
        <v>41</v>
      </c>
      <c r="G5857">
        <v>-301.5138</v>
      </c>
      <c r="H5857" s="1">
        <v>-2.9661050000000002E-6</v>
      </c>
      <c r="I5857">
        <v>-24.43573</v>
      </c>
      <c r="J5857">
        <v>-300.26620000000003</v>
      </c>
      <c r="K5857">
        <v>1.0961000000000001</v>
      </c>
      <c r="L5857">
        <v>-10.677250000000001</v>
      </c>
      <c r="M5857">
        <v>-0.19813420000000001</v>
      </c>
      <c r="N5857">
        <v>0</v>
      </c>
      <c r="O5857">
        <v>-0.98015620000000003</v>
      </c>
      <c r="P5857">
        <v>-0.14469570000000001</v>
      </c>
      <c r="Q5857">
        <v>0.10395</v>
      </c>
      <c r="R5857">
        <v>-0.98400089999999996</v>
      </c>
      <c r="S5857">
        <v>-0.28472900000000001</v>
      </c>
      <c r="T5857">
        <v>-0.23479839999999999</v>
      </c>
      <c r="U5857">
        <v>-3.0326840000000002</v>
      </c>
      <c r="V5857">
        <v>-5.0109359999999999E-2</v>
      </c>
      <c r="W5857">
        <v>0.1113692</v>
      </c>
      <c r="X5857">
        <v>0.99251500000000004</v>
      </c>
      <c r="Y5857">
        <v>-0.1059113</v>
      </c>
      <c r="Z5857">
        <v>7.4526469999999997E-2</v>
      </c>
      <c r="AA5857">
        <v>0.99157879999999998</v>
      </c>
      <c r="AB5857">
        <v>38</v>
      </c>
      <c r="AC5857">
        <v>-1.2475999999999701</v>
      </c>
      <c r="AD5857">
        <v>-1.0961029661049999</v>
      </c>
      <c r="AE5857">
        <v>-13.75848</v>
      </c>
      <c r="AF5857">
        <v>-1.49380638917806</v>
      </c>
      <c r="AG5857">
        <v>-1.0961029661049999</v>
      </c>
      <c r="AH5857">
        <v>13.646993716114901</v>
      </c>
      <c r="AI5857">
        <v>94.564890889031005</v>
      </c>
      <c r="AJ5857">
        <v>96.2467536604819</v>
      </c>
      <c r="AK5857">
        <v>13.7721943323616</v>
      </c>
      <c r="AL5857">
        <v>83.605750267857999</v>
      </c>
      <c r="AM5857">
        <v>92.890252703263798</v>
      </c>
      <c r="AN5857">
        <v>1.0000000359466199</v>
      </c>
    </row>
    <row r="5858" spans="1:40" x14ac:dyDescent="0.25">
      <c r="A5858" t="str">
        <f>"20190312164142981"</f>
        <v>20190312164142981</v>
      </c>
      <c r="B5858" t="str">
        <f>"1552380102972428"</f>
        <v>1552380102972428</v>
      </c>
      <c r="C5858" t="s">
        <v>40</v>
      </c>
      <c r="D5858">
        <v>5.9328209999999997</v>
      </c>
      <c r="E5858">
        <v>0.4804022</v>
      </c>
      <c r="F5858" t="s">
        <v>41</v>
      </c>
      <c r="G5858">
        <v>-301.5412</v>
      </c>
      <c r="H5858" s="1">
        <v>-2.8120610000000001E-6</v>
      </c>
      <c r="I5858">
        <v>-24.811800000000002</v>
      </c>
      <c r="J5858">
        <v>-300.34769999999997</v>
      </c>
      <c r="K5858">
        <v>1.097</v>
      </c>
      <c r="L5858">
        <v>-11.05298</v>
      </c>
      <c r="M5858">
        <v>-0.20639060000000001</v>
      </c>
      <c r="N5858">
        <v>0</v>
      </c>
      <c r="O5858">
        <v>-0.97845079999999995</v>
      </c>
      <c r="P5858">
        <v>-0.1410795</v>
      </c>
      <c r="Q5858">
        <v>0.10549119999999999</v>
      </c>
      <c r="R5858">
        <v>-0.98436210000000002</v>
      </c>
      <c r="S5858">
        <v>-0.27362059999999999</v>
      </c>
      <c r="T5858">
        <v>-0.23523240000000001</v>
      </c>
      <c r="U5858">
        <v>-3.0333860000000001</v>
      </c>
      <c r="V5858">
        <v>-6.2225170000000003E-2</v>
      </c>
      <c r="W5858">
        <v>0.1131858</v>
      </c>
      <c r="X5858">
        <v>0.99162340000000004</v>
      </c>
      <c r="Y5858">
        <v>-0.1179082</v>
      </c>
      <c r="Z5858">
        <v>7.4410039999999997E-2</v>
      </c>
      <c r="AA5858">
        <v>0.99023269999999997</v>
      </c>
      <c r="AB5858">
        <v>39</v>
      </c>
      <c r="AC5858">
        <v>-1.19350000000002</v>
      </c>
      <c r="AD5858">
        <v>-1.097002812061</v>
      </c>
      <c r="AE5858">
        <v>-13.75882</v>
      </c>
      <c r="AF5858">
        <v>-1.66145794709798</v>
      </c>
      <c r="AG5858">
        <v>-1.097002812061</v>
      </c>
      <c r="AH5858">
        <v>13.622954379855701</v>
      </c>
      <c r="AI5858">
        <v>94.570150858633895</v>
      </c>
      <c r="AJ5858">
        <v>96.9534632544826</v>
      </c>
      <c r="AK5858">
        <v>13.767670235565401</v>
      </c>
      <c r="AL5858">
        <v>83.501004073731096</v>
      </c>
      <c r="AM5858">
        <v>93.590648499803805</v>
      </c>
      <c r="AN5858">
        <v>0.99999998226536402</v>
      </c>
    </row>
    <row r="5859" spans="1:40" x14ac:dyDescent="0.25">
      <c r="A5859" t="str">
        <f>"20190312164143002"</f>
        <v>20190312164143002</v>
      </c>
      <c r="B5859" t="str">
        <f>"1552380102991949"</f>
        <v>1552380102991949</v>
      </c>
      <c r="C5859" t="s">
        <v>40</v>
      </c>
      <c r="D5859">
        <v>6.0403399999999996</v>
      </c>
      <c r="E5859">
        <v>0.48065600000000003</v>
      </c>
      <c r="F5859" t="s">
        <v>41</v>
      </c>
      <c r="G5859">
        <v>-301.59230000000002</v>
      </c>
      <c r="H5859" s="1">
        <v>-2.5718850000000001E-6</v>
      </c>
      <c r="I5859">
        <v>-25.403379999999999</v>
      </c>
      <c r="J5859">
        <v>-300.43270000000001</v>
      </c>
      <c r="K5859">
        <v>1.097869</v>
      </c>
      <c r="L5859">
        <v>-11.43146</v>
      </c>
      <c r="M5859">
        <v>-0.2140176</v>
      </c>
      <c r="N5859">
        <v>0</v>
      </c>
      <c r="O5859">
        <v>-0.97681059999999997</v>
      </c>
      <c r="P5859">
        <v>-0.1369486</v>
      </c>
      <c r="Q5859">
        <v>0.1080363</v>
      </c>
      <c r="R5859">
        <v>-0.98466909999999996</v>
      </c>
      <c r="S5859">
        <v>-0.26321409999999901</v>
      </c>
      <c r="T5859">
        <v>-0.23199149999999999</v>
      </c>
      <c r="U5859">
        <v>-3.0347900000000001</v>
      </c>
      <c r="V5859">
        <v>-7.4179190000000006E-2</v>
      </c>
      <c r="W5859">
        <v>0.1159631</v>
      </c>
      <c r="X5859">
        <v>0.99047969999999996</v>
      </c>
      <c r="Y5859">
        <v>-0.12904969999999999</v>
      </c>
      <c r="Z5859">
        <v>7.3129020000000003E-2</v>
      </c>
      <c r="AA5859">
        <v>0.98893799999999998</v>
      </c>
      <c r="AB5859">
        <v>39</v>
      </c>
      <c r="AC5859">
        <v>-1.15960000000001</v>
      </c>
      <c r="AD5859">
        <v>-1.0978715718850001</v>
      </c>
      <c r="AE5859">
        <v>-13.9719199999999</v>
      </c>
      <c r="AF5859">
        <v>-1.8462407170475701</v>
      </c>
      <c r="AG5859">
        <v>-1.0978715718850001</v>
      </c>
      <c r="AH5859">
        <v>13.811660488773301</v>
      </c>
      <c r="AI5859">
        <v>94.504911290653197</v>
      </c>
      <c r="AJ5859">
        <v>97.613742137283396</v>
      </c>
      <c r="AK5859">
        <v>13.977692664770499</v>
      </c>
      <c r="AL5859">
        <v>83.340821808446904</v>
      </c>
      <c r="AM5859">
        <v>94.283010549665903</v>
      </c>
      <c r="AN5859">
        <v>1.0000000144513701</v>
      </c>
    </row>
    <row r="5860" spans="1:40" x14ac:dyDescent="0.25">
      <c r="A5860" t="str">
        <f>"20190312164143025"</f>
        <v>20190312164143025</v>
      </c>
      <c r="B5860" t="str">
        <f>"1552380103022204"</f>
        <v>1552380103022204</v>
      </c>
      <c r="C5860" t="s">
        <v>40</v>
      </c>
      <c r="D5860">
        <v>6.1447279999999997</v>
      </c>
      <c r="E5860">
        <v>0.480433</v>
      </c>
      <c r="F5860" t="s">
        <v>41</v>
      </c>
      <c r="G5860">
        <v>-301.67329999999998</v>
      </c>
      <c r="H5860" s="1">
        <v>-2.175924E-6</v>
      </c>
      <c r="I5860">
        <v>-26.376609999999999</v>
      </c>
      <c r="J5860">
        <v>-300.52179999999998</v>
      </c>
      <c r="K5860">
        <v>1.098738</v>
      </c>
      <c r="L5860">
        <v>-11.81653</v>
      </c>
      <c r="M5860">
        <v>-0.2210028</v>
      </c>
      <c r="N5860">
        <v>0</v>
      </c>
      <c r="O5860">
        <v>-0.9752535</v>
      </c>
      <c r="P5860">
        <v>-0.1307961</v>
      </c>
      <c r="Q5860">
        <v>0.1096236</v>
      </c>
      <c r="R5860">
        <v>-0.98533009999999999</v>
      </c>
      <c r="S5860">
        <v>-0.25204470000000001</v>
      </c>
      <c r="T5860">
        <v>-0.22303439999999999</v>
      </c>
      <c r="U5860">
        <v>-3.036133</v>
      </c>
      <c r="V5860">
        <v>-8.7571679999999999E-2</v>
      </c>
      <c r="W5860">
        <v>0.11776979999999999</v>
      </c>
      <c r="X5860">
        <v>0.9891721</v>
      </c>
      <c r="Y5860">
        <v>-0.13977029999999999</v>
      </c>
      <c r="Z5860">
        <v>7.0077319999999999E-2</v>
      </c>
      <c r="AA5860">
        <v>0.9877011</v>
      </c>
      <c r="AB5860">
        <v>39</v>
      </c>
      <c r="AC5860">
        <v>-1.15149999999999</v>
      </c>
      <c r="AD5860">
        <v>-1.0987401759240001</v>
      </c>
      <c r="AE5860">
        <v>-14.560079999999999</v>
      </c>
      <c r="AF5860">
        <v>-2.0830657625623599</v>
      </c>
      <c r="AG5860">
        <v>-1.0987401759240001</v>
      </c>
      <c r="AH5860">
        <v>14.3731903632107</v>
      </c>
      <c r="AI5860">
        <v>94.326375986652394</v>
      </c>
      <c r="AJ5860">
        <v>98.246300103891798</v>
      </c>
      <c r="AK5860">
        <v>14.5648547594009</v>
      </c>
      <c r="AL5860">
        <v>83.236591079344706</v>
      </c>
      <c r="AM5860">
        <v>95.059221341187296</v>
      </c>
      <c r="AN5860">
        <v>0.99999998417423597</v>
      </c>
    </row>
    <row r="5861" spans="1:40" x14ac:dyDescent="0.25">
      <c r="A5861" t="str">
        <f>"20190312164143047"</f>
        <v>20190312164143047</v>
      </c>
      <c r="B5861" t="str">
        <f>"1552380103041724"</f>
        <v>1552380103041724</v>
      </c>
      <c r="C5861" t="s">
        <v>40</v>
      </c>
      <c r="D5861">
        <v>5.9545320000000004</v>
      </c>
      <c r="E5861">
        <v>0.4801763</v>
      </c>
      <c r="F5861" t="s">
        <v>41</v>
      </c>
      <c r="G5861">
        <v>-301.69749999999999</v>
      </c>
      <c r="H5861" s="1">
        <v>-1.821834E-6</v>
      </c>
      <c r="I5861">
        <v>-27.21697</v>
      </c>
      <c r="J5861">
        <v>-300.6121</v>
      </c>
      <c r="K5861">
        <v>1.0996429999999999</v>
      </c>
      <c r="L5861">
        <v>-12.19702</v>
      </c>
      <c r="M5861">
        <v>-0.22703400000000001</v>
      </c>
      <c r="N5861">
        <v>0</v>
      </c>
      <c r="O5861">
        <v>-0.97386689999999998</v>
      </c>
      <c r="P5861">
        <v>-0.1242837</v>
      </c>
      <c r="Q5861">
        <v>0.1096768</v>
      </c>
      <c r="R5861">
        <v>-0.98616669999999995</v>
      </c>
      <c r="S5861">
        <v>-0.23193359999999999</v>
      </c>
      <c r="T5861">
        <v>-0.21674479999999999</v>
      </c>
      <c r="U5861">
        <v>-3.0379939999999999</v>
      </c>
      <c r="V5861">
        <v>-0.10043580000000001</v>
      </c>
      <c r="W5861">
        <v>0.1179682</v>
      </c>
      <c r="X5861">
        <v>0.98792519999999995</v>
      </c>
      <c r="Y5861">
        <v>-0.15242169999999999</v>
      </c>
      <c r="Z5861">
        <v>6.7873379999999997E-2</v>
      </c>
      <c r="AA5861">
        <v>0.98598220000000003</v>
      </c>
      <c r="AB5861">
        <v>39</v>
      </c>
      <c r="AC5861">
        <v>-1.0853999999999899</v>
      </c>
      <c r="AD5861">
        <v>-1.099644821834</v>
      </c>
      <c r="AE5861">
        <v>-15.01995</v>
      </c>
      <c r="AF5861">
        <v>-2.3405695039688301</v>
      </c>
      <c r="AG5861">
        <v>-1.099644821834</v>
      </c>
      <c r="AH5861">
        <v>14.7952524426726</v>
      </c>
      <c r="AI5861">
        <v>94.198622312800495</v>
      </c>
      <c r="AJ5861">
        <v>98.989541686113</v>
      </c>
      <c r="AK5861">
        <v>15.0195532283588</v>
      </c>
      <c r="AL5861">
        <v>83.225144066679505</v>
      </c>
      <c r="AM5861">
        <v>95.8049376955165</v>
      </c>
      <c r="AN5861">
        <v>1.0000000234639499</v>
      </c>
    </row>
    <row r="5862" spans="1:40" x14ac:dyDescent="0.25">
      <c r="A5862" t="str">
        <f>"20190312164143070"</f>
        <v>20190312164143070</v>
      </c>
      <c r="B5862" t="str">
        <f>"1552380103062224"</f>
        <v>1552380103062224</v>
      </c>
      <c r="C5862" t="s">
        <v>40</v>
      </c>
      <c r="D5862">
        <v>6.0839080000000001</v>
      </c>
      <c r="E5862">
        <v>0.48003269999999998</v>
      </c>
      <c r="F5862" t="s">
        <v>41</v>
      </c>
      <c r="G5862">
        <v>-301.6848</v>
      </c>
      <c r="H5862" s="1">
        <v>-1.594095E-6</v>
      </c>
      <c r="I5862">
        <v>-27.73995</v>
      </c>
      <c r="J5862">
        <v>-300.70639999999997</v>
      </c>
      <c r="K5862">
        <v>1.100638</v>
      </c>
      <c r="L5862">
        <v>-12.58633</v>
      </c>
      <c r="M5862">
        <v>-0.2322033</v>
      </c>
      <c r="N5862">
        <v>0</v>
      </c>
      <c r="O5862">
        <v>-0.97264680000000003</v>
      </c>
      <c r="P5862">
        <v>-0.1188737</v>
      </c>
      <c r="Q5862">
        <v>0.1089536</v>
      </c>
      <c r="R5862">
        <v>-0.98691359999999995</v>
      </c>
      <c r="S5862">
        <v>-0.20977779999999999</v>
      </c>
      <c r="T5862">
        <v>-0.21504470000000001</v>
      </c>
      <c r="U5862">
        <v>-3.0395509999999999</v>
      </c>
      <c r="V5862">
        <v>-0.11137759999999999</v>
      </c>
      <c r="W5862">
        <v>0.1172754</v>
      </c>
      <c r="X5862">
        <v>0.98683410000000005</v>
      </c>
      <c r="Y5862">
        <v>-0.16484219999999999</v>
      </c>
      <c r="Z5862">
        <v>6.7127580000000006E-2</v>
      </c>
      <c r="AA5862">
        <v>0.98403300000000005</v>
      </c>
      <c r="AB5862">
        <v>39</v>
      </c>
      <c r="AC5862">
        <v>-0.97840000000002203</v>
      </c>
      <c r="AD5862">
        <v>-1.100639594095</v>
      </c>
      <c r="AE5862">
        <v>-15.15362</v>
      </c>
      <c r="AF5862">
        <v>-2.5537180451846799</v>
      </c>
      <c r="AG5862">
        <v>-1.100639594095</v>
      </c>
      <c r="AH5862">
        <v>14.8883892477486</v>
      </c>
      <c r="AI5862">
        <v>94.167320115142601</v>
      </c>
      <c r="AJ5862">
        <v>99.732897383114107</v>
      </c>
      <c r="AK5862">
        <v>15.1458581058608</v>
      </c>
      <c r="AL5862">
        <v>83.265115992833003</v>
      </c>
      <c r="AM5862">
        <v>96.439355458138394</v>
      </c>
      <c r="AN5862">
        <v>1.00000001507486</v>
      </c>
    </row>
    <row r="5863" spans="1:40" x14ac:dyDescent="0.25">
      <c r="A5863" t="str">
        <f>"20190312164143092"</f>
        <v>20190312164143092</v>
      </c>
      <c r="B5863" t="str">
        <f>"1552380103081740"</f>
        <v>1552380103081740</v>
      </c>
      <c r="C5863" t="s">
        <v>40</v>
      </c>
      <c r="D5863">
        <v>6.0793280000000003</v>
      </c>
      <c r="E5863">
        <v>0.48001470000000002</v>
      </c>
      <c r="F5863" t="s">
        <v>41</v>
      </c>
      <c r="G5863">
        <v>-301.67270000000002</v>
      </c>
      <c r="H5863" s="1">
        <v>-1.4960360000000001E-6</v>
      </c>
      <c r="I5863">
        <v>-27.961010000000002</v>
      </c>
      <c r="J5863">
        <v>-300.79919999999998</v>
      </c>
      <c r="K5863">
        <v>1.101685</v>
      </c>
      <c r="L5863">
        <v>-12.96344</v>
      </c>
      <c r="M5863">
        <v>-0.23616000000000001</v>
      </c>
      <c r="N5863">
        <v>0</v>
      </c>
      <c r="O5863">
        <v>-0.97169340000000004</v>
      </c>
      <c r="P5863">
        <v>-0.11274149999999999</v>
      </c>
      <c r="Q5863">
        <v>0.1091126</v>
      </c>
      <c r="R5863">
        <v>-0.98761549999999998</v>
      </c>
      <c r="S5863">
        <v>-0.1911011</v>
      </c>
      <c r="T5863">
        <v>-0.2176844</v>
      </c>
      <c r="U5863">
        <v>-3.0408019999999998</v>
      </c>
      <c r="V5863">
        <v>-0.1217835</v>
      </c>
      <c r="W5863">
        <v>0.1173872</v>
      </c>
      <c r="X5863">
        <v>0.98559070000000004</v>
      </c>
      <c r="Y5863">
        <v>-0.17489579999999999</v>
      </c>
      <c r="Z5863">
        <v>6.7769270000000006E-2</v>
      </c>
      <c r="AA5863">
        <v>0.98225189999999996</v>
      </c>
      <c r="AB5863">
        <v>39</v>
      </c>
      <c r="AC5863">
        <v>-0.87350000000003503</v>
      </c>
      <c r="AD5863">
        <v>-1.101686496036</v>
      </c>
      <c r="AE5863">
        <v>-14.9975699999999</v>
      </c>
      <c r="AF5863">
        <v>-2.6787008548737798</v>
      </c>
      <c r="AG5863">
        <v>-1.101686496036</v>
      </c>
      <c r="AH5863">
        <v>14.700567520186</v>
      </c>
      <c r="AI5863">
        <v>94.216660335000796</v>
      </c>
      <c r="AJ5863">
        <v>100.326992749045</v>
      </c>
      <c r="AK5863">
        <v>14.983185136045</v>
      </c>
      <c r="AL5863">
        <v>83.258665681828603</v>
      </c>
      <c r="AM5863">
        <v>97.043989464136899</v>
      </c>
      <c r="AN5863">
        <v>1.00000000176129</v>
      </c>
    </row>
    <row r="5864" spans="1:40" x14ac:dyDescent="0.25">
      <c r="A5864" t="str">
        <f>"20190312164143115"</f>
        <v>20190312164143115</v>
      </c>
      <c r="B5864" t="str">
        <f>"1552380103111996"</f>
        <v>1552380103111996</v>
      </c>
      <c r="C5864" t="s">
        <v>40</v>
      </c>
      <c r="D5864">
        <v>6.0434780000000003</v>
      </c>
      <c r="E5864">
        <v>0.47996749999999999</v>
      </c>
      <c r="F5864" t="s">
        <v>41</v>
      </c>
      <c r="G5864">
        <v>-301.67070000000001</v>
      </c>
      <c r="H5864" s="1">
        <v>-1.304285E-6</v>
      </c>
      <c r="I5864">
        <v>-28.406739999999999</v>
      </c>
      <c r="J5864">
        <v>-300.8963</v>
      </c>
      <c r="K5864">
        <v>1.1028579999999999</v>
      </c>
      <c r="L5864">
        <v>-13.354799999999999</v>
      </c>
      <c r="M5864">
        <v>-0.23913809999999999</v>
      </c>
      <c r="N5864">
        <v>0</v>
      </c>
      <c r="O5864">
        <v>-0.97096459999999996</v>
      </c>
      <c r="P5864">
        <v>-0.107022699999999</v>
      </c>
      <c r="Q5864">
        <v>0.1096471</v>
      </c>
      <c r="R5864">
        <v>-0.98819230000000002</v>
      </c>
      <c r="S5864">
        <v>-0.17166139999999999</v>
      </c>
      <c r="T5864">
        <v>-0.21700820000000001</v>
      </c>
      <c r="U5864">
        <v>-3.041992</v>
      </c>
      <c r="V5864">
        <v>-0.1307932</v>
      </c>
      <c r="W5864">
        <v>0.1177764</v>
      </c>
      <c r="X5864">
        <v>0.98438910000000002</v>
      </c>
      <c r="Y5864">
        <v>-0.1841836</v>
      </c>
      <c r="Z5864">
        <v>6.740786E-2</v>
      </c>
      <c r="AA5864">
        <v>0.98057760000000005</v>
      </c>
      <c r="AB5864">
        <v>39</v>
      </c>
      <c r="AC5864">
        <v>-0.77440000000001397</v>
      </c>
      <c r="AD5864">
        <v>-1.1028593042849999</v>
      </c>
      <c r="AE5864">
        <v>-15.05194</v>
      </c>
      <c r="AF5864">
        <v>-2.8324692692063298</v>
      </c>
      <c r="AG5864">
        <v>-1.1028593042849999</v>
      </c>
      <c r="AH5864">
        <v>14.721566241620099</v>
      </c>
      <c r="AI5864">
        <v>94.207399943950193</v>
      </c>
      <c r="AJ5864">
        <v>100.890777028016</v>
      </c>
      <c r="AK5864">
        <v>15.0320887907322</v>
      </c>
      <c r="AL5864">
        <v>83.236210526448602</v>
      </c>
      <c r="AM5864">
        <v>97.568410900304301</v>
      </c>
      <c r="AN5864">
        <v>1.000000020881</v>
      </c>
    </row>
    <row r="5865" spans="1:40" x14ac:dyDescent="0.25">
      <c r="A5865" t="str">
        <f>"20190312164143137"</f>
        <v>20190312164143137</v>
      </c>
      <c r="B5865" t="str">
        <f>"1552380103132493"</f>
        <v>1552380103132493</v>
      </c>
      <c r="C5865" t="s">
        <v>40</v>
      </c>
      <c r="D5865">
        <v>6.0349649999999997</v>
      </c>
      <c r="E5865">
        <v>0.47990959999999999</v>
      </c>
      <c r="F5865" t="s">
        <v>41</v>
      </c>
      <c r="G5865">
        <v>-301.6816</v>
      </c>
      <c r="H5865" s="1">
        <v>-1.041864E-6</v>
      </c>
      <c r="I5865">
        <v>-29.02525</v>
      </c>
      <c r="J5865">
        <v>-300.99</v>
      </c>
      <c r="K5865">
        <v>1.104039</v>
      </c>
      <c r="L5865">
        <v>-13.730740000000001</v>
      </c>
      <c r="M5865">
        <v>-0.2408565</v>
      </c>
      <c r="N5865">
        <v>0</v>
      </c>
      <c r="O5865">
        <v>-0.97053920000000005</v>
      </c>
      <c r="P5865">
        <v>-0.1009553</v>
      </c>
      <c r="Q5865">
        <v>0.1078361</v>
      </c>
      <c r="R5865">
        <v>-0.98902990000000002</v>
      </c>
      <c r="S5865">
        <v>-0.1524963</v>
      </c>
      <c r="T5865">
        <v>-0.21416740000000001</v>
      </c>
      <c r="U5865">
        <v>-3.043091</v>
      </c>
      <c r="V5865">
        <v>-0.13895959999999999</v>
      </c>
      <c r="W5865">
        <v>0.1157666</v>
      </c>
      <c r="X5865">
        <v>0.98350820000000005</v>
      </c>
      <c r="Y5865">
        <v>-0.19209190000000001</v>
      </c>
      <c r="Z5865">
        <v>6.6418400000000002E-2</v>
      </c>
      <c r="AA5865">
        <v>0.97912679999999996</v>
      </c>
      <c r="AB5865">
        <v>39</v>
      </c>
      <c r="AC5865">
        <v>-0.691599999999994</v>
      </c>
      <c r="AD5865">
        <v>-1.104040041864</v>
      </c>
      <c r="AE5865">
        <v>-15.294510000000001</v>
      </c>
      <c r="AF5865">
        <v>-2.9970353401956702</v>
      </c>
      <c r="AG5865">
        <v>-1.104040041864</v>
      </c>
      <c r="AH5865">
        <v>14.933157781036</v>
      </c>
      <c r="AI5865">
        <v>94.145929757381694</v>
      </c>
      <c r="AJ5865">
        <v>101.348309447182</v>
      </c>
      <c r="AK5865">
        <v>15.2708980272195</v>
      </c>
      <c r="AL5865">
        <v>83.352156859133501</v>
      </c>
      <c r="AM5865">
        <v>98.042072629128896</v>
      </c>
      <c r="AN5865">
        <v>1.0000000277874701</v>
      </c>
    </row>
    <row r="5866" spans="1:40" x14ac:dyDescent="0.25">
      <c r="A5866" t="str">
        <f>"20190312164143159"</f>
        <v>20190312164143159</v>
      </c>
      <c r="B5866" t="str">
        <f>"1552380103152012"</f>
        <v>1552380103152012</v>
      </c>
      <c r="C5866" t="s">
        <v>40</v>
      </c>
      <c r="D5866">
        <v>6.0335460000000003</v>
      </c>
      <c r="E5866">
        <v>0.47980929999999999</v>
      </c>
      <c r="F5866" t="s">
        <v>41</v>
      </c>
      <c r="G5866">
        <v>-301.65269999999998</v>
      </c>
      <c r="H5866" s="1">
        <v>-1.0110120000000001E-6</v>
      </c>
      <c r="I5866">
        <v>-29.079219999999999</v>
      </c>
      <c r="J5866">
        <v>-301.08409999999998</v>
      </c>
      <c r="K5866">
        <v>1.105278</v>
      </c>
      <c r="L5866">
        <v>-14.108980000000001</v>
      </c>
      <c r="M5866">
        <v>-0.241369</v>
      </c>
      <c r="N5866">
        <v>0</v>
      </c>
      <c r="O5866">
        <v>-0.97041140000000004</v>
      </c>
      <c r="P5866">
        <v>-9.3144229999999995E-2</v>
      </c>
      <c r="Q5866">
        <v>0.104583</v>
      </c>
      <c r="R5866">
        <v>-0.99014480000000005</v>
      </c>
      <c r="S5866">
        <v>-0.13140869999999999</v>
      </c>
      <c r="T5866">
        <v>-0.21894050000000001</v>
      </c>
      <c r="U5866">
        <v>-3.0437319999999999</v>
      </c>
      <c r="V5866">
        <v>-0.147679</v>
      </c>
      <c r="W5866">
        <v>0.11226949999999999</v>
      </c>
      <c r="X5866">
        <v>0.98264260000000003</v>
      </c>
      <c r="Y5866">
        <v>-0.1993875</v>
      </c>
      <c r="Z5866">
        <v>6.7821140000000002E-2</v>
      </c>
      <c r="AA5866">
        <v>0.97757099999999997</v>
      </c>
      <c r="AB5866">
        <v>39</v>
      </c>
      <c r="AC5866">
        <v>-0.56860000000000299</v>
      </c>
      <c r="AD5866">
        <v>-1.1052790110120001</v>
      </c>
      <c r="AE5866">
        <v>-14.970239999999899</v>
      </c>
      <c r="AF5866">
        <v>-3.0450662032764502</v>
      </c>
      <c r="AG5866">
        <v>-1.1052790110120001</v>
      </c>
      <c r="AH5866">
        <v>14.585454584549</v>
      </c>
      <c r="AI5866">
        <v>94.242439172146206</v>
      </c>
      <c r="AJ5866">
        <v>101.792494318148</v>
      </c>
      <c r="AK5866">
        <v>14.9408686264374</v>
      </c>
      <c r="AL5866">
        <v>83.553841123347198</v>
      </c>
      <c r="AM5866">
        <v>98.546880706743494</v>
      </c>
      <c r="AN5866">
        <v>1.0000000035029999</v>
      </c>
    </row>
    <row r="5867" spans="1:40" x14ac:dyDescent="0.25">
      <c r="A5867" t="str">
        <f>"20190312164143181"</f>
        <v>20190312164143181</v>
      </c>
      <c r="B5867" t="str">
        <f>"1552380103171532"</f>
        <v>1552380103171532</v>
      </c>
      <c r="C5867" t="s">
        <v>40</v>
      </c>
      <c r="D5867">
        <v>6.0306030000000002</v>
      </c>
      <c r="E5867">
        <v>0.47986040000000002</v>
      </c>
      <c r="F5867" t="s">
        <v>41</v>
      </c>
      <c r="G5867">
        <v>-301.61250000000001</v>
      </c>
      <c r="H5867" s="1">
        <v>-9.4922139999999997E-7</v>
      </c>
      <c r="I5867">
        <v>-29.198319999999999</v>
      </c>
      <c r="J5867">
        <v>-301.18</v>
      </c>
      <c r="K5867">
        <v>1.106533</v>
      </c>
      <c r="L5867">
        <v>-14.496829999999999</v>
      </c>
      <c r="M5867">
        <v>-0.24069019999999999</v>
      </c>
      <c r="N5867">
        <v>0</v>
      </c>
      <c r="O5867">
        <v>-0.97057930000000003</v>
      </c>
      <c r="P5867">
        <v>-8.5664729999999994E-2</v>
      </c>
      <c r="Q5867">
        <v>0.104299</v>
      </c>
      <c r="R5867">
        <v>-0.99085000000000001</v>
      </c>
      <c r="S5867">
        <v>-0.10656740000000001</v>
      </c>
      <c r="T5867">
        <v>-0.22292329999999999</v>
      </c>
      <c r="U5867">
        <v>-3.0433650000000001</v>
      </c>
      <c r="V5867">
        <v>-0.1547433</v>
      </c>
      <c r="W5867">
        <v>0.1116853</v>
      </c>
      <c r="X5867">
        <v>0.98162159999999998</v>
      </c>
      <c r="Y5867">
        <v>-0.20666100000000001</v>
      </c>
      <c r="Z5867">
        <v>6.9029859999999998E-2</v>
      </c>
      <c r="AA5867">
        <v>0.97597440000000002</v>
      </c>
      <c r="AB5867">
        <v>40</v>
      </c>
      <c r="AC5867">
        <v>-0.43250000000000399</v>
      </c>
      <c r="AD5867">
        <v>-1.1065339492213999</v>
      </c>
      <c r="AE5867">
        <v>-14.70149</v>
      </c>
      <c r="AF5867">
        <v>-3.1012440800701899</v>
      </c>
      <c r="AG5867">
        <v>-1.1065339492213999</v>
      </c>
      <c r="AH5867">
        <v>14.2924788040742</v>
      </c>
      <c r="AI5867">
        <v>94.326759731167698</v>
      </c>
      <c r="AJ5867">
        <v>102.24250673415899</v>
      </c>
      <c r="AK5867">
        <v>14.6668702383931</v>
      </c>
      <c r="AL5867">
        <v>83.587525338293801</v>
      </c>
      <c r="AM5867">
        <v>98.958412555904502</v>
      </c>
      <c r="AN5867">
        <v>1.00000003035876</v>
      </c>
    </row>
    <row r="5868" spans="1:40" x14ac:dyDescent="0.25">
      <c r="A5868" t="str">
        <f>"20190312164143206"</f>
        <v>20190312164143206</v>
      </c>
      <c r="B5868" t="str">
        <f>"1552380103201789"</f>
        <v>1552380103201789</v>
      </c>
      <c r="C5868" t="s">
        <v>40</v>
      </c>
      <c r="D5868">
        <v>6.0957400000000002</v>
      </c>
      <c r="E5868">
        <v>0.47997919999999999</v>
      </c>
      <c r="F5868" t="s">
        <v>41</v>
      </c>
      <c r="G5868">
        <v>-301.6003</v>
      </c>
      <c r="H5868" s="1">
        <v>-7.9759509999999895E-7</v>
      </c>
      <c r="I5868">
        <v>-29.54419</v>
      </c>
      <c r="J5868">
        <v>-301.27379999999999</v>
      </c>
      <c r="K5868">
        <v>1.1076820000000001</v>
      </c>
      <c r="L5868">
        <v>-14.88095</v>
      </c>
      <c r="M5868">
        <v>-0.23906669999999999</v>
      </c>
      <c r="N5868">
        <v>0</v>
      </c>
      <c r="O5868">
        <v>-0.9709797</v>
      </c>
      <c r="P5868">
        <v>-7.7970360000000002E-2</v>
      </c>
      <c r="Q5868">
        <v>0.1044089</v>
      </c>
      <c r="R5868">
        <v>-0.99147339999999995</v>
      </c>
      <c r="S5868">
        <v>-8.5021970000000002E-2</v>
      </c>
      <c r="T5868">
        <v>-0.22383939999999999</v>
      </c>
      <c r="U5868">
        <v>-3.0439150000000001</v>
      </c>
      <c r="V5868">
        <v>-0.16101489999999999</v>
      </c>
      <c r="W5868">
        <v>0.11148619999999999</v>
      </c>
      <c r="X5868">
        <v>0.98063500000000003</v>
      </c>
      <c r="Y5868">
        <v>-0.21192939999999999</v>
      </c>
      <c r="Z5868">
        <v>6.9308960000000003E-2</v>
      </c>
      <c r="AA5868">
        <v>0.97482420000000003</v>
      </c>
      <c r="AB5868">
        <v>40</v>
      </c>
      <c r="AC5868">
        <v>-0.32650000000001</v>
      </c>
      <c r="AD5868">
        <v>-1.1076827975951</v>
      </c>
      <c r="AE5868">
        <v>-14.66324</v>
      </c>
      <c r="AF5868">
        <v>-3.1704568295493201</v>
      </c>
      <c r="AG5868">
        <v>-1.1076827975951</v>
      </c>
      <c r="AH5868">
        <v>14.2348981996528</v>
      </c>
      <c r="AI5868">
        <v>94.343476230555396</v>
      </c>
      <c r="AJ5868">
        <v>102.55621451191899</v>
      </c>
      <c r="AK5868">
        <v>14.625699451397301</v>
      </c>
      <c r="AL5868">
        <v>83.599004339378695</v>
      </c>
      <c r="AM5868">
        <v>99.324452229035401</v>
      </c>
      <c r="AN5868">
        <v>0.99999998701872495</v>
      </c>
    </row>
    <row r="5869" spans="1:40" x14ac:dyDescent="0.25">
      <c r="A5869" t="str">
        <f>"20190312164143227"</f>
        <v>20190312164143227</v>
      </c>
      <c r="B5869" t="str">
        <f>"1552380103222284"</f>
        <v>1552380103222284</v>
      </c>
      <c r="C5869" t="s">
        <v>40</v>
      </c>
      <c r="D5869">
        <v>6.1554970000000004</v>
      </c>
      <c r="E5869">
        <v>0.48004750000000002</v>
      </c>
      <c r="F5869" t="s">
        <v>41</v>
      </c>
      <c r="G5869">
        <v>-301.58539999999999</v>
      </c>
      <c r="H5869" s="1">
        <v>-4.8014990000000003E-7</v>
      </c>
      <c r="I5869">
        <v>-30.27497</v>
      </c>
      <c r="J5869">
        <v>-301.36939999999998</v>
      </c>
      <c r="K5869">
        <v>1.108754</v>
      </c>
      <c r="L5869">
        <v>-15.27731</v>
      </c>
      <c r="M5869">
        <v>-0.23650979999999999</v>
      </c>
      <c r="N5869">
        <v>0</v>
      </c>
      <c r="O5869">
        <v>-0.9716051</v>
      </c>
      <c r="P5869">
        <v>-6.8382860000000004E-2</v>
      </c>
      <c r="Q5869">
        <v>0.10474360000000001</v>
      </c>
      <c r="R5869">
        <v>-0.99214570000000002</v>
      </c>
      <c r="S5869">
        <v>-6.1614990000000001E-2</v>
      </c>
      <c r="T5869">
        <v>-0.2190348</v>
      </c>
      <c r="U5869">
        <v>-3.0440369999999999</v>
      </c>
      <c r="V5869">
        <v>-0.168183</v>
      </c>
      <c r="W5869">
        <v>0.1114938</v>
      </c>
      <c r="X5869">
        <v>0.97943029999999998</v>
      </c>
      <c r="Y5869">
        <v>-0.2168447</v>
      </c>
      <c r="Z5869">
        <v>6.7859920000000004E-2</v>
      </c>
      <c r="AA5869">
        <v>0.97384459999999995</v>
      </c>
      <c r="AB5869">
        <v>40</v>
      </c>
      <c r="AC5869">
        <v>-0.21600000000000799</v>
      </c>
      <c r="AD5869">
        <v>-1.1087544801498901</v>
      </c>
      <c r="AE5869">
        <v>-14.99766</v>
      </c>
      <c r="AF5869">
        <v>-3.3191678057490601</v>
      </c>
      <c r="AG5869">
        <v>-1.1087544801498901</v>
      </c>
      <c r="AH5869">
        <v>14.543758801684</v>
      </c>
      <c r="AI5869">
        <v>94.250679223436705</v>
      </c>
      <c r="AJ5869">
        <v>102.855831408307</v>
      </c>
      <c r="AK5869">
        <v>14.958847933632301</v>
      </c>
      <c r="AL5869">
        <v>83.598566569272606</v>
      </c>
      <c r="AM5869">
        <v>99.743527582511902</v>
      </c>
      <c r="AN5869">
        <v>1.00000005074276</v>
      </c>
    </row>
    <row r="5870" spans="1:40" x14ac:dyDescent="0.25">
      <c r="A5870" t="str">
        <f>"20190312164143249"</f>
        <v>20190312164143249</v>
      </c>
      <c r="B5870" t="str">
        <f>"1552380103241804"</f>
        <v>1552380103241804</v>
      </c>
      <c r="C5870" t="s">
        <v>40</v>
      </c>
      <c r="D5870">
        <v>6.1147650000000002</v>
      </c>
      <c r="E5870">
        <v>0.48010710000000001</v>
      </c>
      <c r="F5870" t="s">
        <v>41</v>
      </c>
      <c r="G5870">
        <v>-301.53590000000003</v>
      </c>
      <c r="H5870" s="1">
        <v>-4.3555089999999997E-6</v>
      </c>
      <c r="I5870">
        <v>-31.01492</v>
      </c>
      <c r="J5870">
        <v>-301.45920000000001</v>
      </c>
      <c r="K5870">
        <v>1.1096870000000001</v>
      </c>
      <c r="L5870">
        <v>-15.655670000000001</v>
      </c>
      <c r="M5870">
        <v>-0.23334759999999999</v>
      </c>
      <c r="N5870">
        <v>0</v>
      </c>
      <c r="O5870">
        <v>-0.97236880000000003</v>
      </c>
      <c r="P5870">
        <v>-5.786736E-2</v>
      </c>
      <c r="Q5870">
        <v>0.1040368</v>
      </c>
      <c r="R5870">
        <v>-0.99288860000000001</v>
      </c>
      <c r="S5870">
        <v>-3.2196040000000002E-2</v>
      </c>
      <c r="T5870">
        <v>-0.2144694</v>
      </c>
      <c r="U5870">
        <v>-3.0441590000000001</v>
      </c>
      <c r="V5870">
        <v>-0.17563489999999901</v>
      </c>
      <c r="W5870">
        <v>0.11046259999999999</v>
      </c>
      <c r="X5870">
        <v>0.97823839999999995</v>
      </c>
      <c r="Y5870">
        <v>-0.2230731</v>
      </c>
      <c r="Z5870">
        <v>6.6484580000000001E-2</v>
      </c>
      <c r="AA5870">
        <v>0.9725319</v>
      </c>
      <c r="AB5870">
        <v>40</v>
      </c>
      <c r="AC5870">
        <v>-7.6700000000016602E-2</v>
      </c>
      <c r="AD5870">
        <v>-1.109691355509</v>
      </c>
      <c r="AE5870">
        <v>-15.359249999999999</v>
      </c>
      <c r="AF5870">
        <v>-3.4913233459665101</v>
      </c>
      <c r="AG5870">
        <v>-1.109691355509</v>
      </c>
      <c r="AH5870">
        <v>14.8754638518175</v>
      </c>
      <c r="AI5870">
        <v>94.153829163489803</v>
      </c>
      <c r="AJ5870">
        <v>103.20845069774801</v>
      </c>
      <c r="AK5870">
        <v>15.319927493866</v>
      </c>
      <c r="AL5870">
        <v>83.658016798492397</v>
      </c>
      <c r="AM5870">
        <v>100.178554969526</v>
      </c>
      <c r="AN5870">
        <v>0.99999998566566395</v>
      </c>
    </row>
    <row r="5871" spans="1:40" x14ac:dyDescent="0.25">
      <c r="A5871" t="str">
        <f>"20190312164143272"</f>
        <v>20190312164143272</v>
      </c>
      <c r="B5871" t="str">
        <f>"1552380103262301"</f>
        <v>1552380103262301</v>
      </c>
      <c r="C5871" t="s">
        <v>40</v>
      </c>
      <c r="D5871">
        <v>5.9574410000000002</v>
      </c>
      <c r="E5871">
        <v>0.48012759999999999</v>
      </c>
      <c r="F5871" t="s">
        <v>41</v>
      </c>
      <c r="G5871">
        <v>-301.4667</v>
      </c>
      <c r="H5871" s="1">
        <v>-4.2738989999999996E-6</v>
      </c>
      <c r="I5871">
        <v>-31.218679999999999</v>
      </c>
      <c r="J5871">
        <v>-301.5498</v>
      </c>
      <c r="K5871">
        <v>1.110555</v>
      </c>
      <c r="L5871">
        <v>-16.044619999999998</v>
      </c>
      <c r="M5871">
        <v>-0.22948579999999999</v>
      </c>
      <c r="N5871">
        <v>0</v>
      </c>
      <c r="O5871">
        <v>-0.97328729999999997</v>
      </c>
      <c r="P5871">
        <v>-4.7264859999999999E-2</v>
      </c>
      <c r="Q5871">
        <v>0.1026755</v>
      </c>
      <c r="R5871">
        <v>-0.99359180000000002</v>
      </c>
      <c r="S5871">
        <v>-1.4648440000000001E-3</v>
      </c>
      <c r="T5871">
        <v>-0.2170581</v>
      </c>
      <c r="U5871">
        <v>-3.0441590000000001</v>
      </c>
      <c r="V5871">
        <v>-0.18245249999999999</v>
      </c>
      <c r="W5871">
        <v>0.108763</v>
      </c>
      <c r="X5871">
        <v>0.97718050000000001</v>
      </c>
      <c r="Y5871">
        <v>-0.2290162</v>
      </c>
      <c r="Z5871">
        <v>6.7332539999999996E-2</v>
      </c>
      <c r="AA5871">
        <v>0.97109109999999998</v>
      </c>
      <c r="AB5871">
        <v>40</v>
      </c>
      <c r="AC5871">
        <v>8.31000000000017E-2</v>
      </c>
      <c r="AD5871">
        <v>-1.110559273899</v>
      </c>
      <c r="AE5871">
        <v>-15.1740599999999</v>
      </c>
      <c r="AF5871">
        <v>-3.54421321206308</v>
      </c>
      <c r="AG5871">
        <v>-1.110559273899</v>
      </c>
      <c r="AH5871">
        <v>14.6714194725444</v>
      </c>
      <c r="AI5871">
        <v>94.2081787270494</v>
      </c>
      <c r="AJ5871">
        <v>103.580899851084</v>
      </c>
      <c r="AK5871">
        <v>15.1342439035705</v>
      </c>
      <c r="AL5871">
        <v>83.755987250273407</v>
      </c>
      <c r="AM5871">
        <v>100.576099893441</v>
      </c>
      <c r="AN5871">
        <v>1.0000000172527499</v>
      </c>
    </row>
    <row r="5872" spans="1:40" x14ac:dyDescent="0.25">
      <c r="A5872" t="str">
        <f>"20190312164143294"</f>
        <v>20190312164143294</v>
      </c>
      <c r="B5872" t="str">
        <f>"1552380103281821"</f>
        <v>1552380103281821</v>
      </c>
      <c r="C5872" t="s">
        <v>40</v>
      </c>
      <c r="D5872">
        <v>5.9835240000000001</v>
      </c>
      <c r="E5872">
        <v>0.48024879999999998</v>
      </c>
      <c r="F5872" t="s">
        <v>41</v>
      </c>
      <c r="G5872">
        <v>-301.40469999999999</v>
      </c>
      <c r="H5872" s="1">
        <v>-4.2423939999999997E-6</v>
      </c>
      <c r="I5872">
        <v>-31.278919999999999</v>
      </c>
      <c r="J5872">
        <v>-301.64030000000002</v>
      </c>
      <c r="K5872">
        <v>1.1113879999999901</v>
      </c>
      <c r="L5872">
        <v>-16.441890000000001</v>
      </c>
      <c r="M5872">
        <v>-0.22503029999999999</v>
      </c>
      <c r="N5872">
        <v>0</v>
      </c>
      <c r="O5872">
        <v>-0.97432640000000004</v>
      </c>
      <c r="P5872">
        <v>-3.786167E-2</v>
      </c>
      <c r="Q5872">
        <v>0.1018592</v>
      </c>
      <c r="R5872">
        <v>-0.99407820000000002</v>
      </c>
      <c r="S5872">
        <v>2.8991699999999999E-2</v>
      </c>
      <c r="T5872">
        <v>-0.22187950000000001</v>
      </c>
      <c r="U5872">
        <v>-3.0436709999999998</v>
      </c>
      <c r="V5872">
        <v>-0.18745429999999999</v>
      </c>
      <c r="W5872">
        <v>0.1076173</v>
      </c>
      <c r="X5872">
        <v>0.97636029999999996</v>
      </c>
      <c r="Y5872">
        <v>-0.2342746</v>
      </c>
      <c r="Z5872">
        <v>6.8896529999999997E-2</v>
      </c>
      <c r="AA5872">
        <v>0.96972610000000004</v>
      </c>
      <c r="AB5872">
        <v>40</v>
      </c>
      <c r="AC5872">
        <v>0.23560000000003301</v>
      </c>
      <c r="AD5872">
        <v>-1.1113922423939999</v>
      </c>
      <c r="AE5872">
        <v>-14.83703</v>
      </c>
      <c r="AF5872">
        <v>-3.5485150850376201</v>
      </c>
      <c r="AG5872">
        <v>-1.1113922423939999</v>
      </c>
      <c r="AH5872">
        <v>14.323102116164501</v>
      </c>
      <c r="AI5872">
        <v>94.307234165710895</v>
      </c>
      <c r="AJ5872">
        <v>103.914721018422</v>
      </c>
      <c r="AK5872">
        <v>14.797918983940599</v>
      </c>
      <c r="AL5872">
        <v>83.822018613319401</v>
      </c>
      <c r="AM5872">
        <v>100.868136090542</v>
      </c>
      <c r="AN5872">
        <v>1.0000000166319301</v>
      </c>
    </row>
    <row r="5873" spans="1:40" x14ac:dyDescent="0.25">
      <c r="A5873" t="str">
        <f>"20190312164143317"</f>
        <v>20190312164143317</v>
      </c>
      <c r="B5873" t="str">
        <f>"1552380103312077"</f>
        <v>1552380103312077</v>
      </c>
      <c r="C5873" t="s">
        <v>40</v>
      </c>
      <c r="D5873">
        <v>6.3334289999999998</v>
      </c>
      <c r="E5873">
        <v>0.4805141</v>
      </c>
      <c r="F5873" t="s">
        <v>41</v>
      </c>
      <c r="G5873">
        <v>-301.36160000000001</v>
      </c>
      <c r="H5873" s="1">
        <v>-4.1590759999999999E-6</v>
      </c>
      <c r="I5873">
        <v>-31.50131</v>
      </c>
      <c r="J5873">
        <v>-301.72840000000002</v>
      </c>
      <c r="K5873">
        <v>1.112133</v>
      </c>
      <c r="L5873">
        <v>-16.83868</v>
      </c>
      <c r="M5873">
        <v>-0.22016160000000001</v>
      </c>
      <c r="N5873">
        <v>0</v>
      </c>
      <c r="O5873">
        <v>-0.97543780000000002</v>
      </c>
      <c r="P5873">
        <v>-2.7920569999999999E-2</v>
      </c>
      <c r="Q5873">
        <v>0.104732199999999</v>
      </c>
      <c r="R5873">
        <v>-0.99410900000000002</v>
      </c>
      <c r="S5873">
        <v>5.6304930000000003E-2</v>
      </c>
      <c r="T5873">
        <v>-0.2245772</v>
      </c>
      <c r="U5873">
        <v>-3.0430299999999999</v>
      </c>
      <c r="V5873">
        <v>-0.19248609999999999</v>
      </c>
      <c r="W5873">
        <v>0.1101721</v>
      </c>
      <c r="X5873">
        <v>0.9750955</v>
      </c>
      <c r="Y5873">
        <v>-0.23812030000000001</v>
      </c>
      <c r="Z5873">
        <v>6.9827269999999997E-2</v>
      </c>
      <c r="AA5873">
        <v>0.96872230000000004</v>
      </c>
      <c r="AB5873">
        <v>40</v>
      </c>
      <c r="AC5873">
        <v>0.36680000000001201</v>
      </c>
      <c r="AD5873">
        <v>-1.1121371590760001</v>
      </c>
      <c r="AE5873">
        <v>-14.662629999999901</v>
      </c>
      <c r="AF5873">
        <v>-3.5655286702211502</v>
      </c>
      <c r="AG5873">
        <v>-1.1121371590760001</v>
      </c>
      <c r="AH5873">
        <v>14.1407828257224</v>
      </c>
      <c r="AI5873">
        <v>94.360971446206506</v>
      </c>
      <c r="AJ5873">
        <v>104.151858779975</v>
      </c>
      <c r="AK5873">
        <v>14.6257164844329</v>
      </c>
      <c r="AL5873">
        <v>83.674763605911906</v>
      </c>
      <c r="AM5873">
        <v>101.166748821924</v>
      </c>
      <c r="AN5873">
        <v>1.00000001221593</v>
      </c>
    </row>
    <row r="5874" spans="1:40" x14ac:dyDescent="0.25">
      <c r="A5874" t="str">
        <f>"20190312164143341"</f>
        <v>20190312164143341</v>
      </c>
      <c r="B5874" t="str">
        <f>"1552380103331597"</f>
        <v>1552380103331597</v>
      </c>
      <c r="C5874" t="s">
        <v>40</v>
      </c>
      <c r="D5874">
        <v>6.0474959999999998</v>
      </c>
      <c r="E5874">
        <v>0.48050120000000002</v>
      </c>
      <c r="F5874" t="s">
        <v>41</v>
      </c>
      <c r="G5874">
        <v>-301.28620000000001</v>
      </c>
      <c r="H5874" s="1">
        <v>-3.7038739999999999E-6</v>
      </c>
      <c r="I5874">
        <v>-32.574800000000003</v>
      </c>
      <c r="J5874">
        <v>-301.81479999999999</v>
      </c>
      <c r="K5874">
        <v>1.112795</v>
      </c>
      <c r="L5874">
        <v>-17.23883</v>
      </c>
      <c r="M5874">
        <v>-0.21487110000000001</v>
      </c>
      <c r="N5874">
        <v>0</v>
      </c>
      <c r="O5874">
        <v>-0.97661640000000005</v>
      </c>
      <c r="P5874">
        <v>-1.755191E-2</v>
      </c>
      <c r="Q5874">
        <v>0.1072943</v>
      </c>
      <c r="R5874">
        <v>-0.99407270000000003</v>
      </c>
      <c r="S5874">
        <v>8.5510249999999996E-2</v>
      </c>
      <c r="T5874">
        <v>-0.21505070000000001</v>
      </c>
      <c r="U5874">
        <v>-3.0428470000000001</v>
      </c>
      <c r="V5874">
        <v>-0.19750770000000001</v>
      </c>
      <c r="W5874">
        <v>0.1124339</v>
      </c>
      <c r="X5874">
        <v>0.97383229999999998</v>
      </c>
      <c r="Y5874">
        <v>-0.24215400000000001</v>
      </c>
      <c r="Z5874">
        <v>6.6965209999999997E-2</v>
      </c>
      <c r="AA5874">
        <v>0.96792409999999995</v>
      </c>
      <c r="AB5874">
        <v>40</v>
      </c>
      <c r="AC5874">
        <v>0.52859999999998297</v>
      </c>
      <c r="AD5874">
        <v>-1.1127987038739999</v>
      </c>
      <c r="AE5874">
        <v>-15.33597</v>
      </c>
      <c r="AF5874">
        <v>-3.7916530902490999</v>
      </c>
      <c r="AG5874">
        <v>-1.1127987038739999</v>
      </c>
      <c r="AH5874">
        <v>14.786396425945499</v>
      </c>
      <c r="AI5874">
        <v>94.169466871772499</v>
      </c>
      <c r="AJ5874">
        <v>104.382374054305</v>
      </c>
      <c r="AK5874">
        <v>15.305308666516799</v>
      </c>
      <c r="AL5874">
        <v>83.544361726594104</v>
      </c>
      <c r="AM5874">
        <v>101.46492690261999</v>
      </c>
      <c r="AN5874">
        <v>1.00000001097589</v>
      </c>
    </row>
    <row r="5875" spans="1:40" x14ac:dyDescent="0.25">
      <c r="A5875" t="str">
        <f>"20190312164143362"</f>
        <v>20190312164143362</v>
      </c>
      <c r="B5875" t="str">
        <f>"1552380103352092"</f>
        <v>1552380103352092</v>
      </c>
      <c r="C5875" t="s">
        <v>40</v>
      </c>
      <c r="D5875">
        <v>6.1650989999999997</v>
      </c>
      <c r="E5875">
        <v>0.48071249999999999</v>
      </c>
      <c r="F5875" t="s">
        <v>41</v>
      </c>
      <c r="G5875">
        <v>-301.18560000000002</v>
      </c>
      <c r="H5875" s="1">
        <v>-3.2985849999999999E-6</v>
      </c>
      <c r="I5875">
        <v>-33.457129999999999</v>
      </c>
      <c r="J5875">
        <v>-301.89870000000002</v>
      </c>
      <c r="K5875">
        <v>1.113383</v>
      </c>
      <c r="L5875">
        <v>-17.639340000000001</v>
      </c>
      <c r="M5875">
        <v>-0.2092456</v>
      </c>
      <c r="N5875">
        <v>0</v>
      </c>
      <c r="O5875">
        <v>-0.97783679999999995</v>
      </c>
      <c r="P5875">
        <v>-7.6308829999999998E-3</v>
      </c>
      <c r="Q5875">
        <v>0.10684</v>
      </c>
      <c r="R5875">
        <v>-0.9942472</v>
      </c>
      <c r="S5875">
        <v>0.11804199999999999</v>
      </c>
      <c r="T5875">
        <v>-0.208758</v>
      </c>
      <c r="U5875">
        <v>-3.0425110000000002</v>
      </c>
      <c r="V5875">
        <v>-0.2017843</v>
      </c>
      <c r="W5875">
        <v>0.1117099</v>
      </c>
      <c r="X5875">
        <v>0.97303859999999998</v>
      </c>
      <c r="Y5875">
        <v>-0.24691199999999999</v>
      </c>
      <c r="Z5875">
        <v>6.5093910000000005E-2</v>
      </c>
      <c r="AA5875">
        <v>0.96684910000000002</v>
      </c>
      <c r="AB5875">
        <v>40</v>
      </c>
      <c r="AC5875">
        <v>0.71309999999999696</v>
      </c>
      <c r="AD5875">
        <v>-1.113386298585</v>
      </c>
      <c r="AE5875">
        <v>-15.81779</v>
      </c>
      <c r="AF5875">
        <v>-3.9874855705736501</v>
      </c>
      <c r="AG5875">
        <v>-1.113386298585</v>
      </c>
      <c r="AH5875">
        <v>15.2430298893404</v>
      </c>
      <c r="AI5875">
        <v>94.042058137011495</v>
      </c>
      <c r="AJ5875">
        <v>104.659730907113</v>
      </c>
      <c r="AK5875">
        <v>15.7952407526044</v>
      </c>
      <c r="AL5875">
        <v>83.586107185665</v>
      </c>
      <c r="AM5875">
        <v>101.715678195199</v>
      </c>
      <c r="AN5875">
        <v>1.00000006128722</v>
      </c>
    </row>
    <row r="5876" spans="1:40" x14ac:dyDescent="0.25">
      <c r="A5876" t="str">
        <f>"20190312164143383"</f>
        <v>20190312164143383</v>
      </c>
      <c r="B5876" t="str">
        <f>"1552380103371613"</f>
        <v>1552380103371613</v>
      </c>
      <c r="C5876" t="s">
        <v>40</v>
      </c>
      <c r="D5876">
        <v>6.157489</v>
      </c>
      <c r="E5876">
        <v>0.4809232</v>
      </c>
      <c r="F5876" t="s">
        <v>41</v>
      </c>
      <c r="G5876">
        <v>-301.10770000000002</v>
      </c>
      <c r="H5876" s="1">
        <v>-3.0489990000000001E-6</v>
      </c>
      <c r="I5876">
        <v>-33.990630000000003</v>
      </c>
      <c r="J5876">
        <v>-301.9708</v>
      </c>
      <c r="K5876">
        <v>1.113828</v>
      </c>
      <c r="L5876">
        <v>-17.99335</v>
      </c>
      <c r="M5876">
        <v>-0.20405590000000001</v>
      </c>
      <c r="N5876">
        <v>0</v>
      </c>
      <c r="O5876">
        <v>-0.97893240000000004</v>
      </c>
      <c r="P5876">
        <v>1.157574E-3</v>
      </c>
      <c r="Q5876">
        <v>0.1046676</v>
      </c>
      <c r="R5876">
        <v>-0.99450680000000002</v>
      </c>
      <c r="S5876">
        <v>0.14709469999999999</v>
      </c>
      <c r="T5876">
        <v>-0.20704900000000001</v>
      </c>
      <c r="U5876">
        <v>-3.0407410000000001</v>
      </c>
      <c r="V5876">
        <v>-0.20536969999999999</v>
      </c>
      <c r="W5876">
        <v>0.1093195</v>
      </c>
      <c r="X5876">
        <v>0.97255979999999997</v>
      </c>
      <c r="Y5876">
        <v>-0.2510135</v>
      </c>
      <c r="Z5876">
        <v>6.466268E-2</v>
      </c>
      <c r="AA5876">
        <v>0.96582140000000005</v>
      </c>
      <c r="AB5876">
        <v>40</v>
      </c>
      <c r="AC5876">
        <v>0.863099999999974</v>
      </c>
      <c r="AD5876">
        <v>-1.113831048999</v>
      </c>
      <c r="AE5876">
        <v>-15.9972799999999</v>
      </c>
      <c r="AF5876">
        <v>-4.0895958141211404</v>
      </c>
      <c r="AG5876">
        <v>-1.113831048999</v>
      </c>
      <c r="AH5876">
        <v>15.4100535738411</v>
      </c>
      <c r="AI5876">
        <v>93.996260506872602</v>
      </c>
      <c r="AJ5876">
        <v>104.862832175048</v>
      </c>
      <c r="AK5876">
        <v>15.9823391491121</v>
      </c>
      <c r="AL5876">
        <v>83.723910874977406</v>
      </c>
      <c r="AM5876">
        <v>101.923644173504</v>
      </c>
      <c r="AN5876">
        <v>1.00000001566718</v>
      </c>
    </row>
    <row r="5877" spans="1:40" x14ac:dyDescent="0.25">
      <c r="A5877" t="str">
        <f>"20190312164143405"</f>
        <v>20190312164143405</v>
      </c>
      <c r="B5877" t="str">
        <f>"1552380103401869"</f>
        <v>1552380103401869</v>
      </c>
      <c r="C5877" t="s">
        <v>40</v>
      </c>
      <c r="D5877">
        <v>6.229959</v>
      </c>
      <c r="E5877">
        <v>0.48131449999999998</v>
      </c>
      <c r="F5877" t="s">
        <v>41</v>
      </c>
      <c r="G5877">
        <v>-301.06799999999998</v>
      </c>
      <c r="H5877" s="1">
        <v>-3.0864689999999998E-6</v>
      </c>
      <c r="I5877">
        <v>-33.87865</v>
      </c>
      <c r="J5877">
        <v>-302.048</v>
      </c>
      <c r="K5877">
        <v>1.1142719999999999</v>
      </c>
      <c r="L5877">
        <v>-18.384920000000001</v>
      </c>
      <c r="M5877">
        <v>-0.1980729</v>
      </c>
      <c r="N5877">
        <v>0</v>
      </c>
      <c r="O5877">
        <v>-0.98016000000000003</v>
      </c>
      <c r="P5877">
        <v>8.7731370000000003E-3</v>
      </c>
      <c r="Q5877">
        <v>0.1031189</v>
      </c>
      <c r="R5877">
        <v>-0.99463060000000003</v>
      </c>
      <c r="S5877">
        <v>0.17269899999999999</v>
      </c>
      <c r="T5877">
        <v>-0.21307100000000001</v>
      </c>
      <c r="U5877">
        <v>-3.0387879999999998</v>
      </c>
      <c r="V5877">
        <v>-0.20701069999999999</v>
      </c>
      <c r="W5877">
        <v>0.1075803</v>
      </c>
      <c r="X5877">
        <v>0.97240579999999999</v>
      </c>
      <c r="Y5877">
        <v>-0.25323810000000002</v>
      </c>
      <c r="Z5877">
        <v>6.6670320000000005E-2</v>
      </c>
      <c r="AA5877">
        <v>0.96510390000000001</v>
      </c>
      <c r="AB5877">
        <v>40</v>
      </c>
      <c r="AC5877">
        <v>0.98000000000001797</v>
      </c>
      <c r="AD5877">
        <v>-1.1142750864690001</v>
      </c>
      <c r="AE5877">
        <v>-15.493729999999999</v>
      </c>
      <c r="AF5877">
        <v>-4.0089005308898802</v>
      </c>
      <c r="AG5877">
        <v>-1.1142750864690001</v>
      </c>
      <c r="AH5877">
        <v>14.9157844454735</v>
      </c>
      <c r="AI5877">
        <v>94.1264048026068</v>
      </c>
      <c r="AJ5877">
        <v>105.043816249676</v>
      </c>
      <c r="AK5877">
        <v>15.4852677748472</v>
      </c>
      <c r="AL5877">
        <v>83.8241508047157</v>
      </c>
      <c r="AM5877">
        <v>102.018008615065</v>
      </c>
      <c r="AN5877">
        <v>0.99999999536811002</v>
      </c>
    </row>
    <row r="5878" spans="1:40" x14ac:dyDescent="0.25">
      <c r="A5878" t="str">
        <f>"20190312164143428"</f>
        <v>20190312164143428</v>
      </c>
      <c r="B5878" t="str">
        <f>"1552380103422379"</f>
        <v>1552380103422379</v>
      </c>
      <c r="C5878" t="s">
        <v>40</v>
      </c>
      <c r="D5878">
        <v>6.182512</v>
      </c>
      <c r="E5878">
        <v>0.48154150000000001</v>
      </c>
      <c r="F5878" t="s">
        <v>41</v>
      </c>
      <c r="G5878">
        <v>-301.05020000000002</v>
      </c>
      <c r="H5878" s="1">
        <v>-3.0387959999999999E-6</v>
      </c>
      <c r="I5878">
        <v>-33.97871</v>
      </c>
      <c r="J5878">
        <v>-302.12470000000002</v>
      </c>
      <c r="K5878">
        <v>1.1147149999999999</v>
      </c>
      <c r="L5878">
        <v>-18.787929999999999</v>
      </c>
      <c r="M5878">
        <v>-0.19164519999999999</v>
      </c>
      <c r="N5878">
        <v>0</v>
      </c>
      <c r="O5878">
        <v>-0.98143659999999999</v>
      </c>
      <c r="P5878">
        <v>1.5910850000000001E-2</v>
      </c>
      <c r="Q5878">
        <v>0.10239719999999999</v>
      </c>
      <c r="R5878">
        <v>-0.99461659999999996</v>
      </c>
      <c r="S5878">
        <v>0.19433590000000001</v>
      </c>
      <c r="T5878">
        <v>-0.21701190000000001</v>
      </c>
      <c r="U5878">
        <v>-3.0369869999999999</v>
      </c>
      <c r="V5878">
        <v>-0.2077359</v>
      </c>
      <c r="W5878">
        <v>0.1066928</v>
      </c>
      <c r="X5878">
        <v>0.97234889999999996</v>
      </c>
      <c r="Y5878">
        <v>-0.2537758</v>
      </c>
      <c r="Z5878">
        <v>6.8053929999999999E-2</v>
      </c>
      <c r="AA5878">
        <v>0.964866</v>
      </c>
      <c r="AB5878">
        <v>40</v>
      </c>
      <c r="AC5878">
        <v>1.0745</v>
      </c>
      <c r="AD5878">
        <v>-1.1147180387959901</v>
      </c>
      <c r="AE5878">
        <v>-15.190779999999901</v>
      </c>
      <c r="AF5878">
        <v>-3.9447653685331998</v>
      </c>
      <c r="AG5878">
        <v>-1.1147180387959901</v>
      </c>
      <c r="AH5878">
        <v>14.624903848346801</v>
      </c>
      <c r="AI5878">
        <v>94.208840229154205</v>
      </c>
      <c r="AJ5878">
        <v>105.095119083726</v>
      </c>
      <c r="AK5878">
        <v>15.188534580142599</v>
      </c>
      <c r="AL5878">
        <v>83.8752950291654</v>
      </c>
      <c r="AM5878">
        <v>102.05956483801199</v>
      </c>
      <c r="AN5878">
        <v>0.99999997052592904</v>
      </c>
    </row>
    <row r="5879" spans="1:40" x14ac:dyDescent="0.25">
      <c r="A5879" t="str">
        <f>"20190312164143449"</f>
        <v>20190312164143449</v>
      </c>
      <c r="B5879" t="str">
        <f>"1552380103441885"</f>
        <v>1552380103441885</v>
      </c>
      <c r="C5879" t="s">
        <v>40</v>
      </c>
      <c r="D5879">
        <v>6.288843</v>
      </c>
      <c r="E5879">
        <v>0.48179820000000001</v>
      </c>
      <c r="F5879" t="s">
        <v>41</v>
      </c>
      <c r="G5879">
        <v>-301.03309999999999</v>
      </c>
      <c r="H5879" s="1">
        <v>-2.9235550000000001E-6</v>
      </c>
      <c r="I5879">
        <v>-34.23677</v>
      </c>
      <c r="J5879">
        <v>-302.19650000000001</v>
      </c>
      <c r="K5879">
        <v>1.11512099999999</v>
      </c>
      <c r="L5879">
        <v>-19.17944</v>
      </c>
      <c r="M5879">
        <v>-0.18513830000000001</v>
      </c>
      <c r="N5879">
        <v>0</v>
      </c>
      <c r="O5879">
        <v>-0.98268429999999996</v>
      </c>
      <c r="P5879">
        <v>2.3476179999999999E-2</v>
      </c>
      <c r="Q5879">
        <v>9.9233619999999995E-2</v>
      </c>
      <c r="R5879">
        <v>-0.99478759999999999</v>
      </c>
      <c r="S5879">
        <v>0.21447749999999999</v>
      </c>
      <c r="T5879">
        <v>-0.2190185</v>
      </c>
      <c r="U5879">
        <v>-3.0353699999999999</v>
      </c>
      <c r="V5879">
        <v>-0.20880889999999999</v>
      </c>
      <c r="W5879">
        <v>0.1033791</v>
      </c>
      <c r="X5879">
        <v>0.97247709999999998</v>
      </c>
      <c r="Y5879">
        <v>-0.2537701</v>
      </c>
      <c r="Z5879">
        <v>6.8835590000000002E-2</v>
      </c>
      <c r="AA5879">
        <v>0.96481209999999995</v>
      </c>
      <c r="AB5879">
        <v>41</v>
      </c>
      <c r="AC5879">
        <v>1.16340000000002</v>
      </c>
      <c r="AD5879">
        <v>-1.1151239235549999</v>
      </c>
      <c r="AE5879">
        <v>-15.057329999999901</v>
      </c>
      <c r="AF5879">
        <v>-3.90973589107241</v>
      </c>
      <c r="AG5879">
        <v>-1.1151239235549999</v>
      </c>
      <c r="AH5879">
        <v>14.5025460220384</v>
      </c>
      <c r="AI5879">
        <v>94.245909240315697</v>
      </c>
      <c r="AJ5879">
        <v>105.087657524691</v>
      </c>
      <c r="AK5879">
        <v>15.0616525396175</v>
      </c>
      <c r="AL5879">
        <v>84.066212711205097</v>
      </c>
      <c r="AM5879">
        <v>102.118467398089</v>
      </c>
      <c r="AN5879">
        <v>1.00000005253021</v>
      </c>
    </row>
    <row r="5880" spans="1:40" x14ac:dyDescent="0.25">
      <c r="A5880" t="str">
        <f>"20190312164143472"</f>
        <v>20190312164143472</v>
      </c>
      <c r="B5880" t="str">
        <f>"1552380103462381"</f>
        <v>1552380103462381</v>
      </c>
      <c r="C5880" t="s">
        <v>40</v>
      </c>
      <c r="D5880">
        <v>6.0477600000000002</v>
      </c>
      <c r="E5880">
        <v>0.48206460000000001</v>
      </c>
      <c r="F5880" t="s">
        <v>41</v>
      </c>
      <c r="G5880">
        <v>-301.06540000000001</v>
      </c>
      <c r="H5880" s="1">
        <v>-3.0709469999999999E-6</v>
      </c>
      <c r="I5880">
        <v>-33.913200000000003</v>
      </c>
      <c r="J5880">
        <v>-302.26560000000001</v>
      </c>
      <c r="K5880">
        <v>1.1155170000000001</v>
      </c>
      <c r="L5880">
        <v>-19.572140000000001</v>
      </c>
      <c r="M5880">
        <v>-0.17835689999999901</v>
      </c>
      <c r="N5880">
        <v>0</v>
      </c>
      <c r="O5880">
        <v>-0.98393730000000001</v>
      </c>
      <c r="P5880">
        <v>2.9906140000000001E-2</v>
      </c>
      <c r="Q5880">
        <v>9.7911570000000003E-2</v>
      </c>
      <c r="R5880">
        <v>-0.99474600000000002</v>
      </c>
      <c r="S5880">
        <v>0.2328491</v>
      </c>
      <c r="T5880">
        <v>-0.22956099999999999</v>
      </c>
      <c r="U5880">
        <v>-3.033112</v>
      </c>
      <c r="V5880">
        <v>-0.20849029999999999</v>
      </c>
      <c r="W5880">
        <v>0.1019414</v>
      </c>
      <c r="X5880">
        <v>0.97269709999999998</v>
      </c>
      <c r="Y5880">
        <v>-0.25294309999999998</v>
      </c>
      <c r="Z5880">
        <v>7.2317850000000003E-2</v>
      </c>
      <c r="AA5880">
        <v>0.96477449999999998</v>
      </c>
      <c r="AB5880">
        <v>41</v>
      </c>
      <c r="AC5880">
        <v>1.2001999999999899</v>
      </c>
      <c r="AD5880">
        <v>-1.1155200709469999</v>
      </c>
      <c r="AE5880">
        <v>-14.341060000000001</v>
      </c>
      <c r="AF5880">
        <v>-3.7165231527296898</v>
      </c>
      <c r="AG5880">
        <v>-1.1155200709469999</v>
      </c>
      <c r="AH5880">
        <v>13.814029810708799</v>
      </c>
      <c r="AI5880">
        <v>94.458890564776596</v>
      </c>
      <c r="AJ5880">
        <v>105.05828287863</v>
      </c>
      <c r="AK5880">
        <v>14.3486706347527</v>
      </c>
      <c r="AL5880">
        <v>84.149023799290205</v>
      </c>
      <c r="AM5880">
        <v>102.097866196713</v>
      </c>
      <c r="AN5880">
        <v>0.99999995128822805</v>
      </c>
    </row>
    <row r="5881" spans="1:40" x14ac:dyDescent="0.25">
      <c r="A5881" t="str">
        <f>"20190312164143494"</f>
        <v>20190312164143494</v>
      </c>
      <c r="B5881" t="str">
        <f>"1552380103481901"</f>
        <v>1552380103481901</v>
      </c>
      <c r="C5881" t="s">
        <v>40</v>
      </c>
      <c r="D5881">
        <v>6.104584</v>
      </c>
      <c r="E5881">
        <v>0.48228690000000002</v>
      </c>
      <c r="F5881" t="s">
        <v>41</v>
      </c>
      <c r="G5881">
        <v>-301.08049999999997</v>
      </c>
      <c r="H5881" s="1">
        <v>-3.027805E-6</v>
      </c>
      <c r="I5881">
        <v>-34.023139999999998</v>
      </c>
      <c r="J5881">
        <v>-302.33420000000001</v>
      </c>
      <c r="K5881">
        <v>1.1159140000000001</v>
      </c>
      <c r="L5881">
        <v>-19.979399999999998</v>
      </c>
      <c r="M5881">
        <v>-0.17107649999999999</v>
      </c>
      <c r="N5881">
        <v>0</v>
      </c>
      <c r="O5881">
        <v>-0.9852284</v>
      </c>
      <c r="P5881">
        <v>3.5691960000000002E-2</v>
      </c>
      <c r="Q5881">
        <v>9.8567109999999999E-2</v>
      </c>
      <c r="R5881">
        <v>-0.99448999999999999</v>
      </c>
      <c r="S5881">
        <v>0.24859619999999999</v>
      </c>
      <c r="T5881">
        <v>-0.23400409999999999</v>
      </c>
      <c r="U5881">
        <v>-3.0314030000000001</v>
      </c>
      <c r="V5881">
        <v>-0.20705029999999999</v>
      </c>
      <c r="W5881">
        <v>0.10251250000000001</v>
      </c>
      <c r="X5881">
        <v>0.9729447</v>
      </c>
      <c r="Y5881">
        <v>-0.25080180000000002</v>
      </c>
      <c r="Z5881">
        <v>7.3905970000000001E-2</v>
      </c>
      <c r="AA5881">
        <v>0.96521310000000005</v>
      </c>
      <c r="AB5881">
        <v>41</v>
      </c>
      <c r="AC5881">
        <v>1.25370000000003</v>
      </c>
      <c r="AD5881">
        <v>-1.1159170278049999</v>
      </c>
      <c r="AE5881">
        <v>-14.04374</v>
      </c>
      <c r="AF5881">
        <v>-3.6151943876388999</v>
      </c>
      <c r="AG5881">
        <v>-1.1159170278049999</v>
      </c>
      <c r="AH5881">
        <v>13.537408612794501</v>
      </c>
      <c r="AI5881">
        <v>94.553489519607496</v>
      </c>
      <c r="AJ5881">
        <v>104.952036671646</v>
      </c>
      <c r="AK5881">
        <v>14.056184874393299</v>
      </c>
      <c r="AL5881">
        <v>84.116130221691805</v>
      </c>
      <c r="AM5881">
        <v>102.01377638338801</v>
      </c>
      <c r="AN5881">
        <v>1.0000000143222101</v>
      </c>
    </row>
    <row r="5882" spans="1:40" x14ac:dyDescent="0.25">
      <c r="A5882" t="str">
        <f>"20190312164143518"</f>
        <v>20190312164143518</v>
      </c>
      <c r="B5882" t="str">
        <f>"1552380103512157"</f>
        <v>1552380103512157</v>
      </c>
      <c r="C5882" t="s">
        <v>40</v>
      </c>
      <c r="D5882">
        <v>6.1101979999999996</v>
      </c>
      <c r="E5882">
        <v>0.48278650000000001</v>
      </c>
      <c r="F5882" t="s">
        <v>41</v>
      </c>
      <c r="G5882">
        <v>-301.05919999999998</v>
      </c>
      <c r="H5882" s="1">
        <v>-2.8001460000000001E-6</v>
      </c>
      <c r="I5882">
        <v>-34.54063</v>
      </c>
      <c r="J5882">
        <v>-302.39940000000001</v>
      </c>
      <c r="K5882">
        <v>1.1162529999999999</v>
      </c>
      <c r="L5882">
        <v>-20.38477</v>
      </c>
      <c r="M5882">
        <v>-0.1636177</v>
      </c>
      <c r="N5882">
        <v>0</v>
      </c>
      <c r="O5882">
        <v>-0.98649410000000004</v>
      </c>
      <c r="P5882">
        <v>4.2232939999999997E-2</v>
      </c>
      <c r="Q5882">
        <v>9.9191230000000005E-2</v>
      </c>
      <c r="R5882">
        <v>-0.9941719</v>
      </c>
      <c r="S5882">
        <v>0.26531979999999999</v>
      </c>
      <c r="T5882">
        <v>-0.2322167</v>
      </c>
      <c r="U5882">
        <v>-3.0301209999999998</v>
      </c>
      <c r="V5882">
        <v>-0.2061759</v>
      </c>
      <c r="W5882">
        <v>0.10306269999999999</v>
      </c>
      <c r="X5882">
        <v>0.97307220000000005</v>
      </c>
      <c r="Y5882">
        <v>-0.24880360000000001</v>
      </c>
      <c r="Z5882">
        <v>7.3523099999999994E-2</v>
      </c>
      <c r="AA5882">
        <v>0.96575929999999999</v>
      </c>
      <c r="AB5882">
        <v>41</v>
      </c>
      <c r="AC5882">
        <v>1.34020000000003</v>
      </c>
      <c r="AD5882">
        <v>-1.1162558001459999</v>
      </c>
      <c r="AE5882">
        <v>-14.155860000000001</v>
      </c>
      <c r="AF5882">
        <v>-3.6160701293921602</v>
      </c>
      <c r="AG5882">
        <v>-1.1162558001459999</v>
      </c>
      <c r="AH5882">
        <v>13.6616009475912</v>
      </c>
      <c r="AI5882">
        <v>94.516270344111604</v>
      </c>
      <c r="AJ5882">
        <v>104.82555499532</v>
      </c>
      <c r="AK5882">
        <v>14.176083050097599</v>
      </c>
      <c r="AL5882">
        <v>84.084437923792606</v>
      </c>
      <c r="AM5882">
        <v>101.962983206281</v>
      </c>
      <c r="AN5882">
        <v>0.99999996414246906</v>
      </c>
    </row>
    <row r="5883" spans="1:40" x14ac:dyDescent="0.25">
      <c r="A5883" t="str">
        <f>"20190312164143540"</f>
        <v>20190312164143540</v>
      </c>
      <c r="B5883" t="str">
        <f>"1552380103531678"</f>
        <v>1552380103531678</v>
      </c>
      <c r="C5883" t="s">
        <v>40</v>
      </c>
      <c r="D5883">
        <v>6.0471640000000004</v>
      </c>
      <c r="E5883">
        <v>0.4829195</v>
      </c>
      <c r="F5883" t="s">
        <v>41</v>
      </c>
      <c r="G5883">
        <v>-301.03640000000001</v>
      </c>
      <c r="H5883" s="1">
        <v>-2.550079E-6</v>
      </c>
      <c r="I5883">
        <v>-35.109389999999998</v>
      </c>
      <c r="J5883">
        <v>-302.46140000000003</v>
      </c>
      <c r="K5883">
        <v>1.116527</v>
      </c>
      <c r="L5883">
        <v>-20.792480000000001</v>
      </c>
      <c r="M5883">
        <v>-0.15594089999999999</v>
      </c>
      <c r="N5883">
        <v>0</v>
      </c>
      <c r="O5883">
        <v>-0.9877359</v>
      </c>
      <c r="P5883">
        <v>4.951933E-2</v>
      </c>
      <c r="Q5883">
        <v>9.9214880000000005E-2</v>
      </c>
      <c r="R5883">
        <v>-0.99383319999999997</v>
      </c>
      <c r="S5883">
        <v>0.28033449999999999</v>
      </c>
      <c r="T5883">
        <v>-0.22959399999999999</v>
      </c>
      <c r="U5883">
        <v>-3.0285950000000001</v>
      </c>
      <c r="V5883">
        <v>-0.20581540000000001</v>
      </c>
      <c r="W5883">
        <v>0.1030219</v>
      </c>
      <c r="X5883">
        <v>0.97315289999999999</v>
      </c>
      <c r="Y5883">
        <v>-0.2460678</v>
      </c>
      <c r="Z5883">
        <v>7.2884809999999994E-2</v>
      </c>
      <c r="AA5883">
        <v>0.96650840000000005</v>
      </c>
      <c r="AB5883">
        <v>41</v>
      </c>
      <c r="AC5883">
        <v>1.42500000000001</v>
      </c>
      <c r="AD5883">
        <v>-1.116529550079</v>
      </c>
      <c r="AE5883">
        <v>-14.31691</v>
      </c>
      <c r="AF5883">
        <v>-3.6184339068503002</v>
      </c>
      <c r="AG5883">
        <v>-1.116529550079</v>
      </c>
      <c r="AH5883">
        <v>13.8362039531248</v>
      </c>
      <c r="AI5883">
        <v>94.464064847037406</v>
      </c>
      <c r="AJ5883">
        <v>104.65572172023199</v>
      </c>
      <c r="AK5883">
        <v>14.3450424191394</v>
      </c>
      <c r="AL5883">
        <v>84.086788485242394</v>
      </c>
      <c r="AM5883">
        <v>101.94170503894399</v>
      </c>
      <c r="AN5883">
        <v>1.0000000287675801</v>
      </c>
    </row>
    <row r="5884" spans="1:40" x14ac:dyDescent="0.25">
      <c r="A5884" t="str">
        <f>"20190312164143560"</f>
        <v>20190312164143560</v>
      </c>
      <c r="B5884" t="str">
        <f>"1552380103552173"</f>
        <v>1552380103552173</v>
      </c>
      <c r="C5884" t="s">
        <v>40</v>
      </c>
      <c r="D5884">
        <v>6.135669</v>
      </c>
      <c r="E5884">
        <v>0.4827362</v>
      </c>
      <c r="F5884" t="s">
        <v>41</v>
      </c>
      <c r="G5884">
        <v>-300.98079999999999</v>
      </c>
      <c r="H5884" s="1">
        <v>-2.3288839999999998E-6</v>
      </c>
      <c r="I5884">
        <v>-35.590530000000001</v>
      </c>
      <c r="J5884">
        <v>-302.51740000000001</v>
      </c>
      <c r="K5884">
        <v>1.1167400000000001</v>
      </c>
      <c r="L5884">
        <v>-21.180630000000001</v>
      </c>
      <c r="M5884">
        <v>-0.14852950000000001</v>
      </c>
      <c r="N5884">
        <v>0</v>
      </c>
      <c r="O5884">
        <v>-0.98887709999999995</v>
      </c>
      <c r="P5884">
        <v>5.6468289999999997E-2</v>
      </c>
      <c r="Q5884">
        <v>9.8791580000000004E-2</v>
      </c>
      <c r="R5884">
        <v>-0.99350479999999997</v>
      </c>
      <c r="S5884">
        <v>0.30279539999999999</v>
      </c>
      <c r="T5884">
        <v>-0.2283404</v>
      </c>
      <c r="U5884">
        <v>-3.0263369999999998</v>
      </c>
      <c r="V5884">
        <v>-0.2053797</v>
      </c>
      <c r="W5884">
        <v>0.1025595</v>
      </c>
      <c r="X5884">
        <v>0.97329379999999999</v>
      </c>
      <c r="Y5884">
        <v>-0.24597569999999999</v>
      </c>
      <c r="Z5884">
        <v>7.2646509999999997E-2</v>
      </c>
      <c r="AA5884">
        <v>0.96654980000000001</v>
      </c>
      <c r="AB5884">
        <v>41</v>
      </c>
      <c r="AC5884">
        <v>1.5366000000000199</v>
      </c>
      <c r="AD5884">
        <v>-1.1167423288839999</v>
      </c>
      <c r="AE5884">
        <v>-14.4099</v>
      </c>
      <c r="AF5884">
        <v>-3.6383096087520799</v>
      </c>
      <c r="AG5884">
        <v>-1.1167423288839999</v>
      </c>
      <c r="AH5884">
        <v>13.9390414685985</v>
      </c>
      <c r="AI5884">
        <v>94.432646895781303</v>
      </c>
      <c r="AJ5884">
        <v>104.628716747135</v>
      </c>
      <c r="AK5884">
        <v>14.4492659779508</v>
      </c>
      <c r="AL5884">
        <v>84.113423242458495</v>
      </c>
      <c r="AM5884">
        <v>101.91547276130601</v>
      </c>
      <c r="AN5884">
        <v>1.00000004666538</v>
      </c>
    </row>
    <row r="5885" spans="1:40" x14ac:dyDescent="0.25">
      <c r="A5885" t="str">
        <f>"20190312164143583"</f>
        <v>20190312164143583</v>
      </c>
      <c r="B5885" t="str">
        <f>"1552380103571693"</f>
        <v>1552380103571693</v>
      </c>
      <c r="C5885" t="s">
        <v>40</v>
      </c>
      <c r="D5885">
        <v>6.080044</v>
      </c>
      <c r="E5885">
        <v>0.48233340000000002</v>
      </c>
      <c r="F5885" t="s">
        <v>41</v>
      </c>
      <c r="G5885">
        <v>-300.92309999999998</v>
      </c>
      <c r="H5885" s="1">
        <v>-2.1510639999999999E-6</v>
      </c>
      <c r="I5885">
        <v>-35.969230000000003</v>
      </c>
      <c r="J5885">
        <v>-302.57190000000003</v>
      </c>
      <c r="K5885">
        <v>1.1169100000000001</v>
      </c>
      <c r="L5885">
        <v>-21.579560000000001</v>
      </c>
      <c r="M5885">
        <v>-0.1408451</v>
      </c>
      <c r="N5885">
        <v>0</v>
      </c>
      <c r="O5885">
        <v>-0.99000049999999995</v>
      </c>
      <c r="P5885">
        <v>6.3935679999999995E-2</v>
      </c>
      <c r="Q5885">
        <v>9.7534889999999999E-2</v>
      </c>
      <c r="R5885">
        <v>-0.99317650000000002</v>
      </c>
      <c r="S5885">
        <v>0.32598880000000002</v>
      </c>
      <c r="T5885">
        <v>-0.2283386</v>
      </c>
      <c r="U5885">
        <v>-3.0238040000000002</v>
      </c>
      <c r="V5885">
        <v>-0.2051789</v>
      </c>
      <c r="W5885">
        <v>0.1012759</v>
      </c>
      <c r="X5885">
        <v>0.97347050000000002</v>
      </c>
      <c r="Y5885">
        <v>-0.24586250000000001</v>
      </c>
      <c r="Z5885">
        <v>7.2805320000000007E-2</v>
      </c>
      <c r="AA5885">
        <v>0.96656660000000005</v>
      </c>
      <c r="AB5885">
        <v>41</v>
      </c>
      <c r="AC5885">
        <v>1.64880000000005</v>
      </c>
      <c r="AD5885">
        <v>-1.1169121510639901</v>
      </c>
      <c r="AE5885">
        <v>-14.389669999999899</v>
      </c>
      <c r="AF5885">
        <v>-3.6375092073678199</v>
      </c>
      <c r="AG5885">
        <v>-1.1169121510639901</v>
      </c>
      <c r="AH5885">
        <v>13.931143722637801</v>
      </c>
      <c r="AI5885">
        <v>94.435723813628599</v>
      </c>
      <c r="AJ5885">
        <v>104.633572197706</v>
      </c>
      <c r="AK5885">
        <v>14.441458770071399</v>
      </c>
      <c r="AL5885">
        <v>84.187352809164295</v>
      </c>
      <c r="AM5885">
        <v>101.902056361417</v>
      </c>
      <c r="AN5885">
        <v>1.0000000016481301</v>
      </c>
    </row>
    <row r="5886" spans="1:40" x14ac:dyDescent="0.25">
      <c r="A5886" t="str">
        <f>"20190312164143606"</f>
        <v>20190312164143606</v>
      </c>
      <c r="B5886" t="str">
        <f>"1552380103601949"</f>
        <v>1552380103601949</v>
      </c>
      <c r="C5886" t="s">
        <v>40</v>
      </c>
      <c r="D5886">
        <v>6.1040910000000004</v>
      </c>
      <c r="E5886">
        <v>0.4819486</v>
      </c>
      <c r="F5886" t="s">
        <v>41</v>
      </c>
      <c r="G5886">
        <v>-300.87709999999998</v>
      </c>
      <c r="H5886" s="1">
        <v>-2.0919869999999999E-6</v>
      </c>
      <c r="I5886">
        <v>-36.078429999999997</v>
      </c>
      <c r="J5886">
        <v>-302.62479999999999</v>
      </c>
      <c r="K5886">
        <v>1.1170439999999999</v>
      </c>
      <c r="L5886">
        <v>-21.990749999999998</v>
      </c>
      <c r="M5886">
        <v>-0.13290589999999999</v>
      </c>
      <c r="N5886">
        <v>0</v>
      </c>
      <c r="O5886">
        <v>-0.99109700000000001</v>
      </c>
      <c r="P5886">
        <v>7.2615609999999997E-2</v>
      </c>
      <c r="Q5886">
        <v>9.4833769999999998E-2</v>
      </c>
      <c r="R5886">
        <v>-0.99284150000000004</v>
      </c>
      <c r="S5886">
        <v>0.35308840000000002</v>
      </c>
      <c r="T5886">
        <v>-0.2326995</v>
      </c>
      <c r="U5886">
        <v>-3.020721</v>
      </c>
      <c r="V5886">
        <v>-0.20590639999999999</v>
      </c>
      <c r="W5886">
        <v>9.8546830000000002E-2</v>
      </c>
      <c r="X5886">
        <v>0.97359700000000005</v>
      </c>
      <c r="Y5886">
        <v>-0.24674950000000001</v>
      </c>
      <c r="Z5886">
        <v>7.4343160000000005E-2</v>
      </c>
      <c r="AA5886">
        <v>0.96622350000000001</v>
      </c>
      <c r="AB5886">
        <v>41</v>
      </c>
      <c r="AC5886">
        <v>1.7477</v>
      </c>
      <c r="AD5886">
        <v>-1.117046091987</v>
      </c>
      <c r="AE5886">
        <v>-14.087680000000001</v>
      </c>
      <c r="AF5886">
        <v>-3.5824069065561699</v>
      </c>
      <c r="AG5886">
        <v>-1.117046091987</v>
      </c>
      <c r="AH5886">
        <v>13.645913268407501</v>
      </c>
      <c r="AI5886">
        <v>94.527031094928603</v>
      </c>
      <c r="AJ5886">
        <v>104.709697077334</v>
      </c>
      <c r="AK5886">
        <v>14.152469047649101</v>
      </c>
      <c r="AL5886">
        <v>84.344503489095601</v>
      </c>
      <c r="AM5886">
        <v>101.94154031806001</v>
      </c>
      <c r="AN5886">
        <v>1.0000000208365001</v>
      </c>
    </row>
    <row r="5887" spans="1:40" x14ac:dyDescent="0.25">
      <c r="A5887" t="str">
        <f>"20190312164143629"</f>
        <v>20190312164143629</v>
      </c>
      <c r="B5887" t="str">
        <f>"1552380103622445"</f>
        <v>1552380103622445</v>
      </c>
      <c r="C5887" t="s">
        <v>40</v>
      </c>
      <c r="D5887">
        <v>5.9670100000000001</v>
      </c>
      <c r="E5887">
        <v>0.48177609999999899</v>
      </c>
      <c r="F5887" t="s">
        <v>41</v>
      </c>
      <c r="G5887">
        <v>-300.83730000000003</v>
      </c>
      <c r="H5887" s="1">
        <v>-2.0861010000000001E-6</v>
      </c>
      <c r="I5887">
        <v>-36.067430000000002</v>
      </c>
      <c r="J5887">
        <v>-302.67520000000002</v>
      </c>
      <c r="K5887">
        <v>1.117138</v>
      </c>
      <c r="L5887">
        <v>-22.407869999999999</v>
      </c>
      <c r="M5887">
        <v>-0.12489550000000001</v>
      </c>
      <c r="N5887">
        <v>0</v>
      </c>
      <c r="O5887">
        <v>-0.99213770000000001</v>
      </c>
      <c r="P5887">
        <v>8.2094689999999998E-2</v>
      </c>
      <c r="Q5887">
        <v>9.2796260000000005E-2</v>
      </c>
      <c r="R5887">
        <v>-0.99229509999999999</v>
      </c>
      <c r="S5887">
        <v>0.38305660000000002</v>
      </c>
      <c r="T5887">
        <v>-0.23937079999999999</v>
      </c>
      <c r="U5887">
        <v>-3.0164789999999999</v>
      </c>
      <c r="V5887">
        <v>-0.20734929999999999</v>
      </c>
      <c r="W5887">
        <v>9.6486260000000004E-2</v>
      </c>
      <c r="X5887">
        <v>0.97349719999999995</v>
      </c>
      <c r="Y5887">
        <v>-0.24851490000000001</v>
      </c>
      <c r="Z5887">
        <v>7.6627429999999996E-2</v>
      </c>
      <c r="AA5887">
        <v>0.96559229999999996</v>
      </c>
      <c r="AB5887">
        <v>41</v>
      </c>
      <c r="AC5887">
        <v>1.8378999999999901</v>
      </c>
      <c r="AD5887">
        <v>-1.1171400861009999</v>
      </c>
      <c r="AE5887">
        <v>-13.659560000000001</v>
      </c>
      <c r="AF5887">
        <v>-3.5065430626485701</v>
      </c>
      <c r="AG5887">
        <v>-1.1171400861009999</v>
      </c>
      <c r="AH5887">
        <v>13.236086700268199</v>
      </c>
      <c r="AI5887">
        <v>94.664236508938899</v>
      </c>
      <c r="AJ5887">
        <v>104.838101721998</v>
      </c>
      <c r="AK5887">
        <v>13.738189013083099</v>
      </c>
      <c r="AL5887">
        <v>84.463131104637995</v>
      </c>
      <c r="AM5887">
        <v>102.023991179527</v>
      </c>
      <c r="AN5887">
        <v>1.0000000644935501</v>
      </c>
    </row>
    <row r="5888" spans="1:40" x14ac:dyDescent="0.25">
      <c r="A5888" t="str">
        <f>"20190312164143650"</f>
        <v>20190312164143650</v>
      </c>
      <c r="B5888" t="str">
        <f>"1552380103641966"</f>
        <v>1552380103641966</v>
      </c>
      <c r="C5888" t="s">
        <v>40</v>
      </c>
      <c r="D5888">
        <v>6.0840459999999998</v>
      </c>
      <c r="E5888">
        <v>0.48151820000000001</v>
      </c>
      <c r="F5888" t="s">
        <v>41</v>
      </c>
      <c r="G5888">
        <v>-300.7978</v>
      </c>
      <c r="H5888" s="1">
        <v>-2.0610190000000001E-6</v>
      </c>
      <c r="I5888">
        <v>-36.101430000000001</v>
      </c>
      <c r="J5888">
        <v>-302.72000000000003</v>
      </c>
      <c r="K5888">
        <v>1.1171879999999901</v>
      </c>
      <c r="L5888">
        <v>-22.803529999999999</v>
      </c>
      <c r="M5888">
        <v>-0.1173862</v>
      </c>
      <c r="N5888">
        <v>0</v>
      </c>
      <c r="O5888">
        <v>-0.99305370000000004</v>
      </c>
      <c r="P5888">
        <v>9.2089679999999993E-2</v>
      </c>
      <c r="Q5888">
        <v>9.4016429999999998E-2</v>
      </c>
      <c r="R5888">
        <v>-0.99130260000000003</v>
      </c>
      <c r="S5888">
        <v>0.41296389999999999</v>
      </c>
      <c r="T5888">
        <v>-0.2457327</v>
      </c>
      <c r="U5888">
        <v>-3.0121150000000001</v>
      </c>
      <c r="V5888">
        <v>-0.20981920000000001</v>
      </c>
      <c r="W5888">
        <v>9.7679370000000001E-2</v>
      </c>
      <c r="X5888">
        <v>0.97284870000000001</v>
      </c>
      <c r="Y5888">
        <v>-0.25076189999999998</v>
      </c>
      <c r="Z5888">
        <v>7.8800449999999994E-2</v>
      </c>
      <c r="AA5888">
        <v>0.96483620000000003</v>
      </c>
      <c r="AB5888">
        <v>41</v>
      </c>
      <c r="AC5888">
        <v>1.9222000000000301</v>
      </c>
      <c r="AD5888">
        <v>-1.11719006101899</v>
      </c>
      <c r="AE5888">
        <v>-13.2979</v>
      </c>
      <c r="AF5888">
        <v>-3.4461249605309598</v>
      </c>
      <c r="AG5888">
        <v>-1.11719006101899</v>
      </c>
      <c r="AH5888">
        <v>12.8911847090762</v>
      </c>
      <c r="AI5888">
        <v>94.785824480937805</v>
      </c>
      <c r="AJ5888">
        <v>104.966581314889</v>
      </c>
      <c r="AK5888">
        <v>13.390538976439901</v>
      </c>
      <c r="AL5888">
        <v>84.394445986565998</v>
      </c>
      <c r="AM5888">
        <v>102.17084412773301</v>
      </c>
      <c r="AN5888">
        <v>0.99999997455196299</v>
      </c>
    </row>
    <row r="5889" spans="1:40" x14ac:dyDescent="0.25">
      <c r="A5889" t="str">
        <f>"20190312164143696"</f>
        <v>20190312164143696</v>
      </c>
      <c r="B5889" t="str">
        <f>"1552380103691742"</f>
        <v>1552380103691742</v>
      </c>
      <c r="C5889" t="s">
        <v>40</v>
      </c>
      <c r="D5889">
        <v>5.9120990000000004</v>
      </c>
      <c r="E5889">
        <v>0.48121819999999998</v>
      </c>
      <c r="F5889" t="s">
        <v>41</v>
      </c>
      <c r="G5889">
        <v>-300.67070000000001</v>
      </c>
      <c r="H5889" s="1">
        <v>-1.789424E-6</v>
      </c>
      <c r="I5889">
        <v>-36.65569</v>
      </c>
      <c r="J5889">
        <v>-302.80489999999998</v>
      </c>
      <c r="K5889">
        <v>1.117159</v>
      </c>
      <c r="L5889">
        <v>-23.63382</v>
      </c>
      <c r="M5889">
        <v>-0.1021094</v>
      </c>
      <c r="N5889">
        <v>0</v>
      </c>
      <c r="O5889">
        <v>-0.99473979999999995</v>
      </c>
      <c r="P5889">
        <v>0.11092689999999999</v>
      </c>
      <c r="Q5889">
        <v>9.742249E-2</v>
      </c>
      <c r="R5889">
        <v>-0.98904219999999998</v>
      </c>
      <c r="S5889">
        <v>0.44500729999999999</v>
      </c>
      <c r="T5889">
        <v>-0.2425976</v>
      </c>
      <c r="U5889">
        <v>-3.0079959999999999</v>
      </c>
      <c r="V5889">
        <v>-0.2133978</v>
      </c>
      <c r="W5889">
        <v>0.10112930000000001</v>
      </c>
      <c r="X5889">
        <v>0.97171719999999895</v>
      </c>
      <c r="Y5889">
        <v>-0.24614269999999999</v>
      </c>
      <c r="Z5889">
        <v>7.8098769999999998E-2</v>
      </c>
      <c r="AA5889">
        <v>0.966082</v>
      </c>
      <c r="AB5889">
        <v>41</v>
      </c>
      <c r="AC5889">
        <v>2.1341999999999599</v>
      </c>
      <c r="AD5889">
        <v>-1.1171607894239901</v>
      </c>
      <c r="AE5889">
        <v>-13.02187</v>
      </c>
      <c r="AF5889">
        <v>-3.4281719280217402</v>
      </c>
      <c r="AG5889">
        <v>-1.1171607894239901</v>
      </c>
      <c r="AH5889">
        <v>12.645237482940001</v>
      </c>
      <c r="AI5889">
        <v>94.873731658374695</v>
      </c>
      <c r="AJ5889">
        <v>105.168504632695</v>
      </c>
      <c r="AK5889">
        <v>13.149237316188801</v>
      </c>
      <c r="AL5889">
        <v>84.195795921090294</v>
      </c>
      <c r="AM5889">
        <v>102.38604596179501</v>
      </c>
      <c r="AN5889">
        <v>1.00000003656958</v>
      </c>
    </row>
    <row r="5890" spans="1:40" x14ac:dyDescent="0.25">
      <c r="A5890" t="str">
        <f>"20190312164143720"</f>
        <v>20190312164143720</v>
      </c>
      <c r="B5890" t="str">
        <f>"1552380103712237"</f>
        <v>1552380103712237</v>
      </c>
      <c r="C5890" t="s">
        <v>40</v>
      </c>
      <c r="D5890">
        <v>6.1326080000000003</v>
      </c>
      <c r="E5890">
        <v>0.48102660000000003</v>
      </c>
      <c r="F5890" t="s">
        <v>41</v>
      </c>
      <c r="G5890">
        <v>-300.38749999999999</v>
      </c>
      <c r="H5890" s="1">
        <v>-1.142145E-6</v>
      </c>
      <c r="I5890">
        <v>-37.988880000000002</v>
      </c>
      <c r="J5890">
        <v>-302.84339999999997</v>
      </c>
      <c r="K5890">
        <v>1.1170789999999999</v>
      </c>
      <c r="L5890">
        <v>-24.05566</v>
      </c>
      <c r="M5890">
        <v>-9.4695119999999994E-2</v>
      </c>
      <c r="N5890">
        <v>0</v>
      </c>
      <c r="O5890">
        <v>-0.99547249999999998</v>
      </c>
      <c r="P5890">
        <v>0.1215851</v>
      </c>
      <c r="Q5890">
        <v>9.7464819999999994E-2</v>
      </c>
      <c r="R5890">
        <v>-0.98778460000000001</v>
      </c>
      <c r="S5890">
        <v>0.50512699999999999</v>
      </c>
      <c r="T5890">
        <v>-0.23343720000000001</v>
      </c>
      <c r="U5890">
        <v>-2.9995729999999998</v>
      </c>
      <c r="V5890">
        <v>-0.21661630000000001</v>
      </c>
      <c r="W5890">
        <v>0.101201399999999</v>
      </c>
      <c r="X5890">
        <v>0.97099729999999995</v>
      </c>
      <c r="Y5890">
        <v>-0.25822139999999999</v>
      </c>
      <c r="Z5890">
        <v>7.5221969999999999E-2</v>
      </c>
      <c r="AA5890">
        <v>0.96315280000000003</v>
      </c>
      <c r="AB5890">
        <v>41</v>
      </c>
      <c r="AC5890">
        <v>2.4558999999999802</v>
      </c>
      <c r="AD5890">
        <v>-1.1170801421449901</v>
      </c>
      <c r="AE5890">
        <v>-13.93322</v>
      </c>
      <c r="AF5890">
        <v>-3.7409936244885098</v>
      </c>
      <c r="AG5890">
        <v>-1.1170801421449901</v>
      </c>
      <c r="AH5890">
        <v>13.553539786398799</v>
      </c>
      <c r="AI5890">
        <v>94.542547862370498</v>
      </c>
      <c r="AJ5890">
        <v>105.430356050021</v>
      </c>
      <c r="AK5890">
        <v>14.104656751723301</v>
      </c>
      <c r="AL5890">
        <v>84.191643674881007</v>
      </c>
      <c r="AM5890">
        <v>102.57598319236401</v>
      </c>
      <c r="AN5890">
        <v>1.00000005069746</v>
      </c>
    </row>
    <row r="5891" spans="1:40" x14ac:dyDescent="0.25">
      <c r="A5891" t="str">
        <f>"20190312164143751"</f>
        <v>20190312164143751</v>
      </c>
      <c r="B5891" t="str">
        <f>"1552380103742494"</f>
        <v>1552380103742494</v>
      </c>
      <c r="C5891" t="s">
        <v>40</v>
      </c>
      <c r="D5891">
        <v>5.9549059999999896</v>
      </c>
      <c r="E5891">
        <v>0.480933</v>
      </c>
      <c r="F5891" t="s">
        <v>41</v>
      </c>
      <c r="G5891">
        <v>-300.28280000000001</v>
      </c>
      <c r="H5891" s="1">
        <v>-9.8853880000000008E-7</v>
      </c>
      <c r="I5891">
        <v>-38.28199</v>
      </c>
      <c r="J5891">
        <v>-302.89269999999999</v>
      </c>
      <c r="K5891">
        <v>1.1169129999999901</v>
      </c>
      <c r="L5891">
        <v>-24.653960000000001</v>
      </c>
      <c r="M5891">
        <v>-8.4669399999999895E-2</v>
      </c>
      <c r="N5891">
        <v>0</v>
      </c>
      <c r="O5891">
        <v>-0.99637450000000005</v>
      </c>
      <c r="P5891">
        <v>0.13810629999999999</v>
      </c>
      <c r="Q5891">
        <v>0.10012260000000001</v>
      </c>
      <c r="R5891">
        <v>-0.98534390000000005</v>
      </c>
      <c r="S5891">
        <v>0.53887940000000001</v>
      </c>
      <c r="T5891">
        <v>-0.23509160000000001</v>
      </c>
      <c r="U5891">
        <v>-2.9939580000000001</v>
      </c>
      <c r="V5891">
        <v>-0.2230829</v>
      </c>
      <c r="W5891">
        <v>0.1038998</v>
      </c>
      <c r="X5891">
        <v>0.96924659999999996</v>
      </c>
      <c r="Y5891">
        <v>-0.25932240000000001</v>
      </c>
      <c r="Z5891">
        <v>7.5912670000000002E-2</v>
      </c>
      <c r="AA5891">
        <v>0.96280279999999996</v>
      </c>
      <c r="AB5891">
        <v>42</v>
      </c>
      <c r="AC5891">
        <v>2.6098999999999801</v>
      </c>
      <c r="AD5891">
        <v>-1.11691398853879</v>
      </c>
      <c r="AE5891">
        <v>-13.628030000000001</v>
      </c>
      <c r="AF5891">
        <v>-3.7302746746500701</v>
      </c>
      <c r="AG5891">
        <v>-1.11691398853879</v>
      </c>
      <c r="AH5891">
        <v>13.2721090209133</v>
      </c>
      <c r="AI5891">
        <v>94.631750378038305</v>
      </c>
      <c r="AJ5891">
        <v>105.698611992091</v>
      </c>
      <c r="AK5891">
        <v>13.8315336774032</v>
      </c>
      <c r="AL5891">
        <v>84.036217318269607</v>
      </c>
      <c r="AM5891">
        <v>102.961532843859</v>
      </c>
      <c r="AN5891">
        <v>1.000000060162</v>
      </c>
    </row>
    <row r="5892" spans="1:40" x14ac:dyDescent="0.25">
      <c r="A5892" t="str">
        <f>"20190312164143773"</f>
        <v>20190312164143773</v>
      </c>
      <c r="B5892" t="str">
        <f>"1552380103762013"</f>
        <v>1552380103762013</v>
      </c>
      <c r="C5892" t="s">
        <v>40</v>
      </c>
      <c r="D5892">
        <v>6.1417570000000001</v>
      </c>
      <c r="E5892">
        <v>0.48094779999999998</v>
      </c>
      <c r="F5892" t="s">
        <v>41</v>
      </c>
      <c r="G5892">
        <v>-299.98219999999998</v>
      </c>
      <c r="H5892" s="1">
        <v>-4.460548E-7</v>
      </c>
      <c r="I5892">
        <v>-39.360100000000003</v>
      </c>
      <c r="J5892">
        <v>-302.92329999999998</v>
      </c>
      <c r="K5892">
        <v>1.1167910000000001</v>
      </c>
      <c r="L5892">
        <v>-25.063020000000002</v>
      </c>
      <c r="M5892">
        <v>-7.8084319999999999E-2</v>
      </c>
      <c r="N5892">
        <v>0</v>
      </c>
      <c r="O5892">
        <v>-0.99691180000000001</v>
      </c>
      <c r="P5892">
        <v>0.150481</v>
      </c>
      <c r="Q5892">
        <v>0.1034625</v>
      </c>
      <c r="R5892">
        <v>-0.98318430000000001</v>
      </c>
      <c r="S5892">
        <v>0.59072880000000005</v>
      </c>
      <c r="T5892">
        <v>-0.2266967</v>
      </c>
      <c r="U5892">
        <v>-2.9848629999999998</v>
      </c>
      <c r="V5892">
        <v>-0.2288636</v>
      </c>
      <c r="W5892">
        <v>0.10725220000000001</v>
      </c>
      <c r="X5892">
        <v>0.96753210000000001</v>
      </c>
      <c r="Y5892">
        <v>-0.26962370000000002</v>
      </c>
      <c r="Z5892">
        <v>7.3273560000000001E-2</v>
      </c>
      <c r="AA5892">
        <v>0.96017399999999997</v>
      </c>
      <c r="AB5892">
        <v>42</v>
      </c>
      <c r="AC5892">
        <v>2.9411</v>
      </c>
      <c r="AD5892">
        <v>-1.1167914460548001</v>
      </c>
      <c r="AE5892">
        <v>-14.297079999999999</v>
      </c>
      <c r="AF5892">
        <v>-4.0249741529985803</v>
      </c>
      <c r="AG5892">
        <v>-1.1167914460548001</v>
      </c>
      <c r="AH5892">
        <v>13.942146046152599</v>
      </c>
      <c r="AI5892">
        <v>94.400752783510896</v>
      </c>
      <c r="AJ5892">
        <v>106.10296069223899</v>
      </c>
      <c r="AK5892">
        <v>14.554417763639201</v>
      </c>
      <c r="AL5892">
        <v>83.843058812897993</v>
      </c>
      <c r="AM5892">
        <v>103.308339660078</v>
      </c>
      <c r="AN5892">
        <v>0.99999997317010403</v>
      </c>
    </row>
    <row r="5893" spans="1:40" x14ac:dyDescent="0.25">
      <c r="A5893" t="str">
        <f>"20190312164143796"</f>
        <v>20190312164143796</v>
      </c>
      <c r="B5893" t="str">
        <f>"1552380103792269"</f>
        <v>1552380103792269</v>
      </c>
      <c r="C5893" t="s">
        <v>40</v>
      </c>
      <c r="D5893">
        <v>5.9142710000000003</v>
      </c>
      <c r="E5893">
        <v>0.4809872</v>
      </c>
      <c r="F5893" t="s">
        <v>51</v>
      </c>
      <c r="G5893">
        <v>-299.66730000000001</v>
      </c>
      <c r="H5893" s="1">
        <v>-1.39211399999999E-7</v>
      </c>
      <c r="I5893">
        <v>-40.483550000000001</v>
      </c>
      <c r="J5893">
        <v>-302.95159999999998</v>
      </c>
      <c r="K5893">
        <v>1.1166579999999999</v>
      </c>
      <c r="L5893">
        <v>-25.476959999999998</v>
      </c>
      <c r="M5893">
        <v>-7.1668969999999999E-2</v>
      </c>
      <c r="N5893">
        <v>0</v>
      </c>
      <c r="O5893">
        <v>-0.99739290000000003</v>
      </c>
      <c r="P5893">
        <v>0.16364400000000001</v>
      </c>
      <c r="Q5893">
        <v>0.10546989999999901</v>
      </c>
      <c r="R5893">
        <v>-0.98086530000000005</v>
      </c>
      <c r="S5893">
        <v>0.62875369999999997</v>
      </c>
      <c r="T5893">
        <v>-0.21565790000000001</v>
      </c>
      <c r="U5893">
        <v>-2.9777830000000001</v>
      </c>
      <c r="V5893">
        <v>-0.2355883</v>
      </c>
      <c r="W5893">
        <v>0.1092687</v>
      </c>
      <c r="X5893">
        <v>0.96569070000000001</v>
      </c>
      <c r="Y5893">
        <v>-0.2756788</v>
      </c>
      <c r="Z5893">
        <v>6.9788420000000004E-2</v>
      </c>
      <c r="AA5893">
        <v>0.95871309999999998</v>
      </c>
      <c r="AB5893">
        <v>42</v>
      </c>
      <c r="AC5893">
        <v>3.2842999999999698</v>
      </c>
      <c r="AD5893">
        <v>-1.1166581392113999</v>
      </c>
      <c r="AE5893">
        <v>-15.006589999999999</v>
      </c>
      <c r="AF5893">
        <v>-4.3285271006736803</v>
      </c>
      <c r="AG5893">
        <v>-1.1166581392113999</v>
      </c>
      <c r="AH5893">
        <v>14.6551697336603</v>
      </c>
      <c r="AI5893">
        <v>94.179446210202997</v>
      </c>
      <c r="AJ5893">
        <v>106.454946840057</v>
      </c>
      <c r="AK5893">
        <v>15.321784236293301</v>
      </c>
      <c r="AL5893">
        <v>83.726839018628198</v>
      </c>
      <c r="AM5893">
        <v>103.709984011515</v>
      </c>
      <c r="AN5893">
        <v>1.00000001198153</v>
      </c>
    </row>
    <row r="5894" spans="1:40" x14ac:dyDescent="0.25">
      <c r="A5894" t="str">
        <f>"20190312164143818"</f>
        <v>20190312164143818</v>
      </c>
      <c r="B5894" t="str">
        <f>"1552380103811789"</f>
        <v>1552380103811789</v>
      </c>
      <c r="C5894" t="s">
        <v>40</v>
      </c>
      <c r="D5894">
        <v>6.1412950000000004</v>
      </c>
      <c r="E5894">
        <v>0.48095589999999999</v>
      </c>
      <c r="F5894" t="s">
        <v>51</v>
      </c>
      <c r="G5894">
        <v>-299.37060000000002</v>
      </c>
      <c r="H5894" s="1">
        <v>-7.9811009999999898E-7</v>
      </c>
      <c r="I5894">
        <v>-41.395969999999998</v>
      </c>
      <c r="J5894">
        <v>-302.97800000000001</v>
      </c>
      <c r="K5894">
        <v>1.1165050000000001</v>
      </c>
      <c r="L5894">
        <v>-25.898589999999999</v>
      </c>
      <c r="M5894">
        <v>-6.5395099999999998E-2</v>
      </c>
      <c r="N5894">
        <v>0</v>
      </c>
      <c r="O5894">
        <v>-0.99782320000000002</v>
      </c>
      <c r="P5894">
        <v>0.17943909999999999</v>
      </c>
      <c r="Q5894">
        <v>0.10751040000000001</v>
      </c>
      <c r="R5894">
        <v>-0.97787679999999999</v>
      </c>
      <c r="S5894">
        <v>0.66799929999999996</v>
      </c>
      <c r="T5894">
        <v>-0.20829810000000001</v>
      </c>
      <c r="U5894">
        <v>-2.9694820000000002</v>
      </c>
      <c r="V5894">
        <v>-0.2450618</v>
      </c>
      <c r="W5894">
        <v>0.11127819999999999</v>
      </c>
      <c r="X5894">
        <v>0.96310010000000001</v>
      </c>
      <c r="Y5894">
        <v>-0.28229900000000002</v>
      </c>
      <c r="Z5894">
        <v>6.748643E-2</v>
      </c>
      <c r="AA5894">
        <v>0.95694979999999996</v>
      </c>
      <c r="AB5894">
        <v>42</v>
      </c>
      <c r="AC5894">
        <v>3.6073999999999802</v>
      </c>
      <c r="AD5894">
        <v>-1.1165057981101001</v>
      </c>
      <c r="AE5894">
        <v>-15.49738</v>
      </c>
      <c r="AF5894">
        <v>-4.59056456871365</v>
      </c>
      <c r="AG5894">
        <v>-1.1165057981101001</v>
      </c>
      <c r="AH5894">
        <v>15.153678145938001</v>
      </c>
      <c r="AI5894">
        <v>94.033498587686907</v>
      </c>
      <c r="AJ5894">
        <v>106.85334575031899</v>
      </c>
      <c r="AK5894">
        <v>15.8730535690969</v>
      </c>
      <c r="AL5894">
        <v>83.610996327729893</v>
      </c>
      <c r="AM5894">
        <v>104.27601400829001</v>
      </c>
      <c r="AN5894">
        <v>0.99999996311724404</v>
      </c>
    </row>
    <row r="5895" spans="1:40" x14ac:dyDescent="0.25">
      <c r="A5895" t="str">
        <f>"20190312164143840"</f>
        <v>20190312164143840</v>
      </c>
      <c r="B5895" t="str">
        <f>"1552380103832285"</f>
        <v>1552380103832285</v>
      </c>
      <c r="C5895" t="s">
        <v>40</v>
      </c>
      <c r="D5895">
        <v>6.2593209999999999</v>
      </c>
      <c r="E5895">
        <v>0.4288284</v>
      </c>
      <c r="F5895" t="s">
        <v>51</v>
      </c>
      <c r="G5895">
        <v>-299.00240000000002</v>
      </c>
      <c r="H5895" s="1">
        <v>-1.4875529999999999E-6</v>
      </c>
      <c r="I5895">
        <v>-42.326529999999998</v>
      </c>
      <c r="J5895">
        <v>-303.0009</v>
      </c>
      <c r="K5895">
        <v>1.1163529999999999</v>
      </c>
      <c r="L5895">
        <v>-26.307279999999999</v>
      </c>
      <c r="M5895">
        <v>-5.9564869999999999E-2</v>
      </c>
      <c r="N5895">
        <v>0</v>
      </c>
      <c r="O5895">
        <v>-0.99818770000000001</v>
      </c>
      <c r="P5895">
        <v>0.19572390000000001</v>
      </c>
      <c r="Q5895">
        <v>0.1100797</v>
      </c>
      <c r="R5895">
        <v>-0.97446129999999997</v>
      </c>
      <c r="S5895">
        <v>0.71597290000000002</v>
      </c>
      <c r="T5895">
        <v>-0.20107710000000001</v>
      </c>
      <c r="U5895">
        <v>-2.9585880000000002</v>
      </c>
      <c r="V5895">
        <v>-0.25547540000000002</v>
      </c>
      <c r="W5895">
        <v>0.1138036</v>
      </c>
      <c r="X5895">
        <v>0.96009429999999996</v>
      </c>
      <c r="Y5895">
        <v>-0.29218290000000002</v>
      </c>
      <c r="Z5895">
        <v>6.5209669999999997E-2</v>
      </c>
      <c r="AA5895">
        <v>0.95413669999999995</v>
      </c>
      <c r="AB5895">
        <v>42</v>
      </c>
      <c r="AC5895">
        <v>3.9984999999999702</v>
      </c>
      <c r="AD5895">
        <v>-1.116354487553</v>
      </c>
      <c r="AE5895">
        <v>-16.01925</v>
      </c>
      <c r="AF5895">
        <v>-4.9231127576434499</v>
      </c>
      <c r="AG5895">
        <v>-1.116354487553</v>
      </c>
      <c r="AH5895">
        <v>15.6809383478807</v>
      </c>
      <c r="AI5895">
        <v>93.885730814430204</v>
      </c>
      <c r="AJ5895">
        <v>107.429954157887</v>
      </c>
      <c r="AK5895">
        <v>16.4734669707499</v>
      </c>
      <c r="AL5895">
        <v>83.465376666617502</v>
      </c>
      <c r="AM5895">
        <v>104.900783531719</v>
      </c>
      <c r="AN5895">
        <v>1.0000000021352999</v>
      </c>
    </row>
    <row r="5896" spans="1:40" x14ac:dyDescent="0.25">
      <c r="A5896" t="str">
        <f>"20190312164143863"</f>
        <v>20190312164143863</v>
      </c>
      <c r="B5896" t="str">
        <f>"1552380103851805"</f>
        <v>1552380103851805</v>
      </c>
      <c r="C5896" t="s">
        <v>40</v>
      </c>
      <c r="D5896">
        <v>6.0565610000000003</v>
      </c>
      <c r="E5896">
        <v>0.41267540000000003</v>
      </c>
      <c r="F5896" t="s">
        <v>42</v>
      </c>
      <c r="G5896">
        <v>-302.56110000000001</v>
      </c>
      <c r="H5896">
        <v>1.031855</v>
      </c>
      <c r="I5896">
        <v>-27.380320000000001</v>
      </c>
      <c r="J5896">
        <v>-303.0222</v>
      </c>
      <c r="K5896">
        <v>1.116204</v>
      </c>
      <c r="L5896">
        <v>-26.731780000000001</v>
      </c>
      <c r="M5896">
        <v>-5.3704000000000002E-2</v>
      </c>
      <c r="N5896">
        <v>0</v>
      </c>
      <c r="O5896">
        <v>-0.99851970000000001</v>
      </c>
      <c r="P5896">
        <v>0.211535</v>
      </c>
      <c r="Q5896">
        <v>0.1151914</v>
      </c>
      <c r="R5896">
        <v>-0.9705587</v>
      </c>
      <c r="S5896">
        <v>1.1757200000000001</v>
      </c>
      <c r="T5896">
        <v>-0.22584380000000001</v>
      </c>
      <c r="U5896">
        <v>-2.8679809999999999</v>
      </c>
      <c r="V5896">
        <v>-0.26544649999999997</v>
      </c>
      <c r="W5896">
        <v>0.1188839</v>
      </c>
      <c r="X5896">
        <v>0.9567679</v>
      </c>
      <c r="Y5896">
        <v>-0.42747259999999998</v>
      </c>
      <c r="Z5896">
        <v>7.1687089999999995E-2</v>
      </c>
      <c r="AA5896">
        <v>0.90118149999999997</v>
      </c>
      <c r="AB5896">
        <v>42</v>
      </c>
      <c r="AC5896">
        <v>0.46109999999998702</v>
      </c>
      <c r="AD5896">
        <v>-8.4349000000000202E-2</v>
      </c>
      <c r="AE5896">
        <v>-0.64854000000000001</v>
      </c>
      <c r="AF5896">
        <v>-0.48976211442434903</v>
      </c>
      <c r="AG5896">
        <v>-8.4349000000000202E-2</v>
      </c>
      <c r="AH5896">
        <v>0.615919786826438</v>
      </c>
      <c r="AI5896">
        <v>96.118198276677703</v>
      </c>
      <c r="AJ5896">
        <v>128.490734281171</v>
      </c>
      <c r="AK5896">
        <v>0.79141573545813104</v>
      </c>
      <c r="AL5896">
        <v>83.172306474080997</v>
      </c>
      <c r="AM5896">
        <v>105.506187778824</v>
      </c>
      <c r="AN5896">
        <v>1.00000002025593</v>
      </c>
    </row>
    <row r="5897" spans="1:40" x14ac:dyDescent="0.25">
      <c r="A5897" t="str">
        <f>"20190312164143884"</f>
        <v>20190312164143884</v>
      </c>
      <c r="B5897" t="str">
        <f>"1552380103882062"</f>
        <v>1552380103882062</v>
      </c>
      <c r="C5897" t="s">
        <v>40</v>
      </c>
      <c r="D5897">
        <v>6.0013550000000002</v>
      </c>
      <c r="E5897">
        <v>0.40470689999999998</v>
      </c>
      <c r="F5897" t="s">
        <v>42</v>
      </c>
      <c r="G5897">
        <v>-302.53649999999999</v>
      </c>
      <c r="H5897">
        <v>1.039833</v>
      </c>
      <c r="I5897">
        <v>-27.745830000000002</v>
      </c>
      <c r="J5897">
        <v>-303.04050000000001</v>
      </c>
      <c r="K5897">
        <v>1.116074</v>
      </c>
      <c r="L5897">
        <v>-27.14105</v>
      </c>
      <c r="M5897">
        <v>-4.8212900000000003E-2</v>
      </c>
      <c r="N5897">
        <v>0</v>
      </c>
      <c r="O5897">
        <v>-0.99879929999999995</v>
      </c>
      <c r="P5897">
        <v>0.22557440000000001</v>
      </c>
      <c r="Q5897">
        <v>0.1206762</v>
      </c>
      <c r="R5897">
        <v>-0.9667232</v>
      </c>
      <c r="S5897">
        <v>1.3510439999999999</v>
      </c>
      <c r="T5897">
        <v>-0.21251819999999999</v>
      </c>
      <c r="U5897">
        <v>-2.821777</v>
      </c>
      <c r="V5897">
        <v>-0.27406049999999998</v>
      </c>
      <c r="W5897">
        <v>0.1243552</v>
      </c>
      <c r="X5897">
        <v>0.9536386</v>
      </c>
      <c r="Y5897">
        <v>-0.4738561</v>
      </c>
      <c r="Z5897">
        <v>6.6869670000000006E-2</v>
      </c>
      <c r="AA5897">
        <v>0.8780597</v>
      </c>
      <c r="AB5897">
        <v>42</v>
      </c>
      <c r="AC5897">
        <v>0.50400000000001899</v>
      </c>
      <c r="AD5897">
        <v>-7.6241000000000003E-2</v>
      </c>
      <c r="AE5897">
        <v>-0.60477999999999799</v>
      </c>
      <c r="AF5897">
        <v>-0.52762470274830697</v>
      </c>
      <c r="AG5897">
        <v>-7.6241000000000003E-2</v>
      </c>
      <c r="AH5897">
        <v>0.57438938578334797</v>
      </c>
      <c r="AI5897">
        <v>95.583040574964897</v>
      </c>
      <c r="AJ5897">
        <v>132.57007430330199</v>
      </c>
      <c r="AK5897">
        <v>0.78366043892224801</v>
      </c>
      <c r="AL5897">
        <v>82.856478900634102</v>
      </c>
      <c r="AM5897">
        <v>106.03380558838199</v>
      </c>
      <c r="AN5897">
        <v>0.99999997641862404</v>
      </c>
    </row>
    <row r="5898" spans="1:40" x14ac:dyDescent="0.25">
      <c r="A5898" t="str">
        <f>"20190312164143908"</f>
        <v>20190312164143908</v>
      </c>
      <c r="B5898" t="str">
        <f>"1552380103901581"</f>
        <v>1552380103901581</v>
      </c>
      <c r="C5898" t="s">
        <v>40</v>
      </c>
      <c r="D5898">
        <v>6.0148020000000004</v>
      </c>
      <c r="E5898">
        <v>0.40390870000000001</v>
      </c>
      <c r="F5898" t="s">
        <v>42</v>
      </c>
      <c r="G5898">
        <v>-302.53199999999998</v>
      </c>
      <c r="H5898">
        <v>1.0580940000000001</v>
      </c>
      <c r="I5898">
        <v>-28.115300000000001</v>
      </c>
      <c r="J5898">
        <v>-303.05770000000001</v>
      </c>
      <c r="K5898">
        <v>1.115947</v>
      </c>
      <c r="L5898">
        <v>-27.579650000000001</v>
      </c>
      <c r="M5898">
        <v>-4.2478519999999999E-2</v>
      </c>
      <c r="N5898">
        <v>0</v>
      </c>
      <c r="O5898">
        <v>-0.99905940000000004</v>
      </c>
      <c r="P5898">
        <v>0.24049280000000001</v>
      </c>
      <c r="Q5898">
        <v>0.12513050000000001</v>
      </c>
      <c r="R5898">
        <v>-0.96255210000000002</v>
      </c>
      <c r="S5898">
        <v>1.4540409999999999</v>
      </c>
      <c r="T5898">
        <v>-0.16571959999999999</v>
      </c>
      <c r="U5898">
        <v>-2.7846679999999999</v>
      </c>
      <c r="V5898">
        <v>-0.28332810000000003</v>
      </c>
      <c r="W5898">
        <v>0.1287896</v>
      </c>
      <c r="X5898">
        <v>0.95033590000000001</v>
      </c>
      <c r="Y5898">
        <v>-0.49946560000000001</v>
      </c>
      <c r="Z5898">
        <v>5.2032750000000003E-2</v>
      </c>
      <c r="AA5898">
        <v>0.86476980000000003</v>
      </c>
      <c r="AB5898">
        <v>42</v>
      </c>
      <c r="AC5898">
        <v>0.52570000000002803</v>
      </c>
      <c r="AD5898">
        <v>-5.7852999999999898E-2</v>
      </c>
      <c r="AE5898">
        <v>-0.53564999999999996</v>
      </c>
      <c r="AF5898">
        <v>-0.54474312278936798</v>
      </c>
      <c r="AG5898">
        <v>-5.7852999999999898E-2</v>
      </c>
      <c r="AH5898">
        <v>0.50980544963696195</v>
      </c>
      <c r="AI5898">
        <v>94.433947407568198</v>
      </c>
      <c r="AJ5898">
        <v>136.89754113645799</v>
      </c>
      <c r="AK5898">
        <v>0.74832722515946004</v>
      </c>
      <c r="AL5898">
        <v>82.600346077703804</v>
      </c>
      <c r="AM5898">
        <v>106.601144125383</v>
      </c>
      <c r="AN5898">
        <v>0.99999994807328796</v>
      </c>
    </row>
    <row r="5899" spans="1:40" x14ac:dyDescent="0.25">
      <c r="A5899" t="str">
        <f>"20190312164143930"</f>
        <v>20190312164143930</v>
      </c>
      <c r="B5899" t="str">
        <f>"1552380103922077"</f>
        <v>1552380103922077</v>
      </c>
      <c r="C5899" t="s">
        <v>40</v>
      </c>
      <c r="D5899">
        <v>6.2256450000000001</v>
      </c>
      <c r="E5899">
        <v>0.4038445</v>
      </c>
      <c r="F5899" t="s">
        <v>42</v>
      </c>
      <c r="G5899">
        <v>-302.56150000000002</v>
      </c>
      <c r="H5899">
        <v>1.063604</v>
      </c>
      <c r="I5899">
        <v>-28.491320000000002</v>
      </c>
      <c r="J5899">
        <v>-303.07159999999999</v>
      </c>
      <c r="K5899">
        <v>1.115829</v>
      </c>
      <c r="L5899">
        <v>-27.989409999999999</v>
      </c>
      <c r="M5899">
        <v>-3.7235619999999997E-2</v>
      </c>
      <c r="N5899">
        <v>0</v>
      </c>
      <c r="O5899">
        <v>-0.99926789999999999</v>
      </c>
      <c r="P5899">
        <v>0.25515159999999998</v>
      </c>
      <c r="Q5899">
        <v>0.1294738</v>
      </c>
      <c r="R5899">
        <v>-0.95819330000000003</v>
      </c>
      <c r="S5899">
        <v>1.5038149999999999</v>
      </c>
      <c r="T5899">
        <v>-0.1585511</v>
      </c>
      <c r="U5899">
        <v>-2.7615970000000001</v>
      </c>
      <c r="V5899">
        <v>-0.29284470000000001</v>
      </c>
      <c r="W5899">
        <v>0.1330905</v>
      </c>
      <c r="X5899">
        <v>0.94685209999999997</v>
      </c>
      <c r="Y5899">
        <v>-0.51001070000000004</v>
      </c>
      <c r="Z5899">
        <v>4.9808360000000003E-2</v>
      </c>
      <c r="AA5899">
        <v>0.85872479999999995</v>
      </c>
      <c r="AB5899">
        <v>42</v>
      </c>
      <c r="AC5899">
        <v>0.51009999999996503</v>
      </c>
      <c r="AD5899">
        <v>-5.2225000000000098E-2</v>
      </c>
      <c r="AE5899">
        <v>-0.50191000000000496</v>
      </c>
      <c r="AF5899">
        <v>-0.52563641647013604</v>
      </c>
      <c r="AG5899">
        <v>-5.2225000000000098E-2</v>
      </c>
      <c r="AH5899">
        <v>0.48001081768480403</v>
      </c>
      <c r="AI5899">
        <v>94.196106329294096</v>
      </c>
      <c r="AJ5899">
        <v>137.597693037189</v>
      </c>
      <c r="AK5899">
        <v>0.71374468687269499</v>
      </c>
      <c r="AL5899">
        <v>82.351782776243695</v>
      </c>
      <c r="AM5899">
        <v>107.185918462592</v>
      </c>
      <c r="AN5899">
        <v>0.99999999939137496</v>
      </c>
    </row>
    <row r="5900" spans="1:40" x14ac:dyDescent="0.25">
      <c r="A5900" t="str">
        <f>"20190312164143952"</f>
        <v>20190312164143952</v>
      </c>
      <c r="B5900" t="str">
        <f>"1552380103941598"</f>
        <v>1552380103941598</v>
      </c>
      <c r="C5900" t="s">
        <v>40</v>
      </c>
      <c r="D5900">
        <v>6.0157509999999998</v>
      </c>
      <c r="E5900">
        <v>0.40443679999999999</v>
      </c>
      <c r="F5900" t="s">
        <v>42</v>
      </c>
      <c r="G5900">
        <v>-302.57729999999998</v>
      </c>
      <c r="H5900">
        <v>1.069736</v>
      </c>
      <c r="I5900">
        <v>-28.866040000000002</v>
      </c>
      <c r="J5900">
        <v>-303.08339999999998</v>
      </c>
      <c r="K5900">
        <v>1.1157269999999999</v>
      </c>
      <c r="L5900">
        <v>-28.399989999999999</v>
      </c>
      <c r="M5900">
        <v>-3.207194E-2</v>
      </c>
      <c r="N5900">
        <v>0</v>
      </c>
      <c r="O5900">
        <v>-0.99944659999999996</v>
      </c>
      <c r="P5900">
        <v>0.26778790000000002</v>
      </c>
      <c r="Q5900">
        <v>0.13397819999999999</v>
      </c>
      <c r="R5900">
        <v>-0.95411749999999995</v>
      </c>
      <c r="S5900">
        <v>1.544708</v>
      </c>
      <c r="T5900">
        <v>-0.14401559999999999</v>
      </c>
      <c r="U5900">
        <v>-2.7390140000000001</v>
      </c>
      <c r="V5900">
        <v>-0.30047170000000001</v>
      </c>
      <c r="W5900">
        <v>0.13758020000000001</v>
      </c>
      <c r="X5900">
        <v>0.94381590000000004</v>
      </c>
      <c r="Y5900">
        <v>-0.51840719999999996</v>
      </c>
      <c r="Z5900">
        <v>4.53164E-2</v>
      </c>
      <c r="AA5900">
        <v>0.85393229999999998</v>
      </c>
      <c r="AB5900">
        <v>42</v>
      </c>
      <c r="AC5900">
        <v>0.50610000000000299</v>
      </c>
      <c r="AD5900">
        <v>-4.5991000000000101E-2</v>
      </c>
      <c r="AE5900">
        <v>-0.46604999999999902</v>
      </c>
      <c r="AF5900">
        <v>-0.51847048932381701</v>
      </c>
      <c r="AG5900">
        <v>-4.5991000000000101E-2</v>
      </c>
      <c r="AH5900">
        <v>0.44757793475699997</v>
      </c>
      <c r="AI5900">
        <v>93.841438792305794</v>
      </c>
      <c r="AJ5900">
        <v>139.19707359913099</v>
      </c>
      <c r="AK5900">
        <v>0.68647857072309304</v>
      </c>
      <c r="AL5900">
        <v>82.092153082811194</v>
      </c>
      <c r="AM5900">
        <v>107.65930993486501</v>
      </c>
      <c r="AN5900">
        <v>1.00000000351287</v>
      </c>
    </row>
    <row r="5901" spans="1:40" x14ac:dyDescent="0.25">
      <c r="A5901" t="str">
        <f>"20190312164143974"</f>
        <v>20190312164143974</v>
      </c>
      <c r="B5901" t="str">
        <f>"1552380103971854"</f>
        <v>1552380103971854</v>
      </c>
      <c r="C5901" t="s">
        <v>40</v>
      </c>
      <c r="D5901">
        <v>6.0709210000000002</v>
      </c>
      <c r="E5901">
        <v>0.40614909999999999</v>
      </c>
      <c r="F5901" t="s">
        <v>42</v>
      </c>
      <c r="G5901">
        <v>-302.59530000000001</v>
      </c>
      <c r="H5901">
        <v>1.0751470000000001</v>
      </c>
      <c r="I5901">
        <v>-29.24212</v>
      </c>
      <c r="J5901">
        <v>-303.0933</v>
      </c>
      <c r="K5901">
        <v>1.115642</v>
      </c>
      <c r="L5901">
        <v>-28.820340000000002</v>
      </c>
      <c r="M5901">
        <v>-2.68585E-2</v>
      </c>
      <c r="N5901">
        <v>0</v>
      </c>
      <c r="O5901">
        <v>-0.99959969999999998</v>
      </c>
      <c r="P5901">
        <v>0.2781708</v>
      </c>
      <c r="Q5901">
        <v>0.13968239999999901</v>
      </c>
      <c r="R5901">
        <v>-0.95032099999999997</v>
      </c>
      <c r="S5901">
        <v>1.5769959999999901</v>
      </c>
      <c r="T5901">
        <v>-0.13107449999999901</v>
      </c>
      <c r="U5901">
        <v>-2.720062</v>
      </c>
      <c r="V5901">
        <v>-0.30586570000000002</v>
      </c>
      <c r="W5901">
        <v>0.14330309999999999</v>
      </c>
      <c r="X5901">
        <v>0.94122819999999996</v>
      </c>
      <c r="Y5901">
        <v>-0.52419139999999997</v>
      </c>
      <c r="Z5901">
        <v>4.1320349999999999E-2</v>
      </c>
      <c r="AA5901">
        <v>0.85059739999999995</v>
      </c>
      <c r="AB5901">
        <v>42</v>
      </c>
      <c r="AC5901">
        <v>0.49799999999999001</v>
      </c>
      <c r="AD5901">
        <v>-4.04950000000001E-2</v>
      </c>
      <c r="AE5901">
        <v>-0.42177999999999799</v>
      </c>
      <c r="AF5901">
        <v>-0.50719630621813405</v>
      </c>
      <c r="AG5901">
        <v>-4.04950000000001E-2</v>
      </c>
      <c r="AH5901">
        <v>0.406685910919454</v>
      </c>
      <c r="AI5901">
        <v>93.564324290557806</v>
      </c>
      <c r="AJ5901">
        <v>141.27626718440001</v>
      </c>
      <c r="AK5901">
        <v>0.65136884190656896</v>
      </c>
      <c r="AL5901">
        <v>81.760972743348105</v>
      </c>
      <c r="AM5901">
        <v>108.00231907314701</v>
      </c>
      <c r="AN5901">
        <v>1.0000000646906599</v>
      </c>
    </row>
    <row r="5902" spans="1:40" x14ac:dyDescent="0.25">
      <c r="A5902" t="str">
        <f>"20190312164143998"</f>
        <v>20190312164143998</v>
      </c>
      <c r="B5902" t="str">
        <f>"1552380103992350"</f>
        <v>1552380103992350</v>
      </c>
      <c r="C5902" t="s">
        <v>40</v>
      </c>
      <c r="D5902">
        <v>6.065493</v>
      </c>
      <c r="E5902">
        <v>0.4075473</v>
      </c>
      <c r="F5902" t="s">
        <v>42</v>
      </c>
      <c r="G5902">
        <v>-302.62130000000002</v>
      </c>
      <c r="H5902">
        <v>1.078514</v>
      </c>
      <c r="I5902">
        <v>-29.621690000000001</v>
      </c>
      <c r="J5902">
        <v>-303.10140000000001</v>
      </c>
      <c r="K5902">
        <v>1.1155660000000001</v>
      </c>
      <c r="L5902">
        <v>-29.257449999999999</v>
      </c>
      <c r="M5902">
        <v>-2.1499609999999999E-2</v>
      </c>
      <c r="N5902">
        <v>0</v>
      </c>
      <c r="O5902">
        <v>-0.99972899999999998</v>
      </c>
      <c r="P5902">
        <v>0.2891667</v>
      </c>
      <c r="Q5902">
        <v>0.1445264</v>
      </c>
      <c r="R5902">
        <v>-0.94630619999999999</v>
      </c>
      <c r="S5902">
        <v>1.595947</v>
      </c>
      <c r="T5902">
        <v>-0.12546650000000001</v>
      </c>
      <c r="U5902">
        <v>-2.7081300000000001</v>
      </c>
      <c r="V5902">
        <v>-0.31175219999999998</v>
      </c>
      <c r="W5902">
        <v>0.1481517</v>
      </c>
      <c r="X5902">
        <v>0.93854230000000005</v>
      </c>
      <c r="Y5902">
        <v>-0.52571820000000002</v>
      </c>
      <c r="Z5902">
        <v>3.962947E-2</v>
      </c>
      <c r="AA5902">
        <v>0.84973519999999902</v>
      </c>
      <c r="AB5902">
        <v>42</v>
      </c>
      <c r="AC5902">
        <v>0.48009999999999298</v>
      </c>
      <c r="AD5902">
        <v>-3.7052000000000002E-2</v>
      </c>
      <c r="AE5902">
        <v>-0.36424000000000201</v>
      </c>
      <c r="AF5902">
        <v>-0.48598322527099702</v>
      </c>
      <c r="AG5902">
        <v>-3.7052000000000002E-2</v>
      </c>
      <c r="AH5902">
        <v>0.35250089628372</v>
      </c>
      <c r="AI5902">
        <v>93.531582687009902</v>
      </c>
      <c r="AJ5902">
        <v>144.04528941164401</v>
      </c>
      <c r="AK5902">
        <v>0.60150596657857602</v>
      </c>
      <c r="AL5902">
        <v>81.480170008912495</v>
      </c>
      <c r="AM5902">
        <v>108.374752515579</v>
      </c>
      <c r="AN5902">
        <v>1.00000000465351</v>
      </c>
    </row>
    <row r="5903" spans="1:40" x14ac:dyDescent="0.25">
      <c r="A5903" t="str">
        <f>"20190312164144019"</f>
        <v>20190312164144019</v>
      </c>
      <c r="B5903" t="str">
        <f>"1552380104011869"</f>
        <v>1552380104011869</v>
      </c>
      <c r="C5903" t="s">
        <v>40</v>
      </c>
      <c r="D5903">
        <v>6.0217720000000003</v>
      </c>
      <c r="E5903">
        <v>0.40852349999999998</v>
      </c>
      <c r="F5903" t="s">
        <v>42</v>
      </c>
      <c r="G5903">
        <v>-302.61320000000001</v>
      </c>
      <c r="H5903">
        <v>1.07979</v>
      </c>
      <c r="I5903">
        <v>-30.070450000000001</v>
      </c>
      <c r="J5903">
        <v>-303.10680000000002</v>
      </c>
      <c r="K5903">
        <v>1.1154930000000001</v>
      </c>
      <c r="L5903">
        <v>-29.679569999999998</v>
      </c>
      <c r="M5903">
        <v>-1.6380949999999998E-2</v>
      </c>
      <c r="N5903">
        <v>0</v>
      </c>
      <c r="O5903">
        <v>-0.99982550000000003</v>
      </c>
      <c r="P5903">
        <v>0.29988559999999997</v>
      </c>
      <c r="Q5903">
        <v>0.14825160000000001</v>
      </c>
      <c r="R5903">
        <v>-0.94238540000000004</v>
      </c>
      <c r="S5903">
        <v>1.6177979999999901</v>
      </c>
      <c r="T5903">
        <v>-0.1185454</v>
      </c>
      <c r="U5903">
        <v>-2.6939700000000002</v>
      </c>
      <c r="V5903">
        <v>-0.31761200000000001</v>
      </c>
      <c r="W5903">
        <v>0.15187</v>
      </c>
      <c r="X5903">
        <v>0.93597980000000003</v>
      </c>
      <c r="Y5903">
        <v>-0.52843839999999997</v>
      </c>
      <c r="Z5903">
        <v>3.751591E-2</v>
      </c>
      <c r="AA5903">
        <v>0.84814230000000002</v>
      </c>
      <c r="AB5903">
        <v>42</v>
      </c>
      <c r="AC5903">
        <v>0.49360000000001403</v>
      </c>
      <c r="AD5903">
        <v>-3.5702999999999999E-2</v>
      </c>
      <c r="AE5903">
        <v>-0.39087999999999901</v>
      </c>
      <c r="AF5903">
        <v>-0.498334627061428</v>
      </c>
      <c r="AG5903">
        <v>-3.5702999999999999E-2</v>
      </c>
      <c r="AH5903">
        <v>0.381514834940752</v>
      </c>
      <c r="AI5903">
        <v>93.255903315337804</v>
      </c>
      <c r="AJ5903">
        <v>142.56306763424701</v>
      </c>
      <c r="AK5903">
        <v>0.62862204385252196</v>
      </c>
      <c r="AL5903">
        <v>81.264688914539207</v>
      </c>
      <c r="AM5903">
        <v>108.743943823142</v>
      </c>
      <c r="AN5903">
        <v>1.0000000327260099</v>
      </c>
    </row>
    <row r="5904" spans="1:40" x14ac:dyDescent="0.25">
      <c r="A5904" t="str">
        <f>"20190312164144042"</f>
        <v>20190312164144042</v>
      </c>
      <c r="B5904" t="str">
        <f>"1552380104032365"</f>
        <v>1552380104032365</v>
      </c>
      <c r="C5904" t="s">
        <v>40</v>
      </c>
      <c r="D5904">
        <v>6.0540690000000001</v>
      </c>
      <c r="E5904">
        <v>0.40920840000000003</v>
      </c>
      <c r="F5904" t="s">
        <v>51</v>
      </c>
      <c r="G5904">
        <v>-286.8494</v>
      </c>
      <c r="H5904" s="1">
        <v>-3.6236689999999999E-6</v>
      </c>
      <c r="I5904">
        <v>-56.210920000000002</v>
      </c>
      <c r="J5904">
        <v>-303.11009999999999</v>
      </c>
      <c r="K5904">
        <v>1.115424</v>
      </c>
      <c r="L5904">
        <v>-30.09393</v>
      </c>
      <c r="M5904">
        <v>-1.140423E-2</v>
      </c>
      <c r="N5904">
        <v>0</v>
      </c>
      <c r="O5904">
        <v>-0.99989459999999997</v>
      </c>
      <c r="P5904">
        <v>0.31075580000000003</v>
      </c>
      <c r="Q5904">
        <v>0.1508138</v>
      </c>
      <c r="R5904">
        <v>-0.93844910000000004</v>
      </c>
      <c r="S5904">
        <v>1.6414489999999999</v>
      </c>
      <c r="T5904">
        <v>-0.11262750000000001</v>
      </c>
      <c r="U5904">
        <v>-2.6787719999999999</v>
      </c>
      <c r="V5904">
        <v>-0.32377299999999998</v>
      </c>
      <c r="W5904">
        <v>0.15441359999999901</v>
      </c>
      <c r="X5904">
        <v>0.93344919999999998</v>
      </c>
      <c r="Y5904">
        <v>-0.5318309</v>
      </c>
      <c r="Z5904">
        <v>3.5706359999999999E-2</v>
      </c>
      <c r="AA5904">
        <v>0.84609749999999995</v>
      </c>
      <c r="AB5904">
        <v>42</v>
      </c>
      <c r="AC5904">
        <v>16.2606999999999</v>
      </c>
      <c r="AD5904">
        <v>-1.1154276236689999</v>
      </c>
      <c r="AE5904">
        <v>-26.116989999999898</v>
      </c>
      <c r="AF5904">
        <v>-16.5357624940679</v>
      </c>
      <c r="AG5904">
        <v>-1.1154276236689999</v>
      </c>
      <c r="AH5904">
        <v>25.8958033305654</v>
      </c>
      <c r="AI5904">
        <v>92.079130788143104</v>
      </c>
      <c r="AJ5904">
        <v>122.56026207423299</v>
      </c>
      <c r="AK5904">
        <v>30.7452150777839</v>
      </c>
      <c r="AL5904">
        <v>81.1172110920226</v>
      </c>
      <c r="AM5904">
        <v>109.129439761239</v>
      </c>
      <c r="AN5904">
        <v>0.99999996218729903</v>
      </c>
    </row>
    <row r="5905" spans="1:40" x14ac:dyDescent="0.25">
      <c r="A5905" t="str">
        <f>"20190312164144064"</f>
        <v>20190312164144064</v>
      </c>
      <c r="B5905" t="str">
        <f>"1552380104052392"</f>
        <v>1552380104052392</v>
      </c>
      <c r="C5905" t="s">
        <v>40</v>
      </c>
      <c r="D5905">
        <v>6.1131830000000003</v>
      </c>
      <c r="E5905">
        <v>0.4101205</v>
      </c>
      <c r="F5905" t="s">
        <v>51</v>
      </c>
      <c r="G5905">
        <v>-285.3929</v>
      </c>
      <c r="H5905" s="1">
        <v>-3.9746169999999999E-6</v>
      </c>
      <c r="I5905">
        <v>-58.356940000000002</v>
      </c>
      <c r="J5905">
        <v>-303.1114</v>
      </c>
      <c r="K5905">
        <v>1.115362</v>
      </c>
      <c r="L5905">
        <v>-30.510529999999999</v>
      </c>
      <c r="M5905">
        <v>-6.4422050000000003E-3</v>
      </c>
      <c r="N5905">
        <v>0</v>
      </c>
      <c r="O5905">
        <v>-0.99993869999999896</v>
      </c>
      <c r="P5905">
        <v>0.32108330000000002</v>
      </c>
      <c r="Q5905">
        <v>0.15254589999999901</v>
      </c>
      <c r="R5905">
        <v>-0.93468470000000003</v>
      </c>
      <c r="S5905">
        <v>1.6682429999999999</v>
      </c>
      <c r="T5905">
        <v>-0.10502789999999999</v>
      </c>
      <c r="U5905">
        <v>-2.6612239999999998</v>
      </c>
      <c r="V5905">
        <v>-0.32942850000000001</v>
      </c>
      <c r="W5905">
        <v>0.15613009999999999</v>
      </c>
      <c r="X5905">
        <v>0.93118219999999996</v>
      </c>
      <c r="Y5905">
        <v>-0.53628989999999999</v>
      </c>
      <c r="Z5905">
        <v>3.3356950000000003E-2</v>
      </c>
      <c r="AA5905">
        <v>0.84337439999999997</v>
      </c>
      <c r="AB5905">
        <v>43</v>
      </c>
      <c r="AC5905">
        <v>17.718499999999999</v>
      </c>
      <c r="AD5905">
        <v>-1.1153659746169999</v>
      </c>
      <c r="AE5905">
        <v>-27.846409999999999</v>
      </c>
      <c r="AF5905">
        <v>-17.877116453813599</v>
      </c>
      <c r="AG5905">
        <v>-1.1153659746169999</v>
      </c>
      <c r="AH5905">
        <v>27.700048239449501</v>
      </c>
      <c r="AI5905">
        <v>91.937683398931</v>
      </c>
      <c r="AJ5905">
        <v>122.83747575168999</v>
      </c>
      <c r="AK5905">
        <v>32.986785330316401</v>
      </c>
      <c r="AL5905">
        <v>81.017655934376606</v>
      </c>
      <c r="AM5905">
        <v>109.482479920152</v>
      </c>
      <c r="AN5905">
        <v>1.0000000171675401</v>
      </c>
    </row>
    <row r="5906" spans="1:40" x14ac:dyDescent="0.25">
      <c r="A5906" t="str">
        <f>"20190312164144086"</f>
        <v>20190312164144086</v>
      </c>
      <c r="B5906" t="str">
        <f>"1552380104081672"</f>
        <v>1552380104081672</v>
      </c>
      <c r="C5906" t="s">
        <v>40</v>
      </c>
      <c r="D5906">
        <v>6.1000560000000004</v>
      </c>
      <c r="E5906">
        <v>0.41157139999999998</v>
      </c>
      <c r="F5906" t="s">
        <v>51</v>
      </c>
      <c r="G5906">
        <v>-284.87169999999998</v>
      </c>
      <c r="H5906" s="1">
        <v>-4.109538E-6</v>
      </c>
      <c r="I5906">
        <v>-59.054099999999998</v>
      </c>
      <c r="J5906">
        <v>-303.11059999999998</v>
      </c>
      <c r="K5906">
        <v>1.115299</v>
      </c>
      <c r="L5906">
        <v>-30.93723</v>
      </c>
      <c r="M5906">
        <v>-1.4118749999999999E-3</v>
      </c>
      <c r="N5906">
        <v>0</v>
      </c>
      <c r="O5906">
        <v>-0.99995800000000001</v>
      </c>
      <c r="P5906">
        <v>0.33142640000000001</v>
      </c>
      <c r="Q5906">
        <v>0.15585079999999901</v>
      </c>
      <c r="R5906">
        <v>-0.93051980000000001</v>
      </c>
      <c r="S5906">
        <v>1.6906429999999999</v>
      </c>
      <c r="T5906">
        <v>-0.103384</v>
      </c>
      <c r="U5906">
        <v>-2.645721</v>
      </c>
      <c r="V5906">
        <v>-0.33508840000000001</v>
      </c>
      <c r="W5906">
        <v>0.1594149</v>
      </c>
      <c r="X5906">
        <v>0.9286025</v>
      </c>
      <c r="Y5906">
        <v>-0.5393597</v>
      </c>
      <c r="Z5906">
        <v>3.2895849999999997E-2</v>
      </c>
      <c r="AA5906">
        <v>0.84143269999999903</v>
      </c>
      <c r="AB5906">
        <v>43</v>
      </c>
      <c r="AC5906">
        <v>18.238900000000001</v>
      </c>
      <c r="AD5906">
        <v>-1.1153031095379999</v>
      </c>
      <c r="AE5906">
        <v>-28.116869999999999</v>
      </c>
      <c r="AF5906">
        <v>-18.258360802843502</v>
      </c>
      <c r="AG5906">
        <v>-1.1153031095379999</v>
      </c>
      <c r="AH5906">
        <v>28.060014916496801</v>
      </c>
      <c r="AI5906">
        <v>91.908112724838603</v>
      </c>
      <c r="AJ5906">
        <v>123.051635991083</v>
      </c>
      <c r="AK5906">
        <v>33.495911352685802</v>
      </c>
      <c r="AL5906">
        <v>80.827063197518001</v>
      </c>
      <c r="AM5906">
        <v>109.842097968462</v>
      </c>
      <c r="AN5906">
        <v>0.99999997458140899</v>
      </c>
    </row>
    <row r="5907" spans="1:40" x14ac:dyDescent="0.25">
      <c r="A5907" t="str">
        <f>"20190312164144109"</f>
        <v>20190312164144109</v>
      </c>
      <c r="B5907" t="str">
        <f>"1552380104102168"</f>
        <v>1552380104102168</v>
      </c>
      <c r="C5907" t="s">
        <v>40</v>
      </c>
      <c r="D5907">
        <v>6.0985100000000001</v>
      </c>
      <c r="E5907">
        <v>0.412607</v>
      </c>
      <c r="F5907" t="s">
        <v>42</v>
      </c>
      <c r="G5907">
        <v>-302.512</v>
      </c>
      <c r="H5907">
        <v>1.080824</v>
      </c>
      <c r="I5907">
        <v>-31.859020000000001</v>
      </c>
      <c r="J5907">
        <v>-303.10750000000002</v>
      </c>
      <c r="K5907">
        <v>1.115235</v>
      </c>
      <c r="L5907">
        <v>-31.380310000000001</v>
      </c>
      <c r="M5907">
        <v>3.7424749999999999E-3</v>
      </c>
      <c r="N5907">
        <v>0</v>
      </c>
      <c r="O5907">
        <v>-0.99995199999999995</v>
      </c>
      <c r="P5907">
        <v>0.3410608</v>
      </c>
      <c r="Q5907">
        <v>0.16011719999999999</v>
      </c>
      <c r="R5907">
        <v>-0.92630480000000004</v>
      </c>
      <c r="S5907">
        <v>1.7092290000000001</v>
      </c>
      <c r="T5907">
        <v>-9.8427529999999999E-2</v>
      </c>
      <c r="U5907">
        <v>-2.6317140000000001</v>
      </c>
      <c r="V5907">
        <v>-0.33996910000000002</v>
      </c>
      <c r="W5907">
        <v>0.1636773</v>
      </c>
      <c r="X5907">
        <v>0.92608360000000001</v>
      </c>
      <c r="Y5907">
        <v>-0.54126719999999995</v>
      </c>
      <c r="Z5907">
        <v>3.1384670000000003E-2</v>
      </c>
      <c r="AA5907">
        <v>0.84026469999999898</v>
      </c>
      <c r="AB5907">
        <v>43</v>
      </c>
      <c r="AC5907">
        <v>0.59550000000001502</v>
      </c>
      <c r="AD5907">
        <v>-3.44109999999999E-2</v>
      </c>
      <c r="AE5907">
        <v>-0.47871000000000302</v>
      </c>
      <c r="AF5907">
        <v>-0.59250239380815795</v>
      </c>
      <c r="AG5907">
        <v>-3.44109999999999E-2</v>
      </c>
      <c r="AH5907">
        <v>0.47996185219301402</v>
      </c>
      <c r="AI5907">
        <v>92.583922331733206</v>
      </c>
      <c r="AJ5907">
        <v>140.99048888923099</v>
      </c>
      <c r="AK5907">
        <v>0.76328669787305203</v>
      </c>
      <c r="AL5907">
        <v>80.579595631870106</v>
      </c>
      <c r="AM5907">
        <v>110.158393866</v>
      </c>
      <c r="AN5907">
        <v>1.00000004083952</v>
      </c>
    </row>
    <row r="5908" spans="1:40" x14ac:dyDescent="0.25">
      <c r="A5908" t="str">
        <f>"20190312164144132"</f>
        <v>20190312164144132</v>
      </c>
      <c r="B5908" t="str">
        <f>"1552380104121688"</f>
        <v>1552380104121688</v>
      </c>
      <c r="C5908" t="s">
        <v>40</v>
      </c>
      <c r="D5908">
        <v>6.383324</v>
      </c>
      <c r="E5908">
        <v>0.41382350000000001</v>
      </c>
      <c r="F5908" t="s">
        <v>51</v>
      </c>
      <c r="G5908">
        <v>-281.82530000000003</v>
      </c>
      <c r="H5908" s="1">
        <v>-6.7373379999999996E-6</v>
      </c>
      <c r="I5908">
        <v>-63.595640000000003</v>
      </c>
      <c r="J5908">
        <v>-303.10239999999999</v>
      </c>
      <c r="K5908">
        <v>1.1151610000000001</v>
      </c>
      <c r="L5908">
        <v>-31.821169999999999</v>
      </c>
      <c r="M5908">
        <v>8.7864009999999992E-3</v>
      </c>
      <c r="N5908">
        <v>0</v>
      </c>
      <c r="O5908">
        <v>-0.99992009999999998</v>
      </c>
      <c r="P5908">
        <v>0.35127000000000003</v>
      </c>
      <c r="Q5908">
        <v>0.16266359999999999</v>
      </c>
      <c r="R5908">
        <v>-0.92203610000000003</v>
      </c>
      <c r="S5908">
        <v>1.729279</v>
      </c>
      <c r="T5908">
        <v>-9.0618610000000002E-2</v>
      </c>
      <c r="U5908">
        <v>-2.617645</v>
      </c>
      <c r="V5908">
        <v>-0.34553349999999999</v>
      </c>
      <c r="W5908">
        <v>0.16621229999999901</v>
      </c>
      <c r="X5908">
        <v>0.92356919999999998</v>
      </c>
      <c r="Y5908">
        <v>-0.54362119999999903</v>
      </c>
      <c r="Z5908">
        <v>2.8946380000000001E-2</v>
      </c>
      <c r="AA5908">
        <v>0.8388314</v>
      </c>
      <c r="AB5908">
        <v>43</v>
      </c>
      <c r="AC5908">
        <v>21.277099999999901</v>
      </c>
      <c r="AD5908">
        <v>-1.115167737338</v>
      </c>
      <c r="AE5908">
        <v>-31.774470000000001</v>
      </c>
      <c r="AF5908">
        <v>-20.979242639147898</v>
      </c>
      <c r="AG5908">
        <v>-1.115167737338</v>
      </c>
      <c r="AH5908">
        <v>31.933043661257098</v>
      </c>
      <c r="AI5908">
        <v>91.671805497832395</v>
      </c>
      <c r="AJ5908">
        <v>123.30395260892701</v>
      </c>
      <c r="AK5908">
        <v>38.224226588204402</v>
      </c>
      <c r="AL5908">
        <v>80.432333301425402</v>
      </c>
      <c r="AM5908">
        <v>110.512252331581</v>
      </c>
      <c r="AN5908">
        <v>0.99999999774109005</v>
      </c>
    </row>
    <row r="5909" spans="1:40" x14ac:dyDescent="0.25">
      <c r="A5909" t="str">
        <f>"20190312164144152"</f>
        <v>20190312164144152</v>
      </c>
      <c r="B5909" t="str">
        <f>"1552380104142184"</f>
        <v>1552380104142184</v>
      </c>
      <c r="C5909" t="s">
        <v>40</v>
      </c>
      <c r="D5909">
        <v>6.0941109999999998</v>
      </c>
      <c r="E5909">
        <v>0.41484460000000001</v>
      </c>
      <c r="F5909" t="s">
        <v>51</v>
      </c>
      <c r="G5909">
        <v>-281.27760000000001</v>
      </c>
      <c r="H5909" s="1">
        <v>-6.8431499999999999E-6</v>
      </c>
      <c r="I5909">
        <v>-64.285179999999997</v>
      </c>
      <c r="J5909">
        <v>-303.096</v>
      </c>
      <c r="K5909">
        <v>1.1150819999999999</v>
      </c>
      <c r="L5909">
        <v>-32.213290000000001</v>
      </c>
      <c r="M5909">
        <v>1.319038E-2</v>
      </c>
      <c r="N5909">
        <v>0</v>
      </c>
      <c r="O5909">
        <v>-0.99987150000000002</v>
      </c>
      <c r="P5909">
        <v>0.35996270000000002</v>
      </c>
      <c r="Q5909">
        <v>0.1631811</v>
      </c>
      <c r="R5909">
        <v>-0.91858510000000004</v>
      </c>
      <c r="S5909">
        <v>1.74981699999999</v>
      </c>
      <c r="T5909">
        <v>-8.9408989999999994E-2</v>
      </c>
      <c r="U5909">
        <v>-2.602814</v>
      </c>
      <c r="V5909">
        <v>-0.35016659999999999</v>
      </c>
      <c r="W5909">
        <v>0.1667295</v>
      </c>
      <c r="X5909">
        <v>0.92172909999999997</v>
      </c>
      <c r="Y5909">
        <v>-0.54669699999999999</v>
      </c>
      <c r="Z5909">
        <v>2.8605439999999999E-2</v>
      </c>
      <c r="AA5909">
        <v>0.83684179999999997</v>
      </c>
      <c r="AB5909">
        <v>43</v>
      </c>
      <c r="AC5909">
        <v>21.8184</v>
      </c>
      <c r="AD5909">
        <v>-1.1150888431499999</v>
      </c>
      <c r="AE5909">
        <v>-32.071890000000003</v>
      </c>
      <c r="AF5909">
        <v>-21.375779057217802</v>
      </c>
      <c r="AG5909">
        <v>-1.1150888431499999</v>
      </c>
      <c r="AH5909">
        <v>32.330187277965997</v>
      </c>
      <c r="AI5909">
        <v>91.647985952997502</v>
      </c>
      <c r="AJ5909">
        <v>123.47151749730899</v>
      </c>
      <c r="AK5909">
        <v>38.773810270071003</v>
      </c>
      <c r="AL5909">
        <v>80.4022801540129</v>
      </c>
      <c r="AM5909">
        <v>110.801877380823</v>
      </c>
      <c r="AN5909">
        <v>0.99999995385630902</v>
      </c>
    </row>
    <row r="5910" spans="1:40" x14ac:dyDescent="0.25">
      <c r="A5910" t="str">
        <f>"20190312164144176"</f>
        <v>20190312164144176</v>
      </c>
      <c r="B5910" t="str">
        <f>"1552380104172440"</f>
        <v>1552380104172440</v>
      </c>
      <c r="C5910" t="s">
        <v>40</v>
      </c>
      <c r="D5910">
        <v>6.176482</v>
      </c>
      <c r="E5910">
        <v>0.41643520000000001</v>
      </c>
      <c r="F5910" t="s">
        <v>51</v>
      </c>
      <c r="G5910">
        <v>-280.98169999999999</v>
      </c>
      <c r="H5910" s="1">
        <v>-6.9060270000000001E-6</v>
      </c>
      <c r="I5910">
        <v>-64.606669999999994</v>
      </c>
      <c r="J5910">
        <v>-303.08699999999999</v>
      </c>
      <c r="K5910">
        <v>1.1149770000000001</v>
      </c>
      <c r="L5910">
        <v>-32.654629999999997</v>
      </c>
      <c r="M5910">
        <v>1.8053799999999998E-2</v>
      </c>
      <c r="N5910">
        <v>0</v>
      </c>
      <c r="O5910">
        <v>-0.99979549999999995</v>
      </c>
      <c r="P5910">
        <v>0.36790349999999999</v>
      </c>
      <c r="Q5910">
        <v>0.16321289999999999</v>
      </c>
      <c r="R5910">
        <v>-0.91542809999999997</v>
      </c>
      <c r="S5910">
        <v>1.76751699999999</v>
      </c>
      <c r="T5910">
        <v>-8.9124919999999996E-2</v>
      </c>
      <c r="U5910">
        <v>-2.5890810000000002</v>
      </c>
      <c r="V5910">
        <v>-0.35362909999999997</v>
      </c>
      <c r="W5910">
        <v>0.1667901</v>
      </c>
      <c r="X5910">
        <v>0.92039530000000003</v>
      </c>
      <c r="Y5910">
        <v>-0.54859069999999899</v>
      </c>
      <c r="Z5910">
        <v>2.856734E-2</v>
      </c>
      <c r="AA5910">
        <v>0.83560290000000004</v>
      </c>
      <c r="AB5910">
        <v>43</v>
      </c>
      <c r="AC5910">
        <v>22.1053</v>
      </c>
      <c r="AD5910">
        <v>-1.1149839060269999</v>
      </c>
      <c r="AE5910">
        <v>-31.95204</v>
      </c>
      <c r="AF5910">
        <v>-21.507105376987401</v>
      </c>
      <c r="AG5910">
        <v>-1.1149839060269999</v>
      </c>
      <c r="AH5910">
        <v>32.319317078060898</v>
      </c>
      <c r="AI5910">
        <v>91.645135641626695</v>
      </c>
      <c r="AJ5910">
        <v>123.642044933251</v>
      </c>
      <c r="AK5910">
        <v>38.837314881435603</v>
      </c>
      <c r="AL5910">
        <v>80.398759100726096</v>
      </c>
      <c r="AM5910">
        <v>111.017492755205</v>
      </c>
      <c r="AN5910">
        <v>0.99999999304345499</v>
      </c>
    </row>
    <row r="5911" spans="1:40" x14ac:dyDescent="0.25">
      <c r="A5911" t="str">
        <f>"20190312164144198"</f>
        <v>20190312164144198</v>
      </c>
      <c r="B5911" t="str">
        <f>"1552380104191961"</f>
        <v>1552380104191961</v>
      </c>
      <c r="C5911" t="s">
        <v>40</v>
      </c>
      <c r="D5911">
        <v>6.1170400000000003</v>
      </c>
      <c r="E5911">
        <v>0.41749219999999998</v>
      </c>
      <c r="F5911" t="s">
        <v>51</v>
      </c>
      <c r="G5911">
        <v>-281.72890000000001</v>
      </c>
      <c r="H5911" s="1">
        <v>-6.770161E-6</v>
      </c>
      <c r="I5911">
        <v>-63.590899999999998</v>
      </c>
      <c r="J5911">
        <v>-303.0763</v>
      </c>
      <c r="K5911">
        <v>1.114887</v>
      </c>
      <c r="L5911">
        <v>-33.078919999999997</v>
      </c>
      <c r="M5911">
        <v>2.263221E-2</v>
      </c>
      <c r="N5911">
        <v>0</v>
      </c>
      <c r="O5911">
        <v>-0.99970230000000004</v>
      </c>
      <c r="P5911">
        <v>0.37499300000000002</v>
      </c>
      <c r="Q5911">
        <v>0.16247719999999999</v>
      </c>
      <c r="R5911">
        <v>-0.9126784</v>
      </c>
      <c r="S5911">
        <v>1.78005999999999</v>
      </c>
      <c r="T5911">
        <v>-9.2926739999999994E-2</v>
      </c>
      <c r="U5911">
        <v>-2.5783390000000002</v>
      </c>
      <c r="V5911">
        <v>-0.35650579999999998</v>
      </c>
      <c r="W5911">
        <v>0.16608249999999999</v>
      </c>
      <c r="X5911">
        <v>0.91941300000000004</v>
      </c>
      <c r="Y5911">
        <v>-0.54911949999999998</v>
      </c>
      <c r="Z5911">
        <v>2.9839629999999999E-2</v>
      </c>
      <c r="AA5911">
        <v>0.83521089999999998</v>
      </c>
      <c r="AB5911">
        <v>43</v>
      </c>
      <c r="AC5911">
        <v>21.3474</v>
      </c>
      <c r="AD5911">
        <v>-1.114893770161</v>
      </c>
      <c r="AE5911">
        <v>-30.511979999999902</v>
      </c>
      <c r="AF5911">
        <v>-20.632854712391499</v>
      </c>
      <c r="AG5911">
        <v>-1.114893770161</v>
      </c>
      <c r="AH5911">
        <v>30.9595716862815</v>
      </c>
      <c r="AI5911">
        <v>91.716426538302699</v>
      </c>
      <c r="AJ5911">
        <v>123.681277721046</v>
      </c>
      <c r="AK5911">
        <v>37.221670579104902</v>
      </c>
      <c r="AL5911">
        <v>80.439875365521701</v>
      </c>
      <c r="AM5911">
        <v>111.19398705200901</v>
      </c>
      <c r="AN5911">
        <v>1.0000000234044399</v>
      </c>
    </row>
    <row r="5912" spans="1:40" x14ac:dyDescent="0.25">
      <c r="A5912" t="str">
        <f>"20190312164144221"</f>
        <v>20190312164144221</v>
      </c>
      <c r="B5912" t="str">
        <f>"1552380104212457"</f>
        <v>1552380104212457</v>
      </c>
      <c r="C5912" t="s">
        <v>40</v>
      </c>
      <c r="D5912">
        <v>5.9731459999999998</v>
      </c>
      <c r="E5912">
        <v>0.41795840000000001</v>
      </c>
      <c r="F5912" t="s">
        <v>51</v>
      </c>
      <c r="G5912">
        <v>-282.82119999999998</v>
      </c>
      <c r="H5912" s="1">
        <v>-6.573635E-6</v>
      </c>
      <c r="I5912">
        <v>-62.087429999999998</v>
      </c>
      <c r="J5912">
        <v>-303.06360000000001</v>
      </c>
      <c r="K5912">
        <v>1.114795</v>
      </c>
      <c r="L5912">
        <v>-33.505369999999999</v>
      </c>
      <c r="M5912">
        <v>2.714283E-2</v>
      </c>
      <c r="N5912">
        <v>0</v>
      </c>
      <c r="O5912">
        <v>-0.99959030000000004</v>
      </c>
      <c r="P5912">
        <v>0.38223639999999998</v>
      </c>
      <c r="Q5912">
        <v>0.1615144</v>
      </c>
      <c r="R5912">
        <v>-0.90984030000000005</v>
      </c>
      <c r="S5912">
        <v>1.7930299999999999</v>
      </c>
      <c r="T5912">
        <v>-9.8693009999999998E-2</v>
      </c>
      <c r="U5912">
        <v>-2.5679020000000001</v>
      </c>
      <c r="V5912">
        <v>-0.35961650000000001</v>
      </c>
      <c r="W5912">
        <v>0.16513069999999999</v>
      </c>
      <c r="X5912">
        <v>0.91837239999999998</v>
      </c>
      <c r="Y5912">
        <v>-0.54974339999999999</v>
      </c>
      <c r="Z5912">
        <v>3.1740669999999999E-2</v>
      </c>
      <c r="AA5912">
        <v>0.83473039999999998</v>
      </c>
      <c r="AB5912">
        <v>43</v>
      </c>
      <c r="AC5912">
        <v>20.2424</v>
      </c>
      <c r="AD5912">
        <v>-1.1148015736350001</v>
      </c>
      <c r="AE5912">
        <v>-28.582059999999998</v>
      </c>
      <c r="AF5912">
        <v>-19.4394169337173</v>
      </c>
      <c r="AG5912">
        <v>-1.1148015736350001</v>
      </c>
      <c r="AH5912">
        <v>29.091514019548001</v>
      </c>
      <c r="AI5912">
        <v>91.824928520090893</v>
      </c>
      <c r="AJ5912">
        <v>123.75148237545</v>
      </c>
      <c r="AK5912">
        <v>35.006426570288902</v>
      </c>
      <c r="AL5912">
        <v>80.495173014086404</v>
      </c>
      <c r="AM5912">
        <v>111.384330242103</v>
      </c>
      <c r="AN5912">
        <v>1.00000002011824</v>
      </c>
    </row>
    <row r="5913" spans="1:40" x14ac:dyDescent="0.25">
      <c r="A5913" t="str">
        <f>"20190312164144242"</f>
        <v>20190312164144242</v>
      </c>
      <c r="B5913" t="str">
        <f>"1552380104231977"</f>
        <v>1552380104231977</v>
      </c>
      <c r="C5913" t="s">
        <v>40</v>
      </c>
      <c r="D5913">
        <v>6.0550790000000001</v>
      </c>
      <c r="E5913">
        <v>0.44333289999999997</v>
      </c>
      <c r="F5913" t="s">
        <v>51</v>
      </c>
      <c r="G5913">
        <v>-283.86470000000003</v>
      </c>
      <c r="H5913" s="1">
        <v>-6.39022799999999E-6</v>
      </c>
      <c r="I5913">
        <v>-60.612290000000002</v>
      </c>
      <c r="J5913">
        <v>-303.04930000000002</v>
      </c>
      <c r="K5913">
        <v>1.114708</v>
      </c>
      <c r="L5913">
        <v>-33.925080000000001</v>
      </c>
      <c r="M5913">
        <v>3.1513399999999997E-2</v>
      </c>
      <c r="N5913">
        <v>0</v>
      </c>
      <c r="O5913">
        <v>-0.99946210000000002</v>
      </c>
      <c r="P5913">
        <v>0.38837719999999998</v>
      </c>
      <c r="Q5913">
        <v>0.15910569999999999</v>
      </c>
      <c r="R5913">
        <v>-0.9076613</v>
      </c>
      <c r="S5913">
        <v>1.809998</v>
      </c>
      <c r="T5913">
        <v>-0.1050994</v>
      </c>
      <c r="U5913">
        <v>-2.555542</v>
      </c>
      <c r="V5913">
        <v>-0.36173640000000001</v>
      </c>
      <c r="W5913">
        <v>0.16273779999999999</v>
      </c>
      <c r="X5913">
        <v>0.91796679999999997</v>
      </c>
      <c r="Y5913">
        <v>-0.55164489999999999</v>
      </c>
      <c r="Z5913">
        <v>3.3843520000000002E-2</v>
      </c>
      <c r="AA5913">
        <v>0.83339219999999903</v>
      </c>
      <c r="AB5913">
        <v>43</v>
      </c>
      <c r="AC5913">
        <v>19.1845999999999</v>
      </c>
      <c r="AD5913">
        <v>-1.1147143902279999</v>
      </c>
      <c r="AE5913">
        <v>-26.687209999999901</v>
      </c>
      <c r="AF5913">
        <v>-18.312966516410601</v>
      </c>
      <c r="AG5913">
        <v>-1.1147143902279999</v>
      </c>
      <c r="AH5913">
        <v>27.247209346007001</v>
      </c>
      <c r="AI5913">
        <v>91.944712188679006</v>
      </c>
      <c r="AJ5913">
        <v>123.905217329382</v>
      </c>
      <c r="AK5913">
        <v>32.848405561732903</v>
      </c>
      <c r="AL5913">
        <v>80.634155538220895</v>
      </c>
      <c r="AM5913">
        <v>111.507545790432</v>
      </c>
      <c r="AN5913">
        <v>0.99999993026801703</v>
      </c>
    </row>
    <row r="5914" spans="1:40" x14ac:dyDescent="0.25">
      <c r="A5914" t="str">
        <f>"20190312164144265"</f>
        <v>20190312164144265</v>
      </c>
      <c r="B5914" t="str">
        <f>"1552380104262233"</f>
        <v>1552380104262233</v>
      </c>
      <c r="C5914" t="s">
        <v>40</v>
      </c>
      <c r="D5914">
        <v>6.0942160000000003</v>
      </c>
      <c r="E5914">
        <v>0.44412889999999999</v>
      </c>
      <c r="F5914" t="s">
        <v>42</v>
      </c>
      <c r="G5914">
        <v>-302.43810000000002</v>
      </c>
      <c r="H5914">
        <v>1.0611349999999999</v>
      </c>
      <c r="I5914">
        <v>-34.901870000000002</v>
      </c>
      <c r="J5914">
        <v>-303.03269999999998</v>
      </c>
      <c r="K5914">
        <v>1.114628</v>
      </c>
      <c r="L5914">
        <v>-34.356200000000001</v>
      </c>
      <c r="M5914">
        <v>3.5944909999999997E-2</v>
      </c>
      <c r="N5914">
        <v>0</v>
      </c>
      <c r="O5914">
        <v>-0.99931270000000005</v>
      </c>
      <c r="P5914">
        <v>0.39503359999999998</v>
      </c>
      <c r="Q5914">
        <v>0.15547529999999901</v>
      </c>
      <c r="R5914">
        <v>-0.90541479999999996</v>
      </c>
      <c r="S5914">
        <v>1.644196</v>
      </c>
      <c r="T5914">
        <v>-0.1440787</v>
      </c>
      <c r="U5914">
        <v>-2.6269230000000001</v>
      </c>
      <c r="V5914">
        <v>-0.36431649999999999</v>
      </c>
      <c r="W5914">
        <v>0.159107</v>
      </c>
      <c r="X5914">
        <v>0.91758289999999998</v>
      </c>
      <c r="Y5914">
        <v>-0.49915480000000001</v>
      </c>
      <c r="Z5914">
        <v>4.6857889999999999E-2</v>
      </c>
      <c r="AA5914">
        <v>0.86524500000000004</v>
      </c>
      <c r="AB5914">
        <v>43</v>
      </c>
      <c r="AC5914">
        <v>0.59459999999995705</v>
      </c>
      <c r="AD5914">
        <v>-5.34930000000002E-2</v>
      </c>
      <c r="AE5914">
        <v>-0.54567000000000099</v>
      </c>
      <c r="AF5914">
        <v>-0.57208739788806195</v>
      </c>
      <c r="AG5914">
        <v>-5.34930000000002E-2</v>
      </c>
      <c r="AH5914">
        <v>0.56421220490938595</v>
      </c>
      <c r="AI5914">
        <v>93.808824003833493</v>
      </c>
      <c r="AJ5914">
        <v>135.39708550039799</v>
      </c>
      <c r="AK5914">
        <v>0.80528312042414296</v>
      </c>
      <c r="AL5914">
        <v>80.844932547134803</v>
      </c>
      <c r="AM5914">
        <v>111.65502424885</v>
      </c>
      <c r="AN5914">
        <v>0.999999963996829</v>
      </c>
    </row>
    <row r="5915" spans="1:40" x14ac:dyDescent="0.25">
      <c r="A5915" t="str">
        <f>"20190312164144287"</f>
        <v>20190312164144287</v>
      </c>
      <c r="B5915" t="str">
        <f>"1552380104281753"</f>
        <v>1552380104281753</v>
      </c>
      <c r="C5915" t="s">
        <v>40</v>
      </c>
      <c r="D5915">
        <v>5.9828029999999996</v>
      </c>
      <c r="E5915">
        <v>0.44487330000000003</v>
      </c>
      <c r="F5915" t="s">
        <v>42</v>
      </c>
      <c r="G5915">
        <v>-302.44209999999998</v>
      </c>
      <c r="H5915">
        <v>1.0585389999999999</v>
      </c>
      <c r="I5915">
        <v>-35.289909999999999</v>
      </c>
      <c r="J5915">
        <v>-303.01389999999998</v>
      </c>
      <c r="K5915">
        <v>1.1145510000000001</v>
      </c>
      <c r="L5915">
        <v>-34.796779999999998</v>
      </c>
      <c r="M5915">
        <v>4.0427230000000001E-2</v>
      </c>
      <c r="N5915">
        <v>0</v>
      </c>
      <c r="O5915">
        <v>-0.99914190000000003</v>
      </c>
      <c r="P5915">
        <v>0.40204000000000001</v>
      </c>
      <c r="Q5915">
        <v>0.1520485</v>
      </c>
      <c r="R5915">
        <v>-0.90290959999999998</v>
      </c>
      <c r="S5915">
        <v>1.6561279999999901</v>
      </c>
      <c r="T5915">
        <v>-0.15725510000000001</v>
      </c>
      <c r="U5915">
        <v>-2.6178279999999998</v>
      </c>
      <c r="V5915">
        <v>-0.36722880000000002</v>
      </c>
      <c r="W5915">
        <v>0.15566050000000001</v>
      </c>
      <c r="X5915">
        <v>0.91701299999999997</v>
      </c>
      <c r="Y5915">
        <v>-0.49932870000000001</v>
      </c>
      <c r="Z5915">
        <v>5.1207139999999998E-2</v>
      </c>
      <c r="AA5915">
        <v>0.8648981</v>
      </c>
      <c r="AB5915">
        <v>43</v>
      </c>
      <c r="AC5915">
        <v>0.57179999999999598</v>
      </c>
      <c r="AD5915">
        <v>-5.6012000000000103E-2</v>
      </c>
      <c r="AE5915">
        <v>-0.49313000000000001</v>
      </c>
      <c r="AF5915">
        <v>-0.548378184693185</v>
      </c>
      <c r="AG5915">
        <v>-5.6012000000000103E-2</v>
      </c>
      <c r="AH5915">
        <v>0.51302098456423195</v>
      </c>
      <c r="AI5915">
        <v>94.265752591544498</v>
      </c>
      <c r="AJ5915">
        <v>136.90792452304601</v>
      </c>
      <c r="AK5915">
        <v>0.75302490542786604</v>
      </c>
      <c r="AL5915">
        <v>81.044895026960106</v>
      </c>
      <c r="AM5915">
        <v>111.824222145253</v>
      </c>
      <c r="AN5915">
        <v>1.00000001248934</v>
      </c>
    </row>
    <row r="5916" spans="1:40" x14ac:dyDescent="0.25">
      <c r="A5916" t="str">
        <f>"20190312164144310"</f>
        <v>20190312164144310</v>
      </c>
      <c r="B5916" t="str">
        <f>"1552380104302249"</f>
        <v>1552380104302249</v>
      </c>
      <c r="C5916" t="s">
        <v>40</v>
      </c>
      <c r="D5916">
        <v>6.1502169999999996</v>
      </c>
      <c r="E5916">
        <v>0.44537569999999999</v>
      </c>
      <c r="F5916" t="s">
        <v>42</v>
      </c>
      <c r="G5916">
        <v>-302.44920000000002</v>
      </c>
      <c r="H5916">
        <v>1.058384</v>
      </c>
      <c r="I5916">
        <v>-35.679870000000001</v>
      </c>
      <c r="J5916">
        <v>-302.9939</v>
      </c>
      <c r="K5916">
        <v>1.114482</v>
      </c>
      <c r="L5916">
        <v>-35.222349999999999</v>
      </c>
      <c r="M5916">
        <v>4.4722810000000002E-2</v>
      </c>
      <c r="N5916">
        <v>0</v>
      </c>
      <c r="O5916">
        <v>-0.99895889999999998</v>
      </c>
      <c r="P5916">
        <v>0.40756579999999998</v>
      </c>
      <c r="Q5916">
        <v>0.14837639999999999</v>
      </c>
      <c r="R5916">
        <v>-0.90104130000000004</v>
      </c>
      <c r="S5916">
        <v>1.6678770000000001</v>
      </c>
      <c r="T5916">
        <v>-0.1658702</v>
      </c>
      <c r="U5916">
        <v>-2.6078800000000002</v>
      </c>
      <c r="V5916">
        <v>-0.36881730000000001</v>
      </c>
      <c r="W5916">
        <v>0.1519751</v>
      </c>
      <c r="X5916">
        <v>0.91699370000000002</v>
      </c>
      <c r="Y5916">
        <v>-0.4997839</v>
      </c>
      <c r="Z5916">
        <v>5.4093519999999999E-2</v>
      </c>
      <c r="AA5916">
        <v>0.86445930000000004</v>
      </c>
      <c r="AB5916">
        <v>43</v>
      </c>
      <c r="AC5916">
        <v>0.54469999999997698</v>
      </c>
      <c r="AD5916">
        <v>-5.6097999999999898E-2</v>
      </c>
      <c r="AE5916">
        <v>-0.45752000000000198</v>
      </c>
      <c r="AF5916">
        <v>-0.52045579295041</v>
      </c>
      <c r="AG5916">
        <v>-5.6097999999999898E-2</v>
      </c>
      <c r="AH5916">
        <v>0.47844818691043201</v>
      </c>
      <c r="AI5916">
        <v>94.536997288408301</v>
      </c>
      <c r="AJ5916">
        <v>137.408080487977</v>
      </c>
      <c r="AK5916">
        <v>0.70917831719358104</v>
      </c>
      <c r="AL5916">
        <v>81.258596462633307</v>
      </c>
      <c r="AM5916">
        <v>111.910122291275</v>
      </c>
      <c r="AN5916">
        <v>1.0000000388194901</v>
      </c>
    </row>
    <row r="5917" spans="1:40" x14ac:dyDescent="0.25">
      <c r="A5917" t="str">
        <f>"20190312164144334"</f>
        <v>20190312164144334</v>
      </c>
      <c r="B5917" t="str">
        <f>"1552380104321768"</f>
        <v>1552380104321768</v>
      </c>
      <c r="C5917" t="s">
        <v>40</v>
      </c>
      <c r="D5917">
        <v>6.1462669999999999</v>
      </c>
      <c r="E5917">
        <v>0.4452082</v>
      </c>
      <c r="F5917" t="s">
        <v>42</v>
      </c>
      <c r="G5917">
        <v>-302.44659999999999</v>
      </c>
      <c r="H5917">
        <v>1.0581149999999999</v>
      </c>
      <c r="I5917">
        <v>-36.068420000000003</v>
      </c>
      <c r="J5917">
        <v>-302.9701</v>
      </c>
      <c r="K5917">
        <v>1.1144160000000001</v>
      </c>
      <c r="L5917">
        <v>-35.685459999999999</v>
      </c>
      <c r="M5917">
        <v>4.9366670000000001E-2</v>
      </c>
      <c r="N5917">
        <v>0</v>
      </c>
      <c r="O5917">
        <v>-0.99874039999999997</v>
      </c>
      <c r="P5917">
        <v>0.41268840000000001</v>
      </c>
      <c r="Q5917">
        <v>0.14566279999999901</v>
      </c>
      <c r="R5917">
        <v>-0.89915009999999995</v>
      </c>
      <c r="S5917">
        <v>1.68054199999999</v>
      </c>
      <c r="T5917">
        <v>-0.17307169999999999</v>
      </c>
      <c r="U5917">
        <v>-2.597839</v>
      </c>
      <c r="V5917">
        <v>-0.36970510000000001</v>
      </c>
      <c r="W5917">
        <v>0.14924470000000001</v>
      </c>
      <c r="X5917">
        <v>0.91708460000000003</v>
      </c>
      <c r="Y5917">
        <v>-0.50017889999999998</v>
      </c>
      <c r="Z5917">
        <v>5.6521960000000003E-2</v>
      </c>
      <c r="AA5917">
        <v>0.86407540000000005</v>
      </c>
      <c r="AB5917">
        <v>43</v>
      </c>
      <c r="AC5917">
        <v>0.52350000000001196</v>
      </c>
      <c r="AD5917">
        <v>-5.6301000000000101E-2</v>
      </c>
      <c r="AE5917">
        <v>-0.38296000000000402</v>
      </c>
      <c r="AF5917">
        <v>-0.50018682717947205</v>
      </c>
      <c r="AG5917">
        <v>-5.6301000000000101E-2</v>
      </c>
      <c r="AH5917">
        <v>0.405283948564235</v>
      </c>
      <c r="AI5917">
        <v>94.998081460077699</v>
      </c>
      <c r="AJ5917">
        <v>140.983355706976</v>
      </c>
      <c r="AK5917">
        <v>0.64622886321231798</v>
      </c>
      <c r="AL5917">
        <v>81.416841655309895</v>
      </c>
      <c r="AM5917">
        <v>111.95588444838199</v>
      </c>
      <c r="AN5917">
        <v>1.0000000025006299</v>
      </c>
    </row>
    <row r="5918" spans="1:40" x14ac:dyDescent="0.25">
      <c r="A5918" t="str">
        <f>"20190312164144354"</f>
        <v>20190312164144354</v>
      </c>
      <c r="B5918" t="str">
        <f>"1552380104352024"</f>
        <v>1552380104352024</v>
      </c>
      <c r="C5918" t="s">
        <v>40</v>
      </c>
      <c r="D5918">
        <v>7.2613380000000003</v>
      </c>
      <c r="E5918">
        <v>0.47583579999999998</v>
      </c>
      <c r="F5918" t="s">
        <v>42</v>
      </c>
      <c r="G5918">
        <v>-302.46030000000002</v>
      </c>
      <c r="H5918">
        <v>1.061102</v>
      </c>
      <c r="I5918">
        <v>-36.462440000000001</v>
      </c>
      <c r="J5918">
        <v>-302.94760000000002</v>
      </c>
      <c r="K5918">
        <v>1.1143689999999999</v>
      </c>
      <c r="L5918">
        <v>-36.087739999999997</v>
      </c>
      <c r="M5918">
        <v>5.3390260000000002E-2</v>
      </c>
      <c r="N5918">
        <v>0</v>
      </c>
      <c r="O5918">
        <v>-0.99853400000000003</v>
      </c>
      <c r="P5918">
        <v>0.416294</v>
      </c>
      <c r="Q5918">
        <v>0.1429579</v>
      </c>
      <c r="R5918">
        <v>-0.89792129999999903</v>
      </c>
      <c r="S5918">
        <v>1.6976929999999999</v>
      </c>
      <c r="T5918">
        <v>-0.1774511</v>
      </c>
      <c r="U5918">
        <v>-2.5860599999999998</v>
      </c>
      <c r="V5918">
        <v>-0.3696238</v>
      </c>
      <c r="W5918">
        <v>0.1465265</v>
      </c>
      <c r="X5918">
        <v>0.91755560000000003</v>
      </c>
      <c r="Y5918">
        <v>-0.50245340000000005</v>
      </c>
      <c r="Z5918">
        <v>5.8011359999999998E-2</v>
      </c>
      <c r="AA5918">
        <v>0.86265590000000003</v>
      </c>
      <c r="AB5918">
        <v>43</v>
      </c>
      <c r="AC5918">
        <v>0.48730000000000401</v>
      </c>
      <c r="AD5918">
        <v>-5.3266999999999898E-2</v>
      </c>
      <c r="AE5918">
        <v>-0.37469999999999698</v>
      </c>
      <c r="AF5918">
        <v>-0.46312120395836498</v>
      </c>
      <c r="AG5918">
        <v>-5.3266999999999898E-2</v>
      </c>
      <c r="AH5918">
        <v>0.39720104185947902</v>
      </c>
      <c r="AI5918">
        <v>94.989577386840594</v>
      </c>
      <c r="AJ5918">
        <v>139.381592476832</v>
      </c>
      <c r="AK5918">
        <v>0.61244370394273895</v>
      </c>
      <c r="AL5918">
        <v>81.574314774592906</v>
      </c>
      <c r="AM5918">
        <v>111.94131693478801</v>
      </c>
      <c r="AN5918">
        <v>1.00000002391002</v>
      </c>
    </row>
    <row r="5919" spans="1:40" x14ac:dyDescent="0.25">
      <c r="A5919" t="str">
        <f>"20190312164144377"</f>
        <v>20190312164144377</v>
      </c>
      <c r="B5919" t="str">
        <f>"1552380104371545"</f>
        <v>1552380104371545</v>
      </c>
      <c r="C5919" t="s">
        <v>40</v>
      </c>
      <c r="D5919">
        <v>6.1060860000000003</v>
      </c>
      <c r="E5919">
        <v>0.49168070000000003</v>
      </c>
      <c r="F5919" t="s">
        <v>51</v>
      </c>
      <c r="G5919">
        <v>-291.97190000000001</v>
      </c>
      <c r="H5919" s="1">
        <v>-9.5141159999999997E-6</v>
      </c>
      <c r="I5919">
        <v>-55.895150000000001</v>
      </c>
      <c r="J5919">
        <v>-302.9221</v>
      </c>
      <c r="K5919">
        <v>1.1143419999999999</v>
      </c>
      <c r="L5919">
        <v>-36.515590000000003</v>
      </c>
      <c r="M5919">
        <v>5.7699309999999997E-2</v>
      </c>
      <c r="N5919">
        <v>0</v>
      </c>
      <c r="O5919">
        <v>-0.99829480000000004</v>
      </c>
      <c r="P5919">
        <v>0.41894629999999999</v>
      </c>
      <c r="Q5919">
        <v>0.14099829999999999</v>
      </c>
      <c r="R5919">
        <v>-0.8969975</v>
      </c>
      <c r="S5919">
        <v>1.4835210000000001</v>
      </c>
      <c r="T5919">
        <v>-0.1506237</v>
      </c>
      <c r="U5919">
        <v>-2.6772459999999998</v>
      </c>
      <c r="V5919">
        <v>-0.36832900000000002</v>
      </c>
      <c r="W5919">
        <v>0.14454979999999901</v>
      </c>
      <c r="X5919">
        <v>0.91838940000000002</v>
      </c>
      <c r="Y5919">
        <v>-0.43280879999999999</v>
      </c>
      <c r="Z5919">
        <v>4.9715349999999998E-2</v>
      </c>
      <c r="AA5919">
        <v>0.90011379999999996</v>
      </c>
      <c r="AB5919">
        <v>43</v>
      </c>
      <c r="AC5919">
        <v>10.950199999999899</v>
      </c>
      <c r="AD5919">
        <v>-1.1143515141160001</v>
      </c>
      <c r="AE5919">
        <v>-19.379560000000001</v>
      </c>
      <c r="AF5919">
        <v>-9.7891905051710495</v>
      </c>
      <c r="AG5919">
        <v>-1.1143515141160001</v>
      </c>
      <c r="AH5919">
        <v>19.929167619256301</v>
      </c>
      <c r="AI5919">
        <v>92.873142410350994</v>
      </c>
      <c r="AJ5919">
        <v>116.16023225697199</v>
      </c>
      <c r="AK5919">
        <v>22.231548574940899</v>
      </c>
      <c r="AL5919">
        <v>81.688789965771605</v>
      </c>
      <c r="AM5919">
        <v>111.853733245526</v>
      </c>
      <c r="AN5919">
        <v>0.99999999347669999</v>
      </c>
    </row>
    <row r="5920" spans="1:40" x14ac:dyDescent="0.25">
      <c r="A5920" t="str">
        <f>"20190312164144399"</f>
        <v>20190312164144399</v>
      </c>
      <c r="B5920" t="str">
        <f>"1552380104392042"</f>
        <v>1552380104392042</v>
      </c>
      <c r="C5920" t="s">
        <v>40</v>
      </c>
      <c r="D5920">
        <v>6.0746370000000001</v>
      </c>
      <c r="E5920">
        <v>0.49743520000000002</v>
      </c>
      <c r="F5920" t="s">
        <v>51</v>
      </c>
      <c r="G5920">
        <v>-291.5446</v>
      </c>
      <c r="H5920" s="1">
        <v>-9.3533739999999998E-6</v>
      </c>
      <c r="I5920">
        <v>-59.059640000000002</v>
      </c>
      <c r="J5920">
        <v>-302.89389999999997</v>
      </c>
      <c r="K5920">
        <v>1.1143689999999999</v>
      </c>
      <c r="L5920">
        <v>-36.951230000000002</v>
      </c>
      <c r="M5920">
        <v>6.218448E-2</v>
      </c>
      <c r="N5920">
        <v>0</v>
      </c>
      <c r="O5920">
        <v>-0.99802570000000002</v>
      </c>
      <c r="P5920">
        <v>0.42135339999999999</v>
      </c>
      <c r="Q5920">
        <v>0.140836299999999</v>
      </c>
      <c r="R5920">
        <v>-0.89589459999999999</v>
      </c>
      <c r="S5920">
        <v>1.374573</v>
      </c>
      <c r="T5920">
        <v>-0.13463059999999999</v>
      </c>
      <c r="U5920">
        <v>-2.7236630000000002</v>
      </c>
      <c r="V5920">
        <v>-0.36667519999999998</v>
      </c>
      <c r="W5920">
        <v>0.14433940000000001</v>
      </c>
      <c r="X5920">
        <v>0.91908409999999996</v>
      </c>
      <c r="Y5920">
        <v>-0.39371590000000001</v>
      </c>
      <c r="Z5920">
        <v>4.4563199999999997E-2</v>
      </c>
      <c r="AA5920">
        <v>0.9181513</v>
      </c>
      <c r="AB5920">
        <v>44</v>
      </c>
      <c r="AC5920">
        <v>11.3492999999999</v>
      </c>
      <c r="AD5920">
        <v>-1.1143783533739999</v>
      </c>
      <c r="AE5920">
        <v>-22.108409999999999</v>
      </c>
      <c r="AF5920">
        <v>-9.9325080554343206</v>
      </c>
      <c r="AG5920">
        <v>-1.1143783533739999</v>
      </c>
      <c r="AH5920">
        <v>22.7257008672571</v>
      </c>
      <c r="AI5920">
        <v>92.572682089032199</v>
      </c>
      <c r="AJ5920">
        <v>113.608242338236</v>
      </c>
      <c r="AK5920">
        <v>24.826478511737999</v>
      </c>
      <c r="AL5920">
        <v>81.700973431343101</v>
      </c>
      <c r="AM5920">
        <v>111.749883015104</v>
      </c>
      <c r="AN5920">
        <v>1.0000000737801</v>
      </c>
    </row>
    <row r="5921" spans="1:40" x14ac:dyDescent="0.25">
      <c r="A5921" t="str">
        <f>"20190312164144421"</f>
        <v>20190312164144421</v>
      </c>
      <c r="B5921" t="str">
        <f>"1552380104411560"</f>
        <v>1552380104411560</v>
      </c>
      <c r="C5921" t="s">
        <v>40</v>
      </c>
      <c r="D5921">
        <v>6.0430419999999998</v>
      </c>
      <c r="E5921">
        <v>0.50153270000000005</v>
      </c>
      <c r="F5921" t="s">
        <v>42</v>
      </c>
      <c r="G5921">
        <v>-302.37549999999999</v>
      </c>
      <c r="H5921">
        <v>1.069059</v>
      </c>
      <c r="I5921">
        <v>-38.011229999999998</v>
      </c>
      <c r="J5921">
        <v>-302.86470000000003</v>
      </c>
      <c r="K5921">
        <v>1.1144609999999999</v>
      </c>
      <c r="L5921">
        <v>-37.374389999999998</v>
      </c>
      <c r="M5921">
        <v>6.66963E-2</v>
      </c>
      <c r="N5921">
        <v>0</v>
      </c>
      <c r="O5921">
        <v>-0.99773469999999997</v>
      </c>
      <c r="P5921">
        <v>0.42375849999999998</v>
      </c>
      <c r="Q5921">
        <v>0.142477399999999</v>
      </c>
      <c r="R5921">
        <v>-0.8944995</v>
      </c>
      <c r="S5921">
        <v>1.338959</v>
      </c>
      <c r="T5921">
        <v>-0.1170046</v>
      </c>
      <c r="U5921">
        <v>-2.7372740000000002</v>
      </c>
      <c r="V5921">
        <v>-0.36505589999999999</v>
      </c>
      <c r="W5921">
        <v>0.14589160000000001</v>
      </c>
      <c r="X5921">
        <v>0.91948350000000001</v>
      </c>
      <c r="Y5921">
        <v>-0.37818200000000002</v>
      </c>
      <c r="Z5921">
        <v>3.8786460000000002E-2</v>
      </c>
      <c r="AA5921">
        <v>0.92491840000000003</v>
      </c>
      <c r="AB5921">
        <v>44</v>
      </c>
      <c r="AC5921">
        <v>0.48920000000003899</v>
      </c>
      <c r="AD5921">
        <v>-4.5402000000000102E-2</v>
      </c>
      <c r="AE5921">
        <v>-0.63683999999999197</v>
      </c>
      <c r="AF5921">
        <v>-0.44421420208182799</v>
      </c>
      <c r="AG5921">
        <v>-4.5402000000000102E-2</v>
      </c>
      <c r="AH5921">
        <v>0.66592234394364302</v>
      </c>
      <c r="AI5921">
        <v>93.246224043663403</v>
      </c>
      <c r="AJ5921">
        <v>123.70590753202499</v>
      </c>
      <c r="AK5921">
        <v>0.80177313942198802</v>
      </c>
      <c r="AL5921">
        <v>81.611087148305899</v>
      </c>
      <c r="AM5921">
        <v>111.654205367443</v>
      </c>
      <c r="AN5921">
        <v>1.0000000379238001</v>
      </c>
    </row>
    <row r="5922" spans="1:40" x14ac:dyDescent="0.25">
      <c r="A5922" t="str">
        <f>"20190312164144443"</f>
        <v>20190312164144443</v>
      </c>
      <c r="B5922" t="str">
        <f>"1552380104432057"</f>
        <v>1552380104432057</v>
      </c>
      <c r="C5922" t="s">
        <v>40</v>
      </c>
      <c r="D5922">
        <v>6.0420170000000004</v>
      </c>
      <c r="E5922">
        <v>0.50325209999999998</v>
      </c>
      <c r="F5922" t="s">
        <v>42</v>
      </c>
      <c r="G5922">
        <v>-302.36709999999999</v>
      </c>
      <c r="H5922">
        <v>1.071636</v>
      </c>
      <c r="I5922">
        <v>-38.411099999999998</v>
      </c>
      <c r="J5922">
        <v>-302.83240000000001</v>
      </c>
      <c r="K5922">
        <v>1.1145989999999999</v>
      </c>
      <c r="L5922">
        <v>-37.808810000000001</v>
      </c>
      <c r="M5922">
        <v>7.1486750000000002E-2</v>
      </c>
      <c r="N5922">
        <v>0</v>
      </c>
      <c r="O5922">
        <v>-0.99740320000000005</v>
      </c>
      <c r="P5922">
        <v>0.42653679999999999</v>
      </c>
      <c r="Q5922">
        <v>0.14454610000000001</v>
      </c>
      <c r="R5922">
        <v>-0.89284569999999996</v>
      </c>
      <c r="S5922">
        <v>1.318176</v>
      </c>
      <c r="T5922">
        <v>-0.1134944</v>
      </c>
      <c r="U5922">
        <v>-2.7474059999999998</v>
      </c>
      <c r="V5922">
        <v>-0.36359190000000002</v>
      </c>
      <c r="W5922">
        <v>0.14784430000000001</v>
      </c>
      <c r="X5922">
        <v>0.9197516</v>
      </c>
      <c r="Y5922">
        <v>-0.36670970000000003</v>
      </c>
      <c r="Z5922">
        <v>3.7629370000000002E-2</v>
      </c>
      <c r="AA5922">
        <v>0.92957409999999996</v>
      </c>
      <c r="AB5922">
        <v>44</v>
      </c>
      <c r="AC5922">
        <v>0.46530000000001298</v>
      </c>
      <c r="AD5922">
        <v>-4.29629999999998E-2</v>
      </c>
      <c r="AE5922">
        <v>-0.602289999999996</v>
      </c>
      <c r="AF5922">
        <v>-0.41971462794162201</v>
      </c>
      <c r="AG5922">
        <v>-4.29629999999998E-2</v>
      </c>
      <c r="AH5922">
        <v>0.63199912740749498</v>
      </c>
      <c r="AI5922">
        <v>93.241153163879602</v>
      </c>
      <c r="AJ5922">
        <v>123.58838880644301</v>
      </c>
      <c r="AK5922">
        <v>0.75988754781283896</v>
      </c>
      <c r="AL5922">
        <v>81.497978862154099</v>
      </c>
      <c r="AM5922">
        <v>111.56964646694099</v>
      </c>
      <c r="AN5922">
        <v>1.00000000624533</v>
      </c>
    </row>
    <row r="5923" spans="1:40" x14ac:dyDescent="0.25">
      <c r="A5923" t="str">
        <f>"20190312164144466"</f>
        <v>20190312164144466</v>
      </c>
      <c r="B5923" t="str">
        <f>"1552380104462313"</f>
        <v>1552380104462313</v>
      </c>
      <c r="C5923" t="s">
        <v>40</v>
      </c>
      <c r="D5923">
        <v>6.0420740000000004</v>
      </c>
      <c r="E5923">
        <v>0.50462149999999995</v>
      </c>
      <c r="F5923" t="s">
        <v>51</v>
      </c>
      <c r="G5923">
        <v>-290.37009999999998</v>
      </c>
      <c r="H5923" s="1">
        <v>-1.0584269999999999E-5</v>
      </c>
      <c r="I5923">
        <v>-63.821620000000003</v>
      </c>
      <c r="J5923">
        <v>-302.79770000000002</v>
      </c>
      <c r="K5923">
        <v>1.1147689999999999</v>
      </c>
      <c r="L5923">
        <v>-38.247250000000001</v>
      </c>
      <c r="M5923">
        <v>7.6530639999999997E-2</v>
      </c>
      <c r="N5923">
        <v>0</v>
      </c>
      <c r="O5923">
        <v>-0.9970291</v>
      </c>
      <c r="P5923">
        <v>0.42928100000000002</v>
      </c>
      <c r="Q5923">
        <v>0.1456124</v>
      </c>
      <c r="R5923">
        <v>-0.89135589999999998</v>
      </c>
      <c r="S5923">
        <v>1.317383</v>
      </c>
      <c r="T5923">
        <v>-0.1178242</v>
      </c>
      <c r="U5923">
        <v>-2.7497859999999998</v>
      </c>
      <c r="V5923">
        <v>-0.36185319999999999</v>
      </c>
      <c r="W5923">
        <v>0.14877179999999901</v>
      </c>
      <c r="X5923">
        <v>0.92028750000000004</v>
      </c>
      <c r="Y5923">
        <v>-0.36144340000000003</v>
      </c>
      <c r="Z5923">
        <v>3.9053699999999997E-2</v>
      </c>
      <c r="AA5923">
        <v>0.93157579999999995</v>
      </c>
      <c r="AB5923">
        <v>44</v>
      </c>
      <c r="AC5923">
        <v>12.4276</v>
      </c>
      <c r="AD5923">
        <v>-1.1147795842699999</v>
      </c>
      <c r="AE5923">
        <v>-25.574369999999899</v>
      </c>
      <c r="AF5923">
        <v>-10.417839381032501</v>
      </c>
      <c r="AG5923">
        <v>-1.1147795842699999</v>
      </c>
      <c r="AH5923">
        <v>26.409894303657399</v>
      </c>
      <c r="AI5923">
        <v>92.2486264844472</v>
      </c>
      <c r="AJ5923">
        <v>111.527612440843</v>
      </c>
      <c r="AK5923">
        <v>28.412261930737799</v>
      </c>
      <c r="AL5923">
        <v>81.444242152530805</v>
      </c>
      <c r="AM5923">
        <v>111.464544807271</v>
      </c>
      <c r="AN5923">
        <v>0.99999993474086202</v>
      </c>
    </row>
    <row r="5924" spans="1:40" x14ac:dyDescent="0.25">
      <c r="A5924" t="str">
        <f>"20190312164144488"</f>
        <v>20190312164144488</v>
      </c>
      <c r="B5924" t="str">
        <f>"1552380104481832"</f>
        <v>1552380104481832</v>
      </c>
      <c r="C5924" t="s">
        <v>40</v>
      </c>
      <c r="D5924">
        <v>6.0990260000000003</v>
      </c>
      <c r="E5924">
        <v>0.50538700000000003</v>
      </c>
      <c r="F5924" t="s">
        <v>51</v>
      </c>
      <c r="G5924">
        <v>-289.33350000000002</v>
      </c>
      <c r="H5924" s="1">
        <v>-2.5730880000000001E-6</v>
      </c>
      <c r="I5924">
        <v>-66.366650000000007</v>
      </c>
      <c r="J5924">
        <v>-302.76010000000002</v>
      </c>
      <c r="K5924">
        <v>1.11497</v>
      </c>
      <c r="L5924">
        <v>-38.68967</v>
      </c>
      <c r="M5924">
        <v>8.1888600000000006E-2</v>
      </c>
      <c r="N5924">
        <v>0</v>
      </c>
      <c r="O5924">
        <v>-0.99660340000000003</v>
      </c>
      <c r="P5924">
        <v>0.43245230000000001</v>
      </c>
      <c r="Q5924">
        <v>0.14660119999999999</v>
      </c>
      <c r="R5924">
        <v>-0.88965899999999998</v>
      </c>
      <c r="S5924">
        <v>1.3164979999999999</v>
      </c>
      <c r="T5924">
        <v>-0.10899979999999999</v>
      </c>
      <c r="U5924">
        <v>-2.7494510000000001</v>
      </c>
      <c r="V5924">
        <v>-0.36028339999999998</v>
      </c>
      <c r="W5924">
        <v>0.149588</v>
      </c>
      <c r="X5924">
        <v>0.92077109999999995</v>
      </c>
      <c r="Y5924">
        <v>-0.35627419999999999</v>
      </c>
      <c r="Z5924">
        <v>3.6152990000000003E-2</v>
      </c>
      <c r="AA5924">
        <v>0.93368180000000001</v>
      </c>
      <c r="AB5924">
        <v>44</v>
      </c>
      <c r="AC5924">
        <v>13.426600000000001</v>
      </c>
      <c r="AD5924">
        <v>-1.114972573088</v>
      </c>
      <c r="AE5924">
        <v>-27.67698</v>
      </c>
      <c r="AF5924">
        <v>-11.1004051141994</v>
      </c>
      <c r="AG5924">
        <v>-1.114972573088</v>
      </c>
      <c r="AH5924">
        <v>28.645913828397301</v>
      </c>
      <c r="AI5924">
        <v>92.078521693039704</v>
      </c>
      <c r="AJ5924">
        <v>111.181546888009</v>
      </c>
      <c r="AK5924">
        <v>30.741674264783398</v>
      </c>
      <c r="AL5924">
        <v>81.396949187146504</v>
      </c>
      <c r="AM5924">
        <v>111.369632861179</v>
      </c>
      <c r="AN5924">
        <v>1.00000005832738</v>
      </c>
    </row>
    <row r="5925" spans="1:40" x14ac:dyDescent="0.25">
      <c r="A5925" t="str">
        <f>"20190312164144511"</f>
        <v>20190312164144511</v>
      </c>
      <c r="B5925" t="str">
        <f>"1552380104502329"</f>
        <v>1552380104502329</v>
      </c>
      <c r="C5925" t="s">
        <v>40</v>
      </c>
      <c r="D5925">
        <v>6.0388279999999996</v>
      </c>
      <c r="E5925">
        <v>0.50578670000000003</v>
      </c>
      <c r="F5925" t="s">
        <v>51</v>
      </c>
      <c r="G5925">
        <v>-288.63229999999999</v>
      </c>
      <c r="H5925" s="1">
        <v>-2.613926E-6</v>
      </c>
      <c r="I5925">
        <v>-68.049530000000004</v>
      </c>
      <c r="J5925">
        <v>-302.7208</v>
      </c>
      <c r="K5925">
        <v>1.115205</v>
      </c>
      <c r="L5925">
        <v>-39.124479999999998</v>
      </c>
      <c r="M5925">
        <v>8.7454909999999997E-2</v>
      </c>
      <c r="N5925">
        <v>0</v>
      </c>
      <c r="O5925">
        <v>-0.99613050000000003</v>
      </c>
      <c r="P5925">
        <v>0.43659779999999998</v>
      </c>
      <c r="Q5925">
        <v>0.14729489999999901</v>
      </c>
      <c r="R5925">
        <v>-0.88751740000000001</v>
      </c>
      <c r="S5925">
        <v>1.321747</v>
      </c>
      <c r="T5925">
        <v>-0.1043125</v>
      </c>
      <c r="U5925">
        <v>-2.7467959999999998</v>
      </c>
      <c r="V5925">
        <v>-0.35954209999999998</v>
      </c>
      <c r="W5925">
        <v>0.1500745</v>
      </c>
      <c r="X5925">
        <v>0.92098159999999896</v>
      </c>
      <c r="Y5925">
        <v>-0.3528772</v>
      </c>
      <c r="Z5925">
        <v>3.4614810000000003E-2</v>
      </c>
      <c r="AA5925">
        <v>0.93502909999999995</v>
      </c>
      <c r="AB5925">
        <v>44</v>
      </c>
      <c r="AC5925">
        <v>14.0885</v>
      </c>
      <c r="AD5925">
        <v>-1.1152076139260001</v>
      </c>
      <c r="AE5925">
        <v>-28.925049999999999</v>
      </c>
      <c r="AF5925">
        <v>-11.490976184601999</v>
      </c>
      <c r="AG5925">
        <v>-1.1152076139260001</v>
      </c>
      <c r="AH5925">
        <v>30.010313487192199</v>
      </c>
      <c r="AI5925">
        <v>91.987582293296697</v>
      </c>
      <c r="AJ5925">
        <v>110.951888263467</v>
      </c>
      <c r="AK5925">
        <v>32.1543953029256</v>
      </c>
      <c r="AL5925">
        <v>81.368755967918304</v>
      </c>
      <c r="AM5925">
        <v>111.32518141195899</v>
      </c>
      <c r="AN5925">
        <v>0.99999999238060899</v>
      </c>
    </row>
    <row r="5926" spans="1:40" x14ac:dyDescent="0.25">
      <c r="A5926" t="str">
        <f>"20190312164144534"</f>
        <v>20190312164144534</v>
      </c>
      <c r="B5926" t="str">
        <f>"1552380104521848"</f>
        <v>1552380104521848</v>
      </c>
      <c r="C5926" t="s">
        <v>40</v>
      </c>
      <c r="D5926">
        <v>6.0412850000000002</v>
      </c>
      <c r="E5926">
        <v>0.50604859999999996</v>
      </c>
      <c r="F5926" t="s">
        <v>51</v>
      </c>
      <c r="G5926">
        <v>-288.5573</v>
      </c>
      <c r="H5926" s="1">
        <v>-2.610952E-6</v>
      </c>
      <c r="I5926">
        <v>-68.262369999999905</v>
      </c>
      <c r="J5926">
        <v>-302.6773</v>
      </c>
      <c r="K5926">
        <v>1.1154820000000001</v>
      </c>
      <c r="L5926">
        <v>-39.574129999999997</v>
      </c>
      <c r="M5926">
        <v>9.3547320000000003E-2</v>
      </c>
      <c r="N5926">
        <v>0</v>
      </c>
      <c r="O5926">
        <v>-0.99557689999999999</v>
      </c>
      <c r="P5926">
        <v>0.44161349999999999</v>
      </c>
      <c r="Q5926">
        <v>0.147089</v>
      </c>
      <c r="R5926">
        <v>-0.88506679999999904</v>
      </c>
      <c r="S5926">
        <v>1.3328249999999999</v>
      </c>
      <c r="T5926">
        <v>-0.1049448</v>
      </c>
      <c r="U5926">
        <v>-2.7419739999999999</v>
      </c>
      <c r="V5926">
        <v>-0.35921720000000001</v>
      </c>
      <c r="W5926">
        <v>0.14962619999999999</v>
      </c>
      <c r="X5926">
        <v>0.92118129999999998</v>
      </c>
      <c r="Y5926">
        <v>-0.3508521</v>
      </c>
      <c r="Z5926">
        <v>3.4834469999999999E-2</v>
      </c>
      <c r="AA5926">
        <v>0.93578269999999997</v>
      </c>
      <c r="AB5926">
        <v>44</v>
      </c>
      <c r="AC5926">
        <v>14.12</v>
      </c>
      <c r="AD5926">
        <v>-1.11548461095199</v>
      </c>
      <c r="AE5926">
        <v>-28.68824</v>
      </c>
      <c r="AF5926">
        <v>-11.3604411468507</v>
      </c>
      <c r="AG5926">
        <v>-1.11548461095199</v>
      </c>
      <c r="AH5926">
        <v>29.8470403092673</v>
      </c>
      <c r="AI5926">
        <v>92.000459388027295</v>
      </c>
      <c r="AJ5926">
        <v>110.837927393451</v>
      </c>
      <c r="AK5926">
        <v>31.9554337193435</v>
      </c>
      <c r="AL5926">
        <v>81.394735000248104</v>
      </c>
      <c r="AM5926">
        <v>111.303434777886</v>
      </c>
      <c r="AN5926">
        <v>0.99999999198598399</v>
      </c>
    </row>
    <row r="5927" spans="1:40" x14ac:dyDescent="0.25">
      <c r="A5927" t="str">
        <f>"20190312164144556"</f>
        <v>20190312164144556</v>
      </c>
      <c r="B5927" t="str">
        <f>"1552380104552105"</f>
        <v>1552380104552105</v>
      </c>
      <c r="C5927" t="s">
        <v>40</v>
      </c>
      <c r="D5927">
        <v>6.4379109999999997</v>
      </c>
      <c r="E5927">
        <v>0.50624069999999999</v>
      </c>
      <c r="F5927" t="s">
        <v>51</v>
      </c>
      <c r="G5927">
        <v>-288.5763</v>
      </c>
      <c r="H5927" s="1">
        <v>-2.609641E-6</v>
      </c>
      <c r="I5927">
        <v>-68.2179</v>
      </c>
      <c r="J5927">
        <v>-302.6327</v>
      </c>
      <c r="K5927">
        <v>1.115775</v>
      </c>
      <c r="L5927">
        <v>-40.006929999999997</v>
      </c>
      <c r="M5927">
        <v>9.9752010000000002E-2</v>
      </c>
      <c r="N5927">
        <v>0</v>
      </c>
      <c r="O5927">
        <v>-0.99497420000000003</v>
      </c>
      <c r="P5927">
        <v>0.44649899999999998</v>
      </c>
      <c r="Q5927">
        <v>0.14711589999999999</v>
      </c>
      <c r="R5927">
        <v>-0.88260749999999999</v>
      </c>
      <c r="S5927">
        <v>1.3465879999999999</v>
      </c>
      <c r="T5927">
        <v>-0.1065238</v>
      </c>
      <c r="U5927">
        <v>-2.7353519999999998</v>
      </c>
      <c r="V5927">
        <v>-0.35867599999999999</v>
      </c>
      <c r="W5927">
        <v>0.1494084</v>
      </c>
      <c r="X5927">
        <v>0.92142749999999995</v>
      </c>
      <c r="Y5927">
        <v>-0.34969430000000001</v>
      </c>
      <c r="Z5927">
        <v>3.5372819999999999E-2</v>
      </c>
      <c r="AA5927">
        <v>0.93619589999999997</v>
      </c>
      <c r="AB5927">
        <v>44</v>
      </c>
      <c r="AC5927">
        <v>14.056399999999901</v>
      </c>
      <c r="AD5927">
        <v>-1.1157776096409999</v>
      </c>
      <c r="AE5927">
        <v>-28.21097</v>
      </c>
      <c r="AF5927">
        <v>-11.1580951572511</v>
      </c>
      <c r="AG5927">
        <v>-1.1157776096409999</v>
      </c>
      <c r="AH5927">
        <v>29.435571594210401</v>
      </c>
      <c r="AI5927">
        <v>92.029977969349602</v>
      </c>
      <c r="AJ5927">
        <v>110.760135123219</v>
      </c>
      <c r="AK5927">
        <v>31.499220979102599</v>
      </c>
      <c r="AL5927">
        <v>81.4073558771411</v>
      </c>
      <c r="AM5927">
        <v>111.269034108009</v>
      </c>
      <c r="AN5927">
        <v>0.99999999036140397</v>
      </c>
    </row>
    <row r="5928" spans="1:40" x14ac:dyDescent="0.25">
      <c r="A5928" t="str">
        <f>"20190312164144579"</f>
        <v>20190312164144579</v>
      </c>
      <c r="B5928" t="str">
        <f>"1552380104571625"</f>
        <v>1552380104571625</v>
      </c>
      <c r="C5928" t="s">
        <v>40</v>
      </c>
      <c r="D5928">
        <v>6.1605179999999997</v>
      </c>
      <c r="E5928">
        <v>0.50636769999999998</v>
      </c>
      <c r="F5928" t="s">
        <v>51</v>
      </c>
      <c r="G5928">
        <v>-288.51710000000003</v>
      </c>
      <c r="H5928" s="1">
        <v>-2.6214349999999999E-6</v>
      </c>
      <c r="I5928">
        <v>-68.322459999999893</v>
      </c>
      <c r="J5928">
        <v>-302.58519999999999</v>
      </c>
      <c r="K5928">
        <v>1.11609</v>
      </c>
      <c r="L5928">
        <v>-40.440159999999999</v>
      </c>
      <c r="M5928">
        <v>0.1063045</v>
      </c>
      <c r="N5928">
        <v>0</v>
      </c>
      <c r="O5928">
        <v>-0.99429520000000005</v>
      </c>
      <c r="P5928">
        <v>0.45151239999999998</v>
      </c>
      <c r="Q5928">
        <v>0.1463777</v>
      </c>
      <c r="R5928">
        <v>-0.88017639999999997</v>
      </c>
      <c r="S5928">
        <v>1.3603209999999999</v>
      </c>
      <c r="T5928">
        <v>-0.1075271</v>
      </c>
      <c r="U5928">
        <v>-2.7287599999999999</v>
      </c>
      <c r="V5928">
        <v>-0.35793720000000001</v>
      </c>
      <c r="W5928">
        <v>0.1484201</v>
      </c>
      <c r="X5928">
        <v>0.92187439999999998</v>
      </c>
      <c r="Y5928">
        <v>-0.3481939</v>
      </c>
      <c r="Z5928">
        <v>3.5718079999999999E-2</v>
      </c>
      <c r="AA5928">
        <v>0.93674179999999996</v>
      </c>
      <c r="AB5928">
        <v>44</v>
      </c>
      <c r="AC5928">
        <v>14.0680999999999</v>
      </c>
      <c r="AD5928">
        <v>-1.116092621435</v>
      </c>
      <c r="AE5928">
        <v>-27.882299999999901</v>
      </c>
      <c r="AF5928">
        <v>-11.0101896933792</v>
      </c>
      <c r="AG5928">
        <v>-1.116092621435</v>
      </c>
      <c r="AH5928">
        <v>29.182584754837698</v>
      </c>
      <c r="AI5928">
        <v>92.049345680441206</v>
      </c>
      <c r="AJ5928">
        <v>110.670804495102</v>
      </c>
      <c r="AK5928">
        <v>31.210466077857699</v>
      </c>
      <c r="AL5928">
        <v>81.464619758896902</v>
      </c>
      <c r="AM5928">
        <v>111.219753047574</v>
      </c>
      <c r="AN5928">
        <v>0.999999987301604</v>
      </c>
    </row>
    <row r="5929" spans="1:40" x14ac:dyDescent="0.25">
      <c r="A5929" t="str">
        <f>"20190312164144599"</f>
        <v>20190312164144599</v>
      </c>
      <c r="B5929" t="str">
        <f>"1552380104592121"</f>
        <v>1552380104592121</v>
      </c>
      <c r="C5929" t="s">
        <v>40</v>
      </c>
      <c r="D5929">
        <v>6.0353450000000004</v>
      </c>
      <c r="E5929">
        <v>0.50644369999999905</v>
      </c>
      <c r="F5929" t="s">
        <v>42</v>
      </c>
      <c r="G5929">
        <v>-302.02330000000001</v>
      </c>
      <c r="H5929">
        <v>1.0706009999999999</v>
      </c>
      <c r="I5929">
        <v>-41.55247</v>
      </c>
      <c r="J5929">
        <v>-302.53550000000001</v>
      </c>
      <c r="K5929">
        <v>1.116403</v>
      </c>
      <c r="L5929">
        <v>-40.863799999999998</v>
      </c>
      <c r="M5929">
        <v>0.1130541</v>
      </c>
      <c r="N5929">
        <v>0</v>
      </c>
      <c r="O5929">
        <v>-0.99355039999999994</v>
      </c>
      <c r="P5929">
        <v>0.45733010000000002</v>
      </c>
      <c r="Q5929">
        <v>0.14634520000000001</v>
      </c>
      <c r="R5929">
        <v>-0.87717339999999999</v>
      </c>
      <c r="S5929">
        <v>1.375092</v>
      </c>
      <c r="T5929">
        <v>-0.1112938</v>
      </c>
      <c r="U5929">
        <v>-2.7214969999999998</v>
      </c>
      <c r="V5929">
        <v>-0.35789660000000001</v>
      </c>
      <c r="W5929">
        <v>0.14812110000000001</v>
      </c>
      <c r="X5929">
        <v>0.92193820000000004</v>
      </c>
      <c r="Y5929">
        <v>-0.34686430000000001</v>
      </c>
      <c r="Z5929">
        <v>3.6980150000000003E-2</v>
      </c>
      <c r="AA5929">
        <v>0.93718599999999996</v>
      </c>
      <c r="AB5929">
        <v>44</v>
      </c>
      <c r="AC5929">
        <v>0.51220000000000698</v>
      </c>
      <c r="AD5929">
        <v>-4.58020000000001E-2</v>
      </c>
      <c r="AE5929">
        <v>-0.688670000000001</v>
      </c>
      <c r="AF5929">
        <v>-0.42983188070883699</v>
      </c>
      <c r="AG5929">
        <v>-4.58020000000001E-2</v>
      </c>
      <c r="AH5929">
        <v>0.74005538462741804</v>
      </c>
      <c r="AI5929">
        <v>93.0634281329977</v>
      </c>
      <c r="AJ5929">
        <v>120.148466362576</v>
      </c>
      <c r="AK5929">
        <v>0.85705031427199896</v>
      </c>
      <c r="AL5929">
        <v>81.481942269511805</v>
      </c>
      <c r="AM5929">
        <v>111.21622253058599</v>
      </c>
      <c r="AN5929">
        <v>0.99999994058800301</v>
      </c>
    </row>
    <row r="5930" spans="1:40" x14ac:dyDescent="0.25">
      <c r="A5930" t="str">
        <f>"20190312164144622"</f>
        <v>20190312164144622</v>
      </c>
      <c r="B5930" t="str">
        <f>"1552380104612617"</f>
        <v>1552380104612617</v>
      </c>
      <c r="C5930" t="s">
        <v>40</v>
      </c>
      <c r="D5930">
        <v>6.0920480000000001</v>
      </c>
      <c r="E5930">
        <v>0.50639100000000004</v>
      </c>
      <c r="F5930" t="s">
        <v>51</v>
      </c>
      <c r="G5930">
        <v>-288.87200000000001</v>
      </c>
      <c r="H5930" s="1">
        <v>-2.6005049999999998E-6</v>
      </c>
      <c r="I5930">
        <v>-67.471829999999997</v>
      </c>
      <c r="J5930">
        <v>-302.4821</v>
      </c>
      <c r="K5930">
        <v>1.116708</v>
      </c>
      <c r="L5930">
        <v>-41.293430000000001</v>
      </c>
      <c r="M5930">
        <v>0.1201801</v>
      </c>
      <c r="N5930">
        <v>0</v>
      </c>
      <c r="O5930">
        <v>-0.99271359999999997</v>
      </c>
      <c r="P5930">
        <v>0.46374179999999998</v>
      </c>
      <c r="Q5930">
        <v>0.14624000000000001</v>
      </c>
      <c r="R5930">
        <v>-0.87381790000000004</v>
      </c>
      <c r="S5930">
        <v>1.3930359999999999</v>
      </c>
      <c r="T5930">
        <v>-0.1138209</v>
      </c>
      <c r="U5930">
        <v>-2.7127690000000002</v>
      </c>
      <c r="V5930">
        <v>-0.35814459999999998</v>
      </c>
      <c r="W5930">
        <v>0.14774809999999999</v>
      </c>
      <c r="X5930">
        <v>0.92190179999999999</v>
      </c>
      <c r="Y5930">
        <v>-0.34625240000000002</v>
      </c>
      <c r="Z5930">
        <v>3.7829050000000003E-2</v>
      </c>
      <c r="AA5930">
        <v>0.93737839999999995</v>
      </c>
      <c r="AB5930">
        <v>44</v>
      </c>
      <c r="AC5930">
        <v>13.6100999999999</v>
      </c>
      <c r="AD5930">
        <v>-1.116710600505</v>
      </c>
      <c r="AE5930">
        <v>-26.1784</v>
      </c>
      <c r="AF5930">
        <v>-10.350378078392099</v>
      </c>
      <c r="AG5930">
        <v>-1.116710600505</v>
      </c>
      <c r="AH5930">
        <v>27.584857911084502</v>
      </c>
      <c r="AI5930">
        <v>92.170610415675597</v>
      </c>
      <c r="AJ5930">
        <v>110.567073034012</v>
      </c>
      <c r="AK5930">
        <v>29.4839236687667</v>
      </c>
      <c r="AL5930">
        <v>81.503551800147804</v>
      </c>
      <c r="AM5930">
        <v>111.23037890210701</v>
      </c>
      <c r="AN5930">
        <v>0.99999999220300495</v>
      </c>
    </row>
    <row r="5931" spans="1:40" x14ac:dyDescent="0.25">
      <c r="A5931" t="str">
        <f>"20190312164144645"</f>
        <v>20190312164144645</v>
      </c>
      <c r="B5931" t="str">
        <f>"1552380104641897"</f>
        <v>1552380104641897</v>
      </c>
      <c r="C5931" t="s">
        <v>40</v>
      </c>
      <c r="D5931">
        <v>6.0326589999999998</v>
      </c>
      <c r="E5931">
        <v>0.50620900000000002</v>
      </c>
      <c r="F5931" t="s">
        <v>51</v>
      </c>
      <c r="G5931">
        <v>-288.7903</v>
      </c>
      <c r="H5931" s="1">
        <v>-2.649384E-6</v>
      </c>
      <c r="I5931">
        <v>-67.469470000000001</v>
      </c>
      <c r="J5931">
        <v>-302.42259999999999</v>
      </c>
      <c r="K5931">
        <v>1.117024</v>
      </c>
      <c r="L5931">
        <v>-41.74353</v>
      </c>
      <c r="M5931">
        <v>0.12794059999999999</v>
      </c>
      <c r="N5931">
        <v>0</v>
      </c>
      <c r="O5931">
        <v>-0.99174289999999998</v>
      </c>
      <c r="P5931">
        <v>0.47116069999999999</v>
      </c>
      <c r="Q5931">
        <v>0.14555799999999999</v>
      </c>
      <c r="R5931">
        <v>-0.86995409999999995</v>
      </c>
      <c r="S5931">
        <v>1.413513</v>
      </c>
      <c r="T5931">
        <v>-0.1152869</v>
      </c>
      <c r="U5931">
        <v>-2.7023619999999999</v>
      </c>
      <c r="V5931">
        <v>-0.35887059999999998</v>
      </c>
      <c r="W5931">
        <v>0.14678069999999999</v>
      </c>
      <c r="X5931">
        <v>0.92177399999999998</v>
      </c>
      <c r="Y5931">
        <v>-0.34596700000000002</v>
      </c>
      <c r="Z5931">
        <v>3.8328330000000001E-2</v>
      </c>
      <c r="AA5931">
        <v>0.93746350000000001</v>
      </c>
      <c r="AB5931">
        <v>44</v>
      </c>
      <c r="AC5931">
        <v>13.632299999999899</v>
      </c>
      <c r="AD5931">
        <v>-1.117026649384</v>
      </c>
      <c r="AE5931">
        <v>-25.725939999999898</v>
      </c>
      <c r="AF5931">
        <v>-10.2137050659958</v>
      </c>
      <c r="AG5931">
        <v>-1.117026649384</v>
      </c>
      <c r="AH5931">
        <v>27.218630074575501</v>
      </c>
      <c r="AI5931">
        <v>92.200389804037997</v>
      </c>
      <c r="AJ5931">
        <v>110.568443720331</v>
      </c>
      <c r="AK5931">
        <v>29.093321275632501</v>
      </c>
      <c r="AL5931">
        <v>81.559590740788593</v>
      </c>
      <c r="AM5931">
        <v>111.27225771817599</v>
      </c>
      <c r="AN5931">
        <v>0.99999999425642405</v>
      </c>
    </row>
    <row r="5932" spans="1:40" x14ac:dyDescent="0.25">
      <c r="A5932" t="str">
        <f>"20190312164144667"</f>
        <v>20190312164144667</v>
      </c>
      <c r="B5932" t="str">
        <f>"1552380104662396"</f>
        <v>1552380104662396</v>
      </c>
      <c r="C5932" t="s">
        <v>40</v>
      </c>
      <c r="D5932">
        <v>6.0312989999999997</v>
      </c>
      <c r="E5932">
        <v>0.50624099999999905</v>
      </c>
      <c r="F5932" t="s">
        <v>51</v>
      </c>
      <c r="G5932">
        <v>-289.03989999999999</v>
      </c>
      <c r="H5932" s="1">
        <v>-2.6556149999999998E-6</v>
      </c>
      <c r="I5932">
        <v>-66.777050000000003</v>
      </c>
      <c r="J5932">
        <v>-302.3621</v>
      </c>
      <c r="K5932">
        <v>1.117327</v>
      </c>
      <c r="L5932">
        <v>-42.176389999999998</v>
      </c>
      <c r="M5932">
        <v>0.13568810000000001</v>
      </c>
      <c r="N5932">
        <v>0</v>
      </c>
      <c r="O5932">
        <v>-0.9907125</v>
      </c>
      <c r="P5932">
        <v>0.47954089999999999</v>
      </c>
      <c r="Q5932">
        <v>0.14336470000000001</v>
      </c>
      <c r="R5932">
        <v>-0.86572969999999905</v>
      </c>
      <c r="S5932">
        <v>1.437927</v>
      </c>
      <c r="T5932">
        <v>-0.1200203</v>
      </c>
      <c r="U5932">
        <v>-2.6897579999999999</v>
      </c>
      <c r="V5932">
        <v>-0.3605913</v>
      </c>
      <c r="W5932">
        <v>0.1442879</v>
      </c>
      <c r="X5932">
        <v>0.92149599999999998</v>
      </c>
      <c r="Y5932">
        <v>-0.34705000000000003</v>
      </c>
      <c r="Z5932">
        <v>3.9913200000000003E-2</v>
      </c>
      <c r="AA5932">
        <v>0.93699690000000002</v>
      </c>
      <c r="AB5932">
        <v>44</v>
      </c>
      <c r="AC5932">
        <v>13.3222</v>
      </c>
      <c r="AD5932">
        <v>-1.1173296556150001</v>
      </c>
      <c r="AE5932">
        <v>-24.600660000000001</v>
      </c>
      <c r="AF5932">
        <v>-9.8451315221998907</v>
      </c>
      <c r="AG5932">
        <v>-1.1173296556150001</v>
      </c>
      <c r="AH5932">
        <v>26.139165648454799</v>
      </c>
      <c r="AI5932">
        <v>92.290732309156894</v>
      </c>
      <c r="AJ5932">
        <v>110.638527334966</v>
      </c>
      <c r="AK5932">
        <v>27.954087734105901</v>
      </c>
      <c r="AL5932">
        <v>81.703954602578605</v>
      </c>
      <c r="AM5932">
        <v>111.370940869284</v>
      </c>
      <c r="AN5932">
        <v>0.99999998086904895</v>
      </c>
    </row>
    <row r="5933" spans="1:40" x14ac:dyDescent="0.25">
      <c r="A5933" t="str">
        <f>"20190312164144689"</f>
        <v>20190312164144689</v>
      </c>
      <c r="B5933" t="str">
        <f>"1552380104681912"</f>
        <v>1552380104681912</v>
      </c>
      <c r="C5933" t="s">
        <v>40</v>
      </c>
      <c r="D5933">
        <v>6.0884879999999999</v>
      </c>
      <c r="E5933">
        <v>0.50625339999999996</v>
      </c>
      <c r="F5933" t="s">
        <v>51</v>
      </c>
      <c r="G5933">
        <v>-289.70800000000003</v>
      </c>
      <c r="H5933" s="1">
        <v>-2.5864010000000002E-6</v>
      </c>
      <c r="I5933">
        <v>-65.309809999999999</v>
      </c>
      <c r="J5933">
        <v>-302.29790000000003</v>
      </c>
      <c r="K5933">
        <v>1.117637</v>
      </c>
      <c r="L5933">
        <v>-42.610199999999999</v>
      </c>
      <c r="M5933">
        <v>0.14374690000000001</v>
      </c>
      <c r="N5933">
        <v>0</v>
      </c>
      <c r="O5933">
        <v>-0.98957530000000005</v>
      </c>
      <c r="P5933">
        <v>0.48954720000000002</v>
      </c>
      <c r="Q5933">
        <v>0.14120869999999999</v>
      </c>
      <c r="R5933">
        <v>-0.86046739999999999</v>
      </c>
      <c r="S5933">
        <v>1.4637150000000001</v>
      </c>
      <c r="T5933">
        <v>-0.129243</v>
      </c>
      <c r="U5933">
        <v>-2.6758730000000002</v>
      </c>
      <c r="V5933">
        <v>-0.36379980000000001</v>
      </c>
      <c r="W5933">
        <v>0.1417871</v>
      </c>
      <c r="X5933">
        <v>0.92062270000000002</v>
      </c>
      <c r="Y5933">
        <v>-0.34835369999999999</v>
      </c>
      <c r="Z5933">
        <v>4.2991759999999997E-2</v>
      </c>
      <c r="AA5933">
        <v>0.93637680000000001</v>
      </c>
      <c r="AB5933">
        <v>44</v>
      </c>
      <c r="AC5933">
        <v>12.5899</v>
      </c>
      <c r="AD5933">
        <v>-1.117639586401</v>
      </c>
      <c r="AE5933">
        <v>-22.69961</v>
      </c>
      <c r="AF5933">
        <v>-9.1789951444171098</v>
      </c>
      <c r="AG5933">
        <v>-1.117639586401</v>
      </c>
      <c r="AH5933">
        <v>24.228756012364801</v>
      </c>
      <c r="AI5933">
        <v>92.470024552372493</v>
      </c>
      <c r="AJ5933">
        <v>110.749050050525</v>
      </c>
      <c r="AK5933">
        <v>25.9332930422079</v>
      </c>
      <c r="AL5933">
        <v>81.848728891471794</v>
      </c>
      <c r="AM5933">
        <v>111.562301245878</v>
      </c>
      <c r="AN5933">
        <v>1.00000001598086</v>
      </c>
    </row>
    <row r="5934" spans="1:40" x14ac:dyDescent="0.25">
      <c r="A5934" t="str">
        <f>"20190312164144712"</f>
        <v>20190312164144712</v>
      </c>
      <c r="B5934" t="str">
        <f>"1552380104702409"</f>
        <v>1552380104702409</v>
      </c>
      <c r="C5934" t="s">
        <v>40</v>
      </c>
      <c r="D5934">
        <v>6.0301830000000001</v>
      </c>
      <c r="E5934">
        <v>0.50632949999999999</v>
      </c>
      <c r="F5934" t="s">
        <v>51</v>
      </c>
      <c r="G5934">
        <v>-290.1825</v>
      </c>
      <c r="H5934" s="1">
        <v>-1.0586719999999999E-5</v>
      </c>
      <c r="I5934">
        <v>-64.176439999999999</v>
      </c>
      <c r="J5934">
        <v>-302.22809999999998</v>
      </c>
      <c r="K5934">
        <v>1.117988</v>
      </c>
      <c r="L5934">
        <v>-43.0563</v>
      </c>
      <c r="M5934">
        <v>0.15236160000000001</v>
      </c>
      <c r="N5934">
        <v>0</v>
      </c>
      <c r="O5934">
        <v>-0.98828519999999997</v>
      </c>
      <c r="P5934">
        <v>0.49978539999999999</v>
      </c>
      <c r="Q5934">
        <v>0.14077819999999999</v>
      </c>
      <c r="R5934">
        <v>-0.85463219999999995</v>
      </c>
      <c r="S5934">
        <v>1.4938659999999999</v>
      </c>
      <c r="T5934">
        <v>-0.13780919999999999</v>
      </c>
      <c r="U5934">
        <v>-2.6591800000000001</v>
      </c>
      <c r="V5934">
        <v>-0.36687950000000003</v>
      </c>
      <c r="W5934">
        <v>0.140989</v>
      </c>
      <c r="X5934">
        <v>0.91952250000000002</v>
      </c>
      <c r="Y5934">
        <v>-0.35070630000000003</v>
      </c>
      <c r="Z5934">
        <v>4.5856180000000003E-2</v>
      </c>
      <c r="AA5934">
        <v>0.93536209999999997</v>
      </c>
      <c r="AB5934">
        <v>45</v>
      </c>
      <c r="AC5934">
        <v>12.045599999999901</v>
      </c>
      <c r="AD5934">
        <v>-1.11799858672</v>
      </c>
      <c r="AE5934">
        <v>-21.120139999999999</v>
      </c>
      <c r="AF5934">
        <v>-8.6686014281556893</v>
      </c>
      <c r="AG5934">
        <v>-1.11799858672</v>
      </c>
      <c r="AH5934">
        <v>22.660984238363401</v>
      </c>
      <c r="AI5934">
        <v>92.638291226603002</v>
      </c>
      <c r="AJ5934">
        <v>110.93356183125</v>
      </c>
      <c r="AK5934">
        <v>24.288161276874899</v>
      </c>
      <c r="AL5934">
        <v>81.894920936490806</v>
      </c>
      <c r="AM5934">
        <v>111.751463226212</v>
      </c>
      <c r="AN5934">
        <v>1.00000004682374</v>
      </c>
    </row>
    <row r="5935" spans="1:40" x14ac:dyDescent="0.25">
      <c r="A5935" t="str">
        <f>"20190312164144734"</f>
        <v>20190312164144734</v>
      </c>
      <c r="B5935" t="str">
        <f>"1552380104721930"</f>
        <v>1552380104721930</v>
      </c>
      <c r="C5935" t="s">
        <v>40</v>
      </c>
      <c r="D5935">
        <v>5.9305839999999996</v>
      </c>
      <c r="E5935">
        <v>0.50636740000000002</v>
      </c>
      <c r="F5935" t="s">
        <v>51</v>
      </c>
      <c r="G5935">
        <v>-290.11430000000001</v>
      </c>
      <c r="H5935" s="1">
        <v>-1.054232E-5</v>
      </c>
      <c r="I5935">
        <v>-64.063490000000002</v>
      </c>
      <c r="J5935">
        <v>-302.15550000000002</v>
      </c>
      <c r="K5935">
        <v>1.118366</v>
      </c>
      <c r="L5935">
        <v>-43.494720000000001</v>
      </c>
      <c r="M5935">
        <v>0.1611765</v>
      </c>
      <c r="N5935">
        <v>0</v>
      </c>
      <c r="O5935">
        <v>-0.98688549999999997</v>
      </c>
      <c r="P5935">
        <v>0.50966639999999996</v>
      </c>
      <c r="Q5935">
        <v>0.14179739999999999</v>
      </c>
      <c r="R5935">
        <v>-0.84860709999999995</v>
      </c>
      <c r="S5935">
        <v>1.523712</v>
      </c>
      <c r="T5935">
        <v>-0.14062620000000001</v>
      </c>
      <c r="U5935">
        <v>-2.6423649999999999</v>
      </c>
      <c r="V5935">
        <v>-0.36952469999999998</v>
      </c>
      <c r="W5935">
        <v>0.1416347</v>
      </c>
      <c r="X5935">
        <v>0.91836329999999999</v>
      </c>
      <c r="Y5935">
        <v>-0.35283109999999901</v>
      </c>
      <c r="Z5935">
        <v>4.680724E-2</v>
      </c>
      <c r="AA5935">
        <v>0.93451550000000005</v>
      </c>
      <c r="AB5935">
        <v>45</v>
      </c>
      <c r="AC5935">
        <v>12.0412</v>
      </c>
      <c r="AD5935">
        <v>-1.1183765423200001</v>
      </c>
      <c r="AE5935">
        <v>-20.568770000000001</v>
      </c>
      <c r="AF5935">
        <v>-8.5495978884636692</v>
      </c>
      <c r="AG5935">
        <v>-1.1183765423200001</v>
      </c>
      <c r="AH5935">
        <v>22.191797542037801</v>
      </c>
      <c r="AI5935">
        <v>92.692446486756296</v>
      </c>
      <c r="AJ5935">
        <v>111.06964676530799</v>
      </c>
      <c r="AK5935">
        <v>23.808029491993501</v>
      </c>
      <c r="AL5935">
        <v>81.857549832857401</v>
      </c>
      <c r="AM5935">
        <v>111.91852845387</v>
      </c>
      <c r="AN5935">
        <v>1.00000002147053</v>
      </c>
    </row>
    <row r="5936" spans="1:40" x14ac:dyDescent="0.25">
      <c r="A5936" t="str">
        <f>"20190312164144756"</f>
        <v>20190312164144756</v>
      </c>
      <c r="B5936" t="str">
        <f>"1552380104752184"</f>
        <v>1552380104752184</v>
      </c>
      <c r="C5936" t="s">
        <v>40</v>
      </c>
      <c r="D5936">
        <v>6.0007809999999999</v>
      </c>
      <c r="E5936">
        <v>0.50632639999999995</v>
      </c>
      <c r="F5936" t="s">
        <v>51</v>
      </c>
      <c r="G5936">
        <v>-289.59649999999999</v>
      </c>
      <c r="H5936" s="1">
        <v>-2.7818950000000001E-6</v>
      </c>
      <c r="I5936">
        <v>-64.72757</v>
      </c>
      <c r="J5936">
        <v>-302.08120000000002</v>
      </c>
      <c r="K5936">
        <v>1.1187609999999999</v>
      </c>
      <c r="L5936">
        <v>-43.919370000000001</v>
      </c>
      <c r="M5936">
        <v>0.1700777</v>
      </c>
      <c r="N5936">
        <v>0</v>
      </c>
      <c r="O5936">
        <v>-0.98539010000000005</v>
      </c>
      <c r="P5936">
        <v>0.51959390000000005</v>
      </c>
      <c r="Q5936">
        <v>0.142116299999999</v>
      </c>
      <c r="R5936">
        <v>-0.84251139999999902</v>
      </c>
      <c r="S5936">
        <v>1.5530090000000001</v>
      </c>
      <c r="T5936">
        <v>-0.13829350000000001</v>
      </c>
      <c r="U5936">
        <v>-2.6255799999999998</v>
      </c>
      <c r="V5936">
        <v>-0.3721738</v>
      </c>
      <c r="W5936">
        <v>0.141571</v>
      </c>
      <c r="X5936">
        <v>0.91730270000000003</v>
      </c>
      <c r="Y5936">
        <v>-0.3547479</v>
      </c>
      <c r="Z5936">
        <v>4.6042180000000002E-2</v>
      </c>
      <c r="AA5936">
        <v>0.93382759999999998</v>
      </c>
      <c r="AB5936">
        <v>45</v>
      </c>
      <c r="AC5936">
        <v>12.4847</v>
      </c>
      <c r="AD5936">
        <v>-1.118763781895</v>
      </c>
      <c r="AE5936">
        <v>-20.808199999999999</v>
      </c>
      <c r="AF5936">
        <v>-8.7450511047620996</v>
      </c>
      <c r="AG5936">
        <v>-1.118763781895</v>
      </c>
      <c r="AH5936">
        <v>22.580471571628401</v>
      </c>
      <c r="AI5936">
        <v>92.645285169811004</v>
      </c>
      <c r="AJ5936">
        <v>111.170579165521</v>
      </c>
      <c r="AK5936">
        <v>24.2405702825181</v>
      </c>
      <c r="AL5936">
        <v>81.861236257391297</v>
      </c>
      <c r="AM5936">
        <v>112.08368682049201</v>
      </c>
      <c r="AN5936">
        <v>0.99999996443736405</v>
      </c>
    </row>
    <row r="5937" spans="1:40" x14ac:dyDescent="0.25">
      <c r="A5937" t="str">
        <f>"20190312164144779"</f>
        <v>20190312164144779</v>
      </c>
      <c r="B5937" t="str">
        <f>"1552380104771705"</f>
        <v>1552380104771705</v>
      </c>
      <c r="C5937" t="s">
        <v>40</v>
      </c>
      <c r="D5937">
        <v>5.9757499999999997</v>
      </c>
      <c r="E5937">
        <v>0.50641659999999999</v>
      </c>
      <c r="F5937" t="s">
        <v>51</v>
      </c>
      <c r="G5937">
        <v>-289.40499999999997</v>
      </c>
      <c r="H5937" s="1">
        <v>-2.8820539999999999E-6</v>
      </c>
      <c r="I5937">
        <v>-64.786860000000004</v>
      </c>
      <c r="J5937">
        <v>-301.9984</v>
      </c>
      <c r="K5937">
        <v>1.119202</v>
      </c>
      <c r="L5937">
        <v>-44.367400000000004</v>
      </c>
      <c r="M5937">
        <v>0.1799027</v>
      </c>
      <c r="N5937">
        <v>0</v>
      </c>
      <c r="O5937">
        <v>-0.98364339999999995</v>
      </c>
      <c r="P5937">
        <v>0.53041769999999999</v>
      </c>
      <c r="Q5937">
        <v>0.14265639999999999</v>
      </c>
      <c r="R5937">
        <v>-0.83564749999999999</v>
      </c>
      <c r="S5937">
        <v>1.5839540000000001</v>
      </c>
      <c r="T5937">
        <v>-0.13979430000000001</v>
      </c>
      <c r="U5937">
        <v>-2.6074830000000002</v>
      </c>
      <c r="V5937">
        <v>-0.37503969999999998</v>
      </c>
      <c r="W5937">
        <v>0.1416829</v>
      </c>
      <c r="X5937">
        <v>0.91611750000000003</v>
      </c>
      <c r="Y5937">
        <v>-0.356379</v>
      </c>
      <c r="Z5937">
        <v>4.6545040000000003E-2</v>
      </c>
      <c r="AA5937">
        <v>0.93318140000000005</v>
      </c>
      <c r="AB5937">
        <v>45</v>
      </c>
      <c r="AC5937">
        <v>12.593400000000001</v>
      </c>
      <c r="AD5937">
        <v>-1.1192048820539999</v>
      </c>
      <c r="AE5937">
        <v>-20.419460000000001</v>
      </c>
      <c r="AF5937">
        <v>-8.6953258895708796</v>
      </c>
      <c r="AG5937">
        <v>-1.1192048820539999</v>
      </c>
      <c r="AH5937">
        <v>22.303414395636501</v>
      </c>
      <c r="AI5937">
        <v>92.676821780311997</v>
      </c>
      <c r="AJ5937">
        <v>111.299081221313</v>
      </c>
      <c r="AK5937">
        <v>23.964632390198201</v>
      </c>
      <c r="AL5937">
        <v>81.854760254379002</v>
      </c>
      <c r="AM5937">
        <v>112.26318546488</v>
      </c>
      <c r="AN5937">
        <v>1.00000004726737</v>
      </c>
    </row>
    <row r="5938" spans="1:40" x14ac:dyDescent="0.25">
      <c r="A5938" t="str">
        <f>"20190312164144800"</f>
        <v>20190312164144800</v>
      </c>
      <c r="B5938" t="str">
        <f>"1552380104792201"</f>
        <v>1552380104792201</v>
      </c>
      <c r="C5938" t="s">
        <v>40</v>
      </c>
      <c r="D5938">
        <v>6.010014</v>
      </c>
      <c r="E5938">
        <v>0.50652399999999997</v>
      </c>
      <c r="F5938" t="s">
        <v>42</v>
      </c>
      <c r="G5938">
        <v>-301.3698</v>
      </c>
      <c r="H5938">
        <v>1.064557</v>
      </c>
      <c r="I5938">
        <v>-45.373809999999999</v>
      </c>
      <c r="J5938">
        <v>-301.91359999999997</v>
      </c>
      <c r="K5938">
        <v>1.119645</v>
      </c>
      <c r="L5938">
        <v>-44.800080000000001</v>
      </c>
      <c r="M5938">
        <v>0.1898464</v>
      </c>
      <c r="N5938">
        <v>0</v>
      </c>
      <c r="O5938">
        <v>-0.98177190000000003</v>
      </c>
      <c r="P5938">
        <v>0.54117230000000005</v>
      </c>
      <c r="Q5938">
        <v>0.1424192</v>
      </c>
      <c r="R5938">
        <v>-0.82876380000000005</v>
      </c>
      <c r="S5938">
        <v>1.616241</v>
      </c>
      <c r="T5938">
        <v>-0.14052990000000001</v>
      </c>
      <c r="U5938">
        <v>-2.588104</v>
      </c>
      <c r="V5938">
        <v>-0.37775639999999999</v>
      </c>
      <c r="W5938">
        <v>0.1410187</v>
      </c>
      <c r="X5938">
        <v>0.91510320000000001</v>
      </c>
      <c r="Y5938">
        <v>-0.35843580000000003</v>
      </c>
      <c r="Z5938">
        <v>4.679113E-2</v>
      </c>
      <c r="AA5938">
        <v>0.93238100000000002</v>
      </c>
      <c r="AB5938">
        <v>45</v>
      </c>
      <c r="AC5938">
        <v>0.54379999999997597</v>
      </c>
      <c r="AD5938">
        <v>-5.5087999999999998E-2</v>
      </c>
      <c r="AE5938">
        <v>-0.57372999999999696</v>
      </c>
      <c r="AF5938">
        <v>-0.422930549694364</v>
      </c>
      <c r="AG5938">
        <v>-5.5087999999999998E-2</v>
      </c>
      <c r="AH5938">
        <v>0.66331655786425203</v>
      </c>
      <c r="AI5938">
        <v>94.005671849769499</v>
      </c>
      <c r="AJ5938">
        <v>122.521578964605</v>
      </c>
      <c r="AK5938">
        <v>0.78860243059836999</v>
      </c>
      <c r="AL5938">
        <v>81.893201852392096</v>
      </c>
      <c r="AM5938">
        <v>112.43093142991199</v>
      </c>
      <c r="AN5938">
        <v>1.0000000190704399</v>
      </c>
    </row>
    <row r="5939" spans="1:40" x14ac:dyDescent="0.25">
      <c r="A5939" t="str">
        <f>"20190312164144823"</f>
        <v>20190312164144823</v>
      </c>
      <c r="B5939" t="str">
        <f>"1552380104811721"</f>
        <v>1552380104811721</v>
      </c>
      <c r="C5939" t="s">
        <v>40</v>
      </c>
      <c r="D5939">
        <v>6.1010010000000001</v>
      </c>
      <c r="E5939">
        <v>0.50659419999999999</v>
      </c>
      <c r="F5939" t="s">
        <v>42</v>
      </c>
      <c r="G5939">
        <v>-301.27030000000002</v>
      </c>
      <c r="H5939">
        <v>1.063472</v>
      </c>
      <c r="I5939">
        <v>-45.802799999999998</v>
      </c>
      <c r="J5939">
        <v>-301.82639999999998</v>
      </c>
      <c r="K5939">
        <v>1.1200669999999999</v>
      </c>
      <c r="L5939">
        <v>-45.222349999999999</v>
      </c>
      <c r="M5939">
        <v>0.19992389999999999</v>
      </c>
      <c r="N5939">
        <v>0</v>
      </c>
      <c r="O5939">
        <v>-0.9797688</v>
      </c>
      <c r="P5939">
        <v>0.55252829999999997</v>
      </c>
      <c r="Q5939">
        <v>0.1407515</v>
      </c>
      <c r="R5939">
        <v>-0.82152420000000004</v>
      </c>
      <c r="S5939">
        <v>1.648193</v>
      </c>
      <c r="T5939">
        <v>-0.143878799999999</v>
      </c>
      <c r="U5939">
        <v>-2.5683289999999999</v>
      </c>
      <c r="V5939">
        <v>-0.38100270000000003</v>
      </c>
      <c r="W5939">
        <v>0.1389195</v>
      </c>
      <c r="X5939">
        <v>0.9140779</v>
      </c>
      <c r="Y5939">
        <v>-0.36029640000000002</v>
      </c>
      <c r="Z5939">
        <v>4.7901409999999998E-2</v>
      </c>
      <c r="AA5939">
        <v>0.93160719999999997</v>
      </c>
      <c r="AB5939">
        <v>45</v>
      </c>
      <c r="AC5939">
        <v>0.55609999999995796</v>
      </c>
      <c r="AD5939">
        <v>-5.6594999999999902E-2</v>
      </c>
      <c r="AE5939">
        <v>-0.58044999999999902</v>
      </c>
      <c r="AF5939">
        <v>-0.42670637386641203</v>
      </c>
      <c r="AG5939">
        <v>-5.6594999999999902E-2</v>
      </c>
      <c r="AH5939">
        <v>0.67655924559991598</v>
      </c>
      <c r="AI5939">
        <v>94.047173144186402</v>
      </c>
      <c r="AJ5939">
        <v>122.239657853586</v>
      </c>
      <c r="AK5939">
        <v>0.80188137297854101</v>
      </c>
      <c r="AL5939">
        <v>82.014673168387503</v>
      </c>
      <c r="AM5939">
        <v>112.627176709238</v>
      </c>
      <c r="AN5939">
        <v>1.0000000460779701</v>
      </c>
    </row>
    <row r="5940" spans="1:40" x14ac:dyDescent="0.25">
      <c r="A5940" t="str">
        <f>"20190312164144845"</f>
        <v>20190312164144845</v>
      </c>
      <c r="B5940" t="str">
        <f>"1552380104841976"</f>
        <v>1552380104841976</v>
      </c>
      <c r="C5940" t="s">
        <v>40</v>
      </c>
      <c r="D5940">
        <v>6.3638579999999996</v>
      </c>
      <c r="E5940">
        <v>0.50678290000000004</v>
      </c>
      <c r="F5940" t="s">
        <v>42</v>
      </c>
      <c r="G5940">
        <v>-301.16030000000001</v>
      </c>
      <c r="H5940">
        <v>1.0607150000000001</v>
      </c>
      <c r="I5940">
        <v>-46.231450000000002</v>
      </c>
      <c r="J5940">
        <v>-301.73090000000002</v>
      </c>
      <c r="K5940">
        <v>1.1205039999999999</v>
      </c>
      <c r="L5940">
        <v>-45.661320000000003</v>
      </c>
      <c r="M5940">
        <v>0.2108025</v>
      </c>
      <c r="N5940">
        <v>0</v>
      </c>
      <c r="O5940">
        <v>-0.97748489999999999</v>
      </c>
      <c r="P5940">
        <v>0.56539490000000003</v>
      </c>
      <c r="Q5940">
        <v>0.1383422</v>
      </c>
      <c r="R5940">
        <v>-0.81313619999999898</v>
      </c>
      <c r="S5940">
        <v>1.680847</v>
      </c>
      <c r="T5940">
        <v>-0.1498041</v>
      </c>
      <c r="U5940">
        <v>-2.5469360000000001</v>
      </c>
      <c r="V5940">
        <v>-0.3852373</v>
      </c>
      <c r="W5940">
        <v>0.13603470000000001</v>
      </c>
      <c r="X5940">
        <v>0.91273590000000004</v>
      </c>
      <c r="Y5940">
        <v>-0.3617918</v>
      </c>
      <c r="Z5940">
        <v>4.9867889999999998E-2</v>
      </c>
      <c r="AA5940">
        <v>0.93092419999999998</v>
      </c>
      <c r="AB5940">
        <v>45</v>
      </c>
      <c r="AC5940">
        <v>0.57060000000001299</v>
      </c>
      <c r="AD5940">
        <v>-5.9789000000000002E-2</v>
      </c>
      <c r="AE5940">
        <v>-0.57012999999999803</v>
      </c>
      <c r="AF5940">
        <v>-0.43519571352745601</v>
      </c>
      <c r="AG5940">
        <v>-5.9789000000000002E-2</v>
      </c>
      <c r="AH5940">
        <v>0.67390378479695801</v>
      </c>
      <c r="AI5940">
        <v>94.262392081030697</v>
      </c>
      <c r="AJ5940">
        <v>122.853693181983</v>
      </c>
      <c r="AK5940">
        <v>0.80443541987989098</v>
      </c>
      <c r="AL5940">
        <v>82.181544335020405</v>
      </c>
      <c r="AM5940">
        <v>112.883088335552</v>
      </c>
      <c r="AN5940">
        <v>1.00000002003209</v>
      </c>
    </row>
    <row r="5941" spans="1:40" x14ac:dyDescent="0.25">
      <c r="A5941" t="str">
        <f>"20190312164144868"</f>
        <v>20190312164144868</v>
      </c>
      <c r="B5941" t="str">
        <f>"1552380104862472"</f>
        <v>1552380104862472</v>
      </c>
      <c r="C5941" t="s">
        <v>40</v>
      </c>
      <c r="D5941">
        <v>5.9343110000000001</v>
      </c>
      <c r="E5941">
        <v>0.5068648</v>
      </c>
      <c r="F5941" t="s">
        <v>51</v>
      </c>
      <c r="G5941">
        <v>-289.6078</v>
      </c>
      <c r="H5941" s="1">
        <v>-3.0501810000000001E-6</v>
      </c>
      <c r="I5941">
        <v>-63.490870000000001</v>
      </c>
      <c r="J5941">
        <v>-301.63069999999999</v>
      </c>
      <c r="K5941">
        <v>1.1209519999999999</v>
      </c>
      <c r="L5941">
        <v>-46.098689999999998</v>
      </c>
      <c r="M5941">
        <v>0.2220548</v>
      </c>
      <c r="N5941">
        <v>0</v>
      </c>
      <c r="O5941">
        <v>-0.97498940000000001</v>
      </c>
      <c r="P5941">
        <v>0.57626369999999905</v>
      </c>
      <c r="Q5941">
        <v>0.1366329</v>
      </c>
      <c r="R5941">
        <v>-0.80576159999999997</v>
      </c>
      <c r="S5941">
        <v>1.715759</v>
      </c>
      <c r="T5941">
        <v>-0.1585829</v>
      </c>
      <c r="U5941">
        <v>-2.5233759999999998</v>
      </c>
      <c r="V5941">
        <v>-0.38701560000000002</v>
      </c>
      <c r="W5941">
        <v>0.13392979999999999</v>
      </c>
      <c r="X5941">
        <v>0.91229470000000001</v>
      </c>
      <c r="Y5941">
        <v>-0.3638113</v>
      </c>
      <c r="Z5941">
        <v>5.2778499999999999E-2</v>
      </c>
      <c r="AA5941">
        <v>0.92997620000000003</v>
      </c>
      <c r="AB5941">
        <v>45</v>
      </c>
      <c r="AC5941">
        <v>12.0228999999999</v>
      </c>
      <c r="AD5941">
        <v>-1.1209550501809999</v>
      </c>
      <c r="AE5941">
        <v>-17.3921799999999</v>
      </c>
      <c r="AF5941">
        <v>-7.8384937278381503</v>
      </c>
      <c r="AG5941">
        <v>-1.1209550501809999</v>
      </c>
      <c r="AH5941">
        <v>19.572775513928899</v>
      </c>
      <c r="AI5941">
        <v>93.0433289438174</v>
      </c>
      <c r="AJ5941">
        <v>111.825085375738</v>
      </c>
      <c r="AK5941">
        <v>21.113788515198699</v>
      </c>
      <c r="AL5941">
        <v>82.303259586255194</v>
      </c>
      <c r="AM5941">
        <v>112.98773133375001</v>
      </c>
      <c r="AN5941">
        <v>0.99999994280974303</v>
      </c>
    </row>
    <row r="5942" spans="1:40" x14ac:dyDescent="0.25">
      <c r="A5942" t="str">
        <f>"20190312164144890"</f>
        <v>20190312164144890</v>
      </c>
      <c r="B5942" t="str">
        <f>"1552380104881993"</f>
        <v>1552380104881993</v>
      </c>
      <c r="C5942" t="s">
        <v>40</v>
      </c>
      <c r="D5942">
        <v>6.0269729999999999</v>
      </c>
      <c r="E5942">
        <v>0.51153040000000005</v>
      </c>
      <c r="F5942" t="s">
        <v>51</v>
      </c>
      <c r="G5942">
        <v>-289.78980000000001</v>
      </c>
      <c r="H5942" s="1">
        <v>-3.0416900000000002E-6</v>
      </c>
      <c r="I5942">
        <v>-63.044559999999997</v>
      </c>
      <c r="J5942">
        <v>-301.52690000000001</v>
      </c>
      <c r="K5942">
        <v>1.121386</v>
      </c>
      <c r="L5942">
        <v>-46.529269999999997</v>
      </c>
      <c r="M5942">
        <v>0.23353299999999999</v>
      </c>
      <c r="N5942">
        <v>0</v>
      </c>
      <c r="O5942">
        <v>-0.97230320000000003</v>
      </c>
      <c r="P5942">
        <v>0.58583819999999998</v>
      </c>
      <c r="Q5942">
        <v>0.13463530000000001</v>
      </c>
      <c r="R5942">
        <v>-0.79916669999999901</v>
      </c>
      <c r="S5942">
        <v>1.7477720000000001</v>
      </c>
      <c r="T5942">
        <v>-0.16545770000000001</v>
      </c>
      <c r="U5942">
        <v>-2.5012819999999998</v>
      </c>
      <c r="V5942">
        <v>-0.38715959999999999</v>
      </c>
      <c r="W5942">
        <v>0.13161020000000001</v>
      </c>
      <c r="X5942">
        <v>0.91257120000000003</v>
      </c>
      <c r="Y5942">
        <v>-0.36461579999999999</v>
      </c>
      <c r="Z5942">
        <v>5.5038339999999998E-2</v>
      </c>
      <c r="AA5942">
        <v>0.92952999999999997</v>
      </c>
      <c r="AB5942">
        <v>45</v>
      </c>
      <c r="AC5942">
        <v>11.7370999999999</v>
      </c>
      <c r="AD5942">
        <v>-1.1213890416900001</v>
      </c>
      <c r="AE5942">
        <v>-16.515289999999901</v>
      </c>
      <c r="AF5942">
        <v>-7.5324164618411</v>
      </c>
      <c r="AG5942">
        <v>-1.1213890416900001</v>
      </c>
      <c r="AH5942">
        <v>18.742291880587899</v>
      </c>
      <c r="AI5942">
        <v>93.177587587405</v>
      </c>
      <c r="AJ5942">
        <v>111.894903283831</v>
      </c>
      <c r="AK5942">
        <v>20.230381016545099</v>
      </c>
      <c r="AL5942">
        <v>82.437350454302504</v>
      </c>
      <c r="AM5942">
        <v>112.98915214255901</v>
      </c>
      <c r="AN5942">
        <v>0.99999999784281901</v>
      </c>
    </row>
    <row r="5943" spans="1:40" x14ac:dyDescent="0.25">
      <c r="A5943" t="str">
        <f>"20190312164144913"</f>
        <v>20190312164144913</v>
      </c>
      <c r="B5943" t="str">
        <f>"1552380104902489"</f>
        <v>1552380104902489</v>
      </c>
      <c r="C5943" t="s">
        <v>40</v>
      </c>
      <c r="D5943">
        <v>5.9962839999999904</v>
      </c>
      <c r="E5943">
        <v>0.51174070000000005</v>
      </c>
      <c r="F5943" t="s">
        <v>51</v>
      </c>
      <c r="G5943">
        <v>-295.66399999999999</v>
      </c>
      <c r="H5943" s="1">
        <v>-8.2880469999999995E-6</v>
      </c>
      <c r="I5943">
        <v>-54.882649999999998</v>
      </c>
      <c r="J5943">
        <v>-301.41609999999997</v>
      </c>
      <c r="K5943">
        <v>1.1218360000000001</v>
      </c>
      <c r="L5943">
        <v>-46.966160000000002</v>
      </c>
      <c r="M5943">
        <v>0.24557680000000001</v>
      </c>
      <c r="N5943">
        <v>0</v>
      </c>
      <c r="O5943">
        <v>-0.96932949999999996</v>
      </c>
      <c r="P5943">
        <v>0.59509769999999995</v>
      </c>
      <c r="Q5943">
        <v>0.1326349</v>
      </c>
      <c r="R5943">
        <v>-0.79263309999999998</v>
      </c>
      <c r="S5943">
        <v>1.766022</v>
      </c>
      <c r="T5943">
        <v>-0.33778609999999998</v>
      </c>
      <c r="U5943">
        <v>-2.5162049999999998</v>
      </c>
      <c r="V5943">
        <v>-0.38646419999999998</v>
      </c>
      <c r="W5943">
        <v>0.1293424</v>
      </c>
      <c r="X5943">
        <v>0.91318999999999995</v>
      </c>
      <c r="Y5943">
        <v>-0.35227000000000003</v>
      </c>
      <c r="Z5943">
        <v>0.1107979</v>
      </c>
      <c r="AA5943">
        <v>0.92931680000000005</v>
      </c>
      <c r="AB5943">
        <v>45</v>
      </c>
      <c r="AC5943">
        <v>5.75209999999998</v>
      </c>
      <c r="AD5943">
        <v>-1.1218442880470001</v>
      </c>
      <c r="AE5943">
        <v>-7.9164899999999996</v>
      </c>
      <c r="AF5943">
        <v>-3.5846290825429601</v>
      </c>
      <c r="AG5943">
        <v>-1.1218442880470001</v>
      </c>
      <c r="AH5943">
        <v>8.9688126567946398</v>
      </c>
      <c r="AI5943">
        <v>96.625184161436593</v>
      </c>
      <c r="AJ5943">
        <v>111.78545901129399</v>
      </c>
      <c r="AK5943">
        <v>9.7235641993415207</v>
      </c>
      <c r="AL5943">
        <v>82.568406247566102</v>
      </c>
      <c r="AM5943">
        <v>112.93819800506699</v>
      </c>
      <c r="AN5943">
        <v>1.0000000052097</v>
      </c>
    </row>
    <row r="5944" spans="1:40" x14ac:dyDescent="0.25">
      <c r="A5944" t="str">
        <f>"20190312164144937"</f>
        <v>20190312164144937</v>
      </c>
      <c r="B5944" t="str">
        <f>"1552380104931769"</f>
        <v>1552380104931769</v>
      </c>
      <c r="C5944" t="s">
        <v>40</v>
      </c>
      <c r="D5944">
        <v>5.9789329999999996</v>
      </c>
      <c r="E5944">
        <v>0.4845662</v>
      </c>
      <c r="F5944" t="s">
        <v>51</v>
      </c>
      <c r="G5944">
        <v>-294.94940000000003</v>
      </c>
      <c r="H5944" s="1">
        <v>-8.4223859999999992E-6</v>
      </c>
      <c r="I5944">
        <v>-55.986559999999997</v>
      </c>
      <c r="J5944">
        <v>-301.29169999999999</v>
      </c>
      <c r="K5944">
        <v>1.122347</v>
      </c>
      <c r="L5944">
        <v>-47.431980000000003</v>
      </c>
      <c r="M5944">
        <v>0.25883779999999901</v>
      </c>
      <c r="N5944">
        <v>0</v>
      </c>
      <c r="O5944">
        <v>-0.96587100000000004</v>
      </c>
      <c r="P5944">
        <v>0.60492000000000001</v>
      </c>
      <c r="Q5944">
        <v>0.13151669999999999</v>
      </c>
      <c r="R5944">
        <v>-0.78535100000000002</v>
      </c>
      <c r="S5944">
        <v>1.788116</v>
      </c>
      <c r="T5944">
        <v>-0.31020530000000002</v>
      </c>
      <c r="U5944">
        <v>-2.4942630000000001</v>
      </c>
      <c r="V5944">
        <v>-0.38539610000000002</v>
      </c>
      <c r="W5944">
        <v>0.12799849999999999</v>
      </c>
      <c r="X5944">
        <v>0.91383049999999999</v>
      </c>
      <c r="Y5944">
        <v>-0.34931060000000003</v>
      </c>
      <c r="Z5944">
        <v>0.1018637</v>
      </c>
      <c r="AA5944">
        <v>0.93145359999999999</v>
      </c>
      <c r="AB5944">
        <v>45</v>
      </c>
      <c r="AC5944">
        <v>6.3422999999999599</v>
      </c>
      <c r="AD5944">
        <v>-1.1223554223859999</v>
      </c>
      <c r="AE5944">
        <v>-8.5545799999999996</v>
      </c>
      <c r="AF5944">
        <v>-3.8688093606635201</v>
      </c>
      <c r="AG5944">
        <v>-1.1223554223859999</v>
      </c>
      <c r="AH5944">
        <v>9.7959135635389494</v>
      </c>
      <c r="AI5944">
        <v>96.082712877830801</v>
      </c>
      <c r="AJ5944">
        <v>111.55110305636801</v>
      </c>
      <c r="AK5944">
        <v>10.5918501739612</v>
      </c>
      <c r="AL5944">
        <v>82.646051270934095</v>
      </c>
      <c r="AM5944">
        <v>112.86695087983399</v>
      </c>
      <c r="AN5944">
        <v>0.99999997631385396</v>
      </c>
    </row>
    <row r="5945" spans="1:40" x14ac:dyDescent="0.25">
      <c r="A5945" t="str">
        <f>"20190312164144961"</f>
        <v>20190312164144961</v>
      </c>
      <c r="B5945" t="str">
        <f>"1552380104952264"</f>
        <v>1552380104952264</v>
      </c>
      <c r="C5945" t="s">
        <v>40</v>
      </c>
      <c r="D5945">
        <v>5.9217810000000002</v>
      </c>
      <c r="E5945">
        <v>0.48328480000000001</v>
      </c>
      <c r="F5945" t="s">
        <v>51</v>
      </c>
      <c r="G5945">
        <v>-289.98570000000001</v>
      </c>
      <c r="H5945" s="1">
        <v>-9.8815670000000001E-6</v>
      </c>
      <c r="I5945">
        <v>-60.770420000000001</v>
      </c>
      <c r="J5945">
        <v>-301.16950000000003</v>
      </c>
      <c r="K5945">
        <v>1.122844</v>
      </c>
      <c r="L5945">
        <v>-47.865479999999998</v>
      </c>
      <c r="M5945">
        <v>0.27158640000000001</v>
      </c>
      <c r="N5945">
        <v>0</v>
      </c>
      <c r="O5945">
        <v>-0.96236100000000002</v>
      </c>
      <c r="P5945">
        <v>0.61375829999999998</v>
      </c>
      <c r="Q5945">
        <v>0.1313655</v>
      </c>
      <c r="R5945">
        <v>-0.77848839999999997</v>
      </c>
      <c r="S5945">
        <v>1.9757690000000001</v>
      </c>
      <c r="T5945">
        <v>-0.19613530000000001</v>
      </c>
      <c r="U5945">
        <v>-2.3309329999999999</v>
      </c>
      <c r="V5945">
        <v>-0.3837797</v>
      </c>
      <c r="W5945">
        <v>0.12774449999999901</v>
      </c>
      <c r="X5945">
        <v>0.91454610000000003</v>
      </c>
      <c r="Y5945">
        <v>-0.41369309999999998</v>
      </c>
      <c r="Z5945">
        <v>6.5425839999999999E-2</v>
      </c>
      <c r="AA5945">
        <v>0.90806249999999999</v>
      </c>
      <c r="AB5945">
        <v>45</v>
      </c>
      <c r="AC5945">
        <v>11.1838</v>
      </c>
      <c r="AD5945">
        <v>-1.1228538815669999</v>
      </c>
      <c r="AE5945">
        <v>-12.9049399999999</v>
      </c>
      <c r="AF5945">
        <v>-7.22717065508371</v>
      </c>
      <c r="AG5945">
        <v>-1.1228538815669999</v>
      </c>
      <c r="AH5945">
        <v>15.390825871009399</v>
      </c>
      <c r="AI5945">
        <v>93.778196632026393</v>
      </c>
      <c r="AJ5945">
        <v>115.15364835345</v>
      </c>
      <c r="AK5945">
        <v>17.040255793525699</v>
      </c>
      <c r="AL5945">
        <v>82.660725344920195</v>
      </c>
      <c r="AM5945">
        <v>112.764847255845</v>
      </c>
      <c r="AN5945">
        <v>1.00000004221877</v>
      </c>
    </row>
    <row r="5946" spans="1:40" x14ac:dyDescent="0.25">
      <c r="A5946" t="str">
        <f>"20190312164144981"</f>
        <v>20190312164144981</v>
      </c>
      <c r="B5946" t="str">
        <f>"1552380104971786"</f>
        <v>1552380104971786</v>
      </c>
      <c r="C5946" t="s">
        <v>40</v>
      </c>
      <c r="D5946">
        <v>5.9189639999999999</v>
      </c>
      <c r="E5946">
        <v>0.48324479999999997</v>
      </c>
      <c r="F5946" t="s">
        <v>42</v>
      </c>
      <c r="G5946">
        <v>-300.387</v>
      </c>
      <c r="H5946">
        <v>1.0469120000000001</v>
      </c>
      <c r="I5946">
        <v>-48.763069999999999</v>
      </c>
      <c r="J5946">
        <v>-301.04649999999998</v>
      </c>
      <c r="K5946">
        <v>1.123326</v>
      </c>
      <c r="L5946">
        <v>-48.280639999999998</v>
      </c>
      <c r="M5946">
        <v>0.28411950000000002</v>
      </c>
      <c r="N5946">
        <v>0</v>
      </c>
      <c r="O5946">
        <v>-0.95873149999999996</v>
      </c>
      <c r="P5946">
        <v>0.62225649999999999</v>
      </c>
      <c r="Q5946">
        <v>0.13112869999999999</v>
      </c>
      <c r="R5946">
        <v>-0.77175289999999996</v>
      </c>
      <c r="S5946">
        <v>2.0084529999999998</v>
      </c>
      <c r="T5946">
        <v>-0.1948318</v>
      </c>
      <c r="U5946">
        <v>-2.3030400000000002</v>
      </c>
      <c r="V5946">
        <v>-0.38199719999999998</v>
      </c>
      <c r="W5946">
        <v>0.12752359999999999</v>
      </c>
      <c r="X5946">
        <v>0.91532279999999999</v>
      </c>
      <c r="Y5946">
        <v>-0.41460780000000003</v>
      </c>
      <c r="Z5946">
        <v>6.4941570000000004E-2</v>
      </c>
      <c r="AA5946">
        <v>0.90768000000000004</v>
      </c>
      <c r="AB5946">
        <v>45</v>
      </c>
      <c r="AC5946">
        <v>0.65949999999997999</v>
      </c>
      <c r="AD5946">
        <v>-7.6413999999999899E-2</v>
      </c>
      <c r="AE5946">
        <v>-0.48242999999999298</v>
      </c>
      <c r="AF5946">
        <v>-0.49094936431715203</v>
      </c>
      <c r="AG5946">
        <v>-7.6413999999999899E-2</v>
      </c>
      <c r="AH5946">
        <v>0.64429877077987896</v>
      </c>
      <c r="AI5946">
        <v>95.389021986325602</v>
      </c>
      <c r="AJ5946">
        <v>127.307046277236</v>
      </c>
      <c r="AK5946">
        <v>0.813628467881919</v>
      </c>
      <c r="AL5946">
        <v>82.673485882840495</v>
      </c>
      <c r="AM5946">
        <v>112.65253642552599</v>
      </c>
      <c r="AN5946">
        <v>0.99999997878231905</v>
      </c>
    </row>
    <row r="5947" spans="1:40" x14ac:dyDescent="0.25">
      <c r="A5947" t="str">
        <f>"20190312164145003"</f>
        <v>20190312164145003</v>
      </c>
      <c r="B5947" t="str">
        <f>"1552380104992281"</f>
        <v>1552380104992281</v>
      </c>
      <c r="C5947" t="s">
        <v>40</v>
      </c>
      <c r="D5947">
        <v>5.9681389999999999</v>
      </c>
      <c r="E5947">
        <v>0.48346220000000001</v>
      </c>
      <c r="F5947" t="s">
        <v>42</v>
      </c>
      <c r="G5947">
        <v>-300.27800000000002</v>
      </c>
      <c r="H5947">
        <v>1.0494349999999999</v>
      </c>
      <c r="I5947">
        <v>-49.143279999999997</v>
      </c>
      <c r="J5947">
        <v>-300.92009999999999</v>
      </c>
      <c r="K5947">
        <v>1.123786</v>
      </c>
      <c r="L5947">
        <v>-48.688290000000002</v>
      </c>
      <c r="M5947">
        <v>0.29671419999999998</v>
      </c>
      <c r="N5947">
        <v>0</v>
      </c>
      <c r="O5947">
        <v>-0.95490370000000002</v>
      </c>
      <c r="P5947">
        <v>0.63157980000000002</v>
      </c>
      <c r="Q5947">
        <v>0.1318598</v>
      </c>
      <c r="R5947">
        <v>-0.76401580000000002</v>
      </c>
      <c r="S5947">
        <v>2.0328369999999998</v>
      </c>
      <c r="T5947">
        <v>-0.19542880000000001</v>
      </c>
      <c r="U5947">
        <v>-2.2814329999999998</v>
      </c>
      <c r="V5947">
        <v>-0.38126100000000002</v>
      </c>
      <c r="W5947">
        <v>0.1283281</v>
      </c>
      <c r="X5947">
        <v>0.91551729999999998</v>
      </c>
      <c r="Y5947">
        <v>-0.41230339999999999</v>
      </c>
      <c r="Z5947">
        <v>6.50477E-2</v>
      </c>
      <c r="AA5947">
        <v>0.90872140000000001</v>
      </c>
      <c r="AB5947">
        <v>45</v>
      </c>
      <c r="AC5947">
        <v>0.64209999999997003</v>
      </c>
      <c r="AD5947">
        <v>-7.4350999999999806E-2</v>
      </c>
      <c r="AE5947">
        <v>-0.45498999999999501</v>
      </c>
      <c r="AF5947">
        <v>-0.47393978671376302</v>
      </c>
      <c r="AG5947">
        <v>-7.4350999999999806E-2</v>
      </c>
      <c r="AH5947">
        <v>0.61949942527740498</v>
      </c>
      <c r="AI5947">
        <v>95.445091375238405</v>
      </c>
      <c r="AJ5947">
        <v>127.417314526365</v>
      </c>
      <c r="AK5947">
        <v>0.78353463902390597</v>
      </c>
      <c r="AL5947">
        <v>82.627009639789804</v>
      </c>
      <c r="AM5947">
        <v>112.60895687344799</v>
      </c>
      <c r="AN5947">
        <v>0.99999998898494902</v>
      </c>
    </row>
    <row r="5948" spans="1:40" x14ac:dyDescent="0.25">
      <c r="A5948" t="str">
        <f>"20190312164145024"</f>
        <v>20190312164145024</v>
      </c>
      <c r="B5948" t="str">
        <f>"1552380105011801"</f>
        <v>1552380105011801</v>
      </c>
      <c r="C5948" t="s">
        <v>40</v>
      </c>
      <c r="D5948">
        <v>6.3427170000000004</v>
      </c>
      <c r="E5948">
        <v>0.4833518</v>
      </c>
      <c r="F5948" t="s">
        <v>42</v>
      </c>
      <c r="G5948">
        <v>-300.16300000000001</v>
      </c>
      <c r="H5948">
        <v>1.0526150000000001</v>
      </c>
      <c r="I5948">
        <v>-49.520699999999998</v>
      </c>
      <c r="J5948">
        <v>-300.79000000000002</v>
      </c>
      <c r="K5948">
        <v>1.1242099999999999</v>
      </c>
      <c r="L5948">
        <v>-49.089419999999997</v>
      </c>
      <c r="M5948">
        <v>0.30938559999999998</v>
      </c>
      <c r="N5948">
        <v>0</v>
      </c>
      <c r="O5948">
        <v>-0.95086780000000004</v>
      </c>
      <c r="P5948">
        <v>0.64076449999999996</v>
      </c>
      <c r="Q5948">
        <v>0.1309835</v>
      </c>
      <c r="R5948">
        <v>-0.75648179999999998</v>
      </c>
      <c r="S5948">
        <v>2.0564580000000001</v>
      </c>
      <c r="T5948">
        <v>-0.1932355</v>
      </c>
      <c r="U5948">
        <v>-2.259979</v>
      </c>
      <c r="V5948">
        <v>-0.38019770000000003</v>
      </c>
      <c r="W5948">
        <v>0.1276234</v>
      </c>
      <c r="X5948">
        <v>0.91605789999999998</v>
      </c>
      <c r="Y5948">
        <v>-0.40971590000000002</v>
      </c>
      <c r="Z5948">
        <v>6.4213049999999994E-2</v>
      </c>
      <c r="AA5948">
        <v>0.90995029999999999</v>
      </c>
      <c r="AB5948">
        <v>45</v>
      </c>
      <c r="AC5948">
        <v>0.62700000000000899</v>
      </c>
      <c r="AD5948">
        <v>-7.1595000000000006E-2</v>
      </c>
      <c r="AE5948">
        <v>-0.431279999999993</v>
      </c>
      <c r="AF5948">
        <v>-0.458732395572513</v>
      </c>
      <c r="AG5948">
        <v>-7.1595000000000006E-2</v>
      </c>
      <c r="AH5948">
        <v>0.59881454243416599</v>
      </c>
      <c r="AI5948">
        <v>95.421815408981701</v>
      </c>
      <c r="AJ5948">
        <v>127.45455424319999</v>
      </c>
      <c r="AK5948">
        <v>0.75772033825372298</v>
      </c>
      <c r="AL5948">
        <v>82.667721180032899</v>
      </c>
      <c r="AM5948">
        <v>112.540246616609</v>
      </c>
      <c r="AN5948">
        <v>1.00000004973262</v>
      </c>
    </row>
    <row r="5949" spans="1:40" x14ac:dyDescent="0.25">
      <c r="A5949" t="str">
        <f>"20190312164145047"</f>
        <v>20190312164145047</v>
      </c>
      <c r="B5949" t="str">
        <f>"1552380105042057"</f>
        <v>1552380105042057</v>
      </c>
      <c r="C5949" t="s">
        <v>40</v>
      </c>
      <c r="D5949">
        <v>5.7027910000000004</v>
      </c>
      <c r="E5949">
        <v>0.48374889999999998</v>
      </c>
      <c r="F5949" t="s">
        <v>42</v>
      </c>
      <c r="G5949">
        <v>-300.0403</v>
      </c>
      <c r="H5949">
        <v>1.053015</v>
      </c>
      <c r="I5949">
        <v>-49.894240000000003</v>
      </c>
      <c r="J5949">
        <v>-300.64060000000001</v>
      </c>
      <c r="K5949">
        <v>1.124647</v>
      </c>
      <c r="L5949">
        <v>-49.52899</v>
      </c>
      <c r="M5949">
        <v>0.32360709999999998</v>
      </c>
      <c r="N5949">
        <v>0</v>
      </c>
      <c r="O5949">
        <v>-0.94611500000000004</v>
      </c>
      <c r="P5949">
        <v>0.65153939999999999</v>
      </c>
      <c r="Q5949">
        <v>0.1300229</v>
      </c>
      <c r="R5949">
        <v>-0.74738930000000003</v>
      </c>
      <c r="S5949">
        <v>2.0828859999999998</v>
      </c>
      <c r="T5949">
        <v>-0.19778309999999999</v>
      </c>
      <c r="U5949">
        <v>-2.235687</v>
      </c>
      <c r="V5949">
        <v>-0.37963580000000002</v>
      </c>
      <c r="W5949">
        <v>0.12689320000000001</v>
      </c>
      <c r="X5949">
        <v>0.91639230000000005</v>
      </c>
      <c r="Y5949">
        <v>-0.40666540000000001</v>
      </c>
      <c r="Z5949">
        <v>6.5572489999999997E-2</v>
      </c>
      <c r="AA5949">
        <v>0.9112209</v>
      </c>
      <c r="AB5949">
        <v>45</v>
      </c>
      <c r="AC5949">
        <v>0.60030000000000405</v>
      </c>
      <c r="AD5949">
        <v>-7.1631999999999904E-2</v>
      </c>
      <c r="AE5949">
        <v>-0.36525000000000302</v>
      </c>
      <c r="AF5949">
        <v>-0.44516187758306103</v>
      </c>
      <c r="AG5949">
        <v>-7.1631999999999904E-2</v>
      </c>
      <c r="AH5949">
        <v>0.53431642882278596</v>
      </c>
      <c r="AI5949">
        <v>95.880705471530504</v>
      </c>
      <c r="AJ5949">
        <v>129.79912730578499</v>
      </c>
      <c r="AK5949">
        <v>0.699138245833549</v>
      </c>
      <c r="AL5949">
        <v>82.709901400134797</v>
      </c>
      <c r="AM5949">
        <v>112.50286472257901</v>
      </c>
      <c r="AN5949">
        <v>1.0000000361735799</v>
      </c>
    </row>
    <row r="5950" spans="1:40" x14ac:dyDescent="0.25">
      <c r="A5950" t="str">
        <f>"20190312164145069"</f>
        <v>20190312164145069</v>
      </c>
      <c r="B5950" t="str">
        <f>"1552380105062553"</f>
        <v>1552380105062553</v>
      </c>
      <c r="C5950" t="s">
        <v>40</v>
      </c>
      <c r="D5950">
        <v>5.9848610000000004</v>
      </c>
      <c r="E5950">
        <v>0.48854900000000001</v>
      </c>
      <c r="F5950" t="s">
        <v>42</v>
      </c>
      <c r="G5950">
        <v>-299.9271</v>
      </c>
      <c r="H5950">
        <v>1.0567850000000001</v>
      </c>
      <c r="I5950">
        <v>-50.27525</v>
      </c>
      <c r="J5950">
        <v>-300.49450000000002</v>
      </c>
      <c r="K5950">
        <v>1.1250199999999999</v>
      </c>
      <c r="L5950">
        <v>-49.940280000000001</v>
      </c>
      <c r="M5950">
        <v>0.33723019999999998</v>
      </c>
      <c r="N5950">
        <v>0</v>
      </c>
      <c r="O5950">
        <v>-0.94133789999999995</v>
      </c>
      <c r="P5950">
        <v>0.6627613</v>
      </c>
      <c r="Q5950">
        <v>0.12847030000000001</v>
      </c>
      <c r="R5950">
        <v>-0.73772869999999902</v>
      </c>
      <c r="S5950">
        <v>2.1116640000000002</v>
      </c>
      <c r="T5950">
        <v>-0.20079449999999999</v>
      </c>
      <c r="U5950">
        <v>-2.2080690000000001</v>
      </c>
      <c r="V5950">
        <v>-0.3802278</v>
      </c>
      <c r="W5950">
        <v>0.12554219999999999</v>
      </c>
      <c r="X5950">
        <v>0.91633290000000001</v>
      </c>
      <c r="Y5950">
        <v>-0.40533259999999899</v>
      </c>
      <c r="Z5950">
        <v>6.6435229999999998E-2</v>
      </c>
      <c r="AA5950">
        <v>0.91175209999999995</v>
      </c>
      <c r="AB5950">
        <v>45</v>
      </c>
      <c r="AC5950">
        <v>0.56740000000002</v>
      </c>
      <c r="AD5950">
        <v>-6.8235000000000004E-2</v>
      </c>
      <c r="AE5950">
        <v>-0.33496999999999799</v>
      </c>
      <c r="AF5950">
        <v>-0.416717472203607</v>
      </c>
      <c r="AG5950">
        <v>-6.8235000000000004E-2</v>
      </c>
      <c r="AH5950">
        <v>0.50132810152572804</v>
      </c>
      <c r="AI5950">
        <v>95.975377645835394</v>
      </c>
      <c r="AJ5950">
        <v>129.734275162561</v>
      </c>
      <c r="AK5950">
        <v>0.65546878815406195</v>
      </c>
      <c r="AL5950">
        <v>82.787931811481499</v>
      </c>
      <c r="AM5950">
        <v>112.53576409972599</v>
      </c>
      <c r="AN5950">
        <v>1.0000000037480401</v>
      </c>
    </row>
    <row r="5951" spans="1:40" x14ac:dyDescent="0.25">
      <c r="A5951" t="str">
        <f>"20190312164145091"</f>
        <v>20190312164145091</v>
      </c>
      <c r="B5951" t="str">
        <f>"1552380105082073"</f>
        <v>1552380105082073</v>
      </c>
      <c r="C5951" t="s">
        <v>40</v>
      </c>
      <c r="D5951">
        <v>5.9766050000000002</v>
      </c>
      <c r="E5951">
        <v>0.48807729999999999</v>
      </c>
      <c r="F5951" t="s">
        <v>51</v>
      </c>
      <c r="G5951">
        <v>-282.65600000000001</v>
      </c>
      <c r="H5951" s="1">
        <v>-5.6755360000000003E-6</v>
      </c>
      <c r="I5951">
        <v>-68.510599999999997</v>
      </c>
      <c r="J5951">
        <v>-300.34539999999998</v>
      </c>
      <c r="K5951">
        <v>1.1253580000000001</v>
      </c>
      <c r="L5951">
        <v>-50.341920000000002</v>
      </c>
      <c r="M5951">
        <v>0.35083199999999998</v>
      </c>
      <c r="N5951">
        <v>0</v>
      </c>
      <c r="O5951">
        <v>-0.93634600000000001</v>
      </c>
      <c r="P5951">
        <v>0.67360069999999905</v>
      </c>
      <c r="Q5951">
        <v>0.126969</v>
      </c>
      <c r="R5951">
        <v>-0.728108599999999</v>
      </c>
      <c r="S5951">
        <v>2.1087340000000001</v>
      </c>
      <c r="T5951">
        <v>-0.13299250000000001</v>
      </c>
      <c r="U5951">
        <v>-2.1952509999999998</v>
      </c>
      <c r="V5951">
        <v>-0.38046649999999999</v>
      </c>
      <c r="W5951">
        <v>0.124263</v>
      </c>
      <c r="X5951">
        <v>0.91640820000000001</v>
      </c>
      <c r="Y5951">
        <v>-0.39497579999999999</v>
      </c>
      <c r="Z5951">
        <v>4.403083E-2</v>
      </c>
      <c r="AA5951">
        <v>0.9176358</v>
      </c>
      <c r="AB5951">
        <v>45</v>
      </c>
      <c r="AC5951">
        <v>17.6893999999999</v>
      </c>
      <c r="AD5951">
        <v>-1.1253636755359999</v>
      </c>
      <c r="AE5951">
        <v>-18.168679999999899</v>
      </c>
      <c r="AF5951">
        <v>-10.170096082024999</v>
      </c>
      <c r="AG5951">
        <v>-1.1253636755359999</v>
      </c>
      <c r="AH5951">
        <v>23.174544817523401</v>
      </c>
      <c r="AI5951">
        <v>92.546086887109794</v>
      </c>
      <c r="AJ5951">
        <v>113.69415853709501</v>
      </c>
      <c r="AK5951">
        <v>25.332919792618402</v>
      </c>
      <c r="AL5951">
        <v>82.8618031788114</v>
      </c>
      <c r="AM5951">
        <v>112.54682850117401</v>
      </c>
      <c r="AN5951">
        <v>1.00000001990924</v>
      </c>
    </row>
    <row r="5952" spans="1:40" x14ac:dyDescent="0.25">
      <c r="A5952" t="str">
        <f>"20190312164145114"</f>
        <v>20190312164145114</v>
      </c>
      <c r="B5952" t="str">
        <f>"1552380105102569"</f>
        <v>1552380105102569</v>
      </c>
      <c r="C5952" t="s">
        <v>40</v>
      </c>
      <c r="D5952">
        <v>6.1008500000000003</v>
      </c>
      <c r="E5952">
        <v>0.4887377</v>
      </c>
      <c r="F5952" t="s">
        <v>51</v>
      </c>
      <c r="G5952">
        <v>-288.20119999999997</v>
      </c>
      <c r="H5952" s="1">
        <v>-4.0256159999999996E-6</v>
      </c>
      <c r="I5952">
        <v>-62.587130000000002</v>
      </c>
      <c r="J5952">
        <v>-300.18400000000003</v>
      </c>
      <c r="K5952">
        <v>1.12568</v>
      </c>
      <c r="L5952">
        <v>-50.758670000000002</v>
      </c>
      <c r="M5952">
        <v>0.36524220000000002</v>
      </c>
      <c r="N5952">
        <v>0</v>
      </c>
      <c r="O5952">
        <v>-0.93081130000000001</v>
      </c>
      <c r="P5952">
        <v>0.685975</v>
      </c>
      <c r="Q5952">
        <v>0.1255067</v>
      </c>
      <c r="R5952">
        <v>-0.71671929999999995</v>
      </c>
      <c r="S5952">
        <v>2.1490170000000002</v>
      </c>
      <c r="T5952">
        <v>-0.19914290000000001</v>
      </c>
      <c r="U5952">
        <v>-2.1669010000000002</v>
      </c>
      <c r="V5952">
        <v>-0.38197710000000001</v>
      </c>
      <c r="W5952">
        <v>0.1229688</v>
      </c>
      <c r="X5952">
        <v>0.91595420000000005</v>
      </c>
      <c r="Y5952">
        <v>-0.3945612</v>
      </c>
      <c r="Z5952">
        <v>6.5522159999999996E-2</v>
      </c>
      <c r="AA5952">
        <v>0.91653050000000003</v>
      </c>
      <c r="AB5952">
        <v>45</v>
      </c>
      <c r="AC5952">
        <v>11.982799999999999</v>
      </c>
      <c r="AD5952">
        <v>-1.1256840256159999</v>
      </c>
      <c r="AE5952">
        <v>-11.82846</v>
      </c>
      <c r="AF5952">
        <v>-6.80370625906877</v>
      </c>
      <c r="AG5952">
        <v>-1.1256840256159999</v>
      </c>
      <c r="AH5952">
        <v>15.3196639910794</v>
      </c>
      <c r="AI5952">
        <v>93.841916294082196</v>
      </c>
      <c r="AJ5952">
        <v>113.946767553605</v>
      </c>
      <c r="AK5952">
        <v>16.8002883363588</v>
      </c>
      <c r="AL5952">
        <v>82.9365281136362</v>
      </c>
      <c r="AM5952">
        <v>112.637425839874</v>
      </c>
      <c r="AN5952">
        <v>0.99999996359774401</v>
      </c>
    </row>
    <row r="5953" spans="1:40" x14ac:dyDescent="0.25">
      <c r="A5953" t="str">
        <f>"20190312164145136"</f>
        <v>20190312164145136</v>
      </c>
      <c r="B5953" t="str">
        <f>"1552380105131849"</f>
        <v>1552380105131849</v>
      </c>
      <c r="C5953" t="s">
        <v>40</v>
      </c>
      <c r="D5953">
        <v>6.0418510000000003</v>
      </c>
      <c r="E5953">
        <v>0.48970380000000002</v>
      </c>
      <c r="F5953" t="s">
        <v>51</v>
      </c>
      <c r="G5953">
        <v>-287.96789999999999</v>
      </c>
      <c r="H5953" s="1">
        <v>-4.1197800000000002E-6</v>
      </c>
      <c r="I5953">
        <v>-62.7177199999999</v>
      </c>
      <c r="J5953">
        <v>-300.01960000000003</v>
      </c>
      <c r="K5953">
        <v>1.125969</v>
      </c>
      <c r="L5953">
        <v>-51.165309999999998</v>
      </c>
      <c r="M5953">
        <v>0.37958130000000001</v>
      </c>
      <c r="N5953">
        <v>0</v>
      </c>
      <c r="O5953">
        <v>-0.9250488</v>
      </c>
      <c r="P5953">
        <v>0.69898079999999996</v>
      </c>
      <c r="Q5953">
        <v>0.1237862</v>
      </c>
      <c r="R5953">
        <v>-0.70434569999999996</v>
      </c>
      <c r="S5953">
        <v>2.180145</v>
      </c>
      <c r="T5953">
        <v>-0.20089570000000001</v>
      </c>
      <c r="U5953">
        <v>-2.134277</v>
      </c>
      <c r="V5953">
        <v>-0.38450570000000001</v>
      </c>
      <c r="W5953">
        <v>0.12134929999999999</v>
      </c>
      <c r="X5953">
        <v>0.91511180000000003</v>
      </c>
      <c r="Y5953">
        <v>-0.39388329999999999</v>
      </c>
      <c r="Z5953">
        <v>6.5923270000000006E-2</v>
      </c>
      <c r="AA5953">
        <v>0.91679339999999998</v>
      </c>
      <c r="AB5953">
        <v>45</v>
      </c>
      <c r="AC5953">
        <v>12.0517</v>
      </c>
      <c r="AD5953">
        <v>-1.12597311977999</v>
      </c>
      <c r="AE5953">
        <v>-11.552409999999901</v>
      </c>
      <c r="AF5953">
        <v>-6.73338734943622</v>
      </c>
      <c r="AG5953">
        <v>-1.12597311977999</v>
      </c>
      <c r="AH5953">
        <v>15.193574665611999</v>
      </c>
      <c r="AI5953">
        <v>93.876044825114604</v>
      </c>
      <c r="AJ5953">
        <v>113.901644764742</v>
      </c>
      <c r="AK5953">
        <v>16.656861402543399</v>
      </c>
      <c r="AL5953">
        <v>83.030018716332805</v>
      </c>
      <c r="AM5953">
        <v>112.79085392454201</v>
      </c>
      <c r="AN5953">
        <v>0.99999994622110799</v>
      </c>
    </row>
    <row r="5954" spans="1:40" x14ac:dyDescent="0.25">
      <c r="A5954" t="str">
        <f>"20190312164145160"</f>
        <v>20190312164145160</v>
      </c>
      <c r="B5954" t="str">
        <f>"1552380105152345"</f>
        <v>1552380105152345</v>
      </c>
      <c r="C5954" t="s">
        <v>40</v>
      </c>
      <c r="D5954">
        <v>6.0731580000000003</v>
      </c>
      <c r="E5954">
        <v>0.48987009999999998</v>
      </c>
      <c r="F5954" t="s">
        <v>51</v>
      </c>
      <c r="G5954">
        <v>-287.98970000000003</v>
      </c>
      <c r="H5954" s="1">
        <v>-4.1329809999999998E-6</v>
      </c>
      <c r="I5954">
        <v>-62.581949999999999</v>
      </c>
      <c r="J5954">
        <v>-299.8476</v>
      </c>
      <c r="K5954">
        <v>1.1262299999999901</v>
      </c>
      <c r="L5954">
        <v>-51.572850000000003</v>
      </c>
      <c r="M5954">
        <v>0.39421850000000003</v>
      </c>
      <c r="N5954">
        <v>0</v>
      </c>
      <c r="O5954">
        <v>-0.91889909999999997</v>
      </c>
      <c r="P5954">
        <v>0.71267369999999997</v>
      </c>
      <c r="Q5954">
        <v>0.12195209999999999</v>
      </c>
      <c r="R5954">
        <v>-0.69081380000000003</v>
      </c>
      <c r="S5954">
        <v>2.2126769999999998</v>
      </c>
      <c r="T5954">
        <v>-0.20710229999999999</v>
      </c>
      <c r="U5954">
        <v>-2.0998839999999999</v>
      </c>
      <c r="V5954">
        <v>-0.38783050000000002</v>
      </c>
      <c r="W5954">
        <v>0.1195557</v>
      </c>
      <c r="X5954">
        <v>0.91394419999999998</v>
      </c>
      <c r="Y5954">
        <v>-0.39342250000000001</v>
      </c>
      <c r="Z5954">
        <v>6.7743299999999895E-2</v>
      </c>
      <c r="AA5954">
        <v>0.91685850000000002</v>
      </c>
      <c r="AB5954">
        <v>45</v>
      </c>
      <c r="AC5954">
        <v>11.8578999999999</v>
      </c>
      <c r="AD5954">
        <v>-1.1262341329809999</v>
      </c>
      <c r="AE5954">
        <v>-11.009099999999901</v>
      </c>
      <c r="AF5954">
        <v>-6.5253181429320204</v>
      </c>
      <c r="AG5954">
        <v>-1.1262341329809999</v>
      </c>
      <c r="AH5954">
        <v>14.7211347597996</v>
      </c>
      <c r="AI5954">
        <v>94.000833167038707</v>
      </c>
      <c r="AJ5954">
        <v>113.905885327513</v>
      </c>
      <c r="AK5954">
        <v>16.141870672414299</v>
      </c>
      <c r="AL5954">
        <v>83.133538750105998</v>
      </c>
      <c r="AM5954">
        <v>112.993848660921</v>
      </c>
      <c r="AN5954">
        <v>1.0000000314231801</v>
      </c>
    </row>
    <row r="5955" spans="1:40" x14ac:dyDescent="0.25">
      <c r="A5955" t="str">
        <f>"20190312164145181"</f>
        <v>20190312164145181</v>
      </c>
      <c r="B5955" t="str">
        <f>"1552380105171865"</f>
        <v>1552380105171865</v>
      </c>
      <c r="C5955" t="s">
        <v>40</v>
      </c>
      <c r="D5955">
        <v>6.1044600000000004</v>
      </c>
      <c r="E5955">
        <v>0.4894771</v>
      </c>
      <c r="F5955" t="s">
        <v>42</v>
      </c>
      <c r="G5955">
        <v>-298.9674</v>
      </c>
      <c r="H5955">
        <v>1.0427789999999999</v>
      </c>
      <c r="I5955">
        <v>-52.377850000000002</v>
      </c>
      <c r="J5955">
        <v>-299.67200000000003</v>
      </c>
      <c r="K5955">
        <v>1.1264780000000001</v>
      </c>
      <c r="L5955">
        <v>-51.971069999999997</v>
      </c>
      <c r="M5955">
        <v>0.40876420000000002</v>
      </c>
      <c r="N5955">
        <v>0</v>
      </c>
      <c r="O5955">
        <v>-0.91251470000000001</v>
      </c>
      <c r="P5955">
        <v>0.72582239999999998</v>
      </c>
      <c r="Q5955">
        <v>0.1212049</v>
      </c>
      <c r="R5955">
        <v>-0.6771201</v>
      </c>
      <c r="S5955">
        <v>2.2511290000000002</v>
      </c>
      <c r="T5955">
        <v>-0.21336150000000001</v>
      </c>
      <c r="U5955">
        <v>-2.058014</v>
      </c>
      <c r="V5955">
        <v>-0.39087929999999999</v>
      </c>
      <c r="W5955">
        <v>0.1188294</v>
      </c>
      <c r="X5955">
        <v>0.91273930000000003</v>
      </c>
      <c r="Y5955">
        <v>-0.39580379999999998</v>
      </c>
      <c r="Z5955">
        <v>6.9594119999999995E-2</v>
      </c>
      <c r="AA5955">
        <v>0.91569429999999996</v>
      </c>
      <c r="AB5955">
        <v>44</v>
      </c>
      <c r="AC5955">
        <v>0.70460000000002698</v>
      </c>
      <c r="AD5955">
        <v>-8.3698999999999898E-2</v>
      </c>
      <c r="AE5955">
        <v>-0.40677999999999698</v>
      </c>
      <c r="AF5955">
        <v>-0.47174261650788701</v>
      </c>
      <c r="AG5955">
        <v>-8.3698999999999898E-2</v>
      </c>
      <c r="AH5955">
        <v>0.65237896751962898</v>
      </c>
      <c r="AI5955">
        <v>95.935417210065296</v>
      </c>
      <c r="AJ5955">
        <v>125.87111766581</v>
      </c>
      <c r="AK5955">
        <v>0.80941023967620096</v>
      </c>
      <c r="AL5955">
        <v>83.175451533437695</v>
      </c>
      <c r="AM5955">
        <v>113.182960699601</v>
      </c>
      <c r="AN5955">
        <v>1.0000000416186601</v>
      </c>
    </row>
    <row r="5956" spans="1:40" x14ac:dyDescent="0.25">
      <c r="A5956" t="str">
        <f>"20190312164145204"</f>
        <v>20190312164145204</v>
      </c>
      <c r="B5956" t="str">
        <f>"1552380105192361"</f>
        <v>1552380105192361</v>
      </c>
      <c r="C5956" t="s">
        <v>40</v>
      </c>
      <c r="D5956">
        <v>6.1735989999999896</v>
      </c>
      <c r="E5956">
        <v>0.49058950000000001</v>
      </c>
      <c r="F5956" t="s">
        <v>42</v>
      </c>
      <c r="G5956">
        <v>-298.80849999999998</v>
      </c>
      <c r="H5956">
        <v>1.0372410000000001</v>
      </c>
      <c r="I5956">
        <v>-52.729340000000001</v>
      </c>
      <c r="J5956">
        <v>-299.49259999999998</v>
      </c>
      <c r="K5956">
        <v>1.12669</v>
      </c>
      <c r="L5956">
        <v>-52.36215</v>
      </c>
      <c r="M5956">
        <v>0.42323949999999999</v>
      </c>
      <c r="N5956">
        <v>0</v>
      </c>
      <c r="O5956">
        <v>-0.9058853</v>
      </c>
      <c r="P5956">
        <v>0.73800250000000001</v>
      </c>
      <c r="Q5956">
        <v>0.1210865</v>
      </c>
      <c r="R5956">
        <v>-0.66384540000000003</v>
      </c>
      <c r="S5956">
        <v>2.2936709999999998</v>
      </c>
      <c r="T5956">
        <v>-0.23705889999999999</v>
      </c>
      <c r="U5956">
        <v>-2.0143430000000002</v>
      </c>
      <c r="V5956">
        <v>-0.39298810000000001</v>
      </c>
      <c r="W5956">
        <v>0.11875230000000001</v>
      </c>
      <c r="X5956">
        <v>0.91184339999999997</v>
      </c>
      <c r="Y5956">
        <v>-0.39901890000000001</v>
      </c>
      <c r="Z5956">
        <v>7.7001970000000003E-2</v>
      </c>
      <c r="AA5956">
        <v>0.91370379999999995</v>
      </c>
      <c r="AB5956">
        <v>44</v>
      </c>
      <c r="AC5956">
        <v>0.68410000000000004</v>
      </c>
      <c r="AD5956">
        <v>-8.9448999999999806E-2</v>
      </c>
      <c r="AE5956">
        <v>-0.36719000000000002</v>
      </c>
      <c r="AF5956">
        <v>-0.45827992763141601</v>
      </c>
      <c r="AG5956">
        <v>-8.9448999999999806E-2</v>
      </c>
      <c r="AH5956">
        <v>0.61409413983859196</v>
      </c>
      <c r="AI5956">
        <v>96.658386226919504</v>
      </c>
      <c r="AJ5956">
        <v>126.73286973976199</v>
      </c>
      <c r="AK5956">
        <v>0.77144878524433202</v>
      </c>
      <c r="AL5956">
        <v>83.179900739973405</v>
      </c>
      <c r="AM5956">
        <v>113.315172855892</v>
      </c>
      <c r="AN5956">
        <v>1.0000000708102199</v>
      </c>
    </row>
    <row r="5957" spans="1:40" x14ac:dyDescent="0.25">
      <c r="A5957" t="str">
        <f>"20190312164145225"</f>
        <v>20190312164145225</v>
      </c>
      <c r="B5957" t="str">
        <f>"1552380105211881"</f>
        <v>1552380105211881</v>
      </c>
      <c r="C5957" t="s">
        <v>40</v>
      </c>
      <c r="D5957">
        <v>6.1046500000000004</v>
      </c>
      <c r="E5957">
        <v>0.49144480000000001</v>
      </c>
      <c r="F5957" t="s">
        <v>42</v>
      </c>
      <c r="G5957">
        <v>-298.64879999999999</v>
      </c>
      <c r="H5957">
        <v>1.043347</v>
      </c>
      <c r="I5957">
        <v>-53.080910000000003</v>
      </c>
      <c r="J5957">
        <v>-299.30680000000001</v>
      </c>
      <c r="K5957">
        <v>1.126881</v>
      </c>
      <c r="L5957">
        <v>-52.751530000000002</v>
      </c>
      <c r="M5957">
        <v>0.43781639999999999</v>
      </c>
      <c r="N5957">
        <v>0</v>
      </c>
      <c r="O5957">
        <v>-0.89892510000000003</v>
      </c>
      <c r="P5957">
        <v>0.74940799999999996</v>
      </c>
      <c r="Q5957">
        <v>0.1223976</v>
      </c>
      <c r="R5957">
        <v>-0.65069709999999903</v>
      </c>
      <c r="S5957">
        <v>2.3232729999999999</v>
      </c>
      <c r="T5957">
        <v>-0.2294031</v>
      </c>
      <c r="U5957">
        <v>-1.97821</v>
      </c>
      <c r="V5957">
        <v>-0.3943084</v>
      </c>
      <c r="W5957">
        <v>0.12011860000000001</v>
      </c>
      <c r="X5957">
        <v>0.91109410000000002</v>
      </c>
      <c r="Y5957">
        <v>-0.39835769999999998</v>
      </c>
      <c r="Z5957">
        <v>7.4252799999999994E-2</v>
      </c>
      <c r="AA5957">
        <v>0.91421969999999997</v>
      </c>
      <c r="AB5957">
        <v>44</v>
      </c>
      <c r="AC5957">
        <v>0.65800000000001502</v>
      </c>
      <c r="AD5957">
        <v>-8.3533999999999997E-2</v>
      </c>
      <c r="AE5957">
        <v>-0.32937999999999301</v>
      </c>
      <c r="AF5957">
        <v>-0.44164908319844798</v>
      </c>
      <c r="AG5957">
        <v>-8.3533999999999997E-2</v>
      </c>
      <c r="AH5957">
        <v>0.57681074240115005</v>
      </c>
      <c r="AI5957">
        <v>96.559377865444702</v>
      </c>
      <c r="AJ5957">
        <v>127.44034743775499</v>
      </c>
      <c r="AK5957">
        <v>0.73126087984753796</v>
      </c>
      <c r="AL5957">
        <v>83.101052809206195</v>
      </c>
      <c r="AM5957">
        <v>113.402265726042</v>
      </c>
      <c r="AN5957">
        <v>1.00000002571566</v>
      </c>
    </row>
    <row r="5958" spans="1:40" x14ac:dyDescent="0.25">
      <c r="A5958" t="str">
        <f>"20190312164145248"</f>
        <v>20190312164145248</v>
      </c>
      <c r="B5958" t="str">
        <f>"1552380105242138"</f>
        <v>1552380105242138</v>
      </c>
      <c r="C5958" t="s">
        <v>40</v>
      </c>
      <c r="D5958">
        <v>6.1013929999999998</v>
      </c>
      <c r="E5958">
        <v>0.49292439999999998</v>
      </c>
      <c r="F5958" t="s">
        <v>42</v>
      </c>
      <c r="G5958">
        <v>-298.48509999999999</v>
      </c>
      <c r="H5958">
        <v>1.0492649999999999</v>
      </c>
      <c r="I5958">
        <v>-53.430219999999998</v>
      </c>
      <c r="J5958">
        <v>-299.1087</v>
      </c>
      <c r="K5958">
        <v>1.1270560000000001</v>
      </c>
      <c r="L5958">
        <v>-53.150880000000001</v>
      </c>
      <c r="M5958">
        <v>0.4529204</v>
      </c>
      <c r="N5958">
        <v>0</v>
      </c>
      <c r="O5958">
        <v>-0.89140520000000001</v>
      </c>
      <c r="P5958">
        <v>0.76075919999999997</v>
      </c>
      <c r="Q5958">
        <v>0.1237973</v>
      </c>
      <c r="R5958">
        <v>-0.63711850000000003</v>
      </c>
      <c r="S5958">
        <v>2.352417</v>
      </c>
      <c r="T5958">
        <v>-0.22219810000000001</v>
      </c>
      <c r="U5958">
        <v>-1.942993</v>
      </c>
      <c r="V5958">
        <v>-0.39523900000000001</v>
      </c>
      <c r="W5958">
        <v>0.1215741</v>
      </c>
      <c r="X5958">
        <v>0.91049760000000002</v>
      </c>
      <c r="Y5958">
        <v>-0.39673950000000002</v>
      </c>
      <c r="Z5958">
        <v>7.1591500000000002E-2</v>
      </c>
      <c r="AA5958">
        <v>0.91513520000000004</v>
      </c>
      <c r="AB5958">
        <v>44</v>
      </c>
      <c r="AC5958">
        <v>0.62360000000001004</v>
      </c>
      <c r="AD5958">
        <v>-7.7791000000000096E-2</v>
      </c>
      <c r="AE5958">
        <v>-0.27933999999998999</v>
      </c>
      <c r="AF5958">
        <v>-0.42392297302617199</v>
      </c>
      <c r="AG5958">
        <v>-7.7791000000000096E-2</v>
      </c>
      <c r="AH5958">
        <v>0.52471470361640304</v>
      </c>
      <c r="AI5958">
        <v>96.578317254587802</v>
      </c>
      <c r="AJ5958">
        <v>128.93513862524401</v>
      </c>
      <c r="AK5958">
        <v>0.67903434885990799</v>
      </c>
      <c r="AL5958">
        <v>83.017042957670995</v>
      </c>
      <c r="AM5958">
        <v>113.465240738083</v>
      </c>
      <c r="AN5958">
        <v>1.00000000425878</v>
      </c>
    </row>
    <row r="5959" spans="1:40" x14ac:dyDescent="0.25">
      <c r="A5959" t="str">
        <f>"20190312164145271"</f>
        <v>20190312164145271</v>
      </c>
      <c r="B5959" t="str">
        <f>"1552380105262635"</f>
        <v>1552380105262635</v>
      </c>
      <c r="C5959" t="s">
        <v>40</v>
      </c>
      <c r="D5959">
        <v>6.1043279999999998</v>
      </c>
      <c r="E5959">
        <v>0.4937492</v>
      </c>
      <c r="F5959" t="s">
        <v>42</v>
      </c>
      <c r="G5959">
        <v>-298.27089999999998</v>
      </c>
      <c r="H5959">
        <v>1.0522119999999999</v>
      </c>
      <c r="I5959">
        <v>-53.824579999999997</v>
      </c>
      <c r="J5959">
        <v>-298.91129999999998</v>
      </c>
      <c r="K5959">
        <v>1.127205</v>
      </c>
      <c r="L5959">
        <v>-53.533749999999998</v>
      </c>
      <c r="M5959">
        <v>0.46752700000000003</v>
      </c>
      <c r="N5959">
        <v>0</v>
      </c>
      <c r="O5959">
        <v>-0.88382739999999904</v>
      </c>
      <c r="P5959">
        <v>0.77131369999999999</v>
      </c>
      <c r="Q5959">
        <v>0.124421699999999</v>
      </c>
      <c r="R5959">
        <v>-0.62417559999999905</v>
      </c>
      <c r="S5959">
        <v>2.37738</v>
      </c>
      <c r="T5959">
        <v>-0.2123371</v>
      </c>
      <c r="U5959">
        <v>-1.9112549999999999</v>
      </c>
      <c r="V5959">
        <v>-0.39563320000000002</v>
      </c>
      <c r="W5959">
        <v>0.12225750000000001</v>
      </c>
      <c r="X5959">
        <v>0.91023489999999996</v>
      </c>
      <c r="Y5959">
        <v>-0.39395180000000002</v>
      </c>
      <c r="Z5959">
        <v>6.8076639999999994E-2</v>
      </c>
      <c r="AA5959">
        <v>0.91660649999999999</v>
      </c>
      <c r="AB5959">
        <v>44</v>
      </c>
      <c r="AC5959">
        <v>0.64039999999999897</v>
      </c>
      <c r="AD5959">
        <v>-7.4992999999999796E-2</v>
      </c>
      <c r="AE5959">
        <v>-0.29083000000000597</v>
      </c>
      <c r="AF5959">
        <v>-0.42525521632282698</v>
      </c>
      <c r="AG5959">
        <v>-7.4992999999999796E-2</v>
      </c>
      <c r="AH5959">
        <v>0.55026656392348705</v>
      </c>
      <c r="AI5959">
        <v>96.154735499953802</v>
      </c>
      <c r="AJ5959">
        <v>127.697450218706</v>
      </c>
      <c r="AK5959">
        <v>0.69947068589822703</v>
      </c>
      <c r="AL5959">
        <v>82.977593057579796</v>
      </c>
      <c r="AM5959">
        <v>113.492154243984</v>
      </c>
      <c r="AN5959">
        <v>1.0000000492132399</v>
      </c>
    </row>
    <row r="5960" spans="1:40" x14ac:dyDescent="0.25">
      <c r="A5960" t="str">
        <f>"20190312164145291"</f>
        <v>20190312164145291</v>
      </c>
      <c r="B5960" t="str">
        <f>"1552380105282153"</f>
        <v>1552380105282153</v>
      </c>
      <c r="C5960" t="s">
        <v>40</v>
      </c>
      <c r="D5960">
        <v>6.1002679999999998</v>
      </c>
      <c r="E5960">
        <v>0.49443949999999998</v>
      </c>
      <c r="F5960" t="s">
        <v>51</v>
      </c>
      <c r="G5960">
        <v>-285.9502</v>
      </c>
      <c r="H5960" s="1">
        <v>-4.9699989999999996E-6</v>
      </c>
      <c r="I5960">
        <v>-63.645580000000002</v>
      </c>
      <c r="J5960">
        <v>-298.71530000000001</v>
      </c>
      <c r="K5960">
        <v>1.1273249999999999</v>
      </c>
      <c r="L5960">
        <v>-53.899929999999998</v>
      </c>
      <c r="M5960">
        <v>0.48160049999999999</v>
      </c>
      <c r="N5960">
        <v>0</v>
      </c>
      <c r="O5960">
        <v>-0.87623390000000001</v>
      </c>
      <c r="P5960">
        <v>0.78117829999999999</v>
      </c>
      <c r="Q5960">
        <v>0.1238258</v>
      </c>
      <c r="R5960">
        <v>-0.61190549999999999</v>
      </c>
      <c r="S5960">
        <v>2.4049070000000001</v>
      </c>
      <c r="T5960">
        <v>-0.20915059999999999</v>
      </c>
      <c r="U5960">
        <v>-1.8762209999999999</v>
      </c>
      <c r="V5960">
        <v>-0.39557160000000002</v>
      </c>
      <c r="W5960">
        <v>0.1217251</v>
      </c>
      <c r="X5960">
        <v>0.91033299999999995</v>
      </c>
      <c r="Y5960">
        <v>-0.39271869999999998</v>
      </c>
      <c r="Z5960">
        <v>6.6719269999999997E-2</v>
      </c>
      <c r="AA5960">
        <v>0.91723529999999998</v>
      </c>
      <c r="AB5960">
        <v>44</v>
      </c>
      <c r="AC5960">
        <v>12.7651</v>
      </c>
      <c r="AD5960">
        <v>-1.12732996999899</v>
      </c>
      <c r="AE5960">
        <v>-9.7456499999999906</v>
      </c>
      <c r="AF5960">
        <v>-6.4607625652039298</v>
      </c>
      <c r="AG5960">
        <v>-1.12732996999899</v>
      </c>
      <c r="AH5960">
        <v>14.6171452921023</v>
      </c>
      <c r="AI5960">
        <v>94.034989522561503</v>
      </c>
      <c r="AJ5960">
        <v>113.84537733532299</v>
      </c>
      <c r="AK5960">
        <v>16.021025631201901</v>
      </c>
      <c r="AL5960">
        <v>83.008326745687299</v>
      </c>
      <c r="AM5960">
        <v>113.486635775724</v>
      </c>
      <c r="AN5960">
        <v>1.0000000307927801</v>
      </c>
    </row>
    <row r="5961" spans="1:40" x14ac:dyDescent="0.25">
      <c r="A5961" t="str">
        <f>"20190312164145315"</f>
        <v>20190312164145315</v>
      </c>
      <c r="B5961" t="str">
        <f>"1552380105312411"</f>
        <v>1552380105312411</v>
      </c>
      <c r="C5961" t="s">
        <v>40</v>
      </c>
      <c r="D5961">
        <v>6.1600900000000003</v>
      </c>
      <c r="E5961">
        <v>0.49576619999999999</v>
      </c>
      <c r="F5961" t="s">
        <v>51</v>
      </c>
      <c r="G5961">
        <v>-285.6123</v>
      </c>
      <c r="H5961" s="1">
        <v>-5.1073129999999999E-6</v>
      </c>
      <c r="I5961">
        <v>-63.8292</v>
      </c>
      <c r="J5961">
        <v>-298.50110000000001</v>
      </c>
      <c r="K5961">
        <v>1.1274519999999999</v>
      </c>
      <c r="L5961">
        <v>-54.285829999999997</v>
      </c>
      <c r="M5961">
        <v>0.49651849999999997</v>
      </c>
      <c r="N5961">
        <v>0</v>
      </c>
      <c r="O5961">
        <v>-0.86786369999999902</v>
      </c>
      <c r="P5961">
        <v>0.79165129999999995</v>
      </c>
      <c r="Q5961">
        <v>0.12355090000000001</v>
      </c>
      <c r="R5961">
        <v>-0.5983503</v>
      </c>
      <c r="S5961">
        <v>2.4306950000000001</v>
      </c>
      <c r="T5961">
        <v>-0.2091278</v>
      </c>
      <c r="U5961">
        <v>-1.8419490000000001</v>
      </c>
      <c r="V5961">
        <v>-0.39576230000000001</v>
      </c>
      <c r="W5961">
        <v>0.1214894</v>
      </c>
      <c r="X5961">
        <v>0.91028149999999997</v>
      </c>
      <c r="Y5961">
        <v>-0.38990259999999999</v>
      </c>
      <c r="Z5961">
        <v>6.6305149999999993E-2</v>
      </c>
      <c r="AA5961">
        <v>0.91846589999999995</v>
      </c>
      <c r="AB5961">
        <v>44</v>
      </c>
      <c r="AC5961">
        <v>12.8888</v>
      </c>
      <c r="AD5961">
        <v>-1.127457107313</v>
      </c>
      <c r="AE5961">
        <v>-9.5433699999999906</v>
      </c>
      <c r="AF5961">
        <v>-6.4164586591757304</v>
      </c>
      <c r="AG5961">
        <v>-1.127457107313</v>
      </c>
      <c r="AH5961">
        <v>14.611726104203001</v>
      </c>
      <c r="AI5961">
        <v>94.041194817996399</v>
      </c>
      <c r="AJ5961">
        <v>113.707756323941</v>
      </c>
      <c r="AK5961">
        <v>15.998269937652299</v>
      </c>
      <c r="AL5961">
        <v>83.021931706278195</v>
      </c>
      <c r="AM5961">
        <v>113.497916399978</v>
      </c>
      <c r="AN5961">
        <v>0.99999994082794796</v>
      </c>
    </row>
    <row r="5962" spans="1:40" x14ac:dyDescent="0.25">
      <c r="A5962" t="str">
        <f>"20190312164145338"</f>
        <v>20190312164145338</v>
      </c>
      <c r="B5962" t="str">
        <f>"1552380105331929"</f>
        <v>1552380105331929</v>
      </c>
      <c r="C5962" t="s">
        <v>40</v>
      </c>
      <c r="D5962">
        <v>6.0534910000000002</v>
      </c>
      <c r="E5962">
        <v>0.49669479999999999</v>
      </c>
      <c r="F5962" t="s">
        <v>51</v>
      </c>
      <c r="G5962">
        <v>-285.27719999999999</v>
      </c>
      <c r="H5962" s="1">
        <v>-5.2398019999999998E-6</v>
      </c>
      <c r="I5962">
        <v>-64.032300000000006</v>
      </c>
      <c r="J5962">
        <v>-298.28070000000002</v>
      </c>
      <c r="K5962">
        <v>1.127575</v>
      </c>
      <c r="L5962">
        <v>-54.668210000000002</v>
      </c>
      <c r="M5962">
        <v>0.51137469999999996</v>
      </c>
      <c r="N5962">
        <v>0</v>
      </c>
      <c r="O5962">
        <v>-0.85919040000000002</v>
      </c>
      <c r="P5962">
        <v>0.80103179999999996</v>
      </c>
      <c r="Q5962">
        <v>0.124145699999999</v>
      </c>
      <c r="R5962">
        <v>-0.58560769999999995</v>
      </c>
      <c r="S5962">
        <v>2.454742</v>
      </c>
      <c r="T5962">
        <v>-0.2092897</v>
      </c>
      <c r="U5962">
        <v>-1.8092349999999999</v>
      </c>
      <c r="V5962">
        <v>-0.39465729999999999</v>
      </c>
      <c r="W5962">
        <v>0.1221761</v>
      </c>
      <c r="X5962">
        <v>0.91066930000000001</v>
      </c>
      <c r="Y5962">
        <v>-0.38630429999999999</v>
      </c>
      <c r="Z5962">
        <v>6.5905939999999996E-2</v>
      </c>
      <c r="AA5962">
        <v>0.92001379999999999</v>
      </c>
      <c r="AB5962">
        <v>44</v>
      </c>
      <c r="AC5962">
        <v>13.003500000000001</v>
      </c>
      <c r="AD5962">
        <v>-1.1275802398019901</v>
      </c>
      <c r="AE5962">
        <v>-9.3640900000000098</v>
      </c>
      <c r="AF5962">
        <v>-6.3533835095656999</v>
      </c>
      <c r="AG5962">
        <v>-1.1275802398019901</v>
      </c>
      <c r="AH5962">
        <v>14.624896583504199</v>
      </c>
      <c r="AI5962">
        <v>94.044963599618498</v>
      </c>
      <c r="AJ5962">
        <v>113.48120885794</v>
      </c>
      <c r="AK5962">
        <v>15.9851343220821</v>
      </c>
      <c r="AL5962">
        <v>82.982291665109003</v>
      </c>
      <c r="AM5962">
        <v>113.430490396159</v>
      </c>
      <c r="AN5962">
        <v>0.99999997890849401</v>
      </c>
    </row>
    <row r="5963" spans="1:40" x14ac:dyDescent="0.25">
      <c r="A5963" t="str">
        <f>"20190312164145361"</f>
        <v>20190312164145361</v>
      </c>
      <c r="B5963" t="str">
        <f>"1552380105352425"</f>
        <v>1552380105352425</v>
      </c>
      <c r="C5963" t="s">
        <v>40</v>
      </c>
      <c r="D5963">
        <v>6.1491040000000003</v>
      </c>
      <c r="E5963">
        <v>0.49757289999999998</v>
      </c>
      <c r="F5963" t="s">
        <v>51</v>
      </c>
      <c r="G5963">
        <v>-284.8999</v>
      </c>
      <c r="H5963" s="1">
        <v>-5.3868130000000004E-6</v>
      </c>
      <c r="I5963">
        <v>-64.260850000000005</v>
      </c>
      <c r="J5963">
        <v>-298.0634</v>
      </c>
      <c r="K5963">
        <v>1.1276889999999999</v>
      </c>
      <c r="L5963">
        <v>-55.03058</v>
      </c>
      <c r="M5963">
        <v>0.52553329999999998</v>
      </c>
      <c r="N5963">
        <v>0</v>
      </c>
      <c r="O5963">
        <v>-0.8506011</v>
      </c>
      <c r="P5963">
        <v>0.80889730000000004</v>
      </c>
      <c r="Q5963">
        <v>0.12727559999999999</v>
      </c>
      <c r="R5963">
        <v>-0.57400909999999905</v>
      </c>
      <c r="S5963">
        <v>2.4785460000000001</v>
      </c>
      <c r="T5963">
        <v>-0.2088633</v>
      </c>
      <c r="U5963">
        <v>-1.7768550000000001</v>
      </c>
      <c r="V5963">
        <v>-0.39245340000000001</v>
      </c>
      <c r="W5963">
        <v>0.125441</v>
      </c>
      <c r="X5963">
        <v>0.91117780000000004</v>
      </c>
      <c r="Y5963">
        <v>-0.38318069999999999</v>
      </c>
      <c r="Z5963">
        <v>6.5313010000000005E-2</v>
      </c>
      <c r="AA5963">
        <v>0.9213614</v>
      </c>
      <c r="AB5963">
        <v>44</v>
      </c>
      <c r="AC5963">
        <v>13.163500000000001</v>
      </c>
      <c r="AD5963">
        <v>-1.127694386813</v>
      </c>
      <c r="AE5963">
        <v>-9.2302699999999902</v>
      </c>
      <c r="AF5963">
        <v>-6.3159274737673599</v>
      </c>
      <c r="AG5963">
        <v>-1.127694386813</v>
      </c>
      <c r="AH5963">
        <v>14.6989773509302</v>
      </c>
      <c r="AI5963">
        <v>94.0319767592853</v>
      </c>
      <c r="AJ5963">
        <v>113.25246267434299</v>
      </c>
      <c r="AK5963">
        <v>16.038159796157998</v>
      </c>
      <c r="AL5963">
        <v>82.793776678222699</v>
      </c>
      <c r="AM5963">
        <v>113.30202849412601</v>
      </c>
      <c r="AN5963">
        <v>1.0000000494326899</v>
      </c>
    </row>
    <row r="5964" spans="1:40" x14ac:dyDescent="0.25">
      <c r="A5964" t="str">
        <f>"20190312164145381"</f>
        <v>20190312164145381</v>
      </c>
      <c r="B5964" t="str">
        <f>"1552380105371946"</f>
        <v>1552380105371946</v>
      </c>
      <c r="C5964" t="s">
        <v>40</v>
      </c>
      <c r="D5964">
        <v>6.0972150000000003</v>
      </c>
      <c r="E5964">
        <v>0.49846550000000001</v>
      </c>
      <c r="F5964" t="s">
        <v>42</v>
      </c>
      <c r="G5964">
        <v>-297.11270000000002</v>
      </c>
      <c r="H5964">
        <v>1.052627</v>
      </c>
      <c r="I5964">
        <v>-55.695259999999998</v>
      </c>
      <c r="J5964">
        <v>-297.84379999999999</v>
      </c>
      <c r="K5964">
        <v>1.127796</v>
      </c>
      <c r="L5964">
        <v>-55.383940000000003</v>
      </c>
      <c r="M5964">
        <v>0.53938359999999996</v>
      </c>
      <c r="N5964">
        <v>0</v>
      </c>
      <c r="O5964">
        <v>-0.84188399999999997</v>
      </c>
      <c r="P5964">
        <v>0.816658</v>
      </c>
      <c r="Q5964">
        <v>0.1313029</v>
      </c>
      <c r="R5964">
        <v>-0.56198680000000001</v>
      </c>
      <c r="S5964">
        <v>2.4998170000000002</v>
      </c>
      <c r="T5964">
        <v>-0.1973481</v>
      </c>
      <c r="U5964">
        <v>-1.7474369999999999</v>
      </c>
      <c r="V5964">
        <v>-0.39068979999999998</v>
      </c>
      <c r="W5964">
        <v>0.1295731</v>
      </c>
      <c r="X5964">
        <v>0.91135739999999998</v>
      </c>
      <c r="Y5964">
        <v>-0.37926320000000002</v>
      </c>
      <c r="Z5964">
        <v>6.1256570000000003E-2</v>
      </c>
      <c r="AA5964">
        <v>0.92325889999999999</v>
      </c>
      <c r="AB5964">
        <v>44</v>
      </c>
      <c r="AC5964">
        <v>0.731099999999969</v>
      </c>
      <c r="AD5964">
        <v>-7.5169E-2</v>
      </c>
      <c r="AE5964">
        <v>-0.31131999999999399</v>
      </c>
      <c r="AF5964">
        <v>-0.44367661902884697</v>
      </c>
      <c r="AG5964">
        <v>-7.5169E-2</v>
      </c>
      <c r="AH5964">
        <v>0.65071311019144895</v>
      </c>
      <c r="AI5964">
        <v>95.451991774387494</v>
      </c>
      <c r="AJ5964">
        <v>124.28739326276801</v>
      </c>
      <c r="AK5964">
        <v>0.79115540357688097</v>
      </c>
      <c r="AL5964">
        <v>82.555075966516796</v>
      </c>
      <c r="AM5964">
        <v>113.204329521641</v>
      </c>
      <c r="AN5964">
        <v>1.0000000093012</v>
      </c>
    </row>
    <row r="5965" spans="1:40" x14ac:dyDescent="0.25">
      <c r="A5965" t="str">
        <f>"20190312164145404"</f>
        <v>20190312164145404</v>
      </c>
      <c r="B5965" t="str">
        <f>"1552380105392441"</f>
        <v>1552380105392441</v>
      </c>
      <c r="C5965" t="s">
        <v>40</v>
      </c>
      <c r="D5965">
        <v>6.1535840000000004</v>
      </c>
      <c r="E5965">
        <v>0.49936459999999999</v>
      </c>
      <c r="F5965" t="s">
        <v>42</v>
      </c>
      <c r="G5965">
        <v>-296.91309999999999</v>
      </c>
      <c r="H5965">
        <v>1.060559</v>
      </c>
      <c r="I5965">
        <v>-56.017670000000003</v>
      </c>
      <c r="J5965">
        <v>-297.61149999999998</v>
      </c>
      <c r="K5965">
        <v>1.127894</v>
      </c>
      <c r="L5965">
        <v>-55.744840000000003</v>
      </c>
      <c r="M5965">
        <v>0.5535639</v>
      </c>
      <c r="N5965">
        <v>0</v>
      </c>
      <c r="O5965">
        <v>-0.83262649999999905</v>
      </c>
      <c r="P5965">
        <v>0.82444589999999995</v>
      </c>
      <c r="Q5965">
        <v>0.13376629999999901</v>
      </c>
      <c r="R5965">
        <v>-0.54990539999999999</v>
      </c>
      <c r="S5965">
        <v>2.5212400000000001</v>
      </c>
      <c r="T5965">
        <v>-0.1821613</v>
      </c>
      <c r="U5965">
        <v>-1.7170099999999999</v>
      </c>
      <c r="V5965">
        <v>-0.38848100000000002</v>
      </c>
      <c r="W5965">
        <v>0.1321637</v>
      </c>
      <c r="X5965">
        <v>0.9119294</v>
      </c>
      <c r="Y5965">
        <v>-0.37513740000000001</v>
      </c>
      <c r="Z5965">
        <v>5.6088829999999999E-2</v>
      </c>
      <c r="AA5965">
        <v>0.9252707</v>
      </c>
      <c r="AB5965">
        <v>43</v>
      </c>
      <c r="AC5965">
        <v>0.69839999999999203</v>
      </c>
      <c r="AD5965">
        <v>-6.7334999999999895E-2</v>
      </c>
      <c r="AE5965">
        <v>-0.27282999999999102</v>
      </c>
      <c r="AF5965">
        <v>-0.42709767742084798</v>
      </c>
      <c r="AG5965">
        <v>-6.7334999999999895E-2</v>
      </c>
      <c r="AH5965">
        <v>0.60895555471025797</v>
      </c>
      <c r="AI5965">
        <v>95.172789173664498</v>
      </c>
      <c r="AJ5965">
        <v>125.044322053583</v>
      </c>
      <c r="AK5965">
        <v>0.74684221619814795</v>
      </c>
      <c r="AL5965">
        <v>82.405357645831501</v>
      </c>
      <c r="AM5965">
        <v>113.073955416041</v>
      </c>
      <c r="AN5965">
        <v>0.99999998077152397</v>
      </c>
    </row>
    <row r="5966" spans="1:40" x14ac:dyDescent="0.25">
      <c r="A5966" t="str">
        <f>"20190312164145427"</f>
        <v>20190312164145427</v>
      </c>
      <c r="B5966" t="str">
        <f>"1552380105421721"</f>
        <v>1552380105421721</v>
      </c>
      <c r="C5966" t="s">
        <v>40</v>
      </c>
      <c r="D5966">
        <v>6.1178330000000001</v>
      </c>
      <c r="E5966">
        <v>0.51545010000000002</v>
      </c>
      <c r="F5966" t="s">
        <v>42</v>
      </c>
      <c r="G5966">
        <v>-296.66090000000003</v>
      </c>
      <c r="H5966">
        <v>1.0634250000000001</v>
      </c>
      <c r="I5966">
        <v>-56.375590000000003</v>
      </c>
      <c r="J5966">
        <v>-297.37</v>
      </c>
      <c r="K5966">
        <v>1.1279870000000001</v>
      </c>
      <c r="L5966">
        <v>-56.106900000000003</v>
      </c>
      <c r="M5966">
        <v>0.56781700000000002</v>
      </c>
      <c r="N5966">
        <v>0</v>
      </c>
      <c r="O5966">
        <v>-0.82297039999999999</v>
      </c>
      <c r="P5966">
        <v>0.83211819999999903</v>
      </c>
      <c r="Q5966">
        <v>0.13451669999999999</v>
      </c>
      <c r="R5966">
        <v>-0.53803809999999996</v>
      </c>
      <c r="S5966">
        <v>2.5421140000000002</v>
      </c>
      <c r="T5966">
        <v>-0.17235780000000001</v>
      </c>
      <c r="U5966">
        <v>-1.6861569999999999</v>
      </c>
      <c r="V5966">
        <v>-0.3858027</v>
      </c>
      <c r="W5966">
        <v>0.133067299999999</v>
      </c>
      <c r="X5966">
        <v>0.91293440000000003</v>
      </c>
      <c r="Y5966">
        <v>-0.37065110000000001</v>
      </c>
      <c r="Z5966">
        <v>5.2607979999999999E-2</v>
      </c>
      <c r="AA5966">
        <v>0.92728109999999997</v>
      </c>
      <c r="AB5966">
        <v>43</v>
      </c>
      <c r="AC5966">
        <v>0.70909999999997797</v>
      </c>
      <c r="AD5966">
        <v>-6.4561999999999994E-2</v>
      </c>
      <c r="AE5966">
        <v>-0.26868999999999899</v>
      </c>
      <c r="AF5966">
        <v>-0.427964715492268</v>
      </c>
      <c r="AG5966">
        <v>-6.4561999999999994E-2</v>
      </c>
      <c r="AH5966">
        <v>0.61936790553478405</v>
      </c>
      <c r="AI5966">
        <v>94.901564792769094</v>
      </c>
      <c r="AJ5966">
        <v>124.643314282682</v>
      </c>
      <c r="AK5966">
        <v>0.755604825260482</v>
      </c>
      <c r="AL5966">
        <v>82.353123389055895</v>
      </c>
      <c r="AM5966">
        <v>112.908739509193</v>
      </c>
      <c r="AN5966">
        <v>0.99999992417996697</v>
      </c>
    </row>
    <row r="5967" spans="1:40" x14ac:dyDescent="0.25">
      <c r="A5967" t="str">
        <f>"20190312164145450"</f>
        <v>20190312164145450</v>
      </c>
      <c r="B5967" t="str">
        <f>"1552380105442217"</f>
        <v>1552380105442217</v>
      </c>
      <c r="C5967" t="s">
        <v>40</v>
      </c>
      <c r="D5967">
        <v>6.1844720000000004</v>
      </c>
      <c r="E5967">
        <v>0.51532199999999995</v>
      </c>
      <c r="F5967" t="s">
        <v>51</v>
      </c>
      <c r="G5967">
        <v>-280.25099999999998</v>
      </c>
      <c r="H5967" s="1">
        <v>-6.7519620000000001E-6</v>
      </c>
      <c r="I5967">
        <v>-68.150949999999995</v>
      </c>
      <c r="J5967">
        <v>-297.12720000000002</v>
      </c>
      <c r="K5967">
        <v>1.12806299999999</v>
      </c>
      <c r="L5967">
        <v>-56.458219999999997</v>
      </c>
      <c r="M5967">
        <v>0.58166419999999996</v>
      </c>
      <c r="N5967">
        <v>0</v>
      </c>
      <c r="O5967">
        <v>-0.81324049999999903</v>
      </c>
      <c r="P5967">
        <v>0.83948250000000002</v>
      </c>
      <c r="Q5967">
        <v>0.13434119999999999</v>
      </c>
      <c r="R5967">
        <v>-0.52651859999999995</v>
      </c>
      <c r="S5967">
        <v>2.4962770000000001</v>
      </c>
      <c r="T5967">
        <v>-0.164483399999999</v>
      </c>
      <c r="U5967">
        <v>-1.756256</v>
      </c>
      <c r="V5967">
        <v>-0.3829687</v>
      </c>
      <c r="W5967">
        <v>0.1330527</v>
      </c>
      <c r="X5967">
        <v>0.91412910000000003</v>
      </c>
      <c r="Y5967">
        <v>-0.3292929</v>
      </c>
      <c r="Z5967">
        <v>4.9087489999999998E-2</v>
      </c>
      <c r="AA5967">
        <v>0.94295099999999998</v>
      </c>
      <c r="AB5967">
        <v>43</v>
      </c>
      <c r="AC5967">
        <v>16.876200000000001</v>
      </c>
      <c r="AD5967">
        <v>-1.12806975196199</v>
      </c>
      <c r="AE5967">
        <v>-11.6927299999999</v>
      </c>
      <c r="AF5967">
        <v>-6.9033880370852696</v>
      </c>
      <c r="AG5967">
        <v>-1.12806975196199</v>
      </c>
      <c r="AH5967">
        <v>19.270072416784799</v>
      </c>
      <c r="AI5967">
        <v>93.154397281592694</v>
      </c>
      <c r="AJ5967">
        <v>109.709758961745</v>
      </c>
      <c r="AK5967">
        <v>20.500365818784701</v>
      </c>
      <c r="AL5967">
        <v>82.353968217374003</v>
      </c>
      <c r="AM5967">
        <v>112.730943815873</v>
      </c>
      <c r="AN5967">
        <v>1.00000002881189</v>
      </c>
    </row>
    <row r="5968" spans="1:40" x14ac:dyDescent="0.25">
      <c r="A5968" t="str">
        <f>"20190312164145471"</f>
        <v>20190312164145471</v>
      </c>
      <c r="B5968" t="str">
        <f>"1552380105461737"</f>
        <v>1552380105461737</v>
      </c>
      <c r="C5968" t="s">
        <v>40</v>
      </c>
      <c r="D5968">
        <v>6.2380870000000002</v>
      </c>
      <c r="E5968">
        <v>0.51541669999999995</v>
      </c>
      <c r="F5968" t="s">
        <v>41</v>
      </c>
      <c r="G5968">
        <v>-278.47590000000002</v>
      </c>
      <c r="H5968" s="1">
        <v>-4.0975909999999999E-6</v>
      </c>
      <c r="I5968">
        <v>-69.179550000000006</v>
      </c>
      <c r="J5968">
        <v>-296.89</v>
      </c>
      <c r="K5968">
        <v>1.128123</v>
      </c>
      <c r="L5968">
        <v>-56.790010000000002</v>
      </c>
      <c r="M5968">
        <v>0.59475449999999996</v>
      </c>
      <c r="N5968">
        <v>0</v>
      </c>
      <c r="O5968">
        <v>-0.80371510000000002</v>
      </c>
      <c r="P5968">
        <v>0.84584919999999997</v>
      </c>
      <c r="Q5968">
        <v>0.13471729999999901</v>
      </c>
      <c r="R5968">
        <v>-0.51613069999999905</v>
      </c>
      <c r="S5968">
        <v>2.5199889999999998</v>
      </c>
      <c r="T5968">
        <v>-0.1524134</v>
      </c>
      <c r="U5968">
        <v>-1.7187809999999999</v>
      </c>
      <c r="V5968">
        <v>-0.37941910000000001</v>
      </c>
      <c r="W5968">
        <v>0.13362589999999999</v>
      </c>
      <c r="X5968">
        <v>0.91552449999999996</v>
      </c>
      <c r="Y5968">
        <v>-0.32787749999999999</v>
      </c>
      <c r="Z5968">
        <v>4.5132850000000002E-2</v>
      </c>
      <c r="AA5968">
        <v>0.94364150000000002</v>
      </c>
      <c r="AB5968">
        <v>43</v>
      </c>
      <c r="AC5968">
        <v>18.414099999999902</v>
      </c>
      <c r="AD5968">
        <v>-1.128127097591</v>
      </c>
      <c r="AE5968">
        <v>-12.38954</v>
      </c>
      <c r="AF5968">
        <v>-7.4129516317722199</v>
      </c>
      <c r="AG5968">
        <v>-1.128127097591</v>
      </c>
      <c r="AH5968">
        <v>20.8588690368389</v>
      </c>
      <c r="AI5968">
        <v>92.917342820657396</v>
      </c>
      <c r="AJ5968">
        <v>109.56450476217999</v>
      </c>
      <c r="AK5968">
        <v>22.165670306564401</v>
      </c>
      <c r="AL5968">
        <v>82.320829548398393</v>
      </c>
      <c r="AM5968">
        <v>112.51049228778299</v>
      </c>
      <c r="AN5968">
        <v>0.999999922347931</v>
      </c>
    </row>
    <row r="5969" spans="1:40" x14ac:dyDescent="0.25">
      <c r="A5969" t="str">
        <f>"20190312164145493"</f>
        <v>20190312164145493</v>
      </c>
      <c r="B5969" t="str">
        <f>"1552380105482233"</f>
        <v>1552380105482233</v>
      </c>
      <c r="C5969" t="s">
        <v>40</v>
      </c>
      <c r="D5969">
        <v>6.0766429999999998</v>
      </c>
      <c r="E5969">
        <v>0.51624110000000001</v>
      </c>
      <c r="F5969" t="s">
        <v>41</v>
      </c>
      <c r="G5969">
        <v>-277.48360000000002</v>
      </c>
      <c r="H5969" s="1">
        <v>-3.8268630000000002E-6</v>
      </c>
      <c r="I5969">
        <v>-69.680390000000003</v>
      </c>
      <c r="J5969">
        <v>-296.63780000000003</v>
      </c>
      <c r="K5969">
        <v>1.1281810000000001</v>
      </c>
      <c r="L5969">
        <v>-57.131160000000001</v>
      </c>
      <c r="M5969">
        <v>0.60822270000000001</v>
      </c>
      <c r="N5969">
        <v>0</v>
      </c>
      <c r="O5969">
        <v>-0.793570199999999</v>
      </c>
      <c r="P5969">
        <v>0.85296700000000003</v>
      </c>
      <c r="Q5969">
        <v>0.13472899999999999</v>
      </c>
      <c r="R5969">
        <v>-0.50427759999999999</v>
      </c>
      <c r="S5969">
        <v>2.540527</v>
      </c>
      <c r="T5969">
        <v>-0.14768489999999901</v>
      </c>
      <c r="U5969">
        <v>-1.6875</v>
      </c>
      <c r="V5969">
        <v>-0.37676979999999999</v>
      </c>
      <c r="W5969">
        <v>0.1337885</v>
      </c>
      <c r="X5969">
        <v>0.91659429999999997</v>
      </c>
      <c r="Y5969">
        <v>-0.32359520000000003</v>
      </c>
      <c r="Z5969">
        <v>4.3292270000000001E-2</v>
      </c>
      <c r="AA5969">
        <v>0.94520470000000001</v>
      </c>
      <c r="AB5969">
        <v>43</v>
      </c>
      <c r="AC5969">
        <v>19.154199999999999</v>
      </c>
      <c r="AD5969">
        <v>-1.1281848268629999</v>
      </c>
      <c r="AE5969">
        <v>-12.54923</v>
      </c>
      <c r="AF5969">
        <v>-7.5503276261482002</v>
      </c>
      <c r="AG5969">
        <v>-1.1281848268629999</v>
      </c>
      <c r="AH5969">
        <v>21.559748155106799</v>
      </c>
      <c r="AI5969">
        <v>92.827388990938601</v>
      </c>
      <c r="AJ5969">
        <v>109.30049995422</v>
      </c>
      <c r="AK5969">
        <v>22.871444833621101</v>
      </c>
      <c r="AL5969">
        <v>82.311429273224505</v>
      </c>
      <c r="AM5969">
        <v>112.34531164707199</v>
      </c>
      <c r="AN5969">
        <v>0.99999997785838901</v>
      </c>
    </row>
    <row r="5970" spans="1:40" x14ac:dyDescent="0.25">
      <c r="A5970" t="str">
        <f>"20190312164145516"</f>
        <v>20190312164145516</v>
      </c>
      <c r="B5970" t="str">
        <f>"1552380105512489"</f>
        <v>1552380105512489</v>
      </c>
      <c r="C5970" t="s">
        <v>40</v>
      </c>
      <c r="D5970">
        <v>6.086811</v>
      </c>
      <c r="E5970">
        <v>0.51667580000000002</v>
      </c>
      <c r="F5970" t="s">
        <v>41</v>
      </c>
      <c r="G5970">
        <v>-276.40809999999999</v>
      </c>
      <c r="H5970" s="1">
        <v>-3.5331140000000001E-6</v>
      </c>
      <c r="I5970">
        <v>-70.220709999999997</v>
      </c>
      <c r="J5970">
        <v>-296.3775</v>
      </c>
      <c r="K5970">
        <v>1.128231</v>
      </c>
      <c r="L5970">
        <v>-57.471369999999901</v>
      </c>
      <c r="M5970">
        <v>0.62165530000000002</v>
      </c>
      <c r="N5970">
        <v>0</v>
      </c>
      <c r="O5970">
        <v>-0.78309069999999903</v>
      </c>
      <c r="P5970">
        <v>0.85985419999999901</v>
      </c>
      <c r="Q5970">
        <v>0.13439999999999999</v>
      </c>
      <c r="R5970">
        <v>-0.49253170000000002</v>
      </c>
      <c r="S5970">
        <v>2.5602719999999999</v>
      </c>
      <c r="T5970">
        <v>-0.14278339999999901</v>
      </c>
      <c r="U5970">
        <v>-1.6566160000000001</v>
      </c>
      <c r="V5970">
        <v>-0.37375960000000003</v>
      </c>
      <c r="W5970">
        <v>0.13363159999999999</v>
      </c>
      <c r="X5970">
        <v>0.91784880000000002</v>
      </c>
      <c r="Y5970">
        <v>-0.31890540000000001</v>
      </c>
      <c r="Z5970">
        <v>4.1404200000000002E-2</v>
      </c>
      <c r="AA5970">
        <v>0.9468818</v>
      </c>
      <c r="AB5970">
        <v>43</v>
      </c>
      <c r="AC5970">
        <v>19.9694</v>
      </c>
      <c r="AD5970">
        <v>-1.128234533114</v>
      </c>
      <c r="AE5970">
        <v>-12.74934</v>
      </c>
      <c r="AF5970">
        <v>-7.6959143100230198</v>
      </c>
      <c r="AG5970">
        <v>-1.128234533114</v>
      </c>
      <c r="AH5970">
        <v>22.350801262228298</v>
      </c>
      <c r="AI5970">
        <v>92.732562103867494</v>
      </c>
      <c r="AJ5970">
        <v>108.999808079055</v>
      </c>
      <c r="AK5970">
        <v>23.6655514892967</v>
      </c>
      <c r="AL5970">
        <v>82.320500849332902</v>
      </c>
      <c r="AM5970">
        <v>112.15677262140299</v>
      </c>
      <c r="AN5970">
        <v>1.00000003138607</v>
      </c>
    </row>
    <row r="5971" spans="1:40" x14ac:dyDescent="0.25">
      <c r="A5971" t="str">
        <f>"20190312164145538"</f>
        <v>20190312164145538</v>
      </c>
      <c r="B5971" t="str">
        <f>"1552380105532009"</f>
        <v>1552380105532009</v>
      </c>
      <c r="C5971" t="s">
        <v>40</v>
      </c>
      <c r="D5971">
        <v>6.0934710000000001</v>
      </c>
      <c r="E5971">
        <v>0.51665309999999998</v>
      </c>
      <c r="F5971" t="s">
        <v>41</v>
      </c>
      <c r="G5971">
        <v>-276.35270000000003</v>
      </c>
      <c r="H5971" s="1">
        <v>-3.491419E-6</v>
      </c>
      <c r="I5971">
        <v>-70.049970000000002</v>
      </c>
      <c r="J5971">
        <v>-296.11579999999998</v>
      </c>
      <c r="K5971">
        <v>1.128263</v>
      </c>
      <c r="L5971">
        <v>-57.801760000000002</v>
      </c>
      <c r="M5971">
        <v>0.6347005</v>
      </c>
      <c r="N5971">
        <v>0</v>
      </c>
      <c r="O5971">
        <v>-0.77255399999999996</v>
      </c>
      <c r="P5971">
        <v>0.8665754</v>
      </c>
      <c r="Q5971">
        <v>0.13363749999999999</v>
      </c>
      <c r="R5971">
        <v>-0.48082049999999998</v>
      </c>
      <c r="S5971">
        <v>2.5824889999999998</v>
      </c>
      <c r="T5971">
        <v>-0.1455021</v>
      </c>
      <c r="U5971">
        <v>-1.6221920000000001</v>
      </c>
      <c r="V5971">
        <v>-0.37088330000000003</v>
      </c>
      <c r="W5971">
        <v>0.13303809999999999</v>
      </c>
      <c r="X5971">
        <v>0.9191009</v>
      </c>
      <c r="Y5971">
        <v>-0.31570720000000002</v>
      </c>
      <c r="Z5971">
        <v>4.1735630000000003E-2</v>
      </c>
      <c r="AA5971">
        <v>0.94793830000000001</v>
      </c>
      <c r="AB5971">
        <v>43</v>
      </c>
      <c r="AC5971">
        <v>19.763099999999898</v>
      </c>
      <c r="AD5971">
        <v>-1.1282664914189999</v>
      </c>
      <c r="AE5971">
        <v>-12.24821</v>
      </c>
      <c r="AF5971">
        <v>-7.4776915324668503</v>
      </c>
      <c r="AG5971">
        <v>-1.1282664914189999</v>
      </c>
      <c r="AH5971">
        <v>21.957820775650401</v>
      </c>
      <c r="AI5971">
        <v>92.784685238336095</v>
      </c>
      <c r="AJ5971">
        <v>108.80617211970799</v>
      </c>
      <c r="AK5971">
        <v>23.223581746706699</v>
      </c>
      <c r="AL5971">
        <v>82.3548121046462</v>
      </c>
      <c r="AM5971">
        <v>111.975474284729</v>
      </c>
      <c r="AN5971">
        <v>1.00000001132565</v>
      </c>
    </row>
    <row r="5972" spans="1:40" x14ac:dyDescent="0.25">
      <c r="A5972" t="str">
        <f>"20190312164145561"</f>
        <v>20190312164145561</v>
      </c>
      <c r="B5972" t="str">
        <f>"1552380105552505"</f>
        <v>1552380105552505</v>
      </c>
      <c r="C5972" t="s">
        <v>40</v>
      </c>
      <c r="D5972">
        <v>6.0599160000000003</v>
      </c>
      <c r="E5972">
        <v>0.49120999999999998</v>
      </c>
      <c r="F5972" t="s">
        <v>41</v>
      </c>
      <c r="G5972">
        <v>-276.42070000000001</v>
      </c>
      <c r="H5972" s="1">
        <v>-3.4792679999999998E-6</v>
      </c>
      <c r="I5972">
        <v>-69.785919999999905</v>
      </c>
      <c r="J5972">
        <v>-295.8526</v>
      </c>
      <c r="K5972">
        <v>1.1282829999999999</v>
      </c>
      <c r="L5972">
        <v>-58.122219999999999</v>
      </c>
      <c r="M5972">
        <v>0.6473641</v>
      </c>
      <c r="N5972">
        <v>0</v>
      </c>
      <c r="O5972">
        <v>-0.76197280000000001</v>
      </c>
      <c r="P5972">
        <v>0.87303249999999999</v>
      </c>
      <c r="Q5972">
        <v>0.13319420000000001</v>
      </c>
      <c r="R5972">
        <v>-0.46912039999999999</v>
      </c>
      <c r="S5972">
        <v>2.6053160000000002</v>
      </c>
      <c r="T5972">
        <v>-0.14924999999999999</v>
      </c>
      <c r="U5972">
        <v>-1.585297</v>
      </c>
      <c r="V5972">
        <v>-0.36811450000000001</v>
      </c>
      <c r="W5972">
        <v>0.13276060000000001</v>
      </c>
      <c r="X5972">
        <v>0.9202534</v>
      </c>
      <c r="Y5972">
        <v>-0.31349559999999999</v>
      </c>
      <c r="Z5972">
        <v>4.235411E-2</v>
      </c>
      <c r="AA5972">
        <v>0.94864459999999995</v>
      </c>
      <c r="AB5972">
        <v>43</v>
      </c>
      <c r="AC5972">
        <v>19.431899999999899</v>
      </c>
      <c r="AD5972">
        <v>-1.1282864792680001</v>
      </c>
      <c r="AE5972">
        <v>-11.663699999999899</v>
      </c>
      <c r="AF5972">
        <v>-7.23912778314733</v>
      </c>
      <c r="AG5972">
        <v>-1.1282864792680001</v>
      </c>
      <c r="AH5972">
        <v>21.417260275479201</v>
      </c>
      <c r="AI5972">
        <v>92.857111496678201</v>
      </c>
      <c r="AJ5972">
        <v>108.675478490123</v>
      </c>
      <c r="AK5972">
        <v>22.635746931516401</v>
      </c>
      <c r="AL5972">
        <v>82.370853827092304</v>
      </c>
      <c r="AM5972">
        <v>111.802114748278</v>
      </c>
      <c r="AN5972">
        <v>0.99999999111708504</v>
      </c>
    </row>
    <row r="5973" spans="1:40" x14ac:dyDescent="0.25">
      <c r="A5973" t="str">
        <f>"20190312164145583"</f>
        <v>20190312164145583</v>
      </c>
      <c r="B5973" t="str">
        <f>"1552380105572025"</f>
        <v>1552380105572025</v>
      </c>
      <c r="C5973" t="s">
        <v>40</v>
      </c>
      <c r="D5973">
        <v>6.1055250000000001</v>
      </c>
      <c r="E5973">
        <v>0.49022179999999999</v>
      </c>
      <c r="F5973" t="s">
        <v>42</v>
      </c>
      <c r="G5973">
        <v>-294.83339999999998</v>
      </c>
      <c r="H5973">
        <v>1.070411</v>
      </c>
      <c r="I5973">
        <v>-58.635489999999997</v>
      </c>
      <c r="J5973">
        <v>-295.57749999999999</v>
      </c>
      <c r="K5973">
        <v>1.128317</v>
      </c>
      <c r="L5973">
        <v>-58.445979999999999</v>
      </c>
      <c r="M5973">
        <v>0.66015290000000004</v>
      </c>
      <c r="N5973">
        <v>0</v>
      </c>
      <c r="O5973">
        <v>-0.75091869999999905</v>
      </c>
      <c r="P5973">
        <v>0.87899389999999999</v>
      </c>
      <c r="Q5973">
        <v>0.13414899999999999</v>
      </c>
      <c r="R5973">
        <v>-0.45757379999999997</v>
      </c>
      <c r="S5973">
        <v>2.7231450000000001</v>
      </c>
      <c r="T5973">
        <v>-0.15460689999999999</v>
      </c>
      <c r="U5973">
        <v>-1.371094</v>
      </c>
      <c r="V5973">
        <v>-0.3646221</v>
      </c>
      <c r="W5973">
        <v>0.13392319999999999</v>
      </c>
      <c r="X5973">
        <v>0.92147449999999997</v>
      </c>
      <c r="Y5973">
        <v>-0.37274360000000001</v>
      </c>
      <c r="Z5973">
        <v>4.4518380000000003E-2</v>
      </c>
      <c r="AA5973">
        <v>0.92686590000000002</v>
      </c>
      <c r="AB5973">
        <v>43</v>
      </c>
      <c r="AC5973">
        <v>0.74410000000000298</v>
      </c>
      <c r="AD5973">
        <v>-5.7905999999999999E-2</v>
      </c>
      <c r="AE5973">
        <v>-0.18950999999999801</v>
      </c>
      <c r="AF5973">
        <v>-0.431269596747896</v>
      </c>
      <c r="AG5973">
        <v>-5.7905999999999999E-2</v>
      </c>
      <c r="AH5973">
        <v>0.63004440549318996</v>
      </c>
      <c r="AI5973">
        <v>94.337107111233493</v>
      </c>
      <c r="AJ5973">
        <v>124.391900355419</v>
      </c>
      <c r="AK5973">
        <v>0.76570393939717996</v>
      </c>
      <c r="AL5973">
        <v>82.303641438694399</v>
      </c>
      <c r="AM5973">
        <v>111.588417407314</v>
      </c>
      <c r="AN5973">
        <v>0.99999997672844898</v>
      </c>
    </row>
    <row r="5974" spans="1:40" x14ac:dyDescent="0.25">
      <c r="A5974" t="str">
        <f>"20190312164145605"</f>
        <v>20190312164145605</v>
      </c>
      <c r="B5974" t="str">
        <f>"1552380105602281"</f>
        <v>1552380105602281</v>
      </c>
      <c r="C5974" t="s">
        <v>40</v>
      </c>
      <c r="D5974">
        <v>6.1005260000000003</v>
      </c>
      <c r="E5974">
        <v>0.49027720000000002</v>
      </c>
      <c r="F5974" t="s">
        <v>42</v>
      </c>
      <c r="G5974">
        <v>-294.57240000000002</v>
      </c>
      <c r="H5974">
        <v>1.0722849999999999</v>
      </c>
      <c r="I5974">
        <v>-58.931730000000002</v>
      </c>
      <c r="J5974">
        <v>-295.30720000000002</v>
      </c>
      <c r="K5974">
        <v>1.1283459999999901</v>
      </c>
      <c r="L5974">
        <v>-58.753909999999998</v>
      </c>
      <c r="M5974">
        <v>0.67231009999999902</v>
      </c>
      <c r="N5974">
        <v>0</v>
      </c>
      <c r="O5974">
        <v>-0.74005299999999996</v>
      </c>
      <c r="P5974">
        <v>0.88521640000000001</v>
      </c>
      <c r="Q5974">
        <v>0.134287299999999</v>
      </c>
      <c r="R5974">
        <v>-0.44537510000000002</v>
      </c>
      <c r="S5974">
        <v>2.7456049999999999</v>
      </c>
      <c r="T5974">
        <v>-0.15304579999999901</v>
      </c>
      <c r="U5974">
        <v>-1.326843</v>
      </c>
      <c r="V5974">
        <v>-0.36233120000000002</v>
      </c>
      <c r="W5974">
        <v>0.13420860000000001</v>
      </c>
      <c r="X5974">
        <v>0.92233620000000005</v>
      </c>
      <c r="Y5974">
        <v>-0.37273309999999998</v>
      </c>
      <c r="Z5974">
        <v>4.3634770000000003E-2</v>
      </c>
      <c r="AA5974">
        <v>0.92691210000000002</v>
      </c>
      <c r="AB5974">
        <v>43</v>
      </c>
      <c r="AC5974">
        <v>0.734800000000007</v>
      </c>
      <c r="AD5974">
        <v>-5.6060999999999903E-2</v>
      </c>
      <c r="AE5974">
        <v>-0.177820000000004</v>
      </c>
      <c r="AF5974">
        <v>-0.42198837980368098</v>
      </c>
      <c r="AG5974">
        <v>-5.6060999999999903E-2</v>
      </c>
      <c r="AH5974">
        <v>0.62228819374785904</v>
      </c>
      <c r="AI5974">
        <v>94.264171412535703</v>
      </c>
      <c r="AJ5974">
        <v>124.142126363248</v>
      </c>
      <c r="AK5974">
        <v>0.75396261478160098</v>
      </c>
      <c r="AL5974">
        <v>82.287140098640094</v>
      </c>
      <c r="AM5974">
        <v>111.446920261169</v>
      </c>
      <c r="AN5974">
        <v>0.99999995631891903</v>
      </c>
    </row>
    <row r="5975" spans="1:40" x14ac:dyDescent="0.25">
      <c r="A5975" t="str">
        <f>"20190312164145628"</f>
        <v>20190312164145628</v>
      </c>
      <c r="B5975" t="str">
        <f>"1552380105621801"</f>
        <v>1552380105621801</v>
      </c>
      <c r="C5975" t="s">
        <v>40</v>
      </c>
      <c r="D5975">
        <v>6.0395320000000003</v>
      </c>
      <c r="E5975">
        <v>0.49028070000000001</v>
      </c>
      <c r="F5975" t="s">
        <v>41</v>
      </c>
      <c r="G5975">
        <v>-275.44720000000001</v>
      </c>
      <c r="H5975" s="1">
        <v>-2.9102570000000002E-6</v>
      </c>
      <c r="I5975">
        <v>-68.00761</v>
      </c>
      <c r="J5975">
        <v>-295.01369999999997</v>
      </c>
      <c r="K5975">
        <v>1.1283669999999999</v>
      </c>
      <c r="L5975">
        <v>-59.0768699999999</v>
      </c>
      <c r="M5975">
        <v>0.68505879999999997</v>
      </c>
      <c r="N5975">
        <v>0</v>
      </c>
      <c r="O5975">
        <v>-0.72826650000000004</v>
      </c>
      <c r="P5975">
        <v>0.89180110000000001</v>
      </c>
      <c r="Q5975">
        <v>0.1335568</v>
      </c>
      <c r="R5975">
        <v>-0.43226530000000002</v>
      </c>
      <c r="S5975">
        <v>2.7647089999999999</v>
      </c>
      <c r="T5975">
        <v>-0.15707739999999901</v>
      </c>
      <c r="U5975">
        <v>-1.288208</v>
      </c>
      <c r="V5975">
        <v>-0.35997190000000001</v>
      </c>
      <c r="W5975">
        <v>0.13363439999999999</v>
      </c>
      <c r="X5975">
        <v>0.92334289999999997</v>
      </c>
      <c r="Y5975">
        <v>-0.36967450000000002</v>
      </c>
      <c r="Z5975">
        <v>4.423262E-2</v>
      </c>
      <c r="AA5975">
        <v>0.92810789999999999</v>
      </c>
      <c r="AB5975">
        <v>42</v>
      </c>
      <c r="AC5975">
        <v>19.566499999999898</v>
      </c>
      <c r="AD5975">
        <v>-1.128369910257</v>
      </c>
      <c r="AE5975">
        <v>-8.9307400000000001</v>
      </c>
      <c r="AF5975">
        <v>-8.1105329347980994</v>
      </c>
      <c r="AG5975">
        <v>-1.128369910257</v>
      </c>
      <c r="AH5975">
        <v>19.856720063911901</v>
      </c>
      <c r="AI5975">
        <v>93.011355209010503</v>
      </c>
      <c r="AJ5975">
        <v>112.21769724374499</v>
      </c>
      <c r="AK5975">
        <v>21.478903483124501</v>
      </c>
      <c r="AL5975">
        <v>82.320338852808803</v>
      </c>
      <c r="AM5975">
        <v>111.29868280645</v>
      </c>
      <c r="AN5975">
        <v>1.00000001631668</v>
      </c>
    </row>
    <row r="5976" spans="1:40" x14ac:dyDescent="0.25">
      <c r="A5976" t="str">
        <f>"20190312164145650"</f>
        <v>20190312164145650</v>
      </c>
      <c r="B5976" t="str">
        <f>"1552380105642297"</f>
        <v>1552380105642297</v>
      </c>
      <c r="C5976" t="s">
        <v>40</v>
      </c>
      <c r="D5976">
        <v>6.0841989999999999</v>
      </c>
      <c r="E5976">
        <v>0.49069170000000001</v>
      </c>
      <c r="F5976" t="s">
        <v>41</v>
      </c>
      <c r="G5976">
        <v>-275.73430000000002</v>
      </c>
      <c r="H5976" s="1">
        <v>-2.9667290000000001E-6</v>
      </c>
      <c r="I5976">
        <v>-67.699200000000005</v>
      </c>
      <c r="J5976">
        <v>-294.74470000000002</v>
      </c>
      <c r="K5976">
        <v>1.128374</v>
      </c>
      <c r="L5976">
        <v>-59.363399999999999</v>
      </c>
      <c r="M5976">
        <v>0.69636640000000005</v>
      </c>
      <c r="N5976">
        <v>0</v>
      </c>
      <c r="O5976">
        <v>-0.71746100000000002</v>
      </c>
      <c r="P5976">
        <v>0.89736530000000003</v>
      </c>
      <c r="Q5976">
        <v>0.13207749999999999</v>
      </c>
      <c r="R5976">
        <v>-0.42105949999999998</v>
      </c>
      <c r="S5976">
        <v>2.7847599999999999</v>
      </c>
      <c r="T5976">
        <v>-0.16298370000000001</v>
      </c>
      <c r="U5976">
        <v>-1.245422</v>
      </c>
      <c r="V5976">
        <v>-0.3571821</v>
      </c>
      <c r="W5976">
        <v>0.1323338</v>
      </c>
      <c r="X5976">
        <v>0.92461269999999995</v>
      </c>
      <c r="Y5976">
        <v>-0.36944169999999998</v>
      </c>
      <c r="Z5976">
        <v>4.5420149999999999E-2</v>
      </c>
      <c r="AA5976">
        <v>0.92814319999999895</v>
      </c>
      <c r="AB5976">
        <v>42</v>
      </c>
      <c r="AC5976">
        <v>19.010400000000001</v>
      </c>
      <c r="AD5976">
        <v>-1.128376966729</v>
      </c>
      <c r="AE5976">
        <v>-8.3358000000000008</v>
      </c>
      <c r="AF5976">
        <v>-7.8126312926756398</v>
      </c>
      <c r="AG5976">
        <v>-1.128376966729</v>
      </c>
      <c r="AH5976">
        <v>19.165292475760001</v>
      </c>
      <c r="AI5976">
        <v>93.120684869403902</v>
      </c>
      <c r="AJ5976">
        <v>112.178008873896</v>
      </c>
      <c r="AK5976">
        <v>20.727249648126499</v>
      </c>
      <c r="AL5976">
        <v>82.395525159169594</v>
      </c>
      <c r="AM5976">
        <v>111.121773787385</v>
      </c>
      <c r="AN5976">
        <v>0.99999996609206898</v>
      </c>
    </row>
    <row r="5977" spans="1:40" x14ac:dyDescent="0.25">
      <c r="A5977" t="str">
        <f>"20190312164145672"</f>
        <v>20190312164145672</v>
      </c>
      <c r="B5977" t="str">
        <f>"1552380105661667"</f>
        <v>1552380105661667</v>
      </c>
      <c r="C5977" t="s">
        <v>40</v>
      </c>
      <c r="D5977">
        <v>5.7001480000000004</v>
      </c>
      <c r="E5977">
        <v>0.4908824</v>
      </c>
      <c r="F5977" t="s">
        <v>41</v>
      </c>
      <c r="G5977">
        <v>-276.35520000000002</v>
      </c>
      <c r="H5977" s="1">
        <v>-3.1275699999999999E-6</v>
      </c>
      <c r="I5977">
        <v>-67.321619999999996</v>
      </c>
      <c r="J5977">
        <v>-294.45530000000002</v>
      </c>
      <c r="K5977">
        <v>1.1283810000000001</v>
      </c>
      <c r="L5977">
        <v>-59.661650000000002</v>
      </c>
      <c r="M5977">
        <v>0.70813930000000003</v>
      </c>
      <c r="N5977">
        <v>0</v>
      </c>
      <c r="O5977">
        <v>-0.70584269999999905</v>
      </c>
      <c r="P5977">
        <v>0.90344539999999995</v>
      </c>
      <c r="Q5977">
        <v>0.13080820000000001</v>
      </c>
      <c r="R5977">
        <v>-0.4082596</v>
      </c>
      <c r="S5977">
        <v>2.7998660000000002</v>
      </c>
      <c r="T5977">
        <v>-0.171799799999999</v>
      </c>
      <c r="U5977">
        <v>-1.21167</v>
      </c>
      <c r="V5977">
        <v>-0.35510130000000001</v>
      </c>
      <c r="W5977">
        <v>0.131208399999999</v>
      </c>
      <c r="X5977">
        <v>0.92557409999999996</v>
      </c>
      <c r="Y5977">
        <v>-0.36519780000000002</v>
      </c>
      <c r="Z5977">
        <v>4.7247829999999998E-2</v>
      </c>
      <c r="AA5977">
        <v>0.92973019999999995</v>
      </c>
      <c r="AB5977">
        <v>42</v>
      </c>
      <c r="AC5977">
        <v>18.100100000000001</v>
      </c>
      <c r="AD5977">
        <v>-1.12838412757</v>
      </c>
      <c r="AE5977">
        <v>-7.6599699999999897</v>
      </c>
      <c r="AF5977">
        <v>-7.3285362175914903</v>
      </c>
      <c r="AG5977">
        <v>-1.12838412757</v>
      </c>
      <c r="AH5977">
        <v>18.167205372949301</v>
      </c>
      <c r="AI5977">
        <v>93.296651746658995</v>
      </c>
      <c r="AJ5977">
        <v>111.968837871638</v>
      </c>
      <c r="AK5977">
        <v>19.622131507428598</v>
      </c>
      <c r="AL5977">
        <v>82.4605732688389</v>
      </c>
      <c r="AM5977">
        <v>110.989569700717</v>
      </c>
      <c r="AN5977">
        <v>0.999999996041529</v>
      </c>
    </row>
    <row r="5978" spans="1:40" x14ac:dyDescent="0.25">
      <c r="A5978" t="str">
        <f>"20190312164145694"</f>
        <v>20190312164145694</v>
      </c>
      <c r="B5978" t="str">
        <f>"1552380105682166"</f>
        <v>1552380105682166</v>
      </c>
      <c r="C5978" t="s">
        <v>40</v>
      </c>
      <c r="D5978">
        <v>6.0454109999999996</v>
      </c>
      <c r="E5978">
        <v>0.49115249999999999</v>
      </c>
      <c r="F5978" t="s">
        <v>41</v>
      </c>
      <c r="G5978">
        <v>-276.50170000000003</v>
      </c>
      <c r="H5978" s="1">
        <v>-3.1537649999999999E-6</v>
      </c>
      <c r="I5978">
        <v>-67.144710000000003</v>
      </c>
      <c r="J5978">
        <v>-294.15949999999998</v>
      </c>
      <c r="K5978">
        <v>1.1283829999999999</v>
      </c>
      <c r="L5978">
        <v>-59.9565699999999</v>
      </c>
      <c r="M5978">
        <v>0.71978030000000004</v>
      </c>
      <c r="N5978">
        <v>0</v>
      </c>
      <c r="O5978">
        <v>-0.693967</v>
      </c>
      <c r="P5978">
        <v>0.90924769999999999</v>
      </c>
      <c r="Q5978">
        <v>0.13135139999999901</v>
      </c>
      <c r="R5978">
        <v>-0.39498850000000002</v>
      </c>
      <c r="S5978">
        <v>2.8158569999999998</v>
      </c>
      <c r="T5978">
        <v>-0.1769762</v>
      </c>
      <c r="U5978">
        <v>-1.173645</v>
      </c>
      <c r="V5978">
        <v>-0.35322690000000001</v>
      </c>
      <c r="W5978">
        <v>0.13188440000000001</v>
      </c>
      <c r="X5978">
        <v>0.92619499999999999</v>
      </c>
      <c r="Y5978">
        <v>-0.3622223</v>
      </c>
      <c r="Z5978">
        <v>4.8041670000000002E-2</v>
      </c>
      <c r="AA5978">
        <v>0.93085280000000004</v>
      </c>
      <c r="AB5978">
        <v>42</v>
      </c>
      <c r="AC5978">
        <v>17.657799999999899</v>
      </c>
      <c r="AD5978">
        <v>-1.128386153765</v>
      </c>
      <c r="AE5978">
        <v>-7.1881400000000104</v>
      </c>
      <c r="AF5978">
        <v>-7.0564842543048396</v>
      </c>
      <c r="AG5978">
        <v>-1.128386153765</v>
      </c>
      <c r="AH5978">
        <v>17.639163686741</v>
      </c>
      <c r="AI5978">
        <v>93.399042077566406</v>
      </c>
      <c r="AJ5978">
        <v>111.80370218365</v>
      </c>
      <c r="AK5978">
        <v>19.0317450831736</v>
      </c>
      <c r="AL5978">
        <v>82.421501499877706</v>
      </c>
      <c r="AM5978">
        <v>110.875561829091</v>
      </c>
      <c r="AN5978">
        <v>0.99999995793598395</v>
      </c>
    </row>
    <row r="5979" spans="1:40" x14ac:dyDescent="0.25">
      <c r="A5979" t="str">
        <f>"20190312164145717"</f>
        <v>20190312164145717</v>
      </c>
      <c r="B5979" t="str">
        <f>"1552380105712422"</f>
        <v>1552380105712422</v>
      </c>
      <c r="C5979" t="s">
        <v>40</v>
      </c>
      <c r="D5979">
        <v>6.1591019999999999</v>
      </c>
      <c r="E5979">
        <v>0.4917164</v>
      </c>
      <c r="F5979" t="s">
        <v>41</v>
      </c>
      <c r="G5979">
        <v>-276.25619999999998</v>
      </c>
      <c r="H5979" s="1">
        <v>-3.0675669999999998E-6</v>
      </c>
      <c r="I5979">
        <v>-67.124780000000001</v>
      </c>
      <c r="J5979">
        <v>-293.85680000000002</v>
      </c>
      <c r="K5979">
        <v>1.1283879999999999</v>
      </c>
      <c r="L5979">
        <v>-60.248469999999998</v>
      </c>
      <c r="M5979">
        <v>0.73130719999999905</v>
      </c>
      <c r="N5979">
        <v>0</v>
      </c>
      <c r="O5979">
        <v>-0.68180839999999998</v>
      </c>
      <c r="P5979">
        <v>0.91504509999999994</v>
      </c>
      <c r="Q5979">
        <v>0.13177739999999999</v>
      </c>
      <c r="R5979">
        <v>-0.38121850000000002</v>
      </c>
      <c r="S5979">
        <v>2.8325200000000001</v>
      </c>
      <c r="T5979">
        <v>-0.17852390000000001</v>
      </c>
      <c r="U5979">
        <v>-1.1340939999999999</v>
      </c>
      <c r="V5979">
        <v>-0.3516628</v>
      </c>
      <c r="W5979">
        <v>0.13242979999999999</v>
      </c>
      <c r="X5979">
        <v>0.92671230000000004</v>
      </c>
      <c r="Y5979">
        <v>-0.3596954</v>
      </c>
      <c r="Z5979">
        <v>4.7809820000000003E-2</v>
      </c>
      <c r="AA5979">
        <v>0.93184409999999895</v>
      </c>
      <c r="AB5979">
        <v>42</v>
      </c>
      <c r="AC5979">
        <v>17.6006</v>
      </c>
      <c r="AD5979">
        <v>-1.1283910675669999</v>
      </c>
      <c r="AE5979">
        <v>-6.8763100000000001</v>
      </c>
      <c r="AF5979">
        <v>-6.9479066167438503</v>
      </c>
      <c r="AG5979">
        <v>-1.1283910675669999</v>
      </c>
      <c r="AH5979">
        <v>17.500239343032401</v>
      </c>
      <c r="AI5979">
        <v>93.429537712484702</v>
      </c>
      <c r="AJ5979">
        <v>111.653958898824</v>
      </c>
      <c r="AK5979">
        <v>18.862795387210699</v>
      </c>
      <c r="AL5979">
        <v>82.389976427989495</v>
      </c>
      <c r="AM5979">
        <v>110.780428704971</v>
      </c>
      <c r="AN5979">
        <v>1.00000003190158</v>
      </c>
    </row>
    <row r="5980" spans="1:40" x14ac:dyDescent="0.25">
      <c r="A5980" t="str">
        <f>"20190312164145740"</f>
        <v>20190312164145740</v>
      </c>
      <c r="B5980" t="str">
        <f>"1552380105731939"</f>
        <v>1552380105731939</v>
      </c>
      <c r="C5980" t="s">
        <v>40</v>
      </c>
      <c r="D5980">
        <v>6.146058</v>
      </c>
      <c r="E5980">
        <v>0.49189129999999998</v>
      </c>
      <c r="F5980" t="s">
        <v>41</v>
      </c>
      <c r="G5980">
        <v>-275.93189999999998</v>
      </c>
      <c r="H5980" s="1">
        <v>-2.9585999999999999E-6</v>
      </c>
      <c r="I5980">
        <v>-67.135199999999998</v>
      </c>
      <c r="J5980">
        <v>-293.5505</v>
      </c>
      <c r="K5980">
        <v>1.128396</v>
      </c>
      <c r="L5980">
        <v>-60.533050000000003</v>
      </c>
      <c r="M5980">
        <v>0.74257030000000002</v>
      </c>
      <c r="N5980">
        <v>0</v>
      </c>
      <c r="O5980">
        <v>-0.66952279999999997</v>
      </c>
      <c r="P5980">
        <v>0.91986389999999996</v>
      </c>
      <c r="Q5980">
        <v>0.1325654</v>
      </c>
      <c r="R5980">
        <v>-0.3691567</v>
      </c>
      <c r="S5980">
        <v>2.8484189999999998</v>
      </c>
      <c r="T5980">
        <v>-0.1793112</v>
      </c>
      <c r="U5980">
        <v>-1.09436</v>
      </c>
      <c r="V5980">
        <v>-0.34834920000000003</v>
      </c>
      <c r="W5980">
        <v>0.13343169999999999</v>
      </c>
      <c r="X5980">
        <v>0.92781939999999996</v>
      </c>
      <c r="Y5980">
        <v>-0.3572227</v>
      </c>
      <c r="Z5980">
        <v>4.7358369999999997E-2</v>
      </c>
      <c r="AA5980">
        <v>0.93281789999999998</v>
      </c>
      <c r="AB5980">
        <v>42</v>
      </c>
      <c r="AC5980">
        <v>17.618600000000001</v>
      </c>
      <c r="AD5980">
        <v>-1.1283989586000001</v>
      </c>
      <c r="AE5980">
        <v>-6.6021499999999902</v>
      </c>
      <c r="AF5980">
        <v>-6.8699168679417202</v>
      </c>
      <c r="AG5980">
        <v>-1.1283989586000001</v>
      </c>
      <c r="AH5980">
        <v>17.4434743698273</v>
      </c>
      <c r="AI5980">
        <v>93.444428801375395</v>
      </c>
      <c r="AJ5980">
        <v>111.496444414816</v>
      </c>
      <c r="AK5980">
        <v>18.781475982281702</v>
      </c>
      <c r="AL5980">
        <v>82.332057618296602</v>
      </c>
      <c r="AM5980">
        <v>110.578614102137</v>
      </c>
      <c r="AN5980">
        <v>1.00000001136094</v>
      </c>
    </row>
    <row r="5981" spans="1:40" x14ac:dyDescent="0.25">
      <c r="A5981" t="str">
        <f>"20190312164145762"</f>
        <v>20190312164145762</v>
      </c>
      <c r="B5981" t="str">
        <f>"1552380105752435"</f>
        <v>1552380105752435</v>
      </c>
      <c r="C5981" t="s">
        <v>40</v>
      </c>
      <c r="D5981">
        <v>6.0994890000000002</v>
      </c>
      <c r="E5981">
        <v>0.49230639999999998</v>
      </c>
      <c r="F5981" t="s">
        <v>42</v>
      </c>
      <c r="G5981">
        <v>-292.42419999999998</v>
      </c>
      <c r="H5981">
        <v>1.058549</v>
      </c>
      <c r="I5981">
        <v>-60.948700000000002</v>
      </c>
      <c r="J5981">
        <v>-293.24489999999997</v>
      </c>
      <c r="K5981">
        <v>1.128393</v>
      </c>
      <c r="L5981">
        <v>-60.807400000000001</v>
      </c>
      <c r="M5981">
        <v>0.7534459</v>
      </c>
      <c r="N5981">
        <v>0</v>
      </c>
      <c r="O5981">
        <v>-0.65725919999999904</v>
      </c>
      <c r="P5981">
        <v>0.92444400000000004</v>
      </c>
      <c r="Q5981">
        <v>0.13379750000000001</v>
      </c>
      <c r="R5981">
        <v>-0.35707410000000001</v>
      </c>
      <c r="S5981">
        <v>2.862946</v>
      </c>
      <c r="T5981">
        <v>-0.17753640000000001</v>
      </c>
      <c r="U5981">
        <v>-1.0564579999999999</v>
      </c>
      <c r="V5981">
        <v>-0.345225</v>
      </c>
      <c r="W5981">
        <v>0.13486960000000001</v>
      </c>
      <c r="X5981">
        <v>0.92877869999999996</v>
      </c>
      <c r="Y5981">
        <v>-0.35437289999999999</v>
      </c>
      <c r="Z5981">
        <v>4.6222590000000001E-2</v>
      </c>
      <c r="AA5981">
        <v>0.93396109999999999</v>
      </c>
      <c r="AB5981">
        <v>42</v>
      </c>
      <c r="AC5981">
        <v>0.820699999999987</v>
      </c>
      <c r="AD5981">
        <v>-6.9844000000000003E-2</v>
      </c>
      <c r="AE5981">
        <v>-0.14130000000000101</v>
      </c>
      <c r="AF5981">
        <v>-0.42999748619087302</v>
      </c>
      <c r="AG5981">
        <v>-6.9844000000000003E-2</v>
      </c>
      <c r="AH5981">
        <v>0.70637239169010102</v>
      </c>
      <c r="AI5981">
        <v>94.827682787995002</v>
      </c>
      <c r="AJ5981">
        <v>121.330567940481</v>
      </c>
      <c r="AK5981">
        <v>0.82990239077162797</v>
      </c>
      <c r="AL5981">
        <v>82.248920375810101</v>
      </c>
      <c r="AM5981">
        <v>110.38998959930299</v>
      </c>
      <c r="AN5981">
        <v>0.99999999160142405</v>
      </c>
    </row>
    <row r="5982" spans="1:40" x14ac:dyDescent="0.25">
      <c r="A5982" t="str">
        <f>"20190312164145775"</f>
        <v>20190312164145775</v>
      </c>
      <c r="B5982" t="str">
        <f>"1552380105772464"</f>
        <v>1552380105772464</v>
      </c>
      <c r="C5982" t="s">
        <v>40</v>
      </c>
      <c r="D5982">
        <v>6.0956409999999996</v>
      </c>
      <c r="E5982">
        <v>0.49245889999999998</v>
      </c>
      <c r="F5982" t="s">
        <v>41</v>
      </c>
      <c r="G5982">
        <v>-274.7534</v>
      </c>
      <c r="H5982" s="1">
        <v>-2.5902159999999998E-6</v>
      </c>
      <c r="I5982">
        <v>-67.379619999999903</v>
      </c>
      <c r="J5982">
        <v>-293.06259999999997</v>
      </c>
      <c r="K5982">
        <v>1.1283890000000001</v>
      </c>
      <c r="L5982">
        <v>-60.96716</v>
      </c>
      <c r="M5982">
        <v>0.75977680000000003</v>
      </c>
      <c r="N5982">
        <v>0</v>
      </c>
      <c r="O5982">
        <v>-0.6499298</v>
      </c>
      <c r="P5982">
        <v>0.92725340000000001</v>
      </c>
      <c r="Q5982">
        <v>0.1338713</v>
      </c>
      <c r="R5982">
        <v>-0.34968539999999998</v>
      </c>
      <c r="S5982">
        <v>2.8757630000000001</v>
      </c>
      <c r="T5982">
        <v>-0.17548549999999999</v>
      </c>
      <c r="U5982">
        <v>-1.022095</v>
      </c>
      <c r="V5982">
        <v>-0.34363169999999998</v>
      </c>
      <c r="W5982">
        <v>0.13505300000000001</v>
      </c>
      <c r="X5982">
        <v>0.92934269999999997</v>
      </c>
      <c r="Y5982">
        <v>-0.35658220000000002</v>
      </c>
      <c r="Z5982">
        <v>4.538387E-2</v>
      </c>
      <c r="AA5982">
        <v>0.93316100000000002</v>
      </c>
      <c r="AB5982">
        <v>42</v>
      </c>
      <c r="AC5982">
        <v>18.309199999999901</v>
      </c>
      <c r="AD5982">
        <v>-1.12839159021599</v>
      </c>
      <c r="AE5982">
        <v>-6.4124599999999798</v>
      </c>
      <c r="AF5982">
        <v>-7.0051179118331097</v>
      </c>
      <c r="AG5982">
        <v>-1.12839159021599</v>
      </c>
      <c r="AH5982">
        <v>18.020574380450601</v>
      </c>
      <c r="AI5982">
        <v>93.340127425187802</v>
      </c>
      <c r="AJ5982">
        <v>111.242542192748</v>
      </c>
      <c r="AK5982">
        <v>19.3671382899206</v>
      </c>
      <c r="AL5982">
        <v>82.238315024902306</v>
      </c>
      <c r="AM5982">
        <v>110.292266054354</v>
      </c>
      <c r="AN5982">
        <v>0.99999995604858904</v>
      </c>
    </row>
    <row r="5983" spans="1:40" x14ac:dyDescent="0.25">
      <c r="A5983" t="str">
        <f>"20190312164145788"</f>
        <v>20190312164145788</v>
      </c>
      <c r="B5983" t="str">
        <f>"1552380105782224"</f>
        <v>1552380105782224</v>
      </c>
      <c r="C5983" t="s">
        <v>40</v>
      </c>
      <c r="D5983">
        <v>6.1537769999999998</v>
      </c>
      <c r="E5983">
        <v>0.49270069999999999</v>
      </c>
      <c r="F5983" t="s">
        <v>41</v>
      </c>
      <c r="G5983">
        <v>-274.61520000000002</v>
      </c>
      <c r="H5983" s="1">
        <v>-2.5416290000000001E-6</v>
      </c>
      <c r="I5983">
        <v>-67.368020000000001</v>
      </c>
      <c r="J5983">
        <v>-292.89339999999999</v>
      </c>
      <c r="K5983">
        <v>1.1283799999999999</v>
      </c>
      <c r="L5983">
        <v>-61.111820000000002</v>
      </c>
      <c r="M5983">
        <v>0.76553490000000002</v>
      </c>
      <c r="N5983">
        <v>0</v>
      </c>
      <c r="O5983">
        <v>-0.64313699999999996</v>
      </c>
      <c r="P5983">
        <v>0.92991950000000001</v>
      </c>
      <c r="Q5983">
        <v>0.13369429999999999</v>
      </c>
      <c r="R5983">
        <v>-0.34260159999999901</v>
      </c>
      <c r="S5983">
        <v>2.8835139999999999</v>
      </c>
      <c r="T5983">
        <v>-0.17637900000000001</v>
      </c>
      <c r="U5983">
        <v>-1.0005189999999999</v>
      </c>
      <c r="V5983">
        <v>-0.34244849999999999</v>
      </c>
      <c r="W5983">
        <v>0.13496269999999999</v>
      </c>
      <c r="X5983">
        <v>0.92979250000000002</v>
      </c>
      <c r="Y5983">
        <v>-0.35526980000000002</v>
      </c>
      <c r="Z5983">
        <v>4.5249350000000001E-2</v>
      </c>
      <c r="AA5983">
        <v>0.93366800000000005</v>
      </c>
      <c r="AB5983">
        <v>42</v>
      </c>
      <c r="AC5983">
        <v>18.278199999999899</v>
      </c>
      <c r="AD5983">
        <v>-1.1283825416290001</v>
      </c>
      <c r="AE5983">
        <v>-6.2561999999999998</v>
      </c>
      <c r="AF5983">
        <v>-6.9435137158758202</v>
      </c>
      <c r="AG5983">
        <v>-1.1283825416290001</v>
      </c>
      <c r="AH5983">
        <v>17.9579154775282</v>
      </c>
      <c r="AI5983">
        <v>93.3540669736757</v>
      </c>
      <c r="AJ5983">
        <v>111.139231936855</v>
      </c>
      <c r="AK5983">
        <v>19.286584927893699</v>
      </c>
      <c r="AL5983">
        <v>82.243536977917202</v>
      </c>
      <c r="AM5983">
        <v>110.21907365092</v>
      </c>
      <c r="AN5983">
        <v>0.99999999929989503</v>
      </c>
    </row>
    <row r="5984" spans="1:40" x14ac:dyDescent="0.25">
      <c r="A5984" t="str">
        <f>"20190312164145806"</f>
        <v>20190312164145806</v>
      </c>
      <c r="B5984" t="str">
        <f>"1552380105801744"</f>
        <v>1552380105801744</v>
      </c>
      <c r="C5984" t="s">
        <v>40</v>
      </c>
      <c r="D5984">
        <v>6.0945640000000001</v>
      </c>
      <c r="E5984">
        <v>0.49308610000000003</v>
      </c>
      <c r="F5984" t="s">
        <v>41</v>
      </c>
      <c r="G5984">
        <v>-274.56709999999998</v>
      </c>
      <c r="H5984" s="1">
        <v>-2.519515E-6</v>
      </c>
      <c r="I5984">
        <v>-67.325000000000003</v>
      </c>
      <c r="J5984">
        <v>-292.62810000000002</v>
      </c>
      <c r="K5984">
        <v>1.1283639999999999</v>
      </c>
      <c r="L5984">
        <v>-61.333979999999997</v>
      </c>
      <c r="M5984">
        <v>0.77437180000000005</v>
      </c>
      <c r="N5984">
        <v>0</v>
      </c>
      <c r="O5984">
        <v>-0.63246859999999905</v>
      </c>
      <c r="P5984">
        <v>0.9340463</v>
      </c>
      <c r="Q5984">
        <v>0.13183259999999999</v>
      </c>
      <c r="R5984">
        <v>-0.33193109999999998</v>
      </c>
      <c r="S5984">
        <v>2.890625</v>
      </c>
      <c r="T5984">
        <v>-0.177981</v>
      </c>
      <c r="U5984">
        <v>-0.98001099999999997</v>
      </c>
      <c r="V5984">
        <v>-0.34028560000000002</v>
      </c>
      <c r="W5984">
        <v>0.13325590000000001</v>
      </c>
      <c r="X5984">
        <v>0.9308322</v>
      </c>
      <c r="Y5984">
        <v>-0.34895150000000003</v>
      </c>
      <c r="Z5984">
        <v>4.4974489999999999E-2</v>
      </c>
      <c r="AA5984">
        <v>0.93606100000000003</v>
      </c>
      <c r="AB5984">
        <v>42</v>
      </c>
      <c r="AC5984">
        <v>18.061</v>
      </c>
      <c r="AD5984">
        <v>-1.1283665195150001</v>
      </c>
      <c r="AE5984">
        <v>-5.99101999999999</v>
      </c>
      <c r="AF5984">
        <v>-6.7610903214847404</v>
      </c>
      <c r="AG5984">
        <v>-1.1283665195150001</v>
      </c>
      <c r="AH5984">
        <v>17.715717469054599</v>
      </c>
      <c r="AI5984">
        <v>93.405461045521605</v>
      </c>
      <c r="AJ5984">
        <v>110.88903527315</v>
      </c>
      <c r="AK5984">
        <v>18.995583665184</v>
      </c>
      <c r="AL5984">
        <v>82.342220923811894</v>
      </c>
      <c r="AM5984">
        <v>110.080965116008</v>
      </c>
      <c r="AN5984">
        <v>1.0000000045045001</v>
      </c>
    </row>
    <row r="5985" spans="1:40" x14ac:dyDescent="0.25">
      <c r="A5985" t="str">
        <f>"20190312164145830"</f>
        <v>20190312164145830</v>
      </c>
      <c r="B5985" t="str">
        <f>"1552380105822243"</f>
        <v>1552380105822243</v>
      </c>
      <c r="C5985" t="s">
        <v>40</v>
      </c>
      <c r="D5985">
        <v>5.6877599999999999</v>
      </c>
      <c r="E5985">
        <v>0.49339840000000001</v>
      </c>
      <c r="F5985" t="s">
        <v>41</v>
      </c>
      <c r="G5985">
        <v>-275.07619999999997</v>
      </c>
      <c r="H5985" s="1">
        <v>-2.6603039999999999E-6</v>
      </c>
      <c r="I5985">
        <v>-67.081999999999994</v>
      </c>
      <c r="J5985">
        <v>-292.30459999999999</v>
      </c>
      <c r="K5985">
        <v>1.1283570000000001</v>
      </c>
      <c r="L5985">
        <v>-61.596409999999999</v>
      </c>
      <c r="M5985">
        <v>0.7848368</v>
      </c>
      <c r="N5985">
        <v>0</v>
      </c>
      <c r="O5985">
        <v>-0.61943380000000003</v>
      </c>
      <c r="P5985">
        <v>0.93854919999999997</v>
      </c>
      <c r="Q5985">
        <v>0.13139389999999901</v>
      </c>
      <c r="R5985">
        <v>-0.31915729999999998</v>
      </c>
      <c r="S5985">
        <v>2.9005429999999999</v>
      </c>
      <c r="T5985">
        <v>-0.18646850000000001</v>
      </c>
      <c r="U5985">
        <v>-0.94989009999999996</v>
      </c>
      <c r="V5985">
        <v>-0.33742899999999998</v>
      </c>
      <c r="W5985">
        <v>0.13301540000000001</v>
      </c>
      <c r="X5985">
        <v>0.93190589999999995</v>
      </c>
      <c r="Y5985">
        <v>-0.34289419999999998</v>
      </c>
      <c r="Z5985">
        <v>4.6276619999999997E-2</v>
      </c>
      <c r="AA5985">
        <v>0.9382334</v>
      </c>
      <c r="AB5985">
        <v>42</v>
      </c>
      <c r="AC5985">
        <v>17.228400000000001</v>
      </c>
      <c r="AD5985">
        <v>-1.128359660304</v>
      </c>
      <c r="AE5985">
        <v>-5.4855899999999904</v>
      </c>
      <c r="AF5985">
        <v>-6.3429171678082996</v>
      </c>
      <c r="AG5985">
        <v>-1.128359660304</v>
      </c>
      <c r="AH5985">
        <v>16.856609208697002</v>
      </c>
      <c r="AI5985">
        <v>93.584902348439897</v>
      </c>
      <c r="AJ5985">
        <v>110.62064923080599</v>
      </c>
      <c r="AK5985">
        <v>18.045804712880098</v>
      </c>
      <c r="AL5985">
        <v>82.356124422057405</v>
      </c>
      <c r="AM5985">
        <v>109.90455372903</v>
      </c>
      <c r="AN5985">
        <v>1.00000001656648</v>
      </c>
    </row>
    <row r="5986" spans="1:40" x14ac:dyDescent="0.25">
      <c r="A5986" t="str">
        <f>"20190312164145840"</f>
        <v>20190312164145840</v>
      </c>
      <c r="B5986" t="str">
        <f>"1552380105832003"</f>
        <v>1552380105832003</v>
      </c>
      <c r="C5986" t="s">
        <v>40</v>
      </c>
      <c r="D5986">
        <v>6.153041</v>
      </c>
      <c r="E5986">
        <v>0.49361480000000002</v>
      </c>
      <c r="F5986" t="s">
        <v>41</v>
      </c>
      <c r="G5986">
        <v>-274.9853</v>
      </c>
      <c r="H5986" s="1">
        <v>-2.6203429999999998E-6</v>
      </c>
      <c r="I5986">
        <v>-67.014610000000005</v>
      </c>
      <c r="J5986">
        <v>-292.14030000000002</v>
      </c>
      <c r="K5986">
        <v>1.1283540000000001</v>
      </c>
      <c r="L5986">
        <v>-61.726529999999997</v>
      </c>
      <c r="M5986">
        <v>0.79002740000000005</v>
      </c>
      <c r="N5986">
        <v>0</v>
      </c>
      <c r="O5986">
        <v>-0.61279930000000005</v>
      </c>
      <c r="P5986">
        <v>0.94056790000000001</v>
      </c>
      <c r="Q5986">
        <v>0.13197049999999999</v>
      </c>
      <c r="R5986">
        <v>-0.31291600000000003</v>
      </c>
      <c r="S5986">
        <v>2.913116</v>
      </c>
      <c r="T5986">
        <v>-0.18979099999999999</v>
      </c>
      <c r="U5986">
        <v>-0.9113464</v>
      </c>
      <c r="V5986">
        <v>-0.33573930000000002</v>
      </c>
      <c r="W5986">
        <v>0.1337034</v>
      </c>
      <c r="X5986">
        <v>0.93241759999999996</v>
      </c>
      <c r="Y5986">
        <v>-0.34738869999999999</v>
      </c>
      <c r="Z5986">
        <v>4.6862500000000001E-2</v>
      </c>
      <c r="AA5986">
        <v>0.93654950000000003</v>
      </c>
      <c r="AB5986">
        <v>41</v>
      </c>
      <c r="AC5986">
        <v>17.155000000000001</v>
      </c>
      <c r="AD5986">
        <v>-1.128356620343</v>
      </c>
      <c r="AE5986">
        <v>-5.2880799999999999</v>
      </c>
      <c r="AF5986">
        <v>-6.3109675958640397</v>
      </c>
      <c r="AG5986">
        <v>-1.128356620343</v>
      </c>
      <c r="AH5986">
        <v>16.730156519040499</v>
      </c>
      <c r="AI5986">
        <v>93.610806812247603</v>
      </c>
      <c r="AJ5986">
        <v>110.66753242893699</v>
      </c>
      <c r="AK5986">
        <v>17.916462759437501</v>
      </c>
      <c r="AL5986">
        <v>82.316349741333497</v>
      </c>
      <c r="AM5986">
        <v>109.802627809097</v>
      </c>
      <c r="AN5986">
        <v>1.0000000287629001</v>
      </c>
    </row>
    <row r="5987" spans="1:40" x14ac:dyDescent="0.25">
      <c r="A5987" t="str">
        <f>"20190312164145852"</f>
        <v>20190312164145852</v>
      </c>
      <c r="B5987" t="str">
        <f>"1552380105841760"</f>
        <v>1552380105841760</v>
      </c>
      <c r="C5987" t="s">
        <v>40</v>
      </c>
      <c r="D5987">
        <v>6.1552930000000003</v>
      </c>
      <c r="E5987">
        <v>0.49384470000000003</v>
      </c>
      <c r="F5987" t="s">
        <v>41</v>
      </c>
      <c r="G5987">
        <v>-274.70589999999999</v>
      </c>
      <c r="H5987" s="1">
        <v>-2.5317700000000001E-6</v>
      </c>
      <c r="I5987">
        <v>-67.063280000000006</v>
      </c>
      <c r="J5987">
        <v>-291.97609999999997</v>
      </c>
      <c r="K5987">
        <v>1.128349</v>
      </c>
      <c r="L5987">
        <v>-61.853639999999999</v>
      </c>
      <c r="M5987">
        <v>0.79512479999999996</v>
      </c>
      <c r="N5987">
        <v>0</v>
      </c>
      <c r="O5987">
        <v>-0.60617019999999899</v>
      </c>
      <c r="P5987">
        <v>0.94238449999999996</v>
      </c>
      <c r="Q5987">
        <v>0.13315199999999999</v>
      </c>
      <c r="R5987">
        <v>-0.30689149999999998</v>
      </c>
      <c r="S5987">
        <v>2.9188230000000002</v>
      </c>
      <c r="T5987">
        <v>-0.1889063</v>
      </c>
      <c r="U5987">
        <v>-0.89346309999999995</v>
      </c>
      <c r="V5987">
        <v>-0.33385389999999998</v>
      </c>
      <c r="W5987">
        <v>0.13500619999999999</v>
      </c>
      <c r="X5987">
        <v>0.93290669999999998</v>
      </c>
      <c r="Y5987">
        <v>-0.3453369</v>
      </c>
      <c r="Z5987">
        <v>4.623356E-2</v>
      </c>
      <c r="AA5987">
        <v>0.93733920000000004</v>
      </c>
      <c r="AB5987">
        <v>41</v>
      </c>
      <c r="AC5987">
        <v>17.2701999999999</v>
      </c>
      <c r="AD5987">
        <v>-1.1283515317699999</v>
      </c>
      <c r="AE5987">
        <v>-5.2096400000000003</v>
      </c>
      <c r="AF5987">
        <v>-6.3027636427042903</v>
      </c>
      <c r="AG5987">
        <v>-1.1283515317699999</v>
      </c>
      <c r="AH5987">
        <v>16.826878497940498</v>
      </c>
      <c r="AI5987">
        <v>93.593223414837496</v>
      </c>
      <c r="AJ5987">
        <v>110.534202851714</v>
      </c>
      <c r="AK5987">
        <v>18.003939754939601</v>
      </c>
      <c r="AL5987">
        <v>82.241021640273601</v>
      </c>
      <c r="AM5987">
        <v>109.690469715871</v>
      </c>
      <c r="AN5987">
        <v>1.0000000057442699</v>
      </c>
    </row>
    <row r="5988" spans="1:40" x14ac:dyDescent="0.25">
      <c r="A5988" t="str">
        <f>"20190312164145864"</f>
        <v>20190312164145864</v>
      </c>
      <c r="B5988" t="str">
        <f>"1552380105852496"</f>
        <v>1552380105852496</v>
      </c>
      <c r="C5988" t="s">
        <v>40</v>
      </c>
      <c r="D5988">
        <v>6.1035750000000002</v>
      </c>
      <c r="E5988">
        <v>0.49410530000000003</v>
      </c>
      <c r="F5988" t="s">
        <v>41</v>
      </c>
      <c r="G5988">
        <v>-274.2355</v>
      </c>
      <c r="H5988" s="1">
        <v>-2.385918E-6</v>
      </c>
      <c r="I5988">
        <v>-67.169600000000003</v>
      </c>
      <c r="J5988">
        <v>-291.8109</v>
      </c>
      <c r="K5988">
        <v>1.128349</v>
      </c>
      <c r="L5988">
        <v>-61.979489999999998</v>
      </c>
      <c r="M5988">
        <v>0.80017389999999999</v>
      </c>
      <c r="N5988">
        <v>0</v>
      </c>
      <c r="O5988">
        <v>-0.59948869999999999</v>
      </c>
      <c r="P5988">
        <v>0.94434459999999998</v>
      </c>
      <c r="Q5988">
        <v>0.134129</v>
      </c>
      <c r="R5988">
        <v>-0.3003709</v>
      </c>
      <c r="S5988">
        <v>2.924347</v>
      </c>
      <c r="T5988">
        <v>-0.1859972</v>
      </c>
      <c r="U5988">
        <v>-0.87628169999999905</v>
      </c>
      <c r="V5988">
        <v>-0.3324435</v>
      </c>
      <c r="W5988">
        <v>0.13607910000000001</v>
      </c>
      <c r="X5988">
        <v>0.93325440000000004</v>
      </c>
      <c r="Y5988">
        <v>-0.34308250000000001</v>
      </c>
      <c r="Z5988">
        <v>4.5106680000000003E-2</v>
      </c>
      <c r="AA5988">
        <v>0.93822159999999999</v>
      </c>
      <c r="AB5988">
        <v>41</v>
      </c>
      <c r="AC5988">
        <v>17.575399999999998</v>
      </c>
      <c r="AD5988">
        <v>-1.1283513859180001</v>
      </c>
      <c r="AE5988">
        <v>-5.19010999999999</v>
      </c>
      <c r="AF5988">
        <v>-6.3602203781975897</v>
      </c>
      <c r="AG5988">
        <v>-1.1283513859180001</v>
      </c>
      <c r="AH5988">
        <v>17.112789878786</v>
      </c>
      <c r="AI5988">
        <v>93.536692317532996</v>
      </c>
      <c r="AJ5988">
        <v>110.388324632749</v>
      </c>
      <c r="AK5988">
        <v>18.291341053756099</v>
      </c>
      <c r="AL5988">
        <v>82.178976277353996</v>
      </c>
      <c r="AM5988">
        <v>109.606895133534</v>
      </c>
      <c r="AN5988">
        <v>0.99999998863421002</v>
      </c>
    </row>
    <row r="5989" spans="1:40" x14ac:dyDescent="0.25">
      <c r="A5989" t="str">
        <f>"20190312164145875"</f>
        <v>20190312164145875</v>
      </c>
      <c r="B5989" t="str">
        <f>"1552380105872523"</f>
        <v>1552380105872523</v>
      </c>
      <c r="C5989" t="s">
        <v>40</v>
      </c>
      <c r="D5989">
        <v>6.098484</v>
      </c>
      <c r="E5989">
        <v>0.4944886</v>
      </c>
      <c r="F5989" t="s">
        <v>41</v>
      </c>
      <c r="G5989">
        <v>-273.77460000000002</v>
      </c>
      <c r="H5989" s="1">
        <v>-2.241114E-6</v>
      </c>
      <c r="I5989">
        <v>-67.259810000000002</v>
      </c>
      <c r="J5989">
        <v>-291.63799999999998</v>
      </c>
      <c r="K5989">
        <v>1.1283430000000001</v>
      </c>
      <c r="L5989">
        <v>-62.109099999999998</v>
      </c>
      <c r="M5989">
        <v>0.80537289999999995</v>
      </c>
      <c r="N5989">
        <v>0</v>
      </c>
      <c r="O5989">
        <v>-0.5924855</v>
      </c>
      <c r="P5989">
        <v>0.94631949999999998</v>
      </c>
      <c r="Q5989">
        <v>0.13441029999999901</v>
      </c>
      <c r="R5989">
        <v>-0.29396139999999998</v>
      </c>
      <c r="S5989">
        <v>2.9299930000000001</v>
      </c>
      <c r="T5989">
        <v>-0.18330070000000001</v>
      </c>
      <c r="U5989">
        <v>-0.85778809999999905</v>
      </c>
      <c r="V5989">
        <v>-0.33061190000000001</v>
      </c>
      <c r="W5989">
        <v>0.13648009999999999</v>
      </c>
      <c r="X5989">
        <v>0.93384630000000002</v>
      </c>
      <c r="Y5989">
        <v>-0.34089180000000002</v>
      </c>
      <c r="Z5989">
        <v>4.4029140000000001E-2</v>
      </c>
      <c r="AA5989">
        <v>0.93907090000000004</v>
      </c>
      <c r="AB5989">
        <v>41</v>
      </c>
      <c r="AC5989">
        <v>17.863399999999899</v>
      </c>
      <c r="AD5989">
        <v>-1.128345241114</v>
      </c>
      <c r="AE5989">
        <v>-5.1507100000000001</v>
      </c>
      <c r="AF5989">
        <v>-6.4130198782785399</v>
      </c>
      <c r="AG5989">
        <v>-1.128345241114</v>
      </c>
      <c r="AH5989">
        <v>17.3773336214567</v>
      </c>
      <c r="AI5989">
        <v>93.485931634939604</v>
      </c>
      <c r="AJ5989">
        <v>110.256335301921</v>
      </c>
      <c r="AK5989">
        <v>18.5572549353009</v>
      </c>
      <c r="AL5989">
        <v>82.155784222295694</v>
      </c>
      <c r="AM5989">
        <v>109.495615609257</v>
      </c>
      <c r="AN5989">
        <v>0.99999997907065397</v>
      </c>
    </row>
    <row r="5990" spans="1:40" x14ac:dyDescent="0.25">
      <c r="A5990" t="str">
        <f>"20190312164145887"</f>
        <v>20190312164145887</v>
      </c>
      <c r="B5990" t="str">
        <f>"1552380105882283"</f>
        <v>1552380105882283</v>
      </c>
      <c r="C5990" t="s">
        <v>40</v>
      </c>
      <c r="D5990">
        <v>6.0394740000000002</v>
      </c>
      <c r="E5990">
        <v>0.49474020000000002</v>
      </c>
      <c r="F5990" t="s">
        <v>41</v>
      </c>
      <c r="G5990">
        <v>-273.65539999999999</v>
      </c>
      <c r="H5990" s="1">
        <v>-2.200249E-6</v>
      </c>
      <c r="I5990">
        <v>-67.25761</v>
      </c>
      <c r="J5990">
        <v>-291.47399999999999</v>
      </c>
      <c r="K5990">
        <v>1.1283369999999999</v>
      </c>
      <c r="L5990">
        <v>-62.229030000000002</v>
      </c>
      <c r="M5990">
        <v>0.81022069999999902</v>
      </c>
      <c r="N5990">
        <v>0</v>
      </c>
      <c r="O5990">
        <v>-0.58583850000000004</v>
      </c>
      <c r="P5990">
        <v>0.94822419999999996</v>
      </c>
      <c r="Q5990">
        <v>0.13460929999999999</v>
      </c>
      <c r="R5990">
        <v>-0.28766580000000003</v>
      </c>
      <c r="S5990">
        <v>2.9352109999999998</v>
      </c>
      <c r="T5990">
        <v>-0.1841737</v>
      </c>
      <c r="U5990">
        <v>-0.84036250000000001</v>
      </c>
      <c r="V5990">
        <v>-0.32912039999999998</v>
      </c>
      <c r="W5990">
        <v>0.13677909999999999</v>
      </c>
      <c r="X5990">
        <v>0.93432930000000003</v>
      </c>
      <c r="Y5990">
        <v>-0.33875229999999901</v>
      </c>
      <c r="Z5990">
        <v>4.3829720000000003E-2</v>
      </c>
      <c r="AA5990">
        <v>0.93985410000000003</v>
      </c>
      <c r="AB5990">
        <v>41</v>
      </c>
      <c r="AC5990">
        <v>17.8186</v>
      </c>
      <c r="AD5990">
        <v>-1.128339200249</v>
      </c>
      <c r="AE5990">
        <v>-5.0285799999999901</v>
      </c>
      <c r="AF5990">
        <v>-6.3420757168761197</v>
      </c>
      <c r="AG5990">
        <v>-1.128339200249</v>
      </c>
      <c r="AH5990">
        <v>17.321518857239301</v>
      </c>
      <c r="AI5990">
        <v>93.500402766472902</v>
      </c>
      <c r="AJ5990">
        <v>110.109625798517</v>
      </c>
      <c r="AK5990">
        <v>18.480532710696</v>
      </c>
      <c r="AL5990">
        <v>82.138490776280094</v>
      </c>
      <c r="AM5990">
        <v>109.40497075279799</v>
      </c>
      <c r="AN5990">
        <v>1.0000000003657299</v>
      </c>
    </row>
    <row r="5991" spans="1:40" x14ac:dyDescent="0.25">
      <c r="A5991" t="str">
        <f>"20190312164145898"</f>
        <v>20190312164145898</v>
      </c>
      <c r="B5991" t="str">
        <f>"1552380105892042"</f>
        <v>1552380105892042</v>
      </c>
      <c r="C5991" t="s">
        <v>40</v>
      </c>
      <c r="D5991">
        <v>5.2759960000000001</v>
      </c>
      <c r="E5991">
        <v>0.49499929999999998</v>
      </c>
      <c r="F5991" t="s">
        <v>41</v>
      </c>
      <c r="G5991">
        <v>-273.49860000000001</v>
      </c>
      <c r="H5991" s="1">
        <v>-2.1464930000000001E-6</v>
      </c>
      <c r="I5991">
        <v>-67.254490000000004</v>
      </c>
      <c r="J5991">
        <v>-291.30459999999999</v>
      </c>
      <c r="K5991">
        <v>1.1283299999999901</v>
      </c>
      <c r="L5991">
        <v>-62.351869999999998</v>
      </c>
      <c r="M5991">
        <v>0.81515780000000004</v>
      </c>
      <c r="N5991">
        <v>0</v>
      </c>
      <c r="O5991">
        <v>-0.57894889999999999</v>
      </c>
      <c r="P5991">
        <v>0.95007410000000003</v>
      </c>
      <c r="Q5991">
        <v>0.134711</v>
      </c>
      <c r="R5991">
        <v>-0.28144740000000001</v>
      </c>
      <c r="S5991">
        <v>2.940582</v>
      </c>
      <c r="T5991">
        <v>-0.18458440000000001</v>
      </c>
      <c r="U5991">
        <v>-0.82211299999999898</v>
      </c>
      <c r="V5991">
        <v>-0.3273102</v>
      </c>
      <c r="W5991">
        <v>0.136998799999999</v>
      </c>
      <c r="X5991">
        <v>0.93493280000000001</v>
      </c>
      <c r="Y5991">
        <v>-0.33664119999999997</v>
      </c>
      <c r="Z5991">
        <v>4.3503689999999998E-2</v>
      </c>
      <c r="AA5991">
        <v>0.94062749999999995</v>
      </c>
      <c r="AB5991">
        <v>41</v>
      </c>
      <c r="AC5991">
        <v>17.805999999999901</v>
      </c>
      <c r="AD5991">
        <v>-1.1283321464929901</v>
      </c>
      <c r="AE5991">
        <v>-4.9026199999999998</v>
      </c>
      <c r="AF5991">
        <v>-6.2899381911936496</v>
      </c>
      <c r="AG5991">
        <v>-1.1283321464929901</v>
      </c>
      <c r="AH5991">
        <v>17.291440513691999</v>
      </c>
      <c r="AI5991">
        <v>93.509134742150593</v>
      </c>
      <c r="AJ5991">
        <v>109.989373895841</v>
      </c>
      <c r="AK5991">
        <v>18.4344886264956</v>
      </c>
      <c r="AL5991">
        <v>82.125783182988499</v>
      </c>
      <c r="AM5991">
        <v>109.294616816706</v>
      </c>
      <c r="AN5991">
        <v>0.99999998937065904</v>
      </c>
    </row>
    <row r="5992" spans="1:40" x14ac:dyDescent="0.25">
      <c r="A5992" t="str">
        <f>"20190312164145909"</f>
        <v>20190312164145909</v>
      </c>
      <c r="B5992" t="str">
        <f>"1552380105901804"</f>
        <v>1552380105901804</v>
      </c>
      <c r="C5992" t="s">
        <v>40</v>
      </c>
      <c r="D5992">
        <v>6.1423800000000002</v>
      </c>
      <c r="E5992">
        <v>0.49522129999999998</v>
      </c>
      <c r="F5992" t="s">
        <v>41</v>
      </c>
      <c r="G5992">
        <v>-273.27910000000003</v>
      </c>
      <c r="H5992" s="1">
        <v>-2.07446E-6</v>
      </c>
      <c r="I5992">
        <v>-67.274640000000005</v>
      </c>
      <c r="J5992">
        <v>-291.13639999999998</v>
      </c>
      <c r="K5992">
        <v>1.12832</v>
      </c>
      <c r="L5992">
        <v>-62.470210000000002</v>
      </c>
      <c r="M5992">
        <v>0.81996999999999998</v>
      </c>
      <c r="N5992">
        <v>0</v>
      </c>
      <c r="O5992">
        <v>-0.57211239999999997</v>
      </c>
      <c r="P5992">
        <v>0.95185730000000002</v>
      </c>
      <c r="Q5992">
        <v>0.13485229999999901</v>
      </c>
      <c r="R5992">
        <v>-0.27528659999999999</v>
      </c>
      <c r="S5992">
        <v>2.9454959999999999</v>
      </c>
      <c r="T5992">
        <v>-0.18437709999999999</v>
      </c>
      <c r="U5992">
        <v>-0.80441280000000004</v>
      </c>
      <c r="V5992">
        <v>-0.32553759999999998</v>
      </c>
      <c r="W5992">
        <v>0.13725479999999901</v>
      </c>
      <c r="X5992">
        <v>0.93551399999999996</v>
      </c>
      <c r="Y5992">
        <v>-0.33444590000000002</v>
      </c>
      <c r="Z5992">
        <v>4.3033429999999998E-2</v>
      </c>
      <c r="AA5992">
        <v>0.94143189999999999</v>
      </c>
      <c r="AB5992">
        <v>41</v>
      </c>
      <c r="AC5992">
        <v>17.857299999999899</v>
      </c>
      <c r="AD5992">
        <v>-1.12832207446</v>
      </c>
      <c r="AE5992">
        <v>-4.8044300000000097</v>
      </c>
      <c r="AF5992">
        <v>-6.2546653506210603</v>
      </c>
      <c r="AG5992">
        <v>-1.12832207446</v>
      </c>
      <c r="AH5992">
        <v>17.329535471820201</v>
      </c>
      <c r="AI5992">
        <v>93.504581707994106</v>
      </c>
      <c r="AJ5992">
        <v>109.84578861239</v>
      </c>
      <c r="AK5992">
        <v>18.4582433893653</v>
      </c>
      <c r="AL5992">
        <v>82.110975879373498</v>
      </c>
      <c r="AM5992">
        <v>109.186734519805</v>
      </c>
      <c r="AN5992">
        <v>1.00000002666639</v>
      </c>
    </row>
    <row r="5993" spans="1:40" x14ac:dyDescent="0.25">
      <c r="A5993" t="str">
        <f>"20190312164145921"</f>
        <v>20190312164145921</v>
      </c>
      <c r="B5993" t="str">
        <f>"1552380105912539"</f>
        <v>1552380105912539</v>
      </c>
      <c r="C5993" t="s">
        <v>40</v>
      </c>
      <c r="D5993">
        <v>9.9139759999999999</v>
      </c>
      <c r="E5993">
        <v>0.4953205</v>
      </c>
      <c r="F5993" t="s">
        <v>41</v>
      </c>
      <c r="G5993">
        <v>-273.12079999999997</v>
      </c>
      <c r="H5993" s="1">
        <v>-2.020318E-6</v>
      </c>
      <c r="I5993">
        <v>-67.272379999999998</v>
      </c>
      <c r="J5993">
        <v>-290.97930000000002</v>
      </c>
      <c r="K5993">
        <v>1.128314</v>
      </c>
      <c r="L5993">
        <v>-62.579859999999996</v>
      </c>
      <c r="M5993">
        <v>0.82440360000000001</v>
      </c>
      <c r="N5993">
        <v>0</v>
      </c>
      <c r="O5993">
        <v>-0.56570430000000005</v>
      </c>
      <c r="P5993">
        <v>0.95338350000000005</v>
      </c>
      <c r="Q5993">
        <v>0.13503879999999999</v>
      </c>
      <c r="R5993">
        <v>-0.26986009999999999</v>
      </c>
      <c r="S5993">
        <v>2.9504700000000001</v>
      </c>
      <c r="T5993">
        <v>-0.18478929999999999</v>
      </c>
      <c r="U5993">
        <v>-0.78646850000000001</v>
      </c>
      <c r="V5993">
        <v>-0.32356170000000001</v>
      </c>
      <c r="W5993">
        <v>0.13756460000000001</v>
      </c>
      <c r="X5993">
        <v>0.93615369999999998</v>
      </c>
      <c r="Y5993">
        <v>-0.33285039999999999</v>
      </c>
      <c r="Z5993">
        <v>4.2743169999999997E-2</v>
      </c>
      <c r="AA5993">
        <v>0.94201040000000003</v>
      </c>
      <c r="AB5993">
        <v>41</v>
      </c>
      <c r="AC5993">
        <v>17.858499999999999</v>
      </c>
      <c r="AD5993">
        <v>-1.128316020318</v>
      </c>
      <c r="AE5993">
        <v>-4.69252</v>
      </c>
      <c r="AF5993">
        <v>-6.2119561158482801</v>
      </c>
      <c r="AG5993">
        <v>-1.128316020318</v>
      </c>
      <c r="AH5993">
        <v>17.315466033416101</v>
      </c>
      <c r="AI5993">
        <v>93.509826636986901</v>
      </c>
      <c r="AJ5993">
        <v>109.73554417701401</v>
      </c>
      <c r="AK5993">
        <v>18.430595752208198</v>
      </c>
      <c r="AL5993">
        <v>82.093055222066397</v>
      </c>
      <c r="AM5993">
        <v>109.066624722537</v>
      </c>
      <c r="AN5993">
        <v>0.99999997145186903</v>
      </c>
    </row>
    <row r="5994" spans="1:40" x14ac:dyDescent="0.25">
      <c r="A5994" t="str">
        <f>"20190312164145933"</f>
        <v>20190312164145933</v>
      </c>
      <c r="B5994" t="str">
        <f>"1552380105922299"</f>
        <v>1552380105922299</v>
      </c>
      <c r="C5994" t="s">
        <v>40</v>
      </c>
      <c r="D5994">
        <v>6.0874689999999996</v>
      </c>
      <c r="E5994">
        <v>0.49551830000000002</v>
      </c>
      <c r="F5994" t="s">
        <v>41</v>
      </c>
      <c r="G5994">
        <v>-272.94889999999998</v>
      </c>
      <c r="H5994" s="1">
        <v>-1.9524339999999998E-6</v>
      </c>
      <c r="I5994">
        <v>-67.278199999999998</v>
      </c>
      <c r="J5994">
        <v>-290.79669999999999</v>
      </c>
      <c r="K5994">
        <v>1.1283030000000001</v>
      </c>
      <c r="L5994">
        <v>-62.704160000000002</v>
      </c>
      <c r="M5994">
        <v>0.82946830000000005</v>
      </c>
      <c r="N5994">
        <v>0</v>
      </c>
      <c r="O5994">
        <v>-0.55825150000000001</v>
      </c>
      <c r="P5994">
        <v>0.95513389999999998</v>
      </c>
      <c r="Q5994">
        <v>0.1353617</v>
      </c>
      <c r="R5994">
        <v>-0.26343339999999998</v>
      </c>
      <c r="S5994">
        <v>2.9549259999999999</v>
      </c>
      <c r="T5994">
        <v>-0.18491450000000001</v>
      </c>
      <c r="U5994">
        <v>-0.76998900000000003</v>
      </c>
      <c r="V5994">
        <v>-0.32141049999999999</v>
      </c>
      <c r="W5994">
        <v>0.138022799999999</v>
      </c>
      <c r="X5994">
        <v>0.93682710000000002</v>
      </c>
      <c r="Y5994">
        <v>-0.32963419999999999</v>
      </c>
      <c r="Z5994">
        <v>4.228436E-2</v>
      </c>
      <c r="AA5994">
        <v>0.94316140000000004</v>
      </c>
      <c r="AB5994">
        <v>41</v>
      </c>
      <c r="AC5994">
        <v>17.847799999999999</v>
      </c>
      <c r="AD5994">
        <v>-1.1283049524339901</v>
      </c>
      <c r="AE5994">
        <v>-4.5740400000000001</v>
      </c>
      <c r="AF5994">
        <v>-6.1475270373221598</v>
      </c>
      <c r="AG5994">
        <v>-1.1283049524339901</v>
      </c>
      <c r="AH5994">
        <v>17.295716972096798</v>
      </c>
      <c r="AI5994">
        <v>93.5174722250012</v>
      </c>
      <c r="AJ5994">
        <v>109.567063712671</v>
      </c>
      <c r="AK5994">
        <v>18.390404735055998</v>
      </c>
      <c r="AL5994">
        <v>82.066549755384003</v>
      </c>
      <c r="AM5994">
        <v>108.93628044274701</v>
      </c>
      <c r="AN5994">
        <v>1.0000000090622501</v>
      </c>
    </row>
    <row r="5995" spans="1:40" x14ac:dyDescent="0.25">
      <c r="A5995" t="str">
        <f>"20190312164145953"</f>
        <v>20190312164145953</v>
      </c>
      <c r="B5995" t="str">
        <f>"1552380105941819"</f>
        <v>1552380105941819</v>
      </c>
      <c r="C5995" t="s">
        <v>40</v>
      </c>
      <c r="D5995">
        <v>9.5543130000000005</v>
      </c>
      <c r="E5995">
        <v>0.49585089999999998</v>
      </c>
      <c r="F5995" t="s">
        <v>41</v>
      </c>
      <c r="G5995">
        <v>-272.71050000000002</v>
      </c>
      <c r="H5995" s="1">
        <v>-1.8535839999999999E-6</v>
      </c>
      <c r="I5995">
        <v>-67.293499999999995</v>
      </c>
      <c r="J5995">
        <v>-290.50330000000002</v>
      </c>
      <c r="K5995">
        <v>1.1282829999999999</v>
      </c>
      <c r="L5995">
        <v>-62.89911</v>
      </c>
      <c r="M5995">
        <v>0.83743099999999904</v>
      </c>
      <c r="N5995">
        <v>0</v>
      </c>
      <c r="O5995">
        <v>-0.54623359999999999</v>
      </c>
      <c r="P5995">
        <v>0.95755389999999996</v>
      </c>
      <c r="Q5995">
        <v>0.13538229999999901</v>
      </c>
      <c r="R5995">
        <v>-0.2544843</v>
      </c>
      <c r="S5995">
        <v>2.9599000000000002</v>
      </c>
      <c r="T5995">
        <v>-0.18465290000000001</v>
      </c>
      <c r="U5995">
        <v>-0.75106809999999902</v>
      </c>
      <c r="V5995">
        <v>-0.31664959999999998</v>
      </c>
      <c r="W5995">
        <v>0.13832829999999999</v>
      </c>
      <c r="X5995">
        <v>0.93840199999999996</v>
      </c>
      <c r="Y5995">
        <v>-0.32209300000000002</v>
      </c>
      <c r="Z5995">
        <v>4.1371610000000003E-2</v>
      </c>
      <c r="AA5995">
        <v>0.94580359999999997</v>
      </c>
      <c r="AB5995">
        <v>41</v>
      </c>
      <c r="AC5995">
        <v>17.7928</v>
      </c>
      <c r="AD5995">
        <v>-1.128284853584</v>
      </c>
      <c r="AE5995">
        <v>-4.3943899999999898</v>
      </c>
      <c r="AF5995">
        <v>-6.01724304996565</v>
      </c>
      <c r="AG5995">
        <v>-1.128284853584</v>
      </c>
      <c r="AH5995">
        <v>17.238199712741</v>
      </c>
      <c r="AI5995">
        <v>93.536152228855997</v>
      </c>
      <c r="AJ5995">
        <v>109.24228003927701</v>
      </c>
      <c r="AK5995">
        <v>18.293052505515099</v>
      </c>
      <c r="AL5995">
        <v>82.048876300269797</v>
      </c>
      <c r="AM5995">
        <v>108.64619097254101</v>
      </c>
      <c r="AN5995">
        <v>1.00000000068252</v>
      </c>
    </row>
    <row r="5996" spans="1:40" x14ac:dyDescent="0.25">
      <c r="A5996" t="str">
        <f>"20190312164145974"</f>
        <v>20190312164145974</v>
      </c>
      <c r="B5996" t="str">
        <f>"1552380105962630"</f>
        <v>1552380105962630</v>
      </c>
      <c r="C5996" t="s">
        <v>40</v>
      </c>
      <c r="D5996">
        <v>5.9814420000000004</v>
      </c>
      <c r="E5996">
        <v>0.49573889999999998</v>
      </c>
      <c r="F5996" t="s">
        <v>41</v>
      </c>
      <c r="G5996">
        <v>-272.53739999999999</v>
      </c>
      <c r="H5996" s="1">
        <v>-1.777826E-6</v>
      </c>
      <c r="I5996">
        <v>-67.286919999999995</v>
      </c>
      <c r="J5996">
        <v>-290.17829999999998</v>
      </c>
      <c r="K5996">
        <v>1.1282620000000001</v>
      </c>
      <c r="L5996">
        <v>-63.107939999999999</v>
      </c>
      <c r="M5996">
        <v>0.84599690000000005</v>
      </c>
      <c r="N5996">
        <v>0</v>
      </c>
      <c r="O5996">
        <v>-0.53286990000000001</v>
      </c>
      <c r="P5996">
        <v>0.96032669999999998</v>
      </c>
      <c r="Q5996">
        <v>0.1342217</v>
      </c>
      <c r="R5996">
        <v>-0.24445449999999999</v>
      </c>
      <c r="S5996">
        <v>2.9667970000000001</v>
      </c>
      <c r="T5996">
        <v>-0.1863185</v>
      </c>
      <c r="U5996">
        <v>-0.72457890000000003</v>
      </c>
      <c r="V5996">
        <v>-0.31158130000000001</v>
      </c>
      <c r="W5996">
        <v>0.1374716</v>
      </c>
      <c r="X5996">
        <v>0.94022269999999997</v>
      </c>
      <c r="Y5996">
        <v>-0.31554359999999998</v>
      </c>
      <c r="Z5996">
        <v>4.0829270000000001E-2</v>
      </c>
      <c r="AA5996">
        <v>0.94803230000000005</v>
      </c>
      <c r="AB5996">
        <v>41</v>
      </c>
      <c r="AC5996">
        <v>17.640899999999899</v>
      </c>
      <c r="AD5996">
        <v>-1.1282637778260001</v>
      </c>
      <c r="AE5996">
        <v>-4.1789799999999904</v>
      </c>
      <c r="AF5996">
        <v>-5.8432625972423402</v>
      </c>
      <c r="AG5996">
        <v>-1.1282637778260001</v>
      </c>
      <c r="AH5996">
        <v>17.087722667874601</v>
      </c>
      <c r="AI5996">
        <v>93.574959712344693</v>
      </c>
      <c r="AJ5996">
        <v>108.87847085168001</v>
      </c>
      <c r="AK5996">
        <v>18.094390371241602</v>
      </c>
      <c r="AL5996">
        <v>82.098435357016498</v>
      </c>
      <c r="AM5996">
        <v>108.334729537493</v>
      </c>
      <c r="AN5996">
        <v>1.00000003645576</v>
      </c>
    </row>
    <row r="5997" spans="1:40" x14ac:dyDescent="0.25">
      <c r="A5997" t="str">
        <f>"20190312164145987"</f>
        <v>20190312164145987</v>
      </c>
      <c r="B5997" t="str">
        <f>"1552380105982150"</f>
        <v>1552380105982150</v>
      </c>
      <c r="C5997" t="s">
        <v>40</v>
      </c>
      <c r="D5997">
        <v>6.0865450000000001</v>
      </c>
      <c r="E5997">
        <v>0.4771764</v>
      </c>
      <c r="F5997" t="s">
        <v>41</v>
      </c>
      <c r="G5997">
        <v>-272.53129999999999</v>
      </c>
      <c r="H5997" s="1">
        <v>-1.75689699999999E-6</v>
      </c>
      <c r="I5997">
        <v>-67.204520000000002</v>
      </c>
      <c r="J5997">
        <v>-289.99189999999999</v>
      </c>
      <c r="K5997">
        <v>1.1282449999999999</v>
      </c>
      <c r="L5997">
        <v>-63.223999999999997</v>
      </c>
      <c r="M5997">
        <v>0.85079169999999904</v>
      </c>
      <c r="N5997">
        <v>0</v>
      </c>
      <c r="O5997">
        <v>-0.52517990000000003</v>
      </c>
      <c r="P5997">
        <v>0.96194820000000003</v>
      </c>
      <c r="Q5997">
        <v>0.13363410000000001</v>
      </c>
      <c r="R5997">
        <v>-0.2383226</v>
      </c>
      <c r="S5997">
        <v>2.9747309999999998</v>
      </c>
      <c r="T5997">
        <v>-0.190189</v>
      </c>
      <c r="U5997">
        <v>-0.69055180000000005</v>
      </c>
      <c r="V5997">
        <v>-0.30906409999999901</v>
      </c>
      <c r="W5997">
        <v>0.13703660000000001</v>
      </c>
      <c r="X5997">
        <v>0.94111659999999997</v>
      </c>
      <c r="Y5997">
        <v>-0.31773970000000001</v>
      </c>
      <c r="Z5997">
        <v>4.1310970000000002E-2</v>
      </c>
      <c r="AA5997">
        <v>0.94727760000000005</v>
      </c>
      <c r="AB5997">
        <v>41</v>
      </c>
      <c r="AC5997">
        <v>17.460599999999999</v>
      </c>
      <c r="AD5997">
        <v>-1.128246756897</v>
      </c>
      <c r="AE5997">
        <v>-3.9805199999999998</v>
      </c>
      <c r="AF5997">
        <v>-5.7614773556759902</v>
      </c>
      <c r="AG5997">
        <v>-1.128246756897</v>
      </c>
      <c r="AH5997">
        <v>16.881696190987199</v>
      </c>
      <c r="AI5997">
        <v>93.619160553210193</v>
      </c>
      <c r="AJ5997">
        <v>108.844026622326</v>
      </c>
      <c r="AK5997">
        <v>17.8734224016893</v>
      </c>
      <c r="AL5997">
        <v>82.123597271930294</v>
      </c>
      <c r="AM5997">
        <v>108.18025758692301</v>
      </c>
      <c r="AN5997">
        <v>1.00000005122196</v>
      </c>
    </row>
    <row r="5998" spans="1:40" x14ac:dyDescent="0.25">
      <c r="A5998" t="str">
        <f>"20190312164146000"</f>
        <v>20190312164146000</v>
      </c>
      <c r="B5998" t="str">
        <f>"1552380105991909"</f>
        <v>1552380105991909</v>
      </c>
      <c r="C5998" t="s">
        <v>40</v>
      </c>
      <c r="D5998">
        <v>6.0975449999999896</v>
      </c>
      <c r="E5998">
        <v>0.4769429</v>
      </c>
      <c r="F5998" t="s">
        <v>41</v>
      </c>
      <c r="G5998">
        <v>-271.88850000000002</v>
      </c>
      <c r="H5998" s="1">
        <v>-1.2992589999999999E-6</v>
      </c>
      <c r="I5998">
        <v>-66.386560000000003</v>
      </c>
      <c r="J5998">
        <v>-289.78530000000001</v>
      </c>
      <c r="K5998">
        <v>1.128223</v>
      </c>
      <c r="L5998">
        <v>-63.3506199999999</v>
      </c>
      <c r="M5998">
        <v>0.85601249999999995</v>
      </c>
      <c r="N5998">
        <v>0</v>
      </c>
      <c r="O5998">
        <v>-0.51662609999999998</v>
      </c>
      <c r="P5998">
        <v>0.96381039999999996</v>
      </c>
      <c r="Q5998">
        <v>0.132934</v>
      </c>
      <c r="R5998">
        <v>-0.23108110000000001</v>
      </c>
      <c r="S5998">
        <v>3.014313</v>
      </c>
      <c r="T5998">
        <v>-0.18785830000000001</v>
      </c>
      <c r="U5998">
        <v>-0.52658079999999996</v>
      </c>
      <c r="V5998">
        <v>-0.30671870000000001</v>
      </c>
      <c r="W5998">
        <v>0.13648250000000001</v>
      </c>
      <c r="X5998">
        <v>0.94196400000000002</v>
      </c>
      <c r="Y5998">
        <v>-0.36013149999999999</v>
      </c>
      <c r="Z5998">
        <v>4.147265E-2</v>
      </c>
      <c r="AA5998">
        <v>0.93197920000000001</v>
      </c>
      <c r="AB5998">
        <v>41</v>
      </c>
      <c r="AC5998">
        <v>17.896799999999899</v>
      </c>
      <c r="AD5998">
        <v>-1.1282242992589999</v>
      </c>
      <c r="AE5998">
        <v>-3.0359400000000099</v>
      </c>
      <c r="AF5998">
        <v>-6.6226987841961797</v>
      </c>
      <c r="AG5998">
        <v>-1.1282242992589999</v>
      </c>
      <c r="AH5998">
        <v>16.826203918888901</v>
      </c>
      <c r="AI5998">
        <v>93.570212273201307</v>
      </c>
      <c r="AJ5998">
        <v>111.48431856628</v>
      </c>
      <c r="AK5998">
        <v>18.117785945740199</v>
      </c>
      <c r="AL5998">
        <v>82.1556456222918</v>
      </c>
      <c r="AM5998">
        <v>108.036086479264</v>
      </c>
      <c r="AN5998">
        <v>1.0000000055159699</v>
      </c>
    </row>
    <row r="5999" spans="1:40" x14ac:dyDescent="0.25">
      <c r="A5999" t="str">
        <f>"20190312164146019"</f>
        <v>20190312164146019</v>
      </c>
      <c r="B5999" t="str">
        <f>"1552380106012409"</f>
        <v>1552380106012409</v>
      </c>
      <c r="C5999" t="s">
        <v>40</v>
      </c>
      <c r="D5999">
        <v>5.9946000000000002</v>
      </c>
      <c r="E5999">
        <v>0.4764369</v>
      </c>
      <c r="F5999" t="s">
        <v>41</v>
      </c>
      <c r="G5999">
        <v>-271.87909999999999</v>
      </c>
      <c r="H5999" s="1">
        <v>-1.2820899999999999E-6</v>
      </c>
      <c r="I5999">
        <v>-66.327510000000004</v>
      </c>
      <c r="J5999">
        <v>-289.48630000000003</v>
      </c>
      <c r="K5999">
        <v>1.128204</v>
      </c>
      <c r="L5999">
        <v>-63.528080000000003</v>
      </c>
      <c r="M5999">
        <v>0.86338590000000004</v>
      </c>
      <c r="N5999">
        <v>0</v>
      </c>
      <c r="O5999">
        <v>-0.50420670000000001</v>
      </c>
      <c r="P5999">
        <v>0.96608499999999997</v>
      </c>
      <c r="Q5999">
        <v>0.1323809</v>
      </c>
      <c r="R5999">
        <v>-0.22171070000000001</v>
      </c>
      <c r="S5999">
        <v>3.0185550000000001</v>
      </c>
      <c r="T5999">
        <v>-0.19019069999999999</v>
      </c>
      <c r="U5999">
        <v>-0.50183109999999997</v>
      </c>
      <c r="V5999">
        <v>-0.30225459999999998</v>
      </c>
      <c r="W5999">
        <v>0.13619339999999999</v>
      </c>
      <c r="X5999">
        <v>0.94344760000000005</v>
      </c>
      <c r="Y5999">
        <v>-0.35429480000000002</v>
      </c>
      <c r="Z5999">
        <v>4.112731E-2</v>
      </c>
      <c r="AA5999">
        <v>0.93422899999999998</v>
      </c>
      <c r="AB5999">
        <v>41</v>
      </c>
      <c r="AC5999">
        <v>17.607199999999999</v>
      </c>
      <c r="AD5999">
        <v>-1.1282052820899999</v>
      </c>
      <c r="AE5999">
        <v>-2.7994300000000001</v>
      </c>
      <c r="AF5999">
        <v>-6.4360063747379197</v>
      </c>
      <c r="AG5999">
        <v>-1.1282052820899999</v>
      </c>
      <c r="AH5999">
        <v>16.549853113802001</v>
      </c>
      <c r="AI5999">
        <v>93.635396445633006</v>
      </c>
      <c r="AJ5999">
        <v>111.25036232150801</v>
      </c>
      <c r="AK5999">
        <v>17.7930509835336</v>
      </c>
      <c r="AL5999">
        <v>82.1723653628802</v>
      </c>
      <c r="AM5999">
        <v>107.76402607735901</v>
      </c>
      <c r="AN5999">
        <v>0.99999992968523699</v>
      </c>
    </row>
    <row r="6000" spans="1:40" x14ac:dyDescent="0.25">
      <c r="A6000" t="str">
        <f>"20190312164146030"</f>
        <v>20190312164146030</v>
      </c>
      <c r="B6000" t="str">
        <f>"1552380106022166"</f>
        <v>1552380106022166</v>
      </c>
      <c r="C6000" t="s">
        <v>40</v>
      </c>
      <c r="D6000">
        <v>6.0334289999999999</v>
      </c>
      <c r="E6000">
        <v>0.47356369999999998</v>
      </c>
      <c r="F6000" t="s">
        <v>41</v>
      </c>
      <c r="G6000">
        <v>-271.83789999999999</v>
      </c>
      <c r="H6000" s="1">
        <v>-1.250412E-6</v>
      </c>
      <c r="I6000">
        <v>-66.264499999999998</v>
      </c>
      <c r="J6000">
        <v>-289.30549999999999</v>
      </c>
      <c r="K6000">
        <v>1.128199</v>
      </c>
      <c r="L6000">
        <v>-63.631929999999997</v>
      </c>
      <c r="M6000">
        <v>0.86774110000000004</v>
      </c>
      <c r="N6000">
        <v>0</v>
      </c>
      <c r="O6000">
        <v>-0.49667309999999998</v>
      </c>
      <c r="P6000">
        <v>0.96746049999999995</v>
      </c>
      <c r="Q6000">
        <v>0.1326011</v>
      </c>
      <c r="R6000">
        <v>-0.21549380000000001</v>
      </c>
      <c r="S6000">
        <v>3.0241699999999998</v>
      </c>
      <c r="T6000">
        <v>-0.1933252</v>
      </c>
      <c r="U6000">
        <v>-0.4689026</v>
      </c>
      <c r="V6000">
        <v>-0.30009750000000002</v>
      </c>
      <c r="W6000">
        <v>0.1365439</v>
      </c>
      <c r="X6000">
        <v>0.94408539999999996</v>
      </c>
      <c r="Y6000">
        <v>-0.35631429999999997</v>
      </c>
      <c r="Z6000">
        <v>4.1435680000000003E-2</v>
      </c>
      <c r="AA6000">
        <v>0.93344689999999997</v>
      </c>
      <c r="AB6000">
        <v>41</v>
      </c>
      <c r="AC6000">
        <v>17.467600000000001</v>
      </c>
      <c r="AD6000">
        <v>-1.1282002504119999</v>
      </c>
      <c r="AE6000">
        <v>-2.6325699999999901</v>
      </c>
      <c r="AF6000">
        <v>-6.3664200286772799</v>
      </c>
      <c r="AG6000">
        <v>-1.1282002504119999</v>
      </c>
      <c r="AH6000">
        <v>16.400792368453601</v>
      </c>
      <c r="AI6000">
        <v>93.669206060741303</v>
      </c>
      <c r="AJ6000">
        <v>111.215096295699</v>
      </c>
      <c r="AK6000">
        <v>17.629240769236201</v>
      </c>
      <c r="AL6000">
        <v>82.152094327478395</v>
      </c>
      <c r="AM6000">
        <v>107.63395853901901</v>
      </c>
      <c r="AN6000">
        <v>0.99999999431330899</v>
      </c>
    </row>
    <row r="6001" spans="1:40" x14ac:dyDescent="0.25">
      <c r="A6001" t="str">
        <f>"20190312164146041"</f>
        <v>20190312164146041</v>
      </c>
      <c r="B6001" t="str">
        <f>"1552380106031925"</f>
        <v>1552380106031925</v>
      </c>
      <c r="C6001" t="s">
        <v>40</v>
      </c>
      <c r="D6001">
        <v>5.9098649999999999</v>
      </c>
      <c r="E6001">
        <v>0.47267710000000002</v>
      </c>
      <c r="F6001" t="s">
        <v>41</v>
      </c>
      <c r="G6001">
        <v>-276.88889999999998</v>
      </c>
      <c r="H6001" s="1">
        <v>-3.0478810000000002E-6</v>
      </c>
      <c r="I6001">
        <v>-65.366910000000004</v>
      </c>
      <c r="J6001">
        <v>-289.14159999999998</v>
      </c>
      <c r="K6001">
        <v>1.1281920000000001</v>
      </c>
      <c r="L6001">
        <v>-63.724820000000001</v>
      </c>
      <c r="M6001">
        <v>0.87162489999999904</v>
      </c>
      <c r="N6001">
        <v>0</v>
      </c>
      <c r="O6001">
        <v>-0.48982530000000002</v>
      </c>
      <c r="P6001">
        <v>0.96858789999999995</v>
      </c>
      <c r="Q6001">
        <v>0.13278670000000001</v>
      </c>
      <c r="R6001">
        <v>-0.21025170000000001</v>
      </c>
      <c r="S6001">
        <v>3.044098</v>
      </c>
      <c r="T6001">
        <v>-0.27659309999999998</v>
      </c>
      <c r="U6001">
        <v>-0.42535400000000001</v>
      </c>
      <c r="V6001">
        <v>-0.29776429999999998</v>
      </c>
      <c r="W6001">
        <v>0.13686599999999999</v>
      </c>
      <c r="X6001">
        <v>0.94477730000000004</v>
      </c>
      <c r="Y6001">
        <v>-0.36130649999999997</v>
      </c>
      <c r="Z6001">
        <v>5.8627020000000002E-2</v>
      </c>
      <c r="AA6001">
        <v>0.93060220000000005</v>
      </c>
      <c r="AB6001">
        <v>41</v>
      </c>
      <c r="AC6001">
        <v>12.252700000000001</v>
      </c>
      <c r="AD6001">
        <v>-1.1281950478809999</v>
      </c>
      <c r="AE6001">
        <v>-1.64209000000001</v>
      </c>
      <c r="AF6001">
        <v>-4.53341867826009</v>
      </c>
      <c r="AG6001">
        <v>-1.1281950478809999</v>
      </c>
      <c r="AH6001">
        <v>11.3911824205369</v>
      </c>
      <c r="AI6001">
        <v>95.257631785059601</v>
      </c>
      <c r="AJ6001">
        <v>111.701374863231</v>
      </c>
      <c r="AK6001">
        <v>12.3119351003979</v>
      </c>
      <c r="AL6001">
        <v>82.133464607432103</v>
      </c>
      <c r="AM6001">
        <v>107.49322385475</v>
      </c>
      <c r="AN6001">
        <v>1.0000000134528899</v>
      </c>
    </row>
    <row r="6002" spans="1:40" x14ac:dyDescent="0.25">
      <c r="A6002" t="str">
        <f>"20190312164146053"</f>
        <v>20190312164146053</v>
      </c>
      <c r="B6002" t="str">
        <f>"1552380106042663"</f>
        <v>1552380106042663</v>
      </c>
      <c r="C6002" t="s">
        <v>40</v>
      </c>
      <c r="D6002">
        <v>6.0231450000000004</v>
      </c>
      <c r="E6002">
        <v>0.47380280000000002</v>
      </c>
      <c r="F6002" t="s">
        <v>41</v>
      </c>
      <c r="G6002">
        <v>-276.32279999999997</v>
      </c>
      <c r="H6002" s="1">
        <v>-2.8615419999999999E-6</v>
      </c>
      <c r="I6002">
        <v>-65.414090000000002</v>
      </c>
      <c r="J6002">
        <v>-288.96140000000003</v>
      </c>
      <c r="K6002">
        <v>1.1281840000000001</v>
      </c>
      <c r="L6002">
        <v>-63.824680000000001</v>
      </c>
      <c r="M6002">
        <v>0.87582590000000005</v>
      </c>
      <c r="N6002">
        <v>0</v>
      </c>
      <c r="O6002">
        <v>-0.48227300000000001</v>
      </c>
      <c r="P6002">
        <v>0.96989009999999998</v>
      </c>
      <c r="Q6002">
        <v>0.1325462</v>
      </c>
      <c r="R6002">
        <v>-0.20431559999999999</v>
      </c>
      <c r="S6002">
        <v>3.0469059999999999</v>
      </c>
      <c r="T6002">
        <v>-0.26815929999999999</v>
      </c>
      <c r="U6002">
        <v>-0.40151979999999998</v>
      </c>
      <c r="V6002">
        <v>-0.2953807</v>
      </c>
      <c r="W6002">
        <v>0.13676640000000001</v>
      </c>
      <c r="X6002">
        <v>0.94553969999999998</v>
      </c>
      <c r="Y6002">
        <v>-0.3607417</v>
      </c>
      <c r="Z6002">
        <v>5.6241970000000002E-2</v>
      </c>
      <c r="AA6002">
        <v>0.93096849999999998</v>
      </c>
      <c r="AB6002">
        <v>40</v>
      </c>
      <c r="AC6002">
        <v>12.6386</v>
      </c>
      <c r="AD6002">
        <v>-1.1281868615420001</v>
      </c>
      <c r="AE6002">
        <v>-1.58940999999999</v>
      </c>
      <c r="AF6002">
        <v>-4.6674008605059498</v>
      </c>
      <c r="AG6002">
        <v>-1.1281868615420001</v>
      </c>
      <c r="AH6002">
        <v>11.7456304376073</v>
      </c>
      <c r="AI6002">
        <v>95.100834961929607</v>
      </c>
      <c r="AJ6002">
        <v>111.671555653437</v>
      </c>
      <c r="AK6002">
        <v>12.6892580856429</v>
      </c>
      <c r="AL6002">
        <v>82.139225848519203</v>
      </c>
      <c r="AM6002">
        <v>107.348478805572</v>
      </c>
      <c r="AN6002">
        <v>1.0000000651887599</v>
      </c>
    </row>
    <row r="6003" spans="1:40" x14ac:dyDescent="0.25">
      <c r="A6003" t="str">
        <f>"20190312164146064"</f>
        <v>20190312164146064</v>
      </c>
      <c r="B6003" t="str">
        <f>"1552380106052421"</f>
        <v>1552380106052421</v>
      </c>
      <c r="C6003" t="s">
        <v>40</v>
      </c>
      <c r="D6003">
        <v>5.9948550000000003</v>
      </c>
      <c r="E6003">
        <v>0.47317209999999899</v>
      </c>
      <c r="F6003" t="s">
        <v>41</v>
      </c>
      <c r="G6003">
        <v>-275.4622</v>
      </c>
      <c r="H6003" s="1">
        <v>-2.5877530000000002E-6</v>
      </c>
      <c r="I6003">
        <v>-65.556759999999997</v>
      </c>
      <c r="J6003">
        <v>-288.7955</v>
      </c>
      <c r="K6003">
        <v>1.12818</v>
      </c>
      <c r="L6003">
        <v>-63.914760000000001</v>
      </c>
      <c r="M6003">
        <v>0.8796292</v>
      </c>
      <c r="N6003">
        <v>0</v>
      </c>
      <c r="O6003">
        <v>-0.47530020000000001</v>
      </c>
      <c r="P6003">
        <v>0.97096729999999998</v>
      </c>
      <c r="Q6003">
        <v>0.13269059999999999</v>
      </c>
      <c r="R6003">
        <v>-0.1990372</v>
      </c>
      <c r="S6003">
        <v>3.0455930000000002</v>
      </c>
      <c r="T6003">
        <v>-0.25453289999999901</v>
      </c>
      <c r="U6003">
        <v>-0.3907776</v>
      </c>
      <c r="V6003">
        <v>-0.29300169999999998</v>
      </c>
      <c r="W6003">
        <v>0.1370489</v>
      </c>
      <c r="X6003">
        <v>0.94623869999999999</v>
      </c>
      <c r="Y6003">
        <v>-0.3568422</v>
      </c>
      <c r="Z6003">
        <v>5.2765920000000001E-2</v>
      </c>
      <c r="AA6003">
        <v>0.93267330000000004</v>
      </c>
      <c r="AB6003">
        <v>40</v>
      </c>
      <c r="AC6003">
        <v>13.333299999999999</v>
      </c>
      <c r="AD6003">
        <v>-1.1281825877530001</v>
      </c>
      <c r="AE6003">
        <v>-1.6419999999999899</v>
      </c>
      <c r="AF6003">
        <v>-4.8595342608571697</v>
      </c>
      <c r="AG6003">
        <v>-1.1281825877530001</v>
      </c>
      <c r="AH6003">
        <v>12.423327498185801</v>
      </c>
      <c r="AI6003">
        <v>94.834101440443604</v>
      </c>
      <c r="AJ6003">
        <v>111.363551518546</v>
      </c>
      <c r="AK6003">
        <v>13.387566444687801</v>
      </c>
      <c r="AL6003">
        <v>82.122885710966102</v>
      </c>
      <c r="AM6003">
        <v>107.205077517961</v>
      </c>
      <c r="AN6003">
        <v>1.0000000372858899</v>
      </c>
    </row>
    <row r="6004" spans="1:40" x14ac:dyDescent="0.25">
      <c r="A6004" t="str">
        <f>"20190312164146086"</f>
        <v>20190312164146086</v>
      </c>
      <c r="B6004" t="str">
        <f>"1552380106082209"</f>
        <v>1552380106082209</v>
      </c>
      <c r="C6004" t="s">
        <v>40</v>
      </c>
      <c r="D6004">
        <v>5.9455549999999997</v>
      </c>
      <c r="E6004">
        <v>0.47442279999999998</v>
      </c>
      <c r="F6004" t="s">
        <v>41</v>
      </c>
      <c r="G6004">
        <v>-276.18</v>
      </c>
      <c r="H6004" s="1">
        <v>-2.8156970000000001E-6</v>
      </c>
      <c r="I6004">
        <v>-65.434600000000003</v>
      </c>
      <c r="J6004">
        <v>-288.44799999999998</v>
      </c>
      <c r="K6004">
        <v>1.128161</v>
      </c>
      <c r="L6004">
        <v>-64.097840000000005</v>
      </c>
      <c r="M6004">
        <v>0.88739630000000003</v>
      </c>
      <c r="N6004">
        <v>0</v>
      </c>
      <c r="O6004">
        <v>-0.46063579999999998</v>
      </c>
      <c r="P6004">
        <v>0.97314449999999997</v>
      </c>
      <c r="Q6004">
        <v>0.1324787</v>
      </c>
      <c r="R6004">
        <v>-0.1882539</v>
      </c>
      <c r="S6004">
        <v>3.051666</v>
      </c>
      <c r="T6004">
        <v>-0.2729046</v>
      </c>
      <c r="U6004">
        <v>-0.36764530000000001</v>
      </c>
      <c r="V6004">
        <v>-0.28777779999999997</v>
      </c>
      <c r="W6004">
        <v>0.13713620000000001</v>
      </c>
      <c r="X6004">
        <v>0.9478278</v>
      </c>
      <c r="Y6004">
        <v>-0.34821760000000002</v>
      </c>
      <c r="Z6004">
        <v>5.495485E-2</v>
      </c>
      <c r="AA6004">
        <v>0.93580149999999995</v>
      </c>
      <c r="AB6004">
        <v>40</v>
      </c>
      <c r="AC6004">
        <v>12.267999999999899</v>
      </c>
      <c r="AD6004">
        <v>-1.128163815697</v>
      </c>
      <c r="AE6004">
        <v>-1.33675999999999</v>
      </c>
      <c r="AF6004">
        <v>-4.4285973162615297</v>
      </c>
      <c r="AG6004">
        <v>-1.128163815697</v>
      </c>
      <c r="AH6004">
        <v>11.408958265900001</v>
      </c>
      <c r="AI6004">
        <v>95.266800444380706</v>
      </c>
      <c r="AJ6004">
        <v>111.214639829277</v>
      </c>
      <c r="AK6004">
        <v>12.290221987323701</v>
      </c>
      <c r="AL6004">
        <v>82.117835570764697</v>
      </c>
      <c r="AM6004">
        <v>106.889246406897</v>
      </c>
      <c r="AN6004">
        <v>0.99999996898805898</v>
      </c>
    </row>
    <row r="6005" spans="1:40" x14ac:dyDescent="0.25">
      <c r="A6005" t="str">
        <f>"20190312164146097"</f>
        <v>20190312164146097</v>
      </c>
      <c r="B6005" t="str">
        <f>"1552380106091969"</f>
        <v>1552380106091969</v>
      </c>
      <c r="C6005" t="s">
        <v>40</v>
      </c>
      <c r="D6005">
        <v>6.0709280000000003</v>
      </c>
      <c r="E6005">
        <v>0.47445589999999999</v>
      </c>
      <c r="F6005" t="s">
        <v>41</v>
      </c>
      <c r="G6005">
        <v>-275.726</v>
      </c>
      <c r="H6005" s="1">
        <v>-2.6726219999999998E-6</v>
      </c>
      <c r="I6005">
        <v>-65.520039999999995</v>
      </c>
      <c r="J6005">
        <v>-288.26889999999997</v>
      </c>
      <c r="K6005">
        <v>1.128152</v>
      </c>
      <c r="L6005">
        <v>-64.190029999999993</v>
      </c>
      <c r="M6005">
        <v>0.89129849999999999</v>
      </c>
      <c r="N6005">
        <v>0</v>
      </c>
      <c r="O6005">
        <v>-0.45303880000000002</v>
      </c>
      <c r="P6005">
        <v>0.97421029999999997</v>
      </c>
      <c r="Q6005">
        <v>0.13208159999999999</v>
      </c>
      <c r="R6005">
        <v>-0.18294569999999999</v>
      </c>
      <c r="S6005">
        <v>3.0536500000000002</v>
      </c>
      <c r="T6005">
        <v>-0.27079109999999901</v>
      </c>
      <c r="U6005">
        <v>-0.3413696</v>
      </c>
      <c r="V6005">
        <v>-0.28484609999999999</v>
      </c>
      <c r="W6005">
        <v>0.13690529999999901</v>
      </c>
      <c r="X6005">
        <v>0.94874639999999999</v>
      </c>
      <c r="Y6005">
        <v>-0.34830539999999999</v>
      </c>
      <c r="Z6005">
        <v>5.394765E-2</v>
      </c>
      <c r="AA6005">
        <v>0.93582739999999998</v>
      </c>
      <c r="AB6005">
        <v>40</v>
      </c>
      <c r="AC6005">
        <v>12.5428999999999</v>
      </c>
      <c r="AD6005">
        <v>-1.128154672622</v>
      </c>
      <c r="AE6005">
        <v>-1.3300099999999999</v>
      </c>
      <c r="AF6005">
        <v>-4.4620593887531701</v>
      </c>
      <c r="AG6005">
        <v>-1.128154672622</v>
      </c>
      <c r="AH6005">
        <v>11.6905111000292</v>
      </c>
      <c r="AI6005">
        <v>95.151732318239695</v>
      </c>
      <c r="AJ6005">
        <v>110.89096272884601</v>
      </c>
      <c r="AK6005">
        <v>12.563867109056201</v>
      </c>
      <c r="AL6005">
        <v>82.131191749247904</v>
      </c>
      <c r="AM6005">
        <v>106.711553239278</v>
      </c>
      <c r="AN6005">
        <v>1.00000004668312</v>
      </c>
    </row>
    <row r="6006" spans="1:40" x14ac:dyDescent="0.25">
      <c r="A6006" t="str">
        <f>"20190312164146109"</f>
        <v>20190312164146109</v>
      </c>
      <c r="B6006" t="str">
        <f>"1552380106101728"</f>
        <v>1552380106101728</v>
      </c>
      <c r="C6006" t="s">
        <v>40</v>
      </c>
      <c r="D6006">
        <v>6.2605190000000004</v>
      </c>
      <c r="E6006">
        <v>0.47456429999999999</v>
      </c>
      <c r="F6006" t="s">
        <v>41</v>
      </c>
      <c r="G6006">
        <v>-275.9973</v>
      </c>
      <c r="H6006" s="1">
        <v>-2.760928E-6</v>
      </c>
      <c r="I6006">
        <v>-65.489800000000002</v>
      </c>
      <c r="J6006">
        <v>-288.08949999999999</v>
      </c>
      <c r="K6006">
        <v>1.128144</v>
      </c>
      <c r="L6006">
        <v>-64.278959999999998</v>
      </c>
      <c r="M6006">
        <v>0.89513189999999998</v>
      </c>
      <c r="N6006">
        <v>0</v>
      </c>
      <c r="O6006">
        <v>-0.44541629999999899</v>
      </c>
      <c r="P6006">
        <v>0.97533210000000004</v>
      </c>
      <c r="Q6006">
        <v>0.13132060000000001</v>
      </c>
      <c r="R6006">
        <v>-0.17743299999999901</v>
      </c>
      <c r="S6006">
        <v>3.0567319999999998</v>
      </c>
      <c r="T6006">
        <v>-0.28101409999999999</v>
      </c>
      <c r="U6006">
        <v>-0.32376100000000002</v>
      </c>
      <c r="V6006">
        <v>-0.28211809999999998</v>
      </c>
      <c r="W6006">
        <v>0.1362997</v>
      </c>
      <c r="X6006">
        <v>0.9496483</v>
      </c>
      <c r="Y6006">
        <v>-0.34555780000000003</v>
      </c>
      <c r="Z6006">
        <v>5.5199089999999999E-2</v>
      </c>
      <c r="AA6006">
        <v>0.93677259999999996</v>
      </c>
      <c r="AB6006">
        <v>40</v>
      </c>
      <c r="AC6006">
        <v>12.092199999999901</v>
      </c>
      <c r="AD6006">
        <v>-1.128146760928</v>
      </c>
      <c r="AE6006">
        <v>-1.2108399999999999</v>
      </c>
      <c r="AF6006">
        <v>-4.2661756166365397</v>
      </c>
      <c r="AG6006">
        <v>-1.128146760928</v>
      </c>
      <c r="AH6006">
        <v>11.268286428763201</v>
      </c>
      <c r="AI6006">
        <v>95.349074985077294</v>
      </c>
      <c r="AJ6006">
        <v>110.736676304534</v>
      </c>
      <c r="AK6006">
        <v>12.101539098264601</v>
      </c>
      <c r="AL6006">
        <v>82.166218535999505</v>
      </c>
      <c r="AM6006">
        <v>106.545442097711</v>
      </c>
      <c r="AN6006">
        <v>1.00000006213029</v>
      </c>
    </row>
    <row r="6007" spans="1:40" x14ac:dyDescent="0.25">
      <c r="A6007" t="str">
        <f>"20190312164146131"</f>
        <v>20190312164146131</v>
      </c>
      <c r="B6007" t="str">
        <f>"1552380106122227"</f>
        <v>1552380106122227</v>
      </c>
      <c r="C6007" t="s">
        <v>40</v>
      </c>
      <c r="D6007">
        <v>6.2428169999999996</v>
      </c>
      <c r="E6007">
        <v>0.47333530000000001</v>
      </c>
      <c r="F6007" t="s">
        <v>41</v>
      </c>
      <c r="G6007">
        <v>-275.9357</v>
      </c>
      <c r="H6007" s="1">
        <v>-2.74095E-6</v>
      </c>
      <c r="I6007">
        <v>-65.497209999999995</v>
      </c>
      <c r="J6007">
        <v>-287.74130000000002</v>
      </c>
      <c r="K6007">
        <v>1.128126</v>
      </c>
      <c r="L6007">
        <v>-64.447450000000003</v>
      </c>
      <c r="M6007">
        <v>0.90237750000000005</v>
      </c>
      <c r="N6007">
        <v>0</v>
      </c>
      <c r="O6007">
        <v>-0.43054720000000002</v>
      </c>
      <c r="P6007">
        <v>0.97730799999999995</v>
      </c>
      <c r="Q6007">
        <v>0.13052139999999901</v>
      </c>
      <c r="R6007">
        <v>-0.1668336</v>
      </c>
      <c r="S6007">
        <v>3.0582579999999999</v>
      </c>
      <c r="T6007">
        <v>-0.28387649999999998</v>
      </c>
      <c r="U6007">
        <v>-0.30654910000000002</v>
      </c>
      <c r="V6007">
        <v>-0.27670990000000001</v>
      </c>
      <c r="W6007">
        <v>0.13580410000000001</v>
      </c>
      <c r="X6007">
        <v>0.95130899999999996</v>
      </c>
      <c r="Y6007">
        <v>-0.33532699999999999</v>
      </c>
      <c r="Z6007">
        <v>5.4045959999999997E-2</v>
      </c>
      <c r="AA6007">
        <v>0.94055029999999995</v>
      </c>
      <c r="AB6007">
        <v>40</v>
      </c>
      <c r="AC6007">
        <v>11.8056</v>
      </c>
      <c r="AD6007">
        <v>-1.12812874095</v>
      </c>
      <c r="AE6007">
        <v>-1.04975999999999</v>
      </c>
      <c r="AF6007">
        <v>-4.0991618600175901</v>
      </c>
      <c r="AG6007">
        <v>-1.12812874095</v>
      </c>
      <c r="AH6007">
        <v>11.007265240996899</v>
      </c>
      <c r="AI6007">
        <v>95.486177376241898</v>
      </c>
      <c r="AJ6007">
        <v>110.425588022312</v>
      </c>
      <c r="AK6007">
        <v>11.7998173925039</v>
      </c>
      <c r="AL6007">
        <v>82.194880093159099</v>
      </c>
      <c r="AM6007">
        <v>106.21827590576601</v>
      </c>
      <c r="AN6007">
        <v>0.99999996790790902</v>
      </c>
    </row>
    <row r="6008" spans="1:40" x14ac:dyDescent="0.25">
      <c r="A6008" t="str">
        <f>"20190312164146144"</f>
        <v>20190312164146144</v>
      </c>
      <c r="B6008" t="str">
        <f>"1552380106131986"</f>
        <v>1552380106131986</v>
      </c>
      <c r="C6008" t="s">
        <v>40</v>
      </c>
      <c r="D6008">
        <v>6.0233860000000004</v>
      </c>
      <c r="E6008">
        <v>0.47398950000000001</v>
      </c>
      <c r="F6008" t="s">
        <v>41</v>
      </c>
      <c r="G6008">
        <v>-276.13350000000003</v>
      </c>
      <c r="H6008" s="1">
        <v>-2.8000630000000001E-6</v>
      </c>
      <c r="I6008">
        <v>-65.435900000000004</v>
      </c>
      <c r="J6008">
        <v>-287.53539999999998</v>
      </c>
      <c r="K6008">
        <v>1.1281209999999999</v>
      </c>
      <c r="L6008">
        <v>-64.543729999999996</v>
      </c>
      <c r="M6008">
        <v>0.90653980000000001</v>
      </c>
      <c r="N6008">
        <v>0</v>
      </c>
      <c r="O6008">
        <v>-0.42171219999999998</v>
      </c>
      <c r="P6008">
        <v>0.97840199999999999</v>
      </c>
      <c r="Q6008">
        <v>0.13021930000000001</v>
      </c>
      <c r="R6008">
        <v>-0.1605395</v>
      </c>
      <c r="S6008">
        <v>3.06488</v>
      </c>
      <c r="T6008">
        <v>-0.2978674</v>
      </c>
      <c r="U6008">
        <v>-0.2609863</v>
      </c>
      <c r="V6008">
        <v>-0.27353460000000002</v>
      </c>
      <c r="W6008">
        <v>0.13567839999999901</v>
      </c>
      <c r="X6008">
        <v>0.9522448</v>
      </c>
      <c r="Y6008">
        <v>-0.3398989</v>
      </c>
      <c r="Z6008">
        <v>5.608962E-2</v>
      </c>
      <c r="AA6008">
        <v>0.93878790000000001</v>
      </c>
      <c r="AB6008">
        <v>40</v>
      </c>
      <c r="AC6008">
        <v>11.4018999999999</v>
      </c>
      <c r="AD6008">
        <v>-1.1281238000629901</v>
      </c>
      <c r="AE6008">
        <v>-0.89216999999999202</v>
      </c>
      <c r="AF6008">
        <v>-3.96167496045986</v>
      </c>
      <c r="AG6008">
        <v>-1.1281238000629901</v>
      </c>
      <c r="AH6008">
        <v>10.611115318700501</v>
      </c>
      <c r="AI6008">
        <v>95.687900097834799</v>
      </c>
      <c r="AJ6008">
        <v>110.473188982013</v>
      </c>
      <c r="AK6008">
        <v>11.382587583996999</v>
      </c>
      <c r="AL6008">
        <v>82.202149569275505</v>
      </c>
      <c r="AM6008">
        <v>106.02683885154001</v>
      </c>
      <c r="AN6008">
        <v>0.99999998237537902</v>
      </c>
    </row>
    <row r="6009" spans="1:40" x14ac:dyDescent="0.25">
      <c r="A6009" t="str">
        <f>"20190312164146156"</f>
        <v>20190312164146156</v>
      </c>
      <c r="B6009" t="str">
        <f>"1552380106152481"</f>
        <v>1552380106152481</v>
      </c>
      <c r="C6009" t="s">
        <v>40</v>
      </c>
      <c r="D6009">
        <v>6.2809290000000004</v>
      </c>
      <c r="E6009">
        <v>0.47504950000000001</v>
      </c>
      <c r="F6009" t="s">
        <v>41</v>
      </c>
      <c r="G6009">
        <v>-275.6859</v>
      </c>
      <c r="H6009" s="1">
        <v>-2.6550439999999999E-6</v>
      </c>
      <c r="I6009">
        <v>-65.490589999999997</v>
      </c>
      <c r="J6009">
        <v>-287.32549999999998</v>
      </c>
      <c r="K6009">
        <v>1.1281159999999999</v>
      </c>
      <c r="L6009">
        <v>-64.639709999999994</v>
      </c>
      <c r="M6009">
        <v>0.91069009999999995</v>
      </c>
      <c r="N6009">
        <v>0</v>
      </c>
      <c r="O6009">
        <v>-0.41267310000000001</v>
      </c>
      <c r="P6009">
        <v>0.97954889999999994</v>
      </c>
      <c r="Q6009">
        <v>0.12992110000000001</v>
      </c>
      <c r="R6009">
        <v>-0.15363769999999999</v>
      </c>
      <c r="S6009">
        <v>3.06488</v>
      </c>
      <c r="T6009">
        <v>-0.29178979999999999</v>
      </c>
      <c r="U6009">
        <v>-0.2449036</v>
      </c>
      <c r="V6009">
        <v>-0.27076899999999998</v>
      </c>
      <c r="W6009">
        <v>0.13553579999999901</v>
      </c>
      <c r="X6009">
        <v>0.95305519999999999</v>
      </c>
      <c r="Y6009">
        <v>-0.33563290000000001</v>
      </c>
      <c r="Z6009">
        <v>5.398592E-2</v>
      </c>
      <c r="AA6009">
        <v>0.94044459999999996</v>
      </c>
      <c r="AB6009">
        <v>40</v>
      </c>
      <c r="AC6009">
        <v>11.6395999999999</v>
      </c>
      <c r="AD6009">
        <v>-1.1281186550440001</v>
      </c>
      <c r="AE6009">
        <v>-0.85088000000000297</v>
      </c>
      <c r="AF6009">
        <v>-3.99185710515144</v>
      </c>
      <c r="AG6009">
        <v>-1.1281186550440001</v>
      </c>
      <c r="AH6009">
        <v>10.8516953931362</v>
      </c>
      <c r="AI6009">
        <v>95.572482599536997</v>
      </c>
      <c r="AJ6009">
        <v>110.19632897450499</v>
      </c>
      <c r="AK6009">
        <v>11.6175241662421</v>
      </c>
      <c r="AL6009">
        <v>82.210396334924596</v>
      </c>
      <c r="AM6009">
        <v>105.860182988948</v>
      </c>
      <c r="AN6009">
        <v>1.00000000934483</v>
      </c>
    </row>
    <row r="6010" spans="1:40" x14ac:dyDescent="0.25">
      <c r="A6010" t="str">
        <f>"20190312164146169"</f>
        <v>20190312164146169</v>
      </c>
      <c r="B6010" t="str">
        <f>"1552380106161772"</f>
        <v>1552380106161772</v>
      </c>
      <c r="C6010" t="s">
        <v>40</v>
      </c>
      <c r="D6010">
        <v>6.0116259999999997</v>
      </c>
      <c r="E6010">
        <v>0.47547230000000001</v>
      </c>
      <c r="F6010" t="s">
        <v>41</v>
      </c>
      <c r="G6010">
        <v>-275.17520000000002</v>
      </c>
      <c r="H6010" s="1">
        <v>-2.4894569999999999E-6</v>
      </c>
      <c r="I6010">
        <v>-65.55198</v>
      </c>
      <c r="J6010">
        <v>-287.13619999999997</v>
      </c>
      <c r="K6010">
        <v>1.128109</v>
      </c>
      <c r="L6010">
        <v>-64.72296</v>
      </c>
      <c r="M6010">
        <v>0.91435</v>
      </c>
      <c r="N6010">
        <v>0</v>
      </c>
      <c r="O6010">
        <v>-0.40449879999999999</v>
      </c>
      <c r="P6010">
        <v>0.98040680000000002</v>
      </c>
      <c r="Q6010">
        <v>0.13021250000000001</v>
      </c>
      <c r="R6010">
        <v>-0.147809</v>
      </c>
      <c r="S6010">
        <v>3.06427</v>
      </c>
      <c r="T6010">
        <v>-0.28450809999999999</v>
      </c>
      <c r="U6010">
        <v>-0.230072</v>
      </c>
      <c r="V6010">
        <v>-0.26788990000000001</v>
      </c>
      <c r="W6010">
        <v>0.1359851</v>
      </c>
      <c r="X6010">
        <v>0.95380450000000006</v>
      </c>
      <c r="Y6010">
        <v>-0.33191359999999998</v>
      </c>
      <c r="Z6010">
        <v>5.1806440000000002E-2</v>
      </c>
      <c r="AA6010">
        <v>0.94188609999999995</v>
      </c>
      <c r="AB6010">
        <v>40</v>
      </c>
      <c r="AC6010">
        <v>11.960999999999901</v>
      </c>
      <c r="AD6010">
        <v>-1.1281114894569999</v>
      </c>
      <c r="AE6010">
        <v>-0.82901999999999898</v>
      </c>
      <c r="AF6010">
        <v>-4.0450883707492897</v>
      </c>
      <c r="AG6010">
        <v>-1.1281114894569999</v>
      </c>
      <c r="AH6010">
        <v>11.174891018835901</v>
      </c>
      <c r="AI6010">
        <v>95.422443675649802</v>
      </c>
      <c r="AJ6010">
        <v>109.899248826395</v>
      </c>
      <c r="AK6010">
        <v>11.9379045373413</v>
      </c>
      <c r="AL6010">
        <v>82.184412586610193</v>
      </c>
      <c r="AM6010">
        <v>105.688171567639</v>
      </c>
      <c r="AN6010">
        <v>0.99999998508213495</v>
      </c>
    </row>
    <row r="6011" spans="1:40" x14ac:dyDescent="0.25">
      <c r="A6011" t="str">
        <f>"20190312164146183"</f>
        <v>20190312164146183</v>
      </c>
      <c r="B6011" t="str">
        <f>"1552380106172508"</f>
        <v>1552380106172508</v>
      </c>
      <c r="C6011" t="s">
        <v>40</v>
      </c>
      <c r="D6011">
        <v>6.1418359999999996</v>
      </c>
      <c r="E6011">
        <v>0.47595359999999998</v>
      </c>
      <c r="F6011" t="s">
        <v>41</v>
      </c>
      <c r="G6011">
        <v>-274.82190000000003</v>
      </c>
      <c r="H6011" s="1">
        <v>-2.3733740000000001E-6</v>
      </c>
      <c r="I6011">
        <v>-65.582949999999997</v>
      </c>
      <c r="J6011">
        <v>-286.91480000000001</v>
      </c>
      <c r="K6011">
        <v>1.128104</v>
      </c>
      <c r="L6011">
        <v>-64.818730000000002</v>
      </c>
      <c r="M6011">
        <v>0.91853680000000004</v>
      </c>
      <c r="N6011">
        <v>0</v>
      </c>
      <c r="O6011">
        <v>-0.39489869999999999</v>
      </c>
      <c r="P6011">
        <v>0.98138740000000002</v>
      </c>
      <c r="Q6011">
        <v>0.13067139999999999</v>
      </c>
      <c r="R6011">
        <v>-0.14072689999999999</v>
      </c>
      <c r="S6011">
        <v>3.0650019999999998</v>
      </c>
      <c r="T6011">
        <v>-0.28078409999999998</v>
      </c>
      <c r="U6011">
        <v>-0.2140503</v>
      </c>
      <c r="V6011">
        <v>-0.26477270000000003</v>
      </c>
      <c r="W6011">
        <v>0.13661479999999901</v>
      </c>
      <c r="X6011">
        <v>0.95458469999999995</v>
      </c>
      <c r="Y6011">
        <v>-0.32708569999999998</v>
      </c>
      <c r="Z6011">
        <v>5.0107899999999997E-2</v>
      </c>
      <c r="AA6011">
        <v>0.94366530000000004</v>
      </c>
      <c r="AB6011">
        <v>40</v>
      </c>
      <c r="AC6011">
        <v>12.092899999999901</v>
      </c>
      <c r="AD6011">
        <v>-1.128106373374</v>
      </c>
      <c r="AE6011">
        <v>-0.76421999999999402</v>
      </c>
      <c r="AF6011">
        <v>-4.0391985814612301</v>
      </c>
      <c r="AG6011">
        <v>-1.128106373374</v>
      </c>
      <c r="AH6011">
        <v>11.3134700073093</v>
      </c>
      <c r="AI6011">
        <v>95.364794551485105</v>
      </c>
      <c r="AJ6011">
        <v>109.64786622726101</v>
      </c>
      <c r="AK6011">
        <v>12.0657512313329</v>
      </c>
      <c r="AL6011">
        <v>82.147994210721606</v>
      </c>
      <c r="AM6011">
        <v>105.502392866653</v>
      </c>
      <c r="AN6011">
        <v>1.0000000678592</v>
      </c>
    </row>
    <row r="6012" spans="1:40" x14ac:dyDescent="0.25">
      <c r="A6012" t="str">
        <f>"20190312164146198"</f>
        <v>20190312164146198</v>
      </c>
      <c r="B6012" t="str">
        <f>"1552380106192029"</f>
        <v>1552380106192029</v>
      </c>
      <c r="C6012" t="s">
        <v>40</v>
      </c>
      <c r="D6012">
        <v>6.7847589999999904</v>
      </c>
      <c r="E6012">
        <v>0.47638180000000002</v>
      </c>
      <c r="F6012" t="s">
        <v>41</v>
      </c>
      <c r="G6012">
        <v>-274.39999999999998</v>
      </c>
      <c r="H6012" s="1">
        <v>-2.2048609999999998E-6</v>
      </c>
      <c r="I6012">
        <v>-65.613759999999999</v>
      </c>
      <c r="J6012">
        <v>-286.65480000000002</v>
      </c>
      <c r="K6012">
        <v>1.128093</v>
      </c>
      <c r="L6012">
        <v>-64.927759999999907</v>
      </c>
      <c r="M6012">
        <v>0.92332159999999996</v>
      </c>
      <c r="N6012">
        <v>0</v>
      </c>
      <c r="O6012">
        <v>-0.38357720000000001</v>
      </c>
      <c r="P6012">
        <v>0.98203530000000006</v>
      </c>
      <c r="Q6012">
        <v>0.1323011</v>
      </c>
      <c r="R6012">
        <v>-0.13454739999999901</v>
      </c>
      <c r="S6012">
        <v>3.0657960000000002</v>
      </c>
      <c r="T6012">
        <v>-0.27635609999999999</v>
      </c>
      <c r="U6012">
        <v>-0.1947632</v>
      </c>
      <c r="V6012">
        <v>-0.259019</v>
      </c>
      <c r="W6012">
        <v>0.1385469</v>
      </c>
      <c r="X6012">
        <v>0.95588390000000001</v>
      </c>
      <c r="Y6012">
        <v>-0.32155409999999901</v>
      </c>
      <c r="Z6012">
        <v>4.8135709999999998E-2</v>
      </c>
      <c r="AA6012">
        <v>0.94566689999999998</v>
      </c>
      <c r="AB6012">
        <v>40</v>
      </c>
      <c r="AC6012">
        <v>12.254799999999999</v>
      </c>
      <c r="AD6012">
        <v>-1.128095204861</v>
      </c>
      <c r="AE6012">
        <v>-0.68600000000000705</v>
      </c>
      <c r="AF6012">
        <v>-4.0338908995755904</v>
      </c>
      <c r="AG6012">
        <v>-1.128095204861</v>
      </c>
      <c r="AH6012">
        <v>11.483254611571599</v>
      </c>
      <c r="AI6012">
        <v>95.295378257554802</v>
      </c>
      <c r="AJ6012">
        <v>109.35559155078801</v>
      </c>
      <c r="AK6012">
        <v>12.2233387850901</v>
      </c>
      <c r="AL6012">
        <v>82.036230130437602</v>
      </c>
      <c r="AM6012">
        <v>105.161538422307</v>
      </c>
      <c r="AN6012">
        <v>1.0000000580699</v>
      </c>
    </row>
    <row r="6013" spans="1:40" x14ac:dyDescent="0.25">
      <c r="A6013" t="str">
        <f>"20190312164146210"</f>
        <v>20190312164146210</v>
      </c>
      <c r="B6013" t="str">
        <f>"1552380106201789"</f>
        <v>1552380106201789</v>
      </c>
      <c r="C6013" t="s">
        <v>40</v>
      </c>
      <c r="D6013">
        <v>6.0286559999999998</v>
      </c>
      <c r="E6013">
        <v>0.47670570000000001</v>
      </c>
      <c r="F6013" t="s">
        <v>41</v>
      </c>
      <c r="G6013">
        <v>-273.74079999999998</v>
      </c>
      <c r="H6013" s="1">
        <v>-1.936447E-6</v>
      </c>
      <c r="I6013">
        <v>-65.678439999999995</v>
      </c>
      <c r="J6013">
        <v>-286.46190000000001</v>
      </c>
      <c r="K6013">
        <v>1.128085</v>
      </c>
      <c r="L6013">
        <v>-65.005309999999994</v>
      </c>
      <c r="M6013">
        <v>0.9267784</v>
      </c>
      <c r="N6013">
        <v>0</v>
      </c>
      <c r="O6013">
        <v>-0.37514819999999999</v>
      </c>
      <c r="P6013">
        <v>0.98268710000000004</v>
      </c>
      <c r="Q6013">
        <v>0.1332586</v>
      </c>
      <c r="R6013">
        <v>-0.12871850000000001</v>
      </c>
      <c r="S6013">
        <v>3.0665279999999999</v>
      </c>
      <c r="T6013">
        <v>-0.26787499999999997</v>
      </c>
      <c r="U6013">
        <v>-0.1782532</v>
      </c>
      <c r="V6013">
        <v>-0.2559669</v>
      </c>
      <c r="W6013">
        <v>0.13966700000000001</v>
      </c>
      <c r="X6013">
        <v>0.95654280000000003</v>
      </c>
      <c r="Y6013">
        <v>-0.31822630000000002</v>
      </c>
      <c r="Z6013">
        <v>4.5838980000000001E-2</v>
      </c>
      <c r="AA6013">
        <v>0.94690589999999997</v>
      </c>
      <c r="AB6013">
        <v>40</v>
      </c>
      <c r="AC6013">
        <v>12.7211</v>
      </c>
      <c r="AD6013">
        <v>-1.1280869364470001</v>
      </c>
      <c r="AE6013">
        <v>-0.67313000000001399</v>
      </c>
      <c r="AF6013">
        <v>-4.1168882725409404</v>
      </c>
      <c r="AG6013">
        <v>-1.1280869364470001</v>
      </c>
      <c r="AH6013">
        <v>11.950530877206701</v>
      </c>
      <c r="AI6013">
        <v>95.100076050123107</v>
      </c>
      <c r="AJ6013">
        <v>109.008531296792</v>
      </c>
      <c r="AK6013">
        <v>12.6900172352853</v>
      </c>
      <c r="AL6013">
        <v>81.971422777048602</v>
      </c>
      <c r="AM6013">
        <v>104.98111037698</v>
      </c>
      <c r="AN6013">
        <v>1.0000000265082201</v>
      </c>
    </row>
    <row r="6014" spans="1:40" x14ac:dyDescent="0.25">
      <c r="A6014" t="str">
        <f>"20190312164146222"</f>
        <v>20190312164146222</v>
      </c>
      <c r="B6014" t="str">
        <f>"1552380106212524"</f>
        <v>1552380106212524</v>
      </c>
      <c r="C6014" t="s">
        <v>40</v>
      </c>
      <c r="D6014">
        <v>6.1451510000000003</v>
      </c>
      <c r="E6014">
        <v>0.47693940000000001</v>
      </c>
      <c r="F6014" t="s">
        <v>41</v>
      </c>
      <c r="G6014">
        <v>-273.31470000000002</v>
      </c>
      <c r="H6014" s="1">
        <v>-1.759099E-6</v>
      </c>
      <c r="I6014">
        <v>-65.702929999999995</v>
      </c>
      <c r="J6014">
        <v>-286.28339999999997</v>
      </c>
      <c r="K6014">
        <v>1.12808</v>
      </c>
      <c r="L6014">
        <v>-65.075959999999995</v>
      </c>
      <c r="M6014">
        <v>0.92990700000000004</v>
      </c>
      <c r="N6014">
        <v>0</v>
      </c>
      <c r="O6014">
        <v>-0.36732429999999999</v>
      </c>
      <c r="P6014">
        <v>0.98328709999999997</v>
      </c>
      <c r="Q6014">
        <v>0.1333472</v>
      </c>
      <c r="R6014">
        <v>-0.1239579</v>
      </c>
      <c r="S6014">
        <v>3.0671689999999998</v>
      </c>
      <c r="T6014">
        <v>-0.263177299999999</v>
      </c>
      <c r="U6014">
        <v>-0.16275020000000001</v>
      </c>
      <c r="V6014">
        <v>-0.25252869999999999</v>
      </c>
      <c r="W6014">
        <v>0.13993710000000001</v>
      </c>
      <c r="X6014">
        <v>0.95741679999999996</v>
      </c>
      <c r="Y6014">
        <v>-0.31514979999999998</v>
      </c>
      <c r="Z6014">
        <v>4.4283599999999999E-2</v>
      </c>
      <c r="AA6014">
        <v>0.94800819999999997</v>
      </c>
      <c r="AB6014">
        <v>40</v>
      </c>
      <c r="AC6014">
        <v>12.968699999999901</v>
      </c>
      <c r="AD6014">
        <v>-1.128081759099</v>
      </c>
      <c r="AE6014">
        <v>-0.62697000000001402</v>
      </c>
      <c r="AF6014">
        <v>-4.1500900040062803</v>
      </c>
      <c r="AG6014">
        <v>-1.128081759099</v>
      </c>
      <c r="AH6014">
        <v>12.2000171570064</v>
      </c>
      <c r="AI6014">
        <v>95.002881465209995</v>
      </c>
      <c r="AJ6014">
        <v>108.78680654994599</v>
      </c>
      <c r="AK6014">
        <v>12.935850730733399</v>
      </c>
      <c r="AL6014">
        <v>81.955793750934404</v>
      </c>
      <c r="AM6014">
        <v>104.77584669990399</v>
      </c>
      <c r="AN6014">
        <v>1.00000003260116</v>
      </c>
    </row>
    <row r="6015" spans="1:40" x14ac:dyDescent="0.25">
      <c r="A6015" t="str">
        <f>"20190312164146233"</f>
        <v>20190312164146233</v>
      </c>
      <c r="B6015" t="str">
        <f>"1552380106222284"</f>
        <v>1552380106222284</v>
      </c>
      <c r="C6015" t="s">
        <v>40</v>
      </c>
      <c r="D6015">
        <v>6.0846499999999999</v>
      </c>
      <c r="E6015">
        <v>0.47718440000000001</v>
      </c>
      <c r="F6015" t="s">
        <v>41</v>
      </c>
      <c r="G6015">
        <v>-273.0539</v>
      </c>
      <c r="H6015" s="1">
        <v>-1.651025E-6</v>
      </c>
      <c r="I6015">
        <v>-65.720190000000002</v>
      </c>
      <c r="J6015">
        <v>-286.0874</v>
      </c>
      <c r="K6015">
        <v>1.1280840000000001</v>
      </c>
      <c r="L6015">
        <v>-65.151209999999907</v>
      </c>
      <c r="M6015">
        <v>0.93326589999999998</v>
      </c>
      <c r="N6015">
        <v>0</v>
      </c>
      <c r="O6015">
        <v>-0.35870400000000002</v>
      </c>
      <c r="P6015">
        <v>0.98409729999999995</v>
      </c>
      <c r="Q6015">
        <v>0.13286489999999901</v>
      </c>
      <c r="R6015">
        <v>-0.1178979</v>
      </c>
      <c r="S6015">
        <v>3.0676269999999999</v>
      </c>
      <c r="T6015">
        <v>-0.26157580000000002</v>
      </c>
      <c r="U6015">
        <v>-0.1493835</v>
      </c>
      <c r="V6015">
        <v>-0.24956200000000001</v>
      </c>
      <c r="W6015">
        <v>0.13961370000000001</v>
      </c>
      <c r="X6015">
        <v>0.95824149999999997</v>
      </c>
      <c r="Y6015">
        <v>-0.31057249999999997</v>
      </c>
      <c r="Z6015">
        <v>4.313554E-2</v>
      </c>
      <c r="AA6015">
        <v>0.94957049999999998</v>
      </c>
      <c r="AB6015">
        <v>40</v>
      </c>
      <c r="AC6015">
        <v>13.0335</v>
      </c>
      <c r="AD6015">
        <v>-1.1280856510249999</v>
      </c>
      <c r="AE6015">
        <v>-0.56898000000001003</v>
      </c>
      <c r="AF6015">
        <v>-4.1141147065394001</v>
      </c>
      <c r="AG6015">
        <v>-1.1280856510249999</v>
      </c>
      <c r="AH6015">
        <v>12.278152545903099</v>
      </c>
      <c r="AI6015">
        <v>94.978864787706399</v>
      </c>
      <c r="AJ6015">
        <v>108.524766441239</v>
      </c>
      <c r="AK6015">
        <v>12.998136289294701</v>
      </c>
      <c r="AL6015">
        <v>81.9745064404066</v>
      </c>
      <c r="AM6015">
        <v>104.59769221600099</v>
      </c>
      <c r="AN6015">
        <v>0.999999974696969</v>
      </c>
    </row>
    <row r="6016" spans="1:40" x14ac:dyDescent="0.25">
      <c r="A6016" t="str">
        <f>"20190312164146253"</f>
        <v>20190312164146253</v>
      </c>
      <c r="B6016" t="str">
        <f>"1552380106241805"</f>
        <v>1552380106241805</v>
      </c>
      <c r="C6016" t="s">
        <v>40</v>
      </c>
      <c r="D6016">
        <v>6.0865410000000004</v>
      </c>
      <c r="E6016">
        <v>0.4776685</v>
      </c>
      <c r="F6016" t="s">
        <v>41</v>
      </c>
      <c r="G6016">
        <v>-272.84530000000001</v>
      </c>
      <c r="H6016" s="1">
        <v>-1.561003E-6</v>
      </c>
      <c r="I6016">
        <v>-65.717730000000003</v>
      </c>
      <c r="J6016">
        <v>-285.7663</v>
      </c>
      <c r="K6016">
        <v>1.1280749999999999</v>
      </c>
      <c r="L6016">
        <v>-65.270020000000002</v>
      </c>
      <c r="M6016">
        <v>0.93859519999999996</v>
      </c>
      <c r="N6016">
        <v>0</v>
      </c>
      <c r="O6016">
        <v>-0.34451769999999998</v>
      </c>
      <c r="P6016">
        <v>0.9851972</v>
      </c>
      <c r="Q6016">
        <v>0.13272679999999901</v>
      </c>
      <c r="R6016">
        <v>-0.1084924</v>
      </c>
      <c r="S6016">
        <v>3.068085</v>
      </c>
      <c r="T6016">
        <v>-0.26136720000000002</v>
      </c>
      <c r="U6016">
        <v>-0.13125609999999999</v>
      </c>
      <c r="V6016">
        <v>-0.24417630000000001</v>
      </c>
      <c r="W6016">
        <v>0.1397591</v>
      </c>
      <c r="X6016">
        <v>0.95960679999999998</v>
      </c>
      <c r="Y6016">
        <v>-0.30184889999999998</v>
      </c>
      <c r="Z6016">
        <v>4.1598900000000001E-2</v>
      </c>
      <c r="AA6016">
        <v>0.95244779999999996</v>
      </c>
      <c r="AB6016">
        <v>40</v>
      </c>
      <c r="AC6016">
        <v>12.9209999999999</v>
      </c>
      <c r="AD6016">
        <v>-1.1280765610029999</v>
      </c>
      <c r="AE6016">
        <v>-0.44771</v>
      </c>
      <c r="AF6016">
        <v>-4.0015293580550999</v>
      </c>
      <c r="AG6016">
        <v>-1.1280765610029999</v>
      </c>
      <c r="AH6016">
        <v>12.191148706950701</v>
      </c>
      <c r="AI6016">
        <v>95.0243874454966</v>
      </c>
      <c r="AJ6016">
        <v>108.171509068967</v>
      </c>
      <c r="AK6016">
        <v>12.8805629040755</v>
      </c>
      <c r="AL6016">
        <v>81.966092876170705</v>
      </c>
      <c r="AM6016">
        <v>104.276203196715</v>
      </c>
      <c r="AN6016">
        <v>0.99999994106036805</v>
      </c>
    </row>
    <row r="6017" spans="1:40" x14ac:dyDescent="0.25">
      <c r="A6017" t="str">
        <f>"20190312164146265"</f>
        <v>20190312164146265</v>
      </c>
      <c r="B6017" t="str">
        <f>"1552380106261833"</f>
        <v>1552380106261833</v>
      </c>
      <c r="C6017" t="s">
        <v>40</v>
      </c>
      <c r="D6017">
        <v>6.0675749999999997</v>
      </c>
      <c r="E6017">
        <v>0.47821750000000002</v>
      </c>
      <c r="F6017" t="s">
        <v>41</v>
      </c>
      <c r="G6017">
        <v>-272.46420000000001</v>
      </c>
      <c r="H6017" s="1">
        <v>-1.398552E-6</v>
      </c>
      <c r="I6017">
        <v>-65.722449999999995</v>
      </c>
      <c r="J6017">
        <v>-285.57080000000002</v>
      </c>
      <c r="K6017">
        <v>1.1280730000000001</v>
      </c>
      <c r="L6017">
        <v>-65.339419999999905</v>
      </c>
      <c r="M6017">
        <v>0.94173260000000003</v>
      </c>
      <c r="N6017">
        <v>0</v>
      </c>
      <c r="O6017">
        <v>-0.3358468</v>
      </c>
      <c r="P6017">
        <v>0.98592829999999998</v>
      </c>
      <c r="Q6017">
        <v>0.13297100000000001</v>
      </c>
      <c r="R6017">
        <v>-0.1013141</v>
      </c>
      <c r="S6017">
        <v>3.0686339999999999</v>
      </c>
      <c r="T6017">
        <v>-0.2602334</v>
      </c>
      <c r="U6017">
        <v>-0.10437009999999999</v>
      </c>
      <c r="V6017">
        <v>-0.24231030000000001</v>
      </c>
      <c r="W6017">
        <v>0.1401047</v>
      </c>
      <c r="X6017">
        <v>0.96002940000000003</v>
      </c>
      <c r="Y6017">
        <v>-0.30145119999999997</v>
      </c>
      <c r="Z6017">
        <v>4.0716229999999999E-2</v>
      </c>
      <c r="AA6017">
        <v>0.95261189999999996</v>
      </c>
      <c r="AB6017">
        <v>40</v>
      </c>
      <c r="AC6017">
        <v>13.1066</v>
      </c>
      <c r="AD6017">
        <v>-1.1280743985520001</v>
      </c>
      <c r="AE6017">
        <v>-0.38303000000000498</v>
      </c>
      <c r="AF6017">
        <v>-4.0121024986795</v>
      </c>
      <c r="AG6017">
        <v>-1.1280743985520001</v>
      </c>
      <c r="AH6017">
        <v>12.3820671044113</v>
      </c>
      <c r="AI6017">
        <v>94.953403390890301</v>
      </c>
      <c r="AJ6017">
        <v>107.95363403475299</v>
      </c>
      <c r="AK6017">
        <v>13.0646509362755</v>
      </c>
      <c r="AL6017">
        <v>81.946095404131697</v>
      </c>
      <c r="AM6017">
        <v>104.16552838829099</v>
      </c>
      <c r="AN6017">
        <v>1.00000002865626</v>
      </c>
    </row>
    <row r="6018" spans="1:40" x14ac:dyDescent="0.25">
      <c r="A6018" t="str">
        <f>"20190312164146277"</f>
        <v>20190312164146277</v>
      </c>
      <c r="B6018" t="str">
        <f>"1552380106272569"</f>
        <v>1552380106272569</v>
      </c>
      <c r="C6018" t="s">
        <v>40</v>
      </c>
      <c r="D6018">
        <v>6.1971080000000001</v>
      </c>
      <c r="E6018">
        <v>0.47844750000000003</v>
      </c>
      <c r="F6018" t="s">
        <v>41</v>
      </c>
      <c r="G6018">
        <v>-272.25279999999998</v>
      </c>
      <c r="H6018" s="1">
        <v>-1.3076490000000001E-6</v>
      </c>
      <c r="I6018">
        <v>-65.721369999999993</v>
      </c>
      <c r="J6018">
        <v>-285.38150000000002</v>
      </c>
      <c r="K6018">
        <v>1.1280730000000001</v>
      </c>
      <c r="L6018">
        <v>-65.4054</v>
      </c>
      <c r="M6018">
        <v>0.94469440000000005</v>
      </c>
      <c r="N6018">
        <v>0</v>
      </c>
      <c r="O6018">
        <v>-0.3274223</v>
      </c>
      <c r="P6018">
        <v>0.98653170000000001</v>
      </c>
      <c r="Q6018">
        <v>0.13361139999999999</v>
      </c>
      <c r="R6018">
        <v>-9.4357880000000005E-2</v>
      </c>
      <c r="S6018">
        <v>3.068848</v>
      </c>
      <c r="T6018">
        <v>-0.25994089999999997</v>
      </c>
      <c r="U6018">
        <v>-8.8012699999999999E-2</v>
      </c>
      <c r="V6018">
        <v>-0.24050279999999999</v>
      </c>
      <c r="W6018">
        <v>0.14084160000000001</v>
      </c>
      <c r="X6018">
        <v>0.96037600000000001</v>
      </c>
      <c r="Y6018">
        <v>-0.29805809999999999</v>
      </c>
      <c r="Z6018">
        <v>3.9855880000000003E-2</v>
      </c>
      <c r="AA6018">
        <v>0.95371530000000004</v>
      </c>
      <c r="AB6018">
        <v>39</v>
      </c>
      <c r="AC6018">
        <v>13.1287</v>
      </c>
      <c r="AD6018">
        <v>-1.1280743076490001</v>
      </c>
      <c r="AE6018">
        <v>-0.31596999999999298</v>
      </c>
      <c r="AF6018">
        <v>-3.97152379539052</v>
      </c>
      <c r="AG6018">
        <v>-1.1280743076490001</v>
      </c>
      <c r="AH6018">
        <v>12.4166175326994</v>
      </c>
      <c r="AI6018">
        <v>94.945670121820001</v>
      </c>
      <c r="AJ6018">
        <v>107.73716273054001</v>
      </c>
      <c r="AK6018">
        <v>13.085027468609599</v>
      </c>
      <c r="AL6018">
        <v>81.903451131778198</v>
      </c>
      <c r="AM6018">
        <v>104.059195427156</v>
      </c>
      <c r="AN6018">
        <v>1.0000000072372</v>
      </c>
    </row>
    <row r="6019" spans="1:40" x14ac:dyDescent="0.25">
      <c r="A6019" t="str">
        <f>"20190312164146289"</f>
        <v>20190312164146289</v>
      </c>
      <c r="B6019" t="str">
        <f>"1552380106282328"</f>
        <v>1552380106282328</v>
      </c>
      <c r="C6019" t="s">
        <v>40</v>
      </c>
      <c r="D6019">
        <v>6.1015180000000004</v>
      </c>
      <c r="E6019">
        <v>0.47837239999999998</v>
      </c>
      <c r="F6019" t="s">
        <v>41</v>
      </c>
      <c r="G6019">
        <v>-271.96289999999999</v>
      </c>
      <c r="H6019" s="1">
        <v>-1.1817409999999999E-6</v>
      </c>
      <c r="I6019">
        <v>-65.714550000000003</v>
      </c>
      <c r="J6019">
        <v>-285.19380000000001</v>
      </c>
      <c r="K6019">
        <v>1.128074</v>
      </c>
      <c r="L6019">
        <v>-65.467709999999997</v>
      </c>
      <c r="M6019">
        <v>0.94755540000000005</v>
      </c>
      <c r="N6019">
        <v>0</v>
      </c>
      <c r="O6019">
        <v>-0.31904769999999999</v>
      </c>
      <c r="P6019">
        <v>0.98709040000000003</v>
      </c>
      <c r="Q6019">
        <v>0.13418139999999901</v>
      </c>
      <c r="R6019">
        <v>-8.7452390000000005E-2</v>
      </c>
      <c r="S6019">
        <v>3.0691220000000001</v>
      </c>
      <c r="T6019">
        <v>-0.25801459999999998</v>
      </c>
      <c r="U6019">
        <v>-7.0709229999999998E-2</v>
      </c>
      <c r="V6019">
        <v>-0.23871919999999999</v>
      </c>
      <c r="W6019">
        <v>0.141506299999999</v>
      </c>
      <c r="X6019">
        <v>0.9607232</v>
      </c>
      <c r="Y6019">
        <v>-0.29505879999999901</v>
      </c>
      <c r="Z6019">
        <v>3.8770110000000003E-2</v>
      </c>
      <c r="AA6019">
        <v>0.95469219999999999</v>
      </c>
      <c r="AB6019">
        <v>39</v>
      </c>
      <c r="AC6019">
        <v>13.2309</v>
      </c>
      <c r="AD6019">
        <v>-1.128075181741</v>
      </c>
      <c r="AE6019">
        <v>-0.246840000000005</v>
      </c>
      <c r="AF6019">
        <v>-3.95931454430576</v>
      </c>
      <c r="AG6019">
        <v>-1.128075181741</v>
      </c>
      <c r="AH6019">
        <v>12.526924678164301</v>
      </c>
      <c r="AI6019">
        <v>94.9076810471702</v>
      </c>
      <c r="AJ6019">
        <v>107.53988934345099</v>
      </c>
      <c r="AK6019">
        <v>13.1860747445483</v>
      </c>
      <c r="AL6019">
        <v>81.864981106476307</v>
      </c>
      <c r="AM6019">
        <v>103.95417446767399</v>
      </c>
      <c r="AN6019">
        <v>0.99999997820328401</v>
      </c>
    </row>
    <row r="6020" spans="1:40" x14ac:dyDescent="0.25">
      <c r="A6020" t="str">
        <f>"20190312164146300"</f>
        <v>20190312164146300</v>
      </c>
      <c r="B6020" t="str">
        <f>"1552380106292090"</f>
        <v>1552380106292090</v>
      </c>
      <c r="C6020" t="s">
        <v>40</v>
      </c>
      <c r="D6020">
        <v>6.0454990000000004</v>
      </c>
      <c r="E6020">
        <v>0.47826370000000001</v>
      </c>
      <c r="F6020" t="s">
        <v>41</v>
      </c>
      <c r="G6020">
        <v>-271.62020000000001</v>
      </c>
      <c r="H6020" s="1">
        <v>-1.029673E-6</v>
      </c>
      <c r="I6020">
        <v>-65.691730000000007</v>
      </c>
      <c r="J6020">
        <v>-285.00020000000001</v>
      </c>
      <c r="K6020">
        <v>1.128074</v>
      </c>
      <c r="L6020">
        <v>-65.53107</v>
      </c>
      <c r="M6020">
        <v>0.95042959999999999</v>
      </c>
      <c r="N6020">
        <v>0</v>
      </c>
      <c r="O6020">
        <v>-0.31038059999999901</v>
      </c>
      <c r="P6020">
        <v>0.98770429999999998</v>
      </c>
      <c r="Q6020">
        <v>0.13407330000000001</v>
      </c>
      <c r="R6020">
        <v>-8.0403249999999996E-2</v>
      </c>
      <c r="S6020">
        <v>3.0694270000000001</v>
      </c>
      <c r="T6020">
        <v>-0.25509349999999997</v>
      </c>
      <c r="U6020">
        <v>-5.0659179999999998E-2</v>
      </c>
      <c r="V6020">
        <v>-0.23679810000000001</v>
      </c>
      <c r="W6020">
        <v>0.14150019999999999</v>
      </c>
      <c r="X6020">
        <v>0.96119940000000004</v>
      </c>
      <c r="Y6020">
        <v>-0.29265659999999999</v>
      </c>
      <c r="Z6020">
        <v>3.7549560000000003E-2</v>
      </c>
      <c r="AA6020">
        <v>0.95548</v>
      </c>
      <c r="AB6020">
        <v>39</v>
      </c>
      <c r="AC6020">
        <v>13.3799999999999</v>
      </c>
      <c r="AD6020">
        <v>-1.128075029673</v>
      </c>
      <c r="AE6020">
        <v>-0.16066000000000699</v>
      </c>
      <c r="AF6020">
        <v>-3.97265690494724</v>
      </c>
      <c r="AG6020">
        <v>-1.128075029673</v>
      </c>
      <c r="AH6020">
        <v>12.678721559513299</v>
      </c>
      <c r="AI6020">
        <v>94.8529811908097</v>
      </c>
      <c r="AJ6020">
        <v>107.397475094263</v>
      </c>
      <c r="AK6020">
        <v>13.334336749184899</v>
      </c>
      <c r="AL6020">
        <v>81.865334068749902</v>
      </c>
      <c r="AM6020">
        <v>103.83961967366299</v>
      </c>
      <c r="AN6020">
        <v>0.99999996666200397</v>
      </c>
    </row>
    <row r="6021" spans="1:40" x14ac:dyDescent="0.25">
      <c r="A6021" t="str">
        <f>"20190312164146311"</f>
        <v>20190312164146311</v>
      </c>
      <c r="B6021" t="str">
        <f>"1552380106301849"</f>
        <v>1552380106301849</v>
      </c>
      <c r="C6021" t="s">
        <v>40</v>
      </c>
      <c r="D6021">
        <v>6.0430169999999999</v>
      </c>
      <c r="E6021">
        <v>0.47815770000000002</v>
      </c>
      <c r="F6021" t="s">
        <v>41</v>
      </c>
      <c r="G6021">
        <v>-271.3295</v>
      </c>
      <c r="H6021" s="1">
        <v>-8.9689970000000001E-7</v>
      </c>
      <c r="I6021">
        <v>-65.655429999999996</v>
      </c>
      <c r="J6021">
        <v>-284.81990000000002</v>
      </c>
      <c r="K6021">
        <v>1.128069</v>
      </c>
      <c r="L6021">
        <v>-65.587649999999996</v>
      </c>
      <c r="M6021">
        <v>0.95303680000000002</v>
      </c>
      <c r="N6021">
        <v>0</v>
      </c>
      <c r="O6021">
        <v>-0.30227999999999999</v>
      </c>
      <c r="P6021">
        <v>0.98826559999999997</v>
      </c>
      <c r="Q6021">
        <v>0.13320000000000001</v>
      </c>
      <c r="R6021">
        <v>-7.4759679999999995E-2</v>
      </c>
      <c r="S6021">
        <v>3.069458</v>
      </c>
      <c r="T6021">
        <v>-0.25328450000000002</v>
      </c>
      <c r="U6021">
        <v>-2.792358E-2</v>
      </c>
      <c r="V6021">
        <v>-0.2340989</v>
      </c>
      <c r="W6021">
        <v>0.14076849999999999</v>
      </c>
      <c r="X6021">
        <v>0.96196780000000004</v>
      </c>
      <c r="Y6021">
        <v>-0.29165619999999998</v>
      </c>
      <c r="Z6021">
        <v>3.6610280000000002E-2</v>
      </c>
      <c r="AA6021">
        <v>0.95582230000000001</v>
      </c>
      <c r="AB6021">
        <v>39</v>
      </c>
      <c r="AC6021">
        <v>13.490399999999999</v>
      </c>
      <c r="AD6021">
        <v>-1.1280698968997001</v>
      </c>
      <c r="AE6021">
        <v>-6.7780000000013205E-2</v>
      </c>
      <c r="AF6021">
        <v>-3.98610758232038</v>
      </c>
      <c r="AG6021">
        <v>-1.1280698968997001</v>
      </c>
      <c r="AH6021">
        <v>12.790144486723801</v>
      </c>
      <c r="AI6021">
        <v>94.8131693217059</v>
      </c>
      <c r="AJ6021">
        <v>107.30988647851601</v>
      </c>
      <c r="AK6021">
        <v>13.4443070234726</v>
      </c>
      <c r="AL6021">
        <v>81.907682004562503</v>
      </c>
      <c r="AM6021">
        <v>103.677308951039</v>
      </c>
      <c r="AN6021">
        <v>1.0000000569051399</v>
      </c>
    </row>
    <row r="6022" spans="1:40" x14ac:dyDescent="0.25">
      <c r="A6022" t="str">
        <f>"20190312164146321"</f>
        <v>20190312164146321</v>
      </c>
      <c r="B6022" t="str">
        <f>"1552380106312585"</f>
        <v>1552380106312585</v>
      </c>
      <c r="C6022" t="s">
        <v>40</v>
      </c>
      <c r="D6022">
        <v>5.9204350000000003</v>
      </c>
      <c r="E6022">
        <v>0.47802689999999998</v>
      </c>
      <c r="F6022" t="s">
        <v>41</v>
      </c>
      <c r="G6022">
        <v>-271.0634</v>
      </c>
      <c r="H6022" s="1">
        <v>-7.7614299999999999E-7</v>
      </c>
      <c r="I6022">
        <v>-65.625819999999905</v>
      </c>
      <c r="J6022">
        <v>-284.6576</v>
      </c>
      <c r="K6022">
        <v>1.12806299999999</v>
      </c>
      <c r="L6022">
        <v>-65.637600000000006</v>
      </c>
      <c r="M6022">
        <v>0.95532410000000001</v>
      </c>
      <c r="N6022">
        <v>0</v>
      </c>
      <c r="O6022">
        <v>-0.29497119999999999</v>
      </c>
      <c r="P6022">
        <v>0.98873940000000005</v>
      </c>
      <c r="Q6022">
        <v>0.1322275</v>
      </c>
      <c r="R6022">
        <v>-7.0071410000000001E-2</v>
      </c>
      <c r="S6022">
        <v>3.0688780000000002</v>
      </c>
      <c r="T6022">
        <v>-0.25165650000000001</v>
      </c>
      <c r="U6022">
        <v>-8.5144039999999997E-3</v>
      </c>
      <c r="V6022">
        <v>-0.23128170000000001</v>
      </c>
      <c r="W6022">
        <v>0.13994219999999999</v>
      </c>
      <c r="X6022">
        <v>0.9627694</v>
      </c>
      <c r="Y6022">
        <v>-0.29042839999999998</v>
      </c>
      <c r="Z6022">
        <v>3.5762299999999997E-2</v>
      </c>
      <c r="AA6022">
        <v>0.95622830000000003</v>
      </c>
      <c r="AB6022">
        <v>39</v>
      </c>
      <c r="AC6022">
        <v>13.594200000000001</v>
      </c>
      <c r="AD6022">
        <v>-1.1280637761429999</v>
      </c>
      <c r="AE6022">
        <v>1.17800000000158E-2</v>
      </c>
      <c r="AF6022">
        <v>-3.9943461740644999</v>
      </c>
      <c r="AG6022">
        <v>-1.1280637761429999</v>
      </c>
      <c r="AH6022">
        <v>12.89684470834</v>
      </c>
      <c r="AI6022">
        <v>94.776119176654007</v>
      </c>
      <c r="AJ6022">
        <v>107.2085370124</v>
      </c>
      <c r="AK6022">
        <v>13.548281539455401</v>
      </c>
      <c r="AL6022">
        <v>81.955498219390506</v>
      </c>
      <c r="AM6022">
        <v>103.507945777869</v>
      </c>
      <c r="AN6022">
        <v>0.99999998083604402</v>
      </c>
    </row>
    <row r="6023" spans="1:40" x14ac:dyDescent="0.25">
      <c r="A6023" t="str">
        <f>"20190312164146332"</f>
        <v>20190312164146332</v>
      </c>
      <c r="B6023" t="str">
        <f>"1552380106322345"</f>
        <v>1552380106322345</v>
      </c>
      <c r="C6023" t="s">
        <v>40</v>
      </c>
      <c r="D6023">
        <v>6.1339420000000002</v>
      </c>
      <c r="E6023">
        <v>0.4779428</v>
      </c>
      <c r="F6023" t="s">
        <v>41</v>
      </c>
      <c r="G6023">
        <v>-270.99610000000001</v>
      </c>
      <c r="H6023" s="1">
        <v>-7.4183380000000004E-7</v>
      </c>
      <c r="I6023">
        <v>-65.601330000000004</v>
      </c>
      <c r="J6023">
        <v>-284.47859999999997</v>
      </c>
      <c r="K6023">
        <v>1.128064</v>
      </c>
      <c r="L6023">
        <v>-65.690640000000002</v>
      </c>
      <c r="M6023">
        <v>0.9577814</v>
      </c>
      <c r="N6023">
        <v>0</v>
      </c>
      <c r="O6023">
        <v>-0.28689160000000002</v>
      </c>
      <c r="P6023">
        <v>0.98921749999999997</v>
      </c>
      <c r="Q6023">
        <v>0.1311618</v>
      </c>
      <c r="R6023">
        <v>-6.5159239999999993E-2</v>
      </c>
      <c r="S6023">
        <v>3.0686339999999999</v>
      </c>
      <c r="T6023">
        <v>-0.25338579999999999</v>
      </c>
      <c r="U6023">
        <v>8.1481929999999998E-3</v>
      </c>
      <c r="V6023">
        <v>-0.22791790000000001</v>
      </c>
      <c r="W6023">
        <v>0.13905029999999999</v>
      </c>
      <c r="X6023">
        <v>0.96370040000000001</v>
      </c>
      <c r="Y6023">
        <v>-0.28754960000000002</v>
      </c>
      <c r="Z6023">
        <v>3.5252789999999999E-2</v>
      </c>
      <c r="AA6023">
        <v>0.95711679999999999</v>
      </c>
      <c r="AB6023">
        <v>39</v>
      </c>
      <c r="AC6023">
        <v>13.4824999999999</v>
      </c>
      <c r="AD6023">
        <v>-1.1280647418337999</v>
      </c>
      <c r="AE6023">
        <v>8.9309999999997502E-2</v>
      </c>
      <c r="AF6023">
        <v>-3.92675562300917</v>
      </c>
      <c r="AG6023">
        <v>-1.1280647418337999</v>
      </c>
      <c r="AH6023">
        <v>12.8003042608045</v>
      </c>
      <c r="AI6023">
        <v>94.815947835514294</v>
      </c>
      <c r="AJ6023">
        <v>107.05446815785101</v>
      </c>
      <c r="AK6023">
        <v>13.4365073197529</v>
      </c>
      <c r="AL6023">
        <v>82.007105125892707</v>
      </c>
      <c r="AM6023">
        <v>103.306124904847</v>
      </c>
      <c r="AN6023">
        <v>1.00000000801533</v>
      </c>
    </row>
    <row r="6024" spans="1:40" x14ac:dyDescent="0.25">
      <c r="A6024" t="str">
        <f>"20190312164146343"</f>
        <v>20190312164146343</v>
      </c>
      <c r="B6024" t="str">
        <f>"1552380106332105"</f>
        <v>1552380106332105</v>
      </c>
      <c r="C6024" t="s">
        <v>40</v>
      </c>
      <c r="D6024">
        <v>6.0051180000000004</v>
      </c>
      <c r="E6024">
        <v>0.47783690000000001</v>
      </c>
      <c r="F6024" t="s">
        <v>41</v>
      </c>
      <c r="G6024">
        <v>-270.87400000000002</v>
      </c>
      <c r="H6024" s="1">
        <v>-6.8380069999999896E-7</v>
      </c>
      <c r="I6024">
        <v>-65.576030000000003</v>
      </c>
      <c r="J6024">
        <v>-284.29640000000001</v>
      </c>
      <c r="K6024">
        <v>1.1280559999999999</v>
      </c>
      <c r="L6024">
        <v>-65.743160000000003</v>
      </c>
      <c r="M6024">
        <v>0.96021279999999998</v>
      </c>
      <c r="N6024">
        <v>0</v>
      </c>
      <c r="O6024">
        <v>-0.2786457</v>
      </c>
      <c r="P6024">
        <v>0.98970349999999996</v>
      </c>
      <c r="Q6024">
        <v>0.130217</v>
      </c>
      <c r="R6024">
        <v>-5.9422250000000003E-2</v>
      </c>
      <c r="S6024">
        <v>3.068146</v>
      </c>
      <c r="T6024">
        <v>-0.25440380000000001</v>
      </c>
      <c r="U6024">
        <v>2.5848389999999999E-2</v>
      </c>
      <c r="V6024">
        <v>-0.22520609999999999</v>
      </c>
      <c r="W6024">
        <v>0.1382466</v>
      </c>
      <c r="X6024">
        <v>0.96445329999999996</v>
      </c>
      <c r="Y6024">
        <v>-0.28485939999999998</v>
      </c>
      <c r="Z6024">
        <v>3.4631490000000001E-2</v>
      </c>
      <c r="AA6024">
        <v>0.95794349999999995</v>
      </c>
      <c r="AB6024">
        <v>39</v>
      </c>
      <c r="AC6024">
        <v>13.4223999999999</v>
      </c>
      <c r="AD6024">
        <v>-1.1280566838007</v>
      </c>
      <c r="AE6024">
        <v>0.16713</v>
      </c>
      <c r="AF6024">
        <v>-3.87389533836068</v>
      </c>
      <c r="AG6024">
        <v>-1.1280566838007</v>
      </c>
      <c r="AH6024">
        <v>12.7539552117084</v>
      </c>
      <c r="AI6024">
        <v>94.837403749892999</v>
      </c>
      <c r="AJ6024">
        <v>106.895671110618</v>
      </c>
      <c r="AK6024">
        <v>13.3769559510639</v>
      </c>
      <c r="AL6024">
        <v>82.053603082334604</v>
      </c>
      <c r="AM6024">
        <v>103.14343055716201</v>
      </c>
      <c r="AN6024">
        <v>1.00000003888482</v>
      </c>
    </row>
    <row r="6025" spans="1:40" x14ac:dyDescent="0.25">
      <c r="A6025" t="str">
        <f>"20190312164146354"</f>
        <v>20190312164146354</v>
      </c>
      <c r="B6025" t="str">
        <f>"1552380106341865"</f>
        <v>1552380106341865</v>
      </c>
      <c r="C6025" t="s">
        <v>40</v>
      </c>
      <c r="D6025">
        <v>5.9324349999999999</v>
      </c>
      <c r="E6025">
        <v>0.477663</v>
      </c>
      <c r="F6025" t="s">
        <v>41</v>
      </c>
      <c r="G6025">
        <v>-271.02749999999997</v>
      </c>
      <c r="H6025" s="1">
        <v>-7.4249870000000003E-7</v>
      </c>
      <c r="I6025">
        <v>-65.543750000000003</v>
      </c>
      <c r="J6025">
        <v>-284.1096</v>
      </c>
      <c r="K6025">
        <v>1.12805</v>
      </c>
      <c r="L6025">
        <v>-65.795319999999904</v>
      </c>
      <c r="M6025">
        <v>0.96263270000000001</v>
      </c>
      <c r="N6025">
        <v>0</v>
      </c>
      <c r="O6025">
        <v>-0.27016679999999998</v>
      </c>
      <c r="P6025">
        <v>0.99014199999999997</v>
      </c>
      <c r="Q6025">
        <v>0.12959769999999901</v>
      </c>
      <c r="R6025">
        <v>-5.313727E-2</v>
      </c>
      <c r="S6025">
        <v>3.0683289999999999</v>
      </c>
      <c r="T6025">
        <v>-0.26085399999999997</v>
      </c>
      <c r="U6025">
        <v>4.6112060000000003E-2</v>
      </c>
      <c r="V6025">
        <v>-0.22281390000000001</v>
      </c>
      <c r="W6025">
        <v>0.13775209999999999</v>
      </c>
      <c r="X6025">
        <v>0.96507940000000003</v>
      </c>
      <c r="Y6025">
        <v>-0.28267350000000002</v>
      </c>
      <c r="Z6025">
        <v>3.4716980000000001E-2</v>
      </c>
      <c r="AA6025">
        <v>0.95858770000000004</v>
      </c>
      <c r="AB6025">
        <v>39</v>
      </c>
      <c r="AC6025">
        <v>13.082100000000001</v>
      </c>
      <c r="AD6025">
        <v>-1.1280507424987001</v>
      </c>
      <c r="AE6025">
        <v>0.25156999999998603</v>
      </c>
      <c r="AF6025">
        <v>-3.7493090587085698</v>
      </c>
      <c r="AG6025">
        <v>-1.1280507424987001</v>
      </c>
      <c r="AH6025">
        <v>12.4350475625637</v>
      </c>
      <c r="AI6025">
        <v>94.963877364288905</v>
      </c>
      <c r="AJ6025">
        <v>106.778659730673</v>
      </c>
      <c r="AK6025">
        <v>13.0368794110626</v>
      </c>
      <c r="AL6025">
        <v>82.082208926874202</v>
      </c>
      <c r="AM6025">
        <v>103.000437650492</v>
      </c>
      <c r="AN6025">
        <v>0.99999996169598904</v>
      </c>
    </row>
    <row r="6026" spans="1:40" x14ac:dyDescent="0.25">
      <c r="A6026" t="str">
        <f>"20190312164146379"</f>
        <v>20190312164146379</v>
      </c>
      <c r="B6026" t="str">
        <f>"1552380106372629"</f>
        <v>1552380106372629</v>
      </c>
      <c r="C6026" t="s">
        <v>40</v>
      </c>
      <c r="D6026">
        <v>5.9464059999999996</v>
      </c>
      <c r="E6026">
        <v>0.47747919999999999</v>
      </c>
      <c r="F6026" t="s">
        <v>41</v>
      </c>
      <c r="G6026">
        <v>-270.86599999999999</v>
      </c>
      <c r="H6026" s="1">
        <v>-6.6427090000000004E-7</v>
      </c>
      <c r="I6026">
        <v>-65.503489999999999</v>
      </c>
      <c r="J6026">
        <v>-283.7079</v>
      </c>
      <c r="K6026">
        <v>1.128047</v>
      </c>
      <c r="L6026">
        <v>-65.901340000000005</v>
      </c>
      <c r="M6026">
        <v>0.96758509999999998</v>
      </c>
      <c r="N6026">
        <v>0</v>
      </c>
      <c r="O6026">
        <v>-0.25185340000000001</v>
      </c>
      <c r="P6026">
        <v>0.99093600000000004</v>
      </c>
      <c r="Q6026">
        <v>0.12853100000000001</v>
      </c>
      <c r="R6026">
        <v>-3.9060549999999999E-2</v>
      </c>
      <c r="S6026">
        <v>3.067688</v>
      </c>
      <c r="T6026">
        <v>-0.26129659999999999</v>
      </c>
      <c r="U6026">
        <v>6.7596439999999994E-2</v>
      </c>
      <c r="V6026">
        <v>-0.2181942</v>
      </c>
      <c r="W6026">
        <v>0.13692560000000001</v>
      </c>
      <c r="X6026">
        <v>0.96625190000000005</v>
      </c>
      <c r="Y6026">
        <v>-0.27127440000000003</v>
      </c>
      <c r="Z6026">
        <v>3.2784489999999999E-2</v>
      </c>
      <c r="AA6026">
        <v>0.96194360000000001</v>
      </c>
      <c r="AB6026">
        <v>39</v>
      </c>
      <c r="AC6026">
        <v>12.841900000000001</v>
      </c>
      <c r="AD6026">
        <v>-1.1280476642708901</v>
      </c>
      <c r="AE6026">
        <v>0.39785000000000498</v>
      </c>
      <c r="AF6026">
        <v>-3.5921706466722201</v>
      </c>
      <c r="AG6026">
        <v>-1.1280476642708901</v>
      </c>
      <c r="AH6026">
        <v>12.233279826104001</v>
      </c>
      <c r="AI6026">
        <v>95.056128328056403</v>
      </c>
      <c r="AJ6026">
        <v>106.364307259678</v>
      </c>
      <c r="AK6026">
        <v>12.7995826803628</v>
      </c>
      <c r="AL6026">
        <v>82.130017467748601</v>
      </c>
      <c r="AM6026">
        <v>102.72482324385599</v>
      </c>
      <c r="AN6026">
        <v>1.0000000315513</v>
      </c>
    </row>
    <row r="6027" spans="1:40" x14ac:dyDescent="0.25">
      <c r="A6027" t="str">
        <f>"20190312164146390"</f>
        <v>20190312164146390</v>
      </c>
      <c r="B6027" t="str">
        <f>"1552380106382388"</f>
        <v>1552380106382388</v>
      </c>
      <c r="C6027" t="s">
        <v>40</v>
      </c>
      <c r="D6027">
        <v>5.9654959999999999</v>
      </c>
      <c r="E6027">
        <v>0.47747339999999999</v>
      </c>
      <c r="F6027" t="s">
        <v>41</v>
      </c>
      <c r="G6027">
        <v>-270.64280000000002</v>
      </c>
      <c r="H6027" s="1">
        <v>-5.506841E-7</v>
      </c>
      <c r="I6027">
        <v>-65.423319999999904</v>
      </c>
      <c r="J6027">
        <v>-283.52229999999997</v>
      </c>
      <c r="K6027">
        <v>1.128044</v>
      </c>
      <c r="L6027">
        <v>-65.946869999999905</v>
      </c>
      <c r="M6027">
        <v>0.96975769999999994</v>
      </c>
      <c r="N6027">
        <v>0</v>
      </c>
      <c r="O6027">
        <v>-0.24335419999999999</v>
      </c>
      <c r="P6027">
        <v>0.99121490000000001</v>
      </c>
      <c r="Q6027">
        <v>0.1281622</v>
      </c>
      <c r="R6027">
        <v>-3.2676209999999997E-2</v>
      </c>
      <c r="S6027">
        <v>3.0661930000000002</v>
      </c>
      <c r="T6027">
        <v>-0.26473639999999998</v>
      </c>
      <c r="U6027">
        <v>0.11218259999999999</v>
      </c>
      <c r="V6027">
        <v>-0.21593209999999999</v>
      </c>
      <c r="W6027">
        <v>0.13667190000000001</v>
      </c>
      <c r="X6027">
        <v>0.96679579999999998</v>
      </c>
      <c r="Y6027">
        <v>-0.27677370000000001</v>
      </c>
      <c r="Z6027">
        <v>3.2754199999999997E-2</v>
      </c>
      <c r="AA6027">
        <v>0.96037669999999997</v>
      </c>
      <c r="AB6027">
        <v>39</v>
      </c>
      <c r="AC6027">
        <v>12.879499999999901</v>
      </c>
      <c r="AD6027">
        <v>-1.1280445506840999</v>
      </c>
      <c r="AE6027">
        <v>0.52354999999999996</v>
      </c>
      <c r="AF6027">
        <v>-3.6149476006911301</v>
      </c>
      <c r="AG6027">
        <v>-1.1280445506840999</v>
      </c>
      <c r="AH6027">
        <v>12.2707680904104</v>
      </c>
      <c r="AI6027">
        <v>95.039445456293805</v>
      </c>
      <c r="AJ6027">
        <v>106.414884573682</v>
      </c>
      <c r="AK6027">
        <v>12.8418098487987</v>
      </c>
      <c r="AL6027">
        <v>82.144691104347203</v>
      </c>
      <c r="AM6027">
        <v>102.59027076648999</v>
      </c>
      <c r="AN6027">
        <v>0.99999999947883</v>
      </c>
    </row>
    <row r="6028" spans="1:40" x14ac:dyDescent="0.25">
      <c r="A6028" t="str">
        <f>"20190312164146399"</f>
        <v>20190312164146399</v>
      </c>
      <c r="B6028" t="str">
        <f>"1552380106392149"</f>
        <v>1552380106392149</v>
      </c>
      <c r="C6028" t="s">
        <v>40</v>
      </c>
      <c r="D6028">
        <v>5.9571480000000001</v>
      </c>
      <c r="E6028">
        <v>0.47736000000000001</v>
      </c>
      <c r="F6028" t="s">
        <v>41</v>
      </c>
      <c r="G6028">
        <v>-270.62920000000003</v>
      </c>
      <c r="H6028" s="1">
        <v>-5.3704209999999899E-7</v>
      </c>
      <c r="I6028">
        <v>-65.388300000000001</v>
      </c>
      <c r="J6028">
        <v>-283.36450000000002</v>
      </c>
      <c r="K6028">
        <v>1.128044</v>
      </c>
      <c r="L6028">
        <v>-65.985109999999906</v>
      </c>
      <c r="M6028">
        <v>0.97154649999999998</v>
      </c>
      <c r="N6028">
        <v>0</v>
      </c>
      <c r="O6028">
        <v>-0.23611080000000001</v>
      </c>
      <c r="P6028">
        <v>0.99143369999999997</v>
      </c>
      <c r="Q6028">
        <v>0.1276236</v>
      </c>
      <c r="R6028">
        <v>-2.7770929999999999E-2</v>
      </c>
      <c r="S6028">
        <v>3.0656430000000001</v>
      </c>
      <c r="T6028">
        <v>-0.26821790000000001</v>
      </c>
      <c r="U6028">
        <v>0.1328125</v>
      </c>
      <c r="V6028">
        <v>-0.21348980000000001</v>
      </c>
      <c r="W6028">
        <v>0.13625809999999999</v>
      </c>
      <c r="X6028">
        <v>0.96739640000000005</v>
      </c>
      <c r="Y6028">
        <v>-0.27604380000000001</v>
      </c>
      <c r="Z6028">
        <v>3.2537660000000003E-2</v>
      </c>
      <c r="AA6028">
        <v>0.96059419999999995</v>
      </c>
      <c r="AB6028">
        <v>39</v>
      </c>
      <c r="AC6028">
        <v>12.735299999999899</v>
      </c>
      <c r="AD6028">
        <v>-1.1280445370420999</v>
      </c>
      <c r="AE6028">
        <v>0.59680999999998996</v>
      </c>
      <c r="AF6028">
        <v>-3.5595307813881298</v>
      </c>
      <c r="AG6028">
        <v>-1.1280445370420999</v>
      </c>
      <c r="AH6028">
        <v>12.1391266629781</v>
      </c>
      <c r="AI6028">
        <v>95.095688074191401</v>
      </c>
      <c r="AJ6028">
        <v>106.3426098122</v>
      </c>
      <c r="AK6028">
        <v>12.700438575144799</v>
      </c>
      <c r="AL6028">
        <v>82.1686238363922</v>
      </c>
      <c r="AM6028">
        <v>102.44484465244101</v>
      </c>
      <c r="AN6028">
        <v>0.99999997962630405</v>
      </c>
    </row>
    <row r="6029" spans="1:40" x14ac:dyDescent="0.25">
      <c r="A6029" t="str">
        <f>"20190312164146421"</f>
        <v>20190312164146421</v>
      </c>
      <c r="B6029" t="str">
        <f>"1552380106411669"</f>
        <v>1552380106411669</v>
      </c>
      <c r="C6029" t="s">
        <v>40</v>
      </c>
      <c r="D6029">
        <v>6.038564</v>
      </c>
      <c r="E6029">
        <v>0.47755599999999998</v>
      </c>
      <c r="F6029" t="s">
        <v>41</v>
      </c>
      <c r="G6029">
        <v>-270.57470000000001</v>
      </c>
      <c r="H6029" s="1">
        <v>-5.0697130000000005E-7</v>
      </c>
      <c r="I6029">
        <v>-65.358059999999995</v>
      </c>
      <c r="J6029">
        <v>-283.0059</v>
      </c>
      <c r="K6029">
        <v>1.128045</v>
      </c>
      <c r="L6029">
        <v>-66.066130000000001</v>
      </c>
      <c r="M6029">
        <v>0.97541339999999999</v>
      </c>
      <c r="N6029">
        <v>0</v>
      </c>
      <c r="O6029">
        <v>-0.2195899</v>
      </c>
      <c r="P6029">
        <v>0.99179759999999995</v>
      </c>
      <c r="Q6029">
        <v>0.1268232</v>
      </c>
      <c r="R6029">
        <v>-1.592317E-2</v>
      </c>
      <c r="S6029">
        <v>3.064972</v>
      </c>
      <c r="T6029">
        <v>-0.27032689999999998</v>
      </c>
      <c r="U6029">
        <v>0.1502686</v>
      </c>
      <c r="V6029">
        <v>-0.2086083</v>
      </c>
      <c r="W6029">
        <v>0.1357025</v>
      </c>
      <c r="X6029">
        <v>0.96853880000000003</v>
      </c>
      <c r="Y6029">
        <v>-0.26526559999999999</v>
      </c>
      <c r="Z6029">
        <v>3.0896679999999999E-2</v>
      </c>
      <c r="AA6029">
        <v>0.96368019999999999</v>
      </c>
      <c r="AB6029">
        <v>39</v>
      </c>
      <c r="AC6029">
        <v>12.431199999999899</v>
      </c>
      <c r="AD6029">
        <v>-1.1280455069713</v>
      </c>
      <c r="AE6029">
        <v>0.70807000000000597</v>
      </c>
      <c r="AF6029">
        <v>-3.3931738240142599</v>
      </c>
      <c r="AG6029">
        <v>-1.1280455069713</v>
      </c>
      <c r="AH6029">
        <v>11.8746994790397</v>
      </c>
      <c r="AI6029">
        <v>95.2189053128794</v>
      </c>
      <c r="AJ6029">
        <v>105.94719158526399</v>
      </c>
      <c r="AK6029">
        <v>12.4013952030922</v>
      </c>
      <c r="AL6029">
        <v>82.200755983050101</v>
      </c>
      <c r="AM6029">
        <v>102.15493847911701</v>
      </c>
      <c r="AN6029">
        <v>0.99999999922029004</v>
      </c>
    </row>
    <row r="6030" spans="1:40" x14ac:dyDescent="0.25">
      <c r="A6030" t="str">
        <f>"20190312164146431"</f>
        <v>20190312164146431</v>
      </c>
      <c r="B6030" t="str">
        <f>"1552380106422405"</f>
        <v>1552380106422405</v>
      </c>
      <c r="C6030" t="s">
        <v>40</v>
      </c>
      <c r="D6030">
        <v>5.9653400000000003</v>
      </c>
      <c r="E6030">
        <v>0.4775508</v>
      </c>
      <c r="F6030" t="s">
        <v>41</v>
      </c>
      <c r="G6030">
        <v>-270.14060000000001</v>
      </c>
      <c r="H6030" s="1">
        <v>-3.0237119999999999E-7</v>
      </c>
      <c r="I6030">
        <v>-65.275540000000007</v>
      </c>
      <c r="J6030">
        <v>-282.83100000000002</v>
      </c>
      <c r="K6030">
        <v>1.1280460000000001</v>
      </c>
      <c r="L6030">
        <v>-66.103179999999995</v>
      </c>
      <c r="M6030">
        <v>0.97720019999999996</v>
      </c>
      <c r="N6030">
        <v>0</v>
      </c>
      <c r="O6030">
        <v>-0.21149570000000001</v>
      </c>
      <c r="P6030">
        <v>0.99181520000000001</v>
      </c>
      <c r="Q6030">
        <v>0.1272645</v>
      </c>
      <c r="R6030">
        <v>-1.031528E-2</v>
      </c>
      <c r="S6030">
        <v>3.0621339999999999</v>
      </c>
      <c r="T6030">
        <v>-0.26849079999999997</v>
      </c>
      <c r="U6030">
        <v>0.18817139999999999</v>
      </c>
      <c r="V6030">
        <v>-0.20605780000000001</v>
      </c>
      <c r="W6030">
        <v>0.136269899999999</v>
      </c>
      <c r="X6030">
        <v>0.96900500000000001</v>
      </c>
      <c r="Y6030">
        <v>-0.26924740000000003</v>
      </c>
      <c r="Z6030">
        <v>3.018885E-2</v>
      </c>
      <c r="AA6030">
        <v>0.96259779999999995</v>
      </c>
      <c r="AB6030">
        <v>39</v>
      </c>
      <c r="AC6030">
        <v>12.690399999999901</v>
      </c>
      <c r="AD6030">
        <v>-1.1280463023712</v>
      </c>
      <c r="AE6030">
        <v>0.82764000000000204</v>
      </c>
      <c r="AF6030">
        <v>-3.46607444078353</v>
      </c>
      <c r="AG6030">
        <v>-1.1280463023712</v>
      </c>
      <c r="AH6030">
        <v>12.1326961007333</v>
      </c>
      <c r="AI6030">
        <v>95.108615517110707</v>
      </c>
      <c r="AJ6030">
        <v>105.943605121489</v>
      </c>
      <c r="AK6030">
        <v>12.668404602083699</v>
      </c>
      <c r="AL6030">
        <v>82.167941512070499</v>
      </c>
      <c r="AM6030">
        <v>102.005059125177</v>
      </c>
      <c r="AN6030">
        <v>0.99999999630592495</v>
      </c>
    </row>
    <row r="6031" spans="1:40" x14ac:dyDescent="0.25">
      <c r="A6031" t="str">
        <f>"20190312164146443"</f>
        <v>20190312164146443</v>
      </c>
      <c r="B6031" t="str">
        <f>"1552380106432165"</f>
        <v>1552380106432165</v>
      </c>
      <c r="C6031" t="s">
        <v>40</v>
      </c>
      <c r="D6031">
        <v>6.0404470000000003</v>
      </c>
      <c r="E6031">
        <v>0.47771400000000003</v>
      </c>
      <c r="F6031" t="s">
        <v>55</v>
      </c>
      <c r="G6031">
        <v>-269.94189999999998</v>
      </c>
      <c r="H6031" s="1">
        <v>-4.1316189999999999E-6</v>
      </c>
      <c r="I6031">
        <v>-65.231440000000006</v>
      </c>
      <c r="J6031">
        <v>-282.64710000000002</v>
      </c>
      <c r="K6031">
        <v>1.128045</v>
      </c>
      <c r="L6031">
        <v>-66.140749999999997</v>
      </c>
      <c r="M6031">
        <v>0.97900640000000005</v>
      </c>
      <c r="N6031">
        <v>0</v>
      </c>
      <c r="O6031">
        <v>-0.2029715</v>
      </c>
      <c r="P6031">
        <v>0.99175860000000005</v>
      </c>
      <c r="Q6031">
        <v>0.12803</v>
      </c>
      <c r="R6031">
        <v>-4.8591199999999998E-3</v>
      </c>
      <c r="S6031">
        <v>3.0612789999999999</v>
      </c>
      <c r="T6031">
        <v>-0.26792280000000002</v>
      </c>
      <c r="U6031">
        <v>0.2070313</v>
      </c>
      <c r="V6031">
        <v>-0.20295350000000001</v>
      </c>
      <c r="W6031">
        <v>0.13718720000000001</v>
      </c>
      <c r="X6031">
        <v>0.96953060000000002</v>
      </c>
      <c r="Y6031">
        <v>-0.26682830000000002</v>
      </c>
      <c r="Z6031">
        <v>2.9291080000000001E-2</v>
      </c>
      <c r="AA6031">
        <v>0.96329889999999996</v>
      </c>
      <c r="AB6031">
        <v>39</v>
      </c>
      <c r="AC6031">
        <v>12.7052</v>
      </c>
      <c r="AD6031">
        <v>-1.128049131619</v>
      </c>
      <c r="AE6031">
        <v>0.90930999999998996</v>
      </c>
      <c r="AF6031">
        <v>-3.4426194188263199</v>
      </c>
      <c r="AG6031">
        <v>-1.128049131619</v>
      </c>
      <c r="AH6031">
        <v>12.1606728224512</v>
      </c>
      <c r="AI6031">
        <v>95.100388202200193</v>
      </c>
      <c r="AJ6031">
        <v>105.806525153504</v>
      </c>
      <c r="AK6031">
        <v>12.6888173917402</v>
      </c>
      <c r="AL6031">
        <v>82.114885991130095</v>
      </c>
      <c r="AM6031">
        <v>101.82310136612899</v>
      </c>
      <c r="AN6031">
        <v>1.00000001767122</v>
      </c>
    </row>
    <row r="6032" spans="1:40" x14ac:dyDescent="0.25">
      <c r="A6032" t="str">
        <f>"20190312164146453"</f>
        <v>20190312164146453</v>
      </c>
      <c r="B6032" t="str">
        <f>"1552380106441925"</f>
        <v>1552380106441925</v>
      </c>
      <c r="C6032" t="s">
        <v>40</v>
      </c>
      <c r="D6032">
        <v>6.0398059999999996</v>
      </c>
      <c r="E6032">
        <v>0.4778829</v>
      </c>
      <c r="F6032" t="s">
        <v>41</v>
      </c>
      <c r="G6032">
        <v>-269.54520000000002</v>
      </c>
      <c r="H6032" s="1">
        <v>-3.9884550000000003E-6</v>
      </c>
      <c r="I6032">
        <v>-65.185400000000001</v>
      </c>
      <c r="J6032">
        <v>-282.46339999999998</v>
      </c>
      <c r="K6032">
        <v>1.1280479999999999</v>
      </c>
      <c r="L6032">
        <v>-66.176569999999998</v>
      </c>
      <c r="M6032">
        <v>0.98073779999999999</v>
      </c>
      <c r="N6032">
        <v>0</v>
      </c>
      <c r="O6032">
        <v>-0.19443279999999999</v>
      </c>
      <c r="P6032">
        <v>0.9917243</v>
      </c>
      <c r="Q6032">
        <v>0.12838559999999999</v>
      </c>
      <c r="R6032">
        <v>6.6603349999999996E-4</v>
      </c>
      <c r="S6032">
        <v>3.0600589999999999</v>
      </c>
      <c r="T6032">
        <v>-0.26346419999999998</v>
      </c>
      <c r="U6032">
        <v>0.22311400000000001</v>
      </c>
      <c r="V6032">
        <v>-0.199908</v>
      </c>
      <c r="W6032">
        <v>0.1376907</v>
      </c>
      <c r="X6032">
        <v>0.97009179999999995</v>
      </c>
      <c r="Y6032">
        <v>-0.26359749999999998</v>
      </c>
      <c r="Z6032">
        <v>2.7950920000000001E-2</v>
      </c>
      <c r="AA6032">
        <v>0.96422770000000002</v>
      </c>
      <c r="AB6032">
        <v>39</v>
      </c>
      <c r="AC6032">
        <v>12.918199999999899</v>
      </c>
      <c r="AD6032">
        <v>-1.128051988455</v>
      </c>
      <c r="AE6032">
        <v>0.991169999999996</v>
      </c>
      <c r="AF6032">
        <v>-3.4581929416332899</v>
      </c>
      <c r="AG6032">
        <v>-1.128051988455</v>
      </c>
      <c r="AH6032">
        <v>12.3849447928496</v>
      </c>
      <c r="AI6032">
        <v>95.013540737183305</v>
      </c>
      <c r="AJ6032">
        <v>105.601091039208</v>
      </c>
      <c r="AK6032">
        <v>12.908077208947599</v>
      </c>
      <c r="AL6032">
        <v>82.085761188468894</v>
      </c>
      <c r="AM6032">
        <v>101.644014819464</v>
      </c>
      <c r="AN6032">
        <v>1.00000001887886</v>
      </c>
    </row>
    <row r="6033" spans="1:40" x14ac:dyDescent="0.25">
      <c r="A6033" t="str">
        <f>"20190312164146466"</f>
        <v>20190312164146466</v>
      </c>
      <c r="B6033" t="str">
        <f>"1552380106461952"</f>
        <v>1552380106461952</v>
      </c>
      <c r="C6033" t="s">
        <v>40</v>
      </c>
      <c r="D6033">
        <v>6.0676420000000002</v>
      </c>
      <c r="E6033">
        <v>0.47829260000000001</v>
      </c>
      <c r="F6033" t="s">
        <v>55</v>
      </c>
      <c r="G6033">
        <v>-269.21530000000001</v>
      </c>
      <c r="H6033" s="1">
        <v>-3.8684000000000001E-6</v>
      </c>
      <c r="I6033">
        <v>-65.141369999999995</v>
      </c>
      <c r="J6033">
        <v>-282.27019999999999</v>
      </c>
      <c r="K6033">
        <v>1.1280460000000001</v>
      </c>
      <c r="L6033">
        <v>-66.212100000000007</v>
      </c>
      <c r="M6033">
        <v>0.98248049999999998</v>
      </c>
      <c r="N6033">
        <v>0</v>
      </c>
      <c r="O6033">
        <v>-0.18542510000000001</v>
      </c>
      <c r="P6033">
        <v>0.99166299999999996</v>
      </c>
      <c r="Q6033">
        <v>0.12869159999999999</v>
      </c>
      <c r="R6033">
        <v>6.5463209999999999E-3</v>
      </c>
      <c r="S6033">
        <v>3.0585629999999999</v>
      </c>
      <c r="T6033">
        <v>-0.26043149999999998</v>
      </c>
      <c r="U6033">
        <v>0.23898320000000001</v>
      </c>
      <c r="V6033">
        <v>-0.19675889999999999</v>
      </c>
      <c r="W6033">
        <v>0.13814979999999999</v>
      </c>
      <c r="X6033">
        <v>0.97067020000000004</v>
      </c>
      <c r="Y6033">
        <v>-0.2598394</v>
      </c>
      <c r="Z6033">
        <v>2.6724319999999999E-2</v>
      </c>
      <c r="AA6033">
        <v>0.96528199999999997</v>
      </c>
      <c r="AB6033">
        <v>39</v>
      </c>
      <c r="AC6033">
        <v>13.0548999999999</v>
      </c>
      <c r="AD6033">
        <v>-1.1280498684</v>
      </c>
      <c r="AE6033">
        <v>1.07073000000001</v>
      </c>
      <c r="AF6033">
        <v>-3.4477147577965899</v>
      </c>
      <c r="AG6033">
        <v>-1.1280498684</v>
      </c>
      <c r="AH6033">
        <v>12.536872880348</v>
      </c>
      <c r="AI6033">
        <v>94.9584337112111</v>
      </c>
      <c r="AJ6033">
        <v>105.376568704969</v>
      </c>
      <c r="AK6033">
        <v>13.0511461249475</v>
      </c>
      <c r="AL6033">
        <v>82.059203013024899</v>
      </c>
      <c r="AM6033">
        <v>101.45883325461099</v>
      </c>
      <c r="AN6033">
        <v>1.00000003456864</v>
      </c>
    </row>
    <row r="6034" spans="1:40" x14ac:dyDescent="0.25">
      <c r="A6034" t="str">
        <f>"20190312164146477"</f>
        <v>20190312164146477</v>
      </c>
      <c r="B6034" t="str">
        <f>"1552380106471712"</f>
        <v>1552380106471712</v>
      </c>
      <c r="C6034" t="s">
        <v>40</v>
      </c>
      <c r="D6034">
        <v>5.8863409999999998</v>
      </c>
      <c r="E6034">
        <v>0.47850330000000002</v>
      </c>
      <c r="F6034" t="s">
        <v>55</v>
      </c>
      <c r="G6034">
        <v>-268.8655</v>
      </c>
      <c r="H6034" s="1">
        <v>-3.7417640000000002E-6</v>
      </c>
      <c r="I6034">
        <v>-65.098519999999994</v>
      </c>
      <c r="J6034">
        <v>-282.077</v>
      </c>
      <c r="K6034">
        <v>1.1280460000000001</v>
      </c>
      <c r="L6034">
        <v>-66.246610000000004</v>
      </c>
      <c r="M6034">
        <v>0.98414179999999996</v>
      </c>
      <c r="N6034">
        <v>0</v>
      </c>
      <c r="O6034">
        <v>-0.17639649999999901</v>
      </c>
      <c r="P6034">
        <v>0.99156480000000002</v>
      </c>
      <c r="Q6034">
        <v>0.1290222</v>
      </c>
      <c r="R6034">
        <v>1.2359800000000001E-2</v>
      </c>
      <c r="S6034">
        <v>3.056915</v>
      </c>
      <c r="T6034">
        <v>-0.2572507</v>
      </c>
      <c r="U6034">
        <v>0.25393680000000002</v>
      </c>
      <c r="V6034">
        <v>-0.1935384</v>
      </c>
      <c r="W6034">
        <v>0.1386357</v>
      </c>
      <c r="X6034">
        <v>0.97124820000000001</v>
      </c>
      <c r="Y6034">
        <v>-0.25578970000000001</v>
      </c>
      <c r="Z6034">
        <v>2.5489459999999999E-2</v>
      </c>
      <c r="AA6034">
        <v>0.96639640000000004</v>
      </c>
      <c r="AB6034">
        <v>39</v>
      </c>
      <c r="AC6034">
        <v>13.211499999999999</v>
      </c>
      <c r="AD6034">
        <v>-1.1280497417640001</v>
      </c>
      <c r="AE6034">
        <v>1.14809000000001</v>
      </c>
      <c r="AF6034">
        <v>-3.43608729553485</v>
      </c>
      <c r="AG6034">
        <v>-1.1280497417640001</v>
      </c>
      <c r="AH6034">
        <v>12.709740867937301</v>
      </c>
      <c r="AI6034">
        <v>94.897076413703402</v>
      </c>
      <c r="AJ6034">
        <v>105.128301614498</v>
      </c>
      <c r="AK6034">
        <v>13.2142614266763</v>
      </c>
      <c r="AL6034">
        <v>82.031092364427806</v>
      </c>
      <c r="AM6034">
        <v>101.269583143627</v>
      </c>
      <c r="AN6034">
        <v>1.0000000177961399</v>
      </c>
    </row>
    <row r="6035" spans="1:40" x14ac:dyDescent="0.25">
      <c r="A6035" t="str">
        <f>"20190312164146489"</f>
        <v>20190312164146489</v>
      </c>
      <c r="B6035" t="str">
        <f>"1552380106482448"</f>
        <v>1552380106482448</v>
      </c>
      <c r="C6035" t="s">
        <v>40</v>
      </c>
      <c r="D6035">
        <v>5.9226489999999998</v>
      </c>
      <c r="E6035">
        <v>0.47871550000000002</v>
      </c>
      <c r="F6035" t="s">
        <v>55</v>
      </c>
      <c r="G6035">
        <v>-268.46559999999999</v>
      </c>
      <c r="H6035" s="1">
        <v>-3.5954330000000002E-6</v>
      </c>
      <c r="I6035">
        <v>-65.040940000000006</v>
      </c>
      <c r="J6035">
        <v>-281.8843</v>
      </c>
      <c r="K6035">
        <v>1.1280490000000001</v>
      </c>
      <c r="L6035">
        <v>-66.277950000000004</v>
      </c>
      <c r="M6035">
        <v>0.98571869999999995</v>
      </c>
      <c r="N6035">
        <v>0</v>
      </c>
      <c r="O6035">
        <v>-0.16735999999999901</v>
      </c>
      <c r="P6035">
        <v>0.99152410000000002</v>
      </c>
      <c r="Q6035">
        <v>0.12866939999999999</v>
      </c>
      <c r="R6035">
        <v>1.8003310000000002E-2</v>
      </c>
      <c r="S6035">
        <v>3.0550839999999999</v>
      </c>
      <c r="T6035">
        <v>-0.25319029999999998</v>
      </c>
      <c r="U6035">
        <v>0.27059939999999999</v>
      </c>
      <c r="V6035">
        <v>-0.19014159999999999</v>
      </c>
      <c r="W6035">
        <v>0.13844679999999901</v>
      </c>
      <c r="X6035">
        <v>0.97194579999999997</v>
      </c>
      <c r="Y6035">
        <v>-0.25229089999999998</v>
      </c>
      <c r="Z6035">
        <v>2.4214309999999999E-2</v>
      </c>
      <c r="AA6035">
        <v>0.96734849999999994</v>
      </c>
      <c r="AB6035">
        <v>39</v>
      </c>
      <c r="AC6035">
        <v>13.418699999999999</v>
      </c>
      <c r="AD6035">
        <v>-1.1280525954330001</v>
      </c>
      <c r="AE6035">
        <v>1.23700999999999</v>
      </c>
      <c r="AF6035">
        <v>-3.4415859248408598</v>
      </c>
      <c r="AG6035">
        <v>-1.1280525954330001</v>
      </c>
      <c r="AH6035">
        <v>12.9316931538003</v>
      </c>
      <c r="AI6035">
        <v>94.818491871495496</v>
      </c>
      <c r="AJ6035">
        <v>104.90301396318</v>
      </c>
      <c r="AK6035">
        <v>13.4292853182949</v>
      </c>
      <c r="AL6035">
        <v>82.042020712629196</v>
      </c>
      <c r="AM6035">
        <v>101.06897003587601</v>
      </c>
      <c r="AN6035">
        <v>0.99999999130922002</v>
      </c>
    </row>
    <row r="6036" spans="1:40" x14ac:dyDescent="0.25">
      <c r="A6036" t="str">
        <f>"20190312164146500"</f>
        <v>20190312164146500</v>
      </c>
      <c r="B6036" t="str">
        <f>"1552380106492209"</f>
        <v>1552380106492209</v>
      </c>
      <c r="C6036" t="s">
        <v>40</v>
      </c>
      <c r="D6036">
        <v>6.043183</v>
      </c>
      <c r="E6036">
        <v>0.47893380000000002</v>
      </c>
      <c r="F6036" t="s">
        <v>55</v>
      </c>
      <c r="G6036">
        <v>-268.25130000000001</v>
      </c>
      <c r="H6036" s="1">
        <v>-3.514693E-6</v>
      </c>
      <c r="I6036">
        <v>-64.996859999999998</v>
      </c>
      <c r="J6036">
        <v>-281.68509999999998</v>
      </c>
      <c r="K6036">
        <v>1.1280559999999999</v>
      </c>
      <c r="L6036">
        <v>-66.309389999999993</v>
      </c>
      <c r="M6036">
        <v>0.98726250000000004</v>
      </c>
      <c r="N6036">
        <v>0</v>
      </c>
      <c r="O6036">
        <v>-0.15799839999999901</v>
      </c>
      <c r="P6036">
        <v>0.9914539</v>
      </c>
      <c r="Q6036">
        <v>0.12822169999999999</v>
      </c>
      <c r="R6036">
        <v>2.4045649999999998E-2</v>
      </c>
      <c r="S6036">
        <v>3.053223</v>
      </c>
      <c r="T6036">
        <v>-0.25263629999999998</v>
      </c>
      <c r="U6036">
        <v>0.28689579999999998</v>
      </c>
      <c r="V6036">
        <v>-0.18682499999999999</v>
      </c>
      <c r="W6036">
        <v>0.1381587</v>
      </c>
      <c r="X6036">
        <v>0.97262969999999904</v>
      </c>
      <c r="Y6036">
        <v>-0.24833189999999999</v>
      </c>
      <c r="Z6036">
        <v>2.3241870000000001E-2</v>
      </c>
      <c r="AA6036">
        <v>0.96839609999999998</v>
      </c>
      <c r="AB6036">
        <v>38</v>
      </c>
      <c r="AC6036">
        <v>13.4337999999999</v>
      </c>
      <c r="AD6036">
        <v>-1.1280595146929999</v>
      </c>
      <c r="AE6036">
        <v>1.31253</v>
      </c>
      <c r="AF6036">
        <v>-3.39521352416677</v>
      </c>
      <c r="AG6036">
        <v>-1.1280595146929999</v>
      </c>
      <c r="AH6036">
        <v>12.9670206243304</v>
      </c>
      <c r="AI6036">
        <v>94.810534920501794</v>
      </c>
      <c r="AJ6036">
        <v>104.672626448264</v>
      </c>
      <c r="AK6036">
        <v>13.4515284267322</v>
      </c>
      <c r="AL6036">
        <v>82.058687628639504</v>
      </c>
      <c r="AM6036">
        <v>100.87307591425299</v>
      </c>
      <c r="AN6036">
        <v>0.99999997016638897</v>
      </c>
    </row>
    <row r="6037" spans="1:40" x14ac:dyDescent="0.25">
      <c r="A6037" t="str">
        <f>"20190312164146510"</f>
        <v>20190312164146510</v>
      </c>
      <c r="B6037" t="str">
        <f>"1552380106501968"</f>
        <v>1552380106501968</v>
      </c>
      <c r="C6037" t="s">
        <v>40</v>
      </c>
      <c r="D6037">
        <v>6.0465479999999996</v>
      </c>
      <c r="E6037">
        <v>0.47917900000000002</v>
      </c>
      <c r="F6037" t="s">
        <v>41</v>
      </c>
      <c r="G6037">
        <v>-268.05430000000001</v>
      </c>
      <c r="H6037" s="1">
        <v>-3.4389799999999999E-6</v>
      </c>
      <c r="I6037">
        <v>-64.947869999999995</v>
      </c>
      <c r="J6037">
        <v>-281.52159999999998</v>
      </c>
      <c r="K6037">
        <v>1.128058</v>
      </c>
      <c r="L6037">
        <v>-66.333159999999907</v>
      </c>
      <c r="M6037">
        <v>0.98846500000000004</v>
      </c>
      <c r="N6037">
        <v>0</v>
      </c>
      <c r="O6037">
        <v>-0.150292799999999</v>
      </c>
      <c r="P6037">
        <v>0.99145459999999996</v>
      </c>
      <c r="Q6037">
        <v>0.12741920000000001</v>
      </c>
      <c r="R6037">
        <v>2.797231E-2</v>
      </c>
      <c r="S6037">
        <v>3.0511170000000001</v>
      </c>
      <c r="T6037">
        <v>-0.25250519999999999</v>
      </c>
      <c r="U6037">
        <v>0.30474849999999998</v>
      </c>
      <c r="V6037">
        <v>-0.18306349999999999</v>
      </c>
      <c r="W6037">
        <v>0.1375372</v>
      </c>
      <c r="X6037">
        <v>0.97343270000000004</v>
      </c>
      <c r="Y6037">
        <v>-0.2464866</v>
      </c>
      <c r="Z6037">
        <v>2.2532900000000002E-2</v>
      </c>
      <c r="AA6037">
        <v>0.96888419999999997</v>
      </c>
      <c r="AB6037">
        <v>38</v>
      </c>
      <c r="AC6037">
        <v>13.4672999999999</v>
      </c>
      <c r="AD6037">
        <v>-1.1280614389799899</v>
      </c>
      <c r="AE6037">
        <v>1.3852899999999899</v>
      </c>
      <c r="AF6037">
        <v>-3.37054031194794</v>
      </c>
      <c r="AG6037">
        <v>-1.1280614389799899</v>
      </c>
      <c r="AH6037">
        <v>13.0156779212424</v>
      </c>
      <c r="AI6037">
        <v>94.795988502374698</v>
      </c>
      <c r="AJ6037">
        <v>104.51838900289199</v>
      </c>
      <c r="AK6037">
        <v>13.492254680152501</v>
      </c>
      <c r="AL6037">
        <v>82.094640211744604</v>
      </c>
      <c r="AM6037">
        <v>100.650633650336</v>
      </c>
      <c r="AN6037">
        <v>0.99999997392268902</v>
      </c>
    </row>
    <row r="6038" spans="1:40" x14ac:dyDescent="0.25">
      <c r="A6038" t="str">
        <f>"20190312164146521"</f>
        <v>20190312164146521</v>
      </c>
      <c r="B6038" t="str">
        <f>"1552380106511728"</f>
        <v>1552380106511728</v>
      </c>
      <c r="C6038" t="s">
        <v>40</v>
      </c>
      <c r="D6038">
        <v>6.0465439999999999</v>
      </c>
      <c r="E6038">
        <v>0.47939880000000001</v>
      </c>
      <c r="F6038" t="s">
        <v>55</v>
      </c>
      <c r="G6038">
        <v>-267.92469999999997</v>
      </c>
      <c r="H6038" s="1">
        <v>-3.3907130000000001E-6</v>
      </c>
      <c r="I6038">
        <v>-64.924350000000004</v>
      </c>
      <c r="J6038">
        <v>-281.34399999999999</v>
      </c>
      <c r="K6038">
        <v>1.1280600000000001</v>
      </c>
      <c r="L6038">
        <v>-66.358029999999999</v>
      </c>
      <c r="M6038">
        <v>0.98970409999999998</v>
      </c>
      <c r="N6038">
        <v>0</v>
      </c>
      <c r="O6038">
        <v>-0.14190369999999999</v>
      </c>
      <c r="P6038">
        <v>0.9913651</v>
      </c>
      <c r="Q6038">
        <v>0.12709389999999901</v>
      </c>
      <c r="R6038">
        <v>3.2286479999999999E-2</v>
      </c>
      <c r="S6038">
        <v>3.0494379999999999</v>
      </c>
      <c r="T6038">
        <v>-0.25299660000000002</v>
      </c>
      <c r="U6038">
        <v>0.31594850000000002</v>
      </c>
      <c r="V6038">
        <v>-0.17902750000000001</v>
      </c>
      <c r="W6038">
        <v>0.137405</v>
      </c>
      <c r="X6038">
        <v>0.97420169999999995</v>
      </c>
      <c r="Y6038">
        <v>-0.2418796</v>
      </c>
      <c r="Z6038">
        <v>2.17053E-2</v>
      </c>
      <c r="AA6038">
        <v>0.97006349999999997</v>
      </c>
      <c r="AB6038">
        <v>38</v>
      </c>
      <c r="AC6038">
        <v>13.4193</v>
      </c>
      <c r="AD6038">
        <v>-1.128063390713</v>
      </c>
      <c r="AE6038">
        <v>1.4336799999999901</v>
      </c>
      <c r="AF6038">
        <v>-3.3006863315165802</v>
      </c>
      <c r="AG6038">
        <v>-1.128063390713</v>
      </c>
      <c r="AH6038">
        <v>12.9892221820351</v>
      </c>
      <c r="AI6038">
        <v>94.811306711285397</v>
      </c>
      <c r="AJ6038">
        <v>104.257641422464</v>
      </c>
      <c r="AK6038">
        <v>13.4494219268637</v>
      </c>
      <c r="AL6038">
        <v>82.102287254604306</v>
      </c>
      <c r="AM6038">
        <v>100.412973542065</v>
      </c>
      <c r="AN6038">
        <v>0.99999996603206898</v>
      </c>
    </row>
    <row r="6039" spans="1:40" x14ac:dyDescent="0.25">
      <c r="A6039" t="str">
        <f>"20190312164146533"</f>
        <v>20190312164146533</v>
      </c>
      <c r="B6039" t="str">
        <f>"1552380106522465"</f>
        <v>1552380106522465</v>
      </c>
      <c r="C6039" t="s">
        <v>40</v>
      </c>
      <c r="D6039">
        <v>6.0502200000000004</v>
      </c>
      <c r="E6039">
        <v>0.47966750000000002</v>
      </c>
      <c r="F6039" t="s">
        <v>55</v>
      </c>
      <c r="G6039">
        <v>-267.72449999999998</v>
      </c>
      <c r="H6039" s="1">
        <v>-3.3158889999999998E-6</v>
      </c>
      <c r="I6039">
        <v>-64.886780000000002</v>
      </c>
      <c r="J6039">
        <v>-281.15539999999999</v>
      </c>
      <c r="K6039">
        <v>1.1280619999999999</v>
      </c>
      <c r="L6039">
        <v>-66.382319999999893</v>
      </c>
      <c r="M6039">
        <v>0.99094360000000004</v>
      </c>
      <c r="N6039">
        <v>0</v>
      </c>
      <c r="O6039">
        <v>-0.1329729</v>
      </c>
      <c r="P6039">
        <v>0.9912223</v>
      </c>
      <c r="Q6039">
        <v>0.12689310000000001</v>
      </c>
      <c r="R6039">
        <v>3.7101559999999999E-2</v>
      </c>
      <c r="S6039">
        <v>3.0477910000000001</v>
      </c>
      <c r="T6039">
        <v>-0.25243910000000003</v>
      </c>
      <c r="U6039">
        <v>0.32922360000000001</v>
      </c>
      <c r="V6039">
        <v>-0.17496139999999999</v>
      </c>
      <c r="W6039">
        <v>0.1373974</v>
      </c>
      <c r="X6039">
        <v>0.97494130000000001</v>
      </c>
      <c r="Y6039">
        <v>-0.23741229999999999</v>
      </c>
      <c r="Z6039">
        <v>2.0747209999999999E-2</v>
      </c>
      <c r="AA6039">
        <v>0.97118740000000003</v>
      </c>
      <c r="AB6039">
        <v>38</v>
      </c>
      <c r="AC6039">
        <v>13.430899999999999</v>
      </c>
      <c r="AD6039">
        <v>-1.1280653158889999</v>
      </c>
      <c r="AE6039">
        <v>1.4955399999999901</v>
      </c>
      <c r="AF6039">
        <v>-3.24589459072619</v>
      </c>
      <c r="AG6039">
        <v>-1.1280653158889999</v>
      </c>
      <c r="AH6039">
        <v>13.0219497844235</v>
      </c>
      <c r="AI6039">
        <v>94.804761856162102</v>
      </c>
      <c r="AJ6039">
        <v>103.99651143475801</v>
      </c>
      <c r="AK6039">
        <v>13.4677221251058</v>
      </c>
      <c r="AL6039">
        <v>82.102727441946797</v>
      </c>
      <c r="AM6039">
        <v>100.173913025966</v>
      </c>
      <c r="AN6039">
        <v>1.0000000377311999</v>
      </c>
    </row>
    <row r="6040" spans="1:40" x14ac:dyDescent="0.25">
      <c r="A6040" t="str">
        <f>"20190312164146543"</f>
        <v>20190312164146543</v>
      </c>
      <c r="B6040" t="str">
        <f>"1552380106532226"</f>
        <v>1552380106532226</v>
      </c>
      <c r="C6040" t="s">
        <v>40</v>
      </c>
      <c r="D6040">
        <v>6.0527579999999999</v>
      </c>
      <c r="E6040">
        <v>0.47991109999999998</v>
      </c>
      <c r="F6040" t="s">
        <v>41</v>
      </c>
      <c r="G6040">
        <v>-267.51490000000001</v>
      </c>
      <c r="H6040" s="1">
        <v>-3.2373809999999998E-6</v>
      </c>
      <c r="I6040">
        <v>-64.846170000000001</v>
      </c>
      <c r="J6040">
        <v>-280.97199999999998</v>
      </c>
      <c r="K6040">
        <v>1.128064</v>
      </c>
      <c r="L6040">
        <v>-66.404330000000002</v>
      </c>
      <c r="M6040">
        <v>0.99207299999999998</v>
      </c>
      <c r="N6040">
        <v>0</v>
      </c>
      <c r="O6040">
        <v>-0.1242674</v>
      </c>
      <c r="P6040">
        <v>0.99106570000000005</v>
      </c>
      <c r="Q6040">
        <v>0.12684469999999901</v>
      </c>
      <c r="R6040">
        <v>4.122162E-2</v>
      </c>
      <c r="S6040">
        <v>3.0459900000000002</v>
      </c>
      <c r="T6040">
        <v>-0.2519035</v>
      </c>
      <c r="U6040">
        <v>0.34301759999999998</v>
      </c>
      <c r="V6040">
        <v>-0.1704447</v>
      </c>
      <c r="W6040">
        <v>0.1375632</v>
      </c>
      <c r="X6040">
        <v>0.97571770000000002</v>
      </c>
      <c r="Y6040">
        <v>-0.23333799999999999</v>
      </c>
      <c r="Z6040">
        <v>1.9828869999999998E-2</v>
      </c>
      <c r="AA6040">
        <v>0.97219350000000004</v>
      </c>
      <c r="AB6040">
        <v>38</v>
      </c>
      <c r="AC6040">
        <v>13.457099999999899</v>
      </c>
      <c r="AD6040">
        <v>-1.1280672373809999</v>
      </c>
      <c r="AE6040">
        <v>1.55816</v>
      </c>
      <c r="AF6040">
        <v>-3.1964842449567898</v>
      </c>
      <c r="AG6040">
        <v>-1.1280672373809999</v>
      </c>
      <c r="AH6040">
        <v>13.068475377928101</v>
      </c>
      <c r="AI6040">
        <v>94.792924414211598</v>
      </c>
      <c r="AJ6040">
        <v>103.744409950847</v>
      </c>
      <c r="AK6040">
        <v>13.5009294466649</v>
      </c>
      <c r="AL6040">
        <v>82.093136671362799</v>
      </c>
      <c r="AM6040">
        <v>99.908815529807498</v>
      </c>
      <c r="AN6040">
        <v>1.0000000299228</v>
      </c>
    </row>
    <row r="6041" spans="1:40" x14ac:dyDescent="0.25">
      <c r="A6041" t="str">
        <f>"20190312164146555"</f>
        <v>20190312164146555</v>
      </c>
      <c r="B6041" t="str">
        <f>"1552380106551744"</f>
        <v>1552380106551744</v>
      </c>
      <c r="C6041" t="s">
        <v>40</v>
      </c>
      <c r="D6041">
        <v>6.0391560000000002</v>
      </c>
      <c r="E6041">
        <v>0.48044619999999999</v>
      </c>
      <c r="F6041" t="s">
        <v>41</v>
      </c>
      <c r="G6041">
        <v>-267.28289999999998</v>
      </c>
      <c r="H6041" s="1">
        <v>-3.1519880000000002E-6</v>
      </c>
      <c r="I6041">
        <v>-64.809880000000007</v>
      </c>
      <c r="J6041">
        <v>-280.7801</v>
      </c>
      <c r="K6041">
        <v>1.1280650000000001</v>
      </c>
      <c r="L6041">
        <v>-66.425929999999994</v>
      </c>
      <c r="M6041">
        <v>0.99317449999999996</v>
      </c>
      <c r="N6041">
        <v>0</v>
      </c>
      <c r="O6041">
        <v>-0.1151341</v>
      </c>
      <c r="P6041">
        <v>0.99087519999999996</v>
      </c>
      <c r="Q6041">
        <v>0.12693779999999999</v>
      </c>
      <c r="R6041">
        <v>4.5313350000000002E-2</v>
      </c>
      <c r="S6041">
        <v>3.044403</v>
      </c>
      <c r="T6041">
        <v>-0.25087759999999998</v>
      </c>
      <c r="U6041">
        <v>0.3545837</v>
      </c>
      <c r="V6041">
        <v>-0.16548929999999901</v>
      </c>
      <c r="W6041">
        <v>0.1378905</v>
      </c>
      <c r="X6041">
        <v>0.97652419999999995</v>
      </c>
      <c r="Y6041">
        <v>-0.2281493</v>
      </c>
      <c r="Z6041">
        <v>1.8794720000000001E-2</v>
      </c>
      <c r="AA6041">
        <v>0.9734448</v>
      </c>
      <c r="AB6041">
        <v>38</v>
      </c>
      <c r="AC6041">
        <v>13.497199999999999</v>
      </c>
      <c r="AD6041">
        <v>-1.12806815198799</v>
      </c>
      <c r="AE6041">
        <v>1.61605</v>
      </c>
      <c r="AF6041">
        <v>-3.13794867489431</v>
      </c>
      <c r="AG6041">
        <v>-1.12806815198799</v>
      </c>
      <c r="AH6041">
        <v>13.1308902547946</v>
      </c>
      <c r="AI6041">
        <v>94.776351544785001</v>
      </c>
      <c r="AJ6041">
        <v>103.440166674884</v>
      </c>
      <c r="AK6041">
        <v>13.547676499136699</v>
      </c>
      <c r="AL6041">
        <v>82.074203140758001</v>
      </c>
      <c r="AM6041">
        <v>99.618400238843606</v>
      </c>
      <c r="AN6041">
        <v>1.0000000057951799</v>
      </c>
    </row>
    <row r="6042" spans="1:40" x14ac:dyDescent="0.25">
      <c r="A6042" t="str">
        <f>"20190312164146570"</f>
        <v>20190312164146570</v>
      </c>
      <c r="B6042" t="str">
        <f>"1552380106562011"</f>
        <v>1552380106562011</v>
      </c>
      <c r="C6042" t="s">
        <v>40</v>
      </c>
      <c r="D6042">
        <v>6.0642559999999897</v>
      </c>
      <c r="E6042">
        <v>0.48068860000000002</v>
      </c>
      <c r="F6042" t="s">
        <v>41</v>
      </c>
      <c r="G6042">
        <v>-266.9873</v>
      </c>
      <c r="H6042" s="1">
        <v>-3.0460519999999999E-6</v>
      </c>
      <c r="I6042">
        <v>-64.779750000000007</v>
      </c>
      <c r="J6042">
        <v>-280.53879999999998</v>
      </c>
      <c r="K6042">
        <v>1.1280709999999901</v>
      </c>
      <c r="L6042">
        <v>-66.449770000000001</v>
      </c>
      <c r="M6042">
        <v>0.99444310000000002</v>
      </c>
      <c r="N6042">
        <v>0</v>
      </c>
      <c r="O6042">
        <v>-0.1036083</v>
      </c>
      <c r="P6042">
        <v>0.99057609999999996</v>
      </c>
      <c r="Q6042">
        <v>0.12659089999999901</v>
      </c>
      <c r="R6042">
        <v>5.2286689999999997E-2</v>
      </c>
      <c r="S6042">
        <v>3.0429080000000002</v>
      </c>
      <c r="T6042">
        <v>-0.24886990000000001</v>
      </c>
      <c r="U6042">
        <v>0.36315920000000002</v>
      </c>
      <c r="V6042">
        <v>-0.1610182</v>
      </c>
      <c r="W6042">
        <v>0.1377526</v>
      </c>
      <c r="X6042">
        <v>0.97729080000000002</v>
      </c>
      <c r="Y6042">
        <v>-0.21969639999999999</v>
      </c>
      <c r="Z6042">
        <v>1.73706E-2</v>
      </c>
      <c r="AA6042">
        <v>0.97541359999999999</v>
      </c>
      <c r="AB6042">
        <v>38</v>
      </c>
      <c r="AC6042">
        <v>13.5514999999999</v>
      </c>
      <c r="AD6042">
        <v>-1.12807404605199</v>
      </c>
      <c r="AE6042">
        <v>1.6700199999999901</v>
      </c>
      <c r="AF6042">
        <v>-3.0445400596028498</v>
      </c>
      <c r="AG6042">
        <v>-1.12807404605199</v>
      </c>
      <c r="AH6042">
        <v>13.2152796492108</v>
      </c>
      <c r="AI6042">
        <v>94.755054851338201</v>
      </c>
      <c r="AJ6042">
        <v>102.973457496086</v>
      </c>
      <c r="AK6042">
        <v>13.6082839268861</v>
      </c>
      <c r="AL6042">
        <v>82.082180098513106</v>
      </c>
      <c r="AM6042">
        <v>99.355984788176997</v>
      </c>
      <c r="AN6042">
        <v>0.99999997365131899</v>
      </c>
    </row>
    <row r="6043" spans="1:40" x14ac:dyDescent="0.25">
      <c r="A6043" t="str">
        <f>"20190312164146581"</f>
        <v>20190312164146581</v>
      </c>
      <c r="B6043" t="str">
        <f>"1552380106571772"</f>
        <v>1552380106571772</v>
      </c>
      <c r="C6043" t="s">
        <v>40</v>
      </c>
      <c r="D6043">
        <v>6.0478230000000002</v>
      </c>
      <c r="E6043">
        <v>0.48094199999999998</v>
      </c>
      <c r="F6043" t="s">
        <v>41</v>
      </c>
      <c r="G6043">
        <v>-266.7722</v>
      </c>
      <c r="H6043" s="1">
        <v>-2.9612059999999999E-6</v>
      </c>
      <c r="I6043">
        <v>-64.714019999999906</v>
      </c>
      <c r="J6043">
        <v>-280.34429999999998</v>
      </c>
      <c r="K6043">
        <v>1.128074</v>
      </c>
      <c r="L6043">
        <v>-66.467410000000001</v>
      </c>
      <c r="M6043">
        <v>0.99536950000000002</v>
      </c>
      <c r="N6043">
        <v>0</v>
      </c>
      <c r="O6043">
        <v>-9.4294320000000001E-2</v>
      </c>
      <c r="P6043">
        <v>0.99040159999999999</v>
      </c>
      <c r="Q6043">
        <v>0.12610250000000001</v>
      </c>
      <c r="R6043">
        <v>5.6596540000000001E-2</v>
      </c>
      <c r="S6043">
        <v>3.0401310000000001</v>
      </c>
      <c r="T6043">
        <v>-0.24911810000000001</v>
      </c>
      <c r="U6043">
        <v>0.3833008</v>
      </c>
      <c r="V6043">
        <v>-0.15609700000000001</v>
      </c>
      <c r="W6043">
        <v>0.1374957</v>
      </c>
      <c r="X6043">
        <v>0.97812509999999997</v>
      </c>
      <c r="Y6043">
        <v>-0.21707270000000001</v>
      </c>
      <c r="Z6043">
        <v>1.6531830000000001E-2</v>
      </c>
      <c r="AA6043">
        <v>0.97601539999999998</v>
      </c>
      <c r="AB6043">
        <v>38</v>
      </c>
      <c r="AC6043">
        <v>13.572099999999899</v>
      </c>
      <c r="AD6043">
        <v>-1.128076961206</v>
      </c>
      <c r="AE6043">
        <v>1.75339000000001</v>
      </c>
      <c r="AF6043">
        <v>-3.0051493383942498</v>
      </c>
      <c r="AG6043">
        <v>-1.128076961206</v>
      </c>
      <c r="AH6043">
        <v>13.256166317738799</v>
      </c>
      <c r="AI6043">
        <v>94.744243018128699</v>
      </c>
      <c r="AJ6043">
        <v>102.772962204438</v>
      </c>
      <c r="AK6043">
        <v>13.639260449892699</v>
      </c>
      <c r="AL6043">
        <v>82.097041208325393</v>
      </c>
      <c r="AM6043">
        <v>99.067257181652195</v>
      </c>
      <c r="AN6043">
        <v>1.0000000260887401</v>
      </c>
    </row>
    <row r="6044" spans="1:40" x14ac:dyDescent="0.25">
      <c r="A6044" t="str">
        <f>"20190312164146592"</f>
        <v>20190312164146592</v>
      </c>
      <c r="B6044" t="str">
        <f>"1552380106582509"</f>
        <v>1552380106582509</v>
      </c>
      <c r="C6044" t="s">
        <v>40</v>
      </c>
      <c r="D6044">
        <v>6.1069389999999997</v>
      </c>
      <c r="E6044">
        <v>0.4811937</v>
      </c>
      <c r="F6044" t="s">
        <v>41</v>
      </c>
      <c r="G6044">
        <v>-266.60829999999999</v>
      </c>
      <c r="H6044" s="1">
        <v>-2.8989950000000002E-6</v>
      </c>
      <c r="I6044">
        <v>-64.677880000000002</v>
      </c>
      <c r="J6044">
        <v>-280.16860000000003</v>
      </c>
      <c r="K6044">
        <v>1.1280749999999999</v>
      </c>
      <c r="L6044">
        <v>-66.481380000000001</v>
      </c>
      <c r="M6044">
        <v>0.99613240000000003</v>
      </c>
      <c r="N6044">
        <v>0</v>
      </c>
      <c r="O6044">
        <v>-8.5860880000000001E-2</v>
      </c>
      <c r="P6044">
        <v>0.99024670000000004</v>
      </c>
      <c r="Q6044">
        <v>0.1256381</v>
      </c>
      <c r="R6044">
        <v>6.0222089999999999E-2</v>
      </c>
      <c r="S6044">
        <v>3.0382690000000001</v>
      </c>
      <c r="T6044">
        <v>-0.24951980000000001</v>
      </c>
      <c r="U6044">
        <v>0.39581300000000003</v>
      </c>
      <c r="V6044">
        <v>-0.15136949999999999</v>
      </c>
      <c r="W6044">
        <v>0.13725379999999901</v>
      </c>
      <c r="X6044">
        <v>0.97890169999999999</v>
      </c>
      <c r="Y6044">
        <v>-0.2128719</v>
      </c>
      <c r="Z6044">
        <v>1.570446E-2</v>
      </c>
      <c r="AA6044">
        <v>0.97695390000000004</v>
      </c>
      <c r="AB6044">
        <v>38</v>
      </c>
      <c r="AC6044">
        <v>13.5603</v>
      </c>
      <c r="AD6044">
        <v>-1.128077898995</v>
      </c>
      <c r="AE6044">
        <v>1.8035000000000001</v>
      </c>
      <c r="AF6044">
        <v>-2.9413377931471101</v>
      </c>
      <c r="AG6044">
        <v>-1.128077898995</v>
      </c>
      <c r="AH6044">
        <v>13.2651230145081</v>
      </c>
      <c r="AI6044">
        <v>94.746061691380504</v>
      </c>
      <c r="AJ6044">
        <v>102.502185341095</v>
      </c>
      <c r="AK6044">
        <v>13.6340572226182</v>
      </c>
      <c r="AL6044">
        <v>82.111032992479096</v>
      </c>
      <c r="AM6044">
        <v>98.790140089851207</v>
      </c>
      <c r="AN6044">
        <v>0.99999993470378701</v>
      </c>
    </row>
    <row r="6045" spans="1:40" x14ac:dyDescent="0.25">
      <c r="A6045" t="str">
        <f>"20190312164146602"</f>
        <v>20190312164146602</v>
      </c>
      <c r="B6045" t="str">
        <f>"1552380106592270"</f>
        <v>1552380106592270</v>
      </c>
      <c r="C6045" t="s">
        <v>40</v>
      </c>
      <c r="D6045">
        <v>6.7550309999999998</v>
      </c>
      <c r="E6045">
        <v>0.48144369999999997</v>
      </c>
      <c r="F6045" t="s">
        <v>41</v>
      </c>
      <c r="G6045">
        <v>-266.46570000000003</v>
      </c>
      <c r="H6045" s="1">
        <v>-2.8454209999999998E-6</v>
      </c>
      <c r="I6045">
        <v>-64.649469999999994</v>
      </c>
      <c r="J6045">
        <v>-280.00799999999998</v>
      </c>
      <c r="K6045">
        <v>1.1280760000000001</v>
      </c>
      <c r="L6045">
        <v>-66.493069999999904</v>
      </c>
      <c r="M6045">
        <v>0.9967684</v>
      </c>
      <c r="N6045">
        <v>0</v>
      </c>
      <c r="O6045">
        <v>-7.8134809999999999E-2</v>
      </c>
      <c r="P6045">
        <v>0.99011559999999998</v>
      </c>
      <c r="Q6045">
        <v>0.12536789999999901</v>
      </c>
      <c r="R6045">
        <v>6.288473E-2</v>
      </c>
      <c r="S6045">
        <v>3.0366209999999998</v>
      </c>
      <c r="T6045">
        <v>-0.24998590000000001</v>
      </c>
      <c r="U6045">
        <v>0.40594479999999999</v>
      </c>
      <c r="V6045">
        <v>-0.14639349999999901</v>
      </c>
      <c r="W6045">
        <v>0.13721739999999999</v>
      </c>
      <c r="X6045">
        <v>0.97966339999999996</v>
      </c>
      <c r="Y6045">
        <v>-0.20860319999999999</v>
      </c>
      <c r="Z6045">
        <v>1.4931949999999999E-2</v>
      </c>
      <c r="AA6045">
        <v>0.97788640000000004</v>
      </c>
      <c r="AB6045">
        <v>38</v>
      </c>
      <c r="AC6045">
        <v>13.5422999999999</v>
      </c>
      <c r="AD6045">
        <v>-1.128078845421</v>
      </c>
      <c r="AE6045">
        <v>1.8435999999999899</v>
      </c>
      <c r="AF6045">
        <v>-2.8766729391053598</v>
      </c>
      <c r="AG6045">
        <v>-1.128078845421</v>
      </c>
      <c r="AH6045">
        <v>13.2664295783049</v>
      </c>
      <c r="AI6045">
        <v>94.750441987041498</v>
      </c>
      <c r="AJ6045">
        <v>102.234527233848</v>
      </c>
      <c r="AK6045">
        <v>13.621525716166699</v>
      </c>
      <c r="AL6045">
        <v>82.113139192937993</v>
      </c>
      <c r="AM6045">
        <v>98.498960188763704</v>
      </c>
      <c r="AN6045">
        <v>1.00000002450228</v>
      </c>
    </row>
    <row r="6046" spans="1:40" x14ac:dyDescent="0.25">
      <c r="A6046" t="str">
        <f>"20190312164146611"</f>
        <v>20190312164146611</v>
      </c>
      <c r="B6046" t="str">
        <f>"1552380106602028"</f>
        <v>1552380106602028</v>
      </c>
      <c r="C6046" t="s">
        <v>40</v>
      </c>
      <c r="D6046">
        <v>6.0057099999999997</v>
      </c>
      <c r="E6046">
        <v>0.48144369999999997</v>
      </c>
      <c r="F6046" t="s">
        <v>41</v>
      </c>
      <c r="G6046">
        <v>-266.31420000000003</v>
      </c>
      <c r="H6046" s="1">
        <v>-2.7905109999999999E-6</v>
      </c>
      <c r="I6046">
        <v>-64.630409999999998</v>
      </c>
      <c r="J6046">
        <v>-279.83499999999998</v>
      </c>
      <c r="K6046">
        <v>1.1280779999999999</v>
      </c>
      <c r="L6046">
        <v>-66.503969999999995</v>
      </c>
      <c r="M6046">
        <v>0.99738749999999998</v>
      </c>
      <c r="N6046">
        <v>0</v>
      </c>
      <c r="O6046">
        <v>-6.9788249999999996E-2</v>
      </c>
      <c r="P6046">
        <v>0.98984709999999998</v>
      </c>
      <c r="Q6046">
        <v>0.12579889999999999</v>
      </c>
      <c r="R6046">
        <v>6.616292E-2</v>
      </c>
      <c r="S6046">
        <v>3.035431</v>
      </c>
      <c r="T6046">
        <v>-0.25005529999999998</v>
      </c>
      <c r="U6046">
        <v>0.41287230000000003</v>
      </c>
      <c r="V6046">
        <v>-0.1414427</v>
      </c>
      <c r="W6046">
        <v>0.1378791</v>
      </c>
      <c r="X6046">
        <v>0.98029759999999999</v>
      </c>
      <c r="Y6046">
        <v>-0.2027033</v>
      </c>
      <c r="Z6046">
        <v>1.4014550000000001E-2</v>
      </c>
      <c r="AA6046">
        <v>0.97913989999999995</v>
      </c>
      <c r="AB6046">
        <v>38</v>
      </c>
      <c r="AC6046">
        <v>13.5207999999999</v>
      </c>
      <c r="AD6046">
        <v>-1.128080790511</v>
      </c>
      <c r="AE6046">
        <v>1.8735599999999899</v>
      </c>
      <c r="AF6046">
        <v>-2.7936669155929499</v>
      </c>
      <c r="AG6046">
        <v>-1.128080790511</v>
      </c>
      <c r="AH6046">
        <v>13.2664385378972</v>
      </c>
      <c r="AI6046">
        <v>94.756497669928706</v>
      </c>
      <c r="AJ6046">
        <v>101.8916872467</v>
      </c>
      <c r="AK6046">
        <v>13.604246858426301</v>
      </c>
      <c r="AL6046">
        <v>82.0748628373521</v>
      </c>
      <c r="AM6046">
        <v>98.210286644917204</v>
      </c>
      <c r="AN6046">
        <v>1.00000003408292</v>
      </c>
    </row>
    <row r="6047" spans="1:40" x14ac:dyDescent="0.25">
      <c r="A6047" t="str">
        <f>"20190312164146622"</f>
        <v>20190312164146622</v>
      </c>
      <c r="B6047" t="str">
        <f>"1552380106611788"</f>
        <v>1552380106611788</v>
      </c>
      <c r="C6047" t="s">
        <v>40</v>
      </c>
      <c r="D6047">
        <v>6.0584199999999999</v>
      </c>
      <c r="E6047">
        <v>0.48168369999999999</v>
      </c>
      <c r="F6047" t="s">
        <v>41</v>
      </c>
      <c r="G6047">
        <v>-266.07429999999999</v>
      </c>
      <c r="H6047" s="1">
        <v>-2.7009689999999998E-6</v>
      </c>
      <c r="I6047">
        <v>-64.58587</v>
      </c>
      <c r="J6047">
        <v>-279.67860000000002</v>
      </c>
      <c r="K6047">
        <v>1.1280790000000001</v>
      </c>
      <c r="L6047">
        <v>-66.512789999999995</v>
      </c>
      <c r="M6047">
        <v>0.99788770000000004</v>
      </c>
      <c r="N6047">
        <v>0</v>
      </c>
      <c r="O6047">
        <v>-6.2231460000000002E-2</v>
      </c>
      <c r="P6047">
        <v>0.98956460000000002</v>
      </c>
      <c r="Q6047">
        <v>0.12677830000000001</v>
      </c>
      <c r="R6047">
        <v>6.8481330000000007E-2</v>
      </c>
      <c r="S6047">
        <v>3.034119</v>
      </c>
      <c r="T6047">
        <v>-0.2487335</v>
      </c>
      <c r="U6047">
        <v>0.42291260000000003</v>
      </c>
      <c r="V6047">
        <v>-0.1363405</v>
      </c>
      <c r="W6047">
        <v>0.13909560000000001</v>
      </c>
      <c r="X6047">
        <v>0.98084839999999995</v>
      </c>
      <c r="Y6047">
        <v>-0.19856969999999999</v>
      </c>
      <c r="Z6047">
        <v>1.315937E-2</v>
      </c>
      <c r="AA6047">
        <v>0.97999840000000005</v>
      </c>
      <c r="AB6047">
        <v>38</v>
      </c>
      <c r="AC6047">
        <v>13.6043</v>
      </c>
      <c r="AD6047">
        <v>-1.1280817009690001</v>
      </c>
      <c r="AE6047">
        <v>1.92691999999999</v>
      </c>
      <c r="AF6047">
        <v>-2.7514001367492602</v>
      </c>
      <c r="AG6047">
        <v>-1.1280817009690001</v>
      </c>
      <c r="AH6047">
        <v>13.3678780776377</v>
      </c>
      <c r="AI6047">
        <v>94.725036939387195</v>
      </c>
      <c r="AJ6047">
        <v>101.63030317999301</v>
      </c>
      <c r="AK6047">
        <v>13.6946316246605</v>
      </c>
      <c r="AL6047">
        <v>82.004483696680097</v>
      </c>
      <c r="AM6047">
        <v>97.913555742631502</v>
      </c>
      <c r="AN6047">
        <v>0.99999995083108295</v>
      </c>
    </row>
    <row r="6048" spans="1:40" x14ac:dyDescent="0.25">
      <c r="A6048" t="str">
        <f>"20190312164146633"</f>
        <v>20190312164146633</v>
      </c>
      <c r="B6048" t="str">
        <f>"1552380106622524"</f>
        <v>1552380106622524</v>
      </c>
      <c r="C6048" t="s">
        <v>40</v>
      </c>
      <c r="D6048">
        <v>6.1306269999999996</v>
      </c>
      <c r="E6048">
        <v>0.48190690000000003</v>
      </c>
      <c r="F6048" t="s">
        <v>41</v>
      </c>
      <c r="G6048">
        <v>-265.80130000000003</v>
      </c>
      <c r="H6048" s="1">
        <v>-2.6027769999999999E-6</v>
      </c>
      <c r="I6048">
        <v>-64.556049999999999</v>
      </c>
      <c r="J6048">
        <v>-279.49369999999999</v>
      </c>
      <c r="K6048">
        <v>1.1280809999999999</v>
      </c>
      <c r="L6048">
        <v>-66.521419999999907</v>
      </c>
      <c r="M6048">
        <v>0.99840589999999996</v>
      </c>
      <c r="N6048">
        <v>0</v>
      </c>
      <c r="O6048">
        <v>-5.3276829999999997E-2</v>
      </c>
      <c r="P6048">
        <v>0.98925050000000003</v>
      </c>
      <c r="Q6048">
        <v>0.12708349999999999</v>
      </c>
      <c r="R6048">
        <v>7.2343740000000004E-2</v>
      </c>
      <c r="S6048">
        <v>3.0335999999999999</v>
      </c>
      <c r="T6048">
        <v>-0.24660119999999999</v>
      </c>
      <c r="U6048">
        <v>0.42773440000000001</v>
      </c>
      <c r="V6048">
        <v>-0.1313725</v>
      </c>
      <c r="W6048">
        <v>0.13963159999999999</v>
      </c>
      <c r="X6048">
        <v>0.98145009999999999</v>
      </c>
      <c r="Y6048">
        <v>-0.19139100000000001</v>
      </c>
      <c r="Z6048">
        <v>1.2034039999999999E-2</v>
      </c>
      <c r="AA6048">
        <v>0.98144010000000004</v>
      </c>
      <c r="AB6048">
        <v>38</v>
      </c>
      <c r="AC6048">
        <v>13.6923999999999</v>
      </c>
      <c r="AD6048">
        <v>-1.12808360277699</v>
      </c>
      <c r="AE6048">
        <v>1.9653699999999901</v>
      </c>
      <c r="AF6048">
        <v>-2.6744054899681098</v>
      </c>
      <c r="AG6048">
        <v>-1.12808360277699</v>
      </c>
      <c r="AH6048">
        <v>13.478578344875199</v>
      </c>
      <c r="AI6048">
        <v>94.693122911454594</v>
      </c>
      <c r="AJ6048">
        <v>101.222803212215</v>
      </c>
      <c r="AK6048">
        <v>13.7875701825436</v>
      </c>
      <c r="AL6048">
        <v>81.973470970772794</v>
      </c>
      <c r="AM6048">
        <v>97.624037069421504</v>
      </c>
      <c r="AN6048">
        <v>1.0000000081324001</v>
      </c>
    </row>
    <row r="6049" spans="1:40" x14ac:dyDescent="0.25">
      <c r="A6049" t="str">
        <f>"20190312164146645"</f>
        <v>20190312164146645</v>
      </c>
      <c r="B6049" t="str">
        <f>"1552380106642044"</f>
        <v>1552380106642044</v>
      </c>
      <c r="C6049" t="s">
        <v>40</v>
      </c>
      <c r="D6049">
        <v>6.0391190000000003</v>
      </c>
      <c r="E6049">
        <v>0.48240509999999898</v>
      </c>
      <c r="F6049" t="s">
        <v>55</v>
      </c>
      <c r="G6049">
        <v>-265.54730000000001</v>
      </c>
      <c r="H6049" s="1">
        <v>-2.4830779999999998E-6</v>
      </c>
      <c r="I6049">
        <v>-64.510459999999995</v>
      </c>
      <c r="J6049">
        <v>-279.29590000000002</v>
      </c>
      <c r="K6049">
        <v>1.1280809999999999</v>
      </c>
      <c r="L6049">
        <v>-66.528719999999893</v>
      </c>
      <c r="M6049">
        <v>0.99887239999999999</v>
      </c>
      <c r="N6049">
        <v>0</v>
      </c>
      <c r="O6049">
        <v>-4.3664370000000001E-2</v>
      </c>
      <c r="P6049">
        <v>0.98882499999999995</v>
      </c>
      <c r="Q6049">
        <v>0.1281775</v>
      </c>
      <c r="R6049">
        <v>7.6130310000000007E-2</v>
      </c>
      <c r="S6049">
        <v>3.0321349999999998</v>
      </c>
      <c r="T6049">
        <v>-0.24525939999999999</v>
      </c>
      <c r="U6049">
        <v>0.43719479999999999</v>
      </c>
      <c r="V6049">
        <v>-0.12571469999999901</v>
      </c>
      <c r="W6049">
        <v>0.1409861</v>
      </c>
      <c r="X6049">
        <v>0.98199729999999996</v>
      </c>
      <c r="Y6049">
        <v>-0.18506719999999999</v>
      </c>
      <c r="Z6049">
        <v>1.0944860000000001E-2</v>
      </c>
      <c r="AA6049">
        <v>0.98266489999999995</v>
      </c>
      <c r="AB6049">
        <v>38</v>
      </c>
      <c r="AC6049">
        <v>13.7486</v>
      </c>
      <c r="AD6049">
        <v>-1.128083483078</v>
      </c>
      <c r="AE6049">
        <v>2.01825999999999</v>
      </c>
      <c r="AF6049">
        <v>-2.5996302948103902</v>
      </c>
      <c r="AG6049">
        <v>-1.128083483078</v>
      </c>
      <c r="AH6049">
        <v>13.5579900319626</v>
      </c>
      <c r="AI6049">
        <v>94.671588258923606</v>
      </c>
      <c r="AJ6049">
        <v>100.854244145675</v>
      </c>
      <c r="AK6049">
        <v>13.8509834929252</v>
      </c>
      <c r="AL6049">
        <v>81.895088239291994</v>
      </c>
      <c r="AM6049">
        <v>97.295289630616196</v>
      </c>
      <c r="AN6049">
        <v>0.99999998169829396</v>
      </c>
    </row>
    <row r="6050" spans="1:40" x14ac:dyDescent="0.25">
      <c r="A6050" t="str">
        <f>"20190312164146656"</f>
        <v>20190312164146656</v>
      </c>
      <c r="B6050" t="str">
        <f>"1552380106651804"</f>
        <v>1552380106651804</v>
      </c>
      <c r="C6050" t="s">
        <v>40</v>
      </c>
      <c r="D6050">
        <v>6.0331219999999997</v>
      </c>
      <c r="E6050">
        <v>0.48264180000000001</v>
      </c>
      <c r="F6050" t="s">
        <v>41</v>
      </c>
      <c r="G6050">
        <v>-265.12880000000001</v>
      </c>
      <c r="H6050" s="1">
        <v>-2.288356E-6</v>
      </c>
      <c r="I6050">
        <v>-64.453379999999996</v>
      </c>
      <c r="J6050">
        <v>-279.10309999999998</v>
      </c>
      <c r="K6050">
        <v>1.1280829999999999</v>
      </c>
      <c r="L6050">
        <v>-66.534580000000005</v>
      </c>
      <c r="M6050">
        <v>0.99923839999999997</v>
      </c>
      <c r="N6050">
        <v>0</v>
      </c>
      <c r="O6050">
        <v>-3.4288810000000003E-2</v>
      </c>
      <c r="P6050">
        <v>0.98853020000000003</v>
      </c>
      <c r="Q6050">
        <v>0.12819749999999999</v>
      </c>
      <c r="R6050">
        <v>7.9834069999999993E-2</v>
      </c>
      <c r="S6050">
        <v>3.0310060000000001</v>
      </c>
      <c r="T6050">
        <v>-0.24135029999999999</v>
      </c>
      <c r="U6050">
        <v>0.44400020000000001</v>
      </c>
      <c r="V6050">
        <v>-0.120168</v>
      </c>
      <c r="W6050">
        <v>0.14126269999999999</v>
      </c>
      <c r="X6050">
        <v>0.98265179999999996</v>
      </c>
      <c r="Y6050">
        <v>-0.1781276</v>
      </c>
      <c r="Z6050">
        <v>9.7566509999999999E-3</v>
      </c>
      <c r="AA6050">
        <v>0.98395900000000003</v>
      </c>
      <c r="AB6050">
        <v>38</v>
      </c>
      <c r="AC6050">
        <v>13.9742999999999</v>
      </c>
      <c r="AD6050">
        <v>-1.128085288356</v>
      </c>
      <c r="AE6050">
        <v>2.0811999999999902</v>
      </c>
      <c r="AF6050">
        <v>-2.5430087281031302</v>
      </c>
      <c r="AG6050">
        <v>-1.128085288356</v>
      </c>
      <c r="AH6050">
        <v>13.8066846626635</v>
      </c>
      <c r="AI6050">
        <v>94.594080305172994</v>
      </c>
      <c r="AJ6050">
        <v>100.436159184932</v>
      </c>
      <c r="AK6050">
        <v>14.084175914239401</v>
      </c>
      <c r="AL6050">
        <v>81.879080403436504</v>
      </c>
      <c r="AM6050">
        <v>96.972054863144507</v>
      </c>
      <c r="AN6050">
        <v>1.0000000293392599</v>
      </c>
    </row>
    <row r="6051" spans="1:40" x14ac:dyDescent="0.25">
      <c r="A6051" t="str">
        <f>"20190312164146667"</f>
        <v>20190312164146667</v>
      </c>
      <c r="B6051" t="str">
        <f>"1552380106662071"</f>
        <v>1552380106662071</v>
      </c>
      <c r="C6051" t="s">
        <v>40</v>
      </c>
      <c r="D6051">
        <v>6.7135020000000001</v>
      </c>
      <c r="E6051">
        <v>0.48287940000000001</v>
      </c>
      <c r="F6051" t="s">
        <v>41</v>
      </c>
      <c r="G6051">
        <v>-264.9033</v>
      </c>
      <c r="H6051" s="1">
        <v>-2.1796779999999999E-6</v>
      </c>
      <c r="I6051">
        <v>-64.408540000000002</v>
      </c>
      <c r="J6051">
        <v>-278.93270000000001</v>
      </c>
      <c r="K6051">
        <v>1.128082</v>
      </c>
      <c r="L6051">
        <v>-66.537260000000003</v>
      </c>
      <c r="M6051">
        <v>0.99948939999999997</v>
      </c>
      <c r="N6051">
        <v>0</v>
      </c>
      <c r="O6051">
        <v>-2.5964549999999999E-2</v>
      </c>
      <c r="P6051">
        <v>0.98842249999999998</v>
      </c>
      <c r="Q6051">
        <v>0.12737029999999999</v>
      </c>
      <c r="R6051">
        <v>8.2449069999999999E-2</v>
      </c>
      <c r="S6051">
        <v>3.029388</v>
      </c>
      <c r="T6051">
        <v>-0.24066460000000001</v>
      </c>
      <c r="U6051">
        <v>0.45355220000000002</v>
      </c>
      <c r="V6051">
        <v>-0.1145371</v>
      </c>
      <c r="W6051">
        <v>0.14069719999999999</v>
      </c>
      <c r="X6051">
        <v>0.98340510000000003</v>
      </c>
      <c r="Y6051">
        <v>-0.17308599999999999</v>
      </c>
      <c r="Z6051">
        <v>8.8758580000000004E-3</v>
      </c>
      <c r="AA6051">
        <v>0.98486669999999998</v>
      </c>
      <c r="AB6051">
        <v>38</v>
      </c>
      <c r="AC6051">
        <v>14.029400000000001</v>
      </c>
      <c r="AD6051">
        <v>-1.1280841796779999</v>
      </c>
      <c r="AE6051">
        <v>2.1287199999999999</v>
      </c>
      <c r="AF6051">
        <v>-2.4766796159223898</v>
      </c>
      <c r="AG6051">
        <v>-1.1280841796779999</v>
      </c>
      <c r="AH6051">
        <v>13.881655155435199</v>
      </c>
      <c r="AI6051">
        <v>94.5739829073962</v>
      </c>
      <c r="AJ6051">
        <v>100.115922135407</v>
      </c>
      <c r="AK6051">
        <v>14.1459133918876</v>
      </c>
      <c r="AL6051">
        <v>81.911807959306202</v>
      </c>
      <c r="AM6051">
        <v>96.643302649051094</v>
      </c>
      <c r="AN6051">
        <v>1.00000002003512</v>
      </c>
    </row>
    <row r="6052" spans="1:40" x14ac:dyDescent="0.25">
      <c r="A6052" t="str">
        <f>"20190312164146679"</f>
        <v>20190312164146679</v>
      </c>
      <c r="B6052" t="str">
        <f>"1552380106671831"</f>
        <v>1552380106671831</v>
      </c>
      <c r="C6052" t="s">
        <v>40</v>
      </c>
      <c r="D6052">
        <v>5.9893109999999998</v>
      </c>
      <c r="E6052">
        <v>0.48312290000000002</v>
      </c>
      <c r="F6052" t="s">
        <v>55</v>
      </c>
      <c r="G6052">
        <v>-264.83980000000003</v>
      </c>
      <c r="H6052" s="1">
        <v>-2.1489910000000001E-6</v>
      </c>
      <c r="I6052">
        <v>-64.395469999999904</v>
      </c>
      <c r="J6052">
        <v>-278.72660000000002</v>
      </c>
      <c r="K6052">
        <v>1.1280809999999999</v>
      </c>
      <c r="L6052">
        <v>-66.539670000000001</v>
      </c>
      <c r="M6052">
        <v>0.99970049999999999</v>
      </c>
      <c r="N6052">
        <v>0</v>
      </c>
      <c r="O6052">
        <v>-1.5890169999999999E-2</v>
      </c>
      <c r="P6052">
        <v>0.98824860000000003</v>
      </c>
      <c r="Q6052">
        <v>0.12593859999999901</v>
      </c>
      <c r="R6052">
        <v>8.6625519999999998E-2</v>
      </c>
      <c r="S6052">
        <v>3.0280149999999999</v>
      </c>
      <c r="T6052">
        <v>-0.24238180000000001</v>
      </c>
      <c r="U6052">
        <v>0.46017459999999999</v>
      </c>
      <c r="V6052">
        <v>-0.1087095</v>
      </c>
      <c r="W6052">
        <v>0.13953570000000001</v>
      </c>
      <c r="X6052">
        <v>0.98423170000000004</v>
      </c>
      <c r="Y6052">
        <v>-0.16537370000000001</v>
      </c>
      <c r="Z6052">
        <v>7.8339410000000005E-3</v>
      </c>
      <c r="AA6052">
        <v>0.98619990000000002</v>
      </c>
      <c r="AB6052">
        <v>38</v>
      </c>
      <c r="AC6052">
        <v>13.8867999999999</v>
      </c>
      <c r="AD6052">
        <v>-1.1280831489909999</v>
      </c>
      <c r="AE6052">
        <v>2.1442000000000099</v>
      </c>
      <c r="AF6052">
        <v>-2.3494878002507198</v>
      </c>
      <c r="AG6052">
        <v>-1.1280831489909999</v>
      </c>
      <c r="AH6052">
        <v>13.762266108552399</v>
      </c>
      <c r="AI6052">
        <v>94.619479177975094</v>
      </c>
      <c r="AJ6052">
        <v>99.688109414674699</v>
      </c>
      <c r="AK6052">
        <v>14.006878058910001</v>
      </c>
      <c r="AL6052">
        <v>81.9790199185788</v>
      </c>
      <c r="AM6052">
        <v>96.302835862765605</v>
      </c>
      <c r="AN6052">
        <v>1.00000000312481</v>
      </c>
    </row>
    <row r="6053" spans="1:40" x14ac:dyDescent="0.25">
      <c r="A6053" t="str">
        <f>"20190312164146689"</f>
        <v>20190312164146689</v>
      </c>
      <c r="B6053" t="str">
        <f>"1552380106682567"</f>
        <v>1552380106682567</v>
      </c>
      <c r="C6053" t="s">
        <v>40</v>
      </c>
      <c r="D6053">
        <v>6.0443220000000002</v>
      </c>
      <c r="E6053">
        <v>0.48334709999999997</v>
      </c>
      <c r="F6053" t="s">
        <v>41</v>
      </c>
      <c r="G6053">
        <v>-264.83980000000003</v>
      </c>
      <c r="H6053" s="1">
        <v>-2.1426449999999998E-6</v>
      </c>
      <c r="I6053">
        <v>-64.371639999999999</v>
      </c>
      <c r="J6053">
        <v>-278.55610000000001</v>
      </c>
      <c r="K6053">
        <v>1.1280779999999999</v>
      </c>
      <c r="L6053">
        <v>-66.53922</v>
      </c>
      <c r="M6053">
        <v>0.99979850000000003</v>
      </c>
      <c r="N6053">
        <v>0</v>
      </c>
      <c r="O6053">
        <v>-7.529216E-3</v>
      </c>
      <c r="P6053">
        <v>0.98771730000000002</v>
      </c>
      <c r="Q6053">
        <v>0.1246184</v>
      </c>
      <c r="R6053">
        <v>9.4260839999999999E-2</v>
      </c>
      <c r="S6053">
        <v>3.025604</v>
      </c>
      <c r="T6053">
        <v>-0.24578320000000001</v>
      </c>
      <c r="U6053">
        <v>0.47235110000000002</v>
      </c>
      <c r="V6053">
        <v>-0.1080257</v>
      </c>
      <c r="W6053">
        <v>0.13824420000000001</v>
      </c>
      <c r="X6053">
        <v>0.98448919999999995</v>
      </c>
      <c r="Y6053">
        <v>-0.16114289999999901</v>
      </c>
      <c r="Z6053">
        <v>7.1024249999999999E-3</v>
      </c>
      <c r="AA6053">
        <v>0.98690549999999999</v>
      </c>
      <c r="AB6053">
        <v>38</v>
      </c>
      <c r="AC6053">
        <v>13.716299999999899</v>
      </c>
      <c r="AD6053">
        <v>-1.128080142645</v>
      </c>
      <c r="AE6053">
        <v>2.1675800000000001</v>
      </c>
      <c r="AF6053">
        <v>-2.25592205600219</v>
      </c>
      <c r="AG6053">
        <v>-1.128080142645</v>
      </c>
      <c r="AH6053">
        <v>13.6097740169549</v>
      </c>
      <c r="AI6053">
        <v>94.6747752004175</v>
      </c>
      <c r="AJ6053">
        <v>99.411630962550205</v>
      </c>
      <c r="AK6053">
        <v>13.841520795186</v>
      </c>
      <c r="AL6053">
        <v>82.053741596833007</v>
      </c>
      <c r="AM6053">
        <v>96.261880869221002</v>
      </c>
      <c r="AN6053">
        <v>0.99999999780538396</v>
      </c>
    </row>
    <row r="6054" spans="1:40" x14ac:dyDescent="0.25">
      <c r="A6054" t="str">
        <f>"20190312164146701"</f>
        <v>20190312164146701</v>
      </c>
      <c r="B6054" t="str">
        <f>"1552380106692328"</f>
        <v>1552380106692328</v>
      </c>
      <c r="C6054" t="s">
        <v>40</v>
      </c>
      <c r="D6054">
        <v>6.104044</v>
      </c>
      <c r="E6054">
        <v>0.48356900000000003</v>
      </c>
      <c r="F6054" t="s">
        <v>41</v>
      </c>
      <c r="G6054">
        <v>-264.88339999999999</v>
      </c>
      <c r="H6054" s="1">
        <v>-2.1431669999999998E-6</v>
      </c>
      <c r="I6054">
        <v>-64.303319999999999</v>
      </c>
      <c r="J6054">
        <v>-278.37650000000002</v>
      </c>
      <c r="K6054">
        <v>1.1280730000000001</v>
      </c>
      <c r="L6054">
        <v>-66.537930000000003</v>
      </c>
      <c r="M6054">
        <v>0.99982610000000005</v>
      </c>
      <c r="N6054">
        <v>0</v>
      </c>
      <c r="O6054">
        <v>1.2868580000000001E-3</v>
      </c>
      <c r="P6054">
        <v>0.98758000000000001</v>
      </c>
      <c r="Q6054">
        <v>0.1235985</v>
      </c>
      <c r="R6054">
        <v>9.7001959999999998E-2</v>
      </c>
      <c r="S6054">
        <v>3.0216059999999998</v>
      </c>
      <c r="T6054">
        <v>-0.2493012</v>
      </c>
      <c r="U6054">
        <v>0.4941101</v>
      </c>
      <c r="V6054">
        <v>-0.1020199</v>
      </c>
      <c r="W6054">
        <v>0.13750129999999999</v>
      </c>
      <c r="X6054">
        <v>0.98523369999999999</v>
      </c>
      <c r="Y6054">
        <v>-0.15958789999999901</v>
      </c>
      <c r="Z6054">
        <v>6.4238719999999997E-3</v>
      </c>
      <c r="AA6054">
        <v>0.98716280000000001</v>
      </c>
      <c r="AB6054">
        <v>38</v>
      </c>
      <c r="AC6054">
        <v>13.4931</v>
      </c>
      <c r="AD6054">
        <v>-1.128075143167</v>
      </c>
      <c r="AE6054">
        <v>2.23461</v>
      </c>
      <c r="AF6054">
        <v>-2.2022594311846899</v>
      </c>
      <c r="AG6054">
        <v>-1.128075143167</v>
      </c>
      <c r="AH6054">
        <v>13.404772053992</v>
      </c>
      <c r="AI6054">
        <v>94.747036918573798</v>
      </c>
      <c r="AJ6054">
        <v>99.329734752641997</v>
      </c>
      <c r="AK6054">
        <v>13.6312293631337</v>
      </c>
      <c r="AL6054">
        <v>82.096717509626103</v>
      </c>
      <c r="AM6054">
        <v>95.911847311964394</v>
      </c>
      <c r="AN6054">
        <v>1.0000000555566899</v>
      </c>
    </row>
    <row r="6055" spans="1:40" x14ac:dyDescent="0.25">
      <c r="A6055" t="str">
        <f>"20190312164146710"</f>
        <v>20190312164146710</v>
      </c>
      <c r="B6055" t="str">
        <f>"1552380106702087"</f>
        <v>1552380106702087</v>
      </c>
      <c r="C6055" t="s">
        <v>40</v>
      </c>
      <c r="D6055">
        <v>7.0887419999999999</v>
      </c>
      <c r="E6055">
        <v>0.4838094</v>
      </c>
      <c r="F6055" t="s">
        <v>41</v>
      </c>
      <c r="G6055">
        <v>-264.83629999999999</v>
      </c>
      <c r="H6055" s="1">
        <v>-2.1190700000000002E-6</v>
      </c>
      <c r="I6055">
        <v>-64.288799999999995</v>
      </c>
      <c r="J6055">
        <v>-278.21190000000001</v>
      </c>
      <c r="K6055">
        <v>1.128069</v>
      </c>
      <c r="L6055">
        <v>-66.534790000000001</v>
      </c>
      <c r="M6055">
        <v>0.99978299999999998</v>
      </c>
      <c r="N6055">
        <v>0</v>
      </c>
      <c r="O6055">
        <v>9.392002E-3</v>
      </c>
      <c r="P6055">
        <v>0.98744739999999998</v>
      </c>
      <c r="Q6055">
        <v>0.1228741</v>
      </c>
      <c r="R6055">
        <v>9.9244700000000005E-2</v>
      </c>
      <c r="S6055">
        <v>3.0199280000000002</v>
      </c>
      <c r="T6055">
        <v>-0.25159809999999999</v>
      </c>
      <c r="U6055">
        <v>0.50161739999999999</v>
      </c>
      <c r="V6055">
        <v>-9.622609E-2</v>
      </c>
      <c r="W6055">
        <v>0.13704369999999999</v>
      </c>
      <c r="X6055">
        <v>0.98588010000000004</v>
      </c>
      <c r="Y6055">
        <v>-0.15409589999999901</v>
      </c>
      <c r="Z6055">
        <v>5.5887799999999998E-3</v>
      </c>
      <c r="AA6055">
        <v>0.98804009999999998</v>
      </c>
      <c r="AB6055">
        <v>37</v>
      </c>
      <c r="AC6055">
        <v>13.3756</v>
      </c>
      <c r="AD6055">
        <v>-1.1280711190699999</v>
      </c>
      <c r="AE6055">
        <v>2.2459899999999999</v>
      </c>
      <c r="AF6055">
        <v>-2.1056787730159501</v>
      </c>
      <c r="AG6055">
        <v>-1.1280711190699999</v>
      </c>
      <c r="AH6055">
        <v>13.3040724107406</v>
      </c>
      <c r="AI6055">
        <v>94.787288582099393</v>
      </c>
      <c r="AJ6055">
        <v>98.993785036137993</v>
      </c>
      <c r="AK6055">
        <v>13.5168328485278</v>
      </c>
      <c r="AL6055">
        <v>82.123186221826998</v>
      </c>
      <c r="AM6055">
        <v>95.574653985957298</v>
      </c>
      <c r="AN6055">
        <v>1.00000000384119</v>
      </c>
    </row>
    <row r="6056" spans="1:40" x14ac:dyDescent="0.25">
      <c r="A6056" t="str">
        <f>"20190312164146722"</f>
        <v>20190312164146722</v>
      </c>
      <c r="B6056" t="str">
        <f>"1552380106711847"</f>
        <v>1552380106711847</v>
      </c>
      <c r="C6056" t="s">
        <v>40</v>
      </c>
      <c r="D6056">
        <v>6.1015980000000001</v>
      </c>
      <c r="E6056">
        <v>0.4840506</v>
      </c>
      <c r="F6056" t="s">
        <v>41</v>
      </c>
      <c r="G6056">
        <v>-264.75599999999997</v>
      </c>
      <c r="H6056" s="1">
        <v>-2.081021E-6</v>
      </c>
      <c r="I6056">
        <v>-64.275180000000006</v>
      </c>
      <c r="J6056">
        <v>-278.02109999999999</v>
      </c>
      <c r="K6056">
        <v>1.128064</v>
      </c>
      <c r="L6056">
        <v>-66.529910000000001</v>
      </c>
      <c r="M6056">
        <v>0.9996505</v>
      </c>
      <c r="N6056">
        <v>0</v>
      </c>
      <c r="O6056">
        <v>1.8800020000000001E-2</v>
      </c>
      <c r="P6056">
        <v>0.9870582</v>
      </c>
      <c r="Q6056">
        <v>0.12283959999999999</v>
      </c>
      <c r="R6056">
        <v>0.10308580000000001</v>
      </c>
      <c r="S6056">
        <v>3.0186459999999999</v>
      </c>
      <c r="T6056">
        <v>-0.25306709999999999</v>
      </c>
      <c r="U6056">
        <v>0.50689700000000004</v>
      </c>
      <c r="V6056">
        <v>-9.0771569999999996E-2</v>
      </c>
      <c r="W6056">
        <v>0.13725619999999999</v>
      </c>
      <c r="X6056">
        <v>0.98636769999999996</v>
      </c>
      <c r="Y6056">
        <v>-0.1465948</v>
      </c>
      <c r="Z6056">
        <v>4.5296360000000001E-3</v>
      </c>
      <c r="AA6056">
        <v>0.98918629999999996</v>
      </c>
      <c r="AB6056">
        <v>37</v>
      </c>
      <c r="AC6056">
        <v>13.2651</v>
      </c>
      <c r="AD6056">
        <v>-1.1280660810209999</v>
      </c>
      <c r="AE6056">
        <v>2.2547299999999901</v>
      </c>
      <c r="AF6056">
        <v>-1.9909105152011399</v>
      </c>
      <c r="AG6056">
        <v>-1.1280660810209999</v>
      </c>
      <c r="AH6056">
        <v>13.2122851253643</v>
      </c>
      <c r="AI6056">
        <v>94.825863784279093</v>
      </c>
      <c r="AJ6056">
        <v>98.569219205612598</v>
      </c>
      <c r="AK6056">
        <v>13.408979677686601</v>
      </c>
      <c r="AL6056">
        <v>82.110894615540005</v>
      </c>
      <c r="AM6056">
        <v>95.257897657172407</v>
      </c>
      <c r="AN6056">
        <v>0.99999999098099701</v>
      </c>
    </row>
    <row r="6057" spans="1:40" x14ac:dyDescent="0.25">
      <c r="A6057" t="str">
        <f>"20190312164146733"</f>
        <v>20190312164146733</v>
      </c>
      <c r="B6057" t="str">
        <f>"1552380106722584"</f>
        <v>1552380106722584</v>
      </c>
      <c r="C6057" t="s">
        <v>40</v>
      </c>
      <c r="D6057">
        <v>6.0438989999999997</v>
      </c>
      <c r="E6057">
        <v>0.48426560000000002</v>
      </c>
      <c r="F6057" t="s">
        <v>55</v>
      </c>
      <c r="G6057">
        <v>-264.56450000000001</v>
      </c>
      <c r="H6057" s="1">
        <v>-1.9852979999999998E-6</v>
      </c>
      <c r="I6057">
        <v>-64.224299999999999</v>
      </c>
      <c r="J6057">
        <v>-277.83839999999998</v>
      </c>
      <c r="K6057">
        <v>1.1280589999999999</v>
      </c>
      <c r="L6057">
        <v>-66.523380000000003</v>
      </c>
      <c r="M6057">
        <v>0.9994402</v>
      </c>
      <c r="N6057">
        <v>0</v>
      </c>
      <c r="O6057">
        <v>2.782304E-2</v>
      </c>
      <c r="P6057">
        <v>0.98668840000000002</v>
      </c>
      <c r="Q6057">
        <v>0.123061</v>
      </c>
      <c r="R6057">
        <v>0.10631060000000001</v>
      </c>
      <c r="S6057">
        <v>3.0168149999999998</v>
      </c>
      <c r="T6057">
        <v>-0.25289909999999999</v>
      </c>
      <c r="U6057">
        <v>0.51687620000000001</v>
      </c>
      <c r="V6057">
        <v>-8.5090719999999995E-2</v>
      </c>
      <c r="W6057">
        <v>0.1377342</v>
      </c>
      <c r="X6057">
        <v>0.9868074</v>
      </c>
      <c r="Y6057">
        <v>-0.14099239999999999</v>
      </c>
      <c r="Z6057">
        <v>3.5465129999999998E-3</v>
      </c>
      <c r="AA6057">
        <v>0.99000440000000001</v>
      </c>
      <c r="AB6057">
        <v>37</v>
      </c>
      <c r="AC6057">
        <v>13.2738999999999</v>
      </c>
      <c r="AD6057">
        <v>-1.1280609852979999</v>
      </c>
      <c r="AE6057">
        <v>2.29908</v>
      </c>
      <c r="AF6057">
        <v>-1.9153753520564001</v>
      </c>
      <c r="AG6057">
        <v>-1.1280609852979999</v>
      </c>
      <c r="AH6057">
        <v>13.239901969513401</v>
      </c>
      <c r="AI6057">
        <v>94.819994957873107</v>
      </c>
      <c r="AJ6057">
        <v>98.231693183304401</v>
      </c>
      <c r="AK6057">
        <v>13.4252072046632</v>
      </c>
      <c r="AL6057">
        <v>82.083244637560597</v>
      </c>
      <c r="AM6057">
        <v>94.928326965247507</v>
      </c>
      <c r="AN6057">
        <v>0.99999999258725902</v>
      </c>
    </row>
    <row r="6058" spans="1:40" x14ac:dyDescent="0.25">
      <c r="A6058" t="str">
        <f>"20190312164146745"</f>
        <v>20190312164146745</v>
      </c>
      <c r="B6058" t="str">
        <f>"1552380106732343"</f>
        <v>1552380106732343</v>
      </c>
      <c r="C6058" t="s">
        <v>40</v>
      </c>
      <c r="D6058">
        <v>6.1111240000000002</v>
      </c>
      <c r="E6058">
        <v>0.48447620000000002</v>
      </c>
      <c r="F6058" t="s">
        <v>55</v>
      </c>
      <c r="G6058">
        <v>-264.33539999999999</v>
      </c>
      <c r="H6058" s="1">
        <v>-1.874009E-6</v>
      </c>
      <c r="I6058">
        <v>-64.175259999999994</v>
      </c>
      <c r="J6058">
        <v>-277.65780000000001</v>
      </c>
      <c r="K6058">
        <v>1.128053</v>
      </c>
      <c r="L6058">
        <v>-66.515050000000002</v>
      </c>
      <c r="M6058">
        <v>0.99915129999999996</v>
      </c>
      <c r="N6058">
        <v>0</v>
      </c>
      <c r="O6058">
        <v>3.6769540000000003E-2</v>
      </c>
      <c r="P6058">
        <v>0.98632160000000002</v>
      </c>
      <c r="Q6058">
        <v>0.1234835</v>
      </c>
      <c r="R6058">
        <v>0.1091855</v>
      </c>
      <c r="S6058">
        <v>3.0154109999999998</v>
      </c>
      <c r="T6058">
        <v>-0.25191180000000002</v>
      </c>
      <c r="U6058">
        <v>0.52435299999999996</v>
      </c>
      <c r="V6058">
        <v>-7.9140870000000002E-2</v>
      </c>
      <c r="W6058">
        <v>0.1384242</v>
      </c>
      <c r="X6058">
        <v>0.98720589999999997</v>
      </c>
      <c r="Y6058">
        <v>-0.1346416</v>
      </c>
      <c r="Z6058">
        <v>2.5313800000000002E-3</v>
      </c>
      <c r="AA6058">
        <v>0.99089110000000002</v>
      </c>
      <c r="AB6058">
        <v>37</v>
      </c>
      <c r="AC6058">
        <v>13.3224</v>
      </c>
      <c r="AD6058">
        <v>-1.128054874009</v>
      </c>
      <c r="AE6058">
        <v>2.3397899999999998</v>
      </c>
      <c r="AF6058">
        <v>-1.83549822453224</v>
      </c>
      <c r="AG6058">
        <v>-1.128054874009</v>
      </c>
      <c r="AH6058">
        <v>13.3068853136527</v>
      </c>
      <c r="AI6058">
        <v>94.800273061947607</v>
      </c>
      <c r="AJ6058">
        <v>97.853591191570402</v>
      </c>
      <c r="AK6058">
        <v>13.4801616563654</v>
      </c>
      <c r="AL6058">
        <v>82.043328357812896</v>
      </c>
      <c r="AM6058">
        <v>94.583401842774407</v>
      </c>
      <c r="AN6058">
        <v>1.0000000127224</v>
      </c>
    </row>
    <row r="6059" spans="1:40" x14ac:dyDescent="0.25">
      <c r="A6059" t="str">
        <f>"20190312164146756"</f>
        <v>20190312164146756</v>
      </c>
      <c r="B6059" t="str">
        <f>"1552380106742103"</f>
        <v>1552380106742103</v>
      </c>
      <c r="C6059" t="s">
        <v>40</v>
      </c>
      <c r="D6059">
        <v>5.9949589999999997</v>
      </c>
      <c r="E6059">
        <v>0.48470059999999898</v>
      </c>
      <c r="F6059" t="s">
        <v>41</v>
      </c>
      <c r="G6059">
        <v>-264.07740000000001</v>
      </c>
      <c r="H6059" s="1">
        <v>-1.7495280000000001E-6</v>
      </c>
      <c r="I6059">
        <v>-64.123530000000002</v>
      </c>
      <c r="J6059">
        <v>-277.4649</v>
      </c>
      <c r="K6059">
        <v>1.12805</v>
      </c>
      <c r="L6059">
        <v>-66.505039999999994</v>
      </c>
      <c r="M6059">
        <v>0.99875389999999997</v>
      </c>
      <c r="N6059">
        <v>0</v>
      </c>
      <c r="O6059">
        <v>4.6328330000000001E-2</v>
      </c>
      <c r="P6059">
        <v>0.98599159999999997</v>
      </c>
      <c r="Q6059">
        <v>0.12356209999999999</v>
      </c>
      <c r="R6059">
        <v>0.11204160000000001</v>
      </c>
      <c r="S6059">
        <v>3.014221</v>
      </c>
      <c r="T6059">
        <v>-0.25037559999999998</v>
      </c>
      <c r="U6059">
        <v>0.53079219999999905</v>
      </c>
      <c r="V6059">
        <v>-7.2544079999999997E-2</v>
      </c>
      <c r="W6059">
        <v>0.13879859999999999</v>
      </c>
      <c r="X6059">
        <v>0.98765999999999998</v>
      </c>
      <c r="Y6059">
        <v>-0.12733699999999901</v>
      </c>
      <c r="Z6059">
        <v>1.4311739999999999E-3</v>
      </c>
      <c r="AA6059">
        <v>0.99185849999999998</v>
      </c>
      <c r="AB6059">
        <v>37</v>
      </c>
      <c r="AC6059">
        <v>13.3874999999999</v>
      </c>
      <c r="AD6059">
        <v>-1.128051749528</v>
      </c>
      <c r="AE6059">
        <v>2.38151</v>
      </c>
      <c r="AF6059">
        <v>-1.7466041645052801</v>
      </c>
      <c r="AG6059">
        <v>-1.128051749528</v>
      </c>
      <c r="AH6059">
        <v>13.3913088380675</v>
      </c>
      <c r="AI6059">
        <v>94.774838328750903</v>
      </c>
      <c r="AJ6059">
        <v>97.431036523327606</v>
      </c>
      <c r="AK6059">
        <v>13.551762957400999</v>
      </c>
      <c r="AL6059">
        <v>82.021667504135806</v>
      </c>
      <c r="AM6059">
        <v>94.200857622140603</v>
      </c>
      <c r="AN6059">
        <v>0.999999985252503</v>
      </c>
    </row>
    <row r="6060" spans="1:40" x14ac:dyDescent="0.25">
      <c r="A6060" t="str">
        <f>"20190312164146768"</f>
        <v>20190312164146768</v>
      </c>
      <c r="B6060" t="str">
        <f>"1552380106762130"</f>
        <v>1552380106762130</v>
      </c>
      <c r="C6060" t="s">
        <v>40</v>
      </c>
      <c r="D6060">
        <v>6.0626850000000001</v>
      </c>
      <c r="E6060">
        <v>0.4848671</v>
      </c>
      <c r="F6060" t="s">
        <v>55</v>
      </c>
      <c r="G6060">
        <v>-263.85719999999998</v>
      </c>
      <c r="H6060" s="1">
        <v>-1.642472E-6</v>
      </c>
      <c r="I6060">
        <v>-64.076160000000002</v>
      </c>
      <c r="J6060">
        <v>-277.26870000000002</v>
      </c>
      <c r="K6060">
        <v>1.128045</v>
      </c>
      <c r="L6060">
        <v>-66.491849999999999</v>
      </c>
      <c r="M6060">
        <v>0.99825399999999997</v>
      </c>
      <c r="N6060">
        <v>0</v>
      </c>
      <c r="O6060">
        <v>5.6080240000000003E-2</v>
      </c>
      <c r="P6060">
        <v>0.98569119999999999</v>
      </c>
      <c r="Q6060">
        <v>0.12307659999999999</v>
      </c>
      <c r="R6060">
        <v>0.11517479999999999</v>
      </c>
      <c r="S6060">
        <v>3.0128170000000001</v>
      </c>
      <c r="T6060">
        <v>-0.24975549999999999</v>
      </c>
      <c r="U6060">
        <v>0.53775019999999996</v>
      </c>
      <c r="V6060">
        <v>-6.5998550000000003E-2</v>
      </c>
      <c r="W6060">
        <v>0.13860500000000001</v>
      </c>
      <c r="X6060">
        <v>0.98814619999999997</v>
      </c>
      <c r="Y6060">
        <v>-0.1200046</v>
      </c>
      <c r="Z6060">
        <v>3.2876059999999998E-4</v>
      </c>
      <c r="AA6060">
        <v>0.99277329999999997</v>
      </c>
      <c r="AB6060">
        <v>37</v>
      </c>
      <c r="AC6060">
        <v>13.4115</v>
      </c>
      <c r="AD6060">
        <v>-1.1280466424719999</v>
      </c>
      <c r="AE6060">
        <v>2.4156899999999899</v>
      </c>
      <c r="AF6060">
        <v>-1.6483426602597999</v>
      </c>
      <c r="AG6060">
        <v>-1.1280466424719999</v>
      </c>
      <c r="AH6060">
        <v>13.433830418869899</v>
      </c>
      <c r="AI6060">
        <v>94.764335555300505</v>
      </c>
      <c r="AJ6060">
        <v>96.995275952456893</v>
      </c>
      <c r="AK6060">
        <v>13.5815066349864</v>
      </c>
      <c r="AL6060">
        <v>82.032868619019098</v>
      </c>
      <c r="AM6060">
        <v>93.821125303245793</v>
      </c>
      <c r="AN6060">
        <v>1.0000000336007699</v>
      </c>
    </row>
    <row r="6061" spans="1:40" x14ac:dyDescent="0.25">
      <c r="A6061" t="str">
        <f>"20190312164146780"</f>
        <v>20190312164146780</v>
      </c>
      <c r="B6061" t="str">
        <f>"1552380106771889"</f>
        <v>1552380106771889</v>
      </c>
      <c r="C6061" t="s">
        <v>40</v>
      </c>
      <c r="D6061">
        <v>6.047739</v>
      </c>
      <c r="E6061">
        <v>0.4848519</v>
      </c>
      <c r="F6061" t="s">
        <v>41</v>
      </c>
      <c r="G6061">
        <v>-263.66230000000002</v>
      </c>
      <c r="H6061" s="1">
        <v>-1.5444359999999999E-6</v>
      </c>
      <c r="I6061">
        <v>-64.021909999999906</v>
      </c>
      <c r="J6061">
        <v>-277.08710000000002</v>
      </c>
      <c r="K6061">
        <v>1.1280330000000001</v>
      </c>
      <c r="L6061">
        <v>-66.478849999999994</v>
      </c>
      <c r="M6061">
        <v>0.99770559999999997</v>
      </c>
      <c r="N6061">
        <v>0</v>
      </c>
      <c r="O6061">
        <v>6.5114019999999995E-2</v>
      </c>
      <c r="P6061">
        <v>0.98556690000000002</v>
      </c>
      <c r="Q6061">
        <v>0.12206500000000001</v>
      </c>
      <c r="R6061">
        <v>0.117295899999999</v>
      </c>
      <c r="S6061">
        <v>3.0108640000000002</v>
      </c>
      <c r="T6061">
        <v>-0.2496167</v>
      </c>
      <c r="U6061">
        <v>0.54653929999999995</v>
      </c>
      <c r="V6061">
        <v>-5.9113680000000002E-2</v>
      </c>
      <c r="W6061">
        <v>0.13790179999999999</v>
      </c>
      <c r="X6061">
        <v>0.98868020000000001</v>
      </c>
      <c r="Y6061">
        <v>-0.1139845</v>
      </c>
      <c r="Z6061">
        <v>-6.5703919999999996E-4</v>
      </c>
      <c r="AA6061">
        <v>0.99348230000000004</v>
      </c>
      <c r="AB6061">
        <v>37</v>
      </c>
      <c r="AC6061">
        <v>13.424799999999999</v>
      </c>
      <c r="AD6061">
        <v>-1.128034544436</v>
      </c>
      <c r="AE6061">
        <v>2.4569399999999999</v>
      </c>
      <c r="AF6061">
        <v>-1.5667279829143399</v>
      </c>
      <c r="AG6061">
        <v>-1.128034544436</v>
      </c>
      <c r="AH6061">
        <v>13.4643266447566</v>
      </c>
      <c r="AI6061">
        <v>94.7570795760832</v>
      </c>
      <c r="AJ6061">
        <v>96.637169171454502</v>
      </c>
      <c r="AK6061">
        <v>13.602028911253999</v>
      </c>
      <c r="AL6061">
        <v>82.073548894713895</v>
      </c>
      <c r="AM6061">
        <v>93.421669602482297</v>
      </c>
      <c r="AN6061">
        <v>0.99999993573920898</v>
      </c>
    </row>
    <row r="6062" spans="1:40" x14ac:dyDescent="0.25">
      <c r="A6062" t="str">
        <f>"20190312164146791"</f>
        <v>20190312164146791</v>
      </c>
      <c r="B6062" t="str">
        <f>"1552380106782625"</f>
        <v>1552380106782625</v>
      </c>
      <c r="C6062" t="s">
        <v>40</v>
      </c>
      <c r="D6062">
        <v>6.0515160000000003</v>
      </c>
      <c r="E6062">
        <v>0.48486859999999998</v>
      </c>
      <c r="F6062" t="s">
        <v>41</v>
      </c>
      <c r="G6062">
        <v>-263.59120000000001</v>
      </c>
      <c r="H6062" s="1">
        <v>-1.50665699999999E-6</v>
      </c>
      <c r="I6062">
        <v>-63.994480000000003</v>
      </c>
      <c r="J6062">
        <v>-276.90429999999998</v>
      </c>
      <c r="K6062">
        <v>1.1280209999999999</v>
      </c>
      <c r="L6062">
        <v>-66.463229999999996</v>
      </c>
      <c r="M6062">
        <v>0.99706930000000005</v>
      </c>
      <c r="N6062">
        <v>0</v>
      </c>
      <c r="O6062">
        <v>7.4227230000000005E-2</v>
      </c>
      <c r="P6062">
        <v>0.98547980000000002</v>
      </c>
      <c r="Q6062">
        <v>0.120384</v>
      </c>
      <c r="R6062">
        <v>0.1197382</v>
      </c>
      <c r="S6062">
        <v>3.0091549999999998</v>
      </c>
      <c r="T6062">
        <v>-0.25151679999999998</v>
      </c>
      <c r="U6062">
        <v>0.55392459999999999</v>
      </c>
      <c r="V6062">
        <v>-5.2425720000000002E-2</v>
      </c>
      <c r="W6062">
        <v>0.1365179</v>
      </c>
      <c r="X6062">
        <v>0.98924939999999995</v>
      </c>
      <c r="Y6062">
        <v>-0.10741340000000001</v>
      </c>
      <c r="Z6062">
        <v>-1.68446E-3</v>
      </c>
      <c r="AA6062">
        <v>0.99421300000000001</v>
      </c>
      <c r="AB6062">
        <v>37</v>
      </c>
      <c r="AC6062">
        <v>13.313099999999899</v>
      </c>
      <c r="AD6062">
        <v>-1.128022506657</v>
      </c>
      <c r="AE6062">
        <v>2.46875</v>
      </c>
      <c r="AF6062">
        <v>-1.4634162165236799</v>
      </c>
      <c r="AG6062">
        <v>-1.128022506657</v>
      </c>
      <c r="AH6062">
        <v>13.3668677232042</v>
      </c>
      <c r="AI6062">
        <v>94.795212216354699</v>
      </c>
      <c r="AJ6062">
        <v>96.247908089676898</v>
      </c>
      <c r="AK6062">
        <v>13.493968079403</v>
      </c>
      <c r="AL6062">
        <v>82.153598020049003</v>
      </c>
      <c r="AM6062">
        <v>93.033577956508296</v>
      </c>
      <c r="AN6062">
        <v>0.99999998426914405</v>
      </c>
    </row>
    <row r="6063" spans="1:40" x14ac:dyDescent="0.25">
      <c r="A6063" t="str">
        <f>"20190312164146802"</f>
        <v>20190312164146802</v>
      </c>
      <c r="B6063" t="str">
        <f>"1552380106792385"</f>
        <v>1552380106792385</v>
      </c>
      <c r="C6063" t="s">
        <v>40</v>
      </c>
      <c r="D6063">
        <v>5.9971069999999997</v>
      </c>
      <c r="E6063">
        <v>0.48486580000000001</v>
      </c>
      <c r="F6063" t="s">
        <v>41</v>
      </c>
      <c r="G6063">
        <v>-263.6112</v>
      </c>
      <c r="H6063" s="1">
        <v>-1.5114630000000001E-6</v>
      </c>
      <c r="I6063">
        <v>-63.980400000000003</v>
      </c>
      <c r="J6063">
        <v>-276.72949999999997</v>
      </c>
      <c r="K6063">
        <v>1.1280030000000001</v>
      </c>
      <c r="L6063">
        <v>-66.447140000000005</v>
      </c>
      <c r="M6063">
        <v>0.9963822</v>
      </c>
      <c r="N6063">
        <v>0</v>
      </c>
      <c r="O6063">
        <v>8.294638E-2</v>
      </c>
      <c r="P6063">
        <v>0.98538020000000004</v>
      </c>
      <c r="Q6063">
        <v>0.1186939</v>
      </c>
      <c r="R6063">
        <v>0.12221989999999899</v>
      </c>
      <c r="S6063">
        <v>3.0071409999999998</v>
      </c>
      <c r="T6063">
        <v>-0.25517899999999999</v>
      </c>
      <c r="U6063">
        <v>0.56164550000000002</v>
      </c>
      <c r="V6063">
        <v>-4.6157610000000002E-2</v>
      </c>
      <c r="W6063">
        <v>0.1351049</v>
      </c>
      <c r="X6063">
        <v>0.98975559999999996</v>
      </c>
      <c r="Y6063">
        <v>-0.10134840000000001</v>
      </c>
      <c r="Z6063">
        <v>-2.6921829999999999E-3</v>
      </c>
      <c r="AA6063">
        <v>0.99484740000000005</v>
      </c>
      <c r="AB6063">
        <v>37</v>
      </c>
      <c r="AC6063">
        <v>13.1182999999999</v>
      </c>
      <c r="AD6063">
        <v>-1.128004511463</v>
      </c>
      <c r="AE6063">
        <v>2.4667400000000002</v>
      </c>
      <c r="AF6063">
        <v>-1.36022117459601</v>
      </c>
      <c r="AG6063">
        <v>-1.128004511463</v>
      </c>
      <c r="AH6063">
        <v>13.183573620822701</v>
      </c>
      <c r="AI6063">
        <v>94.864695039333597</v>
      </c>
      <c r="AJ6063">
        <v>95.890674569414301</v>
      </c>
      <c r="AK6063">
        <v>13.3014739498055</v>
      </c>
      <c r="AL6063">
        <v>82.235314237253206</v>
      </c>
      <c r="AM6063">
        <v>92.670074822722896</v>
      </c>
      <c r="AN6063">
        <v>1.00000000334814</v>
      </c>
    </row>
    <row r="6064" spans="1:40" x14ac:dyDescent="0.25">
      <c r="A6064" t="str">
        <f>"20190312164146812"</f>
        <v>20190312164146812</v>
      </c>
      <c r="B6064" t="str">
        <f>"1552380106802145"</f>
        <v>1552380106802145</v>
      </c>
      <c r="C6064" t="s">
        <v>40</v>
      </c>
      <c r="D6064">
        <v>5.9631129999999999</v>
      </c>
      <c r="E6064">
        <v>0.48487219999999998</v>
      </c>
      <c r="F6064" t="s">
        <v>55</v>
      </c>
      <c r="G6064">
        <v>-263.66699999999997</v>
      </c>
      <c r="H6064" s="1">
        <v>-1.5326989999999999E-6</v>
      </c>
      <c r="I6064">
        <v>-63.970190000000002</v>
      </c>
      <c r="J6064">
        <v>-276.5532</v>
      </c>
      <c r="K6064">
        <v>1.12799</v>
      </c>
      <c r="L6064">
        <v>-66.429169999999999</v>
      </c>
      <c r="M6064">
        <v>0.99561049999999995</v>
      </c>
      <c r="N6064">
        <v>0</v>
      </c>
      <c r="O6064">
        <v>9.1748750000000004E-2</v>
      </c>
      <c r="P6064">
        <v>0.98508949999999995</v>
      </c>
      <c r="Q6064">
        <v>0.117741</v>
      </c>
      <c r="R6064">
        <v>0.12544359999999999</v>
      </c>
      <c r="S6064">
        <v>3.005096</v>
      </c>
      <c r="T6064">
        <v>-0.25950440000000002</v>
      </c>
      <c r="U6064">
        <v>0.569824199999999</v>
      </c>
      <c r="V6064">
        <v>-4.0583800000000003E-2</v>
      </c>
      <c r="W6064">
        <v>0.13439379999999901</v>
      </c>
      <c r="X6064">
        <v>0.99009659999999999</v>
      </c>
      <c r="Y6064">
        <v>-9.5342170000000004E-2</v>
      </c>
      <c r="Z6064">
        <v>-3.7421189999999999E-3</v>
      </c>
      <c r="AA6064">
        <v>0.99543749999999998</v>
      </c>
      <c r="AB6064">
        <v>37</v>
      </c>
      <c r="AC6064">
        <v>12.886199999999899</v>
      </c>
      <c r="AD6064">
        <v>-1.127991532699</v>
      </c>
      <c r="AE6064">
        <v>2.4589799999999902</v>
      </c>
      <c r="AF6064">
        <v>-1.25681819106726</v>
      </c>
      <c r="AG6064">
        <v>-1.127991532699</v>
      </c>
      <c r="AH6064">
        <v>12.9616494321701</v>
      </c>
      <c r="AI6064">
        <v>94.950550168270794</v>
      </c>
      <c r="AJ6064">
        <v>95.5383352493145</v>
      </c>
      <c r="AK6064">
        <v>13.071201661121799</v>
      </c>
      <c r="AL6064">
        <v>82.276432309727994</v>
      </c>
      <c r="AM6064">
        <v>92.347224995888595</v>
      </c>
      <c r="AN6064">
        <v>1.0000000078162199</v>
      </c>
    </row>
    <row r="6065" spans="1:40" x14ac:dyDescent="0.25">
      <c r="A6065" t="str">
        <f>"20190312164146822"</f>
        <v>20190312164146822</v>
      </c>
      <c r="B6065" t="str">
        <f>"1552380106811905"</f>
        <v>1552380106811905</v>
      </c>
      <c r="C6065" t="s">
        <v>40</v>
      </c>
      <c r="D6065">
        <v>6.0533789999999996</v>
      </c>
      <c r="E6065">
        <v>0.48485919999999999</v>
      </c>
      <c r="F6065" t="s">
        <v>55</v>
      </c>
      <c r="G6065">
        <v>-263.60309999999998</v>
      </c>
      <c r="H6065" s="1">
        <v>-1.494221E-6</v>
      </c>
      <c r="I6065">
        <v>-63.928629999999998</v>
      </c>
      <c r="J6065">
        <v>-276.39280000000002</v>
      </c>
      <c r="K6065">
        <v>1.1279760000000001</v>
      </c>
      <c r="L6065">
        <v>-66.411410000000004</v>
      </c>
      <c r="M6065">
        <v>0.99483909999999998</v>
      </c>
      <c r="N6065">
        <v>0</v>
      </c>
      <c r="O6065">
        <v>9.9767599999999998E-2</v>
      </c>
      <c r="P6065">
        <v>0.98472280000000001</v>
      </c>
      <c r="Q6065">
        <v>0.1180874</v>
      </c>
      <c r="R6065">
        <v>0.1279708</v>
      </c>
      <c r="S6065">
        <v>3.0028380000000001</v>
      </c>
      <c r="T6065">
        <v>-0.26155539999999999</v>
      </c>
      <c r="U6065">
        <v>0.57980350000000003</v>
      </c>
      <c r="V6065">
        <v>-3.5154409999999997E-2</v>
      </c>
      <c r="W6065">
        <v>0.1349736</v>
      </c>
      <c r="X6065">
        <v>0.99022540000000003</v>
      </c>
      <c r="Y6065">
        <v>-9.0694399999999994E-2</v>
      </c>
      <c r="Z6065">
        <v>-4.6584740000000001E-3</v>
      </c>
      <c r="AA6065">
        <v>0.99586779999999997</v>
      </c>
      <c r="AB6065">
        <v>37</v>
      </c>
      <c r="AC6065">
        <v>12.7897</v>
      </c>
      <c r="AD6065">
        <v>-1.1279774942209999</v>
      </c>
      <c r="AE6065">
        <v>2.4827799999999902</v>
      </c>
      <c r="AF6065">
        <v>-1.1852882993617799</v>
      </c>
      <c r="AG6065">
        <v>-1.1279774942209999</v>
      </c>
      <c r="AH6065">
        <v>12.8770872401331</v>
      </c>
      <c r="AI6065">
        <v>94.985119339468696</v>
      </c>
      <c r="AJ6065">
        <v>95.259045743066196</v>
      </c>
      <c r="AK6065">
        <v>12.9806246910568</v>
      </c>
      <c r="AL6065">
        <v>82.242906879670301</v>
      </c>
      <c r="AM6065">
        <v>92.033227752225798</v>
      </c>
      <c r="AN6065">
        <v>1.0000000240222799</v>
      </c>
    </row>
    <row r="6066" spans="1:40" x14ac:dyDescent="0.25">
      <c r="A6066" t="str">
        <f>"20190312164146834"</f>
        <v>20190312164146834</v>
      </c>
      <c r="B6066" t="str">
        <f>"1552380106822642"</f>
        <v>1552380106822642</v>
      </c>
      <c r="C6066" t="s">
        <v>40</v>
      </c>
      <c r="D6066">
        <v>6.0573839999999999</v>
      </c>
      <c r="E6066">
        <v>0.48485030000000001</v>
      </c>
      <c r="F6066" t="s">
        <v>55</v>
      </c>
      <c r="G6066">
        <v>-263.35950000000003</v>
      </c>
      <c r="H6066" s="1">
        <v>-1.3719919999999999E-6</v>
      </c>
      <c r="I6066">
        <v>-63.862029999999997</v>
      </c>
      <c r="J6066">
        <v>-276.2072</v>
      </c>
      <c r="K6066">
        <v>1.1279629999999901</v>
      </c>
      <c r="L6066">
        <v>-66.389340000000004</v>
      </c>
      <c r="M6066">
        <v>0.99386479999999999</v>
      </c>
      <c r="N6066">
        <v>0</v>
      </c>
      <c r="O6066">
        <v>0.1090501</v>
      </c>
      <c r="P6066">
        <v>0.98417699999999997</v>
      </c>
      <c r="Q6066">
        <v>0.11898640000000001</v>
      </c>
      <c r="R6066">
        <v>0.1312934</v>
      </c>
      <c r="S6066">
        <v>3.0013730000000001</v>
      </c>
      <c r="T6066">
        <v>-0.25975559999999998</v>
      </c>
      <c r="U6066">
        <v>0.58706669999999905</v>
      </c>
      <c r="V6066">
        <v>-2.928996E-2</v>
      </c>
      <c r="W6066">
        <v>0.1361202</v>
      </c>
      <c r="X6066">
        <v>0.99025929999999995</v>
      </c>
      <c r="Y6066">
        <v>-8.3865319999999993E-2</v>
      </c>
      <c r="Z6066">
        <v>-5.706877E-3</v>
      </c>
      <c r="AA6066">
        <v>0.99646069999999998</v>
      </c>
      <c r="AB6066">
        <v>37</v>
      </c>
      <c r="AC6066">
        <v>12.8476999999999</v>
      </c>
      <c r="AD6066">
        <v>-1.1279643719919901</v>
      </c>
      <c r="AE6066">
        <v>2.5273099999999999</v>
      </c>
      <c r="AF6066">
        <v>-1.1027673882618301</v>
      </c>
      <c r="AG6066">
        <v>-1.1279643719919901</v>
      </c>
      <c r="AH6066">
        <v>12.9505997880464</v>
      </c>
      <c r="AI6066">
        <v>94.959896109052494</v>
      </c>
      <c r="AJ6066">
        <v>94.867100138144195</v>
      </c>
      <c r="AK6066">
        <v>13.046318806745701</v>
      </c>
      <c r="AL6066">
        <v>82.176599754389699</v>
      </c>
      <c r="AM6066">
        <v>91.694204691105995</v>
      </c>
      <c r="AN6066">
        <v>1.0000000459206599</v>
      </c>
    </row>
    <row r="6067" spans="1:40" x14ac:dyDescent="0.25">
      <c r="A6067" t="str">
        <f>"20190312164146846"</f>
        <v>20190312164146846</v>
      </c>
      <c r="B6067" t="str">
        <f>"1552380106842162"</f>
        <v>1552380106842162</v>
      </c>
      <c r="C6067" t="s">
        <v>40</v>
      </c>
      <c r="D6067">
        <v>6.0519379999999998</v>
      </c>
      <c r="E6067">
        <v>0.48487550000000001</v>
      </c>
      <c r="F6067" t="s">
        <v>41</v>
      </c>
      <c r="G6067">
        <v>-263.01350000000002</v>
      </c>
      <c r="H6067" s="1">
        <v>-1.197639E-6</v>
      </c>
      <c r="I6067">
        <v>-63.76455</v>
      </c>
      <c r="J6067">
        <v>-276.02499999999998</v>
      </c>
      <c r="K6067">
        <v>1.1279440000000001</v>
      </c>
      <c r="L6067">
        <v>-66.365539999999996</v>
      </c>
      <c r="M6067">
        <v>0.99282130000000002</v>
      </c>
      <c r="N6067">
        <v>0</v>
      </c>
      <c r="O6067">
        <v>0.11817610000000001</v>
      </c>
      <c r="P6067">
        <v>0.98357190000000005</v>
      </c>
      <c r="Q6067">
        <v>0.12022190000000001</v>
      </c>
      <c r="R6067">
        <v>0.1346591</v>
      </c>
      <c r="S6067">
        <v>2.9996339999999999</v>
      </c>
      <c r="T6067">
        <v>-0.25644640000000002</v>
      </c>
      <c r="U6067">
        <v>0.59674069999999901</v>
      </c>
      <c r="V6067">
        <v>-2.363819E-2</v>
      </c>
      <c r="W6067">
        <v>0.13759109999999999</v>
      </c>
      <c r="X6067">
        <v>0.99020699999999995</v>
      </c>
      <c r="Y6067">
        <v>-7.7961009999999997E-2</v>
      </c>
      <c r="Z6067">
        <v>-6.6483310000000004E-3</v>
      </c>
      <c r="AA6067">
        <v>0.99693419999999999</v>
      </c>
      <c r="AB6067">
        <v>37</v>
      </c>
      <c r="AC6067">
        <v>13.0114999999999</v>
      </c>
      <c r="AD6067">
        <v>-1.127945197639</v>
      </c>
      <c r="AE6067">
        <v>2.6009899999999901</v>
      </c>
      <c r="AF6067">
        <v>-1.0373517106363099</v>
      </c>
      <c r="AG6067">
        <v>-1.127945197639</v>
      </c>
      <c r="AH6067">
        <v>13.1328206817313</v>
      </c>
      <c r="AI6067">
        <v>94.893775876867707</v>
      </c>
      <c r="AJ6067">
        <v>94.516373461065299</v>
      </c>
      <c r="AK6067">
        <v>13.221926410283301</v>
      </c>
      <c r="AL6067">
        <v>82.091522445684703</v>
      </c>
      <c r="AM6067">
        <v>91.367503298339699</v>
      </c>
      <c r="AN6067">
        <v>0.99999998883734298</v>
      </c>
    </row>
    <row r="6068" spans="1:40" x14ac:dyDescent="0.25">
      <c r="A6068" t="str">
        <f>"20190312164146857"</f>
        <v>20190312164146857</v>
      </c>
      <c r="B6068" t="str">
        <f>"1552380106851921"</f>
        <v>1552380106851921</v>
      </c>
      <c r="C6068" t="s">
        <v>40</v>
      </c>
      <c r="D6068">
        <v>6.0529590000000004</v>
      </c>
      <c r="E6068">
        <v>0.48487259999999999</v>
      </c>
      <c r="F6068" t="s">
        <v>41</v>
      </c>
      <c r="G6068">
        <v>-262.5951</v>
      </c>
      <c r="H6068" s="1">
        <v>-9.8721059999999996E-7</v>
      </c>
      <c r="I6068">
        <v>-63.648310000000002</v>
      </c>
      <c r="J6068">
        <v>-275.83580000000001</v>
      </c>
      <c r="K6068">
        <v>1.1279269999999999</v>
      </c>
      <c r="L6068">
        <v>-66.339869999999905</v>
      </c>
      <c r="M6068">
        <v>0.99164940000000001</v>
      </c>
      <c r="N6068">
        <v>0</v>
      </c>
      <c r="O6068">
        <v>0.12763969999999999</v>
      </c>
      <c r="P6068">
        <v>0.98298200000000002</v>
      </c>
      <c r="Q6068">
        <v>0.12134440000000001</v>
      </c>
      <c r="R6068">
        <v>0.1379206</v>
      </c>
      <c r="S6068">
        <v>2.9978639999999999</v>
      </c>
      <c r="T6068">
        <v>-0.25178430000000002</v>
      </c>
      <c r="U6068">
        <v>0.60653690000000005</v>
      </c>
      <c r="V6068">
        <v>-1.752925E-2</v>
      </c>
      <c r="W6068">
        <v>0.1389667</v>
      </c>
      <c r="X6068">
        <v>0.99014190000000002</v>
      </c>
      <c r="Y6068">
        <v>-7.1742539999999994E-2</v>
      </c>
      <c r="Z6068">
        <v>-7.5635269999999996E-3</v>
      </c>
      <c r="AA6068">
        <v>0.99739449999999996</v>
      </c>
      <c r="AB6068">
        <v>37</v>
      </c>
      <c r="AC6068">
        <v>13.2407</v>
      </c>
      <c r="AD6068">
        <v>-1.1279279872106001</v>
      </c>
      <c r="AE6068">
        <v>2.6915599999999902</v>
      </c>
      <c r="AF6068">
        <v>-0.97243449067531496</v>
      </c>
      <c r="AG6068">
        <v>-1.1279279872106001</v>
      </c>
      <c r="AH6068">
        <v>13.382709449988299</v>
      </c>
      <c r="AI6068">
        <v>94.805035670245303</v>
      </c>
      <c r="AJ6068">
        <v>94.156007519308204</v>
      </c>
      <c r="AK6068">
        <v>13.465317025818401</v>
      </c>
      <c r="AL6068">
        <v>82.011941950818894</v>
      </c>
      <c r="AM6068">
        <v>91.014245668750206</v>
      </c>
      <c r="AN6068">
        <v>1.00000000022503</v>
      </c>
    </row>
    <row r="6069" spans="1:40" x14ac:dyDescent="0.25">
      <c r="A6069" t="str">
        <f>"20190312164146868"</f>
        <v>20190312164146868</v>
      </c>
      <c r="B6069" t="str">
        <f>"1552380106862661"</f>
        <v>1552380106862661</v>
      </c>
      <c r="C6069" t="s">
        <v>40</v>
      </c>
      <c r="D6069">
        <v>6.050154</v>
      </c>
      <c r="E6069">
        <v>0.48489300000000002</v>
      </c>
      <c r="F6069" t="s">
        <v>41</v>
      </c>
      <c r="G6069">
        <v>-262.19369999999998</v>
      </c>
      <c r="H6069" s="1">
        <v>-7.8431129999999996E-7</v>
      </c>
      <c r="I6069">
        <v>-63.532989999999998</v>
      </c>
      <c r="J6069">
        <v>-275.66129999999998</v>
      </c>
      <c r="K6069">
        <v>1.127915</v>
      </c>
      <c r="L6069">
        <v>-66.31335</v>
      </c>
      <c r="M6069">
        <v>0.99048550000000002</v>
      </c>
      <c r="N6069">
        <v>0</v>
      </c>
      <c r="O6069">
        <v>0.13638149999999999</v>
      </c>
      <c r="P6069">
        <v>0.98249739999999997</v>
      </c>
      <c r="Q6069">
        <v>0.1222755</v>
      </c>
      <c r="R6069">
        <v>0.14052609999999999</v>
      </c>
      <c r="S6069">
        <v>2.9960330000000002</v>
      </c>
      <c r="T6069">
        <v>-0.24771109999999999</v>
      </c>
      <c r="U6069">
        <v>0.61642459999999999</v>
      </c>
      <c r="V6069">
        <v>-1.146055E-2</v>
      </c>
      <c r="W6069">
        <v>0.1401471</v>
      </c>
      <c r="X6069">
        <v>0.99006439999999996</v>
      </c>
      <c r="Y6069">
        <v>-6.6261970000000003E-2</v>
      </c>
      <c r="Z6069">
        <v>-8.3716269999999995E-3</v>
      </c>
      <c r="AA6069">
        <v>0.99776719999999997</v>
      </c>
      <c r="AB6069">
        <v>37</v>
      </c>
      <c r="AC6069">
        <v>13.467599999999999</v>
      </c>
      <c r="AD6069">
        <v>-1.1279157843112999</v>
      </c>
      <c r="AE6069">
        <v>2.7803599999999902</v>
      </c>
      <c r="AF6069">
        <v>-0.91120007708266304</v>
      </c>
      <c r="AG6069">
        <v>-1.1279157843112999</v>
      </c>
      <c r="AH6069">
        <v>13.6292855690598</v>
      </c>
      <c r="AI6069">
        <v>94.720344069785298</v>
      </c>
      <c r="AJ6069">
        <v>93.824877047567199</v>
      </c>
      <c r="AK6069">
        <v>13.7061994994949</v>
      </c>
      <c r="AL6069">
        <v>81.943641907106397</v>
      </c>
      <c r="AM6069">
        <v>90.663201120742897</v>
      </c>
      <c r="AN6069">
        <v>1.0000000349960301</v>
      </c>
    </row>
    <row r="6070" spans="1:40" x14ac:dyDescent="0.25">
      <c r="A6070" t="str">
        <f>"20190312164146880"</f>
        <v>20190312164146880</v>
      </c>
      <c r="B6070" t="str">
        <f>"1552380106872417"</f>
        <v>1552380106872417</v>
      </c>
      <c r="C6070" t="s">
        <v>40</v>
      </c>
      <c r="D6070">
        <v>6.0482480000000001</v>
      </c>
      <c r="E6070">
        <v>0.48489680000000002</v>
      </c>
      <c r="F6070" t="s">
        <v>41</v>
      </c>
      <c r="G6070">
        <v>-261.84300000000002</v>
      </c>
      <c r="H6070" s="1">
        <v>-6.0695749999999996E-7</v>
      </c>
      <c r="I6070">
        <v>-63.431899999999999</v>
      </c>
      <c r="J6070">
        <v>-275.4828</v>
      </c>
      <c r="K6070">
        <v>1.1278870000000001</v>
      </c>
      <c r="L6070">
        <v>-66.285579999999996</v>
      </c>
      <c r="M6070">
        <v>0.98921559999999997</v>
      </c>
      <c r="N6070">
        <v>0</v>
      </c>
      <c r="O6070">
        <v>0.14530879999999999</v>
      </c>
      <c r="P6070">
        <v>0.98193339999999996</v>
      </c>
      <c r="Q6070">
        <v>0.12300709999999999</v>
      </c>
      <c r="R6070">
        <v>0.14379169999999999</v>
      </c>
      <c r="S6070">
        <v>2.9945369999999998</v>
      </c>
      <c r="T6070">
        <v>-0.2444279</v>
      </c>
      <c r="U6070">
        <v>0.62442019999999998</v>
      </c>
      <c r="V6070">
        <v>-5.8515249999999998E-3</v>
      </c>
      <c r="W6070">
        <v>0.14110599999999901</v>
      </c>
      <c r="X6070">
        <v>0.9899772</v>
      </c>
      <c r="Y6070">
        <v>-5.9956299999999997E-2</v>
      </c>
      <c r="Z6070">
        <v>-9.2258210000000004E-3</v>
      </c>
      <c r="AA6070">
        <v>0.9981584</v>
      </c>
      <c r="AB6070">
        <v>37</v>
      </c>
      <c r="AC6070">
        <v>13.6397999999999</v>
      </c>
      <c r="AD6070">
        <v>-1.1278876069574999</v>
      </c>
      <c r="AE6070">
        <v>2.85368000000001</v>
      </c>
      <c r="AF6070">
        <v>-0.83558991084557799</v>
      </c>
      <c r="AG6070">
        <v>-1.1278876069574999</v>
      </c>
      <c r="AH6070">
        <v>13.819187635056499</v>
      </c>
      <c r="AI6070">
        <v>94.657527196267907</v>
      </c>
      <c r="AJ6070">
        <v>93.4602291806182</v>
      </c>
      <c r="AK6070">
        <v>13.890294735747499</v>
      </c>
      <c r="AL6070">
        <v>81.888149254792594</v>
      </c>
      <c r="AM6070">
        <v>90.338658084107607</v>
      </c>
      <c r="AN6070">
        <v>1.00000000005033</v>
      </c>
    </row>
    <row r="6071" spans="1:40" x14ac:dyDescent="0.25">
      <c r="A6071" t="str">
        <f>"20190312164146889"</f>
        <v>20190312164146889</v>
      </c>
      <c r="B6071" t="str">
        <f>"1552380106882178"</f>
        <v>1552380106882178</v>
      </c>
      <c r="C6071" t="s">
        <v>40</v>
      </c>
      <c r="D6071">
        <v>5.8955830000000002</v>
      </c>
      <c r="E6071">
        <v>0.4848982</v>
      </c>
      <c r="F6071" t="s">
        <v>41</v>
      </c>
      <c r="G6071">
        <v>-261.49329999999998</v>
      </c>
      <c r="H6071" s="1">
        <v>-4.2710919999999997E-7</v>
      </c>
      <c r="I6071">
        <v>-63.319659999999999</v>
      </c>
      <c r="J6071">
        <v>-275.31479999999999</v>
      </c>
      <c r="K6071">
        <v>1.127858</v>
      </c>
      <c r="L6071">
        <v>-66.257109999999997</v>
      </c>
      <c r="M6071">
        <v>0.98794599999999999</v>
      </c>
      <c r="N6071">
        <v>0</v>
      </c>
      <c r="O6071">
        <v>0.15370719999999999</v>
      </c>
      <c r="P6071">
        <v>0.98144609999999999</v>
      </c>
      <c r="Q6071">
        <v>0.12359009999999999</v>
      </c>
      <c r="R6071">
        <v>0.14659140000000001</v>
      </c>
      <c r="S6071">
        <v>2.9924930000000001</v>
      </c>
      <c r="T6071">
        <v>-0.2412668</v>
      </c>
      <c r="U6071">
        <v>0.63442989999999999</v>
      </c>
      <c r="V6071">
        <v>-2.825619E-4</v>
      </c>
      <c r="W6071">
        <v>0.1419118</v>
      </c>
      <c r="X6071">
        <v>0.98987930000000002</v>
      </c>
      <c r="Y6071">
        <v>-5.4843339999999997E-2</v>
      </c>
      <c r="Z6071">
        <v>-9.9705320000000007E-3</v>
      </c>
      <c r="AA6071">
        <v>0.99844520000000003</v>
      </c>
      <c r="AB6071">
        <v>37</v>
      </c>
      <c r="AC6071">
        <v>13.8215</v>
      </c>
      <c r="AD6071">
        <v>-1.12785842710919</v>
      </c>
      <c r="AE6071">
        <v>2.9374499999999899</v>
      </c>
      <c r="AF6071">
        <v>-0.77278541527514799</v>
      </c>
      <c r="AG6071">
        <v>-1.12785842710919</v>
      </c>
      <c r="AH6071">
        <v>14.019459923485099</v>
      </c>
      <c r="AI6071">
        <v>94.592568541297794</v>
      </c>
      <c r="AJ6071">
        <v>93.155084391768298</v>
      </c>
      <c r="AK6071">
        <v>14.0859688511607</v>
      </c>
      <c r="AL6071">
        <v>81.841511269063503</v>
      </c>
      <c r="AM6071">
        <v>90.016355129237894</v>
      </c>
      <c r="AN6071">
        <v>1.0000000336944701</v>
      </c>
    </row>
    <row r="6072" spans="1:40" x14ac:dyDescent="0.25">
      <c r="A6072" t="str">
        <f>"20190312164146901"</f>
        <v>20190312164146901</v>
      </c>
      <c r="B6072" t="str">
        <f>"1552380106891937"</f>
        <v>1552380106891937</v>
      </c>
      <c r="C6072" t="s">
        <v>40</v>
      </c>
      <c r="D6072">
        <v>6.105677</v>
      </c>
      <c r="E6072">
        <v>0.4848982</v>
      </c>
      <c r="F6072" t="s">
        <v>55</v>
      </c>
      <c r="G6072">
        <v>-261.19420000000002</v>
      </c>
      <c r="H6072" s="1">
        <v>-2.7328389999999998E-7</v>
      </c>
      <c r="I6072">
        <v>-63.22383</v>
      </c>
      <c r="J6072">
        <v>-275.14420000000001</v>
      </c>
      <c r="K6072">
        <v>1.1278239999999999</v>
      </c>
      <c r="L6072">
        <v>-66.227360000000004</v>
      </c>
      <c r="M6072">
        <v>0.98658259999999998</v>
      </c>
      <c r="N6072">
        <v>0</v>
      </c>
      <c r="O6072">
        <v>0.16223070000000001</v>
      </c>
      <c r="P6072">
        <v>0.9808384</v>
      </c>
      <c r="Q6072">
        <v>0.124581399999999</v>
      </c>
      <c r="R6072">
        <v>0.1497851</v>
      </c>
      <c r="S6072">
        <v>2.9908450000000002</v>
      </c>
      <c r="T6072">
        <v>-0.23888770000000001</v>
      </c>
      <c r="U6072">
        <v>0.64245609999999997</v>
      </c>
      <c r="V6072">
        <v>4.9967350000000004E-3</v>
      </c>
      <c r="W6072">
        <v>0.1431096</v>
      </c>
      <c r="X6072">
        <v>0.98969419999999997</v>
      </c>
      <c r="Y6072">
        <v>-4.8933329999999997E-2</v>
      </c>
      <c r="Z6072">
        <v>-1.076768E-2</v>
      </c>
      <c r="AA6072">
        <v>0.99874399999999997</v>
      </c>
      <c r="AB6072">
        <v>37</v>
      </c>
      <c r="AC6072">
        <v>13.9499999999999</v>
      </c>
      <c r="AD6072">
        <v>-1.1278242732838999</v>
      </c>
      <c r="AE6072">
        <v>3.0035299999999898</v>
      </c>
      <c r="AF6072">
        <v>-0.69588280044498796</v>
      </c>
      <c r="AG6072">
        <v>-1.1278242732838999</v>
      </c>
      <c r="AH6072">
        <v>14.164007370540199</v>
      </c>
      <c r="AI6072">
        <v>94.547170774131004</v>
      </c>
      <c r="AJ6072">
        <v>92.812700714966894</v>
      </c>
      <c r="AK6072">
        <v>14.2258688752596</v>
      </c>
      <c r="AL6072">
        <v>81.772174131317598</v>
      </c>
      <c r="AM6072">
        <v>89.710729441122197</v>
      </c>
      <c r="AN6072">
        <v>0.99999996724322904</v>
      </c>
    </row>
    <row r="6073" spans="1:40" x14ac:dyDescent="0.25">
      <c r="A6073" t="str">
        <f>"20190312164146912"</f>
        <v>20190312164146912</v>
      </c>
      <c r="B6073" t="str">
        <f>"1552380106902673"</f>
        <v>1552380106902673</v>
      </c>
      <c r="C6073" t="s">
        <v>40</v>
      </c>
      <c r="D6073">
        <v>5.8826839999999896</v>
      </c>
      <c r="E6073">
        <v>0.4849115</v>
      </c>
      <c r="F6073" t="s">
        <v>41</v>
      </c>
      <c r="G6073">
        <v>-260.86700000000002</v>
      </c>
      <c r="H6073" s="1">
        <v>-1.041984E-7</v>
      </c>
      <c r="I6073">
        <v>-63.11598</v>
      </c>
      <c r="J6073">
        <v>-274.96350000000001</v>
      </c>
      <c r="K6073">
        <v>1.1277839999999999</v>
      </c>
      <c r="L6073">
        <v>-66.193700000000007</v>
      </c>
      <c r="M6073">
        <v>0.98505940000000003</v>
      </c>
      <c r="N6073">
        <v>0</v>
      </c>
      <c r="O6073">
        <v>0.17124020000000001</v>
      </c>
      <c r="P6073">
        <v>0.9801685</v>
      </c>
      <c r="Q6073">
        <v>0.12517980000000001</v>
      </c>
      <c r="R6073">
        <v>0.15362290000000001</v>
      </c>
      <c r="S6073">
        <v>2.9891359999999998</v>
      </c>
      <c r="T6073">
        <v>-0.2361259</v>
      </c>
      <c r="U6073">
        <v>0.65139769999999997</v>
      </c>
      <c r="V6073">
        <v>1.015047E-2</v>
      </c>
      <c r="W6073">
        <v>0.143903799999999</v>
      </c>
      <c r="X6073">
        <v>0.98953959999999996</v>
      </c>
      <c r="Y6073">
        <v>-4.2811700000000001E-2</v>
      </c>
      <c r="Z6073">
        <v>-1.1572829999999999E-2</v>
      </c>
      <c r="AA6073">
        <v>0.99901609999999996</v>
      </c>
      <c r="AB6073">
        <v>37</v>
      </c>
      <c r="AC6073">
        <v>14.096499999999899</v>
      </c>
      <c r="AD6073">
        <v>-1.1277841041984</v>
      </c>
      <c r="AE6073">
        <v>3.0777199999999998</v>
      </c>
      <c r="AF6073">
        <v>-0.61420052802374903</v>
      </c>
      <c r="AG6073">
        <v>-1.1277841041984</v>
      </c>
      <c r="AH6073">
        <v>14.3277967556694</v>
      </c>
      <c r="AI6073">
        <v>94.496531355499997</v>
      </c>
      <c r="AJ6073">
        <v>92.454638778156905</v>
      </c>
      <c r="AK6073">
        <v>14.3852319809615</v>
      </c>
      <c r="AL6073">
        <v>81.7261939830899</v>
      </c>
      <c r="AM6073">
        <v>89.412293662542297</v>
      </c>
      <c r="AN6073">
        <v>0.99999997783190997</v>
      </c>
    </row>
    <row r="6074" spans="1:40" x14ac:dyDescent="0.25">
      <c r="A6074" t="str">
        <f>"20190312164146924"</f>
        <v>20190312164146924</v>
      </c>
      <c r="B6074" t="str">
        <f>"1552380106912434"</f>
        <v>1552380106912434</v>
      </c>
      <c r="C6074" t="s">
        <v>40</v>
      </c>
      <c r="D6074">
        <v>5.9531970000000003</v>
      </c>
      <c r="E6074">
        <v>0.48492410000000002</v>
      </c>
      <c r="F6074" t="s">
        <v>41</v>
      </c>
      <c r="G6074">
        <v>-260.57799999999997</v>
      </c>
      <c r="H6074" s="1">
        <v>4.9070649999999997E-8</v>
      </c>
      <c r="I6074">
        <v>-63.0058199999999</v>
      </c>
      <c r="J6074">
        <v>-274.79230000000001</v>
      </c>
      <c r="K6074">
        <v>1.1277410000000001</v>
      </c>
      <c r="L6074">
        <v>-66.160340000000005</v>
      </c>
      <c r="M6074">
        <v>0.98354209999999997</v>
      </c>
      <c r="N6074">
        <v>0</v>
      </c>
      <c r="O6074">
        <v>0.17975379999999999</v>
      </c>
      <c r="P6074">
        <v>0.97966980000000004</v>
      </c>
      <c r="Q6074">
        <v>0.12570799999999999</v>
      </c>
      <c r="R6074">
        <v>0.1563484</v>
      </c>
      <c r="S6074">
        <v>2.9869080000000001</v>
      </c>
      <c r="T6074">
        <v>-0.2341655</v>
      </c>
      <c r="U6074">
        <v>0.66189580000000003</v>
      </c>
      <c r="V6074">
        <v>1.5945850000000001E-2</v>
      </c>
      <c r="W6074">
        <v>0.14465310000000001</v>
      </c>
      <c r="X6074">
        <v>0.98935399999999996</v>
      </c>
      <c r="Y6074">
        <v>-3.7706860000000002E-2</v>
      </c>
      <c r="Z6074">
        <v>-1.2322049999999999E-2</v>
      </c>
      <c r="AA6074">
        <v>0.99921289999999996</v>
      </c>
      <c r="AB6074">
        <v>37</v>
      </c>
      <c r="AC6074">
        <v>14.2143</v>
      </c>
      <c r="AD6074">
        <v>-1.1277409509293499</v>
      </c>
      <c r="AE6074">
        <v>3.15452000000001</v>
      </c>
      <c r="AF6074">
        <v>-0.54435445807863903</v>
      </c>
      <c r="AG6074">
        <v>-1.1277409509293499</v>
      </c>
      <c r="AH6074">
        <v>14.4630600909321</v>
      </c>
      <c r="AI6074">
        <v>94.455411196214001</v>
      </c>
      <c r="AJ6074">
        <v>92.155456584357495</v>
      </c>
      <c r="AK6074">
        <v>14.517170131342599</v>
      </c>
      <c r="AL6074">
        <v>81.6828090314458</v>
      </c>
      <c r="AM6074">
        <v>89.076618878247402</v>
      </c>
      <c r="AN6074">
        <v>1.0000000633939099</v>
      </c>
    </row>
    <row r="6075" spans="1:40" x14ac:dyDescent="0.25">
      <c r="A6075" t="str">
        <f>"20190312164146934"</f>
        <v>20190312164146934</v>
      </c>
      <c r="B6075" t="str">
        <f>"1552380106922195"</f>
        <v>1552380106922195</v>
      </c>
      <c r="C6075" t="s">
        <v>40</v>
      </c>
      <c r="D6075">
        <v>6.053204</v>
      </c>
      <c r="E6075">
        <v>0.48496800000000001</v>
      </c>
      <c r="F6075" t="s">
        <v>55</v>
      </c>
      <c r="G6075">
        <v>-260.3175</v>
      </c>
      <c r="H6075" s="1">
        <v>1.8475810000000001E-7</v>
      </c>
      <c r="I6075">
        <v>-62.915889999999997</v>
      </c>
      <c r="J6075">
        <v>-274.61900000000003</v>
      </c>
      <c r="K6075">
        <v>1.1276949999999999</v>
      </c>
      <c r="L6075">
        <v>-66.125150000000005</v>
      </c>
      <c r="M6075">
        <v>0.98193189999999997</v>
      </c>
      <c r="N6075">
        <v>0</v>
      </c>
      <c r="O6075">
        <v>0.18835389999999999</v>
      </c>
      <c r="P6075">
        <v>0.97924929999999999</v>
      </c>
      <c r="Q6075">
        <v>0.12538250000000001</v>
      </c>
      <c r="R6075">
        <v>0.15921779999999999</v>
      </c>
      <c r="S6075">
        <v>2.9853209999999999</v>
      </c>
      <c r="T6075">
        <v>-0.2325875</v>
      </c>
      <c r="U6075">
        <v>0.66912839999999996</v>
      </c>
      <c r="V6075">
        <v>2.1753620000000001E-2</v>
      </c>
      <c r="W6075">
        <v>0.14454739999999999</v>
      </c>
      <c r="X6075">
        <v>0.98925870000000005</v>
      </c>
      <c r="Y6075">
        <v>-3.1415970000000001E-2</v>
      </c>
      <c r="Z6075">
        <v>-1.312907E-2</v>
      </c>
      <c r="AA6075">
        <v>0.99942019999999998</v>
      </c>
      <c r="AB6075">
        <v>37</v>
      </c>
      <c r="AC6075">
        <v>14.301500000000001</v>
      </c>
      <c r="AD6075">
        <v>-1.1276948152419</v>
      </c>
      <c r="AE6075">
        <v>3.20926</v>
      </c>
      <c r="AF6075">
        <v>-0.45491470475768397</v>
      </c>
      <c r="AG6075">
        <v>-1.1276948152419</v>
      </c>
      <c r="AH6075">
        <v>14.563801695311801</v>
      </c>
      <c r="AI6075">
        <v>94.4255049342121</v>
      </c>
      <c r="AJ6075">
        <v>91.789108443861593</v>
      </c>
      <c r="AK6075">
        <v>14.6144778492184</v>
      </c>
      <c r="AL6075">
        <v>81.688928765241997</v>
      </c>
      <c r="AM6075">
        <v>88.740279185706697</v>
      </c>
      <c r="AN6075">
        <v>0.999999973177776</v>
      </c>
    </row>
    <row r="6076" spans="1:40" x14ac:dyDescent="0.25">
      <c r="A6076" t="str">
        <f>"20190312164146946"</f>
        <v>20190312164146946</v>
      </c>
      <c r="B6076" t="str">
        <f>"1552380106942689"</f>
        <v>1552380106942689</v>
      </c>
      <c r="C6076" t="s">
        <v>40</v>
      </c>
      <c r="D6076">
        <v>6.0506140000000004</v>
      </c>
      <c r="E6076">
        <v>0.4850563</v>
      </c>
      <c r="F6076" t="s">
        <v>41</v>
      </c>
      <c r="G6076">
        <v>-260.28309999999999</v>
      </c>
      <c r="H6076" s="1">
        <v>2.1215189999999999E-7</v>
      </c>
      <c r="I6076">
        <v>-62.86844</v>
      </c>
      <c r="J6076">
        <v>-274.44060000000002</v>
      </c>
      <c r="K6076">
        <v>1.127632</v>
      </c>
      <c r="L6076">
        <v>-66.086789999999993</v>
      </c>
      <c r="M6076">
        <v>0.98020079999999998</v>
      </c>
      <c r="N6076">
        <v>0</v>
      </c>
      <c r="O6076">
        <v>0.19716819999999999</v>
      </c>
      <c r="P6076">
        <v>0.97888359999999996</v>
      </c>
      <c r="Q6076">
        <v>0.1247062</v>
      </c>
      <c r="R6076">
        <v>0.16197429999999999</v>
      </c>
      <c r="S6076">
        <v>2.9834290000000001</v>
      </c>
      <c r="T6076">
        <v>-0.2346821</v>
      </c>
      <c r="U6076">
        <v>0.67773439999999996</v>
      </c>
      <c r="V6076">
        <v>2.793358E-2</v>
      </c>
      <c r="W6076">
        <v>0.1440987</v>
      </c>
      <c r="X6076">
        <v>0.98916899999999996</v>
      </c>
      <c r="Y6076">
        <v>-2.5364419999999999E-2</v>
      </c>
      <c r="Z6076">
        <v>-1.415128E-2</v>
      </c>
      <c r="AA6076">
        <v>0.99957810000000002</v>
      </c>
      <c r="AB6076">
        <v>37</v>
      </c>
      <c r="AC6076">
        <v>14.157500000000001</v>
      </c>
      <c r="AD6076">
        <v>-1.1276317878480999</v>
      </c>
      <c r="AE6076">
        <v>3.21835</v>
      </c>
      <c r="AF6076">
        <v>-0.36110233852179802</v>
      </c>
      <c r="AG6076">
        <v>-1.1276317878480999</v>
      </c>
      <c r="AH6076">
        <v>14.427124053905001</v>
      </c>
      <c r="AI6076">
        <v>94.467789336685797</v>
      </c>
      <c r="AJ6076">
        <v>91.433779943121905</v>
      </c>
      <c r="AK6076">
        <v>14.4756297553722</v>
      </c>
      <c r="AL6076">
        <v>81.714909735538598</v>
      </c>
      <c r="AM6076">
        <v>88.382429087124095</v>
      </c>
      <c r="AN6076">
        <v>1.00000001539715</v>
      </c>
    </row>
    <row r="6077" spans="1:40" x14ac:dyDescent="0.25">
      <c r="A6077" t="str">
        <f>"20190312164146959"</f>
        <v>20190312164146959</v>
      </c>
      <c r="B6077" t="str">
        <f>"1552380106952449"</f>
        <v>1552380106952449</v>
      </c>
      <c r="C6077" t="s">
        <v>40</v>
      </c>
      <c r="D6077">
        <v>6.054913</v>
      </c>
      <c r="E6077">
        <v>0.48510890000000001</v>
      </c>
      <c r="F6077" t="s">
        <v>55</v>
      </c>
      <c r="G6077">
        <v>-260.18470000000002</v>
      </c>
      <c r="H6077" s="1">
        <v>2.7100820000000002E-7</v>
      </c>
      <c r="I6077">
        <v>-62.805860000000003</v>
      </c>
      <c r="J6077">
        <v>-274.2484</v>
      </c>
      <c r="K6077">
        <v>1.127561</v>
      </c>
      <c r="L6077">
        <v>-66.044430000000006</v>
      </c>
      <c r="M6077">
        <v>0.97825119999999999</v>
      </c>
      <c r="N6077">
        <v>0</v>
      </c>
      <c r="O6077">
        <v>0.20662749999999999</v>
      </c>
      <c r="P6077">
        <v>0.97841639999999996</v>
      </c>
      <c r="Q6077">
        <v>0.1234093</v>
      </c>
      <c r="R6077">
        <v>0.16574610000000001</v>
      </c>
      <c r="S6077">
        <v>2.981201</v>
      </c>
      <c r="T6077">
        <v>-0.2358104</v>
      </c>
      <c r="U6077">
        <v>0.68609619999999905</v>
      </c>
      <c r="V6077">
        <v>3.3800719999999999E-2</v>
      </c>
      <c r="W6077">
        <v>0.143011</v>
      </c>
      <c r="X6077">
        <v>0.98914369999999996</v>
      </c>
      <c r="Y6077">
        <v>-1.8584300000000002E-2</v>
      </c>
      <c r="Z6077">
        <v>-1.520589E-2</v>
      </c>
      <c r="AA6077">
        <v>0.99971160000000003</v>
      </c>
      <c r="AB6077">
        <v>37</v>
      </c>
      <c r="AC6077">
        <v>14.0636999999999</v>
      </c>
      <c r="AD6077">
        <v>-1.1275607289917999</v>
      </c>
      <c r="AE6077">
        <v>3.2385700000000002</v>
      </c>
      <c r="AF6077">
        <v>-0.26064000256737202</v>
      </c>
      <c r="AG6077">
        <v>-1.1275607289917999</v>
      </c>
      <c r="AH6077">
        <v>14.3418397987463</v>
      </c>
      <c r="AI6077">
        <v>94.494629189147901</v>
      </c>
      <c r="AJ6077">
        <v>91.041144553645694</v>
      </c>
      <c r="AK6077">
        <v>14.3884570132244</v>
      </c>
      <c r="AL6077">
        <v>81.777882041386306</v>
      </c>
      <c r="AM6077">
        <v>88.042867461320895</v>
      </c>
      <c r="AN6077">
        <v>0.999999947021602</v>
      </c>
    </row>
    <row r="6078" spans="1:40" x14ac:dyDescent="0.25">
      <c r="A6078" t="str">
        <f>"20190312164146980"</f>
        <v>20190312164146980</v>
      </c>
      <c r="B6078" t="str">
        <f>"1552380106971969"</f>
        <v>1552380106971969</v>
      </c>
      <c r="C6078" t="s">
        <v>40</v>
      </c>
      <c r="D6078">
        <v>6.1190189999999998</v>
      </c>
      <c r="E6078">
        <v>0.4851646</v>
      </c>
      <c r="F6078" t="s">
        <v>42</v>
      </c>
      <c r="G6078">
        <v>-273.23559999999998</v>
      </c>
      <c r="H6078">
        <v>1.0462129999999901</v>
      </c>
      <c r="I6078">
        <v>-65.807289999999995</v>
      </c>
      <c r="J6078">
        <v>-273.90300000000002</v>
      </c>
      <c r="K6078">
        <v>1.1273820000000001</v>
      </c>
      <c r="L6078">
        <v>-65.962069999999997</v>
      </c>
      <c r="M6078">
        <v>0.97455199999999997</v>
      </c>
      <c r="N6078">
        <v>0</v>
      </c>
      <c r="O6078">
        <v>0.22343260000000001</v>
      </c>
      <c r="P6078">
        <v>0.97763619999999996</v>
      </c>
      <c r="Q6078">
        <v>0.1217818</v>
      </c>
      <c r="R6078">
        <v>0.1714551</v>
      </c>
      <c r="S6078">
        <v>2.9782099999999998</v>
      </c>
      <c r="T6078">
        <v>-0.23958090000000001</v>
      </c>
      <c r="U6078">
        <v>0.69757080000000005</v>
      </c>
      <c r="V6078">
        <v>4.5242339999999999E-2</v>
      </c>
      <c r="W6078">
        <v>0.14176920000000001</v>
      </c>
      <c r="X6078">
        <v>0.98886529999999995</v>
      </c>
      <c r="Y6078">
        <v>-5.3558709999999999E-3</v>
      </c>
      <c r="Z6078">
        <v>-1.727093E-2</v>
      </c>
      <c r="AA6078">
        <v>0.99983650000000002</v>
      </c>
      <c r="AB6078">
        <v>36</v>
      </c>
      <c r="AC6078">
        <v>0.66740000000004296</v>
      </c>
      <c r="AD6078">
        <v>-8.1169000000000005E-2</v>
      </c>
      <c r="AE6078">
        <v>0.15477999999998801</v>
      </c>
      <c r="AF6078">
        <v>-1.6986789870737E-3</v>
      </c>
      <c r="AG6078">
        <v>-8.1169000000000005E-2</v>
      </c>
      <c r="AH6078">
        <v>0.67562729366935204</v>
      </c>
      <c r="AI6078">
        <v>96.850587226030498</v>
      </c>
      <c r="AJ6078">
        <v>90.144054173862898</v>
      </c>
      <c r="AK6078">
        <v>0.68048771629050997</v>
      </c>
      <c r="AL6078">
        <v>81.8497646439194</v>
      </c>
      <c r="AM6078">
        <v>87.380443298772605</v>
      </c>
      <c r="AN6078">
        <v>0.99999997847070199</v>
      </c>
    </row>
    <row r="6079" spans="1:40" x14ac:dyDescent="0.25">
      <c r="A6079" t="str">
        <f>"20190312164147003"</f>
        <v>20190312164147003</v>
      </c>
      <c r="B6079" t="str">
        <f>"1552380106982705"</f>
        <v>1552380106982705</v>
      </c>
      <c r="C6079" t="s">
        <v>40</v>
      </c>
      <c r="D6079">
        <v>10.35242</v>
      </c>
      <c r="E6079">
        <v>0.48523460000000002</v>
      </c>
      <c r="F6079" t="s">
        <v>42</v>
      </c>
      <c r="G6079">
        <v>-272.92680000000001</v>
      </c>
      <c r="H6079">
        <v>1.047153</v>
      </c>
      <c r="I6079">
        <v>-65.727930000000001</v>
      </c>
      <c r="J6079">
        <v>-273.56290000000001</v>
      </c>
      <c r="K6079">
        <v>1.1271679999999999</v>
      </c>
      <c r="L6079">
        <v>-65.87482</v>
      </c>
      <c r="M6079">
        <v>0.97067800000000004</v>
      </c>
      <c r="N6079">
        <v>0</v>
      </c>
      <c r="O6079">
        <v>0.23971149999999999</v>
      </c>
      <c r="P6079">
        <v>0.97710439999999998</v>
      </c>
      <c r="Q6079">
        <v>0.11980590000000001</v>
      </c>
      <c r="R6079">
        <v>0.17582329999999999</v>
      </c>
      <c r="S6079">
        <v>2.9739689999999999</v>
      </c>
      <c r="T6079">
        <v>-0.24453230000000001</v>
      </c>
      <c r="U6079">
        <v>0.71340939999999997</v>
      </c>
      <c r="V6079">
        <v>5.760792E-2</v>
      </c>
      <c r="W6079">
        <v>0.14018349999999999</v>
      </c>
      <c r="X6079">
        <v>0.9884482</v>
      </c>
      <c r="Y6079">
        <v>5.9108190000000003E-3</v>
      </c>
      <c r="Z6079">
        <v>-1.93662E-2</v>
      </c>
      <c r="AA6079">
        <v>0.99979499999999999</v>
      </c>
      <c r="AB6079">
        <v>36</v>
      </c>
      <c r="AC6079">
        <v>0.636099999999999</v>
      </c>
      <c r="AD6079">
        <v>-8.0014999999999906E-2</v>
      </c>
      <c r="AE6079">
        <v>0.14688999999999899</v>
      </c>
      <c r="AF6079">
        <v>9.7526852591513207E-3</v>
      </c>
      <c r="AG6079">
        <v>-8.0014999999999906E-2</v>
      </c>
      <c r="AH6079">
        <v>0.64310405532584003</v>
      </c>
      <c r="AI6079">
        <v>97.091486051202907</v>
      </c>
      <c r="AJ6079">
        <v>89.131175010800803</v>
      </c>
      <c r="AK6079">
        <v>0.64813605135905294</v>
      </c>
      <c r="AL6079">
        <v>81.941534980077805</v>
      </c>
      <c r="AM6079">
        <v>86.664507928807197</v>
      </c>
      <c r="AN6079">
        <v>0.999999965101107</v>
      </c>
    </row>
    <row r="6080" spans="1:40" x14ac:dyDescent="0.25">
      <c r="A6080" t="str">
        <f>"20190312164147013"</f>
        <v>20190312164147013</v>
      </c>
      <c r="B6080" t="str">
        <f>"1552380107002226"</f>
        <v>1552380107002226</v>
      </c>
      <c r="C6080" t="s">
        <v>40</v>
      </c>
      <c r="D6080">
        <v>6.0574180000000002</v>
      </c>
      <c r="E6080">
        <v>0.48532920000000002</v>
      </c>
      <c r="F6080" t="s">
        <v>42</v>
      </c>
      <c r="G6080">
        <v>-272.61900000000003</v>
      </c>
      <c r="H6080">
        <v>1.0478559999999999</v>
      </c>
      <c r="I6080">
        <v>-65.644189999999995</v>
      </c>
      <c r="J6080">
        <v>-273.38850000000002</v>
      </c>
      <c r="K6080">
        <v>1.1270309999999999</v>
      </c>
      <c r="L6080">
        <v>-65.827849999999998</v>
      </c>
      <c r="M6080">
        <v>0.96861569999999997</v>
      </c>
      <c r="N6080">
        <v>0</v>
      </c>
      <c r="O6080">
        <v>0.24791769999999999</v>
      </c>
      <c r="P6080">
        <v>0.97694190000000003</v>
      </c>
      <c r="Q6080">
        <v>0.1178892</v>
      </c>
      <c r="R6080">
        <v>0.17800869999999999</v>
      </c>
      <c r="S6080">
        <v>2.9702760000000001</v>
      </c>
      <c r="T6080">
        <v>-0.25009629999999999</v>
      </c>
      <c r="U6080">
        <v>0.72625729999999999</v>
      </c>
      <c r="V6080">
        <v>6.3957180000000002E-2</v>
      </c>
      <c r="W6080">
        <v>0.13845250000000001</v>
      </c>
      <c r="X6080">
        <v>0.98830180000000001</v>
      </c>
      <c r="Y6080">
        <v>9.9323150000000006E-3</v>
      </c>
      <c r="Z6080">
        <v>-2.06375E-2</v>
      </c>
      <c r="AA6080">
        <v>0.99973769999999995</v>
      </c>
      <c r="AB6080">
        <v>36</v>
      </c>
      <c r="AC6080">
        <v>0.76949999999999297</v>
      </c>
      <c r="AD6080">
        <v>-7.9174999999999995E-2</v>
      </c>
      <c r="AE6080">
        <v>0.183659999999989</v>
      </c>
      <c r="AF6080">
        <v>1.27510585780608E-2</v>
      </c>
      <c r="AG6080">
        <v>-7.9174999999999995E-2</v>
      </c>
      <c r="AH6080">
        <v>0.78316484432036904</v>
      </c>
      <c r="AI6080">
        <v>95.7720130619104</v>
      </c>
      <c r="AJ6080">
        <v>89.067224096128996</v>
      </c>
      <c r="AK6080">
        <v>0.78726008631151201</v>
      </c>
      <c r="AL6080">
        <v>82.041691274882396</v>
      </c>
      <c r="AM6080">
        <v>86.297311433281095</v>
      </c>
      <c r="AN6080">
        <v>1.0000000317565201</v>
      </c>
    </row>
    <row r="6081" spans="1:40" x14ac:dyDescent="0.25">
      <c r="A6081" t="str">
        <f>"20190312164147024"</f>
        <v>20190312164147024</v>
      </c>
      <c r="B6081" t="str">
        <f>"1552380107011986"</f>
        <v>1552380107011986</v>
      </c>
      <c r="C6081" t="s">
        <v>40</v>
      </c>
      <c r="D6081">
        <v>6.1880379999999997</v>
      </c>
      <c r="E6081">
        <v>0.48532920000000002</v>
      </c>
      <c r="F6081" t="s">
        <v>55</v>
      </c>
      <c r="G6081">
        <v>-260.29050000000001</v>
      </c>
      <c r="H6081" s="1">
        <v>2.8216749999999998E-7</v>
      </c>
      <c r="I6081">
        <v>-62.593339999999998</v>
      </c>
      <c r="J6081">
        <v>-273.22469999999998</v>
      </c>
      <c r="K6081">
        <v>1.1268800000000001</v>
      </c>
      <c r="L6081">
        <v>-65.7821</v>
      </c>
      <c r="M6081">
        <v>0.96664019999999995</v>
      </c>
      <c r="N6081">
        <v>0</v>
      </c>
      <c r="O6081">
        <v>0.25551659999999998</v>
      </c>
      <c r="P6081">
        <v>0.97702460000000002</v>
      </c>
      <c r="Q6081">
        <v>0.1152005</v>
      </c>
      <c r="R6081">
        <v>0.1793101</v>
      </c>
      <c r="S6081">
        <v>2.9680789999999999</v>
      </c>
      <c r="T6081">
        <v>-0.2553899</v>
      </c>
      <c r="U6081">
        <v>0.732940699999999</v>
      </c>
      <c r="V6081">
        <v>7.065652E-2</v>
      </c>
      <c r="W6081">
        <v>0.1359553</v>
      </c>
      <c r="X6081">
        <v>0.98819219999999997</v>
      </c>
      <c r="Y6081">
        <v>1.5411360000000001E-2</v>
      </c>
      <c r="Z6081">
        <v>-2.193005E-2</v>
      </c>
      <c r="AA6081">
        <v>0.99964070000000005</v>
      </c>
      <c r="AB6081">
        <v>36</v>
      </c>
      <c r="AC6081">
        <v>12.934199999999899</v>
      </c>
      <c r="AD6081">
        <v>-1.1268797178324901</v>
      </c>
      <c r="AE6081">
        <v>3.18875999999999</v>
      </c>
      <c r="AF6081">
        <v>0.22097337848125601</v>
      </c>
      <c r="AG6081">
        <v>-1.1268797178324901</v>
      </c>
      <c r="AH6081">
        <v>13.2249830710079</v>
      </c>
      <c r="AI6081">
        <v>94.869641357505799</v>
      </c>
      <c r="AJ6081">
        <v>89.042746303070103</v>
      </c>
      <c r="AK6081">
        <v>13.274745359550399</v>
      </c>
      <c r="AL6081">
        <v>82.186136169120601</v>
      </c>
      <c r="AM6081">
        <v>85.910266597406505</v>
      </c>
      <c r="AN6081">
        <v>1.0000000057787199</v>
      </c>
    </row>
    <row r="6082" spans="1:40" x14ac:dyDescent="0.25">
      <c r="A6082" t="str">
        <f>"20190312164147035"</f>
        <v>20190312164147035</v>
      </c>
      <c r="B6082" t="str">
        <f>"1552380107032482"</f>
        <v>1552380107032482</v>
      </c>
      <c r="C6082" t="s">
        <v>40</v>
      </c>
      <c r="D6082">
        <v>6.0553929999999996</v>
      </c>
      <c r="E6082">
        <v>0.48551539999999999</v>
      </c>
      <c r="F6082" t="s">
        <v>42</v>
      </c>
      <c r="G6082">
        <v>-272.31369999999998</v>
      </c>
      <c r="H6082">
        <v>1.046033</v>
      </c>
      <c r="I6082">
        <v>-65.555459999999997</v>
      </c>
      <c r="J6082">
        <v>-273.05590000000001</v>
      </c>
      <c r="K6082">
        <v>1.126714</v>
      </c>
      <c r="L6082">
        <v>-65.733980000000003</v>
      </c>
      <c r="M6082">
        <v>0.96456180000000002</v>
      </c>
      <c r="N6082">
        <v>0</v>
      </c>
      <c r="O6082">
        <v>0.26325779999999999</v>
      </c>
      <c r="P6082">
        <v>0.97706760000000004</v>
      </c>
      <c r="Q6082">
        <v>0.11261119999999999</v>
      </c>
      <c r="R6082">
        <v>0.18071499999999999</v>
      </c>
      <c r="S6082">
        <v>2.9661249999999999</v>
      </c>
      <c r="T6082">
        <v>-0.26318160000000002</v>
      </c>
      <c r="U6082">
        <v>0.73794559999999998</v>
      </c>
      <c r="V6082">
        <v>7.7409539999999999E-2</v>
      </c>
      <c r="W6082">
        <v>0.1335461</v>
      </c>
      <c r="X6082">
        <v>0.98801479999999997</v>
      </c>
      <c r="Y6082">
        <v>2.1578380000000001E-2</v>
      </c>
      <c r="Z6082">
        <v>-2.3521130000000001E-2</v>
      </c>
      <c r="AA6082">
        <v>0.9994904</v>
      </c>
      <c r="AB6082">
        <v>36</v>
      </c>
      <c r="AC6082">
        <v>0.74220000000002495</v>
      </c>
      <c r="AD6082">
        <v>-8.0680999999999906E-2</v>
      </c>
      <c r="AE6082">
        <v>0.17852000000000601</v>
      </c>
      <c r="AF6082">
        <v>2.2943736533583399E-2</v>
      </c>
      <c r="AG6082">
        <v>-8.0680999999999906E-2</v>
      </c>
      <c r="AH6082">
        <v>0.75458591646594997</v>
      </c>
      <c r="AI6082">
        <v>96.100132105635694</v>
      </c>
      <c r="AJ6082">
        <v>88.258416500631199</v>
      </c>
      <c r="AK6082">
        <v>0.75923365582400204</v>
      </c>
      <c r="AL6082">
        <v>82.325443866691899</v>
      </c>
      <c r="AM6082">
        <v>85.5201096390754</v>
      </c>
      <c r="AN6082">
        <v>1.00000002136363</v>
      </c>
    </row>
    <row r="6083" spans="1:40" x14ac:dyDescent="0.25">
      <c r="A6083" t="str">
        <f>"20190312164147047"</f>
        <v>20190312164147047</v>
      </c>
      <c r="B6083" t="str">
        <f>"1552380107042241"</f>
        <v>1552380107042241</v>
      </c>
      <c r="C6083" t="s">
        <v>40</v>
      </c>
      <c r="D6083">
        <v>6.183541</v>
      </c>
      <c r="E6083">
        <v>0.4856066</v>
      </c>
      <c r="F6083" t="s">
        <v>42</v>
      </c>
      <c r="G6083">
        <v>-272.30610000000001</v>
      </c>
      <c r="H6083">
        <v>1.0583419999999999</v>
      </c>
      <c r="I6083">
        <v>-65.546509999999998</v>
      </c>
      <c r="J6083">
        <v>-272.87950000000001</v>
      </c>
      <c r="K6083">
        <v>1.1264970000000001</v>
      </c>
      <c r="L6083">
        <v>-65.681489999999997</v>
      </c>
      <c r="M6083">
        <v>0.96237989999999995</v>
      </c>
      <c r="N6083">
        <v>0</v>
      </c>
      <c r="O6083">
        <v>0.27113090000000001</v>
      </c>
      <c r="P6083">
        <v>0.97693960000000002</v>
      </c>
      <c r="Q6083">
        <v>0.11091570000000001</v>
      </c>
      <c r="R6083">
        <v>0.1824469</v>
      </c>
      <c r="S6083">
        <v>2.9644780000000002</v>
      </c>
      <c r="T6083">
        <v>-0.27027319999999999</v>
      </c>
      <c r="U6083">
        <v>0.74118039999999996</v>
      </c>
      <c r="V6083">
        <v>8.3933170000000001E-2</v>
      </c>
      <c r="W6083">
        <v>0.13199159999999999</v>
      </c>
      <c r="X6083">
        <v>0.98769099999999999</v>
      </c>
      <c r="Y6083">
        <v>2.84791E-2</v>
      </c>
      <c r="Z6083">
        <v>-2.5144799999999998E-2</v>
      </c>
      <c r="AA6083">
        <v>0.99927809999999995</v>
      </c>
      <c r="AB6083">
        <v>36</v>
      </c>
      <c r="AC6083">
        <v>0.57339999999999203</v>
      </c>
      <c r="AD6083">
        <v>-6.8154999999999702E-2</v>
      </c>
      <c r="AE6083">
        <v>0.13497999999999799</v>
      </c>
      <c r="AF6083">
        <v>2.5230677793132199E-2</v>
      </c>
      <c r="AG6083">
        <v>-6.8154999999999702E-2</v>
      </c>
      <c r="AH6083">
        <v>0.58074403259585605</v>
      </c>
      <c r="AI6083">
        <v>96.687253651600003</v>
      </c>
      <c r="AJ6083">
        <v>87.512324249503394</v>
      </c>
      <c r="AK6083">
        <v>0.58527371589931898</v>
      </c>
      <c r="AL6083">
        <v>82.415305815697096</v>
      </c>
      <c r="AM6083">
        <v>85.142721497649205</v>
      </c>
      <c r="AN6083">
        <v>1.0000000354889</v>
      </c>
    </row>
    <row r="6084" spans="1:40" x14ac:dyDescent="0.25">
      <c r="A6084" t="str">
        <f>"20190312164147058"</f>
        <v>20190312164147058</v>
      </c>
      <c r="B6084" t="str">
        <f>"1552380107052001"</f>
        <v>1552380107052001</v>
      </c>
      <c r="C6084" t="s">
        <v>40</v>
      </c>
      <c r="D6084">
        <v>6.0596329999999998</v>
      </c>
      <c r="E6084">
        <v>0.48567650000000001</v>
      </c>
      <c r="F6084" t="s">
        <v>42</v>
      </c>
      <c r="G6084">
        <v>-272.00889999999998</v>
      </c>
      <c r="H6084">
        <v>1.04566</v>
      </c>
      <c r="I6084">
        <v>-65.462530000000001</v>
      </c>
      <c r="J6084">
        <v>-272.70999999999998</v>
      </c>
      <c r="K6084">
        <v>1.126287</v>
      </c>
      <c r="L6084">
        <v>-65.630489999999995</v>
      </c>
      <c r="M6084">
        <v>0.96024109999999996</v>
      </c>
      <c r="N6084">
        <v>0</v>
      </c>
      <c r="O6084">
        <v>0.27861520000000001</v>
      </c>
      <c r="P6084">
        <v>0.97695650000000001</v>
      </c>
      <c r="Q6084">
        <v>0.10975600000000001</v>
      </c>
      <c r="R6084">
        <v>0.18305640000000001</v>
      </c>
      <c r="S6084">
        <v>2.9628299999999999</v>
      </c>
      <c r="T6084">
        <v>-0.275223299999999</v>
      </c>
      <c r="U6084">
        <v>0.74542240000000004</v>
      </c>
      <c r="V6084">
        <v>9.1169879999999995E-2</v>
      </c>
      <c r="W6084">
        <v>0.13099430000000001</v>
      </c>
      <c r="X6084">
        <v>0.98718209999999995</v>
      </c>
      <c r="Y6084">
        <v>3.4688820000000002E-2</v>
      </c>
      <c r="Z6084">
        <v>-2.6546259999999999E-2</v>
      </c>
      <c r="AA6084">
        <v>0.99904559999999998</v>
      </c>
      <c r="AB6084">
        <v>36</v>
      </c>
      <c r="AC6084">
        <v>0.70109999999999595</v>
      </c>
      <c r="AD6084">
        <v>-8.0627000000000004E-2</v>
      </c>
      <c r="AE6084">
        <v>0.16796000000000699</v>
      </c>
      <c r="AF6084">
        <v>3.36395699407619E-2</v>
      </c>
      <c r="AG6084">
        <v>-8.0627000000000004E-2</v>
      </c>
      <c r="AH6084">
        <v>0.71123740026575599</v>
      </c>
      <c r="AI6084">
        <v>96.460369522551105</v>
      </c>
      <c r="AJ6084">
        <v>87.292085474342898</v>
      </c>
      <c r="AK6084">
        <v>0.71658284470924205</v>
      </c>
      <c r="AL6084">
        <v>82.472946943231605</v>
      </c>
      <c r="AM6084">
        <v>84.723492551969798</v>
      </c>
      <c r="AN6084">
        <v>0.99999997610605595</v>
      </c>
    </row>
    <row r="6085" spans="1:40" x14ac:dyDescent="0.25">
      <c r="A6085" t="str">
        <f>"20190312164147069"</f>
        <v>20190312164147069</v>
      </c>
      <c r="B6085" t="str">
        <f>"1552380107062737"</f>
        <v>1552380107062737</v>
      </c>
      <c r="C6085" t="s">
        <v>40</v>
      </c>
      <c r="D6085">
        <v>6.0379009999999997</v>
      </c>
      <c r="E6085">
        <v>0.48577330000000002</v>
      </c>
      <c r="F6085" t="s">
        <v>42</v>
      </c>
      <c r="G6085">
        <v>-271.70819999999998</v>
      </c>
      <c r="H6085">
        <v>1.0320720000000001</v>
      </c>
      <c r="I6085">
        <v>-65.378230000000002</v>
      </c>
      <c r="J6085">
        <v>-272.53710000000001</v>
      </c>
      <c r="K6085">
        <v>1.1260049999999999</v>
      </c>
      <c r="L6085">
        <v>-65.575990000000004</v>
      </c>
      <c r="M6085">
        <v>0.95810030000000002</v>
      </c>
      <c r="N6085">
        <v>0</v>
      </c>
      <c r="O6085">
        <v>0.28589589999999998</v>
      </c>
      <c r="P6085">
        <v>0.97683200000000003</v>
      </c>
      <c r="Q6085">
        <v>0.110039899999999</v>
      </c>
      <c r="R6085">
        <v>0.1835493</v>
      </c>
      <c r="S6085">
        <v>2.9622799999999998</v>
      </c>
      <c r="T6085">
        <v>-0.27854570000000001</v>
      </c>
      <c r="U6085">
        <v>0.7458496</v>
      </c>
      <c r="V6085">
        <v>9.824803E-2</v>
      </c>
      <c r="W6085">
        <v>0.13138900000000001</v>
      </c>
      <c r="X6085">
        <v>0.9864503</v>
      </c>
      <c r="Y6085">
        <v>4.200661E-2</v>
      </c>
      <c r="Z6085">
        <v>-2.784737E-2</v>
      </c>
      <c r="AA6085">
        <v>0.99872919999999998</v>
      </c>
      <c r="AB6085">
        <v>36</v>
      </c>
      <c r="AC6085">
        <v>0.82890000000003194</v>
      </c>
      <c r="AD6085">
        <v>-9.3933000000000003E-2</v>
      </c>
      <c r="AE6085">
        <v>0.19776000000000199</v>
      </c>
      <c r="AF6085">
        <v>4.6942133827095597E-2</v>
      </c>
      <c r="AG6085">
        <v>-9.3933000000000003E-2</v>
      </c>
      <c r="AH6085">
        <v>0.84062496829711097</v>
      </c>
      <c r="AI6085">
        <v>96.366051600268193</v>
      </c>
      <c r="AJ6085">
        <v>86.803811682992603</v>
      </c>
      <c r="AK6085">
        <v>0.84715837347084</v>
      </c>
      <c r="AL6085">
        <v>82.450135086650903</v>
      </c>
      <c r="AM6085">
        <v>84.312238330630194</v>
      </c>
      <c r="AN6085">
        <v>0.99999996954498405</v>
      </c>
    </row>
    <row r="6086" spans="1:40" x14ac:dyDescent="0.25">
      <c r="A6086" t="str">
        <f>"20190312164147081"</f>
        <v>20190312164147081</v>
      </c>
      <c r="B6086" t="str">
        <f>"1552380107072497"</f>
        <v>1552380107072497</v>
      </c>
      <c r="C6086" t="s">
        <v>40</v>
      </c>
      <c r="D6086">
        <v>6.1199589999999997</v>
      </c>
      <c r="E6086">
        <v>0.4858769</v>
      </c>
      <c r="F6086" t="s">
        <v>42</v>
      </c>
      <c r="G6086">
        <v>-271.70370000000003</v>
      </c>
      <c r="H6086">
        <v>1.0479099999999999</v>
      </c>
      <c r="I6086">
        <v>-65.366100000000003</v>
      </c>
      <c r="J6086">
        <v>-272.36959999999999</v>
      </c>
      <c r="K6086">
        <v>1.1257189999999999</v>
      </c>
      <c r="L6086">
        <v>-65.522669999999906</v>
      </c>
      <c r="M6086">
        <v>0.95600589999999996</v>
      </c>
      <c r="N6086">
        <v>0</v>
      </c>
      <c r="O6086">
        <v>0.29282920000000001</v>
      </c>
      <c r="P6086">
        <v>0.97667959999999998</v>
      </c>
      <c r="Q6086">
        <v>0.1110546</v>
      </c>
      <c r="R6086">
        <v>0.18374979999999999</v>
      </c>
      <c r="S6086">
        <v>2.96225</v>
      </c>
      <c r="T6086">
        <v>-0.27756690000000001</v>
      </c>
      <c r="U6086">
        <v>0.74603269999999899</v>
      </c>
      <c r="V6086">
        <v>0.1052246</v>
      </c>
      <c r="W6086">
        <v>0.13249929999999999</v>
      </c>
      <c r="X6086">
        <v>0.98558190000000001</v>
      </c>
      <c r="Y6086">
        <v>4.913671E-2</v>
      </c>
      <c r="Z6086">
        <v>-2.868385E-2</v>
      </c>
      <c r="AA6086">
        <v>0.99838009999999999</v>
      </c>
      <c r="AB6086">
        <v>36</v>
      </c>
      <c r="AC6086">
        <v>0.66589999999996496</v>
      </c>
      <c r="AD6086">
        <v>-7.7809000000000003E-2</v>
      </c>
      <c r="AE6086">
        <v>0.156569999999987</v>
      </c>
      <c r="AF6086">
        <v>4.4741136963378697E-2</v>
      </c>
      <c r="AG6086">
        <v>-7.7809000000000003E-2</v>
      </c>
      <c r="AH6086">
        <v>0.67383805726759005</v>
      </c>
      <c r="AI6086">
        <v>96.5725047879953</v>
      </c>
      <c r="AJ6086">
        <v>86.201281468173605</v>
      </c>
      <c r="AK6086">
        <v>0.67978948008919404</v>
      </c>
      <c r="AL6086">
        <v>82.385958580813394</v>
      </c>
      <c r="AM6086">
        <v>83.905961642840097</v>
      </c>
      <c r="AN6086">
        <v>0.99999998127662904</v>
      </c>
    </row>
    <row r="6087" spans="1:40" x14ac:dyDescent="0.25">
      <c r="A6087" t="str">
        <f>"20190312164147091"</f>
        <v>20190312164147091</v>
      </c>
      <c r="B6087" t="str">
        <f>"1552380107082258"</f>
        <v>1552380107082258</v>
      </c>
      <c r="C6087" t="s">
        <v>40</v>
      </c>
      <c r="D6087">
        <v>6.0621169999999998</v>
      </c>
      <c r="E6087">
        <v>0.48598550000000001</v>
      </c>
      <c r="F6087" t="s">
        <v>42</v>
      </c>
      <c r="G6087">
        <v>-271.40230000000003</v>
      </c>
      <c r="H6087">
        <v>1.0363800000000001</v>
      </c>
      <c r="I6087">
        <v>-65.279619999999994</v>
      </c>
      <c r="J6087">
        <v>-272.20609999999999</v>
      </c>
      <c r="K6087">
        <v>1.125389</v>
      </c>
      <c r="L6087">
        <v>-65.468959999999996</v>
      </c>
      <c r="M6087">
        <v>0.95400700000000005</v>
      </c>
      <c r="N6087">
        <v>0</v>
      </c>
      <c r="O6087">
        <v>0.2992824</v>
      </c>
      <c r="P6087">
        <v>0.97650740000000003</v>
      </c>
      <c r="Q6087">
        <v>0.1127365</v>
      </c>
      <c r="R6087">
        <v>0.18364069999999999</v>
      </c>
      <c r="S6087">
        <v>2.9625849999999998</v>
      </c>
      <c r="T6087">
        <v>-0.27401439999999999</v>
      </c>
      <c r="U6087">
        <v>0.74520869999999995</v>
      </c>
      <c r="V6087">
        <v>0.1119946</v>
      </c>
      <c r="W6087">
        <v>0.1342351</v>
      </c>
      <c r="X6087">
        <v>0.98460049999999999</v>
      </c>
      <c r="Y6087">
        <v>5.6155280000000002E-2</v>
      </c>
      <c r="Z6087">
        <v>-2.9190589999999999E-2</v>
      </c>
      <c r="AA6087">
        <v>0.99799530000000003</v>
      </c>
      <c r="AB6087">
        <v>36</v>
      </c>
      <c r="AC6087">
        <v>0.80379999999996699</v>
      </c>
      <c r="AD6087">
        <v>-8.9009000000000102E-2</v>
      </c>
      <c r="AE6087">
        <v>0.18934000000000101</v>
      </c>
      <c r="AF6087">
        <v>5.9252148166849698E-2</v>
      </c>
      <c r="AG6087">
        <v>-8.9009000000000102E-2</v>
      </c>
      <c r="AH6087">
        <v>0.81416212447631997</v>
      </c>
      <c r="AI6087">
        <v>96.222805818037898</v>
      </c>
      <c r="AJ6087">
        <v>85.837532558331304</v>
      </c>
      <c r="AK6087">
        <v>0.82115369089786205</v>
      </c>
      <c r="AL6087">
        <v>82.285608223761301</v>
      </c>
      <c r="AM6087">
        <v>83.510711464457202</v>
      </c>
      <c r="AN6087">
        <v>0.99999999855070998</v>
      </c>
    </row>
    <row r="6088" spans="1:40" x14ac:dyDescent="0.25">
      <c r="A6088" t="str">
        <f>"20190312164147102"</f>
        <v>20190312164147102</v>
      </c>
      <c r="B6088" t="str">
        <f>"1552380107092018"</f>
        <v>1552380107092018</v>
      </c>
      <c r="C6088" t="s">
        <v>40</v>
      </c>
      <c r="D6088">
        <v>6.0638339999999999</v>
      </c>
      <c r="E6088">
        <v>0.48607640000000002</v>
      </c>
      <c r="F6088" t="s">
        <v>42</v>
      </c>
      <c r="G6088">
        <v>-271.39839999999998</v>
      </c>
      <c r="H6088">
        <v>1.0522359999999999</v>
      </c>
      <c r="I6088">
        <v>-65.266559999999998</v>
      </c>
      <c r="J6088">
        <v>-272.04289999999997</v>
      </c>
      <c r="K6088">
        <v>1.12503</v>
      </c>
      <c r="L6088">
        <v>-65.414550000000006</v>
      </c>
      <c r="M6088">
        <v>0.95203139999999997</v>
      </c>
      <c r="N6088">
        <v>0</v>
      </c>
      <c r="O6088">
        <v>0.30551469999999997</v>
      </c>
      <c r="P6088">
        <v>0.97643360000000001</v>
      </c>
      <c r="Q6088">
        <v>0.1139203</v>
      </c>
      <c r="R6088">
        <v>0.18330199999999999</v>
      </c>
      <c r="S6088">
        <v>2.963409</v>
      </c>
      <c r="T6088">
        <v>-0.26881500000000003</v>
      </c>
      <c r="U6088">
        <v>0.74353029999999998</v>
      </c>
      <c r="V6088">
        <v>0.1188229</v>
      </c>
      <c r="W6088">
        <v>0.13545170000000001</v>
      </c>
      <c r="X6088">
        <v>0.98363299999999998</v>
      </c>
      <c r="Y6088">
        <v>6.328288E-2</v>
      </c>
      <c r="Z6088">
        <v>-2.947638E-2</v>
      </c>
      <c r="AA6088">
        <v>0.99756029999999996</v>
      </c>
      <c r="AB6088">
        <v>36</v>
      </c>
      <c r="AC6088">
        <v>0.64449999999999297</v>
      </c>
      <c r="AD6088">
        <v>-7.2793999999999998E-2</v>
      </c>
      <c r="AE6088">
        <v>0.147990000000007</v>
      </c>
      <c r="AF6088">
        <v>5.53506780696452E-2</v>
      </c>
      <c r="AG6088">
        <v>-7.2793999999999998E-2</v>
      </c>
      <c r="AH6088">
        <v>0.65100632250809098</v>
      </c>
      <c r="AI6088">
        <v>96.357428315746404</v>
      </c>
      <c r="AJ6088">
        <v>85.140214096386003</v>
      </c>
      <c r="AK6088">
        <v>0.65739782167594596</v>
      </c>
      <c r="AL6088">
        <v>82.215259385813098</v>
      </c>
      <c r="AM6088">
        <v>83.112042997592198</v>
      </c>
      <c r="AN6088">
        <v>0.99999996164314897</v>
      </c>
    </row>
    <row r="6089" spans="1:40" x14ac:dyDescent="0.25">
      <c r="A6089" t="str">
        <f>"20190312164147112"</f>
        <v>20190312164147112</v>
      </c>
      <c r="B6089" t="str">
        <f>"1552380107102755"</f>
        <v>1552380107102755</v>
      </c>
      <c r="C6089" t="s">
        <v>40</v>
      </c>
      <c r="D6089">
        <v>6.0657310000000004</v>
      </c>
      <c r="E6089">
        <v>0.48618509999999998</v>
      </c>
      <c r="F6089" t="s">
        <v>42</v>
      </c>
      <c r="G6089">
        <v>-271.09730000000002</v>
      </c>
      <c r="H6089">
        <v>1.040584</v>
      </c>
      <c r="I6089">
        <v>-65.178219999999996</v>
      </c>
      <c r="J6089">
        <v>-271.87880000000001</v>
      </c>
      <c r="K6089">
        <v>1.124619</v>
      </c>
      <c r="L6089">
        <v>-65.358609999999999</v>
      </c>
      <c r="M6089">
        <v>0.95009710000000003</v>
      </c>
      <c r="N6089">
        <v>0</v>
      </c>
      <c r="O6089">
        <v>0.31148379999999998</v>
      </c>
      <c r="P6089">
        <v>0.97648040000000003</v>
      </c>
      <c r="Q6089">
        <v>0.1149013</v>
      </c>
      <c r="R6089">
        <v>0.18243870000000001</v>
      </c>
      <c r="S6089">
        <v>2.964172</v>
      </c>
      <c r="T6089">
        <v>-0.26482260000000002</v>
      </c>
      <c r="U6089">
        <v>0.74108890000000005</v>
      </c>
      <c r="V6089">
        <v>0.12594649999999999</v>
      </c>
      <c r="W6089">
        <v>0.13644039999999999</v>
      </c>
      <c r="X6089">
        <v>0.98260950000000002</v>
      </c>
      <c r="Y6089">
        <v>7.0372210000000004E-2</v>
      </c>
      <c r="Z6089">
        <v>-2.9842250000000001E-2</v>
      </c>
      <c r="AA6089">
        <v>0.99707429999999997</v>
      </c>
      <c r="AB6089">
        <v>36</v>
      </c>
      <c r="AC6089">
        <v>0.78149999999999398</v>
      </c>
      <c r="AD6089">
        <v>-8.4034999999999999E-2</v>
      </c>
      <c r="AE6089">
        <v>0.18039000000000199</v>
      </c>
      <c r="AF6089">
        <v>7.1264805403439699E-2</v>
      </c>
      <c r="AG6089">
        <v>-8.4034999999999999E-2</v>
      </c>
      <c r="AH6089">
        <v>0.79013263601579098</v>
      </c>
      <c r="AI6089">
        <v>96.046541925879694</v>
      </c>
      <c r="AJ6089">
        <v>84.846239598502805</v>
      </c>
      <c r="AK6089">
        <v>0.79777825002406</v>
      </c>
      <c r="AL6089">
        <v>82.158080244965504</v>
      </c>
      <c r="AM6089">
        <v>82.6959085259152</v>
      </c>
      <c r="AN6089">
        <v>0.99999996655232903</v>
      </c>
    </row>
    <row r="6090" spans="1:40" x14ac:dyDescent="0.25">
      <c r="A6090" t="str">
        <f>"20190312164147125"</f>
        <v>20190312164147125</v>
      </c>
      <c r="B6090" t="str">
        <f>"1552380107112514"</f>
        <v>1552380107112514</v>
      </c>
      <c r="C6090" t="s">
        <v>40</v>
      </c>
      <c r="D6090">
        <v>6.122001</v>
      </c>
      <c r="E6090">
        <v>0.48629450000000002</v>
      </c>
      <c r="F6090" t="s">
        <v>42</v>
      </c>
      <c r="G6090">
        <v>-271.09370000000001</v>
      </c>
      <c r="H6090">
        <v>1.055474</v>
      </c>
      <c r="I6090">
        <v>-65.163449999999997</v>
      </c>
      <c r="J6090">
        <v>-271.70949999999999</v>
      </c>
      <c r="K6090">
        <v>1.1241460000000001</v>
      </c>
      <c r="L6090">
        <v>-65.299899999999994</v>
      </c>
      <c r="M6090">
        <v>0.94817969999999896</v>
      </c>
      <c r="N6090">
        <v>0</v>
      </c>
      <c r="O6090">
        <v>0.31727899999999998</v>
      </c>
      <c r="P6090">
        <v>0.97662300000000002</v>
      </c>
      <c r="Q6090">
        <v>0.1153573</v>
      </c>
      <c r="R6090">
        <v>0.18138509999999999</v>
      </c>
      <c r="S6090">
        <v>2.9653019999999999</v>
      </c>
      <c r="T6090">
        <v>-0.26131779999999999</v>
      </c>
      <c r="U6090">
        <v>0.73745729999999998</v>
      </c>
      <c r="V6090">
        <v>0.13314779999999901</v>
      </c>
      <c r="W6090">
        <v>0.1368637</v>
      </c>
      <c r="X6090">
        <v>0.98160080000000005</v>
      </c>
      <c r="Y6090">
        <v>7.7690369999999995E-2</v>
      </c>
      <c r="Z6090">
        <v>-3.0232970000000001E-2</v>
      </c>
      <c r="AA6090">
        <v>0.99651900000000004</v>
      </c>
      <c r="AB6090">
        <v>36</v>
      </c>
      <c r="AC6090">
        <v>0.61579999999997803</v>
      </c>
      <c r="AD6090">
        <v>-6.8671999999999803E-2</v>
      </c>
      <c r="AE6090">
        <v>0.13644999999999599</v>
      </c>
      <c r="AF6090">
        <v>6.5237513598830205E-2</v>
      </c>
      <c r="AG6090">
        <v>-6.8671999999999803E-2</v>
      </c>
      <c r="AH6090">
        <v>0.61992395876224204</v>
      </c>
      <c r="AI6090">
        <v>96.286726567817993</v>
      </c>
      <c r="AJ6090">
        <v>83.992606533545697</v>
      </c>
      <c r="AK6090">
        <v>0.62711840302450605</v>
      </c>
      <c r="AL6090">
        <v>82.133598085580303</v>
      </c>
      <c r="AM6090">
        <v>82.275343587955305</v>
      </c>
      <c r="AN6090">
        <v>1.0000000697915801</v>
      </c>
    </row>
    <row r="6091" spans="1:40" x14ac:dyDescent="0.25">
      <c r="A6091" t="str">
        <f>"20190312164147135"</f>
        <v>20190312164147135</v>
      </c>
      <c r="B6091" t="str">
        <f>"1552380107132033"</f>
        <v>1552380107132033</v>
      </c>
      <c r="C6091" t="s">
        <v>40</v>
      </c>
      <c r="D6091">
        <v>6.0578820000000002</v>
      </c>
      <c r="E6091">
        <v>0.4865083</v>
      </c>
      <c r="F6091" t="s">
        <v>42</v>
      </c>
      <c r="G6091">
        <v>-270.79349999999999</v>
      </c>
      <c r="H6091">
        <v>1.044038</v>
      </c>
      <c r="I6091">
        <v>-65.073480000000004</v>
      </c>
      <c r="J6091">
        <v>-271.53919999999999</v>
      </c>
      <c r="K6091">
        <v>1.1236360000000001</v>
      </c>
      <c r="L6091">
        <v>-65.240080000000006</v>
      </c>
      <c r="M6091">
        <v>0.94629940000000001</v>
      </c>
      <c r="N6091">
        <v>0</v>
      </c>
      <c r="O6091">
        <v>0.32284970000000002</v>
      </c>
      <c r="P6091">
        <v>0.97693759999999996</v>
      </c>
      <c r="Q6091">
        <v>0.1148623</v>
      </c>
      <c r="R6091">
        <v>0.17999949999999901</v>
      </c>
      <c r="S6091">
        <v>2.9661870000000001</v>
      </c>
      <c r="T6091">
        <v>-0.25952320000000001</v>
      </c>
      <c r="U6091">
        <v>0.73370360000000001</v>
      </c>
      <c r="V6091">
        <v>0.14053740000000001</v>
      </c>
      <c r="W6091">
        <v>0.1363105</v>
      </c>
      <c r="X6091">
        <v>0.98064709999999999</v>
      </c>
      <c r="Y6091">
        <v>8.4784419999999999E-2</v>
      </c>
      <c r="Z6091">
        <v>-3.0778509999999999E-2</v>
      </c>
      <c r="AA6091">
        <v>0.99592380000000003</v>
      </c>
      <c r="AB6091">
        <v>36</v>
      </c>
      <c r="AC6091">
        <v>0.74569999999999903</v>
      </c>
      <c r="AD6091">
        <v>-7.9598000000000002E-2</v>
      </c>
      <c r="AE6091">
        <v>0.166600000000002</v>
      </c>
      <c r="AF6091">
        <v>8.2215181454647096E-2</v>
      </c>
      <c r="AG6091">
        <v>-7.9598000000000002E-2</v>
      </c>
      <c r="AH6091">
        <v>0.75139627465127601</v>
      </c>
      <c r="AI6091">
        <v>96.011375428231901</v>
      </c>
      <c r="AJ6091">
        <v>83.755733663529398</v>
      </c>
      <c r="AK6091">
        <v>0.76006022078874502</v>
      </c>
      <c r="AL6091">
        <v>82.165593611134099</v>
      </c>
      <c r="AM6091">
        <v>81.844421922322496</v>
      </c>
      <c r="AN6091">
        <v>1.0000000239736999</v>
      </c>
    </row>
    <row r="6092" spans="1:40" x14ac:dyDescent="0.25">
      <c r="A6092" t="str">
        <f>"20190312164147147"</f>
        <v>20190312164147147</v>
      </c>
      <c r="B6092" t="str">
        <f>"1552380107142770"</f>
        <v>1552380107142770</v>
      </c>
      <c r="C6092" t="s">
        <v>40</v>
      </c>
      <c r="D6092">
        <v>6.0562579999999997</v>
      </c>
      <c r="E6092">
        <v>0.48661840000000001</v>
      </c>
      <c r="F6092" t="s">
        <v>42</v>
      </c>
      <c r="G6092">
        <v>-270.78960000000001</v>
      </c>
      <c r="H6092">
        <v>1.058014</v>
      </c>
      <c r="I6092">
        <v>-65.056389999999993</v>
      </c>
      <c r="J6092">
        <v>-271.36340000000001</v>
      </c>
      <c r="K6092">
        <v>1.12303</v>
      </c>
      <c r="L6092">
        <v>-65.176999999999893</v>
      </c>
      <c r="M6092">
        <v>0.94452429999999998</v>
      </c>
      <c r="N6092">
        <v>0</v>
      </c>
      <c r="O6092">
        <v>0.32801259999999999</v>
      </c>
      <c r="P6092">
        <v>0.97721979999999997</v>
      </c>
      <c r="Q6092">
        <v>0.1137484</v>
      </c>
      <c r="R6092">
        <v>0.17917239999999901</v>
      </c>
      <c r="S6092">
        <v>2.967285</v>
      </c>
      <c r="T6092">
        <v>-0.25992989999999999</v>
      </c>
      <c r="U6092">
        <v>0.72790529999999998</v>
      </c>
      <c r="V6092">
        <v>0.14701879999999901</v>
      </c>
      <c r="W6092">
        <v>0.1350529</v>
      </c>
      <c r="X6092">
        <v>0.97987049999999998</v>
      </c>
      <c r="Y6092">
        <v>9.2096430000000007E-2</v>
      </c>
      <c r="Z6092">
        <v>-3.1556679999999997E-2</v>
      </c>
      <c r="AA6092">
        <v>0.99524990000000002</v>
      </c>
      <c r="AB6092">
        <v>36</v>
      </c>
      <c r="AC6092">
        <v>0.57380000000000497</v>
      </c>
      <c r="AD6092">
        <v>-6.5015999999999893E-2</v>
      </c>
      <c r="AE6092">
        <v>0.12060999999998499</v>
      </c>
      <c r="AF6092">
        <v>7.3402501999652203E-2</v>
      </c>
      <c r="AG6092">
        <v>-6.5015999999999893E-2</v>
      </c>
      <c r="AH6092">
        <v>0.57454723736970903</v>
      </c>
      <c r="AI6092">
        <v>96.404531994664097</v>
      </c>
      <c r="AJ6092">
        <v>82.719495622701402</v>
      </c>
      <c r="AK6092">
        <v>0.58285464356473404</v>
      </c>
      <c r="AL6092">
        <v>82.238321190221399</v>
      </c>
      <c r="AM6092">
        <v>81.467048463118005</v>
      </c>
      <c r="AN6092">
        <v>1.00000000506104</v>
      </c>
    </row>
    <row r="6093" spans="1:40" x14ac:dyDescent="0.25">
      <c r="A6093" t="str">
        <f>"20190312164147160"</f>
        <v>20190312164147160</v>
      </c>
      <c r="B6093" t="str">
        <f>"1552380107152529"</f>
        <v>1552380107152529</v>
      </c>
      <c r="C6093" t="s">
        <v>40</v>
      </c>
      <c r="D6093">
        <v>6.0514929999999998</v>
      </c>
      <c r="E6093">
        <v>0.48671799999999998</v>
      </c>
      <c r="F6093" t="s">
        <v>42</v>
      </c>
      <c r="G6093">
        <v>-270.49180000000001</v>
      </c>
      <c r="H6093">
        <v>1.0458259999999999</v>
      </c>
      <c r="I6093">
        <v>-64.964389999999995</v>
      </c>
      <c r="J6093">
        <v>-271.17790000000002</v>
      </c>
      <c r="K6093">
        <v>1.1223609999999999</v>
      </c>
      <c r="L6093">
        <v>-65.109919999999903</v>
      </c>
      <c r="M6093">
        <v>0.94271340000000003</v>
      </c>
      <c r="N6093">
        <v>0</v>
      </c>
      <c r="O6093">
        <v>0.33318799999999998</v>
      </c>
      <c r="P6093">
        <v>0.97746860000000002</v>
      </c>
      <c r="Q6093">
        <v>0.1123229</v>
      </c>
      <c r="R6093">
        <v>0.1787144</v>
      </c>
      <c r="S6093">
        <v>2.9676819999999999</v>
      </c>
      <c r="T6093">
        <v>-0.2629184</v>
      </c>
      <c r="U6093">
        <v>0.72436519999999904</v>
      </c>
      <c r="V6093">
        <v>0.15318660000000001</v>
      </c>
      <c r="W6093">
        <v>0.13342889999999999</v>
      </c>
      <c r="X6093">
        <v>0.97914789999999996</v>
      </c>
      <c r="Y6093">
        <v>9.8630990000000002E-2</v>
      </c>
      <c r="Z6093">
        <v>-3.2626490000000001E-2</v>
      </c>
      <c r="AA6093">
        <v>0.9945891</v>
      </c>
      <c r="AB6093">
        <v>36</v>
      </c>
      <c r="AC6093">
        <v>0.68610000000001004</v>
      </c>
      <c r="AD6093">
        <v>-7.65350000000002E-2</v>
      </c>
      <c r="AE6093">
        <v>0.14552999999997901</v>
      </c>
      <c r="AF6093">
        <v>9.0344075668781595E-2</v>
      </c>
      <c r="AG6093">
        <v>-7.65350000000002E-2</v>
      </c>
      <c r="AH6093">
        <v>0.68719786595001198</v>
      </c>
      <c r="AI6093">
        <v>96.301210759254701</v>
      </c>
      <c r="AJ6093">
        <v>82.510428241251603</v>
      </c>
      <c r="AK6093">
        <v>0.69732385962312904</v>
      </c>
      <c r="AL6093">
        <v>82.332219467429397</v>
      </c>
      <c r="AM6093">
        <v>81.108217330921903</v>
      </c>
      <c r="AN6093">
        <v>1.0000000079245801</v>
      </c>
    </row>
    <row r="6094" spans="1:40" x14ac:dyDescent="0.25">
      <c r="A6094" t="str">
        <f>"20190312164147171"</f>
        <v>20190312164147171</v>
      </c>
      <c r="B6094" t="str">
        <f>"1552380107162289"</f>
        <v>1552380107162289</v>
      </c>
      <c r="C6094" t="s">
        <v>40</v>
      </c>
      <c r="D6094">
        <v>6.1130789999999999</v>
      </c>
      <c r="E6094">
        <v>0.48680800000000002</v>
      </c>
      <c r="F6094" t="s">
        <v>42</v>
      </c>
      <c r="G6094">
        <v>-270.19150000000002</v>
      </c>
      <c r="H6094">
        <v>1.033596</v>
      </c>
      <c r="I6094">
        <v>-64.870289999999997</v>
      </c>
      <c r="J6094">
        <v>-271.0179</v>
      </c>
      <c r="K6094">
        <v>1.1217280000000001</v>
      </c>
      <c r="L6094">
        <v>-65.051119999999997</v>
      </c>
      <c r="M6094">
        <v>0.94133560000000005</v>
      </c>
      <c r="N6094">
        <v>0</v>
      </c>
      <c r="O6094">
        <v>0.33706629999999999</v>
      </c>
      <c r="P6094">
        <v>0.97789170000000003</v>
      </c>
      <c r="Q6094">
        <v>0.11055429999999999</v>
      </c>
      <c r="R6094">
        <v>0.1774985</v>
      </c>
      <c r="S6094">
        <v>2.9680179999999998</v>
      </c>
      <c r="T6094">
        <v>-0.26708599999999999</v>
      </c>
      <c r="U6094">
        <v>0.72119140000000004</v>
      </c>
      <c r="V6094">
        <v>0.15877459999999999</v>
      </c>
      <c r="W6094">
        <v>0.13145989999999999</v>
      </c>
      <c r="X6094">
        <v>0.9785239</v>
      </c>
      <c r="Y6094">
        <v>0.10367460000000001</v>
      </c>
      <c r="Z6094">
        <v>-3.3687330000000001E-2</v>
      </c>
      <c r="AA6094">
        <v>0.99404060000000005</v>
      </c>
      <c r="AB6094">
        <v>36</v>
      </c>
      <c r="AC6094">
        <v>0.82639999999997804</v>
      </c>
      <c r="AD6094">
        <v>-8.8132000000000099E-2</v>
      </c>
      <c r="AE6094">
        <v>0.18082999999999999</v>
      </c>
      <c r="AF6094">
        <v>0.107181389633279</v>
      </c>
      <c r="AG6094">
        <v>-8.8132000000000099E-2</v>
      </c>
      <c r="AH6094">
        <v>0.82997794985792295</v>
      </c>
      <c r="AI6094">
        <v>96.011743654420798</v>
      </c>
      <c r="AJ6094">
        <v>82.641681936642797</v>
      </c>
      <c r="AK6094">
        <v>0.84149777002561399</v>
      </c>
      <c r="AL6094">
        <v>82.446037890168597</v>
      </c>
      <c r="AM6094">
        <v>80.783550733961107</v>
      </c>
      <c r="AN6094">
        <v>1.00000005089218</v>
      </c>
    </row>
    <row r="6095" spans="1:40" x14ac:dyDescent="0.25">
      <c r="A6095" t="str">
        <f>"20190312164147181"</f>
        <v>20190312164147181</v>
      </c>
      <c r="B6095" t="str">
        <f>"1552380107172050"</f>
        <v>1552380107172050</v>
      </c>
      <c r="C6095" t="s">
        <v>40</v>
      </c>
      <c r="D6095">
        <v>5.9962039999999996</v>
      </c>
      <c r="E6095">
        <v>0.48690030000000001</v>
      </c>
      <c r="F6095" t="s">
        <v>42</v>
      </c>
      <c r="G6095">
        <v>-270.19200000000001</v>
      </c>
      <c r="H6095">
        <v>1.045933</v>
      </c>
      <c r="I6095">
        <v>-64.852219999999903</v>
      </c>
      <c r="J6095">
        <v>-270.85340000000002</v>
      </c>
      <c r="K6095">
        <v>1.121065</v>
      </c>
      <c r="L6095">
        <v>-64.99033</v>
      </c>
      <c r="M6095">
        <v>0.93999010000000005</v>
      </c>
      <c r="N6095">
        <v>0</v>
      </c>
      <c r="O6095">
        <v>0.34080539999999998</v>
      </c>
      <c r="P6095">
        <v>0.97827299999999995</v>
      </c>
      <c r="Q6095">
        <v>0.10900070000000001</v>
      </c>
      <c r="R6095">
        <v>0.1763536</v>
      </c>
      <c r="S6095">
        <v>2.9688110000000001</v>
      </c>
      <c r="T6095">
        <v>-0.2724434</v>
      </c>
      <c r="U6095">
        <v>0.71511840000000004</v>
      </c>
      <c r="V6095">
        <v>0.16413739999999999</v>
      </c>
      <c r="W6095">
        <v>0.12967290000000001</v>
      </c>
      <c r="X6095">
        <v>0.9778772</v>
      </c>
      <c r="Y6095">
        <v>0.1095061</v>
      </c>
      <c r="Z6095">
        <v>-3.4940249999999999E-2</v>
      </c>
      <c r="AA6095">
        <v>0.99337180000000003</v>
      </c>
      <c r="AB6095">
        <v>36</v>
      </c>
      <c r="AC6095">
        <v>0.66140000000001398</v>
      </c>
      <c r="AD6095">
        <v>-7.5131999999999893E-2</v>
      </c>
      <c r="AE6095">
        <v>0.138110000000011</v>
      </c>
      <c r="AF6095">
        <v>9.4431950433311707E-2</v>
      </c>
      <c r="AG6095">
        <v>-7.5131999999999893E-2</v>
      </c>
      <c r="AH6095">
        <v>0.660699095692588</v>
      </c>
      <c r="AI6095">
        <v>96.422854942984998</v>
      </c>
      <c r="AJ6095">
        <v>81.865957301970099</v>
      </c>
      <c r="AK6095">
        <v>0.67162899411478805</v>
      </c>
      <c r="AL6095">
        <v>82.549308996048794</v>
      </c>
      <c r="AM6095">
        <v>80.471682330920004</v>
      </c>
      <c r="AN6095">
        <v>0.99999998267650403</v>
      </c>
    </row>
    <row r="6096" spans="1:40" x14ac:dyDescent="0.25">
      <c r="A6096" t="str">
        <f>"20190312164147193"</f>
        <v>20190312164147193</v>
      </c>
      <c r="B6096" t="str">
        <f>"1552380107182786"</f>
        <v>1552380107182786</v>
      </c>
      <c r="C6096" t="s">
        <v>40</v>
      </c>
      <c r="D6096">
        <v>5.9936480000000003</v>
      </c>
      <c r="E6096">
        <v>0.4869927</v>
      </c>
      <c r="F6096" t="s">
        <v>42</v>
      </c>
      <c r="G6096">
        <v>-269.89179999999999</v>
      </c>
      <c r="H6096">
        <v>1.031258</v>
      </c>
      <c r="I6096">
        <v>-64.760809999999907</v>
      </c>
      <c r="J6096">
        <v>-270.68200000000002</v>
      </c>
      <c r="K6096">
        <v>1.1203590000000001</v>
      </c>
      <c r="L6096">
        <v>-64.926329999999993</v>
      </c>
      <c r="M6096">
        <v>0.93875359999999997</v>
      </c>
      <c r="N6096">
        <v>0</v>
      </c>
      <c r="O6096">
        <v>0.344201599999999</v>
      </c>
      <c r="P6096">
        <v>0.97866260000000005</v>
      </c>
      <c r="Q6096">
        <v>0.1081086</v>
      </c>
      <c r="R6096">
        <v>0.174735</v>
      </c>
      <c r="S6096">
        <v>2.9696959999999999</v>
      </c>
      <c r="T6096">
        <v>-0.27734589999999998</v>
      </c>
      <c r="U6096">
        <v>0.70916749999999995</v>
      </c>
      <c r="V6096">
        <v>0.16958619999999999</v>
      </c>
      <c r="W6096">
        <v>0.12851009999999999</v>
      </c>
      <c r="X6096">
        <v>0.97710070000000004</v>
      </c>
      <c r="Y6096">
        <v>0.11495039999999999</v>
      </c>
      <c r="Z6096">
        <v>-3.6107769999999997E-2</v>
      </c>
      <c r="AA6096">
        <v>0.99271480000000001</v>
      </c>
      <c r="AB6096">
        <v>36</v>
      </c>
      <c r="AC6096">
        <v>0.79020000000002699</v>
      </c>
      <c r="AD6096">
        <v>-8.9101000000000097E-2</v>
      </c>
      <c r="AE6096">
        <v>0.16552000000001499</v>
      </c>
      <c r="AF6096">
        <v>0.11521783792439499</v>
      </c>
      <c r="AG6096">
        <v>-8.9101000000000097E-2</v>
      </c>
      <c r="AH6096">
        <v>0.78926879501192304</v>
      </c>
      <c r="AI6096">
        <v>96.373891815341395</v>
      </c>
      <c r="AJ6096">
        <v>81.694599862479805</v>
      </c>
      <c r="AK6096">
        <v>0.80259539567365101</v>
      </c>
      <c r="AL6096">
        <v>82.616495208378396</v>
      </c>
      <c r="AM6096">
        <v>80.153793983914198</v>
      </c>
      <c r="AN6096">
        <v>1.00000005148646</v>
      </c>
    </row>
    <row r="6097" spans="1:40" x14ac:dyDescent="0.25">
      <c r="A6097" t="str">
        <f>"20190312164147203"</f>
        <v>20190312164147203</v>
      </c>
      <c r="B6097" t="str">
        <f>"1552380107192546"</f>
        <v>1552380107192546</v>
      </c>
      <c r="C6097" t="s">
        <v>40</v>
      </c>
      <c r="D6097">
        <v>6.1087759999999998</v>
      </c>
      <c r="E6097">
        <v>0.48707850000000003</v>
      </c>
      <c r="F6097" t="s">
        <v>42</v>
      </c>
      <c r="G6097">
        <v>-269.8922</v>
      </c>
      <c r="H6097">
        <v>1.0459309999999999</v>
      </c>
      <c r="I6097">
        <v>-64.739900000000006</v>
      </c>
      <c r="J6097">
        <v>-270.53579999999999</v>
      </c>
      <c r="K6097">
        <v>1.119748</v>
      </c>
      <c r="L6097">
        <v>-64.871430000000004</v>
      </c>
      <c r="M6097">
        <v>0.93781049999999999</v>
      </c>
      <c r="N6097">
        <v>0</v>
      </c>
      <c r="O6097">
        <v>0.34676699999999999</v>
      </c>
      <c r="P6097">
        <v>0.97921570000000002</v>
      </c>
      <c r="Q6097">
        <v>0.10731259999999999</v>
      </c>
      <c r="R6097">
        <v>0.1721067</v>
      </c>
      <c r="S6097">
        <v>2.9710390000000002</v>
      </c>
      <c r="T6097">
        <v>-0.27994530000000001</v>
      </c>
      <c r="U6097">
        <v>0.70172119999999905</v>
      </c>
      <c r="V6097">
        <v>0.17513580000000001</v>
      </c>
      <c r="W6097">
        <v>0.12748999999999999</v>
      </c>
      <c r="X6097">
        <v>0.97625490000000004</v>
      </c>
      <c r="Y6097">
        <v>0.12005639999999899</v>
      </c>
      <c r="Z6097">
        <v>-3.6900669999999997E-2</v>
      </c>
      <c r="AA6097">
        <v>0.99208099999999999</v>
      </c>
      <c r="AB6097">
        <v>36</v>
      </c>
      <c r="AC6097">
        <v>0.64359999999999196</v>
      </c>
      <c r="AD6097">
        <v>-7.3816999999999994E-2</v>
      </c>
      <c r="AE6097">
        <v>0.13152999999999701</v>
      </c>
      <c r="AF6097">
        <v>9.8597194794492402E-2</v>
      </c>
      <c r="AG6097">
        <v>-7.3816999999999994E-2</v>
      </c>
      <c r="AH6097">
        <v>0.64117453980754502</v>
      </c>
      <c r="AI6097">
        <v>96.4917775186629</v>
      </c>
      <c r="AJ6097">
        <v>81.257769707214706</v>
      </c>
      <c r="AK6097">
        <v>0.65289750099671895</v>
      </c>
      <c r="AL6097">
        <v>82.675426572126895</v>
      </c>
      <c r="AM6097">
        <v>79.8295744994183</v>
      </c>
      <c r="AN6097">
        <v>0.99999993915782304</v>
      </c>
    </row>
    <row r="6098" spans="1:40" x14ac:dyDescent="0.25">
      <c r="A6098" t="str">
        <f>"20190312164147214"</f>
        <v>20190312164147214</v>
      </c>
      <c r="B6098" t="str">
        <f>"1552380107202306"</f>
        <v>1552380107202306</v>
      </c>
      <c r="C6098" t="s">
        <v>40</v>
      </c>
      <c r="D6098">
        <v>6.0574640000000004</v>
      </c>
      <c r="E6098">
        <v>0.48715409999999998</v>
      </c>
      <c r="F6098" t="s">
        <v>42</v>
      </c>
      <c r="G6098">
        <v>-269.59109999999998</v>
      </c>
      <c r="H6098">
        <v>1.030052</v>
      </c>
      <c r="I6098">
        <v>-64.65164</v>
      </c>
      <c r="J6098">
        <v>-270.3648</v>
      </c>
      <c r="K6098">
        <v>1.11903</v>
      </c>
      <c r="L6098">
        <v>-64.806880000000007</v>
      </c>
      <c r="M6098">
        <v>0.9368379</v>
      </c>
      <c r="N6098">
        <v>0</v>
      </c>
      <c r="O6098">
        <v>0.34938989999999998</v>
      </c>
      <c r="P6098">
        <v>0.97963429999999996</v>
      </c>
      <c r="Q6098">
        <v>0.10715189999999999</v>
      </c>
      <c r="R6098">
        <v>0.16980909999999999</v>
      </c>
      <c r="S6098">
        <v>2.9729610000000002</v>
      </c>
      <c r="T6098">
        <v>-0.28217730000000002</v>
      </c>
      <c r="U6098">
        <v>0.69207759999999996</v>
      </c>
      <c r="V6098">
        <v>0.1804057</v>
      </c>
      <c r="W6098">
        <v>0.12702369999999999</v>
      </c>
      <c r="X6098">
        <v>0.97535570000000005</v>
      </c>
      <c r="Y6098">
        <v>0.1259613</v>
      </c>
      <c r="Z6098">
        <v>-3.7692089999999998E-2</v>
      </c>
      <c r="AA6098">
        <v>0.99131879999999994</v>
      </c>
      <c r="AB6098">
        <v>36</v>
      </c>
      <c r="AC6098">
        <v>0.77370000000001904</v>
      </c>
      <c r="AD6098">
        <v>-8.8978000000000002E-2</v>
      </c>
      <c r="AE6098">
        <v>0.15524000000000601</v>
      </c>
      <c r="AF6098">
        <v>0.123336491785763</v>
      </c>
      <c r="AG6098">
        <v>-8.8978000000000002E-2</v>
      </c>
      <c r="AH6098">
        <v>0.769390681345549</v>
      </c>
      <c r="AI6098">
        <v>96.514358862336394</v>
      </c>
      <c r="AJ6098">
        <v>80.892734347369398</v>
      </c>
      <c r="AK6098">
        <v>0.78427737136257303</v>
      </c>
      <c r="AL6098">
        <v>82.702362958788001</v>
      </c>
      <c r="AM6098">
        <v>79.520775787036598</v>
      </c>
      <c r="AN6098">
        <v>0.999999989238334</v>
      </c>
    </row>
    <row r="6099" spans="1:40" x14ac:dyDescent="0.25">
      <c r="A6099" t="str">
        <f>"20190312164147226"</f>
        <v>20190312164147226</v>
      </c>
      <c r="B6099" t="str">
        <f>"1552380107221826"</f>
        <v>1552380107221826</v>
      </c>
      <c r="C6099" t="s">
        <v>40</v>
      </c>
      <c r="D6099">
        <v>6.1173489999999999</v>
      </c>
      <c r="E6099">
        <v>0.48738199999999998</v>
      </c>
      <c r="F6099" t="s">
        <v>42</v>
      </c>
      <c r="G6099">
        <v>-269.59160000000003</v>
      </c>
      <c r="H6099">
        <v>1.0455989999999999</v>
      </c>
      <c r="I6099">
        <v>-64.629269999999906</v>
      </c>
      <c r="J6099">
        <v>-270.18810000000002</v>
      </c>
      <c r="K6099">
        <v>1.1182840000000001</v>
      </c>
      <c r="L6099">
        <v>-64.739900000000006</v>
      </c>
      <c r="M6099">
        <v>0.93603740000000002</v>
      </c>
      <c r="N6099">
        <v>0</v>
      </c>
      <c r="O6099">
        <v>0.35153299999999998</v>
      </c>
      <c r="P6099">
        <v>0.9800584</v>
      </c>
      <c r="Q6099">
        <v>0.1069809</v>
      </c>
      <c r="R6099">
        <v>0.16745360000000001</v>
      </c>
      <c r="S6099">
        <v>2.9747309999999998</v>
      </c>
      <c r="T6099">
        <v>-0.28237620000000002</v>
      </c>
      <c r="U6099">
        <v>0.68380739999999995</v>
      </c>
      <c r="V6099">
        <v>0.1852396</v>
      </c>
      <c r="W6099">
        <v>0.1265096</v>
      </c>
      <c r="X6099">
        <v>0.9745161</v>
      </c>
      <c r="Y6099">
        <v>0.13094449999999999</v>
      </c>
      <c r="Z6099">
        <v>-3.8131369999999998E-2</v>
      </c>
      <c r="AA6099">
        <v>0.99065610000000004</v>
      </c>
      <c r="AB6099">
        <v>36</v>
      </c>
      <c r="AC6099">
        <v>0.59649999999999104</v>
      </c>
      <c r="AD6099">
        <v>-7.2685000000000097E-2</v>
      </c>
      <c r="AE6099">
        <v>0.11063000000001399</v>
      </c>
      <c r="AF6099">
        <v>0.104647204651583</v>
      </c>
      <c r="AG6099">
        <v>-7.2685000000000097E-2</v>
      </c>
      <c r="AH6099">
        <v>0.58886095064975896</v>
      </c>
      <c r="AI6099">
        <v>96.929125500662906</v>
      </c>
      <c r="AJ6099">
        <v>79.923098070233394</v>
      </c>
      <c r="AK6099">
        <v>0.60248764789539699</v>
      </c>
      <c r="AL6099">
        <v>82.732058427199206</v>
      </c>
      <c r="AM6099">
        <v>79.237405892334294</v>
      </c>
      <c r="AN6099">
        <v>1.00000000872976</v>
      </c>
    </row>
    <row r="6100" spans="1:40" x14ac:dyDescent="0.25">
      <c r="A6100" t="str">
        <f>"20190312164147237"</f>
        <v>20190312164147237</v>
      </c>
      <c r="B6100" t="str">
        <f>"1552380107232561"</f>
        <v>1552380107232561</v>
      </c>
      <c r="C6100" t="s">
        <v>40</v>
      </c>
      <c r="D6100">
        <v>6.0564140000000002</v>
      </c>
      <c r="E6100">
        <v>0.48746220000000001</v>
      </c>
      <c r="F6100" t="s">
        <v>42</v>
      </c>
      <c r="G6100">
        <v>-269.29050000000001</v>
      </c>
      <c r="H6100">
        <v>1.0332699999999999</v>
      </c>
      <c r="I6100">
        <v>-64.536739999999995</v>
      </c>
      <c r="J6100">
        <v>-270.02530000000002</v>
      </c>
      <c r="K6100">
        <v>1.117594</v>
      </c>
      <c r="L6100">
        <v>-64.677949999999996</v>
      </c>
      <c r="M6100">
        <v>0.93537969999999904</v>
      </c>
      <c r="N6100">
        <v>0</v>
      </c>
      <c r="O6100">
        <v>0.35328270000000001</v>
      </c>
      <c r="P6100">
        <v>0.98055729999999997</v>
      </c>
      <c r="Q6100">
        <v>0.10679180000000001</v>
      </c>
      <c r="R6100">
        <v>0.16463029999999901</v>
      </c>
      <c r="S6100">
        <v>2.9767459999999999</v>
      </c>
      <c r="T6100">
        <v>-0.281893</v>
      </c>
      <c r="U6100">
        <v>0.67367549999999998</v>
      </c>
      <c r="V6100">
        <v>0.1901071</v>
      </c>
      <c r="W6100">
        <v>0.12599779999999999</v>
      </c>
      <c r="X6100">
        <v>0.97364459999999997</v>
      </c>
      <c r="Y6100">
        <v>0.13612650000000001</v>
      </c>
      <c r="Z6100">
        <v>-3.8453689999999999E-2</v>
      </c>
      <c r="AA6100">
        <v>0.98994490000000002</v>
      </c>
      <c r="AB6100">
        <v>36</v>
      </c>
      <c r="AC6100">
        <v>0.734800000000007</v>
      </c>
      <c r="AD6100">
        <v>-8.4323999999999802E-2</v>
      </c>
      <c r="AE6100">
        <v>0.14120999999998601</v>
      </c>
      <c r="AF6100">
        <v>0.12592421806255999</v>
      </c>
      <c r="AG6100">
        <v>-8.4323999999999802E-2</v>
      </c>
      <c r="AH6100">
        <v>0.72805200605791598</v>
      </c>
      <c r="AI6100">
        <v>96.510819754177206</v>
      </c>
      <c r="AJ6100">
        <v>80.187177629413497</v>
      </c>
      <c r="AK6100">
        <v>0.74365796519342398</v>
      </c>
      <c r="AL6100">
        <v>82.761618749852403</v>
      </c>
      <c r="AM6100">
        <v>78.951822820842494</v>
      </c>
      <c r="AN6100">
        <v>0.999999981092204</v>
      </c>
    </row>
    <row r="6101" spans="1:40" x14ac:dyDescent="0.25">
      <c r="A6101" t="str">
        <f>"20190312164147250"</f>
        <v>20190312164147250</v>
      </c>
      <c r="B6101" t="str">
        <f>"1552380107242322"</f>
        <v>1552380107242322</v>
      </c>
      <c r="C6101" t="s">
        <v>40</v>
      </c>
      <c r="D6101">
        <v>6.0564249999999999</v>
      </c>
      <c r="E6101">
        <v>0.48757159999999999</v>
      </c>
      <c r="F6101" t="s">
        <v>42</v>
      </c>
      <c r="G6101">
        <v>-269.28980000000001</v>
      </c>
      <c r="H6101">
        <v>1.0479080000000001</v>
      </c>
      <c r="I6101">
        <v>-64.514150000000001</v>
      </c>
      <c r="J6101">
        <v>-269.84230000000002</v>
      </c>
      <c r="K6101">
        <v>1.1168070000000001</v>
      </c>
      <c r="L6101">
        <v>-64.608219999999903</v>
      </c>
      <c r="M6101">
        <v>0.93493510000000002</v>
      </c>
      <c r="N6101">
        <v>0</v>
      </c>
      <c r="O6101">
        <v>0.35446100000000003</v>
      </c>
      <c r="P6101">
        <v>0.98104239999999998</v>
      </c>
      <c r="Q6101">
        <v>0.1068339</v>
      </c>
      <c r="R6101">
        <v>0.161686</v>
      </c>
      <c r="S6101">
        <v>2.9788209999999999</v>
      </c>
      <c r="T6101">
        <v>-0.2822481</v>
      </c>
      <c r="U6101">
        <v>0.66339110000000001</v>
      </c>
      <c r="V6101">
        <v>0.19451170000000001</v>
      </c>
      <c r="W6101">
        <v>0.12564339999999999</v>
      </c>
      <c r="X6101">
        <v>0.97282009999999997</v>
      </c>
      <c r="Y6101">
        <v>0.14074690000000001</v>
      </c>
      <c r="Z6101">
        <v>-3.8812970000000002E-2</v>
      </c>
      <c r="AA6101">
        <v>0.98928450000000001</v>
      </c>
      <c r="AB6101">
        <v>36</v>
      </c>
      <c r="AC6101">
        <v>0.55250000000000898</v>
      </c>
      <c r="AD6101">
        <v>-6.8898999999999794E-2</v>
      </c>
      <c r="AE6101">
        <v>9.4069999999987802E-2</v>
      </c>
      <c r="AF6101">
        <v>0.10629757502560799</v>
      </c>
      <c r="AG6101">
        <v>-6.8898999999999794E-2</v>
      </c>
      <c r="AH6101">
        <v>0.54177769141360099</v>
      </c>
      <c r="AI6101">
        <v>97.113328033915494</v>
      </c>
      <c r="AJ6101">
        <v>78.8994890039707</v>
      </c>
      <c r="AK6101">
        <v>0.55638953402339997</v>
      </c>
      <c r="AL6101">
        <v>82.782087217920804</v>
      </c>
      <c r="AM6101">
        <v>78.693030507784798</v>
      </c>
      <c r="AN6101">
        <v>1.0000000061822201</v>
      </c>
    </row>
    <row r="6102" spans="1:40" x14ac:dyDescent="0.25">
      <c r="A6102" t="str">
        <f>"20190312164147259"</f>
        <v>20190312164147259</v>
      </c>
      <c r="B6102" t="str">
        <f>"1552380107252082"</f>
        <v>1552380107252082</v>
      </c>
      <c r="C6102" t="s">
        <v>40</v>
      </c>
      <c r="D6102">
        <v>6.055707</v>
      </c>
      <c r="E6102">
        <v>0.48768329999999999</v>
      </c>
      <c r="F6102" t="s">
        <v>42</v>
      </c>
      <c r="G6102">
        <v>-268.98970000000003</v>
      </c>
      <c r="H6102">
        <v>1.0361769999999999</v>
      </c>
      <c r="I6102">
        <v>-64.421790000000001</v>
      </c>
      <c r="J6102">
        <v>-269.68700000000001</v>
      </c>
      <c r="K6102">
        <v>1.1161369999999999</v>
      </c>
      <c r="L6102">
        <v>-64.549040000000005</v>
      </c>
      <c r="M6102">
        <v>0.93462100000000004</v>
      </c>
      <c r="N6102">
        <v>0</v>
      </c>
      <c r="O6102">
        <v>0.35529100000000002</v>
      </c>
      <c r="P6102">
        <v>0.98153749999999995</v>
      </c>
      <c r="Q6102">
        <v>0.10730779999999999</v>
      </c>
      <c r="R6102">
        <v>0.15833439999999999</v>
      </c>
      <c r="S6102">
        <v>2.9811100000000001</v>
      </c>
      <c r="T6102">
        <v>-0.28174670000000002</v>
      </c>
      <c r="U6102">
        <v>0.65252690000000002</v>
      </c>
      <c r="V6102">
        <v>0.19889180000000001</v>
      </c>
      <c r="W6102">
        <v>0.12577639999999901</v>
      </c>
      <c r="X6102">
        <v>0.97191689999999997</v>
      </c>
      <c r="Y6102">
        <v>0.14520930000000001</v>
      </c>
      <c r="Z6102">
        <v>-3.9015269999999998E-2</v>
      </c>
      <c r="AA6102">
        <v>0.98863140000000005</v>
      </c>
      <c r="AB6102">
        <v>36</v>
      </c>
      <c r="AC6102">
        <v>0.69729999999998404</v>
      </c>
      <c r="AD6102">
        <v>-7.9960000000000003E-2</v>
      </c>
      <c r="AE6102">
        <v>0.127250000000003</v>
      </c>
      <c r="AF6102">
        <v>0.12721127695791001</v>
      </c>
      <c r="AG6102">
        <v>-7.9960000000000003E-2</v>
      </c>
      <c r="AH6102">
        <v>0.68825137209305798</v>
      </c>
      <c r="AI6102">
        <v>96.517409530770706</v>
      </c>
      <c r="AJ6102">
        <v>79.528057142032495</v>
      </c>
      <c r="AK6102">
        <v>0.70446168226046102</v>
      </c>
      <c r="AL6102">
        <v>82.774406303824804</v>
      </c>
      <c r="AM6102">
        <v>78.434741897217094</v>
      </c>
      <c r="AN6102">
        <v>1.0000000557049</v>
      </c>
    </row>
    <row r="6103" spans="1:40" x14ac:dyDescent="0.25">
      <c r="A6103" t="str">
        <f>"20190312164147270"</f>
        <v>20190312164147270</v>
      </c>
      <c r="B6103" t="str">
        <f>"1552380107261842"</f>
        <v>1552380107261842</v>
      </c>
      <c r="C6103" t="s">
        <v>40</v>
      </c>
      <c r="D6103">
        <v>6.1157570000000003</v>
      </c>
      <c r="E6103">
        <v>0.48781720000000001</v>
      </c>
      <c r="F6103" t="s">
        <v>42</v>
      </c>
      <c r="G6103">
        <v>-268.68689999999998</v>
      </c>
      <c r="H6103">
        <v>1.0223719999999901</v>
      </c>
      <c r="I6103">
        <v>-64.334180000000003</v>
      </c>
      <c r="J6103">
        <v>-269.52749999999997</v>
      </c>
      <c r="K6103">
        <v>1.115437</v>
      </c>
      <c r="L6103">
        <v>-64.488280000000003</v>
      </c>
      <c r="M6103">
        <v>0.93451980000000001</v>
      </c>
      <c r="N6103">
        <v>0</v>
      </c>
      <c r="O6103">
        <v>0.35555959999999998</v>
      </c>
      <c r="P6103">
        <v>0.98219599999999996</v>
      </c>
      <c r="Q6103">
        <v>0.1073389</v>
      </c>
      <c r="R6103">
        <v>0.15417349999999999</v>
      </c>
      <c r="S6103">
        <v>2.9835820000000002</v>
      </c>
      <c r="T6103">
        <v>-0.27966079999999999</v>
      </c>
      <c r="U6103">
        <v>0.64114380000000004</v>
      </c>
      <c r="V6103">
        <v>0.2035168</v>
      </c>
      <c r="W6103">
        <v>0.12544569999999999</v>
      </c>
      <c r="X6103">
        <v>0.97100169999999997</v>
      </c>
      <c r="Y6103">
        <v>0.1492791</v>
      </c>
      <c r="Z6103">
        <v>-3.8928450000000003E-2</v>
      </c>
      <c r="AA6103">
        <v>0.98802849999999998</v>
      </c>
      <c r="AB6103">
        <v>36</v>
      </c>
      <c r="AC6103">
        <v>0.84059999999999402</v>
      </c>
      <c r="AD6103">
        <v>-9.3065000000000106E-2</v>
      </c>
      <c r="AE6103">
        <v>0.15409999999999899</v>
      </c>
      <c r="AF6103">
        <v>0.153077958141592</v>
      </c>
      <c r="AG6103">
        <v>-9.3065000000000106E-2</v>
      </c>
      <c r="AH6103">
        <v>0.83060426710121504</v>
      </c>
      <c r="AI6103">
        <v>96.288011706327097</v>
      </c>
      <c r="AJ6103">
        <v>79.557727181401106</v>
      </c>
      <c r="AK6103">
        <v>0.84970430387314499</v>
      </c>
      <c r="AL6103">
        <v>82.793504932678005</v>
      </c>
      <c r="AM6103">
        <v>78.162464401940994</v>
      </c>
      <c r="AN6103">
        <v>1.00000000646681</v>
      </c>
    </row>
    <row r="6104" spans="1:40" x14ac:dyDescent="0.25">
      <c r="A6104" t="str">
        <f>"20190312164147282"</f>
        <v>20190312164147282</v>
      </c>
      <c r="B6104" t="str">
        <f>"1552380107272577"</f>
        <v>1552380107272577</v>
      </c>
      <c r="C6104" t="s">
        <v>40</v>
      </c>
      <c r="D6104">
        <v>6.1184209999999997</v>
      </c>
      <c r="E6104">
        <v>0.48781720000000001</v>
      </c>
      <c r="F6104" t="s">
        <v>42</v>
      </c>
      <c r="G6104">
        <v>-268.68700000000001</v>
      </c>
      <c r="H6104">
        <v>1.036942</v>
      </c>
      <c r="I6104">
        <v>-64.311790000000002</v>
      </c>
      <c r="J6104">
        <v>-269.35680000000002</v>
      </c>
      <c r="K6104">
        <v>1.1146830000000001</v>
      </c>
      <c r="L6104">
        <v>-64.423339999999996</v>
      </c>
      <c r="M6104">
        <v>0.93449720000000003</v>
      </c>
      <c r="N6104">
        <v>0</v>
      </c>
      <c r="O6104">
        <v>0.35562149999999998</v>
      </c>
      <c r="P6104">
        <v>0.98284349999999998</v>
      </c>
      <c r="Q6104">
        <v>0.10773430000000001</v>
      </c>
      <c r="R6104">
        <v>0.1497068</v>
      </c>
      <c r="S6104">
        <v>2.986389</v>
      </c>
      <c r="T6104">
        <v>-0.27882030000000002</v>
      </c>
      <c r="U6104">
        <v>0.62725830000000005</v>
      </c>
      <c r="V6104">
        <v>0.20821770000000001</v>
      </c>
      <c r="W6104">
        <v>0.1254391</v>
      </c>
      <c r="X6104">
        <v>0.97000540000000002</v>
      </c>
      <c r="Y6104">
        <v>0.153923</v>
      </c>
      <c r="Z6104">
        <v>-3.9020640000000002E-2</v>
      </c>
      <c r="AA6104">
        <v>0.98731210000000003</v>
      </c>
      <c r="AB6104">
        <v>36</v>
      </c>
      <c r="AC6104">
        <v>0.66980000000000905</v>
      </c>
      <c r="AD6104">
        <v>-7.7741000000000005E-2</v>
      </c>
      <c r="AE6104">
        <v>0.111549999999994</v>
      </c>
      <c r="AF6104">
        <v>0.13223544387717601</v>
      </c>
      <c r="AG6104">
        <v>-7.7741000000000005E-2</v>
      </c>
      <c r="AH6104">
        <v>0.65706580623828703</v>
      </c>
      <c r="AI6104">
        <v>96.616160730373693</v>
      </c>
      <c r="AJ6104">
        <v>78.621139343565702</v>
      </c>
      <c r="AK6104">
        <v>0.67473353957393001</v>
      </c>
      <c r="AL6104">
        <v>82.793886245974903</v>
      </c>
      <c r="AM6104">
        <v>77.884947608784501</v>
      </c>
      <c r="AN6104">
        <v>1.00000002721562</v>
      </c>
    </row>
    <row r="6105" spans="1:40" x14ac:dyDescent="0.25">
      <c r="A6105" t="str">
        <f>"20190312164147292"</f>
        <v>20190312164147292</v>
      </c>
      <c r="B6105" t="str">
        <f>"1552380107282338"</f>
        <v>1552380107282338</v>
      </c>
      <c r="C6105" t="s">
        <v>40</v>
      </c>
      <c r="D6105">
        <v>6.0547469999999999</v>
      </c>
      <c r="E6105">
        <v>0.50087179999999998</v>
      </c>
      <c r="F6105" t="s">
        <v>42</v>
      </c>
      <c r="G6105">
        <v>-268.38389999999998</v>
      </c>
      <c r="H6105">
        <v>1.0243370000000001</v>
      </c>
      <c r="I6105">
        <v>-64.22363</v>
      </c>
      <c r="J6105">
        <v>-269.19819999999999</v>
      </c>
      <c r="K6105">
        <v>1.1139969999999999</v>
      </c>
      <c r="L6105">
        <v>-64.363249999999994</v>
      </c>
      <c r="M6105">
        <v>0.93462809999999996</v>
      </c>
      <c r="N6105">
        <v>0</v>
      </c>
      <c r="O6105">
        <v>0.35527910000000001</v>
      </c>
      <c r="P6105">
        <v>0.98357700000000003</v>
      </c>
      <c r="Q6105">
        <v>0.1074855</v>
      </c>
      <c r="R6105">
        <v>0.14499379999999901</v>
      </c>
      <c r="S6105">
        <v>2.9893190000000001</v>
      </c>
      <c r="T6105">
        <v>-0.27761649999999999</v>
      </c>
      <c r="U6105">
        <v>0.61376949999999997</v>
      </c>
      <c r="V6105">
        <v>0.21274770000000001</v>
      </c>
      <c r="W6105">
        <v>0.1248137</v>
      </c>
      <c r="X6105">
        <v>0.96910269999999998</v>
      </c>
      <c r="Y6105">
        <v>0.15802869999999999</v>
      </c>
      <c r="Z6105">
        <v>-3.8998699999999997E-2</v>
      </c>
      <c r="AA6105">
        <v>0.98666410000000004</v>
      </c>
      <c r="AB6105">
        <v>36</v>
      </c>
      <c r="AC6105">
        <v>0.81430000000000202</v>
      </c>
      <c r="AD6105">
        <v>-8.9659999999999795E-2</v>
      </c>
      <c r="AE6105">
        <v>0.139619999999993</v>
      </c>
      <c r="AF6105">
        <v>0.15698179986813099</v>
      </c>
      <c r="AG6105">
        <v>-8.9659999999999795E-2</v>
      </c>
      <c r="AH6105">
        <v>0.80133435719823098</v>
      </c>
      <c r="AI6105">
        <v>96.266049081066996</v>
      </c>
      <c r="AJ6105">
        <v>78.916094687193294</v>
      </c>
      <c r="AK6105">
        <v>0.82147364724386696</v>
      </c>
      <c r="AL6105">
        <v>82.830002989931799</v>
      </c>
      <c r="AM6105">
        <v>77.618236871771401</v>
      </c>
      <c r="AN6105">
        <v>1.0000000433551299</v>
      </c>
    </row>
    <row r="6106" spans="1:40" x14ac:dyDescent="0.25">
      <c r="A6106" t="str">
        <f>"20190312164147303"</f>
        <v>20190312164147303</v>
      </c>
      <c r="B6106" t="str">
        <f>"1552380107292098"</f>
        <v>1552380107292098</v>
      </c>
      <c r="C6106" t="s">
        <v>40</v>
      </c>
      <c r="D6106">
        <v>6.1593479999999996</v>
      </c>
      <c r="E6106">
        <v>0.50037679999999995</v>
      </c>
      <c r="F6106" t="s">
        <v>56</v>
      </c>
      <c r="G6106">
        <v>-252.96539999999999</v>
      </c>
      <c r="H6106" s="1">
        <v>-7.0646079999999897E-7</v>
      </c>
      <c r="I6106">
        <v>-61.724490000000003</v>
      </c>
      <c r="J6106">
        <v>-269.03570000000002</v>
      </c>
      <c r="K6106">
        <v>1.1132959999999901</v>
      </c>
      <c r="L6106">
        <v>-64.301940000000002</v>
      </c>
      <c r="M6106">
        <v>0.93486460000000005</v>
      </c>
      <c r="N6106">
        <v>0</v>
      </c>
      <c r="O6106">
        <v>0.35465829999999998</v>
      </c>
      <c r="P6106">
        <v>0.98447079999999998</v>
      </c>
      <c r="Q6106">
        <v>0.10691440000000001</v>
      </c>
      <c r="R6106">
        <v>0.13923569999999999</v>
      </c>
      <c r="S6106">
        <v>3.0007320000000002</v>
      </c>
      <c r="T6106">
        <v>-0.2059298</v>
      </c>
      <c r="U6106">
        <v>0.48779299999999998</v>
      </c>
      <c r="V6106">
        <v>0.21802659999999999</v>
      </c>
      <c r="W6106">
        <v>0.1238532</v>
      </c>
      <c r="X6106">
        <v>0.96805209999999997</v>
      </c>
      <c r="Y6106">
        <v>0.1988637</v>
      </c>
      <c r="Z6106">
        <v>-3.03504E-2</v>
      </c>
      <c r="AA6106">
        <v>0.97955709999999996</v>
      </c>
      <c r="AB6106">
        <v>36</v>
      </c>
      <c r="AC6106">
        <v>16.0703</v>
      </c>
      <c r="AD6106">
        <v>-1.1132967064607999</v>
      </c>
      <c r="AE6106">
        <v>2.57744999999999</v>
      </c>
      <c r="AF6106">
        <v>3.2749794119060698</v>
      </c>
      <c r="AG6106">
        <v>-1.1132967064607999</v>
      </c>
      <c r="AH6106">
        <v>15.8653941305641</v>
      </c>
      <c r="AI6106">
        <v>93.931328828600698</v>
      </c>
      <c r="AJ6106">
        <v>78.336661858872901</v>
      </c>
      <c r="AK6106">
        <v>16.238092579584698</v>
      </c>
      <c r="AL6106">
        <v>82.885465933637207</v>
      </c>
      <c r="AM6106">
        <v>77.307512019128595</v>
      </c>
      <c r="AN6106">
        <v>1.0000000408861001</v>
      </c>
    </row>
    <row r="6107" spans="1:40" x14ac:dyDescent="0.25">
      <c r="A6107" t="str">
        <f>"20190312164147314"</f>
        <v>20190312164147314</v>
      </c>
      <c r="B6107" t="str">
        <f>"1552380107301858"</f>
        <v>1552380107301858</v>
      </c>
      <c r="C6107" t="s">
        <v>40</v>
      </c>
      <c r="D6107">
        <v>6.1057110000000003</v>
      </c>
      <c r="E6107">
        <v>0.50104209999999905</v>
      </c>
      <c r="F6107" t="s">
        <v>56</v>
      </c>
      <c r="G6107">
        <v>-253.5539</v>
      </c>
      <c r="H6107" s="1">
        <v>-9.8749830000000005E-7</v>
      </c>
      <c r="I6107">
        <v>-61.852890000000002</v>
      </c>
      <c r="J6107">
        <v>-268.86529999999999</v>
      </c>
      <c r="K6107">
        <v>1.1125689999999999</v>
      </c>
      <c r="L6107">
        <v>-64.237849999999995</v>
      </c>
      <c r="M6107">
        <v>0.93522079999999996</v>
      </c>
      <c r="N6107">
        <v>0</v>
      </c>
      <c r="O6107">
        <v>0.35371960000000002</v>
      </c>
      <c r="P6107">
        <v>0.98534630000000001</v>
      </c>
      <c r="Q6107">
        <v>0.1062167</v>
      </c>
      <c r="R6107">
        <v>0.13345789999999999</v>
      </c>
      <c r="S6107">
        <v>3.0035400000000001</v>
      </c>
      <c r="T6107">
        <v>-0.21598490000000001</v>
      </c>
      <c r="U6107">
        <v>0.4751282</v>
      </c>
      <c r="V6107">
        <v>0.222995</v>
      </c>
      <c r="W6107">
        <v>0.122735999999999</v>
      </c>
      <c r="X6107">
        <v>0.96706210000000004</v>
      </c>
      <c r="Y6107">
        <v>0.20192399999999999</v>
      </c>
      <c r="Z6107">
        <v>-3.1861159999999999E-2</v>
      </c>
      <c r="AA6107">
        <v>0.97888280000000005</v>
      </c>
      <c r="AB6107">
        <v>36</v>
      </c>
      <c r="AC6107">
        <v>15.3113999999999</v>
      </c>
      <c r="AD6107">
        <v>-1.1125699874982999</v>
      </c>
      <c r="AE6107">
        <v>2.3849599999999902</v>
      </c>
      <c r="AF6107">
        <v>3.16952922097876</v>
      </c>
      <c r="AG6107">
        <v>-1.1125699874982999</v>
      </c>
      <c r="AH6107">
        <v>15.0872289073662</v>
      </c>
      <c r="AI6107">
        <v>94.127719507112701</v>
      </c>
      <c r="AJ6107">
        <v>78.135815714534104</v>
      </c>
      <c r="AK6107">
        <v>15.4566556396585</v>
      </c>
      <c r="AL6107">
        <v>82.949968643698398</v>
      </c>
      <c r="AM6107">
        <v>77.015125071278106</v>
      </c>
      <c r="AN6107">
        <v>1.0000000004887</v>
      </c>
    </row>
    <row r="6108" spans="1:40" x14ac:dyDescent="0.25">
      <c r="A6108" t="str">
        <f>"20190312164147326"</f>
        <v>20190312164147326</v>
      </c>
      <c r="B6108" t="str">
        <f>"1552380107322354"</f>
        <v>1552380107322354</v>
      </c>
      <c r="C6108" t="s">
        <v>40</v>
      </c>
      <c r="D6108">
        <v>6.1085510000000003</v>
      </c>
      <c r="E6108">
        <v>0.50145629999999997</v>
      </c>
      <c r="F6108" t="s">
        <v>56</v>
      </c>
      <c r="G6108">
        <v>-253.63339999999999</v>
      </c>
      <c r="H6108" s="1">
        <v>-1.0419980000000001E-6</v>
      </c>
      <c r="I6108">
        <v>-61.94473</v>
      </c>
      <c r="J6108">
        <v>-268.69850000000002</v>
      </c>
      <c r="K6108">
        <v>1.1118760000000001</v>
      </c>
      <c r="L6108">
        <v>-64.175690000000003</v>
      </c>
      <c r="M6108">
        <v>0.9357008</v>
      </c>
      <c r="N6108">
        <v>0</v>
      </c>
      <c r="O6108">
        <v>0.35244950000000003</v>
      </c>
      <c r="P6108">
        <v>0.98625110000000005</v>
      </c>
      <c r="Q6108">
        <v>0.10549890000000001</v>
      </c>
      <c r="R6108">
        <v>0.12719629999999901</v>
      </c>
      <c r="S6108">
        <v>3.0070190000000001</v>
      </c>
      <c r="T6108">
        <v>-0.2196388</v>
      </c>
      <c r="U6108">
        <v>0.45269779999999998</v>
      </c>
      <c r="V6108">
        <v>0.2280729</v>
      </c>
      <c r="W6108">
        <v>0.1216049</v>
      </c>
      <c r="X6108">
        <v>0.9660202</v>
      </c>
      <c r="Y6108">
        <v>0.20783989999999999</v>
      </c>
      <c r="Z6108">
        <v>-3.2516749999999997E-2</v>
      </c>
      <c r="AA6108">
        <v>0.9776222</v>
      </c>
      <c r="AB6108">
        <v>36</v>
      </c>
      <c r="AC6108">
        <v>15.065099999999999</v>
      </c>
      <c r="AD6108">
        <v>-1.111877041998</v>
      </c>
      <c r="AE6108">
        <v>2.2309599999999898</v>
      </c>
      <c r="AF6108">
        <v>3.2054820065343699</v>
      </c>
      <c r="AG6108">
        <v>-1.111877041998</v>
      </c>
      <c r="AH6108">
        <v>14.805620347815999</v>
      </c>
      <c r="AI6108">
        <v>94.197855448846596</v>
      </c>
      <c r="AJ6108">
        <v>77.783757727308199</v>
      </c>
      <c r="AK6108">
        <v>15.189396937811599</v>
      </c>
      <c r="AL6108">
        <v>83.015265118636094</v>
      </c>
      <c r="AM6108">
        <v>76.715987598820703</v>
      </c>
      <c r="AN6108">
        <v>1.0000000131132201</v>
      </c>
    </row>
    <row r="6109" spans="1:40" x14ac:dyDescent="0.25">
      <c r="A6109" t="str">
        <f>"20190312164147337"</f>
        <v>20190312164147337</v>
      </c>
      <c r="B6109" t="str">
        <f>"1552380107332114"</f>
        <v>1552380107332114</v>
      </c>
      <c r="C6109" t="s">
        <v>40</v>
      </c>
      <c r="D6109">
        <v>6.1140840000000001</v>
      </c>
      <c r="E6109">
        <v>0.50200659999999997</v>
      </c>
      <c r="F6109" t="s">
        <v>56</v>
      </c>
      <c r="G6109">
        <v>-253.33879999999999</v>
      </c>
      <c r="H6109" s="1">
        <v>-9.2345350000000002E-7</v>
      </c>
      <c r="I6109">
        <v>-61.979970000000002</v>
      </c>
      <c r="J6109">
        <v>-268.52249999999998</v>
      </c>
      <c r="K6109">
        <v>1.1111500000000001</v>
      </c>
      <c r="L6109">
        <v>-64.110259999999997</v>
      </c>
      <c r="M6109">
        <v>0.93626240000000005</v>
      </c>
      <c r="N6109">
        <v>0</v>
      </c>
      <c r="O6109">
        <v>0.3509565</v>
      </c>
      <c r="P6109">
        <v>0.98718499999999998</v>
      </c>
      <c r="Q6109">
        <v>0.104504399999999</v>
      </c>
      <c r="R6109">
        <v>0.1206019</v>
      </c>
      <c r="S6109">
        <v>3.0096440000000002</v>
      </c>
      <c r="T6109">
        <v>-0.217865</v>
      </c>
      <c r="U6109">
        <v>0.43023679999999997</v>
      </c>
      <c r="V6109">
        <v>0.23325370000000001</v>
      </c>
      <c r="W6109">
        <v>0.120160199999999</v>
      </c>
      <c r="X6109">
        <v>0.96496329999999997</v>
      </c>
      <c r="Y6109">
        <v>0.21355589999999999</v>
      </c>
      <c r="Z6109">
        <v>-3.2357520000000001E-2</v>
      </c>
      <c r="AA6109">
        <v>0.97639480000000001</v>
      </c>
      <c r="AB6109">
        <v>36</v>
      </c>
      <c r="AC6109">
        <v>15.1836999999999</v>
      </c>
      <c r="AD6109">
        <v>-1.1111509234535</v>
      </c>
      <c r="AE6109">
        <v>2.13029</v>
      </c>
      <c r="AF6109">
        <v>3.3172893094049201</v>
      </c>
      <c r="AG6109">
        <v>-1.1111509234535</v>
      </c>
      <c r="AH6109">
        <v>14.887191742877601</v>
      </c>
      <c r="AI6109">
        <v>94.166712906466699</v>
      </c>
      <c r="AJ6109">
        <v>77.438098827311194</v>
      </c>
      <c r="AK6109">
        <v>15.2927284264838</v>
      </c>
      <c r="AL6109">
        <v>83.098651503111498</v>
      </c>
      <c r="AM6109">
        <v>76.410966214895495</v>
      </c>
      <c r="AN6109">
        <v>0.99999996628730903</v>
      </c>
    </row>
    <row r="6110" spans="1:40" x14ac:dyDescent="0.25">
      <c r="A6110" t="str">
        <f>"20190312164147348"</f>
        <v>20190312164147348</v>
      </c>
      <c r="B6110" t="str">
        <f>"1552380107341874"</f>
        <v>1552380107341874</v>
      </c>
      <c r="C6110" t="s">
        <v>40</v>
      </c>
      <c r="D6110">
        <v>6.0882709999999998</v>
      </c>
      <c r="E6110">
        <v>0.50207469999999998</v>
      </c>
      <c r="F6110" t="s">
        <v>56</v>
      </c>
      <c r="G6110">
        <v>-253.06899999999999</v>
      </c>
      <c r="H6110" s="1">
        <v>-8.1842699999999997E-7</v>
      </c>
      <c r="I6110">
        <v>-62.028179999999999</v>
      </c>
      <c r="J6110">
        <v>-268.35649999999998</v>
      </c>
      <c r="K6110">
        <v>1.1104860000000001</v>
      </c>
      <c r="L6110">
        <v>-64.049440000000004</v>
      </c>
      <c r="M6110">
        <v>0.93694849999999996</v>
      </c>
      <c r="N6110">
        <v>0</v>
      </c>
      <c r="O6110">
        <v>0.34912199999999999</v>
      </c>
      <c r="P6110">
        <v>0.98808969999999896</v>
      </c>
      <c r="Q6110">
        <v>0.1034988</v>
      </c>
      <c r="R6110">
        <v>0.1138738</v>
      </c>
      <c r="S6110">
        <v>3.0122990000000001</v>
      </c>
      <c r="T6110">
        <v>-0.2165927</v>
      </c>
      <c r="U6110">
        <v>0.40585329999999997</v>
      </c>
      <c r="V6110">
        <v>0.23817749999999999</v>
      </c>
      <c r="W6110">
        <v>0.1187343</v>
      </c>
      <c r="X6110">
        <v>0.96393660000000003</v>
      </c>
      <c r="Y6110">
        <v>0.21951909999999999</v>
      </c>
      <c r="Z6110">
        <v>-3.225766E-2</v>
      </c>
      <c r="AA6110">
        <v>0.97507480000000002</v>
      </c>
      <c r="AB6110">
        <v>36</v>
      </c>
      <c r="AC6110">
        <v>15.2874999999999</v>
      </c>
      <c r="AD6110">
        <v>-1.110486818427</v>
      </c>
      <c r="AE6110">
        <v>2.0212599999999901</v>
      </c>
      <c r="AF6110">
        <v>3.42603442553686</v>
      </c>
      <c r="AG6110">
        <v>-1.110486818427</v>
      </c>
      <c r="AH6110">
        <v>14.9535322986297</v>
      </c>
      <c r="AI6110">
        <v>94.140244085752499</v>
      </c>
      <c r="AJ6110">
        <v>77.095564577452294</v>
      </c>
      <c r="AK6110">
        <v>15.381125481089599</v>
      </c>
      <c r="AL6110">
        <v>83.180939353294505</v>
      </c>
      <c r="AM6110">
        <v>76.120876010017795</v>
      </c>
      <c r="AN6110">
        <v>1.00000006216114</v>
      </c>
    </row>
    <row r="6111" spans="1:40" x14ac:dyDescent="0.25">
      <c r="A6111" t="str">
        <f>"20190312164147361"</f>
        <v>20190312164147361</v>
      </c>
      <c r="B6111" t="str">
        <f>"1552380107352610"</f>
        <v>1552380107352610</v>
      </c>
      <c r="C6111" t="s">
        <v>40</v>
      </c>
      <c r="D6111">
        <v>6.0501620000000003</v>
      </c>
      <c r="E6111">
        <v>0.50222069999999996</v>
      </c>
      <c r="F6111" t="s">
        <v>56</v>
      </c>
      <c r="G6111">
        <v>-253.12729999999999</v>
      </c>
      <c r="H6111" s="1">
        <v>-8.6030790000000001E-7</v>
      </c>
      <c r="I6111">
        <v>-62.103949999999998</v>
      </c>
      <c r="J6111">
        <v>-268.166</v>
      </c>
      <c r="K6111">
        <v>1.1097379999999999</v>
      </c>
      <c r="L6111">
        <v>-63.98001</v>
      </c>
      <c r="M6111">
        <v>0.93778229999999996</v>
      </c>
      <c r="N6111">
        <v>0</v>
      </c>
      <c r="O6111">
        <v>0.34687750000000001</v>
      </c>
      <c r="P6111">
        <v>0.98898759999999997</v>
      </c>
      <c r="Q6111">
        <v>0.1019948</v>
      </c>
      <c r="R6111">
        <v>0.1072417</v>
      </c>
      <c r="S6111">
        <v>3.0148009999999998</v>
      </c>
      <c r="T6111">
        <v>-0.219834</v>
      </c>
      <c r="U6111">
        <v>0.38513180000000002</v>
      </c>
      <c r="V6111">
        <v>0.24261469999999999</v>
      </c>
      <c r="W6111">
        <v>0.11674030000000001</v>
      </c>
      <c r="X6111">
        <v>0.96307310000000002</v>
      </c>
      <c r="Y6111">
        <v>0.22382929999999901</v>
      </c>
      <c r="Z6111">
        <v>-3.273769E-2</v>
      </c>
      <c r="AA6111">
        <v>0.97407840000000001</v>
      </c>
      <c r="AB6111">
        <v>36</v>
      </c>
      <c r="AC6111">
        <v>15.0387</v>
      </c>
      <c r="AD6111">
        <v>-1.1097388603078999</v>
      </c>
      <c r="AE6111">
        <v>1.8760600000000001</v>
      </c>
      <c r="AF6111">
        <v>3.43922575773141</v>
      </c>
      <c r="AG6111">
        <v>-1.1097388603078999</v>
      </c>
      <c r="AH6111">
        <v>14.676867966904799</v>
      </c>
      <c r="AI6111">
        <v>94.210362956552004</v>
      </c>
      <c r="AJ6111">
        <v>76.811850807214796</v>
      </c>
      <c r="AK6111">
        <v>15.115232299527401</v>
      </c>
      <c r="AL6111">
        <v>83.295986869902706</v>
      </c>
      <c r="AM6111">
        <v>75.860416219448993</v>
      </c>
      <c r="AN6111">
        <v>0.99999999312189503</v>
      </c>
    </row>
    <row r="6112" spans="1:40" x14ac:dyDescent="0.25">
      <c r="A6112" t="str">
        <f>"20190312164147371"</f>
        <v>20190312164147371</v>
      </c>
      <c r="B6112" t="str">
        <f>"1552380107362370"</f>
        <v>1552380107362370</v>
      </c>
      <c r="C6112" t="s">
        <v>40</v>
      </c>
      <c r="D6112">
        <v>6.0389169999999996</v>
      </c>
      <c r="E6112">
        <v>0.50242299999999995</v>
      </c>
      <c r="F6112" t="s">
        <v>56</v>
      </c>
      <c r="G6112">
        <v>-253.2184</v>
      </c>
      <c r="H6112" s="1">
        <v>-9.1665370000000002E-7</v>
      </c>
      <c r="I6112">
        <v>-62.181579999999997</v>
      </c>
      <c r="J6112">
        <v>-268.01299999999998</v>
      </c>
      <c r="K6112">
        <v>1.1091549999999999</v>
      </c>
      <c r="L6112">
        <v>-63.924930000000003</v>
      </c>
      <c r="M6112">
        <v>0.93854539999999997</v>
      </c>
      <c r="N6112">
        <v>0</v>
      </c>
      <c r="O6112">
        <v>0.34480820000000001</v>
      </c>
      <c r="P6112">
        <v>0.98981640000000004</v>
      </c>
      <c r="Q6112">
        <v>0.1004249</v>
      </c>
      <c r="R6112">
        <v>0.1008877</v>
      </c>
      <c r="S6112">
        <v>3.0171199999999998</v>
      </c>
      <c r="T6112">
        <v>-0.2239971</v>
      </c>
      <c r="U6112">
        <v>0.36300660000000001</v>
      </c>
      <c r="V6112">
        <v>0.24690019999999999</v>
      </c>
      <c r="W6112">
        <v>0.11477759999999999</v>
      </c>
      <c r="X6112">
        <v>0.96221950000000001</v>
      </c>
      <c r="Y6112">
        <v>0.22874320000000001</v>
      </c>
      <c r="Z6112">
        <v>-3.339131E-2</v>
      </c>
      <c r="AA6112">
        <v>0.97291399999999995</v>
      </c>
      <c r="AB6112">
        <v>36</v>
      </c>
      <c r="AC6112">
        <v>14.7945999999999</v>
      </c>
      <c r="AD6112">
        <v>-1.1091559166536999</v>
      </c>
      <c r="AE6112">
        <v>1.74334999999999</v>
      </c>
      <c r="AF6112">
        <v>3.4463965232177798</v>
      </c>
      <c r="AG6112">
        <v>-1.1091559166536999</v>
      </c>
      <c r="AH6112">
        <v>14.4083887047468</v>
      </c>
      <c r="AI6112">
        <v>94.281628306744494</v>
      </c>
      <c r="AJ6112">
        <v>76.547953535330095</v>
      </c>
      <c r="AK6112">
        <v>14.856296338918799</v>
      </c>
      <c r="AL6112">
        <v>83.409202380547597</v>
      </c>
      <c r="AM6112">
        <v>75.608702453783394</v>
      </c>
      <c r="AN6112">
        <v>0.99999998620102404</v>
      </c>
    </row>
    <row r="6113" spans="1:40" x14ac:dyDescent="0.25">
      <c r="A6113" t="str">
        <f>"20190312164147382"</f>
        <v>20190312164147382</v>
      </c>
      <c r="B6113" t="str">
        <f>"1552380107372130"</f>
        <v>1552380107372130</v>
      </c>
      <c r="C6113" t="s">
        <v>40</v>
      </c>
      <c r="D6113">
        <v>6.1743690000000004</v>
      </c>
      <c r="E6113">
        <v>0.50242889999999996</v>
      </c>
      <c r="F6113" t="s">
        <v>56</v>
      </c>
      <c r="G6113">
        <v>-253.33690000000001</v>
      </c>
      <c r="H6113" s="1">
        <v>-9.8713429999999995E-7</v>
      </c>
      <c r="I6113">
        <v>-62.2699199999999</v>
      </c>
      <c r="J6113">
        <v>-267.84379999999999</v>
      </c>
      <c r="K6113">
        <v>1.108527</v>
      </c>
      <c r="L6113">
        <v>-63.86459</v>
      </c>
      <c r="M6113">
        <v>0.93943759999999998</v>
      </c>
      <c r="N6113">
        <v>0</v>
      </c>
      <c r="O6113">
        <v>0.34237129999999999</v>
      </c>
      <c r="P6113">
        <v>0.99056940000000004</v>
      </c>
      <c r="Q6113">
        <v>9.9171110000000007E-2</v>
      </c>
      <c r="R6113">
        <v>9.4539750000000006E-2</v>
      </c>
      <c r="S6113">
        <v>3.0193180000000002</v>
      </c>
      <c r="T6113">
        <v>-0.22818740000000001</v>
      </c>
      <c r="U6113">
        <v>0.34048460000000003</v>
      </c>
      <c r="V6113">
        <v>0.2507916</v>
      </c>
      <c r="W6113">
        <v>0.113093899999999</v>
      </c>
      <c r="X6113">
        <v>0.96141220000000005</v>
      </c>
      <c r="Y6113">
        <v>0.23339509999999999</v>
      </c>
      <c r="Z6113">
        <v>-3.4014809999999999E-2</v>
      </c>
      <c r="AA6113">
        <v>0.97178690000000001</v>
      </c>
      <c r="AB6113">
        <v>36</v>
      </c>
      <c r="AC6113">
        <v>14.5068999999999</v>
      </c>
      <c r="AD6113">
        <v>-1.1085279871342999</v>
      </c>
      <c r="AE6113">
        <v>1.59467</v>
      </c>
      <c r="AF6113">
        <v>3.4491681418045901</v>
      </c>
      <c r="AG6113">
        <v>-1.1085279871342999</v>
      </c>
      <c r="AH6113">
        <v>14.094672641882999</v>
      </c>
      <c r="AI6113">
        <v>94.368598900769697</v>
      </c>
      <c r="AJ6113">
        <v>76.249142065509304</v>
      </c>
      <c r="AK6113">
        <v>14.5528482452936</v>
      </c>
      <c r="AL6113">
        <v>83.5063039444629</v>
      </c>
      <c r="AM6113">
        <v>75.379772302043904</v>
      </c>
      <c r="AN6113">
        <v>1.0000000375783</v>
      </c>
    </row>
    <row r="6114" spans="1:40" x14ac:dyDescent="0.25">
      <c r="A6114" t="str">
        <f>"20190312164147393"</f>
        <v>20190312164147393</v>
      </c>
      <c r="B6114" t="str">
        <f>"1552380107381890"</f>
        <v>1552380107381890</v>
      </c>
      <c r="C6114" t="s">
        <v>40</v>
      </c>
      <c r="D6114">
        <v>6.172847</v>
      </c>
      <c r="E6114">
        <v>0.50238159999999998</v>
      </c>
      <c r="F6114" t="s">
        <v>56</v>
      </c>
      <c r="G6114">
        <v>-253.3168</v>
      </c>
      <c r="H6114" s="1">
        <v>-9.9207259999999992E-7</v>
      </c>
      <c r="I6114">
        <v>-62.330889999999997</v>
      </c>
      <c r="J6114">
        <v>-267.68689999999998</v>
      </c>
      <c r="K6114">
        <v>1.1079669999999999</v>
      </c>
      <c r="L6114">
        <v>-63.809269999999998</v>
      </c>
      <c r="M6114">
        <v>0.94032470000000001</v>
      </c>
      <c r="N6114">
        <v>0</v>
      </c>
      <c r="O6114">
        <v>0.3399278</v>
      </c>
      <c r="P6114">
        <v>0.99125469999999904</v>
      </c>
      <c r="Q6114">
        <v>9.7764619999999997E-2</v>
      </c>
      <c r="R6114">
        <v>8.8634569999999996E-2</v>
      </c>
      <c r="S6114">
        <v>3.0212400000000001</v>
      </c>
      <c r="T6114">
        <v>-0.23054520000000001</v>
      </c>
      <c r="U6114">
        <v>0.31896970000000002</v>
      </c>
      <c r="V6114">
        <v>0.25422090000000003</v>
      </c>
      <c r="W6114">
        <v>0.1112972</v>
      </c>
      <c r="X6114">
        <v>0.96072089999999999</v>
      </c>
      <c r="Y6114">
        <v>0.23773449999999999</v>
      </c>
      <c r="Z6114">
        <v>-3.4354320000000001E-2</v>
      </c>
      <c r="AA6114">
        <v>0.97072250000000004</v>
      </c>
      <c r="AB6114">
        <v>36</v>
      </c>
      <c r="AC6114">
        <v>14.3700999999999</v>
      </c>
      <c r="AD6114">
        <v>-1.1079679920726</v>
      </c>
      <c r="AE6114">
        <v>1.47837999999999</v>
      </c>
      <c r="AF6114">
        <v>3.4746166907751901</v>
      </c>
      <c r="AG6114">
        <v>-1.1079679920726</v>
      </c>
      <c r="AH6114">
        <v>13.9348028130412</v>
      </c>
      <c r="AI6114">
        <v>94.411554756441205</v>
      </c>
      <c r="AJ6114">
        <v>75.998915583882393</v>
      </c>
      <c r="AK6114">
        <v>14.4041411981976</v>
      </c>
      <c r="AL6114">
        <v>83.609901077206601</v>
      </c>
      <c r="AM6114">
        <v>75.178400887649701</v>
      </c>
      <c r="AN6114">
        <v>0.99999999021072905</v>
      </c>
    </row>
    <row r="6115" spans="1:40" x14ac:dyDescent="0.25">
      <c r="A6115" t="str">
        <f>"20190312164147404"</f>
        <v>20190312164147404</v>
      </c>
      <c r="B6115" t="str">
        <f>"1552380107392626"</f>
        <v>1552380107392626</v>
      </c>
      <c r="C6115" t="s">
        <v>40</v>
      </c>
      <c r="D6115">
        <v>6.1749099999999997</v>
      </c>
      <c r="E6115">
        <v>0.50251259999999998</v>
      </c>
      <c r="F6115" t="s">
        <v>56</v>
      </c>
      <c r="G6115">
        <v>-253.3826</v>
      </c>
      <c r="H6115" s="1">
        <v>-1.0342789999999901E-6</v>
      </c>
      <c r="I6115">
        <v>-62.393740000000001</v>
      </c>
      <c r="J6115">
        <v>-267.5274</v>
      </c>
      <c r="K6115">
        <v>1.1074250000000001</v>
      </c>
      <c r="L6115">
        <v>-63.753720000000001</v>
      </c>
      <c r="M6115">
        <v>0.94127910000000004</v>
      </c>
      <c r="N6115">
        <v>0</v>
      </c>
      <c r="O6115">
        <v>0.33727679999999999</v>
      </c>
      <c r="P6115">
        <v>0.99196039999999996</v>
      </c>
      <c r="Q6115">
        <v>9.6069840000000004E-2</v>
      </c>
      <c r="R6115">
        <v>8.2372329999999994E-2</v>
      </c>
      <c r="S6115">
        <v>3.0228269999999999</v>
      </c>
      <c r="T6115">
        <v>-0.23413970000000001</v>
      </c>
      <c r="U6115">
        <v>0.29913329999999999</v>
      </c>
      <c r="V6115">
        <v>0.25777800000000001</v>
      </c>
      <c r="W6115">
        <v>0.1092147</v>
      </c>
      <c r="X6115">
        <v>0.96001179999999997</v>
      </c>
      <c r="Y6115">
        <v>0.24129990000000001</v>
      </c>
      <c r="Z6115">
        <v>-3.4833330000000003E-2</v>
      </c>
      <c r="AA6115">
        <v>0.9698253</v>
      </c>
      <c r="AB6115">
        <v>36</v>
      </c>
      <c r="AC6115">
        <v>14.1448</v>
      </c>
      <c r="AD6115">
        <v>-1.1074260342790001</v>
      </c>
      <c r="AE6115">
        <v>1.35997999999999</v>
      </c>
      <c r="AF6115">
        <v>3.4699329499909002</v>
      </c>
      <c r="AG6115">
        <v>-1.1074260342790001</v>
      </c>
      <c r="AH6115">
        <v>13.691379004309701</v>
      </c>
      <c r="AI6115">
        <v>94.483163127926005</v>
      </c>
      <c r="AJ6115">
        <v>75.778443585898202</v>
      </c>
      <c r="AK6115">
        <v>14.1675928138299</v>
      </c>
      <c r="AL6115">
        <v>83.729951556463007</v>
      </c>
      <c r="AM6115">
        <v>74.969733492722895</v>
      </c>
      <c r="AN6115">
        <v>1.00000000205966</v>
      </c>
    </row>
    <row r="6116" spans="1:40" x14ac:dyDescent="0.25">
      <c r="A6116" t="str">
        <f>"20190312164147420"</f>
        <v>20190312164147420</v>
      </c>
      <c r="B6116" t="str">
        <f>"1552380107412146"</f>
        <v>1552380107412146</v>
      </c>
      <c r="C6116" t="s">
        <v>40</v>
      </c>
      <c r="D6116">
        <v>6.115812</v>
      </c>
      <c r="E6116">
        <v>0.50284499999999999</v>
      </c>
      <c r="F6116" t="s">
        <v>56</v>
      </c>
      <c r="G6116">
        <v>-253.50040000000001</v>
      </c>
      <c r="H6116" s="1">
        <v>-1.101065E-6</v>
      </c>
      <c r="I6116">
        <v>-62.467010000000002</v>
      </c>
      <c r="J6116">
        <v>-267.26740000000001</v>
      </c>
      <c r="K6116">
        <v>1.10659</v>
      </c>
      <c r="L6116">
        <v>-63.664490000000001</v>
      </c>
      <c r="M6116">
        <v>0.94292430000000005</v>
      </c>
      <c r="N6116">
        <v>0</v>
      </c>
      <c r="O6116">
        <v>0.33265080000000002</v>
      </c>
      <c r="P6116">
        <v>0.99278219999999995</v>
      </c>
      <c r="Q6116">
        <v>9.4344810000000001E-2</v>
      </c>
      <c r="R6116">
        <v>7.4045E-2</v>
      </c>
      <c r="S6116">
        <v>3.0244450000000001</v>
      </c>
      <c r="T6116">
        <v>-0.23877789999999999</v>
      </c>
      <c r="U6116">
        <v>0.2774353</v>
      </c>
      <c r="V6116">
        <v>0.261387799999999</v>
      </c>
      <c r="W6116">
        <v>0.10689659999999999</v>
      </c>
      <c r="X6116">
        <v>0.95929629999999999</v>
      </c>
      <c r="Y6116">
        <v>0.2434211</v>
      </c>
      <c r="Z6116">
        <v>-3.5261430000000003E-2</v>
      </c>
      <c r="AA6116">
        <v>0.96927949999999996</v>
      </c>
      <c r="AB6116">
        <v>35</v>
      </c>
      <c r="AC6116">
        <v>13.7669999999999</v>
      </c>
      <c r="AD6116">
        <v>-1.106591101065</v>
      </c>
      <c r="AE6116">
        <v>1.1974800000000001</v>
      </c>
      <c r="AF6116">
        <v>3.4288923739484498</v>
      </c>
      <c r="AG6116">
        <v>-1.106591101065</v>
      </c>
      <c r="AH6116">
        <v>13.2959096637861</v>
      </c>
      <c r="AI6116">
        <v>94.607572331068994</v>
      </c>
      <c r="AJ6116">
        <v>75.539039665308707</v>
      </c>
      <c r="AK6116">
        <v>13.775451374261401</v>
      </c>
      <c r="AL6116">
        <v>83.863550724724206</v>
      </c>
      <c r="AM6116">
        <v>74.758138790997904</v>
      </c>
      <c r="AN6116">
        <v>0.99999992813704197</v>
      </c>
    </row>
    <row r="6117" spans="1:40" x14ac:dyDescent="0.25">
      <c r="A6117" t="str">
        <f>"20190312164147430"</f>
        <v>20190312164147430</v>
      </c>
      <c r="B6117" t="str">
        <f>"1552380107421907"</f>
        <v>1552380107421907</v>
      </c>
      <c r="C6117" t="s">
        <v>40</v>
      </c>
      <c r="D6117">
        <v>6.0376529999999997</v>
      </c>
      <c r="E6117">
        <v>0.50284419999999996</v>
      </c>
      <c r="F6117" t="s">
        <v>56</v>
      </c>
      <c r="G6117">
        <v>-253.26939999999999</v>
      </c>
      <c r="H6117" s="1">
        <v>-1.013849E-6</v>
      </c>
      <c r="I6117">
        <v>-62.520339999999997</v>
      </c>
      <c r="J6117">
        <v>-267.11320000000001</v>
      </c>
      <c r="K6117">
        <v>1.106128</v>
      </c>
      <c r="L6117">
        <v>-63.612639999999999</v>
      </c>
      <c r="M6117">
        <v>0.94396899999999995</v>
      </c>
      <c r="N6117">
        <v>0</v>
      </c>
      <c r="O6117">
        <v>0.329675</v>
      </c>
      <c r="P6117">
        <v>0.99337609999999998</v>
      </c>
      <c r="Q6117">
        <v>9.2644740000000003E-2</v>
      </c>
      <c r="R6117">
        <v>6.7978549999999999E-2</v>
      </c>
      <c r="S6117">
        <v>3.0260929999999999</v>
      </c>
      <c r="T6117">
        <v>-0.23922399999999999</v>
      </c>
      <c r="U6117">
        <v>0.24734500000000001</v>
      </c>
      <c r="V6117">
        <v>0.26438210000000001</v>
      </c>
      <c r="W6117">
        <v>0.104854</v>
      </c>
      <c r="X6117">
        <v>0.95870109999999997</v>
      </c>
      <c r="Y6117">
        <v>0.2499528</v>
      </c>
      <c r="Z6117">
        <v>-3.5368749999999997E-2</v>
      </c>
      <c r="AA6117">
        <v>0.96761180000000002</v>
      </c>
      <c r="AB6117">
        <v>35</v>
      </c>
      <c r="AC6117">
        <v>13.8438</v>
      </c>
      <c r="AD6117">
        <v>-1.1061290138490001</v>
      </c>
      <c r="AE6117">
        <v>1.0922999999999901</v>
      </c>
      <c r="AF6117">
        <v>3.5110000440411002</v>
      </c>
      <c r="AG6117">
        <v>-1.1061290138490001</v>
      </c>
      <c r="AH6117">
        <v>13.3451431805195</v>
      </c>
      <c r="AI6117">
        <v>94.582944341596502</v>
      </c>
      <c r="AJ6117">
        <v>75.259969652606401</v>
      </c>
      <c r="AK6117">
        <v>13.8435360083001</v>
      </c>
      <c r="AL6117">
        <v>83.981245223330603</v>
      </c>
      <c r="AM6117">
        <v>74.5826799460568</v>
      </c>
      <c r="AN6117">
        <v>1.0000000276287999</v>
      </c>
    </row>
    <row r="6118" spans="1:40" x14ac:dyDescent="0.25">
      <c r="A6118" t="str">
        <f>"20190312164147439"</f>
        <v>20190312164147439</v>
      </c>
      <c r="B6118" t="str">
        <f>"1552380107432641"</f>
        <v>1552380107432641</v>
      </c>
      <c r="C6118" t="s">
        <v>40</v>
      </c>
      <c r="D6118">
        <v>6.1154679999999999</v>
      </c>
      <c r="E6118">
        <v>0.50280670000000005</v>
      </c>
      <c r="F6118" t="s">
        <v>56</v>
      </c>
      <c r="G6118">
        <v>-253.34270000000001</v>
      </c>
      <c r="H6118" s="1">
        <v>-1.057414E-6</v>
      </c>
      <c r="I6118">
        <v>-62.574890000000003</v>
      </c>
      <c r="J6118">
        <v>-266.98939999999999</v>
      </c>
      <c r="K6118">
        <v>1.1057629999999901</v>
      </c>
      <c r="L6118">
        <v>-63.57123</v>
      </c>
      <c r="M6118">
        <v>0.94481309999999996</v>
      </c>
      <c r="N6118">
        <v>0</v>
      </c>
      <c r="O6118">
        <v>0.3272485</v>
      </c>
      <c r="P6118">
        <v>0.99384850000000002</v>
      </c>
      <c r="Q6118">
        <v>9.0848189999999995E-2</v>
      </c>
      <c r="R6118">
        <v>6.334012E-2</v>
      </c>
      <c r="S6118">
        <v>3.0270389999999998</v>
      </c>
      <c r="T6118">
        <v>-0.24314920000000001</v>
      </c>
      <c r="U6118">
        <v>0.22811890000000001</v>
      </c>
      <c r="V6118">
        <v>0.26652520000000002</v>
      </c>
      <c r="W6118">
        <v>0.10278569999999999</v>
      </c>
      <c r="X6118">
        <v>0.95833159999999895</v>
      </c>
      <c r="Y6118">
        <v>0.25353399999999998</v>
      </c>
      <c r="Z6118">
        <v>-3.5910640000000001E-2</v>
      </c>
      <c r="AA6118">
        <v>0.96665970000000001</v>
      </c>
      <c r="AB6118">
        <v>35</v>
      </c>
      <c r="AC6118">
        <v>13.6466999999999</v>
      </c>
      <c r="AD6118">
        <v>-1.10576405741399</v>
      </c>
      <c r="AE6118">
        <v>0.996340000000003</v>
      </c>
      <c r="AF6118">
        <v>3.5020531721310002</v>
      </c>
      <c r="AG6118">
        <v>-1.10576405741399</v>
      </c>
      <c r="AH6118">
        <v>13.135412374787601</v>
      </c>
      <c r="AI6118">
        <v>94.650236176651603</v>
      </c>
      <c r="AJ6118">
        <v>75.071529044505098</v>
      </c>
      <c r="AK6118">
        <v>13.6391403257986</v>
      </c>
      <c r="AL6118">
        <v>84.100393917220302</v>
      </c>
      <c r="AM6118">
        <v>74.458019410083196</v>
      </c>
      <c r="AN6118">
        <v>1.0000000189590399</v>
      </c>
    </row>
    <row r="6119" spans="1:40" x14ac:dyDescent="0.25">
      <c r="A6119" t="str">
        <f>"20190312164147449"</f>
        <v>20190312164147449</v>
      </c>
      <c r="B6119" t="str">
        <f>"1552380107442402"</f>
        <v>1552380107442402</v>
      </c>
      <c r="C6119" t="s">
        <v>40</v>
      </c>
      <c r="D6119">
        <v>6.1403589999999904</v>
      </c>
      <c r="E6119">
        <v>0.50281600000000004</v>
      </c>
      <c r="F6119" t="s">
        <v>56</v>
      </c>
      <c r="G6119">
        <v>-253.48990000000001</v>
      </c>
      <c r="H6119" s="1">
        <v>-1.129878E-6</v>
      </c>
      <c r="I6119">
        <v>-62.616810000000001</v>
      </c>
      <c r="J6119">
        <v>-266.83620000000002</v>
      </c>
      <c r="K6119">
        <v>1.105353</v>
      </c>
      <c r="L6119">
        <v>-63.521090000000001</v>
      </c>
      <c r="M6119">
        <v>0.94591860000000005</v>
      </c>
      <c r="N6119">
        <v>0</v>
      </c>
      <c r="O6119">
        <v>0.32403979999999999</v>
      </c>
      <c r="P6119">
        <v>0.99428309999999998</v>
      </c>
      <c r="Q6119">
        <v>8.989809E-2</v>
      </c>
      <c r="R6119">
        <v>5.7614930000000002E-2</v>
      </c>
      <c r="S6119">
        <v>3.0275880000000002</v>
      </c>
      <c r="T6119">
        <v>-0.24799350000000001</v>
      </c>
      <c r="U6119">
        <v>0.2140503</v>
      </c>
      <c r="V6119">
        <v>0.26891399999999999</v>
      </c>
      <c r="W6119">
        <v>0.1015282</v>
      </c>
      <c r="X6119">
        <v>0.95779809999999999</v>
      </c>
      <c r="Y6119">
        <v>0.25466569999999999</v>
      </c>
      <c r="Z6119">
        <v>-3.6425329999999999E-2</v>
      </c>
      <c r="AA6119">
        <v>0.9663429</v>
      </c>
      <c r="AB6119">
        <v>35</v>
      </c>
      <c r="AC6119">
        <v>13.346299999999999</v>
      </c>
      <c r="AD6119">
        <v>-1.1053541298780001</v>
      </c>
      <c r="AE6119">
        <v>0.90427999999999997</v>
      </c>
      <c r="AF6119">
        <v>3.4462361178027501</v>
      </c>
      <c r="AG6119">
        <v>-1.1053541298780001</v>
      </c>
      <c r="AH6119">
        <v>12.831449201979799</v>
      </c>
      <c r="AI6119">
        <v>94.755814111005805</v>
      </c>
      <c r="AJ6119">
        <v>74.9664275291819</v>
      </c>
      <c r="AK6119">
        <v>13.3320830988662</v>
      </c>
      <c r="AL6119">
        <v>84.172821928589102</v>
      </c>
      <c r="AM6119">
        <v>74.317237972463204</v>
      </c>
      <c r="AN6119">
        <v>0.99999995757742399</v>
      </c>
    </row>
    <row r="6120" spans="1:40" x14ac:dyDescent="0.25">
      <c r="A6120" t="str">
        <f>"20190312164147459"</f>
        <v>20190312164147459</v>
      </c>
      <c r="B6120" t="str">
        <f>"1552380107452162"</f>
        <v>1552380107452162</v>
      </c>
      <c r="C6120" t="s">
        <v>40</v>
      </c>
      <c r="D6120">
        <v>6.1215669999999998</v>
      </c>
      <c r="E6120">
        <v>0.50269909999999995</v>
      </c>
      <c r="F6120" t="s">
        <v>56</v>
      </c>
      <c r="G6120">
        <v>-253.4211</v>
      </c>
      <c r="H6120" s="1">
        <v>-1.10833E-6</v>
      </c>
      <c r="I6120">
        <v>-62.652529999999999</v>
      </c>
      <c r="J6120">
        <v>-266.67689999999999</v>
      </c>
      <c r="K6120">
        <v>1.1049310000000001</v>
      </c>
      <c r="L6120">
        <v>-63.469239999999999</v>
      </c>
      <c r="M6120">
        <v>0.94707430000000004</v>
      </c>
      <c r="N6120">
        <v>0</v>
      </c>
      <c r="O6120">
        <v>0.3206463</v>
      </c>
      <c r="P6120">
        <v>0.99456639999999996</v>
      </c>
      <c r="Q6120">
        <v>8.9673450000000002E-2</v>
      </c>
      <c r="R6120">
        <v>5.2881230000000001E-2</v>
      </c>
      <c r="S6120">
        <v>3.0284420000000001</v>
      </c>
      <c r="T6120">
        <v>-0.249532</v>
      </c>
      <c r="U6120">
        <v>0.19607540000000001</v>
      </c>
      <c r="V6120">
        <v>0.270148</v>
      </c>
      <c r="W6120">
        <v>0.1010021</v>
      </c>
      <c r="X6120">
        <v>0.95750650000000004</v>
      </c>
      <c r="Y6120">
        <v>0.25690730000000001</v>
      </c>
      <c r="Z6120">
        <v>-3.6480470000000001E-2</v>
      </c>
      <c r="AA6120">
        <v>0.96574720000000003</v>
      </c>
      <c r="AB6120">
        <v>35</v>
      </c>
      <c r="AC6120">
        <v>13.255799999999899</v>
      </c>
      <c r="AD6120">
        <v>-1.1049321083300001</v>
      </c>
      <c r="AE6120">
        <v>0.81670999999999305</v>
      </c>
      <c r="AF6120">
        <v>3.4534451363924501</v>
      </c>
      <c r="AG6120">
        <v>-1.1049321083300001</v>
      </c>
      <c r="AH6120">
        <v>12.729506483677399</v>
      </c>
      <c r="AI6120">
        <v>94.788642338326</v>
      </c>
      <c r="AJ6120">
        <v>74.821317435250293</v>
      </c>
      <c r="AK6120">
        <v>13.235841249881901</v>
      </c>
      <c r="AL6120">
        <v>84.203121424909298</v>
      </c>
      <c r="AM6120">
        <v>74.244277708113998</v>
      </c>
      <c r="AN6120">
        <v>1.0000000318253199</v>
      </c>
    </row>
    <row r="6121" spans="1:40" x14ac:dyDescent="0.25">
      <c r="A6121" t="str">
        <f>"20190312164147471"</f>
        <v>20190312164147471</v>
      </c>
      <c r="B6121" t="str">
        <f>"1552380107461922"</f>
        <v>1552380107461922</v>
      </c>
      <c r="C6121" t="s">
        <v>40</v>
      </c>
      <c r="D6121">
        <v>6.1826699999999999</v>
      </c>
      <c r="E6121">
        <v>0.50265320000000002</v>
      </c>
      <c r="F6121" t="s">
        <v>56</v>
      </c>
      <c r="G6121">
        <v>-253.22380000000001</v>
      </c>
      <c r="H6121" s="1">
        <v>-1.0255570000000001E-6</v>
      </c>
      <c r="I6121">
        <v>-62.660899999999998</v>
      </c>
      <c r="J6121">
        <v>-266.5018</v>
      </c>
      <c r="K6121">
        <v>1.104508</v>
      </c>
      <c r="L6121">
        <v>-63.413539999999998</v>
      </c>
      <c r="M6121">
        <v>0.94840749999999996</v>
      </c>
      <c r="N6121">
        <v>0</v>
      </c>
      <c r="O6121">
        <v>0.3166815</v>
      </c>
      <c r="P6121">
        <v>0.99475690000000005</v>
      </c>
      <c r="Q6121">
        <v>9.0185150000000006E-2</v>
      </c>
      <c r="R6121">
        <v>4.8224999999999997E-2</v>
      </c>
      <c r="S6121">
        <v>3.0291139999999999</v>
      </c>
      <c r="T6121">
        <v>-0.24878819999999999</v>
      </c>
      <c r="U6121">
        <v>0.1820068</v>
      </c>
      <c r="V6121">
        <v>0.27072239999999997</v>
      </c>
      <c r="W6121">
        <v>0.1012194</v>
      </c>
      <c r="X6121">
        <v>0.95732130000000004</v>
      </c>
      <c r="Y6121">
        <v>0.25736979999999998</v>
      </c>
      <c r="Z6121">
        <v>-3.6083320000000002E-2</v>
      </c>
      <c r="AA6121">
        <v>0.96563909999999997</v>
      </c>
      <c r="AB6121">
        <v>35</v>
      </c>
      <c r="AC6121">
        <v>13.277999999999899</v>
      </c>
      <c r="AD6121">
        <v>-1.104509025557</v>
      </c>
      <c r="AE6121">
        <v>0.75264000000000597</v>
      </c>
      <c r="AF6121">
        <v>3.4675826201794999</v>
      </c>
      <c r="AG6121">
        <v>-1.104509025557</v>
      </c>
      <c r="AH6121">
        <v>12.744910911518801</v>
      </c>
      <c r="AI6121">
        <v>94.780117709846394</v>
      </c>
      <c r="AJ6121">
        <v>74.779626226674594</v>
      </c>
      <c r="AK6121">
        <v>13.2543133944334</v>
      </c>
      <c r="AL6121">
        <v>84.190606896128301</v>
      </c>
      <c r="AM6121">
        <v>74.209543816047997</v>
      </c>
      <c r="AN6121">
        <v>1.0000000281159001</v>
      </c>
    </row>
    <row r="6122" spans="1:40" x14ac:dyDescent="0.25">
      <c r="A6122" t="str">
        <f>"20190312164147482"</f>
        <v>20190312164147482</v>
      </c>
      <c r="B6122" t="str">
        <f>"1552380107472658"</f>
        <v>1552380107472658</v>
      </c>
      <c r="C6122" t="s">
        <v>40</v>
      </c>
      <c r="D6122">
        <v>6.0657220000000001</v>
      </c>
      <c r="E6122">
        <v>0.50237410000000005</v>
      </c>
      <c r="F6122" t="s">
        <v>56</v>
      </c>
      <c r="G6122">
        <v>-252.8766</v>
      </c>
      <c r="H6122" s="1">
        <v>-8.7633040000000003E-7</v>
      </c>
      <c r="I6122">
        <v>-62.659730000000003</v>
      </c>
      <c r="J6122">
        <v>-266.34070000000003</v>
      </c>
      <c r="K6122">
        <v>1.1041259999999999</v>
      </c>
      <c r="L6122">
        <v>-63.362920000000003</v>
      </c>
      <c r="M6122">
        <v>0.94965310000000003</v>
      </c>
      <c r="N6122">
        <v>0</v>
      </c>
      <c r="O6122">
        <v>0.3129267</v>
      </c>
      <c r="P6122">
        <v>0.99489249999999996</v>
      </c>
      <c r="Q6122">
        <v>9.0938580000000005E-2</v>
      </c>
      <c r="R6122">
        <v>4.3810189999999999E-2</v>
      </c>
      <c r="S6122">
        <v>3.0299680000000002</v>
      </c>
      <c r="T6122">
        <v>-0.2456199</v>
      </c>
      <c r="U6122">
        <v>0.16763310000000001</v>
      </c>
      <c r="V6122">
        <v>0.27126709999999998</v>
      </c>
      <c r="W6122">
        <v>0.10170940000000001</v>
      </c>
      <c r="X6122">
        <v>0.9571151</v>
      </c>
      <c r="Y6122">
        <v>0.25818679999999999</v>
      </c>
      <c r="Z6122">
        <v>-3.5367900000000001E-2</v>
      </c>
      <c r="AA6122">
        <v>0.96544739999999996</v>
      </c>
      <c r="AB6122">
        <v>35</v>
      </c>
      <c r="AC6122">
        <v>13.4641</v>
      </c>
      <c r="AD6122">
        <v>-1.1041268763304</v>
      </c>
      <c r="AE6122">
        <v>0.70318999999999199</v>
      </c>
      <c r="AF6122">
        <v>3.5222855830278501</v>
      </c>
      <c r="AG6122">
        <v>-1.1041268763304</v>
      </c>
      <c r="AH6122">
        <v>12.9211488376978</v>
      </c>
      <c r="AI6122">
        <v>94.712969549668003</v>
      </c>
      <c r="AJ6122">
        <v>74.751749721513306</v>
      </c>
      <c r="AK6122">
        <v>13.4380682828068</v>
      </c>
      <c r="AL6122">
        <v>84.162386030236902</v>
      </c>
      <c r="AM6122">
        <v>74.176124286435595</v>
      </c>
      <c r="AN6122">
        <v>0.99999997811938901</v>
      </c>
    </row>
    <row r="6123" spans="1:40" x14ac:dyDescent="0.25">
      <c r="A6123" t="str">
        <f>"20190312164147492"</f>
        <v>20190312164147492</v>
      </c>
      <c r="B6123" t="str">
        <f>"1552380107482418"</f>
        <v>1552380107482418</v>
      </c>
      <c r="C6123" t="s">
        <v>40</v>
      </c>
      <c r="D6123">
        <v>6.4195449999999896</v>
      </c>
      <c r="E6123">
        <v>0.50219380000000002</v>
      </c>
      <c r="F6123" t="s">
        <v>56</v>
      </c>
      <c r="G6123">
        <v>-252.4941</v>
      </c>
      <c r="H6123" s="1">
        <v>-7.1034419999999898E-7</v>
      </c>
      <c r="I6123">
        <v>-62.651119999999999</v>
      </c>
      <c r="J6123">
        <v>-266.1748</v>
      </c>
      <c r="K6123">
        <v>1.10375499999999</v>
      </c>
      <c r="L6123">
        <v>-63.311799999999998</v>
      </c>
      <c r="M6123">
        <v>0.95097089999999995</v>
      </c>
      <c r="N6123">
        <v>0</v>
      </c>
      <c r="O6123">
        <v>0.30889870000000003</v>
      </c>
      <c r="P6123">
        <v>0.99503600000000003</v>
      </c>
      <c r="Q6123">
        <v>9.1317679999999998E-2</v>
      </c>
      <c r="R6123">
        <v>3.9548840000000002E-2</v>
      </c>
      <c r="S6123">
        <v>3.03064</v>
      </c>
      <c r="T6123">
        <v>-0.24166380000000001</v>
      </c>
      <c r="U6123">
        <v>0.15579219999999999</v>
      </c>
      <c r="V6123">
        <v>0.27139730000000001</v>
      </c>
      <c r="W6123">
        <v>0.1018413</v>
      </c>
      <c r="X6123">
        <v>0.95706420000000003</v>
      </c>
      <c r="Y6123">
        <v>0.25793820000000001</v>
      </c>
      <c r="Z6123">
        <v>-3.4483310000000003E-2</v>
      </c>
      <c r="AA6123">
        <v>0.96554580000000001</v>
      </c>
      <c r="AB6123">
        <v>35</v>
      </c>
      <c r="AC6123">
        <v>13.6807</v>
      </c>
      <c r="AD6123">
        <v>-1.10375571034419</v>
      </c>
      <c r="AE6123">
        <v>0.66067999999999905</v>
      </c>
      <c r="AF6123">
        <v>3.5748719800791799</v>
      </c>
      <c r="AG6123">
        <v>-1.10375571034419</v>
      </c>
      <c r="AH6123">
        <v>13.1303205764594</v>
      </c>
      <c r="AI6123">
        <v>94.637063035911197</v>
      </c>
      <c r="AJ6123">
        <v>74.769759227395298</v>
      </c>
      <c r="AK6123">
        <v>13.6529595613064</v>
      </c>
      <c r="AL6123">
        <v>84.154789479606507</v>
      </c>
      <c r="AM6123">
        <v>74.168110170126596</v>
      </c>
      <c r="AN6123">
        <v>1.00000001387731</v>
      </c>
    </row>
    <row r="6124" spans="1:40" x14ac:dyDescent="0.25">
      <c r="A6124" t="str">
        <f>"20190312164147504"</f>
        <v>20190312164147504</v>
      </c>
      <c r="B6124" t="str">
        <f>"1552380107492179"</f>
        <v>1552380107492179</v>
      </c>
      <c r="C6124" t="s">
        <v>40</v>
      </c>
      <c r="D6124">
        <v>5.9250629999999997</v>
      </c>
      <c r="E6124">
        <v>0.50199519999999997</v>
      </c>
      <c r="F6124" t="s">
        <v>56</v>
      </c>
      <c r="G6124">
        <v>-252.1293</v>
      </c>
      <c r="H6124" s="1">
        <v>-5.5274139999999995E-7</v>
      </c>
      <c r="I6124">
        <v>-62.646320000000003</v>
      </c>
      <c r="J6124">
        <v>-266.00459999999998</v>
      </c>
      <c r="K6124">
        <v>1.103386</v>
      </c>
      <c r="L6124">
        <v>-63.260249999999999</v>
      </c>
      <c r="M6124">
        <v>0.95235369999999997</v>
      </c>
      <c r="N6124">
        <v>0</v>
      </c>
      <c r="O6124">
        <v>0.30460880000000001</v>
      </c>
      <c r="P6124">
        <v>0.99515759999999998</v>
      </c>
      <c r="Q6124">
        <v>9.1480539999999999E-2</v>
      </c>
      <c r="R6124">
        <v>3.5960539999999999E-2</v>
      </c>
      <c r="S6124">
        <v>3.0311279999999998</v>
      </c>
      <c r="T6124">
        <v>-0.23819779999999999</v>
      </c>
      <c r="U6124">
        <v>0.14361570000000001</v>
      </c>
      <c r="V6124">
        <v>0.27062259999999999</v>
      </c>
      <c r="W6124">
        <v>0.101782</v>
      </c>
      <c r="X6124">
        <v>0.95728979999999997</v>
      </c>
      <c r="Y6124">
        <v>0.25752560000000002</v>
      </c>
      <c r="Z6124">
        <v>-3.3653389999999998E-2</v>
      </c>
      <c r="AA6124">
        <v>0.96568520000000002</v>
      </c>
      <c r="AB6124">
        <v>35</v>
      </c>
      <c r="AC6124">
        <v>13.8752999999999</v>
      </c>
      <c r="AD6124">
        <v>-1.1033865527414</v>
      </c>
      <c r="AE6124">
        <v>0.61393000000000297</v>
      </c>
      <c r="AF6124">
        <v>3.6194460899366501</v>
      </c>
      <c r="AG6124">
        <v>-1.1033865527414</v>
      </c>
      <c r="AH6124">
        <v>13.3187238628197</v>
      </c>
      <c r="AI6124">
        <v>94.570807439139202</v>
      </c>
      <c r="AJ6124">
        <v>74.796679314953295</v>
      </c>
      <c r="AK6124">
        <v>13.845802873678799</v>
      </c>
      <c r="AL6124">
        <v>84.158204575289901</v>
      </c>
      <c r="AM6124">
        <v>74.214581185974495</v>
      </c>
      <c r="AN6124">
        <v>0.99999996416939896</v>
      </c>
    </row>
    <row r="6125" spans="1:40" x14ac:dyDescent="0.25">
      <c r="A6125" t="str">
        <f>"20190312164147516"</f>
        <v>20190312164147516</v>
      </c>
      <c r="B6125" t="str">
        <f>"1552380107512674"</f>
        <v>1552380107512674</v>
      </c>
      <c r="C6125" t="s">
        <v>40</v>
      </c>
      <c r="D6125">
        <v>6.1840460000000004</v>
      </c>
      <c r="E6125">
        <v>0.50153400000000004</v>
      </c>
      <c r="F6125" t="s">
        <v>56</v>
      </c>
      <c r="G6125">
        <v>-251.8597</v>
      </c>
      <c r="H6125" s="1">
        <v>-4.3484520000000001E-7</v>
      </c>
      <c r="I6125">
        <v>-62.636130000000001</v>
      </c>
      <c r="J6125">
        <v>-265.8261</v>
      </c>
      <c r="K6125">
        <v>1.103005</v>
      </c>
      <c r="L6125">
        <v>-63.207000000000001</v>
      </c>
      <c r="M6125">
        <v>0.95382049999999996</v>
      </c>
      <c r="N6125">
        <v>0</v>
      </c>
      <c r="O6125">
        <v>0.29998340000000001</v>
      </c>
      <c r="P6125">
        <v>0.99533709999999997</v>
      </c>
      <c r="Q6125">
        <v>9.0958990000000003E-2</v>
      </c>
      <c r="R6125">
        <v>3.20982E-2</v>
      </c>
      <c r="S6125">
        <v>3.0314329999999998</v>
      </c>
      <c r="T6125">
        <v>-0.2364705</v>
      </c>
      <c r="U6125">
        <v>0.1337585</v>
      </c>
      <c r="V6125">
        <v>0.26978980000000002</v>
      </c>
      <c r="W6125">
        <v>0.1010387</v>
      </c>
      <c r="X6125">
        <v>0.9576036</v>
      </c>
      <c r="Y6125">
        <v>0.25601810000000003</v>
      </c>
      <c r="Z6125">
        <v>-3.3007889999999998E-2</v>
      </c>
      <c r="AA6125">
        <v>0.96610830000000003</v>
      </c>
      <c r="AB6125">
        <v>35</v>
      </c>
      <c r="AC6125">
        <v>13.966399999999901</v>
      </c>
      <c r="AD6125">
        <v>-1.1030054348451901</v>
      </c>
      <c r="AE6125">
        <v>0.57086999999999899</v>
      </c>
      <c r="AF6125">
        <v>3.6230517757305698</v>
      </c>
      <c r="AG6125">
        <v>-1.1030054348451901</v>
      </c>
      <c r="AH6125">
        <v>13.410779802914499</v>
      </c>
      <c r="AI6125">
        <v>94.539823667837993</v>
      </c>
      <c r="AJ6125">
        <v>74.881898687633296</v>
      </c>
      <c r="AK6125">
        <v>13.935283997148501</v>
      </c>
      <c r="AL6125">
        <v>84.201013460014394</v>
      </c>
      <c r="AM6125">
        <v>74.265650000826199</v>
      </c>
      <c r="AN6125">
        <v>1.0000000049073401</v>
      </c>
    </row>
    <row r="6126" spans="1:40" x14ac:dyDescent="0.25">
      <c r="A6126" t="str">
        <f>"20190312164147527"</f>
        <v>20190312164147527</v>
      </c>
      <c r="B6126" t="str">
        <f>"1552380107522436"</f>
        <v>1552380107522436</v>
      </c>
      <c r="C6126" t="s">
        <v>40</v>
      </c>
      <c r="D6126">
        <v>6.1248339999999999</v>
      </c>
      <c r="E6126">
        <v>0.50130149999999996</v>
      </c>
      <c r="F6126" t="s">
        <v>56</v>
      </c>
      <c r="G6126">
        <v>-251.708</v>
      </c>
      <c r="H6126" s="1">
        <v>-3.6673730000000001E-7</v>
      </c>
      <c r="I6126">
        <v>-62.6224699999999</v>
      </c>
      <c r="J6126">
        <v>-265.65859999999998</v>
      </c>
      <c r="K6126">
        <v>1.1026659999999999</v>
      </c>
      <c r="L6126">
        <v>-63.15851</v>
      </c>
      <c r="M6126">
        <v>0.95524109999999995</v>
      </c>
      <c r="N6126">
        <v>0</v>
      </c>
      <c r="O6126">
        <v>0.29542740000000001</v>
      </c>
      <c r="P6126">
        <v>0.99553480000000005</v>
      </c>
      <c r="Q6126">
        <v>8.9968119999999999E-2</v>
      </c>
      <c r="R6126">
        <v>2.8567309999999999E-2</v>
      </c>
      <c r="S6126">
        <v>3.031647</v>
      </c>
      <c r="T6126">
        <v>-0.23685439999999999</v>
      </c>
      <c r="U6126">
        <v>0.12551880000000001</v>
      </c>
      <c r="V6126">
        <v>0.26870660000000002</v>
      </c>
      <c r="W6126">
        <v>9.9865410000000002E-2</v>
      </c>
      <c r="X6126">
        <v>0.95803110000000002</v>
      </c>
      <c r="Y6126">
        <v>0.25404300000000002</v>
      </c>
      <c r="Z6126">
        <v>-3.264483E-2</v>
      </c>
      <c r="AA6126">
        <v>0.9666418</v>
      </c>
      <c r="AB6126">
        <v>35</v>
      </c>
      <c r="AC6126">
        <v>13.9505999999999</v>
      </c>
      <c r="AD6126">
        <v>-1.1026663667373</v>
      </c>
      <c r="AE6126">
        <v>0.53604000000000696</v>
      </c>
      <c r="AF6126">
        <v>3.5873910072534798</v>
      </c>
      <c r="AG6126">
        <v>-1.1026663667373</v>
      </c>
      <c r="AH6126">
        <v>13.402538031182701</v>
      </c>
      <c r="AI6126">
        <v>94.544043081122894</v>
      </c>
      <c r="AJ6126">
        <v>75.015190696641994</v>
      </c>
      <c r="AK6126">
        <v>13.9180915729332</v>
      </c>
      <c r="AL6126">
        <v>84.2685795438219</v>
      </c>
      <c r="AM6126">
        <v>74.332362982660499</v>
      </c>
      <c r="AN6126">
        <v>0.99999996278261805</v>
      </c>
    </row>
    <row r="6127" spans="1:40" x14ac:dyDescent="0.25">
      <c r="A6127" t="str">
        <f>"20190312164147539"</f>
        <v>20190312164147539</v>
      </c>
      <c r="B6127" t="str">
        <f>"1552380107532194"</f>
        <v>1552380107532194</v>
      </c>
      <c r="C6127" t="s">
        <v>40</v>
      </c>
      <c r="D6127">
        <v>6.1839700000000004</v>
      </c>
      <c r="E6127">
        <v>0.50108869999999905</v>
      </c>
      <c r="F6127" t="s">
        <v>56</v>
      </c>
      <c r="G6127">
        <v>-251.6771</v>
      </c>
      <c r="H6127" s="1">
        <v>-3.5305359999999998E-7</v>
      </c>
      <c r="I6127">
        <v>-62.620600000000003</v>
      </c>
      <c r="J6127">
        <v>-265.476</v>
      </c>
      <c r="K6127">
        <v>1.102301</v>
      </c>
      <c r="L6127">
        <v>-63.106169999999999</v>
      </c>
      <c r="M6127">
        <v>0.95678660000000004</v>
      </c>
      <c r="N6127">
        <v>0</v>
      </c>
      <c r="O6127">
        <v>0.2903829</v>
      </c>
      <c r="P6127">
        <v>0.99570669999999994</v>
      </c>
      <c r="Q6127">
        <v>8.9020769999999999E-2</v>
      </c>
      <c r="R6127">
        <v>2.5366400000000001E-2</v>
      </c>
      <c r="S6127">
        <v>3.0317080000000001</v>
      </c>
      <c r="T6127">
        <v>-0.2390996</v>
      </c>
      <c r="U6127">
        <v>0.1166382</v>
      </c>
      <c r="V6127">
        <v>0.26682450000000002</v>
      </c>
      <c r="W6127">
        <v>9.8738989999999999E-2</v>
      </c>
      <c r="X6127">
        <v>0.95867369999999996</v>
      </c>
      <c r="Y6127">
        <v>0.2517587</v>
      </c>
      <c r="Z6127">
        <v>-3.2484939999999997E-2</v>
      </c>
      <c r="AA6127">
        <v>0.96724469999999996</v>
      </c>
      <c r="AB6127">
        <v>35</v>
      </c>
      <c r="AC6127">
        <v>13.7989</v>
      </c>
      <c r="AD6127">
        <v>-1.1023013530536001</v>
      </c>
      <c r="AE6127">
        <v>0.48556999999999501</v>
      </c>
      <c r="AF6127">
        <v>3.5203610523286302</v>
      </c>
      <c r="AG6127">
        <v>-1.1023013530536001</v>
      </c>
      <c r="AH6127">
        <v>13.260670329918099</v>
      </c>
      <c r="AI6127">
        <v>94.593430065212104</v>
      </c>
      <c r="AJ6127">
        <v>75.132408412063299</v>
      </c>
      <c r="AK6127">
        <v>13.7642067628493</v>
      </c>
      <c r="AL6127">
        <v>84.333439354540502</v>
      </c>
      <c r="AM6127">
        <v>74.446694438850798</v>
      </c>
      <c r="AN6127">
        <v>0.99999998250907896</v>
      </c>
    </row>
    <row r="6128" spans="1:40" x14ac:dyDescent="0.25">
      <c r="A6128" t="str">
        <f>"20190312164147549"</f>
        <v>20190312164147549</v>
      </c>
      <c r="B6128" t="str">
        <f>"1552380107541954"</f>
        <v>1552380107541954</v>
      </c>
      <c r="C6128" t="s">
        <v>40</v>
      </c>
      <c r="D6128">
        <v>6.1194790000000001</v>
      </c>
      <c r="E6128">
        <v>0.50086969999999997</v>
      </c>
      <c r="F6128" t="s">
        <v>56</v>
      </c>
      <c r="G6128">
        <v>-251.6337</v>
      </c>
      <c r="H6128" s="1">
        <v>-3.3242779999999998E-7</v>
      </c>
      <c r="I6128">
        <v>-62.611530000000002</v>
      </c>
      <c r="J6128">
        <v>-265.30579999999998</v>
      </c>
      <c r="K6128">
        <v>1.101979</v>
      </c>
      <c r="L6128">
        <v>-63.059080000000002</v>
      </c>
      <c r="M6128">
        <v>0.95827280000000004</v>
      </c>
      <c r="N6128">
        <v>0</v>
      </c>
      <c r="O6128">
        <v>0.28543930000000001</v>
      </c>
      <c r="P6128">
        <v>0.99581019999999998</v>
      </c>
      <c r="Q6128">
        <v>8.8662589999999999E-2</v>
      </c>
      <c r="R6128">
        <v>2.238449E-2</v>
      </c>
      <c r="S6128">
        <v>3.0317690000000002</v>
      </c>
      <c r="T6128">
        <v>-0.24142859999999999</v>
      </c>
      <c r="U6128">
        <v>0.1083374</v>
      </c>
      <c r="V6128">
        <v>0.2648238</v>
      </c>
      <c r="W6128">
        <v>9.8239800000000002E-2</v>
      </c>
      <c r="X6128">
        <v>0.95927960000000001</v>
      </c>
      <c r="Y6128">
        <v>0.24939829999999999</v>
      </c>
      <c r="Z6128">
        <v>-3.2331020000000002E-2</v>
      </c>
      <c r="AA6128">
        <v>0.96786110000000003</v>
      </c>
      <c r="AB6128">
        <v>35</v>
      </c>
      <c r="AC6128">
        <v>13.672099999999901</v>
      </c>
      <c r="AD6128">
        <v>-1.1019793324278</v>
      </c>
      <c r="AE6128">
        <v>0.447549999999999</v>
      </c>
      <c r="AF6128">
        <v>3.4516927252954099</v>
      </c>
      <c r="AG6128">
        <v>-1.1019793324278</v>
      </c>
      <c r="AH6128">
        <v>13.145613666514</v>
      </c>
      <c r="AI6128">
        <v>94.635414351609398</v>
      </c>
      <c r="AJ6128">
        <v>75.287744437898994</v>
      </c>
      <c r="AK6128">
        <v>13.6358241330766</v>
      </c>
      <c r="AL6128">
        <v>84.362180825010498</v>
      </c>
      <c r="AM6128">
        <v>74.567019013449993</v>
      </c>
      <c r="AN6128">
        <v>1.00000002716331</v>
      </c>
    </row>
    <row r="6129" spans="1:40" x14ac:dyDescent="0.25">
      <c r="A6129" t="str">
        <f>"20190312164147560"</f>
        <v>20190312164147560</v>
      </c>
      <c r="B6129" t="str">
        <f>"1552380107552690"</f>
        <v>1552380107552690</v>
      </c>
      <c r="C6129" t="s">
        <v>40</v>
      </c>
      <c r="D6129">
        <v>6.6001810000000001</v>
      </c>
      <c r="E6129">
        <v>0.50063459999999904</v>
      </c>
      <c r="F6129" t="s">
        <v>56</v>
      </c>
      <c r="G6129">
        <v>-251.4974</v>
      </c>
      <c r="H6129" s="1">
        <v>-2.7154590000000002E-7</v>
      </c>
      <c r="I6129">
        <v>-62.60069</v>
      </c>
      <c r="J6129">
        <v>-265.15100000000001</v>
      </c>
      <c r="K6129">
        <v>1.101694</v>
      </c>
      <c r="L6129">
        <v>-63.016629999999999</v>
      </c>
      <c r="M6129">
        <v>0.95961609999999997</v>
      </c>
      <c r="N6129">
        <v>0</v>
      </c>
      <c r="O6129">
        <v>0.280889</v>
      </c>
      <c r="P6129">
        <v>0.99578140000000004</v>
      </c>
      <c r="Q6129">
        <v>8.9575790000000002E-2</v>
      </c>
      <c r="R6129">
        <v>1.9895030000000001E-2</v>
      </c>
      <c r="S6129">
        <v>3.03186</v>
      </c>
      <c r="T6129">
        <v>-0.24195720000000001</v>
      </c>
      <c r="U6129">
        <v>0.100647</v>
      </c>
      <c r="V6129">
        <v>0.26273279999999999</v>
      </c>
      <c r="W6129">
        <v>9.9033679999999999E-2</v>
      </c>
      <c r="X6129">
        <v>0.95977279999999998</v>
      </c>
      <c r="Y6129">
        <v>0.2472705</v>
      </c>
      <c r="Z6129">
        <v>-3.1969369999999997E-2</v>
      </c>
      <c r="AA6129">
        <v>0.96841900000000003</v>
      </c>
      <c r="AB6129">
        <v>35</v>
      </c>
      <c r="AC6129">
        <v>13.653600000000001</v>
      </c>
      <c r="AD6129">
        <v>-1.1016942715458999</v>
      </c>
      <c r="AE6129">
        <v>0.41594000000000603</v>
      </c>
      <c r="AF6129">
        <v>3.4142045614471801</v>
      </c>
      <c r="AG6129">
        <v>-1.1016942715458999</v>
      </c>
      <c r="AH6129">
        <v>13.135182781033301</v>
      </c>
      <c r="AI6129">
        <v>94.640873051502794</v>
      </c>
      <c r="AJ6129">
        <v>75.429636629384106</v>
      </c>
      <c r="AK6129">
        <v>13.6162972113023</v>
      </c>
      <c r="AL6129">
        <v>84.316471859228798</v>
      </c>
      <c r="AM6129">
        <v>74.690632194523204</v>
      </c>
      <c r="AN6129">
        <v>1.00000001079501</v>
      </c>
    </row>
    <row r="6130" spans="1:40" x14ac:dyDescent="0.25">
      <c r="A6130" t="str">
        <f>"20190312164147572"</f>
        <v>20190312164147572</v>
      </c>
      <c r="B6130" t="str">
        <f>"1552380107562452"</f>
        <v>1552380107562452</v>
      </c>
      <c r="C6130" t="s">
        <v>40</v>
      </c>
      <c r="D6130">
        <v>6.1221160000000001</v>
      </c>
      <c r="E6130">
        <v>0.50049979999999905</v>
      </c>
      <c r="F6130" t="s">
        <v>56</v>
      </c>
      <c r="G6130">
        <v>-251.14920000000001</v>
      </c>
      <c r="H6130" s="1">
        <v>-1.174938E-7</v>
      </c>
      <c r="I6130">
        <v>-62.579650000000001</v>
      </c>
      <c r="J6130">
        <v>-264.97199999999998</v>
      </c>
      <c r="K6130">
        <v>1.1013809999999999</v>
      </c>
      <c r="L6130">
        <v>-62.969149999999999</v>
      </c>
      <c r="M6130">
        <v>0.96119860000000001</v>
      </c>
      <c r="N6130">
        <v>0</v>
      </c>
      <c r="O6130">
        <v>0.27542349999999999</v>
      </c>
      <c r="P6130">
        <v>0.99572689999999997</v>
      </c>
      <c r="Q6130">
        <v>9.0874389999999999E-2</v>
      </c>
      <c r="R6130">
        <v>1.642687E-2</v>
      </c>
      <c r="S6130">
        <v>3.0323180000000001</v>
      </c>
      <c r="T6130">
        <v>-0.23859</v>
      </c>
      <c r="U6130">
        <v>9.4635010000000006E-2</v>
      </c>
      <c r="V6130">
        <v>0.26068409999999997</v>
      </c>
      <c r="W6130">
        <v>0.10020510000000001</v>
      </c>
      <c r="X6130">
        <v>0.96020970000000005</v>
      </c>
      <c r="Y6130">
        <v>0.24375269999999999</v>
      </c>
      <c r="Z6130">
        <v>-3.097045E-2</v>
      </c>
      <c r="AA6130">
        <v>0.96934279999999995</v>
      </c>
      <c r="AB6130">
        <v>35</v>
      </c>
      <c r="AC6130">
        <v>13.8227999999999</v>
      </c>
      <c r="AD6130">
        <v>-1.1013811174938</v>
      </c>
      <c r="AE6130">
        <v>0.38949999999999801</v>
      </c>
      <c r="AF6130">
        <v>3.4115062724538299</v>
      </c>
      <c r="AG6130">
        <v>-1.1013811174938</v>
      </c>
      <c r="AH6130">
        <v>13.3108957572836</v>
      </c>
      <c r="AI6130">
        <v>94.582587310209803</v>
      </c>
      <c r="AJ6130">
        <v>75.624841306072298</v>
      </c>
      <c r="AK6130">
        <v>13.785186298133</v>
      </c>
      <c r="AL6130">
        <v>84.249018632857201</v>
      </c>
      <c r="AM6130">
        <v>74.811064283641699</v>
      </c>
      <c r="AN6130">
        <v>0.99999996501645405</v>
      </c>
    </row>
    <row r="6131" spans="1:40" x14ac:dyDescent="0.25">
      <c r="A6131" t="str">
        <f>"20190312164147583"</f>
        <v>20190312164147583</v>
      </c>
      <c r="B6131" t="str">
        <f>"1552380107572210"</f>
        <v>1552380107572210</v>
      </c>
      <c r="C6131" t="s">
        <v>40</v>
      </c>
      <c r="D6131">
        <v>6.1200449999999904</v>
      </c>
      <c r="E6131">
        <v>0.50030759999999996</v>
      </c>
      <c r="F6131" t="s">
        <v>56</v>
      </c>
      <c r="G6131">
        <v>-250.7294</v>
      </c>
      <c r="H6131" s="1">
        <v>6.4585719999999997E-8</v>
      </c>
      <c r="I6131">
        <v>-62.570880000000002</v>
      </c>
      <c r="J6131">
        <v>-264.80020000000002</v>
      </c>
      <c r="K6131">
        <v>1.101092</v>
      </c>
      <c r="L6131">
        <v>-62.9244699999999</v>
      </c>
      <c r="M6131">
        <v>0.96271620000000002</v>
      </c>
      <c r="N6131">
        <v>0</v>
      </c>
      <c r="O6131">
        <v>0.27006930000000001</v>
      </c>
      <c r="P6131">
        <v>0.99551959999999995</v>
      </c>
      <c r="Q6131">
        <v>9.3621919999999997E-2</v>
      </c>
      <c r="R6131">
        <v>1.3262009999999999E-2</v>
      </c>
      <c r="S6131">
        <v>3.032867</v>
      </c>
      <c r="T6131">
        <v>-0.2345313</v>
      </c>
      <c r="U6131">
        <v>8.4808350000000005E-2</v>
      </c>
      <c r="V6131">
        <v>0.25845360000000001</v>
      </c>
      <c r="W6131">
        <v>0.10284500000000001</v>
      </c>
      <c r="X6131">
        <v>0.96053350000000004</v>
      </c>
      <c r="Y6131">
        <v>0.2415747</v>
      </c>
      <c r="Z6131">
        <v>-2.9959159999999999E-2</v>
      </c>
      <c r="AA6131">
        <v>0.96991959999999999</v>
      </c>
      <c r="AB6131">
        <v>35</v>
      </c>
      <c r="AC6131">
        <v>14.0708</v>
      </c>
      <c r="AD6131">
        <v>-1.1010919354142801</v>
      </c>
      <c r="AE6131">
        <v>0.35358999999998902</v>
      </c>
      <c r="AF6131">
        <v>3.4390534487863298</v>
      </c>
      <c r="AG6131">
        <v>-1.1010919354142801</v>
      </c>
      <c r="AH6131">
        <v>13.5603326531637</v>
      </c>
      <c r="AI6131">
        <v>94.500343056769296</v>
      </c>
      <c r="AJ6131">
        <v>75.769182245504297</v>
      </c>
      <c r="AK6131">
        <v>14.032893990132701</v>
      </c>
      <c r="AL6131">
        <v>84.096977950830095</v>
      </c>
      <c r="AM6131">
        <v>74.939942432538501</v>
      </c>
      <c r="AN6131">
        <v>0.99999998100010401</v>
      </c>
    </row>
    <row r="6132" spans="1:40" x14ac:dyDescent="0.25">
      <c r="A6132" t="str">
        <f>"20190312164147593"</f>
        <v>20190312164147593</v>
      </c>
      <c r="B6132" t="str">
        <f>"1552380107581970"</f>
        <v>1552380107581970</v>
      </c>
      <c r="C6132" t="s">
        <v>40</v>
      </c>
      <c r="D6132">
        <v>6.1229550000000001</v>
      </c>
      <c r="E6132">
        <v>0.50012590000000001</v>
      </c>
      <c r="F6132" t="s">
        <v>57</v>
      </c>
      <c r="G6132">
        <v>-249.9881</v>
      </c>
      <c r="H6132" s="1">
        <v>-3.6576029999999998E-6</v>
      </c>
      <c r="I6132">
        <v>-62.551600000000001</v>
      </c>
      <c r="J6132">
        <v>-264.62950000000001</v>
      </c>
      <c r="K6132">
        <v>1.100822</v>
      </c>
      <c r="L6132">
        <v>-62.881230000000002</v>
      </c>
      <c r="M6132">
        <v>0.96422739999999996</v>
      </c>
      <c r="N6132">
        <v>0</v>
      </c>
      <c r="O6132">
        <v>0.26462140000000001</v>
      </c>
      <c r="P6132">
        <v>0.99524520000000005</v>
      </c>
      <c r="Q6132">
        <v>9.6869559999999993E-2</v>
      </c>
      <c r="R6132">
        <v>1.0160489999999999E-2</v>
      </c>
      <c r="S6132">
        <v>3.0336910000000001</v>
      </c>
      <c r="T6132">
        <v>-0.22551689999999999</v>
      </c>
      <c r="U6132">
        <v>7.6354980000000003E-2</v>
      </c>
      <c r="V6132">
        <v>0.25607489999999999</v>
      </c>
      <c r="W6132">
        <v>0.106002</v>
      </c>
      <c r="X6132">
        <v>0.9608274</v>
      </c>
      <c r="Y6132">
        <v>0.23893259999999999</v>
      </c>
      <c r="Z6132">
        <v>-2.8315819999999998E-2</v>
      </c>
      <c r="AA6132">
        <v>0.97062320000000002</v>
      </c>
      <c r="AB6132">
        <v>35</v>
      </c>
      <c r="AC6132">
        <v>14.641400000000001</v>
      </c>
      <c r="AD6132">
        <v>-1.100825657603</v>
      </c>
      <c r="AE6132">
        <v>0.32963000000000098</v>
      </c>
      <c r="AF6132">
        <v>3.5370338027587001</v>
      </c>
      <c r="AG6132">
        <v>-1.100825657603</v>
      </c>
      <c r="AH6132">
        <v>14.126761636108601</v>
      </c>
      <c r="AI6132">
        <v>94.322850897535503</v>
      </c>
      <c r="AJ6132">
        <v>75.943361256176701</v>
      </c>
      <c r="AK6132">
        <v>14.604376726643499</v>
      </c>
      <c r="AL6132">
        <v>83.915101089032902</v>
      </c>
      <c r="AM6132">
        <v>75.076696875821298</v>
      </c>
      <c r="AN6132">
        <v>1.0000000355023799</v>
      </c>
    </row>
    <row r="6133" spans="1:40" x14ac:dyDescent="0.25">
      <c r="A6133" t="str">
        <f>"20190312164147606"</f>
        <v>20190312164147606</v>
      </c>
      <c r="B6133" t="str">
        <f>"1552380107602467"</f>
        <v>1552380107602467</v>
      </c>
      <c r="C6133" t="s">
        <v>40</v>
      </c>
      <c r="D6133">
        <v>6.260313</v>
      </c>
      <c r="E6133">
        <v>0.49991950000000002</v>
      </c>
      <c r="F6133" t="s">
        <v>57</v>
      </c>
      <c r="G6133">
        <v>-249.0915</v>
      </c>
      <c r="H6133" s="1">
        <v>-3.3491759999999998E-6</v>
      </c>
      <c r="I6133">
        <v>-62.532859999999999</v>
      </c>
      <c r="J6133">
        <v>-264.45549999999997</v>
      </c>
      <c r="K6133">
        <v>1.1005560000000001</v>
      </c>
      <c r="L6133">
        <v>-62.838470000000001</v>
      </c>
      <c r="M6133">
        <v>0.96577329999999995</v>
      </c>
      <c r="N6133">
        <v>0</v>
      </c>
      <c r="O6133">
        <v>0.2589207</v>
      </c>
      <c r="P6133">
        <v>0.99498149999999996</v>
      </c>
      <c r="Q6133">
        <v>9.9824850000000007E-2</v>
      </c>
      <c r="R6133">
        <v>6.8395790000000001E-3</v>
      </c>
      <c r="S6133">
        <v>3.0346069999999998</v>
      </c>
      <c r="T6133">
        <v>-0.2149932</v>
      </c>
      <c r="U6133">
        <v>6.8023680000000003E-2</v>
      </c>
      <c r="V6133">
        <v>0.25366670000000002</v>
      </c>
      <c r="W6133">
        <v>0.10887910000000001</v>
      </c>
      <c r="X6133">
        <v>0.96114440000000001</v>
      </c>
      <c r="Y6133">
        <v>0.2360141</v>
      </c>
      <c r="Z6133">
        <v>-2.6497320000000001E-2</v>
      </c>
      <c r="AA6133">
        <v>0.97138829999999998</v>
      </c>
      <c r="AB6133">
        <v>35</v>
      </c>
      <c r="AC6133">
        <v>15.3639999999999</v>
      </c>
      <c r="AD6133">
        <v>-1.100559349176</v>
      </c>
      <c r="AE6133">
        <v>0.305609999999994</v>
      </c>
      <c r="AF6133">
        <v>3.6645572637925401</v>
      </c>
      <c r="AG6133">
        <v>-1.100559349176</v>
      </c>
      <c r="AH6133">
        <v>14.84294320289</v>
      </c>
      <c r="AI6133">
        <v>94.117364305469906</v>
      </c>
      <c r="AJ6133">
        <v>76.1316487741625</v>
      </c>
      <c r="AK6133">
        <v>15.328182336627201</v>
      </c>
      <c r="AL6133">
        <v>83.7492953957656</v>
      </c>
      <c r="AM6133">
        <v>75.215525563735795</v>
      </c>
      <c r="AN6133">
        <v>1.0000000053785201</v>
      </c>
    </row>
    <row r="6134" spans="1:40" x14ac:dyDescent="0.25">
      <c r="A6134" t="str">
        <f>"20190312164147616"</f>
        <v>20190312164147616</v>
      </c>
      <c r="B6134" t="str">
        <f>"1552380107612226"</f>
        <v>1552380107612226</v>
      </c>
      <c r="C6134" t="s">
        <v>40</v>
      </c>
      <c r="D6134">
        <v>6.0868919999999997</v>
      </c>
      <c r="E6134">
        <v>0.49980970000000002</v>
      </c>
      <c r="F6134" t="s">
        <v>57</v>
      </c>
      <c r="G6134">
        <v>-248.2174</v>
      </c>
      <c r="H6134" s="1">
        <v>-3.0499400000000001E-6</v>
      </c>
      <c r="I6134">
        <v>-62.522829999999999</v>
      </c>
      <c r="J6134">
        <v>-264.29039999999998</v>
      </c>
      <c r="K6134">
        <v>1.1003099999999999</v>
      </c>
      <c r="L6134">
        <v>-62.798609999999996</v>
      </c>
      <c r="M6134">
        <v>0.96722710000000001</v>
      </c>
      <c r="N6134">
        <v>0</v>
      </c>
      <c r="O6134">
        <v>0.25343389999999999</v>
      </c>
      <c r="P6134">
        <v>0.99472249999999995</v>
      </c>
      <c r="Q6134">
        <v>0.10253520000000001</v>
      </c>
      <c r="R6134">
        <v>3.6858110000000002E-3</v>
      </c>
      <c r="S6134">
        <v>3.0353699999999999</v>
      </c>
      <c r="T6134">
        <v>-0.20572579999999999</v>
      </c>
      <c r="U6134">
        <v>5.8990479999999998E-2</v>
      </c>
      <c r="V6134">
        <v>0.25131599999999998</v>
      </c>
      <c r="W6134">
        <v>0.1115251</v>
      </c>
      <c r="X6134">
        <v>0.96145849999999999</v>
      </c>
      <c r="Y6134">
        <v>0.2335149</v>
      </c>
      <c r="Z6134">
        <v>-2.4908039999999999E-2</v>
      </c>
      <c r="AA6134">
        <v>0.97203419999999896</v>
      </c>
      <c r="AB6134">
        <v>35</v>
      </c>
      <c r="AC6134">
        <v>16.072999999999901</v>
      </c>
      <c r="AD6134">
        <v>-1.10031304994</v>
      </c>
      <c r="AE6134">
        <v>0.27577999999998998</v>
      </c>
      <c r="AF6134">
        <v>3.7894103379375799</v>
      </c>
      <c r="AG6134">
        <v>-1.10031304994</v>
      </c>
      <c r="AH6134">
        <v>15.545201378097</v>
      </c>
      <c r="AI6134">
        <v>93.933913093768396</v>
      </c>
      <c r="AJ6134">
        <v>76.300352343940403</v>
      </c>
      <c r="AK6134">
        <v>16.038192086476801</v>
      </c>
      <c r="AL6134">
        <v>83.596761717326302</v>
      </c>
      <c r="AM6134">
        <v>75.351190568039698</v>
      </c>
      <c r="AN6134">
        <v>1.00000001350413</v>
      </c>
    </row>
    <row r="6135" spans="1:40" x14ac:dyDescent="0.25">
      <c r="A6135" t="str">
        <f>"20190312164147628"</f>
        <v>20190312164147628</v>
      </c>
      <c r="B6135" t="str">
        <f>"1552380107621986"</f>
        <v>1552380107621986</v>
      </c>
      <c r="C6135" t="s">
        <v>40</v>
      </c>
      <c r="D6135">
        <v>6.2566610000000003</v>
      </c>
      <c r="E6135">
        <v>0.49980970000000002</v>
      </c>
      <c r="F6135" t="s">
        <v>57</v>
      </c>
      <c r="G6135">
        <v>-247.35990000000001</v>
      </c>
      <c r="H6135" s="1">
        <v>-2.7129720000000002E-6</v>
      </c>
      <c r="I6135">
        <v>-62.520139999999998</v>
      </c>
      <c r="J6135">
        <v>-264.10599999999999</v>
      </c>
      <c r="K6135">
        <v>1.1000589999999999</v>
      </c>
      <c r="L6135">
        <v>-62.755949999999999</v>
      </c>
      <c r="M6135">
        <v>0.96885619999999995</v>
      </c>
      <c r="N6135">
        <v>0</v>
      </c>
      <c r="O6135">
        <v>0.2471312</v>
      </c>
      <c r="P6135">
        <v>0.99457980000000001</v>
      </c>
      <c r="Q6135">
        <v>0.1039755</v>
      </c>
      <c r="R6135" s="1">
        <v>-9.9108090000000007E-5</v>
      </c>
      <c r="S6135">
        <v>3.0360719999999999</v>
      </c>
      <c r="T6135">
        <v>-0.19731380000000001</v>
      </c>
      <c r="U6135">
        <v>4.9926760000000001E-2</v>
      </c>
      <c r="V6135">
        <v>0.2487801</v>
      </c>
      <c r="W6135">
        <v>0.1129134</v>
      </c>
      <c r="X6135">
        <v>0.96195580000000003</v>
      </c>
      <c r="Y6135">
        <v>0.23019819999999999</v>
      </c>
      <c r="Z6135">
        <v>-2.3382179999999999E-2</v>
      </c>
      <c r="AA6135">
        <v>0.97286280000000003</v>
      </c>
      <c r="AB6135">
        <v>35</v>
      </c>
      <c r="AC6135">
        <v>16.746099999999899</v>
      </c>
      <c r="AD6135">
        <v>-1.1000617129719901</v>
      </c>
      <c r="AE6135">
        <v>0.235809999999993</v>
      </c>
      <c r="AF6135">
        <v>3.8936956229899602</v>
      </c>
      <c r="AG6135">
        <v>-1.1000617129719901</v>
      </c>
      <c r="AH6135">
        <v>16.214866876899102</v>
      </c>
      <c r="AI6135">
        <v>93.774190777312597</v>
      </c>
      <c r="AJ6135">
        <v>76.497158525657994</v>
      </c>
      <c r="AK6135">
        <v>16.712058796342099</v>
      </c>
      <c r="AL6135">
        <v>83.516712047947905</v>
      </c>
      <c r="AM6135">
        <v>75.499921017789902</v>
      </c>
      <c r="AN6135">
        <v>0.99999996760460397</v>
      </c>
    </row>
    <row r="6136" spans="1:40" x14ac:dyDescent="0.25">
      <c r="A6136" t="str">
        <f>"20190312164147639"</f>
        <v>20190312164147639</v>
      </c>
      <c r="B6136" t="str">
        <f>"1552380107632723"</f>
        <v>1552380107632723</v>
      </c>
      <c r="C6136" t="s">
        <v>40</v>
      </c>
      <c r="D6136">
        <v>6.1169229999999999</v>
      </c>
      <c r="E6136">
        <v>0.49963289999999999</v>
      </c>
      <c r="F6136" t="s">
        <v>57</v>
      </c>
      <c r="G6136">
        <v>-246.79310000000001</v>
      </c>
      <c r="H6136" s="1">
        <v>-2.4748590000000002E-6</v>
      </c>
      <c r="I6136">
        <v>-62.539090000000002</v>
      </c>
      <c r="J6136">
        <v>-263.93189999999998</v>
      </c>
      <c r="K6136">
        <v>1.0998270000000001</v>
      </c>
      <c r="L6136">
        <v>-62.716279999999998</v>
      </c>
      <c r="M6136">
        <v>0.97036659999999997</v>
      </c>
      <c r="N6136">
        <v>0</v>
      </c>
      <c r="O6136">
        <v>0.24112980000000001</v>
      </c>
      <c r="P6136">
        <v>0.99450689999999997</v>
      </c>
      <c r="Q6136">
        <v>0.1046236</v>
      </c>
      <c r="R6136">
        <v>-3.1455680000000001E-3</v>
      </c>
      <c r="S6136">
        <v>3.03653</v>
      </c>
      <c r="T6136">
        <v>-0.19294120000000001</v>
      </c>
      <c r="U6136">
        <v>3.80249E-2</v>
      </c>
      <c r="V6136">
        <v>0.2458331</v>
      </c>
      <c r="W6136">
        <v>0.1135359</v>
      </c>
      <c r="X6136">
        <v>0.96263989999999999</v>
      </c>
      <c r="Y6136">
        <v>0.22805039999999999</v>
      </c>
      <c r="Z6136">
        <v>-2.2424300000000001E-2</v>
      </c>
      <c r="AA6136">
        <v>0.97339109999999995</v>
      </c>
      <c r="AB6136">
        <v>35</v>
      </c>
      <c r="AC6136">
        <v>17.1387999999999</v>
      </c>
      <c r="AD6136">
        <v>-1.0998294748590001</v>
      </c>
      <c r="AE6136">
        <v>0.17719000000000301</v>
      </c>
      <c r="AF6136">
        <v>3.94497778362852</v>
      </c>
      <c r="AG6136">
        <v>-1.0998294748590001</v>
      </c>
      <c r="AH6136">
        <v>16.6073063105142</v>
      </c>
      <c r="AI6136">
        <v>93.686625482911396</v>
      </c>
      <c r="AJ6136">
        <v>76.637356593061298</v>
      </c>
      <c r="AK6136">
        <v>17.104826730438901</v>
      </c>
      <c r="AL6136">
        <v>83.480814435990197</v>
      </c>
      <c r="AM6136">
        <v>75.6743353460554</v>
      </c>
      <c r="AN6136">
        <v>0.99999994535821302</v>
      </c>
    </row>
    <row r="6137" spans="1:40" x14ac:dyDescent="0.25">
      <c r="A6137" t="str">
        <f>"20190312164147650"</f>
        <v>20190312164147650</v>
      </c>
      <c r="B6137" t="str">
        <f>"1552380107642482"</f>
        <v>1552380107642482</v>
      </c>
      <c r="C6137" t="s">
        <v>40</v>
      </c>
      <c r="D6137">
        <v>6.1756599999999997</v>
      </c>
      <c r="E6137">
        <v>0.4995134</v>
      </c>
      <c r="F6137" t="s">
        <v>57</v>
      </c>
      <c r="G6137">
        <v>-246.42140000000001</v>
      </c>
      <c r="H6137" s="1">
        <v>-2.3168929999999998E-6</v>
      </c>
      <c r="I6137">
        <v>-62.544640000000001</v>
      </c>
      <c r="J6137">
        <v>-263.76710000000003</v>
      </c>
      <c r="K6137">
        <v>1.099628</v>
      </c>
      <c r="L6137">
        <v>-62.680480000000003</v>
      </c>
      <c r="M6137">
        <v>0.97179219999999999</v>
      </c>
      <c r="N6137">
        <v>0</v>
      </c>
      <c r="O6137">
        <v>0.2353162</v>
      </c>
      <c r="P6137">
        <v>0.99445019999999995</v>
      </c>
      <c r="Q6137">
        <v>0.1050244</v>
      </c>
      <c r="R6137">
        <v>-6.2150130000000001E-3</v>
      </c>
      <c r="S6137">
        <v>3.036743</v>
      </c>
      <c r="T6137">
        <v>-0.19073709999999999</v>
      </c>
      <c r="U6137">
        <v>2.9754639999999999E-2</v>
      </c>
      <c r="V6137">
        <v>0.24309210000000001</v>
      </c>
      <c r="W6137">
        <v>0.1139315</v>
      </c>
      <c r="X6137">
        <v>0.96328910000000001</v>
      </c>
      <c r="Y6137">
        <v>0.22491149999999999</v>
      </c>
      <c r="Z6137">
        <v>-2.171375E-2</v>
      </c>
      <c r="AA6137">
        <v>0.97413720000000004</v>
      </c>
      <c r="AB6137">
        <v>35</v>
      </c>
      <c r="AC6137">
        <v>17.345700000000001</v>
      </c>
      <c r="AD6137">
        <v>-1.0996303168929999</v>
      </c>
      <c r="AE6137">
        <v>0.13584000000000099</v>
      </c>
      <c r="AF6137">
        <v>3.9343912216878301</v>
      </c>
      <c r="AG6137">
        <v>-1.0996303168929999</v>
      </c>
      <c r="AH6137">
        <v>16.822855088099001</v>
      </c>
      <c r="AI6137">
        <v>93.641837467325303</v>
      </c>
      <c r="AJ6137">
        <v>76.836722876052903</v>
      </c>
      <c r="AK6137">
        <v>17.311761159232301</v>
      </c>
      <c r="AL6137">
        <v>83.458000698733798</v>
      </c>
      <c r="AM6137">
        <v>75.8367611315159</v>
      </c>
      <c r="AN6137">
        <v>1.0000000229767301</v>
      </c>
    </row>
    <row r="6138" spans="1:40" x14ac:dyDescent="0.25">
      <c r="A6138" t="str">
        <f>"20190312164147661"</f>
        <v>20190312164147661</v>
      </c>
      <c r="B6138" t="str">
        <f>"1552380107652242"</f>
        <v>1552380107652242</v>
      </c>
      <c r="C6138" t="s">
        <v>40</v>
      </c>
      <c r="D6138">
        <v>6.116606</v>
      </c>
      <c r="E6138">
        <v>0.4995134</v>
      </c>
      <c r="F6138" t="s">
        <v>57</v>
      </c>
      <c r="G6138">
        <v>-246.04159999999999</v>
      </c>
      <c r="H6138" s="1">
        <v>-2.1583600000000001E-6</v>
      </c>
      <c r="I6138">
        <v>-62.561250000000001</v>
      </c>
      <c r="J6138">
        <v>-263.59930000000003</v>
      </c>
      <c r="K6138">
        <v>1.099431</v>
      </c>
      <c r="L6138">
        <v>-62.644620000000003</v>
      </c>
      <c r="M6138">
        <v>0.97321440000000004</v>
      </c>
      <c r="N6138">
        <v>0</v>
      </c>
      <c r="O6138">
        <v>0.2293615</v>
      </c>
      <c r="P6138">
        <v>0.99445070000000002</v>
      </c>
      <c r="Q6138">
        <v>0.10485709999999999</v>
      </c>
      <c r="R6138">
        <v>-8.5405469999999904E-3</v>
      </c>
      <c r="S6138">
        <v>3.0367739999999999</v>
      </c>
      <c r="T6138">
        <v>-0.18839120000000001</v>
      </c>
      <c r="U6138">
        <v>2.0416259999999999E-2</v>
      </c>
      <c r="V6138">
        <v>0.23949329999999999</v>
      </c>
      <c r="W6138">
        <v>0.113788899999999</v>
      </c>
      <c r="X6138">
        <v>0.96420689999999998</v>
      </c>
      <c r="Y6138">
        <v>0.2219796</v>
      </c>
      <c r="Z6138">
        <v>-2.0996609999999999E-2</v>
      </c>
      <c r="AA6138">
        <v>0.97482519999999995</v>
      </c>
      <c r="AB6138">
        <v>35</v>
      </c>
      <c r="AC6138">
        <v>17.557700000000001</v>
      </c>
      <c r="AD6138">
        <v>-1.0994331583600001</v>
      </c>
      <c r="AE6138">
        <v>8.3369999999995004E-2</v>
      </c>
      <c r="AF6138">
        <v>3.9309977106479801</v>
      </c>
      <c r="AG6138">
        <v>-1.0994331583600001</v>
      </c>
      <c r="AH6138">
        <v>17.041821345217599</v>
      </c>
      <c r="AI6138">
        <v>93.597057379375698</v>
      </c>
      <c r="AJ6138">
        <v>77.010906556123999</v>
      </c>
      <c r="AK6138">
        <v>17.523845783193099</v>
      </c>
      <c r="AL6138">
        <v>83.466224081065704</v>
      </c>
      <c r="AM6138">
        <v>76.050948047035604</v>
      </c>
      <c r="AN6138">
        <v>0.99999995025785304</v>
      </c>
    </row>
    <row r="6139" spans="1:40" x14ac:dyDescent="0.25">
      <c r="A6139" t="str">
        <f>"20190312164147670"</f>
        <v>20190312164147670</v>
      </c>
      <c r="B6139" t="str">
        <f>"1552380107662002"</f>
        <v>1552380107662002</v>
      </c>
      <c r="C6139" t="s">
        <v>40</v>
      </c>
      <c r="D6139">
        <v>6.1127830000000003</v>
      </c>
      <c r="E6139">
        <v>0.49099330000000002</v>
      </c>
      <c r="F6139" t="s">
        <v>57</v>
      </c>
      <c r="G6139">
        <v>-245.93049999999999</v>
      </c>
      <c r="H6139" s="1">
        <v>-2.113595E-6</v>
      </c>
      <c r="I6139">
        <v>-62.572119999999998</v>
      </c>
      <c r="J6139">
        <v>-263.43520000000001</v>
      </c>
      <c r="K6139">
        <v>1.0992679999999999</v>
      </c>
      <c r="L6139">
        <v>-62.611020000000003</v>
      </c>
      <c r="M6139">
        <v>0.97458820000000002</v>
      </c>
      <c r="N6139">
        <v>0</v>
      </c>
      <c r="O6139">
        <v>0.22345029999999999</v>
      </c>
      <c r="P6139">
        <v>0.99445329999999998</v>
      </c>
      <c r="Q6139">
        <v>0.104654</v>
      </c>
      <c r="R6139">
        <v>-1.0511629999999999E-2</v>
      </c>
      <c r="S6139">
        <v>3.0367739999999999</v>
      </c>
      <c r="T6139">
        <v>-0.1889615</v>
      </c>
      <c r="U6139">
        <v>1.2451169999999999E-2</v>
      </c>
      <c r="V6139">
        <v>0.23559040000000001</v>
      </c>
      <c r="W6139">
        <v>0.1136378</v>
      </c>
      <c r="X6139">
        <v>0.96518579999999998</v>
      </c>
      <c r="Y6139">
        <v>0.2186304</v>
      </c>
      <c r="Z6139">
        <v>-2.059714E-2</v>
      </c>
      <c r="AA6139">
        <v>0.97559030000000002</v>
      </c>
      <c r="AB6139">
        <v>35</v>
      </c>
      <c r="AC6139">
        <v>17.5047</v>
      </c>
      <c r="AD6139">
        <v>-1.099270113595</v>
      </c>
      <c r="AE6139">
        <v>3.8899999999998103E-2</v>
      </c>
      <c r="AF6139">
        <v>3.8587813634318802</v>
      </c>
      <c r="AG6139">
        <v>-1.099270113595</v>
      </c>
      <c r="AH6139">
        <v>17.0036253118102</v>
      </c>
      <c r="AI6139">
        <v>93.607498991137007</v>
      </c>
      <c r="AJ6139">
        <v>77.213931232139402</v>
      </c>
      <c r="AK6139">
        <v>17.470599936403001</v>
      </c>
      <c r="AL6139">
        <v>83.474938369820094</v>
      </c>
      <c r="AM6139">
        <v>76.282997327771895</v>
      </c>
      <c r="AN6139">
        <v>1.00000000734132</v>
      </c>
    </row>
    <row r="6140" spans="1:40" x14ac:dyDescent="0.25">
      <c r="A6140" t="str">
        <f>"20190312164147682"</f>
        <v>20190312164147682</v>
      </c>
      <c r="B6140" t="str">
        <f>"1552380107672738"</f>
        <v>1552380107672738</v>
      </c>
      <c r="C6140" t="s">
        <v>40</v>
      </c>
      <c r="D6140">
        <v>6.0622259999999999</v>
      </c>
      <c r="E6140">
        <v>0.4914442</v>
      </c>
      <c r="F6140" t="s">
        <v>58</v>
      </c>
      <c r="G6140">
        <v>-237.26650000000001</v>
      </c>
      <c r="H6140" s="1">
        <v>-2.5375109999999999E-6</v>
      </c>
      <c r="I6140">
        <v>-62.011249999999997</v>
      </c>
      <c r="J6140">
        <v>-263.26240000000001</v>
      </c>
      <c r="K6140">
        <v>1.0991089999999999</v>
      </c>
      <c r="L6140">
        <v>-62.576540000000001</v>
      </c>
      <c r="M6140">
        <v>0.97600260000000005</v>
      </c>
      <c r="N6140">
        <v>0</v>
      </c>
      <c r="O6140">
        <v>0.21718670000000001</v>
      </c>
      <c r="P6140">
        <v>0.99444600000000005</v>
      </c>
      <c r="Q6140">
        <v>0.10446850000000001</v>
      </c>
      <c r="R6140">
        <v>-1.278841E-2</v>
      </c>
      <c r="S6140">
        <v>3.0308229999999998</v>
      </c>
      <c r="T6140">
        <v>-0.12731600000000001</v>
      </c>
      <c r="U6140">
        <v>6.9458010000000001E-2</v>
      </c>
      <c r="V6140">
        <v>0.23163790000000001</v>
      </c>
      <c r="W6140">
        <v>0.1135113</v>
      </c>
      <c r="X6140">
        <v>0.96615680000000004</v>
      </c>
      <c r="Y6140">
        <v>0.19443250000000001</v>
      </c>
      <c r="Z6140">
        <v>-1.3139959999999999E-2</v>
      </c>
      <c r="AA6140">
        <v>0.98082789999999997</v>
      </c>
      <c r="AB6140">
        <v>35</v>
      </c>
      <c r="AC6140">
        <v>25.995899999999999</v>
      </c>
      <c r="AD6140">
        <v>-1.0991115375110001</v>
      </c>
      <c r="AE6140">
        <v>0.56529000000000396</v>
      </c>
      <c r="AF6140">
        <v>5.0857860977695797</v>
      </c>
      <c r="AG6140">
        <v>-1.0991115375110001</v>
      </c>
      <c r="AH6140">
        <v>25.4525345913775</v>
      </c>
      <c r="AI6140">
        <v>92.424782516978496</v>
      </c>
      <c r="AJ6140">
        <v>78.700286122021296</v>
      </c>
      <c r="AK6140">
        <v>25.978929607076299</v>
      </c>
      <c r="AL6140">
        <v>83.482233094547894</v>
      </c>
      <c r="AM6140">
        <v>76.517709961641401</v>
      </c>
      <c r="AN6140">
        <v>0.99999994706516804</v>
      </c>
    </row>
    <row r="6141" spans="1:40" x14ac:dyDescent="0.25">
      <c r="A6141" t="str">
        <f>"20190312164147694"</f>
        <v>20190312164147694</v>
      </c>
      <c r="B6141" t="str">
        <f>"1552380107682498"</f>
        <v>1552380107682498</v>
      </c>
      <c r="C6141" t="s">
        <v>40</v>
      </c>
      <c r="D6141">
        <v>6.0635139999999996</v>
      </c>
      <c r="E6141">
        <v>0.49147560000000001</v>
      </c>
      <c r="F6141" t="s">
        <v>58</v>
      </c>
      <c r="G6141">
        <v>-238.584</v>
      </c>
      <c r="H6141" s="1">
        <v>-3.0995760000000001E-6</v>
      </c>
      <c r="I6141">
        <v>-62.099269999999997</v>
      </c>
      <c r="J6141">
        <v>-263.0831</v>
      </c>
      <c r="K6141">
        <v>1.0989679999999999</v>
      </c>
      <c r="L6141">
        <v>-62.542020000000001</v>
      </c>
      <c r="M6141">
        <v>0.97743789999999997</v>
      </c>
      <c r="N6141">
        <v>0</v>
      </c>
      <c r="O6141">
        <v>0.21063180000000001</v>
      </c>
      <c r="P6141">
        <v>0.99448110000000001</v>
      </c>
      <c r="Q6141">
        <v>0.10384980000000001</v>
      </c>
      <c r="R6141">
        <v>-1.491979E-2</v>
      </c>
      <c r="S6141">
        <v>3.0316770000000002</v>
      </c>
      <c r="T6141">
        <v>-0.13502310000000001</v>
      </c>
      <c r="U6141">
        <v>5.8624269999999999E-2</v>
      </c>
      <c r="V6141">
        <v>0.22725300000000001</v>
      </c>
      <c r="W6141">
        <v>0.11297550000000001</v>
      </c>
      <c r="X6141">
        <v>0.96726040000000002</v>
      </c>
      <c r="Y6141">
        <v>0.1913234</v>
      </c>
      <c r="Z6141">
        <v>-1.3576670000000001E-2</v>
      </c>
      <c r="AA6141">
        <v>0.98143320000000001</v>
      </c>
      <c r="AB6141">
        <v>35</v>
      </c>
      <c r="AC6141">
        <v>24.499099999999999</v>
      </c>
      <c r="AD6141">
        <v>-1.098971099576</v>
      </c>
      <c r="AE6141">
        <v>0.44274999999999598</v>
      </c>
      <c r="AF6141">
        <v>4.7186267802872299</v>
      </c>
      <c r="AG6141">
        <v>-1.098971099576</v>
      </c>
      <c r="AH6141">
        <v>23.994338571706599</v>
      </c>
      <c r="AI6141">
        <v>92.573169962434704</v>
      </c>
      <c r="AJ6141">
        <v>78.874422294378505</v>
      </c>
      <c r="AK6141">
        <v>24.478591864382899</v>
      </c>
      <c r="AL6141">
        <v>83.513131508686499</v>
      </c>
      <c r="AM6141">
        <v>76.778434892472006</v>
      </c>
      <c r="AN6141">
        <v>1.0000000355087</v>
      </c>
    </row>
    <row r="6142" spans="1:40" x14ac:dyDescent="0.25">
      <c r="A6142" t="str">
        <f>"20190312164147705"</f>
        <v>20190312164147705</v>
      </c>
      <c r="B6142" t="str">
        <f>"1552380107702018"</f>
        <v>1552380107702018</v>
      </c>
      <c r="C6142" t="s">
        <v>40</v>
      </c>
      <c r="D6142">
        <v>6.1169070000000003</v>
      </c>
      <c r="E6142">
        <v>0.49198380000000003</v>
      </c>
      <c r="F6142" t="s">
        <v>58</v>
      </c>
      <c r="G6142">
        <v>-239.1951</v>
      </c>
      <c r="H6142" s="1">
        <v>-3.313855E-6</v>
      </c>
      <c r="I6142">
        <v>-62.134900000000002</v>
      </c>
      <c r="J6142">
        <v>-262.91449999999998</v>
      </c>
      <c r="K6142">
        <v>1.0988549999999999</v>
      </c>
      <c r="L6142">
        <v>-62.510930000000002</v>
      </c>
      <c r="M6142">
        <v>0.97875120000000004</v>
      </c>
      <c r="N6142">
        <v>0</v>
      </c>
      <c r="O6142">
        <v>0.2044405</v>
      </c>
      <c r="P6142">
        <v>0.9945676</v>
      </c>
      <c r="Q6142">
        <v>0.1027825</v>
      </c>
      <c r="R6142">
        <v>-1.6470479999999999E-2</v>
      </c>
      <c r="S6142">
        <v>3.0319820000000002</v>
      </c>
      <c r="T6142">
        <v>-0.1394871</v>
      </c>
      <c r="U6142">
        <v>5.1666259999999999E-2</v>
      </c>
      <c r="V6142">
        <v>0.2226535</v>
      </c>
      <c r="W6142">
        <v>0.11201460000000001</v>
      </c>
      <c r="X6142">
        <v>0.96844110000000005</v>
      </c>
      <c r="Y6142">
        <v>0.18734690000000001</v>
      </c>
      <c r="Z6142">
        <v>-1.3653449999999999E-2</v>
      </c>
      <c r="AA6142">
        <v>0.98219900000000004</v>
      </c>
      <c r="AB6142">
        <v>35</v>
      </c>
      <c r="AC6142">
        <v>23.719399999999901</v>
      </c>
      <c r="AD6142">
        <v>-1.0988583138550001</v>
      </c>
      <c r="AE6142">
        <v>0.37602999999999998</v>
      </c>
      <c r="AF6142">
        <v>4.4721310105934604</v>
      </c>
      <c r="AG6142">
        <v>-1.0988583138550001</v>
      </c>
      <c r="AH6142">
        <v>23.245303836959501</v>
      </c>
      <c r="AI6142">
        <v>92.657818149251497</v>
      </c>
      <c r="AJ6142">
        <v>79.110003738941302</v>
      </c>
      <c r="AK6142">
        <v>23.697079901169399</v>
      </c>
      <c r="AL6142">
        <v>83.568538554558998</v>
      </c>
      <c r="AM6142">
        <v>77.052177700854003</v>
      </c>
      <c r="AN6142">
        <v>1.0000000079223099</v>
      </c>
    </row>
    <row r="6143" spans="1:40" x14ac:dyDescent="0.25">
      <c r="A6143" t="str">
        <f>"20190312164147716"</f>
        <v>20190312164147716</v>
      </c>
      <c r="B6143" t="str">
        <f>"1552380107712754"</f>
        <v>1552380107712754</v>
      </c>
      <c r="C6143" t="s">
        <v>40</v>
      </c>
      <c r="D6143">
        <v>6.1171920000000002</v>
      </c>
      <c r="E6143">
        <v>0.4921413</v>
      </c>
      <c r="F6143" t="s">
        <v>57</v>
      </c>
      <c r="G6143">
        <v>-240.59209999999999</v>
      </c>
      <c r="H6143" s="1">
        <v>2.7674059999999998E-7</v>
      </c>
      <c r="I6143">
        <v>-62.195469999999901</v>
      </c>
      <c r="J6143">
        <v>-262.73259999999999</v>
      </c>
      <c r="K6143">
        <v>1.0987420000000001</v>
      </c>
      <c r="L6143">
        <v>-62.478149999999999</v>
      </c>
      <c r="M6143">
        <v>0.98012630000000001</v>
      </c>
      <c r="N6143">
        <v>0</v>
      </c>
      <c r="O6143">
        <v>0.19774159999999999</v>
      </c>
      <c r="P6143">
        <v>0.99464660000000005</v>
      </c>
      <c r="Q6143">
        <v>0.101714399999999</v>
      </c>
      <c r="R6143">
        <v>-1.8235700000000001E-2</v>
      </c>
      <c r="S6143">
        <v>3.0325319999999998</v>
      </c>
      <c r="T6143">
        <v>-0.14928150000000001</v>
      </c>
      <c r="U6143">
        <v>4.2846679999999998E-2</v>
      </c>
      <c r="V6143">
        <v>0.21776019999999999</v>
      </c>
      <c r="W6143">
        <v>0.111065899999999</v>
      </c>
      <c r="X6143">
        <v>0.96966220000000003</v>
      </c>
      <c r="Y6143">
        <v>0.1834393</v>
      </c>
      <c r="Z6143">
        <v>-1.4189159999999999E-2</v>
      </c>
      <c r="AA6143">
        <v>0.98292860000000004</v>
      </c>
      <c r="AB6143">
        <v>35</v>
      </c>
      <c r="AC6143">
        <v>22.140499999999999</v>
      </c>
      <c r="AD6143">
        <v>-1.0987417232593999</v>
      </c>
      <c r="AE6143">
        <v>0.28268000000000598</v>
      </c>
      <c r="AF6143">
        <v>4.0914753976732099</v>
      </c>
      <c r="AG6143">
        <v>-1.0987417232593999</v>
      </c>
      <c r="AH6143">
        <v>21.70566514007</v>
      </c>
      <c r="AI6143">
        <v>92.847774902485796</v>
      </c>
      <c r="AJ6143">
        <v>79.325113168463503</v>
      </c>
      <c r="AK6143">
        <v>22.115227864009199</v>
      </c>
      <c r="AL6143">
        <v>83.623236077470395</v>
      </c>
      <c r="AM6143">
        <v>77.342890953653793</v>
      </c>
      <c r="AN6143">
        <v>0.99999996047784401</v>
      </c>
    </row>
    <row r="6144" spans="1:40" x14ac:dyDescent="0.25">
      <c r="A6144" t="str">
        <f>"20190312164147728"</f>
        <v>20190312164147728</v>
      </c>
      <c r="B6144" t="str">
        <f>"1552380107722517"</f>
        <v>1552380107722517</v>
      </c>
      <c r="C6144" t="s">
        <v>40</v>
      </c>
      <c r="D6144">
        <v>6.0563909999999996</v>
      </c>
      <c r="E6144">
        <v>0.4926044</v>
      </c>
      <c r="F6144" t="s">
        <v>57</v>
      </c>
      <c r="G6144">
        <v>-241.05889999999999</v>
      </c>
      <c r="H6144" s="1">
        <v>6.9497449999999995E-8</v>
      </c>
      <c r="I6144">
        <v>-62.221809999999998</v>
      </c>
      <c r="J6144">
        <v>-262.55349999999999</v>
      </c>
      <c r="K6144">
        <v>1.098673</v>
      </c>
      <c r="L6144">
        <v>-62.447780000000002</v>
      </c>
      <c r="M6144">
        <v>0.98143349999999996</v>
      </c>
      <c r="N6144">
        <v>0</v>
      </c>
      <c r="O6144">
        <v>0.1911466</v>
      </c>
      <c r="P6144">
        <v>0.99474390000000001</v>
      </c>
      <c r="Q6144">
        <v>0.1003906</v>
      </c>
      <c r="R6144">
        <v>-2.0163859999999999E-2</v>
      </c>
      <c r="S6144">
        <v>3.032562</v>
      </c>
      <c r="T6144">
        <v>-0.1537348</v>
      </c>
      <c r="U6144">
        <v>3.5858149999999998E-2</v>
      </c>
      <c r="V6144">
        <v>0.21311740000000001</v>
      </c>
      <c r="W6144">
        <v>0.1098707</v>
      </c>
      <c r="X6144">
        <v>0.97082919999999995</v>
      </c>
      <c r="Y6144">
        <v>0.17907899999999999</v>
      </c>
      <c r="Z6144">
        <v>-1.4173059999999999E-2</v>
      </c>
      <c r="AA6144">
        <v>0.98373259999999996</v>
      </c>
      <c r="AB6144">
        <v>35</v>
      </c>
      <c r="AC6144">
        <v>21.494599999999899</v>
      </c>
      <c r="AD6144">
        <v>-1.09867293050255</v>
      </c>
      <c r="AE6144">
        <v>0.225970000000003</v>
      </c>
      <c r="AF6144">
        <v>3.87720499397498</v>
      </c>
      <c r="AG6144">
        <v>-1.09867293050255</v>
      </c>
      <c r="AH6144">
        <v>21.0862854887433</v>
      </c>
      <c r="AI6144">
        <v>92.933533256549893</v>
      </c>
      <c r="AJ6144">
        <v>79.581213029271396</v>
      </c>
      <c r="AK6144">
        <v>21.4679117868113</v>
      </c>
      <c r="AL6144">
        <v>83.692137738836806</v>
      </c>
      <c r="AM6144">
        <v>77.618761601599005</v>
      </c>
      <c r="AN6144">
        <v>0.99999996623694398</v>
      </c>
    </row>
    <row r="6145" spans="1:40" x14ac:dyDescent="0.25">
      <c r="A6145" t="str">
        <f>"20190312164147740"</f>
        <v>20190312164147740</v>
      </c>
      <c r="B6145" t="str">
        <f>"1552380107732274"</f>
        <v>1552380107732274</v>
      </c>
      <c r="C6145" t="s">
        <v>40</v>
      </c>
      <c r="D6145">
        <v>6.1148009999999999</v>
      </c>
      <c r="E6145">
        <v>0.4924539</v>
      </c>
      <c r="F6145" t="s">
        <v>57</v>
      </c>
      <c r="G6145">
        <v>-241.2987</v>
      </c>
      <c r="H6145" s="1">
        <v>-4.4880379999999998E-8</v>
      </c>
      <c r="I6145">
        <v>-62.265039999999999</v>
      </c>
      <c r="J6145">
        <v>-262.37450000000001</v>
      </c>
      <c r="K6145">
        <v>1.098608</v>
      </c>
      <c r="L6145">
        <v>-62.417999999999999</v>
      </c>
      <c r="M6145">
        <v>0.98269390000000001</v>
      </c>
      <c r="N6145">
        <v>0</v>
      </c>
      <c r="O6145">
        <v>0.1845572</v>
      </c>
      <c r="P6145">
        <v>0.99478370000000005</v>
      </c>
      <c r="Q6145">
        <v>9.9598110000000004E-2</v>
      </c>
      <c r="R6145">
        <v>-2.2038470000000001E-2</v>
      </c>
      <c r="S6145">
        <v>3.0321959999999999</v>
      </c>
      <c r="T6145">
        <v>-0.15673599999999999</v>
      </c>
      <c r="U6145">
        <v>2.606201E-2</v>
      </c>
      <c r="V6145">
        <v>0.20843149999999999</v>
      </c>
      <c r="W6145">
        <v>0.1092123</v>
      </c>
      <c r="X6145">
        <v>0.97192029999999996</v>
      </c>
      <c r="Y6145">
        <v>0.175648</v>
      </c>
      <c r="Z6145">
        <v>-1.402787E-2</v>
      </c>
      <c r="AA6145">
        <v>0.98435309999999998</v>
      </c>
      <c r="AB6145">
        <v>35</v>
      </c>
      <c r="AC6145">
        <v>21.075800000000001</v>
      </c>
      <c r="AD6145">
        <v>-1.0986080448803801</v>
      </c>
      <c r="AE6145">
        <v>0.15296000000000001</v>
      </c>
      <c r="AF6145">
        <v>3.7297140434646399</v>
      </c>
      <c r="AG6145">
        <v>-1.0986080448803801</v>
      </c>
      <c r="AH6145">
        <v>20.685693090633599</v>
      </c>
      <c r="AI6145">
        <v>92.9919428184688</v>
      </c>
      <c r="AJ6145">
        <v>79.779153641790998</v>
      </c>
      <c r="AK6145">
        <v>21.047935887449398</v>
      </c>
      <c r="AL6145">
        <v>83.730090152224506</v>
      </c>
      <c r="AM6145">
        <v>77.896063716591996</v>
      </c>
      <c r="AN6145">
        <v>1.00000004310781</v>
      </c>
    </row>
    <row r="6146" spans="1:40" x14ac:dyDescent="0.25">
      <c r="A6146" t="str">
        <f>"20190312164147749"</f>
        <v>20190312164147749</v>
      </c>
      <c r="B6146" t="str">
        <f>"1552380107742035"</f>
        <v>1552380107742035</v>
      </c>
      <c r="C6146" t="s">
        <v>40</v>
      </c>
      <c r="D6146">
        <v>6.122198</v>
      </c>
      <c r="E6146">
        <v>0.4929287</v>
      </c>
      <c r="F6146" t="s">
        <v>57</v>
      </c>
      <c r="G6146">
        <v>-241.5213</v>
      </c>
      <c r="H6146" s="1">
        <v>-1.4136879999999999E-7</v>
      </c>
      <c r="I6146">
        <v>-62.268709999999999</v>
      </c>
      <c r="J6146">
        <v>-262.21300000000002</v>
      </c>
      <c r="K6146">
        <v>1.0985799999999999</v>
      </c>
      <c r="L6146">
        <v>-62.392670000000003</v>
      </c>
      <c r="M6146">
        <v>0.98378549999999998</v>
      </c>
      <c r="N6146">
        <v>0</v>
      </c>
      <c r="O6146">
        <v>0.178646</v>
      </c>
      <c r="P6146">
        <v>0.99479960000000001</v>
      </c>
      <c r="Q6146">
        <v>9.9103250000000004E-2</v>
      </c>
      <c r="R6146">
        <v>-2.3502990000000001E-2</v>
      </c>
      <c r="S6146">
        <v>3.0321959999999999</v>
      </c>
      <c r="T6146">
        <v>-0.15974559999999999</v>
      </c>
      <c r="U6146">
        <v>2.1697999999999999E-2</v>
      </c>
      <c r="V6146">
        <v>0.20401040000000001</v>
      </c>
      <c r="W6146">
        <v>0.1088549</v>
      </c>
      <c r="X6146">
        <v>0.97289789999999998</v>
      </c>
      <c r="Y6146">
        <v>0.1711404</v>
      </c>
      <c r="Z6146">
        <v>-1.3871420000000001E-2</v>
      </c>
      <c r="AA6146">
        <v>0.98514900000000005</v>
      </c>
      <c r="AB6146">
        <v>35</v>
      </c>
      <c r="AC6146">
        <v>20.691699999999901</v>
      </c>
      <c r="AD6146">
        <v>-1.0985801413687999</v>
      </c>
      <c r="AE6146">
        <v>0.123959999999996</v>
      </c>
      <c r="AF6146">
        <v>3.5649406691042298</v>
      </c>
      <c r="AG6146">
        <v>-1.0985801413687999</v>
      </c>
      <c r="AH6146">
        <v>20.323617388722599</v>
      </c>
      <c r="AI6146">
        <v>93.047635315933107</v>
      </c>
      <c r="AJ6146">
        <v>80.051031385771793</v>
      </c>
      <c r="AK6146">
        <v>20.663133936177999</v>
      </c>
      <c r="AL6146">
        <v>83.750690073582504</v>
      </c>
      <c r="AM6146">
        <v>78.157039405860402</v>
      </c>
      <c r="AN6146">
        <v>0.99999997819328901</v>
      </c>
    </row>
    <row r="6147" spans="1:40" x14ac:dyDescent="0.25">
      <c r="A6147" t="str">
        <f>"20190312164147761"</f>
        <v>20190312164147761</v>
      </c>
      <c r="B6147" t="str">
        <f>"1552380107751794"</f>
        <v>1552380107751794</v>
      </c>
      <c r="C6147" t="s">
        <v>40</v>
      </c>
      <c r="D6147">
        <v>6.2945339999999996</v>
      </c>
      <c r="E6147">
        <v>0.49334689999999998</v>
      </c>
      <c r="F6147" t="s">
        <v>57</v>
      </c>
      <c r="G6147">
        <v>-241.32669999999999</v>
      </c>
      <c r="H6147" s="1">
        <v>-6.6111169999999997E-8</v>
      </c>
      <c r="I6147">
        <v>-62.299689999999998</v>
      </c>
      <c r="J6147">
        <v>-262.04509999999999</v>
      </c>
      <c r="K6147">
        <v>1.0985590000000001</v>
      </c>
      <c r="L6147">
        <v>-62.366970000000002</v>
      </c>
      <c r="M6147">
        <v>0.98487789999999997</v>
      </c>
      <c r="N6147">
        <v>0</v>
      </c>
      <c r="O6147">
        <v>0.17252200000000001</v>
      </c>
      <c r="P6147">
        <v>0.99471220000000005</v>
      </c>
      <c r="Q6147">
        <v>9.942877E-2</v>
      </c>
      <c r="R6147">
        <v>-2.57288E-2</v>
      </c>
      <c r="S6147">
        <v>3.0318909999999999</v>
      </c>
      <c r="T6147">
        <v>-0.15947210000000001</v>
      </c>
      <c r="U6147">
        <v>1.3488770000000001E-2</v>
      </c>
      <c r="V6147">
        <v>0.20013300000000001</v>
      </c>
      <c r="W6147">
        <v>0.10930289999999999</v>
      </c>
      <c r="X6147">
        <v>0.97365270000000004</v>
      </c>
      <c r="Y6147">
        <v>0.16769139999999999</v>
      </c>
      <c r="Z6147">
        <v>-1.3441089999999999E-2</v>
      </c>
      <c r="AA6147">
        <v>0.98574790000000001</v>
      </c>
      <c r="AB6147">
        <v>35</v>
      </c>
      <c r="AC6147">
        <v>20.718399999999999</v>
      </c>
      <c r="AD6147">
        <v>-1.0985590661111699</v>
      </c>
      <c r="AE6147">
        <v>6.7279999999989501E-2</v>
      </c>
      <c r="AF6147">
        <v>3.4987222968910401</v>
      </c>
      <c r="AG6147">
        <v>-1.0985590661111699</v>
      </c>
      <c r="AH6147">
        <v>20.362024560744398</v>
      </c>
      <c r="AI6147">
        <v>93.043673298644904</v>
      </c>
      <c r="AJ6147">
        <v>80.250310039967999</v>
      </c>
      <c r="AK6147">
        <v>20.689609323156802</v>
      </c>
      <c r="AL6147">
        <v>83.724867373835707</v>
      </c>
      <c r="AM6147">
        <v>78.384709385279507</v>
      </c>
      <c r="AN6147">
        <v>0.999999960927349</v>
      </c>
    </row>
    <row r="6148" spans="1:40" x14ac:dyDescent="0.25">
      <c r="A6148" t="str">
        <f>"20190312164147772"</f>
        <v>20190312164147772</v>
      </c>
      <c r="B6148" t="str">
        <f>"1552380107762530"</f>
        <v>1552380107762530</v>
      </c>
      <c r="C6148" t="s">
        <v>40</v>
      </c>
      <c r="D6148">
        <v>6.1183800000000002</v>
      </c>
      <c r="E6148">
        <v>0.49346220000000002</v>
      </c>
      <c r="F6148" t="s">
        <v>57</v>
      </c>
      <c r="G6148">
        <v>-240.49430000000001</v>
      </c>
      <c r="H6148" s="1">
        <v>2.7989899999999998E-7</v>
      </c>
      <c r="I6148">
        <v>-62.34131</v>
      </c>
      <c r="J6148">
        <v>-261.86689999999999</v>
      </c>
      <c r="K6148">
        <v>1.0985659999999999</v>
      </c>
      <c r="L6148">
        <v>-62.341059999999999</v>
      </c>
      <c r="M6148">
        <v>0.98598649999999999</v>
      </c>
      <c r="N6148">
        <v>0</v>
      </c>
      <c r="O6148">
        <v>0.16606879999999999</v>
      </c>
      <c r="P6148">
        <v>0.99459030000000004</v>
      </c>
      <c r="Q6148">
        <v>9.9954810000000005E-2</v>
      </c>
      <c r="R6148">
        <v>-2.8270190000000001E-2</v>
      </c>
      <c r="S6148">
        <v>3.0315249999999998</v>
      </c>
      <c r="T6148">
        <v>-0.15453310000000001</v>
      </c>
      <c r="U6148">
        <v>3.6010740000000001E-3</v>
      </c>
      <c r="V6148">
        <v>0.196239</v>
      </c>
      <c r="W6148">
        <v>0.1099579</v>
      </c>
      <c r="X6148">
        <v>0.9743714</v>
      </c>
      <c r="Y6148">
        <v>0.16449049999999901</v>
      </c>
      <c r="Z6148">
        <v>-1.2620950000000001E-2</v>
      </c>
      <c r="AA6148">
        <v>0.98629789999999995</v>
      </c>
      <c r="AB6148">
        <v>35</v>
      </c>
      <c r="AC6148">
        <v>21.372599999999899</v>
      </c>
      <c r="AD6148">
        <v>-1.098565720101</v>
      </c>
      <c r="AE6148">
        <v>-2.5000000000119301E-4</v>
      </c>
      <c r="AF6148">
        <v>3.5406609387086099</v>
      </c>
      <c r="AG6148">
        <v>-1.098565720101</v>
      </c>
      <c r="AH6148">
        <v>21.020171018285499</v>
      </c>
      <c r="AI6148">
        <v>92.950211612277201</v>
      </c>
      <c r="AJ6148">
        <v>80.438786018952996</v>
      </c>
      <c r="AK6148">
        <v>21.344571116849501</v>
      </c>
      <c r="AL6148">
        <v>83.687111653300093</v>
      </c>
      <c r="AM6148">
        <v>78.612925489829195</v>
      </c>
      <c r="AN6148">
        <v>1.00000005501568</v>
      </c>
    </row>
    <row r="6149" spans="1:40" x14ac:dyDescent="0.25">
      <c r="A6149" t="str">
        <f>"20190312164147784"</f>
        <v>20190312164147784</v>
      </c>
      <c r="B6149" t="str">
        <f>"1552380107772291"</f>
        <v>1552380107772291</v>
      </c>
      <c r="C6149" t="s">
        <v>40</v>
      </c>
      <c r="D6149">
        <v>6.1220080000000001</v>
      </c>
      <c r="E6149">
        <v>0.4934849</v>
      </c>
      <c r="F6149" t="s">
        <v>57</v>
      </c>
      <c r="G6149">
        <v>-240.0847</v>
      </c>
      <c r="H6149" s="1">
        <v>4.478132E-7</v>
      </c>
      <c r="I6149">
        <v>-62.370609999999999</v>
      </c>
      <c r="J6149">
        <v>-261.69069999999999</v>
      </c>
      <c r="K6149">
        <v>1.098587</v>
      </c>
      <c r="L6149">
        <v>-62.316470000000002</v>
      </c>
      <c r="M6149">
        <v>0.98703110000000005</v>
      </c>
      <c r="N6149">
        <v>0</v>
      </c>
      <c r="O6149">
        <v>0.1597431</v>
      </c>
      <c r="P6149">
        <v>0.99438210000000005</v>
      </c>
      <c r="Q6149">
        <v>0.10106279999999999</v>
      </c>
      <c r="R6149">
        <v>-3.1469009999999999E-2</v>
      </c>
      <c r="S6149">
        <v>3.031555</v>
      </c>
      <c r="T6149">
        <v>-0.15289440000000001</v>
      </c>
      <c r="U6149">
        <v>-4.1198729999999996E-3</v>
      </c>
      <c r="V6149">
        <v>0.19312360000000001</v>
      </c>
      <c r="W6149">
        <v>0.11117349999999999</v>
      </c>
      <c r="X6149">
        <v>0.97485580000000005</v>
      </c>
      <c r="Y6149">
        <v>0.1606986</v>
      </c>
      <c r="Z6149">
        <v>-1.2076389999999999E-2</v>
      </c>
      <c r="AA6149">
        <v>0.98692970000000002</v>
      </c>
      <c r="AB6149">
        <v>35</v>
      </c>
      <c r="AC6149">
        <v>21.605999999999899</v>
      </c>
      <c r="AD6149">
        <v>-1.0985865521867999</v>
      </c>
      <c r="AE6149">
        <v>-5.4140000000003803E-2</v>
      </c>
      <c r="AF6149">
        <v>3.49624955590579</v>
      </c>
      <c r="AG6149">
        <v>-1.0985865521867999</v>
      </c>
      <c r="AH6149">
        <v>21.2648524533558</v>
      </c>
      <c r="AI6149">
        <v>92.918278554567607</v>
      </c>
      <c r="AJ6149">
        <v>80.663276932633295</v>
      </c>
      <c r="AK6149">
        <v>21.578336433395702</v>
      </c>
      <c r="AL6149">
        <v>83.617033216280205</v>
      </c>
      <c r="AM6149">
        <v>78.794516769003195</v>
      </c>
      <c r="AN6149">
        <v>1.00000005138642</v>
      </c>
    </row>
    <row r="6150" spans="1:40" x14ac:dyDescent="0.25">
      <c r="A6150" t="str">
        <f>"20190312164147795"</f>
        <v>20190312164147795</v>
      </c>
      <c r="B6150" t="str">
        <f>"1552380107782050"</f>
        <v>1552380107782050</v>
      </c>
      <c r="C6150" t="s">
        <v>40</v>
      </c>
      <c r="D6150">
        <v>6.1823829999999997</v>
      </c>
      <c r="E6150">
        <v>0.49355719999999997</v>
      </c>
      <c r="F6150" t="s">
        <v>58</v>
      </c>
      <c r="G6150">
        <v>-239.2663</v>
      </c>
      <c r="H6150" s="1">
        <v>-3.3864330000000002E-6</v>
      </c>
      <c r="I6150">
        <v>-62.407600000000002</v>
      </c>
      <c r="J6150">
        <v>-261.52010000000001</v>
      </c>
      <c r="K6150">
        <v>1.0986199999999999</v>
      </c>
      <c r="L6150">
        <v>-62.293550000000003</v>
      </c>
      <c r="M6150">
        <v>0.98799669999999895</v>
      </c>
      <c r="N6150">
        <v>0</v>
      </c>
      <c r="O6150">
        <v>0.153659299999999</v>
      </c>
      <c r="P6150">
        <v>0.99419279999999999</v>
      </c>
      <c r="Q6150">
        <v>0.1019834</v>
      </c>
      <c r="R6150">
        <v>-3.435013E-2</v>
      </c>
      <c r="S6150">
        <v>3.0316770000000002</v>
      </c>
      <c r="T6150">
        <v>-0.1485243</v>
      </c>
      <c r="U6150">
        <v>-1.2329100000000001E-2</v>
      </c>
      <c r="V6150">
        <v>0.1899354</v>
      </c>
      <c r="W6150">
        <v>0.1122079</v>
      </c>
      <c r="X6150">
        <v>0.97536350000000005</v>
      </c>
      <c r="Y6150">
        <v>0.15732380000000001</v>
      </c>
      <c r="Z6150">
        <v>-1.1353769999999999E-2</v>
      </c>
      <c r="AA6150">
        <v>0.98748179999999997</v>
      </c>
      <c r="AB6150">
        <v>35</v>
      </c>
      <c r="AC6150">
        <v>22.253799999999998</v>
      </c>
      <c r="AD6150">
        <v>-1.0986233864329999</v>
      </c>
      <c r="AE6150">
        <v>-0.114049999999998</v>
      </c>
      <c r="AF6150">
        <v>3.52403980022215</v>
      </c>
      <c r="AG6150">
        <v>-1.0986233864329999</v>
      </c>
      <c r="AH6150">
        <v>21.918499371235701</v>
      </c>
      <c r="AI6150">
        <v>92.833117419725596</v>
      </c>
      <c r="AJ6150">
        <v>80.866195323896903</v>
      </c>
      <c r="AK6150">
        <v>22.227155565785498</v>
      </c>
      <c r="AL6150">
        <v>83.557393048462203</v>
      </c>
      <c r="AM6150">
        <v>78.980532733460393</v>
      </c>
      <c r="AN6150">
        <v>1.00000001306391</v>
      </c>
    </row>
    <row r="6151" spans="1:40" x14ac:dyDescent="0.25">
      <c r="A6151" t="str">
        <f>"20190312164147806"</f>
        <v>20190312164147806</v>
      </c>
      <c r="B6151" t="str">
        <f>"1552380107802546"</f>
        <v>1552380107802546</v>
      </c>
      <c r="C6151" t="s">
        <v>40</v>
      </c>
      <c r="D6151">
        <v>6.1394080000000004</v>
      </c>
      <c r="E6151">
        <v>0.494029</v>
      </c>
      <c r="F6151" t="s">
        <v>58</v>
      </c>
      <c r="G6151">
        <v>-238.61320000000001</v>
      </c>
      <c r="H6151" s="1">
        <v>-3.1702039999999998E-6</v>
      </c>
      <c r="I6151">
        <v>-62.441519999999997</v>
      </c>
      <c r="J6151">
        <v>-261.34649999999999</v>
      </c>
      <c r="K6151">
        <v>1.098681</v>
      </c>
      <c r="L6151">
        <v>-62.27158</v>
      </c>
      <c r="M6151">
        <v>0.98892480000000005</v>
      </c>
      <c r="N6151">
        <v>0</v>
      </c>
      <c r="O6151">
        <v>0.1475696</v>
      </c>
      <c r="P6151">
        <v>0.99406110000000003</v>
      </c>
      <c r="Q6151">
        <v>0.1023618</v>
      </c>
      <c r="R6151">
        <v>-3.6942500000000003E-2</v>
      </c>
      <c r="S6151">
        <v>3.0317379999999998</v>
      </c>
      <c r="T6151">
        <v>-0.14540339999999999</v>
      </c>
      <c r="U6151">
        <v>-1.9592289999999998E-2</v>
      </c>
      <c r="V6151">
        <v>0.18644930000000001</v>
      </c>
      <c r="W6151">
        <v>0.11271440000000001</v>
      </c>
      <c r="X6151">
        <v>0.97597750000000005</v>
      </c>
      <c r="Y6151">
        <v>0.1536312</v>
      </c>
      <c r="Z6151">
        <v>-1.073756E-2</v>
      </c>
      <c r="AA6151">
        <v>0.98806989999999995</v>
      </c>
      <c r="AB6151">
        <v>35</v>
      </c>
      <c r="AC6151">
        <v>22.7332999999999</v>
      </c>
      <c r="AD6151">
        <v>-1.098684170204</v>
      </c>
      <c r="AE6151">
        <v>-0.16993999999998899</v>
      </c>
      <c r="AF6151">
        <v>3.51503430348806</v>
      </c>
      <c r="AG6151">
        <v>-1.098684170204</v>
      </c>
      <c r="AH6151">
        <v>22.4069310746311</v>
      </c>
      <c r="AI6151">
        <v>92.773286169432296</v>
      </c>
      <c r="AJ6151">
        <v>81.084520043203796</v>
      </c>
      <c r="AK6151">
        <v>22.707556743159799</v>
      </c>
      <c r="AL6151">
        <v>83.528187237938099</v>
      </c>
      <c r="AM6151">
        <v>79.184614100398605</v>
      </c>
      <c r="AN6151">
        <v>0.99999997897204895</v>
      </c>
    </row>
    <row r="6152" spans="1:40" x14ac:dyDescent="0.25">
      <c r="A6152" t="str">
        <f>"20190312164147817"</f>
        <v>20190312164147817</v>
      </c>
      <c r="B6152" t="str">
        <f>"1552380107812306"</f>
        <v>1552380107812306</v>
      </c>
      <c r="C6152" t="s">
        <v>40</v>
      </c>
      <c r="D6152">
        <v>6.1791519999999904</v>
      </c>
      <c r="E6152">
        <v>0.49416709999999903</v>
      </c>
      <c r="F6152" t="s">
        <v>58</v>
      </c>
      <c r="G6152">
        <v>-238.47790000000001</v>
      </c>
      <c r="H6152" s="1">
        <v>-3.1336529999999999E-6</v>
      </c>
      <c r="I6152">
        <v>-62.49503</v>
      </c>
      <c r="J6152">
        <v>-261.16800000000001</v>
      </c>
      <c r="K6152">
        <v>1.098749</v>
      </c>
      <c r="L6152">
        <v>-62.249510000000001</v>
      </c>
      <c r="M6152">
        <v>0.9898344</v>
      </c>
      <c r="N6152">
        <v>0</v>
      </c>
      <c r="O6152">
        <v>0.14133999999999999</v>
      </c>
      <c r="P6152">
        <v>0.99393860000000001</v>
      </c>
      <c r="Q6152">
        <v>0.1026362</v>
      </c>
      <c r="R6152">
        <v>-3.9395439999999997E-2</v>
      </c>
      <c r="S6152">
        <v>3.0317989999999999</v>
      </c>
      <c r="T6152">
        <v>-0.1456577</v>
      </c>
      <c r="U6152">
        <v>-2.963257E-2</v>
      </c>
      <c r="V6152">
        <v>0.18268780000000001</v>
      </c>
      <c r="W6152">
        <v>0.11312759999999999</v>
      </c>
      <c r="X6152">
        <v>0.97664079999999998</v>
      </c>
      <c r="Y6152">
        <v>0.1506902</v>
      </c>
      <c r="Z6152">
        <v>-1.0388909999999999E-2</v>
      </c>
      <c r="AA6152">
        <v>0.98852649999999997</v>
      </c>
      <c r="AB6152">
        <v>34</v>
      </c>
      <c r="AC6152">
        <v>22.690100000000001</v>
      </c>
      <c r="AD6152">
        <v>-1.098752133653</v>
      </c>
      <c r="AE6152">
        <v>-0.24552000000000601</v>
      </c>
      <c r="AF6152">
        <v>3.4424045124080198</v>
      </c>
      <c r="AG6152">
        <v>-1.098752133653</v>
      </c>
      <c r="AH6152">
        <v>22.375091553296102</v>
      </c>
      <c r="AI6152">
        <v>92.778669763149097</v>
      </c>
      <c r="AJ6152">
        <v>81.253630777010699</v>
      </c>
      <c r="AK6152">
        <v>22.664997840208098</v>
      </c>
      <c r="AL6152">
        <v>83.504360159011398</v>
      </c>
      <c r="AM6152">
        <v>79.404849578040299</v>
      </c>
      <c r="AN6152">
        <v>0.99999996918761902</v>
      </c>
    </row>
    <row r="6153" spans="1:40" x14ac:dyDescent="0.25">
      <c r="A6153" t="str">
        <f>"20190312164147828"</f>
        <v>20190312164147828</v>
      </c>
      <c r="B6153" t="str">
        <f>"1552380107822066"</f>
        <v>1552380107822066</v>
      </c>
      <c r="C6153" t="s">
        <v>40</v>
      </c>
      <c r="D6153">
        <v>6.1261830000000002</v>
      </c>
      <c r="E6153">
        <v>0.49423549999999999</v>
      </c>
      <c r="F6153" t="s">
        <v>58</v>
      </c>
      <c r="G6153">
        <v>-238.1576</v>
      </c>
      <c r="H6153" s="1">
        <v>-3.0319269999999998E-6</v>
      </c>
      <c r="I6153">
        <v>-62.535960000000003</v>
      </c>
      <c r="J6153">
        <v>-260.99590000000001</v>
      </c>
      <c r="K6153">
        <v>1.0988420000000001</v>
      </c>
      <c r="L6153">
        <v>-62.229979999999998</v>
      </c>
      <c r="M6153">
        <v>0.99065320000000001</v>
      </c>
      <c r="N6153">
        <v>0</v>
      </c>
      <c r="O6153">
        <v>0.13548470000000001</v>
      </c>
      <c r="P6153">
        <v>0.99395009999999995</v>
      </c>
      <c r="Q6153">
        <v>0.102089899999999</v>
      </c>
      <c r="R6153">
        <v>-4.0512859999999998E-2</v>
      </c>
      <c r="S6153">
        <v>3.0317379999999998</v>
      </c>
      <c r="T6153">
        <v>-0.14476610000000001</v>
      </c>
      <c r="U6153">
        <v>-3.7750239999999997E-2</v>
      </c>
      <c r="V6153">
        <v>0.177967299999999</v>
      </c>
      <c r="W6153">
        <v>0.1127528</v>
      </c>
      <c r="X6153">
        <v>0.97755530000000002</v>
      </c>
      <c r="Y6153">
        <v>0.1475052</v>
      </c>
      <c r="Z6153">
        <v>-9.9722309999999998E-3</v>
      </c>
      <c r="AA6153">
        <v>0.98901099999999997</v>
      </c>
      <c r="AB6153">
        <v>34</v>
      </c>
      <c r="AC6153">
        <v>22.8383</v>
      </c>
      <c r="AD6153">
        <v>-1.098845031927</v>
      </c>
      <c r="AE6153">
        <v>-0.30597999999999098</v>
      </c>
      <c r="AF6153">
        <v>3.3899390679293502</v>
      </c>
      <c r="AG6153">
        <v>-1.098845031927</v>
      </c>
      <c r="AH6153">
        <v>22.534048046383699</v>
      </c>
      <c r="AI6153">
        <v>92.760730991103301</v>
      </c>
      <c r="AJ6153">
        <v>81.444787253104806</v>
      </c>
      <c r="AK6153">
        <v>22.814084874155999</v>
      </c>
      <c r="AL6153">
        <v>83.525972835753095</v>
      </c>
      <c r="AM6153">
        <v>79.682106400870495</v>
      </c>
      <c r="AN6153">
        <v>0.99999995916760898</v>
      </c>
    </row>
    <row r="6154" spans="1:40" x14ac:dyDescent="0.25">
      <c r="A6154" t="str">
        <f>"20190312164147839"</f>
        <v>20190312164147839</v>
      </c>
      <c r="B6154" t="str">
        <f>"1552380107831827"</f>
        <v>1552380107831827</v>
      </c>
      <c r="C6154" t="s">
        <v>40</v>
      </c>
      <c r="D6154">
        <v>6.1864910000000002</v>
      </c>
      <c r="E6154">
        <v>0.49441619999999997</v>
      </c>
      <c r="F6154" t="s">
        <v>58</v>
      </c>
      <c r="G6154">
        <v>-238.40539999999999</v>
      </c>
      <c r="H6154" s="1">
        <v>-3.1176180000000001E-6</v>
      </c>
      <c r="I6154">
        <v>-62.543729999999996</v>
      </c>
      <c r="J6154">
        <v>-260.82569999999998</v>
      </c>
      <c r="K6154">
        <v>1.0989390000000001</v>
      </c>
      <c r="L6154">
        <v>-62.210970000000003</v>
      </c>
      <c r="M6154">
        <v>0.99142410000000003</v>
      </c>
      <c r="N6154">
        <v>0</v>
      </c>
      <c r="O6154">
        <v>0.12972400000000001</v>
      </c>
      <c r="P6154">
        <v>0.99399320000000002</v>
      </c>
      <c r="Q6154">
        <v>0.1013553</v>
      </c>
      <c r="R6154">
        <v>-4.1287329999999997E-2</v>
      </c>
      <c r="S6154">
        <v>3.0317080000000001</v>
      </c>
      <c r="T6154">
        <v>-0.14746790000000001</v>
      </c>
      <c r="U6154">
        <v>-4.2114260000000001E-2</v>
      </c>
      <c r="V6154">
        <v>0.17299900000000001</v>
      </c>
      <c r="W6154">
        <v>0.1121965</v>
      </c>
      <c r="X6154">
        <v>0.97851069999999996</v>
      </c>
      <c r="Y6154">
        <v>0.1431781</v>
      </c>
      <c r="Z6154">
        <v>-9.7748020000000008E-3</v>
      </c>
      <c r="AA6154">
        <v>0.98964859999999999</v>
      </c>
      <c r="AB6154">
        <v>34</v>
      </c>
      <c r="AC6154">
        <v>22.420300000000001</v>
      </c>
      <c r="AD6154">
        <v>-1.0989421176180001</v>
      </c>
      <c r="AE6154">
        <v>-0.33276000000000699</v>
      </c>
      <c r="AF6154">
        <v>3.2310012188309001</v>
      </c>
      <c r="AG6154">
        <v>-1.0989421176180001</v>
      </c>
      <c r="AH6154">
        <v>22.134464970903899</v>
      </c>
      <c r="AI6154">
        <v>92.812555438776002</v>
      </c>
      <c r="AJ6154">
        <v>81.6951032514568</v>
      </c>
      <c r="AK6154">
        <v>22.396017105774298</v>
      </c>
      <c r="AL6154">
        <v>83.558049958658202</v>
      </c>
      <c r="AM6154">
        <v>79.973813401296297</v>
      </c>
      <c r="AN6154">
        <v>0.99999994931386804</v>
      </c>
    </row>
    <row r="6155" spans="1:40" x14ac:dyDescent="0.25">
      <c r="A6155" t="str">
        <f>"20190312164147850"</f>
        <v>20190312164147850</v>
      </c>
      <c r="B6155" t="str">
        <f>"1552380107842562"</f>
        <v>1552380107842562</v>
      </c>
      <c r="C6155" t="s">
        <v>40</v>
      </c>
      <c r="D6155">
        <v>6.1235759999999999</v>
      </c>
      <c r="E6155">
        <v>0.4945155</v>
      </c>
      <c r="F6155" t="s">
        <v>58</v>
      </c>
      <c r="G6155">
        <v>-239.07220000000001</v>
      </c>
      <c r="H6155" s="1">
        <v>-3.345594E-6</v>
      </c>
      <c r="I6155">
        <v>-62.549639999999997</v>
      </c>
      <c r="J6155">
        <v>-260.65800000000002</v>
      </c>
      <c r="K6155">
        <v>1.0990519999999999</v>
      </c>
      <c r="L6155">
        <v>-62.193600000000004</v>
      </c>
      <c r="M6155">
        <v>0.99213280000000004</v>
      </c>
      <c r="N6155">
        <v>0</v>
      </c>
      <c r="O6155">
        <v>0.1241896</v>
      </c>
      <c r="P6155">
        <v>0.99398920000000002</v>
      </c>
      <c r="Q6155">
        <v>0.1011666</v>
      </c>
      <c r="R6155">
        <v>-4.1838109999999998E-2</v>
      </c>
      <c r="S6155">
        <v>3.0317989999999999</v>
      </c>
      <c r="T6155">
        <v>-0.153160299999999</v>
      </c>
      <c r="U6155">
        <v>-4.721069E-2</v>
      </c>
      <c r="V6155">
        <v>0.16803689999999999</v>
      </c>
      <c r="W6155">
        <v>0.1121856</v>
      </c>
      <c r="X6155">
        <v>0.97937629999999998</v>
      </c>
      <c r="Y6155">
        <v>0.13930390000000001</v>
      </c>
      <c r="Z6155">
        <v>-9.775756E-3</v>
      </c>
      <c r="AA6155">
        <v>0.99020140000000001</v>
      </c>
      <c r="AB6155">
        <v>34</v>
      </c>
      <c r="AC6155">
        <v>21.585799999999999</v>
      </c>
      <c r="AD6155">
        <v>-1.099055345594</v>
      </c>
      <c r="AE6155">
        <v>-0.35604000000000002</v>
      </c>
      <c r="AF6155">
        <v>3.0265055195724799</v>
      </c>
      <c r="AG6155">
        <v>-1.099055345594</v>
      </c>
      <c r="AH6155">
        <v>21.319176919516199</v>
      </c>
      <c r="AI6155">
        <v>92.921879985688193</v>
      </c>
      <c r="AJ6155">
        <v>81.9201857726719</v>
      </c>
      <c r="AK6155">
        <v>21.560959228158499</v>
      </c>
      <c r="AL6155">
        <v>83.558678602529994</v>
      </c>
      <c r="AM6155">
        <v>80.264248049510201</v>
      </c>
      <c r="AN6155">
        <v>0.99999997280532904</v>
      </c>
    </row>
    <row r="6156" spans="1:40" x14ac:dyDescent="0.25">
      <c r="A6156" t="str">
        <f>"20190312164147861"</f>
        <v>20190312164147861</v>
      </c>
      <c r="B6156" t="str">
        <f>"1552380107852322"</f>
        <v>1552380107852322</v>
      </c>
      <c r="C6156" t="s">
        <v>40</v>
      </c>
      <c r="D6156">
        <v>6.1817010000000003</v>
      </c>
      <c r="E6156">
        <v>0.49444680000000002</v>
      </c>
      <c r="F6156" t="s">
        <v>58</v>
      </c>
      <c r="G6156">
        <v>-239.137</v>
      </c>
      <c r="H6156" s="1">
        <v>-3.368498E-6</v>
      </c>
      <c r="I6156">
        <v>-62.554450000000003</v>
      </c>
      <c r="J6156">
        <v>-260.49099999999999</v>
      </c>
      <c r="K6156">
        <v>1.0991679999999999</v>
      </c>
      <c r="L6156">
        <v>-62.176879999999997</v>
      </c>
      <c r="M6156">
        <v>0.99280109999999999</v>
      </c>
      <c r="N6156">
        <v>0</v>
      </c>
      <c r="O6156">
        <v>0.1187325</v>
      </c>
      <c r="P6156">
        <v>0.99392840000000005</v>
      </c>
      <c r="Q6156">
        <v>0.1013177</v>
      </c>
      <c r="R6156">
        <v>-4.2907090000000002E-2</v>
      </c>
      <c r="S6156">
        <v>3.0317379999999998</v>
      </c>
      <c r="T6156">
        <v>-0.15482799999999999</v>
      </c>
      <c r="U6156">
        <v>-5.0842289999999998E-2</v>
      </c>
      <c r="V6156">
        <v>0.16366600000000001</v>
      </c>
      <c r="W6156">
        <v>0.1124946</v>
      </c>
      <c r="X6156">
        <v>0.98008079999999997</v>
      </c>
      <c r="Y6156">
        <v>0.13504939999999999</v>
      </c>
      <c r="Z6156">
        <v>-9.4966119999999998E-3</v>
      </c>
      <c r="AA6156">
        <v>0.99079329999999999</v>
      </c>
      <c r="AB6156">
        <v>34</v>
      </c>
      <c r="AC6156">
        <v>21.3539999999999</v>
      </c>
      <c r="AD6156">
        <v>-1.099171368498</v>
      </c>
      <c r="AE6156">
        <v>-0.37756999999999802</v>
      </c>
      <c r="AF6156">
        <v>2.9029384046580899</v>
      </c>
      <c r="AG6156">
        <v>-1.099171368498</v>
      </c>
      <c r="AH6156">
        <v>21.102180809597801</v>
      </c>
      <c r="AI6156">
        <v>92.953960593989393</v>
      </c>
      <c r="AJ6156">
        <v>82.167223362788206</v>
      </c>
      <c r="AK6156">
        <v>21.329258402474402</v>
      </c>
      <c r="AL6156">
        <v>83.540861496271802</v>
      </c>
      <c r="AM6156">
        <v>80.519522574329699</v>
      </c>
      <c r="AN6156">
        <v>0.99999998455689898</v>
      </c>
    </row>
    <row r="6157" spans="1:40" x14ac:dyDescent="0.25">
      <c r="A6157" t="str">
        <f>"20190312164147872"</f>
        <v>20190312164147872</v>
      </c>
      <c r="B6157" t="str">
        <f>"1552380107862082"</f>
        <v>1552380107862082</v>
      </c>
      <c r="C6157" t="s">
        <v>40</v>
      </c>
      <c r="D6157">
        <v>6.1189460000000002</v>
      </c>
      <c r="E6157">
        <v>0.4944422</v>
      </c>
      <c r="F6157" t="s">
        <v>58</v>
      </c>
      <c r="G6157">
        <v>-238.9314</v>
      </c>
      <c r="H6157" s="1">
        <v>-3.3002869999999998E-6</v>
      </c>
      <c r="I6157">
        <v>-62.564410000000002</v>
      </c>
      <c r="J6157">
        <v>-260.31540000000001</v>
      </c>
      <c r="K6157">
        <v>1.0992949999999999</v>
      </c>
      <c r="L6157">
        <v>-62.160400000000003</v>
      </c>
      <c r="M6157">
        <v>0.99345729999999999</v>
      </c>
      <c r="N6157">
        <v>0</v>
      </c>
      <c r="O6157">
        <v>0.1131141</v>
      </c>
      <c r="P6157">
        <v>0.99369280000000004</v>
      </c>
      <c r="Q6157">
        <v>0.10273450000000001</v>
      </c>
      <c r="R6157">
        <v>-4.4949429999999999E-2</v>
      </c>
      <c r="S6157">
        <v>3.0317989999999999</v>
      </c>
      <c r="T6157">
        <v>-0.1545696</v>
      </c>
      <c r="U6157">
        <v>-5.450439E-2</v>
      </c>
      <c r="V6157">
        <v>0.16011239999999999</v>
      </c>
      <c r="W6157">
        <v>0.1140433</v>
      </c>
      <c r="X6157">
        <v>0.98048869999999999</v>
      </c>
      <c r="Y6157">
        <v>0.13065289999999999</v>
      </c>
      <c r="Z6157">
        <v>-9.0836570000000002E-3</v>
      </c>
      <c r="AA6157">
        <v>0.99138649999999995</v>
      </c>
      <c r="AB6157">
        <v>34</v>
      </c>
      <c r="AC6157">
        <v>21.384</v>
      </c>
      <c r="AD6157">
        <v>-1.099298300287</v>
      </c>
      <c r="AE6157">
        <v>-0.40400999999999199</v>
      </c>
      <c r="AF6157">
        <v>2.81311641478346</v>
      </c>
      <c r="AG6157">
        <v>-1.099298300287</v>
      </c>
      <c r="AH6157">
        <v>21.1451575177854</v>
      </c>
      <c r="AI6157">
        <v>92.950078201147406</v>
      </c>
      <c r="AJ6157">
        <v>82.421964556626406</v>
      </c>
      <c r="AK6157">
        <v>21.359769829473599</v>
      </c>
      <c r="AL6157">
        <v>83.451552676358702</v>
      </c>
      <c r="AM6157">
        <v>80.725541984737404</v>
      </c>
      <c r="AN6157">
        <v>0.999999972868169</v>
      </c>
    </row>
    <row r="6158" spans="1:40" x14ac:dyDescent="0.25">
      <c r="A6158" t="str">
        <f>"20190312164147883"</f>
        <v>20190312164147883</v>
      </c>
      <c r="B6158" t="str">
        <f>"1552380107871845"</f>
        <v>1552380107871845</v>
      </c>
      <c r="C6158" t="s">
        <v>40</v>
      </c>
      <c r="D6158">
        <v>6.2460849999999999</v>
      </c>
      <c r="E6158">
        <v>0.4944422</v>
      </c>
      <c r="F6158" t="s">
        <v>58</v>
      </c>
      <c r="G6158">
        <v>-238.20009999999999</v>
      </c>
      <c r="H6158" s="1">
        <v>-3.057288E-6</v>
      </c>
      <c r="I6158">
        <v>-62.597529999999999</v>
      </c>
      <c r="J6158">
        <v>-260.14460000000003</v>
      </c>
      <c r="K6158">
        <v>1.0994280000000001</v>
      </c>
      <c r="L6158">
        <v>-62.145169999999901</v>
      </c>
      <c r="M6158">
        <v>0.9940544</v>
      </c>
      <c r="N6158">
        <v>0</v>
      </c>
      <c r="O6158">
        <v>0.1077438</v>
      </c>
      <c r="P6158">
        <v>0.99338230000000005</v>
      </c>
      <c r="Q6158">
        <v>0.1044815</v>
      </c>
      <c r="R6158">
        <v>-4.7705930000000001E-2</v>
      </c>
      <c r="S6158">
        <v>3.0319210000000001</v>
      </c>
      <c r="T6158">
        <v>-0.15070890000000001</v>
      </c>
      <c r="U6158">
        <v>-5.993652E-2</v>
      </c>
      <c r="V6158">
        <v>0.15751660000000001</v>
      </c>
      <c r="W6158">
        <v>0.1158916</v>
      </c>
      <c r="X6158">
        <v>0.98069240000000002</v>
      </c>
      <c r="Y6158">
        <v>0.12709609999999999</v>
      </c>
      <c r="Z6158">
        <v>-8.5026579999999997E-3</v>
      </c>
      <c r="AA6158">
        <v>0.99185400000000001</v>
      </c>
      <c r="AB6158">
        <v>34</v>
      </c>
      <c r="AC6158">
        <v>21.944500000000001</v>
      </c>
      <c r="AD6158">
        <v>-1.0994310572879999</v>
      </c>
      <c r="AE6158">
        <v>-0.45236000000001297</v>
      </c>
      <c r="AF6158">
        <v>2.8073583879149102</v>
      </c>
      <c r="AG6158">
        <v>-1.0994310572879999</v>
      </c>
      <c r="AH6158">
        <v>21.713498550445099</v>
      </c>
      <c r="AI6158">
        <v>92.874725149218506</v>
      </c>
      <c r="AJ6158">
        <v>82.633043110479207</v>
      </c>
      <c r="AK6158">
        <v>21.921816281232399</v>
      </c>
      <c r="AL6158">
        <v>83.344945919814805</v>
      </c>
      <c r="AM6158">
        <v>80.875215805722405</v>
      </c>
      <c r="AN6158">
        <v>0.99999996282193904</v>
      </c>
    </row>
    <row r="6159" spans="1:40" x14ac:dyDescent="0.25">
      <c r="A6159" t="str">
        <f>"20190312164147895"</f>
        <v>20190312164147895</v>
      </c>
      <c r="B6159" t="str">
        <f>"1552380107892339"</f>
        <v>1552380107892339</v>
      </c>
      <c r="C6159" t="s">
        <v>40</v>
      </c>
      <c r="D6159">
        <v>6.1902540000000004</v>
      </c>
      <c r="E6159">
        <v>0.49457879999999899</v>
      </c>
      <c r="F6159" t="s">
        <v>58</v>
      </c>
      <c r="G6159">
        <v>-237.1568</v>
      </c>
      <c r="H6159" s="1">
        <v>-2.659611E-6</v>
      </c>
      <c r="I6159">
        <v>-62.646949999999997</v>
      </c>
      <c r="J6159">
        <v>-259.96319999999997</v>
      </c>
      <c r="K6159">
        <v>1.099575</v>
      </c>
      <c r="L6159">
        <v>-62.129849999999998</v>
      </c>
      <c r="M6159">
        <v>0.99464669999999999</v>
      </c>
      <c r="N6159">
        <v>0</v>
      </c>
      <c r="O6159">
        <v>0.102133</v>
      </c>
      <c r="P6159">
        <v>0.99306399999999995</v>
      </c>
      <c r="Q6159">
        <v>0.1062815</v>
      </c>
      <c r="R6159">
        <v>-5.0279150000000002E-2</v>
      </c>
      <c r="S6159">
        <v>3.0320740000000002</v>
      </c>
      <c r="T6159">
        <v>-0.14501420000000001</v>
      </c>
      <c r="U6159">
        <v>-6.6192630000000002E-2</v>
      </c>
      <c r="V6159">
        <v>0.1545021</v>
      </c>
      <c r="W6159">
        <v>0.1178072</v>
      </c>
      <c r="X6159">
        <v>0.98094369999999997</v>
      </c>
      <c r="Y6159">
        <v>0.123575</v>
      </c>
      <c r="Z6159">
        <v>-7.8299319999999995E-3</v>
      </c>
      <c r="AA6159">
        <v>0.99230430000000003</v>
      </c>
      <c r="AB6159">
        <v>34</v>
      </c>
      <c r="AC6159">
        <v>22.806399999999901</v>
      </c>
      <c r="AD6159">
        <v>-1.0995776596110001</v>
      </c>
      <c r="AE6159">
        <v>-0.517099999999999</v>
      </c>
      <c r="AF6159">
        <v>2.8373765900853201</v>
      </c>
      <c r="AG6159">
        <v>-1.0995776596110001</v>
      </c>
      <c r="AH6159">
        <v>22.581825140179301</v>
      </c>
      <c r="AI6159">
        <v>92.765989231645406</v>
      </c>
      <c r="AJ6159">
        <v>82.838391572550407</v>
      </c>
      <c r="AK6159">
        <v>22.785929948218399</v>
      </c>
      <c r="AL6159">
        <v>83.234433227767894</v>
      </c>
      <c r="AM6159">
        <v>81.049243727949701</v>
      </c>
      <c r="AN6159">
        <v>0.99999998892296904</v>
      </c>
    </row>
    <row r="6160" spans="1:40" x14ac:dyDescent="0.25">
      <c r="A6160" t="str">
        <f>"20190312164147906"</f>
        <v>20190312164147906</v>
      </c>
      <c r="B6160" t="str">
        <f>"1552380107902098"</f>
        <v>1552380107902098</v>
      </c>
      <c r="C6160" t="s">
        <v>40</v>
      </c>
      <c r="D6160">
        <v>6.0751059999999999</v>
      </c>
      <c r="E6160">
        <v>0.49463689999999999</v>
      </c>
      <c r="F6160" t="s">
        <v>58</v>
      </c>
      <c r="G6160">
        <v>-235.595</v>
      </c>
      <c r="H6160" s="1">
        <v>-2.0084359999999998E-6</v>
      </c>
      <c r="I6160">
        <v>-62.717709999999997</v>
      </c>
      <c r="J6160">
        <v>-259.79360000000003</v>
      </c>
      <c r="K6160">
        <v>1.0997319999999999</v>
      </c>
      <c r="L6160">
        <v>-62.116639999999997</v>
      </c>
      <c r="M6160">
        <v>0.99515759999999998</v>
      </c>
      <c r="N6160">
        <v>0</v>
      </c>
      <c r="O6160">
        <v>9.7034190000000006E-2</v>
      </c>
      <c r="P6160">
        <v>0.99269399999999997</v>
      </c>
      <c r="Q6160">
        <v>0.10887139999999999</v>
      </c>
      <c r="R6160">
        <v>-5.2018519999999999E-2</v>
      </c>
      <c r="S6160">
        <v>3.031952</v>
      </c>
      <c r="T6160">
        <v>-0.13681219999999999</v>
      </c>
      <c r="U6160">
        <v>-7.3150629999999994E-2</v>
      </c>
      <c r="V6160">
        <v>0.15118199999999901</v>
      </c>
      <c r="W6160">
        <v>0.1205162</v>
      </c>
      <c r="X6160">
        <v>0.98113189999999995</v>
      </c>
      <c r="Y6160">
        <v>0.1208022</v>
      </c>
      <c r="Z6160">
        <v>-7.0960229999999999E-3</v>
      </c>
      <c r="AA6160">
        <v>0.99265119999999896</v>
      </c>
      <c r="AB6160">
        <v>34</v>
      </c>
      <c r="AC6160">
        <v>24.198599999999999</v>
      </c>
      <c r="AD6160">
        <v>-1.0997340084360001</v>
      </c>
      <c r="AE6160">
        <v>-0.601069999999992</v>
      </c>
      <c r="AF6160">
        <v>2.9405434446436201</v>
      </c>
      <c r="AG6160">
        <v>-1.0997340084360001</v>
      </c>
      <c r="AH6160">
        <v>23.9765587608758</v>
      </c>
      <c r="AI6160">
        <v>92.606644690024496</v>
      </c>
      <c r="AJ6160">
        <v>83.008022654642502</v>
      </c>
      <c r="AK6160">
        <v>24.1812237211618</v>
      </c>
      <c r="AL6160">
        <v>83.078104975816203</v>
      </c>
      <c r="AM6160">
        <v>81.240224970918305</v>
      </c>
      <c r="AN6160">
        <v>0.99999997839202404</v>
      </c>
    </row>
    <row r="6161" spans="1:40" x14ac:dyDescent="0.25">
      <c r="A6161" t="str">
        <f>"20190312164147917"</f>
        <v>20190312164147917</v>
      </c>
      <c r="B6161" t="str">
        <f>"1552380107911858"</f>
        <v>1552380107911858</v>
      </c>
      <c r="C6161" t="s">
        <v>40</v>
      </c>
      <c r="D6161">
        <v>6.12845</v>
      </c>
      <c r="E6161">
        <v>0.49467359999999999</v>
      </c>
      <c r="F6161" t="s">
        <v>58</v>
      </c>
      <c r="G6161">
        <v>-233.81620000000001</v>
      </c>
      <c r="H6161" s="1">
        <v>-1.261228E-6</v>
      </c>
      <c r="I6161">
        <v>-62.777529999999999</v>
      </c>
      <c r="J6161">
        <v>-259.61169999999998</v>
      </c>
      <c r="K6161">
        <v>1.099899</v>
      </c>
      <c r="L6161">
        <v>-62.102910000000001</v>
      </c>
      <c r="M6161">
        <v>0.99567119999999998</v>
      </c>
      <c r="N6161">
        <v>0</v>
      </c>
      <c r="O6161">
        <v>9.1617939999999995E-2</v>
      </c>
      <c r="P6161">
        <v>0.99237609999999998</v>
      </c>
      <c r="Q6161">
        <v>0.11132499999999999</v>
      </c>
      <c r="R6161">
        <v>-5.288474E-2</v>
      </c>
      <c r="S6161">
        <v>3.0321349999999998</v>
      </c>
      <c r="T6161">
        <v>-0.128363</v>
      </c>
      <c r="U6161">
        <v>-7.7148439999999999E-2</v>
      </c>
      <c r="V6161">
        <v>0.14667910000000001</v>
      </c>
      <c r="W6161">
        <v>0.1231226</v>
      </c>
      <c r="X6161">
        <v>0.98149169999999997</v>
      </c>
      <c r="Y6161">
        <v>0.1167414</v>
      </c>
      <c r="Z6161">
        <v>-6.3432999999999996E-3</v>
      </c>
      <c r="AA6161">
        <v>0.99314210000000003</v>
      </c>
      <c r="AB6161">
        <v>34</v>
      </c>
      <c r="AC6161">
        <v>25.795499999999901</v>
      </c>
      <c r="AD6161">
        <v>-1.099900261228</v>
      </c>
      <c r="AE6161">
        <v>-0.67462000000001099</v>
      </c>
      <c r="AF6161">
        <v>3.0298972548302499</v>
      </c>
      <c r="AG6161">
        <v>-1.099900261228</v>
      </c>
      <c r="AH6161">
        <v>25.578695665008599</v>
      </c>
      <c r="AI6161">
        <v>92.445164540781093</v>
      </c>
      <c r="AJ6161">
        <v>83.244567782517507</v>
      </c>
      <c r="AK6161">
        <v>25.780995517679401</v>
      </c>
      <c r="AL6161">
        <v>82.927648415056495</v>
      </c>
      <c r="AM6161">
        <v>81.500332177635897</v>
      </c>
      <c r="AN6161">
        <v>0.99999994508822798</v>
      </c>
    </row>
    <row r="6162" spans="1:40" x14ac:dyDescent="0.25">
      <c r="A6162" t="str">
        <f>"20190312164147941"</f>
        <v>20190312164147941</v>
      </c>
      <c r="B6162" t="str">
        <f>"1552380107932357"</f>
        <v>1552380107932357</v>
      </c>
      <c r="C6162" t="s">
        <v>40</v>
      </c>
      <c r="D6162">
        <v>6.1872590000000001</v>
      </c>
      <c r="E6162">
        <v>0.4947706</v>
      </c>
      <c r="F6162" t="s">
        <v>58</v>
      </c>
      <c r="G6162">
        <v>-231.87280000000001</v>
      </c>
      <c r="H6162" s="1">
        <v>-4.4439350000000001E-7</v>
      </c>
      <c r="I6162">
        <v>-62.840980000000002</v>
      </c>
      <c r="J6162">
        <v>-259.2679</v>
      </c>
      <c r="K6162">
        <v>1.100244</v>
      </c>
      <c r="L6162">
        <v>-62.080170000000003</v>
      </c>
      <c r="M6162">
        <v>0.9965252</v>
      </c>
      <c r="N6162">
        <v>0</v>
      </c>
      <c r="O6162">
        <v>8.1818260000000004E-2</v>
      </c>
      <c r="P6162">
        <v>0.99196470000000003</v>
      </c>
      <c r="Q6162">
        <v>0.1145934</v>
      </c>
      <c r="R6162">
        <v>-5.3616410000000003E-2</v>
      </c>
      <c r="S6162">
        <v>3.0322269999999998</v>
      </c>
      <c r="T6162">
        <v>-0.120233199999999</v>
      </c>
      <c r="U6162">
        <v>-8.0688480000000007E-2</v>
      </c>
      <c r="V6162">
        <v>0.13767550000000001</v>
      </c>
      <c r="W6162">
        <v>0.12668740000000001</v>
      </c>
      <c r="X6162">
        <v>0.98234200000000005</v>
      </c>
      <c r="Y6162">
        <v>0.1081618</v>
      </c>
      <c r="Z6162">
        <v>-5.3841269999999998E-3</v>
      </c>
      <c r="AA6162">
        <v>0.99411879999999997</v>
      </c>
      <c r="AB6162">
        <v>34</v>
      </c>
      <c r="AC6162">
        <v>27.3950999999999</v>
      </c>
      <c r="AD6162">
        <v>-1.1002444443935</v>
      </c>
      <c r="AE6162">
        <v>-0.76081000000000598</v>
      </c>
      <c r="AF6162">
        <v>2.9951233243762498</v>
      </c>
      <c r="AG6162">
        <v>-1.1002444443935</v>
      </c>
      <c r="AH6162">
        <v>27.197138400277399</v>
      </c>
      <c r="AI6162">
        <v>92.302698134362402</v>
      </c>
      <c r="AJ6162">
        <v>83.715545209796502</v>
      </c>
      <c r="AK6162">
        <v>27.383674675424501</v>
      </c>
      <c r="AL6162">
        <v>82.721788710026701</v>
      </c>
      <c r="AM6162">
        <v>82.021945253654295</v>
      </c>
      <c r="AN6162">
        <v>1.0000000227915</v>
      </c>
    </row>
    <row r="6163" spans="1:40" x14ac:dyDescent="0.25">
      <c r="A6163" t="str">
        <f>"20190312164147950"</f>
        <v>20190312164147950</v>
      </c>
      <c r="B6163" t="str">
        <f>"1552380107942114"</f>
        <v>1552380107942114</v>
      </c>
      <c r="C6163" t="s">
        <v>40</v>
      </c>
      <c r="D6163">
        <v>6.1770129999999996</v>
      </c>
      <c r="E6163">
        <v>0.4948147</v>
      </c>
      <c r="F6163" t="s">
        <v>59</v>
      </c>
      <c r="G6163">
        <v>-228.77010000000001</v>
      </c>
      <c r="H6163" s="1">
        <v>-3.336731E-6</v>
      </c>
      <c r="I6163">
        <v>-62.953409999999998</v>
      </c>
      <c r="J6163">
        <v>-259.10309999999998</v>
      </c>
      <c r="K6163">
        <v>1.1004119999999999</v>
      </c>
      <c r="L6163">
        <v>-62.070469999999901</v>
      </c>
      <c r="M6163">
        <v>0.99688719999999997</v>
      </c>
      <c r="N6163">
        <v>0</v>
      </c>
      <c r="O6163">
        <v>7.7286659999999993E-2</v>
      </c>
      <c r="P6163">
        <v>0.99165760000000003</v>
      </c>
      <c r="Q6163">
        <v>0.1168564</v>
      </c>
      <c r="R6163">
        <v>-5.440818E-2</v>
      </c>
      <c r="S6163">
        <v>3.032257</v>
      </c>
      <c r="T6163">
        <v>-0.1093929</v>
      </c>
      <c r="U6163">
        <v>-8.6822510000000006E-2</v>
      </c>
      <c r="V6163">
        <v>0.13396859999999999</v>
      </c>
      <c r="W6163">
        <v>0.1290695</v>
      </c>
      <c r="X6163">
        <v>0.98254439999999998</v>
      </c>
      <c r="Y6163">
        <v>0.1056811</v>
      </c>
      <c r="Z6163">
        <v>-4.6910540000000001E-3</v>
      </c>
      <c r="AA6163">
        <v>0.99438899999999997</v>
      </c>
      <c r="AB6163">
        <v>34</v>
      </c>
      <c r="AC6163">
        <v>30.332999999999899</v>
      </c>
      <c r="AD6163">
        <v>-1.1004153367309999</v>
      </c>
      <c r="AE6163">
        <v>-0.88294000000000405</v>
      </c>
      <c r="AF6163">
        <v>3.2206840898724001</v>
      </c>
      <c r="AG6163">
        <v>-1.1004153367309999</v>
      </c>
      <c r="AH6163">
        <v>30.134375831974101</v>
      </c>
      <c r="AI6163">
        <v>92.079504899698804</v>
      </c>
      <c r="AJ6163">
        <v>83.899533153446896</v>
      </c>
      <c r="AK6163">
        <v>30.3259678609395</v>
      </c>
      <c r="AL6163">
        <v>82.584174472386096</v>
      </c>
      <c r="AM6163">
        <v>82.235677106815103</v>
      </c>
      <c r="AN6163">
        <v>1.00000000979378</v>
      </c>
    </row>
    <row r="6164" spans="1:40" x14ac:dyDescent="0.25">
      <c r="A6164" t="str">
        <f>"20190312164147962"</f>
        <v>20190312164147962</v>
      </c>
      <c r="B6164" t="str">
        <f>"1552380107951874"</f>
        <v>1552380107951874</v>
      </c>
      <c r="C6164" t="s">
        <v>40</v>
      </c>
      <c r="D6164">
        <v>6.1730839999999896</v>
      </c>
      <c r="E6164">
        <v>0.4947587</v>
      </c>
      <c r="F6164" t="s">
        <v>59</v>
      </c>
      <c r="G6164">
        <v>-226.38509999999999</v>
      </c>
      <c r="H6164" s="1">
        <v>-2.4477910000000001E-6</v>
      </c>
      <c r="I6164">
        <v>-63.039540000000002</v>
      </c>
      <c r="J6164">
        <v>-258.93049999999999</v>
      </c>
      <c r="K6164">
        <v>1.1005929999999999</v>
      </c>
      <c r="L6164">
        <v>-62.060789999999997</v>
      </c>
      <c r="M6164">
        <v>0.9972396</v>
      </c>
      <c r="N6164">
        <v>0</v>
      </c>
      <c r="O6164">
        <v>7.2601310000000002E-2</v>
      </c>
      <c r="P6164">
        <v>0.99126910000000001</v>
      </c>
      <c r="Q6164">
        <v>0.1193718</v>
      </c>
      <c r="R6164">
        <v>-5.6001269999999999E-2</v>
      </c>
      <c r="S6164">
        <v>3.0323180000000001</v>
      </c>
      <c r="T6164">
        <v>-0.1019866</v>
      </c>
      <c r="U6164">
        <v>-8.9813229999999994E-2</v>
      </c>
      <c r="V6164">
        <v>0.130907</v>
      </c>
      <c r="W6164">
        <v>0.13168679999999999</v>
      </c>
      <c r="X6164">
        <v>0.98260970000000003</v>
      </c>
      <c r="Y6164">
        <v>0.10200720000000001</v>
      </c>
      <c r="Z6164">
        <v>-4.1544850000000003E-3</v>
      </c>
      <c r="AA6164">
        <v>0.99477499999999996</v>
      </c>
      <c r="AB6164">
        <v>34</v>
      </c>
      <c r="AC6164">
        <v>32.545400000000001</v>
      </c>
      <c r="AD6164">
        <v>-1.1005954477909901</v>
      </c>
      <c r="AE6164">
        <v>-0.97874999999999701</v>
      </c>
      <c r="AF6164">
        <v>3.33548036907266</v>
      </c>
      <c r="AG6164">
        <v>-1.1005954477909901</v>
      </c>
      <c r="AH6164">
        <v>32.351462230667998</v>
      </c>
      <c r="AI6164">
        <v>91.938182461319897</v>
      </c>
      <c r="AJ6164">
        <v>84.113524860230001</v>
      </c>
      <c r="AK6164">
        <v>32.541571076002199</v>
      </c>
      <c r="AL6164">
        <v>82.432922617552194</v>
      </c>
      <c r="AM6164">
        <v>82.411522790719104</v>
      </c>
      <c r="AN6164">
        <v>0.99999993923866304</v>
      </c>
    </row>
    <row r="6165" spans="1:40" x14ac:dyDescent="0.25">
      <c r="A6165" t="str">
        <f>"20190312164147973"</f>
        <v>20190312164147973</v>
      </c>
      <c r="B6165" t="str">
        <f>"1552380107962611"</f>
        <v>1552380107962611</v>
      </c>
      <c r="C6165" t="s">
        <v>40</v>
      </c>
      <c r="D6165">
        <v>6.1158960000000002</v>
      </c>
      <c r="E6165">
        <v>0.49476560000000003</v>
      </c>
      <c r="F6165" t="s">
        <v>59</v>
      </c>
      <c r="G6165">
        <v>-223.6429</v>
      </c>
      <c r="H6165" s="1">
        <v>-1.2930919999999999E-6</v>
      </c>
      <c r="I6165">
        <v>-63.137120000000003</v>
      </c>
      <c r="J6165">
        <v>-258.76029999999997</v>
      </c>
      <c r="K6165">
        <v>1.1007659999999999</v>
      </c>
      <c r="L6165">
        <v>-62.05209</v>
      </c>
      <c r="M6165">
        <v>0.99755850000000001</v>
      </c>
      <c r="N6165">
        <v>0</v>
      </c>
      <c r="O6165">
        <v>6.8086229999999998E-2</v>
      </c>
      <c r="P6165">
        <v>0.99094570000000004</v>
      </c>
      <c r="Q6165">
        <v>0.121348499999999</v>
      </c>
      <c r="R6165">
        <v>-5.7457960000000002E-2</v>
      </c>
      <c r="S6165">
        <v>3.0325929999999999</v>
      </c>
      <c r="T6165">
        <v>-9.4584349999999998E-2</v>
      </c>
      <c r="U6165">
        <v>-9.2498780000000003E-2</v>
      </c>
      <c r="V6165">
        <v>0.1278725</v>
      </c>
      <c r="W6165">
        <v>0.13376160000000001</v>
      </c>
      <c r="X6165">
        <v>0.98272910000000002</v>
      </c>
      <c r="Y6165">
        <v>9.8398520000000003E-2</v>
      </c>
      <c r="Z6165">
        <v>-3.655883E-3</v>
      </c>
      <c r="AA6165">
        <v>0.99514040000000004</v>
      </c>
      <c r="AB6165">
        <v>34</v>
      </c>
      <c r="AC6165">
        <v>35.117399999999897</v>
      </c>
      <c r="AD6165">
        <v>-1.1007672930919901</v>
      </c>
      <c r="AE6165">
        <v>-1.0850299999999899</v>
      </c>
      <c r="AF6165">
        <v>3.47040489198461</v>
      </c>
      <c r="AG6165">
        <v>-1.1007672930919901</v>
      </c>
      <c r="AH6165">
        <v>34.927718920284498</v>
      </c>
      <c r="AI6165">
        <v>91.796273115186096</v>
      </c>
      <c r="AJ6165">
        <v>84.3257369339901</v>
      </c>
      <c r="AK6165">
        <v>35.116960969341498</v>
      </c>
      <c r="AL6165">
        <v>82.312984779907495</v>
      </c>
      <c r="AM6165">
        <v>82.586338814413295</v>
      </c>
      <c r="AN6165">
        <v>1.00000001293881</v>
      </c>
    </row>
    <row r="6166" spans="1:40" x14ac:dyDescent="0.25">
      <c r="A6166" t="str">
        <f>"20190312164147986"</f>
        <v>20190312164147986</v>
      </c>
      <c r="B6166" t="str">
        <f>"1552380107982258"</f>
        <v>1552380107982258</v>
      </c>
      <c r="C6166" t="s">
        <v>40</v>
      </c>
      <c r="D6166">
        <v>6.24587</v>
      </c>
      <c r="E6166">
        <v>0.49468869999999998</v>
      </c>
      <c r="F6166" t="s">
        <v>59</v>
      </c>
      <c r="G6166">
        <v>-221.30099999999999</v>
      </c>
      <c r="H6166" s="1">
        <v>-3.0816799999999998E-7</v>
      </c>
      <c r="I6166">
        <v>-63.225859999999997</v>
      </c>
      <c r="J6166">
        <v>-258.57220000000001</v>
      </c>
      <c r="K6166">
        <v>1.1009639999999901</v>
      </c>
      <c r="L6166">
        <v>-62.043399999999998</v>
      </c>
      <c r="M6166">
        <v>0.99787859999999995</v>
      </c>
      <c r="N6166">
        <v>0</v>
      </c>
      <c r="O6166">
        <v>6.3230049999999996E-2</v>
      </c>
      <c r="P6166">
        <v>0.99061719999999998</v>
      </c>
      <c r="Q6166">
        <v>0.1233076</v>
      </c>
      <c r="R6166">
        <v>-5.8929839999999997E-2</v>
      </c>
      <c r="S6166">
        <v>3.0328219999999999</v>
      </c>
      <c r="T6166">
        <v>-8.9121580000000006E-2</v>
      </c>
      <c r="U6166">
        <v>-9.5031740000000003E-2</v>
      </c>
      <c r="V6166">
        <v>0.12450899999999999</v>
      </c>
      <c r="W6166">
        <v>0.1358287</v>
      </c>
      <c r="X6166">
        <v>0.98287740000000001</v>
      </c>
      <c r="Y6166">
        <v>9.4395019999999996E-2</v>
      </c>
      <c r="Z6166">
        <v>-3.2432479999999998E-3</v>
      </c>
      <c r="AA6166">
        <v>0.99552949999999996</v>
      </c>
      <c r="AB6166">
        <v>34</v>
      </c>
      <c r="AC6166">
        <v>37.2712</v>
      </c>
      <c r="AD6166">
        <v>-1.1009643081679901</v>
      </c>
      <c r="AE6166">
        <v>-1.1824599999999901</v>
      </c>
      <c r="AF6166">
        <v>3.5339557801214898</v>
      </c>
      <c r="AG6166">
        <v>-1.1009643081679901</v>
      </c>
      <c r="AH6166">
        <v>37.089494994275398</v>
      </c>
      <c r="AI6166">
        <v>91.692606814290997</v>
      </c>
      <c r="AJ6166">
        <v>84.5571834257956</v>
      </c>
      <c r="AK6166">
        <v>37.273738808899999</v>
      </c>
      <c r="AL6166">
        <v>82.1934573342254</v>
      </c>
      <c r="AM6166">
        <v>82.780336823470293</v>
      </c>
      <c r="AN6166">
        <v>0.99999995512772399</v>
      </c>
    </row>
    <row r="6167" spans="1:40" x14ac:dyDescent="0.25">
      <c r="A6167" t="str">
        <f>"20190312164147997"</f>
        <v>20190312164147997</v>
      </c>
      <c r="B6167" t="str">
        <f>"1552380107992019"</f>
        <v>1552380107992019</v>
      </c>
      <c r="C6167" t="s">
        <v>40</v>
      </c>
      <c r="D6167">
        <v>6.1776220000000004</v>
      </c>
      <c r="E6167">
        <v>0.49469600000000002</v>
      </c>
      <c r="F6167" t="s">
        <v>60</v>
      </c>
      <c r="G6167">
        <v>-214.23410000000001</v>
      </c>
      <c r="H6167" s="1">
        <v>-1.6096250000000001E-6</v>
      </c>
      <c r="I6167">
        <v>-63.481250000000003</v>
      </c>
      <c r="J6167">
        <v>-258.38600000000002</v>
      </c>
      <c r="K6167">
        <v>1.10117</v>
      </c>
      <c r="L6167">
        <v>-62.03528</v>
      </c>
      <c r="M6167">
        <v>0.99816729999999998</v>
      </c>
      <c r="N6167">
        <v>0</v>
      </c>
      <c r="O6167">
        <v>5.8500610000000001E-2</v>
      </c>
      <c r="P6167">
        <v>0.99039949999999999</v>
      </c>
      <c r="Q6167">
        <v>0.124663</v>
      </c>
      <c r="R6167">
        <v>-5.9731199999999998E-2</v>
      </c>
      <c r="S6167">
        <v>3.0319370000000001</v>
      </c>
      <c r="T6167">
        <v>-7.5286389999999995E-2</v>
      </c>
      <c r="U6167">
        <v>-9.8327639999999994E-2</v>
      </c>
      <c r="V6167">
        <v>0.1205943</v>
      </c>
      <c r="W6167">
        <v>0.13730529999999999</v>
      </c>
      <c r="X6167">
        <v>0.98316040000000005</v>
      </c>
      <c r="Y6167">
        <v>9.0788980000000005E-2</v>
      </c>
      <c r="Z6167">
        <v>-2.5786530000000002E-3</v>
      </c>
      <c r="AA6167">
        <v>0.99586680000000005</v>
      </c>
      <c r="AB6167">
        <v>34</v>
      </c>
      <c r="AC6167">
        <v>44.151899999999898</v>
      </c>
      <c r="AD6167">
        <v>-1.1011716096249999</v>
      </c>
      <c r="AE6167">
        <v>-1.44596999999999</v>
      </c>
      <c r="AF6167">
        <v>4.0242152241790903</v>
      </c>
      <c r="AG6167">
        <v>-1.1011716096249999</v>
      </c>
      <c r="AH6167">
        <v>43.9643480031026</v>
      </c>
      <c r="AI6167">
        <v>91.428812348692603</v>
      </c>
      <c r="AJ6167">
        <v>84.770084420337696</v>
      </c>
      <c r="AK6167">
        <v>44.161870232387898</v>
      </c>
      <c r="AL6167">
        <v>82.108054982639402</v>
      </c>
      <c r="AM6167">
        <v>83.007039802765505</v>
      </c>
      <c r="AN6167">
        <v>1.0000000513643601</v>
      </c>
    </row>
    <row r="6168" spans="1:40" x14ac:dyDescent="0.25">
      <c r="A6168" t="str">
        <f>"20190312164148008"</f>
        <v>20190312164148008</v>
      </c>
      <c r="B6168" t="str">
        <f>"1552380108002754"</f>
        <v>1552380108002754</v>
      </c>
      <c r="C6168" t="s">
        <v>40</v>
      </c>
      <c r="D6168">
        <v>5.6505479999999997</v>
      </c>
      <c r="E6168">
        <v>0.4946296</v>
      </c>
      <c r="F6168" t="s">
        <v>60</v>
      </c>
      <c r="G6168">
        <v>-212.124</v>
      </c>
      <c r="H6168" s="1">
        <v>-7.3009630000000003E-7</v>
      </c>
      <c r="I6168">
        <v>-63.577829999999999</v>
      </c>
      <c r="J6168">
        <v>-258.22640000000001</v>
      </c>
      <c r="K6168">
        <v>1.1013569999999999</v>
      </c>
      <c r="L6168">
        <v>-62.029449999999997</v>
      </c>
      <c r="M6168">
        <v>0.99838689999999997</v>
      </c>
      <c r="N6168">
        <v>0</v>
      </c>
      <c r="O6168">
        <v>5.4633590000000003E-2</v>
      </c>
      <c r="P6168">
        <v>0.99033249999999995</v>
      </c>
      <c r="Q6168">
        <v>0.1255182</v>
      </c>
      <c r="R6168">
        <v>-5.90486E-2</v>
      </c>
      <c r="S6168">
        <v>3.0320740000000002</v>
      </c>
      <c r="T6168">
        <v>-7.2172159999999999E-2</v>
      </c>
      <c r="U6168">
        <v>-0.10110470000000001</v>
      </c>
      <c r="V6168">
        <v>0.1160514</v>
      </c>
      <c r="W6168">
        <v>0.13829050000000001</v>
      </c>
      <c r="X6168">
        <v>0.98356889999999997</v>
      </c>
      <c r="Y6168">
        <v>8.7846229999999997E-2</v>
      </c>
      <c r="Z6168">
        <v>-2.3449180000000001E-3</v>
      </c>
      <c r="AA6168">
        <v>0.99613130000000005</v>
      </c>
      <c r="AB6168">
        <v>34</v>
      </c>
      <c r="AC6168">
        <v>46.102399999999903</v>
      </c>
      <c r="AD6168">
        <v>-1.1013577300963</v>
      </c>
      <c r="AE6168">
        <v>-1.5483800000000001</v>
      </c>
      <c r="AF6168">
        <v>4.06279123465767</v>
      </c>
      <c r="AG6168">
        <v>-1.1013577300963</v>
      </c>
      <c r="AH6168">
        <v>45.922745877400203</v>
      </c>
      <c r="AI6168">
        <v>91.3685088291559</v>
      </c>
      <c r="AJ6168">
        <v>84.944198123736498</v>
      </c>
      <c r="AK6168">
        <v>46.115266998970498</v>
      </c>
      <c r="AL6168">
        <v>82.051062975945499</v>
      </c>
      <c r="AM6168">
        <v>83.270777068366996</v>
      </c>
      <c r="AN6168">
        <v>0.99999998543970903</v>
      </c>
    </row>
    <row r="6169" spans="1:40" x14ac:dyDescent="0.25">
      <c r="A6169" t="str">
        <f>"20190312164148020"</f>
        <v>20190312164148020</v>
      </c>
      <c r="B6169" t="str">
        <f>"1552380108012516"</f>
        <v>1552380108012516</v>
      </c>
      <c r="C6169" t="s">
        <v>40</v>
      </c>
      <c r="D6169">
        <v>6.2306819999999998</v>
      </c>
      <c r="E6169">
        <v>0.49458099999999999</v>
      </c>
      <c r="F6169" t="s">
        <v>60</v>
      </c>
      <c r="G6169">
        <v>-211.22200000000001</v>
      </c>
      <c r="H6169" s="1">
        <v>-3.4162660000000002E-7</v>
      </c>
      <c r="I6169">
        <v>-63.572009999999999</v>
      </c>
      <c r="J6169">
        <v>-258.048</v>
      </c>
      <c r="K6169">
        <v>1.101567</v>
      </c>
      <c r="L6169">
        <v>-62.023130000000002</v>
      </c>
      <c r="M6169">
        <v>0.99861259999999996</v>
      </c>
      <c r="N6169">
        <v>0</v>
      </c>
      <c r="O6169">
        <v>5.0347059999999999E-2</v>
      </c>
      <c r="P6169">
        <v>0.99020359999999996</v>
      </c>
      <c r="Q6169">
        <v>0.12661810000000001</v>
      </c>
      <c r="R6169">
        <v>-5.8866330000000001E-2</v>
      </c>
      <c r="S6169">
        <v>3.0323639999999998</v>
      </c>
      <c r="T6169">
        <v>-7.1051119999999995E-2</v>
      </c>
      <c r="U6169">
        <v>-9.9517820000000007E-2</v>
      </c>
      <c r="V6169">
        <v>0.1115858</v>
      </c>
      <c r="W6169">
        <v>0.1395197</v>
      </c>
      <c r="X6169">
        <v>0.98391200000000001</v>
      </c>
      <c r="Y6169">
        <v>8.3048689999999994E-2</v>
      </c>
      <c r="Z6169">
        <v>-2.1517680000000001E-3</v>
      </c>
      <c r="AA6169">
        <v>0.99654319999999996</v>
      </c>
      <c r="AB6169">
        <v>34</v>
      </c>
      <c r="AC6169">
        <v>46.825999999999901</v>
      </c>
      <c r="AD6169">
        <v>-1.1015673416266001</v>
      </c>
      <c r="AE6169">
        <v>-1.54887999999999</v>
      </c>
      <c r="AF6169">
        <v>3.90258992630964</v>
      </c>
      <c r="AG6169">
        <v>-1.1015673416266001</v>
      </c>
      <c r="AH6169">
        <v>46.6628139617915</v>
      </c>
      <c r="AI6169">
        <v>91.347625090889807</v>
      </c>
      <c r="AJ6169">
        <v>85.219260190674802</v>
      </c>
      <c r="AK6169">
        <v>46.838679161285398</v>
      </c>
      <c r="AL6169">
        <v>81.979945525089306</v>
      </c>
      <c r="AM6169">
        <v>83.529711415547993</v>
      </c>
      <c r="AN6169">
        <v>0.99999998059686401</v>
      </c>
    </row>
    <row r="6170" spans="1:40" x14ac:dyDescent="0.25">
      <c r="A6170" t="str">
        <f>"20190312164148032"</f>
        <v>20190312164148032</v>
      </c>
      <c r="B6170" t="str">
        <f>"1552380108022274"</f>
        <v>1552380108022274</v>
      </c>
      <c r="C6170" t="s">
        <v>40</v>
      </c>
      <c r="D6170">
        <v>6.2333119999999997</v>
      </c>
      <c r="E6170">
        <v>0.49457849999999998</v>
      </c>
      <c r="F6170" t="s">
        <v>43</v>
      </c>
      <c r="G6170">
        <v>-207.77979999999999</v>
      </c>
      <c r="H6170">
        <v>-0.05</v>
      </c>
      <c r="I6170">
        <v>-63.677259999999997</v>
      </c>
      <c r="J6170">
        <v>-257.8587</v>
      </c>
      <c r="K6170">
        <v>1.101812</v>
      </c>
      <c r="L6170">
        <v>-62.017490000000002</v>
      </c>
      <c r="M6170">
        <v>0.99882249999999995</v>
      </c>
      <c r="N6170">
        <v>0</v>
      </c>
      <c r="O6170">
        <v>4.6005219999999999E-2</v>
      </c>
      <c r="P6170">
        <v>0.99003909999999995</v>
      </c>
      <c r="Q6170">
        <v>0.1277953</v>
      </c>
      <c r="R6170">
        <v>-5.9084020000000001E-2</v>
      </c>
      <c r="S6170">
        <v>3.0326390000000001</v>
      </c>
      <c r="T6170">
        <v>-6.9473030000000005E-2</v>
      </c>
      <c r="U6170">
        <v>-9.9792480000000003E-2</v>
      </c>
      <c r="V6170">
        <v>0.1074532</v>
      </c>
      <c r="W6170">
        <v>0.14081759999999999</v>
      </c>
      <c r="X6170">
        <v>0.98418709999999998</v>
      </c>
      <c r="Y6170">
        <v>7.8806600000000004E-2</v>
      </c>
      <c r="Z6170">
        <v>-1.9558359999999999E-3</v>
      </c>
      <c r="AA6170">
        <v>0.996888</v>
      </c>
      <c r="AB6170">
        <v>34</v>
      </c>
      <c r="AC6170">
        <v>50.078899999999997</v>
      </c>
      <c r="AD6170">
        <v>-1.1518120000000001</v>
      </c>
      <c r="AE6170">
        <v>-1.65976999999999</v>
      </c>
      <c r="AF6170">
        <v>3.9600836665379</v>
      </c>
      <c r="AG6170">
        <v>-1.1518120000000001</v>
      </c>
      <c r="AH6170">
        <v>49.923116478001297</v>
      </c>
      <c r="AI6170">
        <v>91.317540339840406</v>
      </c>
      <c r="AJ6170">
        <v>85.464586542691805</v>
      </c>
      <c r="AK6170">
        <v>50.093178102466297</v>
      </c>
      <c r="AL6170">
        <v>81.904840154333996</v>
      </c>
      <c r="AM6170">
        <v>83.769146481026098</v>
      </c>
      <c r="AN6170">
        <v>1.0000000172332</v>
      </c>
    </row>
    <row r="6171" spans="1:40" x14ac:dyDescent="0.25">
      <c r="A6171" t="str">
        <f>"20190312164148043"</f>
        <v>20190312164148043</v>
      </c>
      <c r="B6171" t="str">
        <f>"1552380108032034"</f>
        <v>1552380108032034</v>
      </c>
      <c r="C6171" t="s">
        <v>40</v>
      </c>
      <c r="D6171">
        <v>6.1659319999999997</v>
      </c>
      <c r="E6171">
        <v>0.49443290000000001</v>
      </c>
      <c r="F6171" t="s">
        <v>51</v>
      </c>
      <c r="G6171">
        <v>-208.2688</v>
      </c>
      <c r="H6171" s="1">
        <v>-1.5319089999999999E-6</v>
      </c>
      <c r="I6171">
        <v>-63.687159999999999</v>
      </c>
      <c r="J6171">
        <v>-257.6952</v>
      </c>
      <c r="K6171">
        <v>1.102025</v>
      </c>
      <c r="L6171">
        <v>-62.013060000000003</v>
      </c>
      <c r="M6171">
        <v>0.99898520000000002</v>
      </c>
      <c r="N6171">
        <v>0</v>
      </c>
      <c r="O6171">
        <v>4.2335890000000001E-2</v>
      </c>
      <c r="P6171">
        <v>0.98971569999999998</v>
      </c>
      <c r="Q6171">
        <v>0.1299438</v>
      </c>
      <c r="R6171">
        <v>-5.9813390000000001E-2</v>
      </c>
      <c r="S6171">
        <v>3.0327609999999998</v>
      </c>
      <c r="T6171">
        <v>-6.7383410000000005E-2</v>
      </c>
      <c r="U6171">
        <v>-0.1021118</v>
      </c>
      <c r="V6171">
        <v>0.1045166</v>
      </c>
      <c r="W6171">
        <v>0.1430516</v>
      </c>
      <c r="X6171">
        <v>0.98418119999999998</v>
      </c>
      <c r="Y6171">
        <v>7.5908119999999996E-2</v>
      </c>
      <c r="Z6171">
        <v>-1.783265E-3</v>
      </c>
      <c r="AA6171">
        <v>0.99711320000000003</v>
      </c>
      <c r="AB6171">
        <v>34</v>
      </c>
      <c r="AC6171">
        <v>49.426400000000001</v>
      </c>
      <c r="AD6171">
        <v>-1.1020265319089999</v>
      </c>
      <c r="AE6171">
        <v>-1.6740999999999999</v>
      </c>
      <c r="AF6171">
        <v>3.7634877696161499</v>
      </c>
      <c r="AG6171">
        <v>-1.1020265319089999</v>
      </c>
      <c r="AH6171">
        <v>49.2867190079902</v>
      </c>
      <c r="AI6171">
        <v>91.277174944053002</v>
      </c>
      <c r="AJ6171">
        <v>85.633421451297494</v>
      </c>
      <c r="AK6171">
        <v>49.442481463228198</v>
      </c>
      <c r="AL6171">
        <v>81.775532578762494</v>
      </c>
      <c r="AM6171">
        <v>83.938108608700205</v>
      </c>
      <c r="AN6171">
        <v>1.0000000571857699</v>
      </c>
    </row>
    <row r="6172" spans="1:40" x14ac:dyDescent="0.25">
      <c r="A6172" t="str">
        <f>"20190312164148053"</f>
        <v>20190312164148053</v>
      </c>
      <c r="B6172" t="str">
        <f>"1552380108042771"</f>
        <v>1552380108042771</v>
      </c>
      <c r="C6172" t="s">
        <v>40</v>
      </c>
      <c r="D6172">
        <v>6.2351609999999997</v>
      </c>
      <c r="E6172">
        <v>0.49438379999999998</v>
      </c>
      <c r="F6172" t="s">
        <v>51</v>
      </c>
      <c r="G6172">
        <v>-203.9554</v>
      </c>
      <c r="H6172" s="1">
        <v>-4.0071210000000001E-6</v>
      </c>
      <c r="I6172">
        <v>-63.849809999999998</v>
      </c>
      <c r="J6172">
        <v>-257.52199999999999</v>
      </c>
      <c r="K6172">
        <v>1.1022590000000001</v>
      </c>
      <c r="L6172">
        <v>-62.008940000000003</v>
      </c>
      <c r="M6172">
        <v>0.99913839999999998</v>
      </c>
      <c r="N6172">
        <v>0</v>
      </c>
      <c r="O6172">
        <v>3.8563489999999999E-2</v>
      </c>
      <c r="P6172">
        <v>0.98938510000000002</v>
      </c>
      <c r="Q6172">
        <v>0.13216439999999999</v>
      </c>
      <c r="R6172">
        <v>-6.0415860000000002E-2</v>
      </c>
      <c r="S6172">
        <v>3.033112</v>
      </c>
      <c r="T6172">
        <v>-6.219935E-2</v>
      </c>
      <c r="U6172">
        <v>-0.1036682</v>
      </c>
      <c r="V6172">
        <v>0.1013462</v>
      </c>
      <c r="W6172">
        <v>0.14536079999999901</v>
      </c>
      <c r="X6172">
        <v>0.9841744</v>
      </c>
      <c r="Y6172">
        <v>7.2655629999999999E-2</v>
      </c>
      <c r="Z6172">
        <v>-1.5352460000000001E-3</v>
      </c>
      <c r="AA6172">
        <v>0.99735589999999996</v>
      </c>
      <c r="AB6172">
        <v>34</v>
      </c>
      <c r="AC6172">
        <v>53.566600000000001</v>
      </c>
      <c r="AD6172">
        <v>-1.102263007121</v>
      </c>
      <c r="AE6172">
        <v>-1.84086999999999</v>
      </c>
      <c r="AF6172">
        <v>3.9038074412881998</v>
      </c>
      <c r="AG6172">
        <v>-1.102263007121</v>
      </c>
      <c r="AH6172">
        <v>53.433147938326996</v>
      </c>
      <c r="AI6172">
        <v>91.178636403290994</v>
      </c>
      <c r="AJ6172">
        <v>85.821414167065996</v>
      </c>
      <c r="AK6172">
        <v>53.586901336750799</v>
      </c>
      <c r="AL6172">
        <v>81.641827398932904</v>
      </c>
      <c r="AM6172">
        <v>84.120641319259406</v>
      </c>
      <c r="AN6172">
        <v>1.0000000320232101</v>
      </c>
    </row>
    <row r="6173" spans="1:40" x14ac:dyDescent="0.25">
      <c r="A6173" t="str">
        <f>"20190312164148064"</f>
        <v>20190312164148064</v>
      </c>
      <c r="B6173" t="str">
        <f>"1552380108052530"</f>
        <v>1552380108052530</v>
      </c>
      <c r="C6173" t="s">
        <v>40</v>
      </c>
      <c r="D6173">
        <v>6.1692869999999997</v>
      </c>
      <c r="E6173">
        <v>0.49435859999999898</v>
      </c>
      <c r="F6173" t="s">
        <v>51</v>
      </c>
      <c r="G6173">
        <v>-197.96680000000001</v>
      </c>
      <c r="H6173" s="1">
        <v>-6.7488760000000001E-6</v>
      </c>
      <c r="I6173">
        <v>-64.065919999999906</v>
      </c>
      <c r="J6173">
        <v>-257.37349999999998</v>
      </c>
      <c r="K6173">
        <v>1.1024620000000001</v>
      </c>
      <c r="L6173">
        <v>-62.005920000000003</v>
      </c>
      <c r="M6173">
        <v>0.99925450000000005</v>
      </c>
      <c r="N6173">
        <v>0</v>
      </c>
      <c r="O6173">
        <v>3.5436160000000001E-2</v>
      </c>
      <c r="P6173">
        <v>0.98914639999999998</v>
      </c>
      <c r="Q6173">
        <v>0.13400429999999999</v>
      </c>
      <c r="R6173">
        <v>-6.0267540000000001E-2</v>
      </c>
      <c r="S6173">
        <v>3.0332949999999999</v>
      </c>
      <c r="T6173">
        <v>-5.6141139999999999E-2</v>
      </c>
      <c r="U6173">
        <v>-0.10476679999999999</v>
      </c>
      <c r="V6173">
        <v>9.8067749999999995E-2</v>
      </c>
      <c r="W6173">
        <v>0.1472868</v>
      </c>
      <c r="X6173">
        <v>0.98422010000000004</v>
      </c>
      <c r="Y6173">
        <v>6.9897879999999996E-2</v>
      </c>
      <c r="Z6173">
        <v>-1.302283E-3</v>
      </c>
      <c r="AA6173">
        <v>0.99755329999999998</v>
      </c>
      <c r="AB6173">
        <v>34</v>
      </c>
      <c r="AC6173">
        <v>59.406699999999901</v>
      </c>
      <c r="AD6173">
        <v>-1.1024687488760001</v>
      </c>
      <c r="AE6173">
        <v>-2.0599999999999898</v>
      </c>
      <c r="AF6173">
        <v>4.1626664335016201</v>
      </c>
      <c r="AG6173">
        <v>-1.1024687488760001</v>
      </c>
      <c r="AH6173">
        <v>59.275983265327802</v>
      </c>
      <c r="AI6173">
        <v>91.062899207730695</v>
      </c>
      <c r="AJ6173">
        <v>85.982988462970098</v>
      </c>
      <c r="AK6173">
        <v>59.432191792413903</v>
      </c>
      <c r="AL6173">
        <v>81.530274305411396</v>
      </c>
      <c r="AM6173">
        <v>84.309826433139094</v>
      </c>
      <c r="AN6173">
        <v>0.99999994514415402</v>
      </c>
    </row>
    <row r="6174" spans="1:40" x14ac:dyDescent="0.25">
      <c r="A6174" t="str">
        <f>"20190312164148074"</f>
        <v>20190312164148074</v>
      </c>
      <c r="B6174" t="str">
        <f>"1552380108062291"</f>
        <v>1552380108062291</v>
      </c>
      <c r="C6174" t="s">
        <v>40</v>
      </c>
      <c r="D6174">
        <v>6.1745669999999997</v>
      </c>
      <c r="E6174">
        <v>0.49431370000000002</v>
      </c>
      <c r="F6174" t="s">
        <v>51</v>
      </c>
      <c r="G6174">
        <v>-193.0213</v>
      </c>
      <c r="H6174" s="1">
        <v>-8.7935680000000008E-6</v>
      </c>
      <c r="I6174">
        <v>-64.201779999999999</v>
      </c>
      <c r="J6174">
        <v>-257.21910000000003</v>
      </c>
      <c r="K6174">
        <v>1.102678</v>
      </c>
      <c r="L6174">
        <v>-62.003140000000002</v>
      </c>
      <c r="M6174">
        <v>0.99936230000000004</v>
      </c>
      <c r="N6174">
        <v>0</v>
      </c>
      <c r="O6174">
        <v>3.22642E-2</v>
      </c>
      <c r="P6174">
        <v>0.98885250000000002</v>
      </c>
      <c r="Q6174">
        <v>0.1362691</v>
      </c>
      <c r="R6174">
        <v>-6.0013570000000002E-2</v>
      </c>
      <c r="S6174">
        <v>3.0336460000000001</v>
      </c>
      <c r="T6174">
        <v>-5.1971910000000003E-2</v>
      </c>
      <c r="U6174">
        <v>-0.1035156</v>
      </c>
      <c r="V6174">
        <v>9.4640379999999996E-2</v>
      </c>
      <c r="W6174">
        <v>0.14963889999999999</v>
      </c>
      <c r="X6174">
        <v>0.98420090000000005</v>
      </c>
      <c r="Y6174">
        <v>6.6319669999999997E-2</v>
      </c>
      <c r="Z6174">
        <v>-1.1204940000000001E-3</v>
      </c>
      <c r="AA6174">
        <v>0.99779779999999996</v>
      </c>
      <c r="AB6174">
        <v>34</v>
      </c>
      <c r="AC6174">
        <v>64.197800000000001</v>
      </c>
      <c r="AD6174">
        <v>-1.102686793568</v>
      </c>
      <c r="AE6174">
        <v>-2.1986399999999899</v>
      </c>
      <c r="AF6174">
        <v>4.2677704839450596</v>
      </c>
      <c r="AG6174">
        <v>-1.102686793568</v>
      </c>
      <c r="AH6174">
        <v>64.074541870896695</v>
      </c>
      <c r="AI6174">
        <v>90.9837514698511</v>
      </c>
      <c r="AJ6174">
        <v>86.189366560005197</v>
      </c>
      <c r="AK6174">
        <v>64.225981495292302</v>
      </c>
      <c r="AL6174">
        <v>81.393999186308605</v>
      </c>
      <c r="AM6174">
        <v>84.507347918925404</v>
      </c>
      <c r="AN6174">
        <v>1.0000000067402799</v>
      </c>
    </row>
    <row r="6175" spans="1:40" x14ac:dyDescent="0.25">
      <c r="A6175" t="str">
        <f>"20190312164148085"</f>
        <v>20190312164148085</v>
      </c>
      <c r="B6175" t="str">
        <f>"1552380108082786"</f>
        <v>1552380108082786</v>
      </c>
      <c r="C6175" t="s">
        <v>40</v>
      </c>
      <c r="D6175">
        <v>8.4662229999999994</v>
      </c>
      <c r="E6175">
        <v>0.49428800000000001</v>
      </c>
      <c r="F6175" t="s">
        <v>51</v>
      </c>
      <c r="G6175">
        <v>-185.7885</v>
      </c>
      <c r="H6175" s="1">
        <v>-9.3471039999999999E-6</v>
      </c>
      <c r="I6175">
        <v>-64.428019999999904</v>
      </c>
      <c r="J6175">
        <v>-257.0471</v>
      </c>
      <c r="K6175">
        <v>1.10293</v>
      </c>
      <c r="L6175">
        <v>-62.000610000000002</v>
      </c>
      <c r="M6175">
        <v>0.99946639999999998</v>
      </c>
      <c r="N6175">
        <v>0</v>
      </c>
      <c r="O6175">
        <v>2.887636E-2</v>
      </c>
      <c r="P6175">
        <v>0.98868449999999997</v>
      </c>
      <c r="Q6175">
        <v>0.13771410000000001</v>
      </c>
      <c r="R6175">
        <v>-5.9482309999999997E-2</v>
      </c>
      <c r="S6175">
        <v>3.034027</v>
      </c>
      <c r="T6175">
        <v>-4.6836849999999999E-2</v>
      </c>
      <c r="U6175">
        <v>-0.1029968</v>
      </c>
      <c r="V6175">
        <v>9.0698989999999993E-2</v>
      </c>
      <c r="W6175">
        <v>0.15118229999999999</v>
      </c>
      <c r="X6175">
        <v>0.98433610000000005</v>
      </c>
      <c r="Y6175">
        <v>6.2765719999999997E-2</v>
      </c>
      <c r="Z6175">
        <v>-9.2996989999999998E-4</v>
      </c>
      <c r="AA6175">
        <v>0.99802789999999997</v>
      </c>
      <c r="AB6175">
        <v>34</v>
      </c>
      <c r="AC6175">
        <v>71.258600000000001</v>
      </c>
      <c r="AD6175">
        <v>-1.1029393471040001</v>
      </c>
      <c r="AE6175">
        <v>-2.4274099999999899</v>
      </c>
      <c r="AF6175">
        <v>4.4832535357139998</v>
      </c>
      <c r="AG6175">
        <v>-1.1029393471040001</v>
      </c>
      <c r="AH6175">
        <v>71.141751128217805</v>
      </c>
      <c r="AI6175">
        <v>90.886450316608901</v>
      </c>
      <c r="AJ6175">
        <v>86.394068626642706</v>
      </c>
      <c r="AK6175">
        <v>71.291407554193796</v>
      </c>
      <c r="AL6175">
        <v>81.304551009639795</v>
      </c>
      <c r="AM6175">
        <v>84.735500532083805</v>
      </c>
      <c r="AN6175">
        <v>0.99999997619175895</v>
      </c>
    </row>
    <row r="6176" spans="1:40" x14ac:dyDescent="0.25">
      <c r="A6176" t="str">
        <f>"20190312164148096"</f>
        <v>20190312164148096</v>
      </c>
      <c r="B6176" t="str">
        <f>"1552380108092547"</f>
        <v>1552380108092547</v>
      </c>
      <c r="C6176" t="s">
        <v>40</v>
      </c>
      <c r="D6176">
        <v>6.171659</v>
      </c>
      <c r="E6176">
        <v>0.49429849999999997</v>
      </c>
      <c r="F6176" t="s">
        <v>51</v>
      </c>
      <c r="G6176">
        <v>-182.26349999999999</v>
      </c>
      <c r="H6176" s="1">
        <v>-8.9603559999999994E-6</v>
      </c>
      <c r="I6176">
        <v>-64.523200000000003</v>
      </c>
      <c r="J6176">
        <v>-256.87040000000002</v>
      </c>
      <c r="K6176">
        <v>1.1031959999999901</v>
      </c>
      <c r="L6176">
        <v>-61.998379999999997</v>
      </c>
      <c r="M6176">
        <v>0.99955890000000003</v>
      </c>
      <c r="N6176">
        <v>0</v>
      </c>
      <c r="O6176">
        <v>2.5487099999999999E-2</v>
      </c>
      <c r="P6176">
        <v>0.9886296</v>
      </c>
      <c r="Q6176">
        <v>0.13841829999999999</v>
      </c>
      <c r="R6176">
        <v>-5.8755120000000001E-2</v>
      </c>
      <c r="S6176">
        <v>3.0344090000000001</v>
      </c>
      <c r="T6176">
        <v>-4.4752720000000003E-2</v>
      </c>
      <c r="U6176">
        <v>-0.102356</v>
      </c>
      <c r="V6176">
        <v>8.6545079999999996E-2</v>
      </c>
      <c r="W6176">
        <v>0.15198829999999999</v>
      </c>
      <c r="X6176">
        <v>0.98458590000000001</v>
      </c>
      <c r="Y6176">
        <v>5.916801E-2</v>
      </c>
      <c r="Z6176">
        <v>-8.1198990000000003E-4</v>
      </c>
      <c r="AA6176">
        <v>0.99824769999999896</v>
      </c>
      <c r="AB6176">
        <v>34</v>
      </c>
      <c r="AC6176">
        <v>74.606899999999996</v>
      </c>
      <c r="AD6176">
        <v>-1.1032049603559999</v>
      </c>
      <c r="AE6176">
        <v>-2.5248199999999899</v>
      </c>
      <c r="AF6176">
        <v>4.4247677724875301</v>
      </c>
      <c r="AG6176">
        <v>-1.1032049603559999</v>
      </c>
      <c r="AH6176">
        <v>74.502029157787405</v>
      </c>
      <c r="AI6176">
        <v>90.846865633319396</v>
      </c>
      <c r="AJ6176">
        <v>86.601125254859298</v>
      </c>
      <c r="AK6176">
        <v>74.641462871870303</v>
      </c>
      <c r="AL6176">
        <v>81.257830436968206</v>
      </c>
      <c r="AM6176">
        <v>84.976613207061305</v>
      </c>
      <c r="AN6176">
        <v>0.99999994434395101</v>
      </c>
    </row>
    <row r="6177" spans="1:40" x14ac:dyDescent="0.25">
      <c r="A6177" t="str">
        <f>"20190312164148109"</f>
        <v>20190312164148109</v>
      </c>
      <c r="B6177" t="str">
        <f>"1552380108102306"</f>
        <v>1552380108102306</v>
      </c>
      <c r="C6177" t="s">
        <v>40</v>
      </c>
      <c r="D6177">
        <v>6.3203569999999996</v>
      </c>
      <c r="E6177">
        <v>0.49414930000000001</v>
      </c>
      <c r="F6177" t="s">
        <v>51</v>
      </c>
      <c r="G6177">
        <v>-181.80539999999999</v>
      </c>
      <c r="H6177" s="1">
        <v>-8.9177990000000002E-6</v>
      </c>
      <c r="I6177">
        <v>-64.514359999999996</v>
      </c>
      <c r="J6177">
        <v>-256.68700000000001</v>
      </c>
      <c r="K6177">
        <v>1.1034870000000001</v>
      </c>
      <c r="L6177">
        <v>-61.9968</v>
      </c>
      <c r="M6177">
        <v>0.99963749999999996</v>
      </c>
      <c r="N6177">
        <v>0</v>
      </c>
      <c r="O6177">
        <v>2.2215100000000002E-2</v>
      </c>
      <c r="P6177">
        <v>0.98864669999999999</v>
      </c>
      <c r="Q6177">
        <v>0.13871789999999901</v>
      </c>
      <c r="R6177">
        <v>-5.7751770000000001E-2</v>
      </c>
      <c r="S6177">
        <v>3.0346980000000001</v>
      </c>
      <c r="T6177">
        <v>-4.4599890000000003E-2</v>
      </c>
      <c r="U6177">
        <v>-0.1017151</v>
      </c>
      <c r="V6177">
        <v>8.2214129999999996E-2</v>
      </c>
      <c r="W6177">
        <v>0.15239069999999999</v>
      </c>
      <c r="X6177">
        <v>0.98489490000000002</v>
      </c>
      <c r="Y6177">
        <v>5.5687069999999998E-2</v>
      </c>
      <c r="Z6177">
        <v>-7.3549580000000002E-4</v>
      </c>
      <c r="AA6177">
        <v>0.998448</v>
      </c>
      <c r="AB6177">
        <v>34</v>
      </c>
      <c r="AC6177">
        <v>74.881600000000006</v>
      </c>
      <c r="AD6177">
        <v>-1.103495917799</v>
      </c>
      <c r="AE6177">
        <v>-2.5175599999999898</v>
      </c>
      <c r="AF6177">
        <v>4.1797265875509497</v>
      </c>
      <c r="AG6177">
        <v>-1.103495917799</v>
      </c>
      <c r="AH6177">
        <v>74.790957998216598</v>
      </c>
      <c r="AI6177">
        <v>90.843986927951605</v>
      </c>
      <c r="AJ6177">
        <v>86.801326638133702</v>
      </c>
      <c r="AK6177">
        <v>74.9157874942143</v>
      </c>
      <c r="AL6177">
        <v>81.234503603161798</v>
      </c>
      <c r="AM6177">
        <v>85.228295849901798</v>
      </c>
      <c r="AN6177">
        <v>1.0000000263320701</v>
      </c>
    </row>
    <row r="6178" spans="1:40" x14ac:dyDescent="0.25">
      <c r="A6178" t="str">
        <f>"20190312164148119"</f>
        <v>20190312164148119</v>
      </c>
      <c r="B6178" t="str">
        <f>"1552380108112066"</f>
        <v>1552380108112066</v>
      </c>
      <c r="C6178" t="s">
        <v>40</v>
      </c>
      <c r="D6178">
        <v>6.2344249999999999</v>
      </c>
      <c r="E6178">
        <v>0.49414930000000001</v>
      </c>
      <c r="F6178" t="s">
        <v>51</v>
      </c>
      <c r="G6178">
        <v>-185.67359999999999</v>
      </c>
      <c r="H6178" s="1">
        <v>-9.3774499999999995E-6</v>
      </c>
      <c r="I6178">
        <v>-64.312969999999893</v>
      </c>
      <c r="J6178">
        <v>-256.52339999999998</v>
      </c>
      <c r="K6178">
        <v>1.1037520000000001</v>
      </c>
      <c r="L6178">
        <v>-61.995539999999998</v>
      </c>
      <c r="M6178">
        <v>0.99969730000000001</v>
      </c>
      <c r="N6178">
        <v>0</v>
      </c>
      <c r="O6178">
        <v>1.9359790000000002E-2</v>
      </c>
      <c r="P6178">
        <v>0.98856219999999995</v>
      </c>
      <c r="Q6178">
        <v>0.13966310000000001</v>
      </c>
      <c r="R6178">
        <v>-5.6915010000000002E-2</v>
      </c>
      <c r="S6178">
        <v>3.0352939999999999</v>
      </c>
      <c r="T6178">
        <v>-4.7166230000000003E-2</v>
      </c>
      <c r="U6178">
        <v>-9.8999019999999993E-2</v>
      </c>
      <c r="V6178">
        <v>7.847751E-2</v>
      </c>
      <c r="W6178">
        <v>0.153420899999999</v>
      </c>
      <c r="X6178">
        <v>0.98503980000000002</v>
      </c>
      <c r="Y6178">
        <v>5.193565E-2</v>
      </c>
      <c r="Z6178">
        <v>-7.0417240000000001E-4</v>
      </c>
      <c r="AA6178">
        <v>0.99865020000000004</v>
      </c>
      <c r="AB6178">
        <v>34</v>
      </c>
      <c r="AC6178">
        <v>70.849799999999902</v>
      </c>
      <c r="AD6178">
        <v>-1.1037613774499999</v>
      </c>
      <c r="AE6178">
        <v>-2.3174299999999799</v>
      </c>
      <c r="AF6178">
        <v>3.6878968309858702</v>
      </c>
      <c r="AG6178">
        <v>-1.1037613774499999</v>
      </c>
      <c r="AH6178">
        <v>70.774489516075107</v>
      </c>
      <c r="AI6178">
        <v>90.892271800015195</v>
      </c>
      <c r="AJ6178">
        <v>87.017145673559398</v>
      </c>
      <c r="AK6178">
        <v>70.879102974539506</v>
      </c>
      <c r="AL6178">
        <v>81.174775338154106</v>
      </c>
      <c r="AM6178">
        <v>85.444901907852298</v>
      </c>
      <c r="AN6178">
        <v>1.0000000498583199</v>
      </c>
    </row>
    <row r="6179" spans="1:40" x14ac:dyDescent="0.25">
      <c r="A6179" t="str">
        <f>"20190312164148129"</f>
        <v>20190312164148129</v>
      </c>
      <c r="B6179" t="str">
        <f>"1552380108121827"</f>
        <v>1552380108121827</v>
      </c>
      <c r="C6179" t="s">
        <v>40</v>
      </c>
      <c r="D6179">
        <v>6.2885249999999999</v>
      </c>
      <c r="E6179">
        <v>0.4941933</v>
      </c>
      <c r="F6179" t="s">
        <v>51</v>
      </c>
      <c r="G6179">
        <v>-184.24930000000001</v>
      </c>
      <c r="H6179" s="1">
        <v>-9.2284169999999994E-6</v>
      </c>
      <c r="I6179">
        <v>-64.331540000000004</v>
      </c>
      <c r="J6179">
        <v>-256.3596</v>
      </c>
      <c r="K6179">
        <v>1.1040399999999999</v>
      </c>
      <c r="L6179">
        <v>-61.994840000000003</v>
      </c>
      <c r="M6179">
        <v>0.99974479999999999</v>
      </c>
      <c r="N6179">
        <v>0</v>
      </c>
      <c r="O6179">
        <v>1.6746489999999999E-2</v>
      </c>
      <c r="P6179">
        <v>0.98846409999999996</v>
      </c>
      <c r="Q6179">
        <v>0.14075950000000001</v>
      </c>
      <c r="R6179">
        <v>-5.5907230000000002E-2</v>
      </c>
      <c r="S6179">
        <v>3.0355829999999999</v>
      </c>
      <c r="T6179">
        <v>-4.6359060000000001E-2</v>
      </c>
      <c r="U6179">
        <v>-9.8114010000000001E-2</v>
      </c>
      <c r="V6179">
        <v>7.4801430000000002E-2</v>
      </c>
      <c r="W6179">
        <v>0.15459779999999901</v>
      </c>
      <c r="X6179">
        <v>0.98514179999999996</v>
      </c>
      <c r="Y6179">
        <v>4.9031909999999998E-2</v>
      </c>
      <c r="Z6179">
        <v>-6.2999149999999995E-4</v>
      </c>
      <c r="AA6179">
        <v>0.99879700000000005</v>
      </c>
      <c r="AB6179">
        <v>34</v>
      </c>
      <c r="AC6179">
        <v>72.110299999999995</v>
      </c>
      <c r="AD6179">
        <v>-1.10404922841699</v>
      </c>
      <c r="AE6179">
        <v>-2.3367</v>
      </c>
      <c r="AF6179">
        <v>3.54327577277017</v>
      </c>
      <c r="AG6179">
        <v>-1.10404922841699</v>
      </c>
      <c r="AH6179">
        <v>72.044179059870302</v>
      </c>
      <c r="AI6179">
        <v>90.876907220637705</v>
      </c>
      <c r="AJ6179">
        <v>87.184348567399098</v>
      </c>
      <c r="AK6179">
        <v>72.139707958317402</v>
      </c>
      <c r="AL6179">
        <v>81.106529722994793</v>
      </c>
      <c r="AM6179">
        <v>85.6578857098432</v>
      </c>
      <c r="AN6179">
        <v>1.00000004990106</v>
      </c>
    </row>
    <row r="6180" spans="1:40" x14ac:dyDescent="0.25">
      <c r="A6180" t="str">
        <f>"20190312164148141"</f>
        <v>20190312164148141</v>
      </c>
      <c r="B6180" t="str">
        <f>"1552380108132562"</f>
        <v>1552380108132562</v>
      </c>
      <c r="C6180" t="s">
        <v>40</v>
      </c>
      <c r="D6180">
        <v>6.1678189999999997</v>
      </c>
      <c r="E6180">
        <v>0.49421399999999999</v>
      </c>
      <c r="F6180" t="s">
        <v>51</v>
      </c>
      <c r="G6180">
        <v>-180.28370000000001</v>
      </c>
      <c r="H6180" s="1">
        <v>-8.8034870000000008E-6</v>
      </c>
      <c r="I6180">
        <v>-64.410679999999999</v>
      </c>
      <c r="J6180">
        <v>-256.19369999999998</v>
      </c>
      <c r="K6180">
        <v>1.1043289999999999</v>
      </c>
      <c r="L6180">
        <v>-61.994349999999997</v>
      </c>
      <c r="M6180">
        <v>0.99978509999999998</v>
      </c>
      <c r="N6180">
        <v>0</v>
      </c>
      <c r="O6180">
        <v>1.41729E-2</v>
      </c>
      <c r="P6180">
        <v>0.98834060000000001</v>
      </c>
      <c r="Q6180">
        <v>0.14197979999999999</v>
      </c>
      <c r="R6180">
        <v>-5.5001540000000002E-2</v>
      </c>
      <c r="S6180">
        <v>3.035828</v>
      </c>
      <c r="T6180">
        <v>-4.4057369999999998E-2</v>
      </c>
      <c r="U6180">
        <v>-9.6405030000000003E-2</v>
      </c>
      <c r="V6180">
        <v>7.1263809999999997E-2</v>
      </c>
      <c r="W6180">
        <v>0.15589320000000001</v>
      </c>
      <c r="X6180">
        <v>0.98519990000000002</v>
      </c>
      <c r="Y6180">
        <v>4.5897640000000003E-2</v>
      </c>
      <c r="Z6180">
        <v>-5.3859389999999995E-4</v>
      </c>
      <c r="AA6180">
        <v>0.998946</v>
      </c>
      <c r="AB6180">
        <v>34</v>
      </c>
      <c r="AC6180">
        <v>75.909999999999897</v>
      </c>
      <c r="AD6180">
        <v>-1.1043378034869999</v>
      </c>
      <c r="AE6180">
        <v>-2.4163299999999999</v>
      </c>
      <c r="AF6180">
        <v>3.49133705791896</v>
      </c>
      <c r="AG6180">
        <v>-1.1043378034869999</v>
      </c>
      <c r="AH6180">
        <v>75.8520860991012</v>
      </c>
      <c r="AI6180">
        <v>90.833233770691194</v>
      </c>
      <c r="AJ6180">
        <v>87.364636880069298</v>
      </c>
      <c r="AK6180">
        <v>75.940423767725093</v>
      </c>
      <c r="AL6180">
        <v>81.031397699011904</v>
      </c>
      <c r="AM6180">
        <v>85.862751802863897</v>
      </c>
      <c r="AN6180">
        <v>1.0000000316909801</v>
      </c>
    </row>
    <row r="6181" spans="1:40" x14ac:dyDescent="0.25">
      <c r="A6181" t="str">
        <f>"20190312164148152"</f>
        <v>20190312164148152</v>
      </c>
      <c r="B6181" t="str">
        <f>"1552380108142323"</f>
        <v>1552380108142323</v>
      </c>
      <c r="C6181" t="s">
        <v>40</v>
      </c>
      <c r="D6181">
        <v>6.2298359999999997</v>
      </c>
      <c r="E6181">
        <v>0.49421789999999999</v>
      </c>
      <c r="F6181" t="s">
        <v>51</v>
      </c>
      <c r="G6181">
        <v>-179.95769999999999</v>
      </c>
      <c r="H6181">
        <v>5.0037810000000002E-2</v>
      </c>
      <c r="I6181">
        <v>-64.363659999999996</v>
      </c>
      <c r="J6181">
        <v>-256.02870000000001</v>
      </c>
      <c r="K6181">
        <v>1.1046260000000001</v>
      </c>
      <c r="L6181">
        <v>-61.994199999999999</v>
      </c>
      <c r="M6181">
        <v>0.99981620000000004</v>
      </c>
      <c r="N6181">
        <v>0</v>
      </c>
      <c r="O6181">
        <v>1.1809389999999999E-2</v>
      </c>
      <c r="P6181">
        <v>0.98825499999999999</v>
      </c>
      <c r="Q6181">
        <v>0.1429503</v>
      </c>
      <c r="R6181">
        <v>-5.4013140000000001E-2</v>
      </c>
      <c r="S6181">
        <v>3.0361790000000002</v>
      </c>
      <c r="T6181">
        <v>-4.1988249999999998E-2</v>
      </c>
      <c r="U6181">
        <v>-9.4360349999999996E-2</v>
      </c>
      <c r="V6181">
        <v>6.7844570000000007E-2</v>
      </c>
      <c r="W6181">
        <v>0.15693309999999999</v>
      </c>
      <c r="X6181">
        <v>0.98527620000000005</v>
      </c>
      <c r="Y6181">
        <v>4.286131E-2</v>
      </c>
      <c r="Z6181">
        <v>-4.5957730000000002E-4</v>
      </c>
      <c r="AA6181">
        <v>0.99908090000000005</v>
      </c>
      <c r="AB6181">
        <v>34</v>
      </c>
      <c r="AC6181">
        <v>76.070999999999998</v>
      </c>
      <c r="AD6181">
        <v>-1.05458819</v>
      </c>
      <c r="AE6181">
        <v>-2.3694599999999899</v>
      </c>
      <c r="AF6181">
        <v>3.2671220204910898</v>
      </c>
      <c r="AG6181">
        <v>-1.05458819</v>
      </c>
      <c r="AH6181">
        <v>76.023112428652396</v>
      </c>
      <c r="AI6181">
        <v>90.794019943482496</v>
      </c>
      <c r="AJ6181">
        <v>87.539206384535106</v>
      </c>
      <c r="AK6181">
        <v>76.100590443746199</v>
      </c>
      <c r="AL6181">
        <v>80.971073375004295</v>
      </c>
      <c r="AM6181">
        <v>86.060920548443406</v>
      </c>
      <c r="AN6181">
        <v>1.00000003692026</v>
      </c>
    </row>
    <row r="6182" spans="1:40" x14ac:dyDescent="0.25">
      <c r="A6182" t="str">
        <f>"20190312164148163"</f>
        <v>20190312164148163</v>
      </c>
      <c r="B6182" t="str">
        <f>"1552380108152082"</f>
        <v>1552380108152082</v>
      </c>
      <c r="C6182" t="s">
        <v>40</v>
      </c>
      <c r="D6182">
        <v>6.2320310000000001</v>
      </c>
      <c r="E6182">
        <v>0.49424489999999999</v>
      </c>
      <c r="F6182" t="s">
        <v>51</v>
      </c>
      <c r="G6182">
        <v>-178.64940000000001</v>
      </c>
      <c r="H6182">
        <v>7.9986160000000001E-2</v>
      </c>
      <c r="I6182">
        <v>-64.329610000000002</v>
      </c>
      <c r="J6182">
        <v>-255.85560000000001</v>
      </c>
      <c r="K6182">
        <v>1.1049370000000001</v>
      </c>
      <c r="L6182">
        <v>-61.994289999999999</v>
      </c>
      <c r="M6182">
        <v>0.99984170000000006</v>
      </c>
      <c r="N6182">
        <v>0</v>
      </c>
      <c r="O6182">
        <v>9.4544750000000004E-3</v>
      </c>
      <c r="P6182">
        <v>0.98820079999999999</v>
      </c>
      <c r="Q6182">
        <v>0.14386969999999999</v>
      </c>
      <c r="R6182">
        <v>-5.2543189999999997E-2</v>
      </c>
      <c r="S6182">
        <v>3.0364689999999999</v>
      </c>
      <c r="T6182">
        <v>-4.0208220000000003E-2</v>
      </c>
      <c r="U6182">
        <v>-9.1644290000000003E-2</v>
      </c>
      <c r="V6182">
        <v>6.3944909999999994E-2</v>
      </c>
      <c r="W6182">
        <v>0.1579257</v>
      </c>
      <c r="X6182">
        <v>0.98537839999999999</v>
      </c>
      <c r="Y6182">
        <v>3.9613080000000002E-2</v>
      </c>
      <c r="Z6182">
        <v>-3.8737979999999998E-4</v>
      </c>
      <c r="AA6182">
        <v>0.99921499999999996</v>
      </c>
      <c r="AB6182">
        <v>34</v>
      </c>
      <c r="AC6182">
        <v>77.206199999999995</v>
      </c>
      <c r="AD6182">
        <v>-1.02495084</v>
      </c>
      <c r="AE6182">
        <v>-2.3353199999999998</v>
      </c>
      <c r="AF6182">
        <v>3.06470299320533</v>
      </c>
      <c r="AG6182">
        <v>-1.02495084</v>
      </c>
      <c r="AH6182">
        <v>77.167079378765294</v>
      </c>
      <c r="AI6182">
        <v>90.760371573908202</v>
      </c>
      <c r="AJ6182">
        <v>87.725684135680496</v>
      </c>
      <c r="AK6182">
        <v>77.234714141437905</v>
      </c>
      <c r="AL6182">
        <v>80.913483431333205</v>
      </c>
      <c r="AM6182">
        <v>86.287067527494202</v>
      </c>
      <c r="AN6182">
        <v>1.0000000347109701</v>
      </c>
    </row>
    <row r="6183" spans="1:40" x14ac:dyDescent="0.25">
      <c r="A6183" t="str">
        <f>"20190312164148173"</f>
        <v>20190312164148173</v>
      </c>
      <c r="B6183" t="str">
        <f>"1552380108162818"</f>
        <v>1552380108162818</v>
      </c>
      <c r="C6183" t="s">
        <v>40</v>
      </c>
      <c r="D6183">
        <v>6.230817</v>
      </c>
      <c r="E6183">
        <v>0.49425629999999998</v>
      </c>
      <c r="F6183" t="s">
        <v>43</v>
      </c>
      <c r="G6183">
        <v>-164.36920000000001</v>
      </c>
      <c r="H6183">
        <v>-0.05</v>
      </c>
      <c r="I6183">
        <v>-64.655940000000001</v>
      </c>
      <c r="J6183">
        <v>-255.6909</v>
      </c>
      <c r="K6183">
        <v>1.1052329999999999</v>
      </c>
      <c r="L6183">
        <v>-61.994660000000003</v>
      </c>
      <c r="M6183">
        <v>0.99985970000000002</v>
      </c>
      <c r="N6183">
        <v>0</v>
      </c>
      <c r="O6183">
        <v>7.3554830000000003E-3</v>
      </c>
      <c r="P6183">
        <v>0.98813989999999996</v>
      </c>
      <c r="Q6183">
        <v>0.14482410000000001</v>
      </c>
      <c r="R6183">
        <v>-5.1043989999999997E-2</v>
      </c>
      <c r="S6183">
        <v>3.0366970000000002</v>
      </c>
      <c r="T6183">
        <v>-3.8335679999999997E-2</v>
      </c>
      <c r="U6183">
        <v>-8.8348389999999999E-2</v>
      </c>
      <c r="V6183">
        <v>6.0273769999999997E-2</v>
      </c>
      <c r="W6183">
        <v>0.1589441</v>
      </c>
      <c r="X6183">
        <v>0.98544600000000004</v>
      </c>
      <c r="Y6183">
        <v>3.6430209999999998E-2</v>
      </c>
      <c r="Z6183">
        <v>-3.2273780000000003E-4</v>
      </c>
      <c r="AA6183">
        <v>0.99933609999999995</v>
      </c>
      <c r="AB6183">
        <v>34</v>
      </c>
      <c r="AC6183">
        <v>91.321700000000007</v>
      </c>
      <c r="AD6183">
        <v>-1.155233</v>
      </c>
      <c r="AE6183">
        <v>-2.6612800000000001</v>
      </c>
      <c r="AF6183">
        <v>3.3324664502488601</v>
      </c>
      <c r="AG6183">
        <v>-1.155233</v>
      </c>
      <c r="AH6183">
        <v>91.285056186284507</v>
      </c>
      <c r="AI6183">
        <v>90.724569718505293</v>
      </c>
      <c r="AJ6183">
        <v>87.909279804519699</v>
      </c>
      <c r="AK6183">
        <v>91.353168411716496</v>
      </c>
      <c r="AL6183">
        <v>80.854386542901395</v>
      </c>
      <c r="AM6183">
        <v>86.499924081781799</v>
      </c>
      <c r="AN6183">
        <v>0.99999998659541101</v>
      </c>
    </row>
    <row r="6184" spans="1:40" x14ac:dyDescent="0.25">
      <c r="A6184" t="str">
        <f>"20190312164148186"</f>
        <v>20190312164148186</v>
      </c>
      <c r="B6184" t="str">
        <f>"1552380108182340"</f>
        <v>1552380108182340</v>
      </c>
      <c r="C6184" t="s">
        <v>40</v>
      </c>
      <c r="D6184">
        <v>6.2897740000000004</v>
      </c>
      <c r="E6184">
        <v>0.4944327</v>
      </c>
      <c r="F6184" t="s">
        <v>43</v>
      </c>
      <c r="G6184">
        <v>-160.13399999999999</v>
      </c>
      <c r="H6184">
        <v>-0.05</v>
      </c>
      <c r="I6184">
        <v>-64.661119999999997</v>
      </c>
      <c r="J6184">
        <v>-255.50819999999999</v>
      </c>
      <c r="K6184">
        <v>1.1055569999999999</v>
      </c>
      <c r="L6184">
        <v>-61.995330000000003</v>
      </c>
      <c r="M6184">
        <v>0.99987349999999997</v>
      </c>
      <c r="N6184">
        <v>0</v>
      </c>
      <c r="O6184">
        <v>5.2232219999999996E-3</v>
      </c>
      <c r="P6184">
        <v>0.98799320000000002</v>
      </c>
      <c r="Q6184">
        <v>0.14625739999999901</v>
      </c>
      <c r="R6184">
        <v>-4.9784469999999997E-2</v>
      </c>
      <c r="S6184">
        <v>3.0370180000000002</v>
      </c>
      <c r="T6184">
        <v>-3.6715980000000002E-2</v>
      </c>
      <c r="U6184">
        <v>-8.4747310000000006E-2</v>
      </c>
      <c r="V6184">
        <v>5.6803069999999997E-2</v>
      </c>
      <c r="W6184">
        <v>0.16043389999999999</v>
      </c>
      <c r="X6184">
        <v>0.98541069999999997</v>
      </c>
      <c r="Y6184">
        <v>3.3112530000000001E-2</v>
      </c>
      <c r="Z6184">
        <v>-2.6324999999999997E-4</v>
      </c>
      <c r="AA6184">
        <v>0.9994516</v>
      </c>
      <c r="AB6184">
        <v>34</v>
      </c>
      <c r="AC6184">
        <v>95.374200000000002</v>
      </c>
      <c r="AD6184">
        <v>-1.1555569999999999</v>
      </c>
      <c r="AE6184">
        <v>-2.6657899999999901</v>
      </c>
      <c r="AF6184">
        <v>3.1635064398027199</v>
      </c>
      <c r="AG6184">
        <v>-1.1555569999999999</v>
      </c>
      <c r="AH6184">
        <v>95.344987558336797</v>
      </c>
      <c r="AI6184">
        <v>90.693994417006706</v>
      </c>
      <c r="AJ6184">
        <v>88.099647373239904</v>
      </c>
      <c r="AK6184">
        <v>95.404453446756506</v>
      </c>
      <c r="AL6184">
        <v>80.767917189861706</v>
      </c>
      <c r="AM6184">
        <v>86.700889755595895</v>
      </c>
      <c r="AN6184">
        <v>0.99999993635256001</v>
      </c>
    </row>
    <row r="6185" spans="1:40" x14ac:dyDescent="0.25">
      <c r="A6185" t="str">
        <f>"20190312164148197"</f>
        <v>20190312164148197</v>
      </c>
      <c r="B6185" t="str">
        <f>"1552380108192098"</f>
        <v>1552380108192098</v>
      </c>
      <c r="C6185" t="s">
        <v>40</v>
      </c>
      <c r="D6185">
        <v>6.2252850000000004</v>
      </c>
      <c r="E6185">
        <v>0.49446839999999997</v>
      </c>
      <c r="F6185" t="s">
        <v>61</v>
      </c>
      <c r="G6185">
        <v>-157.3501</v>
      </c>
      <c r="H6185">
        <v>8.8773729999999995E-2</v>
      </c>
      <c r="I6185">
        <v>-64.69408</v>
      </c>
      <c r="J6185">
        <v>-255.33</v>
      </c>
      <c r="K6185">
        <v>1.1058680000000001</v>
      </c>
      <c r="L6185">
        <v>-61.99615</v>
      </c>
      <c r="M6185">
        <v>0.99988239999999995</v>
      </c>
      <c r="N6185">
        <v>0</v>
      </c>
      <c r="O6185">
        <v>3.234261E-3</v>
      </c>
      <c r="P6185">
        <v>0.98777199999999998</v>
      </c>
      <c r="Q6185">
        <v>0.14803440000000001</v>
      </c>
      <c r="R6185">
        <v>-4.8915970000000003E-2</v>
      </c>
      <c r="S6185">
        <v>3.036896</v>
      </c>
      <c r="T6185">
        <v>-3.145862E-2</v>
      </c>
      <c r="U6185">
        <v>-8.3496089999999995E-2</v>
      </c>
      <c r="V6185">
        <v>5.3870769999999998E-2</v>
      </c>
      <c r="W6185">
        <v>0.16225599999999901</v>
      </c>
      <c r="X6185">
        <v>0.98527710000000002</v>
      </c>
      <c r="Y6185">
        <v>3.0714950000000001E-2</v>
      </c>
      <c r="Z6185">
        <v>-1.9255079999999999E-4</v>
      </c>
      <c r="AA6185">
        <v>0.99952819999999998</v>
      </c>
      <c r="AB6185">
        <v>34</v>
      </c>
      <c r="AC6185">
        <v>97.979900000000001</v>
      </c>
      <c r="AD6185">
        <v>-1.0170942700000001</v>
      </c>
      <c r="AE6185">
        <v>-2.6979299999999902</v>
      </c>
      <c r="AF6185">
        <v>3.0145194766643999</v>
      </c>
      <c r="AG6185">
        <v>-1.0170942700000001</v>
      </c>
      <c r="AH6185">
        <v>97.960112674650006</v>
      </c>
      <c r="AI6185">
        <v>90.594584301313205</v>
      </c>
      <c r="AJ6185">
        <v>88.237397351261194</v>
      </c>
      <c r="AK6185">
        <v>98.011761965895602</v>
      </c>
      <c r="AL6185">
        <v>80.662133300458805</v>
      </c>
      <c r="AM6185">
        <v>86.870426031531906</v>
      </c>
      <c r="AN6185">
        <v>1.0000000165903999</v>
      </c>
    </row>
    <row r="6186" spans="1:40" x14ac:dyDescent="0.25">
      <c r="A6186" t="str">
        <f>"20190312164148210"</f>
        <v>20190312164148210</v>
      </c>
      <c r="B6186" t="str">
        <f>"1552380108201858"</f>
        <v>1552380108201858</v>
      </c>
      <c r="C6186" t="s">
        <v>40</v>
      </c>
      <c r="D6186">
        <v>5.8003359999999997</v>
      </c>
      <c r="E6186">
        <v>0.49451149999999999</v>
      </c>
      <c r="F6186" t="s">
        <v>61</v>
      </c>
      <c r="G6186">
        <v>-157.3501</v>
      </c>
      <c r="H6186">
        <v>0.22150610000000001</v>
      </c>
      <c r="I6186">
        <v>-64.64349</v>
      </c>
      <c r="J6186">
        <v>-255.14709999999999</v>
      </c>
      <c r="K6186">
        <v>1.1061749999999999</v>
      </c>
      <c r="L6186">
        <v>-61.997340000000001</v>
      </c>
      <c r="M6186">
        <v>0.99988679999999996</v>
      </c>
      <c r="N6186">
        <v>0</v>
      </c>
      <c r="O6186">
        <v>1.4682950000000001E-3</v>
      </c>
      <c r="P6186">
        <v>0.98756319999999997</v>
      </c>
      <c r="Q6186">
        <v>0.14981439999999999</v>
      </c>
      <c r="R6186">
        <v>-4.7692140000000001E-2</v>
      </c>
      <c r="S6186">
        <v>3.0371700000000001</v>
      </c>
      <c r="T6186">
        <v>-2.7413960000000001E-2</v>
      </c>
      <c r="U6186">
        <v>-8.2061770000000006E-2</v>
      </c>
      <c r="V6186">
        <v>5.0805070000000001E-2</v>
      </c>
      <c r="W6186">
        <v>0.16407669999999999</v>
      </c>
      <c r="X6186">
        <v>0.98513839999999997</v>
      </c>
      <c r="Y6186">
        <v>2.847597E-2</v>
      </c>
      <c r="Z6186">
        <v>-1.4174009999999999E-4</v>
      </c>
      <c r="AA6186">
        <v>0.99959439999999999</v>
      </c>
      <c r="AB6186">
        <v>34</v>
      </c>
      <c r="AC6186">
        <v>97.796999999999997</v>
      </c>
      <c r="AD6186">
        <v>-0.88466889999999898</v>
      </c>
      <c r="AE6186">
        <v>-2.6461499999999898</v>
      </c>
      <c r="AF6186">
        <v>2.7895299958628699</v>
      </c>
      <c r="AG6186">
        <v>-0.88466889999999898</v>
      </c>
      <c r="AH6186">
        <v>97.785012936886602</v>
      </c>
      <c r="AI6186">
        <v>90.518134622769693</v>
      </c>
      <c r="AJ6186">
        <v>88.365956542024406</v>
      </c>
      <c r="AK6186">
        <v>97.828793674089198</v>
      </c>
      <c r="AL6186">
        <v>80.556397628601999</v>
      </c>
      <c r="AM6186">
        <v>87.047785818218898</v>
      </c>
      <c r="AN6186">
        <v>0.99999999288757702</v>
      </c>
    </row>
    <row r="6187" spans="1:40" x14ac:dyDescent="0.25">
      <c r="A6187" t="str">
        <f>"20190312164148222"</f>
        <v>20190312164148222</v>
      </c>
      <c r="B6187" t="str">
        <f>"1552380108212595"</f>
        <v>1552380108212595</v>
      </c>
      <c r="C6187" t="s">
        <v>40</v>
      </c>
      <c r="D6187">
        <v>6.1715239999999998</v>
      </c>
      <c r="E6187">
        <v>0.49454680000000001</v>
      </c>
      <c r="F6187" t="s">
        <v>61</v>
      </c>
      <c r="G6187">
        <v>-157.3501</v>
      </c>
      <c r="H6187">
        <v>0.37908940000000002</v>
      </c>
      <c r="I6187">
        <v>-64.547169999999994</v>
      </c>
      <c r="J6187">
        <v>-254.96270000000001</v>
      </c>
      <c r="K6187">
        <v>1.106473</v>
      </c>
      <c r="L6187">
        <v>-61.998629999999999</v>
      </c>
      <c r="M6187">
        <v>0.99988829999999995</v>
      </c>
      <c r="N6187">
        <v>0</v>
      </c>
      <c r="O6187">
        <v>-2.2256430000000001E-4</v>
      </c>
      <c r="P6187">
        <v>0.98733419999999905</v>
      </c>
      <c r="Q6187">
        <v>0.151646</v>
      </c>
      <c r="R6187">
        <v>-4.6637039999999998E-2</v>
      </c>
      <c r="S6187">
        <v>3.0373990000000002</v>
      </c>
      <c r="T6187">
        <v>-2.258253E-2</v>
      </c>
      <c r="U6187">
        <v>-7.9193120000000006E-2</v>
      </c>
      <c r="V6187">
        <v>4.7982289999999997E-2</v>
      </c>
      <c r="W6187">
        <v>0.16594239999999999</v>
      </c>
      <c r="X6187">
        <v>0.98496740000000005</v>
      </c>
      <c r="Y6187">
        <v>2.5840599999999998E-2</v>
      </c>
      <c r="Z6187" s="1">
        <v>-9.4387909999999999E-5</v>
      </c>
      <c r="AA6187">
        <v>0.9996661</v>
      </c>
      <c r="AB6187">
        <v>34</v>
      </c>
      <c r="AC6187">
        <v>97.6126</v>
      </c>
      <c r="AD6187">
        <v>-0.72738359999999902</v>
      </c>
      <c r="AE6187">
        <v>-2.54853999999998</v>
      </c>
      <c r="AF6187">
        <v>2.5266722239299999</v>
      </c>
      <c r="AG6187">
        <v>-0.72738359999999902</v>
      </c>
      <c r="AH6187">
        <v>97.607748548118906</v>
      </c>
      <c r="AI6187">
        <v>90.426823526923499</v>
      </c>
      <c r="AJ6187">
        <v>88.517173745968904</v>
      </c>
      <c r="AK6187">
        <v>97.643155090674696</v>
      </c>
      <c r="AL6187">
        <v>80.448015037080793</v>
      </c>
      <c r="AM6187">
        <v>87.211063946381202</v>
      </c>
      <c r="AN6187">
        <v>0.99999997966708098</v>
      </c>
    </row>
    <row r="6188" spans="1:40" x14ac:dyDescent="0.25">
      <c r="A6188" t="str">
        <f>"20190312164148234"</f>
        <v>20190312164148234</v>
      </c>
      <c r="B6188" t="str">
        <f>"1552380108222355"</f>
        <v>1552380108222355</v>
      </c>
      <c r="C6188" t="s">
        <v>40</v>
      </c>
      <c r="D6188">
        <v>6.2929639999999996</v>
      </c>
      <c r="E6188">
        <v>0.4946007</v>
      </c>
      <c r="F6188" t="s">
        <v>61</v>
      </c>
      <c r="G6188">
        <v>-157.3501</v>
      </c>
      <c r="H6188">
        <v>0.51824759999999903</v>
      </c>
      <c r="I6188">
        <v>-64.468890000000002</v>
      </c>
      <c r="J6188">
        <v>-254.78360000000001</v>
      </c>
      <c r="K6188">
        <v>1.1067499999999999</v>
      </c>
      <c r="L6188">
        <v>-62.000120000000003</v>
      </c>
      <c r="M6188">
        <v>0.99988730000000003</v>
      </c>
      <c r="N6188">
        <v>0</v>
      </c>
      <c r="O6188">
        <v>-1.7021829999999999E-3</v>
      </c>
      <c r="P6188">
        <v>0.98722560000000004</v>
      </c>
      <c r="Q6188">
        <v>0.1527953</v>
      </c>
      <c r="R6188">
        <v>-4.5160789999999999E-2</v>
      </c>
      <c r="S6188">
        <v>3.037674</v>
      </c>
      <c r="T6188">
        <v>-1.8306019999999999E-2</v>
      </c>
      <c r="U6188">
        <v>-7.6873780000000003E-2</v>
      </c>
      <c r="V6188">
        <v>4.4947809999999998E-2</v>
      </c>
      <c r="W6188">
        <v>0.16712389999999999</v>
      </c>
      <c r="X6188">
        <v>0.98491079999999998</v>
      </c>
      <c r="Y6188">
        <v>2.3596430000000002E-2</v>
      </c>
      <c r="Z6188" s="1">
        <v>-6.0830620000000001E-5</v>
      </c>
      <c r="AA6188">
        <v>0.99972159999999999</v>
      </c>
      <c r="AB6188">
        <v>34</v>
      </c>
      <c r="AC6188">
        <v>97.433499999999995</v>
      </c>
      <c r="AD6188">
        <v>-0.58850239999999998</v>
      </c>
      <c r="AE6188">
        <v>-2.4687700000000001</v>
      </c>
      <c r="AF6188">
        <v>2.30281436470825</v>
      </c>
      <c r="AG6188">
        <v>-0.58850239999999998</v>
      </c>
      <c r="AH6188">
        <v>97.434009264188205</v>
      </c>
      <c r="AI6188">
        <v>90.345966267040694</v>
      </c>
      <c r="AJ6188">
        <v>88.646088916489802</v>
      </c>
      <c r="AK6188">
        <v>97.462995287273102</v>
      </c>
      <c r="AL6188">
        <v>80.379361515145902</v>
      </c>
      <c r="AM6188">
        <v>87.387038315059897</v>
      </c>
      <c r="AN6188">
        <v>0.99999999376582205</v>
      </c>
    </row>
    <row r="6189" spans="1:40" x14ac:dyDescent="0.25">
      <c r="A6189" t="str">
        <f>"20190312164148246"</f>
        <v>20190312164148246</v>
      </c>
      <c r="B6189" t="str">
        <f>"1552380108241875"</f>
        <v>1552380108241875</v>
      </c>
      <c r="C6189" t="s">
        <v>40</v>
      </c>
      <c r="D6189">
        <v>6.3055079999999997</v>
      </c>
      <c r="E6189">
        <v>0.49478129999999998</v>
      </c>
      <c r="F6189" t="s">
        <v>61</v>
      </c>
      <c r="G6189">
        <v>-157.3501</v>
      </c>
      <c r="H6189">
        <v>0.59576419999999997</v>
      </c>
      <c r="I6189">
        <v>-64.362870000000001</v>
      </c>
      <c r="J6189">
        <v>-254.6027</v>
      </c>
      <c r="K6189">
        <v>1.1070089999999999</v>
      </c>
      <c r="L6189">
        <v>-62.001800000000003</v>
      </c>
      <c r="M6189">
        <v>0.99988440000000001</v>
      </c>
      <c r="N6189">
        <v>0</v>
      </c>
      <c r="O6189">
        <v>-3.0590069999999999E-3</v>
      </c>
      <c r="P6189">
        <v>0.98716459999999995</v>
      </c>
      <c r="Q6189">
        <v>0.15372959999999999</v>
      </c>
      <c r="R6189">
        <v>-4.3287230000000003E-2</v>
      </c>
      <c r="S6189">
        <v>3.0379330000000002</v>
      </c>
      <c r="T6189">
        <v>-1.593292E-2</v>
      </c>
      <c r="U6189">
        <v>-7.3669429999999994E-2</v>
      </c>
      <c r="V6189">
        <v>4.1640950000000003E-2</v>
      </c>
      <c r="W6189">
        <v>0.16808899999999999</v>
      </c>
      <c r="X6189">
        <v>0.98489199999999999</v>
      </c>
      <c r="Y6189">
        <v>2.1183919999999998E-2</v>
      </c>
      <c r="Z6189" s="1">
        <v>-3.9500060000000002E-5</v>
      </c>
      <c r="AA6189">
        <v>0.99977559999999999</v>
      </c>
      <c r="AB6189">
        <v>34</v>
      </c>
      <c r="AC6189">
        <v>97.252600000000001</v>
      </c>
      <c r="AD6189">
        <v>-0.51124479999999894</v>
      </c>
      <c r="AE6189">
        <v>-2.36106999999999</v>
      </c>
      <c r="AF6189">
        <v>2.06347257436469</v>
      </c>
      <c r="AG6189">
        <v>-0.51124479999999894</v>
      </c>
      <c r="AH6189">
        <v>97.256682127265194</v>
      </c>
      <c r="AI6189">
        <v>90.301113592923102</v>
      </c>
      <c r="AJ6189">
        <v>88.784551028745895</v>
      </c>
      <c r="AK6189">
        <v>97.279913182087995</v>
      </c>
      <c r="AL6189">
        <v>80.323272618340297</v>
      </c>
      <c r="AM6189">
        <v>87.578992839336095</v>
      </c>
      <c r="AN6189">
        <v>1.0000000661509401</v>
      </c>
    </row>
    <row r="6190" spans="1:40" x14ac:dyDescent="0.25">
      <c r="A6190" t="str">
        <f>"20190312164148259"</f>
        <v>20190312164148259</v>
      </c>
      <c r="B6190" t="str">
        <f>"1552380108252610"</f>
        <v>1552380108252610</v>
      </c>
      <c r="C6190" t="s">
        <v>40</v>
      </c>
      <c r="D6190">
        <v>6.222607</v>
      </c>
      <c r="E6190">
        <v>0.49485040000000002</v>
      </c>
      <c r="F6190" t="s">
        <v>61</v>
      </c>
      <c r="G6190">
        <v>-157.3501</v>
      </c>
      <c r="H6190">
        <v>0.74589349999999999</v>
      </c>
      <c r="I6190">
        <v>-64.263630000000006</v>
      </c>
      <c r="J6190">
        <v>-254.41290000000001</v>
      </c>
      <c r="K6190">
        <v>1.1072690000000001</v>
      </c>
      <c r="L6190">
        <v>-62.003660000000004</v>
      </c>
      <c r="M6190">
        <v>0.99987969999999904</v>
      </c>
      <c r="N6190">
        <v>0</v>
      </c>
      <c r="O6190">
        <v>-4.4032519999999999E-3</v>
      </c>
      <c r="P6190">
        <v>0.98719140000000005</v>
      </c>
      <c r="Q6190">
        <v>0.15413550000000001</v>
      </c>
      <c r="R6190">
        <v>-4.1178100000000002E-2</v>
      </c>
      <c r="S6190">
        <v>3.0376889999999999</v>
      </c>
      <c r="T6190">
        <v>-1.128006E-2</v>
      </c>
      <c r="U6190">
        <v>-7.064819E-2</v>
      </c>
      <c r="V6190">
        <v>3.8105390000000003E-2</v>
      </c>
      <c r="W6190">
        <v>0.168523799999999</v>
      </c>
      <c r="X6190">
        <v>0.98496070000000002</v>
      </c>
      <c r="Y6190">
        <v>1.8848050000000002E-2</v>
      </c>
      <c r="Z6190" s="1">
        <v>-1.8639850000000001E-5</v>
      </c>
      <c r="AA6190">
        <v>0.9998224</v>
      </c>
      <c r="AB6190">
        <v>34</v>
      </c>
      <c r="AC6190">
        <v>97.062799999999996</v>
      </c>
      <c r="AD6190">
        <v>-0.36137550000000002</v>
      </c>
      <c r="AE6190">
        <v>-2.2599700000000098</v>
      </c>
      <c r="AF6190">
        <v>1.8324834539324699</v>
      </c>
      <c r="AG6190">
        <v>-0.36137550000000002</v>
      </c>
      <c r="AH6190">
        <v>97.070466330164194</v>
      </c>
      <c r="AI6190">
        <v>90.213262671161402</v>
      </c>
      <c r="AJ6190">
        <v>88.918506294957496</v>
      </c>
      <c r="AK6190">
        <v>97.088434024946906</v>
      </c>
      <c r="AL6190">
        <v>80.297998619909393</v>
      </c>
      <c r="AM6190">
        <v>87.784490525601598</v>
      </c>
      <c r="AN6190">
        <v>0.99999993622898897</v>
      </c>
    </row>
    <row r="6191" spans="1:40" x14ac:dyDescent="0.25">
      <c r="A6191" t="str">
        <f>"20190312164148279"</f>
        <v>20190312164148279</v>
      </c>
      <c r="B6191" t="str">
        <f>"1552380108272131"</f>
        <v>1552380108272131</v>
      </c>
      <c r="C6191" t="s">
        <v>40</v>
      </c>
      <c r="D6191">
        <v>6.3212640000000002</v>
      </c>
      <c r="E6191">
        <v>0.49492459999999999</v>
      </c>
      <c r="F6191" t="s">
        <v>61</v>
      </c>
      <c r="G6191">
        <v>-157.3501</v>
      </c>
      <c r="H6191">
        <v>0.74025059999999998</v>
      </c>
      <c r="I6191">
        <v>-64.114620000000002</v>
      </c>
      <c r="J6191">
        <v>-254.08930000000001</v>
      </c>
      <c r="K6191">
        <v>1.107645</v>
      </c>
      <c r="L6191">
        <v>-62.007260000000002</v>
      </c>
      <c r="M6191">
        <v>0.99986949999999997</v>
      </c>
      <c r="N6191">
        <v>0</v>
      </c>
      <c r="O6191">
        <v>-6.3958359999999898E-3</v>
      </c>
      <c r="P6191">
        <v>0.98735329999999999</v>
      </c>
      <c r="Q6191">
        <v>0.15431159999999999</v>
      </c>
      <c r="R6191">
        <v>-3.6350920000000002E-2</v>
      </c>
      <c r="S6191">
        <v>3.0379489999999998</v>
      </c>
      <c r="T6191">
        <v>-1.1487839999999999E-2</v>
      </c>
      <c r="U6191">
        <v>-6.607056E-2</v>
      </c>
      <c r="V6191">
        <v>3.1161299999999999E-2</v>
      </c>
      <c r="W6191">
        <v>0.1687447</v>
      </c>
      <c r="X6191">
        <v>0.98516709999999996</v>
      </c>
      <c r="Y6191">
        <v>1.534773E-2</v>
      </c>
      <c r="Z6191" s="1">
        <v>-4.8300990000000003E-6</v>
      </c>
      <c r="AA6191">
        <v>0.99988220000000005</v>
      </c>
      <c r="AB6191">
        <v>34</v>
      </c>
      <c r="AC6191">
        <v>96.739199999999997</v>
      </c>
      <c r="AD6191">
        <v>-0.36739440000000001</v>
      </c>
      <c r="AE6191">
        <v>-2.1073599999999999</v>
      </c>
      <c r="AF6191">
        <v>1.48849927593002</v>
      </c>
      <c r="AG6191">
        <v>-0.36739440000000001</v>
      </c>
      <c r="AH6191">
        <v>96.749305947187096</v>
      </c>
      <c r="AI6191">
        <v>90.2175473645392</v>
      </c>
      <c r="AJ6191">
        <v>89.118567338298206</v>
      </c>
      <c r="AK6191">
        <v>96.761453120558301</v>
      </c>
      <c r="AL6191">
        <v>80.285158788843404</v>
      </c>
      <c r="AM6191">
        <v>88.188311501013104</v>
      </c>
      <c r="AN6191">
        <v>1.00000000765909</v>
      </c>
    </row>
    <row r="6192" spans="1:40" x14ac:dyDescent="0.25">
      <c r="A6192" t="str">
        <f>"20190312164148290"</f>
        <v>20190312164148290</v>
      </c>
      <c r="B6192" t="str">
        <f>"1552380108281891"</f>
        <v>1552380108281891</v>
      </c>
      <c r="C6192" t="s">
        <v>40</v>
      </c>
      <c r="D6192">
        <v>6.228345</v>
      </c>
      <c r="E6192">
        <v>0.49498579999999998</v>
      </c>
      <c r="F6192" t="s">
        <v>61</v>
      </c>
      <c r="G6192">
        <v>-157.3501</v>
      </c>
      <c r="H6192">
        <v>0.69961260000000003</v>
      </c>
      <c r="I6192">
        <v>-63.750410000000002</v>
      </c>
      <c r="J6192">
        <v>-253.92500000000001</v>
      </c>
      <c r="K6192">
        <v>1.10781</v>
      </c>
      <c r="L6192">
        <v>-62.009309999999999</v>
      </c>
      <c r="M6192">
        <v>0.99986339999999996</v>
      </c>
      <c r="N6192">
        <v>0</v>
      </c>
      <c r="O6192">
        <v>-7.3084819999999998E-3</v>
      </c>
      <c r="P6192">
        <v>0.98747059999999998</v>
      </c>
      <c r="Q6192">
        <v>0.1541949</v>
      </c>
      <c r="R6192">
        <v>-3.3554210000000001E-2</v>
      </c>
      <c r="S6192">
        <v>3.038376</v>
      </c>
      <c r="T6192">
        <v>-1.2816070000000001E-2</v>
      </c>
      <c r="U6192">
        <v>-5.4748539999999998E-2</v>
      </c>
      <c r="V6192">
        <v>2.7397149999999999E-2</v>
      </c>
      <c r="W6192">
        <v>0.16864789999999999</v>
      </c>
      <c r="X6192">
        <v>0.98529549999999999</v>
      </c>
      <c r="Y6192">
        <v>1.070748E-2</v>
      </c>
      <c r="Z6192" s="1">
        <v>8.2472020000000001E-6</v>
      </c>
      <c r="AA6192">
        <v>0.99994269999999996</v>
      </c>
      <c r="AB6192">
        <v>34</v>
      </c>
      <c r="AC6192">
        <v>96.5749</v>
      </c>
      <c r="AD6192">
        <v>-0.40819739999999899</v>
      </c>
      <c r="AE6192">
        <v>-1.7410999999999901</v>
      </c>
      <c r="AF6192">
        <v>1.03514151374168</v>
      </c>
      <c r="AG6192">
        <v>-0.40819739999999899</v>
      </c>
      <c r="AH6192">
        <v>96.583321437808905</v>
      </c>
      <c r="AI6192">
        <v>90.242138140555696</v>
      </c>
      <c r="AJ6192">
        <v>89.385950200108795</v>
      </c>
      <c r="AK6192">
        <v>96.589730939836301</v>
      </c>
      <c r="AL6192">
        <v>80.290785296603701</v>
      </c>
      <c r="AM6192">
        <v>88.407242607146799</v>
      </c>
      <c r="AN6192">
        <v>0.99999997016138997</v>
      </c>
    </row>
    <row r="6193" spans="1:40" x14ac:dyDescent="0.25">
      <c r="A6193" t="str">
        <f>"20190312164148300"</f>
        <v>20190312164148300</v>
      </c>
      <c r="B6193" t="str">
        <f>"1552380108292627"</f>
        <v>1552380108292627</v>
      </c>
      <c r="C6193" t="s">
        <v>40</v>
      </c>
      <c r="D6193">
        <v>6.2921630000000004</v>
      </c>
      <c r="E6193">
        <v>0.49508360000000001</v>
      </c>
      <c r="F6193" t="s">
        <v>61</v>
      </c>
      <c r="G6193">
        <v>-157.3501</v>
      </c>
      <c r="H6193">
        <v>0.64647769999999904</v>
      </c>
      <c r="I6193">
        <v>-63.529130000000002</v>
      </c>
      <c r="J6193">
        <v>-253.78059999999999</v>
      </c>
      <c r="K6193">
        <v>1.107944</v>
      </c>
      <c r="L6193">
        <v>-62.011110000000002</v>
      </c>
      <c r="M6193">
        <v>0.99985780000000002</v>
      </c>
      <c r="N6193">
        <v>0</v>
      </c>
      <c r="O6193">
        <v>-8.0911400000000001E-3</v>
      </c>
      <c r="P6193">
        <v>0.98754909999999996</v>
      </c>
      <c r="Q6193">
        <v>0.1542606</v>
      </c>
      <c r="R6193">
        <v>-3.0840780000000002E-2</v>
      </c>
      <c r="S6193">
        <v>3.0387119999999999</v>
      </c>
      <c r="T6193">
        <v>-1.4516350000000001E-2</v>
      </c>
      <c r="U6193">
        <v>-4.7821040000000002E-2</v>
      </c>
      <c r="V6193">
        <v>2.3856659999999998E-2</v>
      </c>
      <c r="W6193">
        <v>0.1687292</v>
      </c>
      <c r="X6193">
        <v>0.98537370000000002</v>
      </c>
      <c r="Y6193">
        <v>7.6437969999999999E-3</v>
      </c>
      <c r="Z6193" s="1">
        <v>2.039669E-5</v>
      </c>
      <c r="AA6193">
        <v>0.99997080000000005</v>
      </c>
      <c r="AB6193">
        <v>34</v>
      </c>
      <c r="AC6193">
        <v>96.430499999999995</v>
      </c>
      <c r="AD6193">
        <v>-0.4614663</v>
      </c>
      <c r="AE6193">
        <v>-1.5180199999999999</v>
      </c>
      <c r="AF6193">
        <v>0.73763531884708899</v>
      </c>
      <c r="AG6193">
        <v>-0.4614663</v>
      </c>
      <c r="AH6193">
        <v>96.437418678855707</v>
      </c>
      <c r="AI6193">
        <v>90.274158065956698</v>
      </c>
      <c r="AJ6193">
        <v>89.561761741526595</v>
      </c>
      <c r="AK6193">
        <v>96.441343719644195</v>
      </c>
      <c r="AL6193">
        <v>80.286059775606503</v>
      </c>
      <c r="AM6193">
        <v>88.613095769491196</v>
      </c>
      <c r="AN6193">
        <v>1.00000000590534</v>
      </c>
    </row>
    <row r="6194" spans="1:40" x14ac:dyDescent="0.25">
      <c r="A6194" t="str">
        <f>"20190312164148310"</f>
        <v>20190312164148310</v>
      </c>
      <c r="B6194" t="str">
        <f>"1552380108302388"</f>
        <v>1552380108302388</v>
      </c>
      <c r="C6194" t="s">
        <v>40</v>
      </c>
      <c r="D6194">
        <v>5.6967410000000003</v>
      </c>
      <c r="E6194">
        <v>0.49513699999999999</v>
      </c>
      <c r="F6194" t="s">
        <v>61</v>
      </c>
      <c r="G6194">
        <v>-157.3501</v>
      </c>
      <c r="H6194">
        <v>0.63947489999999996</v>
      </c>
      <c r="I6194">
        <v>-63.329120000000003</v>
      </c>
      <c r="J6194">
        <v>-253.63640000000001</v>
      </c>
      <c r="K6194">
        <v>1.108063</v>
      </c>
      <c r="L6194">
        <v>-62.013060000000003</v>
      </c>
      <c r="M6194">
        <v>0.99985170000000001</v>
      </c>
      <c r="N6194">
        <v>0</v>
      </c>
      <c r="O6194">
        <v>-8.8247399999999993E-3</v>
      </c>
      <c r="P6194">
        <v>0.98760440000000005</v>
      </c>
      <c r="Q6194">
        <v>0.15440119999999999</v>
      </c>
      <c r="R6194">
        <v>-2.8243999999999998E-2</v>
      </c>
      <c r="S6194">
        <v>3.038818</v>
      </c>
      <c r="T6194">
        <v>-1.4763470000000001E-2</v>
      </c>
      <c r="U6194">
        <v>-4.1534420000000002E-2</v>
      </c>
      <c r="V6194">
        <v>2.0489839999999999E-2</v>
      </c>
      <c r="W6194">
        <v>0.16888149999999999</v>
      </c>
      <c r="X6194">
        <v>0.98542339999999995</v>
      </c>
      <c r="Y6194">
        <v>4.8413120000000004E-3</v>
      </c>
      <c r="Z6194" s="1">
        <v>3.1114919999999997E-5</v>
      </c>
      <c r="AA6194">
        <v>0.99998830000000005</v>
      </c>
      <c r="AB6194">
        <v>34</v>
      </c>
      <c r="AC6194">
        <v>96.286299999999997</v>
      </c>
      <c r="AD6194">
        <v>-0.46858810000000001</v>
      </c>
      <c r="AE6194">
        <v>-1.31606</v>
      </c>
      <c r="AF6194">
        <v>0.466203209559996</v>
      </c>
      <c r="AG6194">
        <v>-0.46858810000000001</v>
      </c>
      <c r="AH6194">
        <v>96.291884923724695</v>
      </c>
      <c r="AI6194">
        <v>90.278814709005999</v>
      </c>
      <c r="AJ6194">
        <v>89.722601051841806</v>
      </c>
      <c r="AK6194">
        <v>96.294153625253401</v>
      </c>
      <c r="AL6194">
        <v>80.277206874546195</v>
      </c>
      <c r="AM6194">
        <v>88.808824501143405</v>
      </c>
      <c r="AN6194">
        <v>1.00000003592651</v>
      </c>
    </row>
    <row r="6195" spans="1:40" x14ac:dyDescent="0.25">
      <c r="A6195" t="str">
        <f>"20190312164148320"</f>
        <v>20190312164148320</v>
      </c>
      <c r="B6195" t="str">
        <f>"1552380108312147"</f>
        <v>1552380108312147</v>
      </c>
      <c r="C6195" t="s">
        <v>40</v>
      </c>
      <c r="D6195">
        <v>6.2228490000000001</v>
      </c>
      <c r="E6195">
        <v>0.49524689999999999</v>
      </c>
      <c r="F6195" t="s">
        <v>61</v>
      </c>
      <c r="G6195">
        <v>-157.3501</v>
      </c>
      <c r="H6195">
        <v>0.60177709999999995</v>
      </c>
      <c r="I6195">
        <v>-63.126890000000003</v>
      </c>
      <c r="J6195">
        <v>-253.48820000000001</v>
      </c>
      <c r="K6195">
        <v>1.108176</v>
      </c>
      <c r="L6195">
        <v>-62.01511</v>
      </c>
      <c r="M6195">
        <v>0.99984510000000004</v>
      </c>
      <c r="N6195">
        <v>0</v>
      </c>
      <c r="O6195">
        <v>-9.568689E-3</v>
      </c>
      <c r="P6195">
        <v>0.98755930000000003</v>
      </c>
      <c r="Q6195">
        <v>0.1551679</v>
      </c>
      <c r="R6195">
        <v>-2.548835E-2</v>
      </c>
      <c r="S6195">
        <v>3.0391240000000002</v>
      </c>
      <c r="T6195">
        <v>-1.598072E-2</v>
      </c>
      <c r="U6195">
        <v>-3.515625E-2</v>
      </c>
      <c r="V6195">
        <v>1.69588E-2</v>
      </c>
      <c r="W6195">
        <v>0.16965740000000001</v>
      </c>
      <c r="X6195">
        <v>0.98535720000000004</v>
      </c>
      <c r="Y6195">
        <v>1.9975980000000002E-3</v>
      </c>
      <c r="Z6195" s="1">
        <v>4.5065719999999999E-5</v>
      </c>
      <c r="AA6195">
        <v>0.99999800000000005</v>
      </c>
      <c r="AB6195">
        <v>34</v>
      </c>
      <c r="AC6195">
        <v>96.138099999999994</v>
      </c>
      <c r="AD6195">
        <v>-0.50639889999999999</v>
      </c>
      <c r="AE6195">
        <v>-1.11178</v>
      </c>
      <c r="AF6195">
        <v>0.19170780558202999</v>
      </c>
      <c r="AG6195">
        <v>-0.50639889999999999</v>
      </c>
      <c r="AH6195">
        <v>96.141670029937799</v>
      </c>
      <c r="AI6195">
        <v>90.301785830359194</v>
      </c>
      <c r="AJ6195">
        <v>89.885751583071894</v>
      </c>
      <c r="AK6195">
        <v>96.1431948079222</v>
      </c>
      <c r="AL6195">
        <v>80.232100053359702</v>
      </c>
      <c r="AM6195">
        <v>89.013990314643493</v>
      </c>
      <c r="AN6195">
        <v>1.0000000229320101</v>
      </c>
    </row>
    <row r="6196" spans="1:40" x14ac:dyDescent="0.25">
      <c r="A6196" t="str">
        <f>"20190312164148330"</f>
        <v>20190312164148330</v>
      </c>
      <c r="B6196" t="str">
        <f>"1552380108321907"</f>
        <v>1552380108321907</v>
      </c>
      <c r="C6196" t="s">
        <v>40</v>
      </c>
      <c r="D6196">
        <v>6.2926970000000004</v>
      </c>
      <c r="E6196">
        <v>0.49535950000000001</v>
      </c>
      <c r="F6196" t="s">
        <v>61</v>
      </c>
      <c r="G6196">
        <v>-157.3501</v>
      </c>
      <c r="H6196">
        <v>0.64339259999999998</v>
      </c>
      <c r="I6196">
        <v>-62.921520000000001</v>
      </c>
      <c r="J6196">
        <v>-253.3219</v>
      </c>
      <c r="K6196">
        <v>1.1082799999999999</v>
      </c>
      <c r="L6196">
        <v>-62.01755</v>
      </c>
      <c r="M6196">
        <v>0.99983730000000004</v>
      </c>
      <c r="N6196">
        <v>0</v>
      </c>
      <c r="O6196">
        <v>-1.0366490000000001E-2</v>
      </c>
      <c r="P6196">
        <v>0.98753449999999998</v>
      </c>
      <c r="Q6196">
        <v>0.15568180000000001</v>
      </c>
      <c r="R6196">
        <v>-2.3212179999999999E-2</v>
      </c>
      <c r="S6196">
        <v>3.0393680000000001</v>
      </c>
      <c r="T6196">
        <v>-1.4694570000000001E-2</v>
      </c>
      <c r="U6196">
        <v>-2.8656009999999999E-2</v>
      </c>
      <c r="V6196">
        <v>1.3855309999999999E-2</v>
      </c>
      <c r="W6196">
        <v>0.17017570000000001</v>
      </c>
      <c r="X6196">
        <v>0.98531630000000003</v>
      </c>
      <c r="Y6196">
        <v>-9.3967469999999996E-4</v>
      </c>
      <c r="Z6196" s="1">
        <v>5.239361E-5</v>
      </c>
      <c r="AA6196">
        <v>0.99999959999999999</v>
      </c>
      <c r="AB6196">
        <v>33</v>
      </c>
      <c r="AC6196">
        <v>95.971800000000002</v>
      </c>
      <c r="AD6196">
        <v>-0.46488740000000001</v>
      </c>
      <c r="AE6196">
        <v>-0.90396999999999395</v>
      </c>
      <c r="AF6196">
        <v>-9.1075567948136801E-2</v>
      </c>
      <c r="AG6196">
        <v>-0.46488740000000001</v>
      </c>
      <c r="AH6196">
        <v>95.973762231476499</v>
      </c>
      <c r="AI6196">
        <v>90.277532786411996</v>
      </c>
      <c r="AJ6196">
        <v>90.054371569608804</v>
      </c>
      <c r="AK6196">
        <v>95.974931372300205</v>
      </c>
      <c r="AL6196">
        <v>80.201964970840507</v>
      </c>
      <c r="AM6196">
        <v>89.194371929793903</v>
      </c>
      <c r="AN6196">
        <v>0.99999997476568703</v>
      </c>
    </row>
    <row r="6197" spans="1:40" x14ac:dyDescent="0.25">
      <c r="A6197" t="str">
        <f>"20190312164148342"</f>
        <v>20190312164148342</v>
      </c>
      <c r="B6197" t="str">
        <f>"1552380108332643"</f>
        <v>1552380108332643</v>
      </c>
      <c r="C6197" t="s">
        <v>40</v>
      </c>
      <c r="D6197">
        <v>6.1727550000000004</v>
      </c>
      <c r="E6197">
        <v>0.49543500000000001</v>
      </c>
      <c r="F6197" t="s">
        <v>61</v>
      </c>
      <c r="G6197">
        <v>-157.3501</v>
      </c>
      <c r="H6197">
        <v>0.65926839999999998</v>
      </c>
      <c r="I6197">
        <v>-62.772019999999998</v>
      </c>
      <c r="J6197">
        <v>-253.15989999999999</v>
      </c>
      <c r="K6197">
        <v>1.1083769999999999</v>
      </c>
      <c r="L6197">
        <v>-62.020049999999998</v>
      </c>
      <c r="M6197">
        <v>0.99982939999999998</v>
      </c>
      <c r="N6197">
        <v>0</v>
      </c>
      <c r="O6197">
        <v>-1.1134079999999999E-2</v>
      </c>
      <c r="P6197">
        <v>0.98750170000000004</v>
      </c>
      <c r="Q6197">
        <v>0.15626099999999901</v>
      </c>
      <c r="R6197">
        <v>-2.0570769999999999E-2</v>
      </c>
      <c r="S6197">
        <v>3.0395509999999999</v>
      </c>
      <c r="T6197">
        <v>-1.422143E-2</v>
      </c>
      <c r="U6197">
        <v>-2.3895260000000001E-2</v>
      </c>
      <c r="V6197">
        <v>1.0421369999999999E-2</v>
      </c>
      <c r="W6197">
        <v>0.17075969999999999</v>
      </c>
      <c r="X6197">
        <v>0.98525759999999996</v>
      </c>
      <c r="Y6197">
        <v>-3.2740730000000002E-3</v>
      </c>
      <c r="Z6197" s="1">
        <v>5.9756449999999999E-5</v>
      </c>
      <c r="AA6197">
        <v>0.99999459999999996</v>
      </c>
      <c r="AB6197">
        <v>33</v>
      </c>
      <c r="AC6197">
        <v>95.809799999999996</v>
      </c>
      <c r="AD6197">
        <v>-0.44910859999999903</v>
      </c>
      <c r="AE6197">
        <v>-0.75197000000000003</v>
      </c>
      <c r="AF6197">
        <v>-0.31493954997019002</v>
      </c>
      <c r="AG6197">
        <v>-0.44910859999999903</v>
      </c>
      <c r="AH6197">
        <v>95.810128192305001</v>
      </c>
      <c r="AI6197">
        <v>90.268569725663497</v>
      </c>
      <c r="AJ6197">
        <v>90.188337520926893</v>
      </c>
      <c r="AK6197">
        <v>95.811698396806705</v>
      </c>
      <c r="AL6197">
        <v>80.1680075455359</v>
      </c>
      <c r="AM6197">
        <v>89.393987672367004</v>
      </c>
      <c r="AN6197">
        <v>1.0000000092272601</v>
      </c>
    </row>
    <row r="6198" spans="1:40" x14ac:dyDescent="0.25">
      <c r="A6198" t="str">
        <f>"20190312164148352"</f>
        <v>20190312164148352</v>
      </c>
      <c r="B6198" t="str">
        <f>"1552380108342403"</f>
        <v>1552380108342403</v>
      </c>
      <c r="C6198" t="s">
        <v>40</v>
      </c>
      <c r="D6198">
        <v>6.3329170000000001</v>
      </c>
      <c r="E6198">
        <v>0.49553659999999999</v>
      </c>
      <c r="F6198" t="s">
        <v>61</v>
      </c>
      <c r="G6198">
        <v>-157.3501</v>
      </c>
      <c r="H6198">
        <v>0.67847250000000003</v>
      </c>
      <c r="I6198">
        <v>-62.575049999999997</v>
      </c>
      <c r="J6198">
        <v>-252.99870000000001</v>
      </c>
      <c r="K6198">
        <v>1.1084590000000001</v>
      </c>
      <c r="L6198">
        <v>-62.022640000000003</v>
      </c>
      <c r="M6198">
        <v>0.99982090000000001</v>
      </c>
      <c r="N6198">
        <v>0</v>
      </c>
      <c r="O6198">
        <v>-1.1882480000000001E-2</v>
      </c>
      <c r="P6198">
        <v>0.98750819999999995</v>
      </c>
      <c r="Q6198">
        <v>0.15656210000000001</v>
      </c>
      <c r="R6198">
        <v>-1.7774709999999999E-2</v>
      </c>
      <c r="S6198">
        <v>3.039749</v>
      </c>
      <c r="T6198">
        <v>-1.364017E-2</v>
      </c>
      <c r="U6198">
        <v>-1.7608639999999998E-2</v>
      </c>
      <c r="V6198">
        <v>6.8555380000000004E-3</v>
      </c>
      <c r="W6198">
        <v>0.17106650000000001</v>
      </c>
      <c r="X6198">
        <v>0.98523559999999999</v>
      </c>
      <c r="Y6198">
        <v>-6.0911009999999998E-3</v>
      </c>
      <c r="Z6198" s="1">
        <v>6.6989550000000003E-5</v>
      </c>
      <c r="AA6198">
        <v>0.99998149999999997</v>
      </c>
      <c r="AB6198">
        <v>33</v>
      </c>
      <c r="AC6198">
        <v>95.648600000000002</v>
      </c>
      <c r="AD6198">
        <v>-0.42998649999999999</v>
      </c>
      <c r="AE6198">
        <v>-0.55240999999999396</v>
      </c>
      <c r="AF6198">
        <v>-0.58428309758279195</v>
      </c>
      <c r="AG6198">
        <v>-0.42998649999999999</v>
      </c>
      <c r="AH6198">
        <v>95.646477647942504</v>
      </c>
      <c r="AI6198">
        <v>90.257571284146394</v>
      </c>
      <c r="AJ6198">
        <v>90.3500028432112</v>
      </c>
      <c r="AK6198">
        <v>95.649228755838195</v>
      </c>
      <c r="AL6198">
        <v>80.150166268652001</v>
      </c>
      <c r="AM6198">
        <v>89.601326774519805</v>
      </c>
      <c r="AN6198">
        <v>0.999999966665439</v>
      </c>
    </row>
    <row r="6199" spans="1:40" x14ac:dyDescent="0.25">
      <c r="A6199" t="str">
        <f>"20190312164148364"</f>
        <v>20190312164148364</v>
      </c>
      <c r="B6199" t="str">
        <f>"1552380108352163"</f>
        <v>1552380108352163</v>
      </c>
      <c r="C6199" t="s">
        <v>40</v>
      </c>
      <c r="D6199">
        <v>6.3806609999999999</v>
      </c>
      <c r="E6199">
        <v>0.49551319999999999</v>
      </c>
      <c r="F6199" t="s">
        <v>61</v>
      </c>
      <c r="G6199">
        <v>-157.3501</v>
      </c>
      <c r="H6199">
        <v>0.65481659999999997</v>
      </c>
      <c r="I6199">
        <v>-62.375990000000002</v>
      </c>
      <c r="J6199">
        <v>-252.82919999999999</v>
      </c>
      <c r="K6199">
        <v>1.1085290000000001</v>
      </c>
      <c r="L6199">
        <v>-62.025480000000002</v>
      </c>
      <c r="M6199">
        <v>0.99981149999999996</v>
      </c>
      <c r="N6199">
        <v>0</v>
      </c>
      <c r="O6199">
        <v>-1.2664170000000001E-2</v>
      </c>
      <c r="P6199">
        <v>0.98757899999999998</v>
      </c>
      <c r="Q6199">
        <v>0.15643789999999999</v>
      </c>
      <c r="R6199">
        <v>-1.467244E-2</v>
      </c>
      <c r="S6199">
        <v>3.0400239999999998</v>
      </c>
      <c r="T6199">
        <v>-1.441884E-2</v>
      </c>
      <c r="U6199">
        <v>-1.1230469999999999E-2</v>
      </c>
      <c r="V6199">
        <v>2.9495070000000001E-3</v>
      </c>
      <c r="W6199">
        <v>0.17094809999999999</v>
      </c>
      <c r="X6199">
        <v>0.98527560000000003</v>
      </c>
      <c r="Y6199">
        <v>-8.9713309999999904E-3</v>
      </c>
      <c r="Z6199" s="1">
        <v>8.1345939999999999E-5</v>
      </c>
      <c r="AA6199">
        <v>0.99995979999999995</v>
      </c>
      <c r="AB6199">
        <v>33</v>
      </c>
      <c r="AC6199">
        <v>95.479100000000003</v>
      </c>
      <c r="AD6199">
        <v>-0.45371240000000002</v>
      </c>
      <c r="AE6199">
        <v>-0.35050999999999899</v>
      </c>
      <c r="AF6199">
        <v>-0.85879324002509905</v>
      </c>
      <c r="AG6199">
        <v>-0.45371240000000002</v>
      </c>
      <c r="AH6199">
        <v>95.473725036272796</v>
      </c>
      <c r="AI6199">
        <v>90.2722692378658</v>
      </c>
      <c r="AJ6199">
        <v>90.515365888219193</v>
      </c>
      <c r="AK6199">
        <v>95.478665434079304</v>
      </c>
      <c r="AL6199">
        <v>80.1570516451835</v>
      </c>
      <c r="AM6199">
        <v>89.828480683039601</v>
      </c>
      <c r="AN6199">
        <v>0.99999998022025605</v>
      </c>
    </row>
    <row r="6200" spans="1:40" x14ac:dyDescent="0.25">
      <c r="A6200" t="str">
        <f>"20190312164148375"</f>
        <v>20190312164148375</v>
      </c>
      <c r="B6200" t="str">
        <f>"1552380108372658"</f>
        <v>1552380108372658</v>
      </c>
      <c r="C6200" t="s">
        <v>40</v>
      </c>
      <c r="D6200">
        <v>6.1501590000000004</v>
      </c>
      <c r="E6200">
        <v>0.49578090000000002</v>
      </c>
      <c r="F6200" t="s">
        <v>61</v>
      </c>
      <c r="G6200">
        <v>-157.3501</v>
      </c>
      <c r="H6200">
        <v>0.57968809999999904</v>
      </c>
      <c r="I6200">
        <v>-62.119399999999999</v>
      </c>
      <c r="J6200">
        <v>-252.66040000000001</v>
      </c>
      <c r="K6200">
        <v>1.1085969999999901</v>
      </c>
      <c r="L6200">
        <v>-62.028440000000003</v>
      </c>
      <c r="M6200">
        <v>0.99980170000000002</v>
      </c>
      <c r="N6200">
        <v>0</v>
      </c>
      <c r="O6200">
        <v>-1.343797E-2</v>
      </c>
      <c r="P6200">
        <v>0.98772879999999996</v>
      </c>
      <c r="Q6200">
        <v>0.1557404</v>
      </c>
      <c r="R6200">
        <v>-1.1702840000000001E-2</v>
      </c>
      <c r="S6200">
        <v>3.040375</v>
      </c>
      <c r="T6200">
        <v>-1.68407E-2</v>
      </c>
      <c r="U6200">
        <v>-2.9907229999999998E-3</v>
      </c>
      <c r="V6200">
        <v>-8.1553110000000002E-4</v>
      </c>
      <c r="W6200">
        <v>0.17025699999999999</v>
      </c>
      <c r="X6200">
        <v>0.98539940000000004</v>
      </c>
      <c r="Y6200">
        <v>-1.245544E-2</v>
      </c>
      <c r="Z6200">
        <v>1.08934E-4</v>
      </c>
      <c r="AA6200">
        <v>0.99992239999999999</v>
      </c>
      <c r="AB6200">
        <v>33</v>
      </c>
      <c r="AC6200">
        <v>95.310299999999998</v>
      </c>
      <c r="AD6200">
        <v>-0.52890889999999902</v>
      </c>
      <c r="AE6200">
        <v>-9.0959999999995406E-2</v>
      </c>
      <c r="AF6200">
        <v>-1.18992685761051</v>
      </c>
      <c r="AG6200">
        <v>-0.52890889999999902</v>
      </c>
      <c r="AH6200">
        <v>95.299979908074306</v>
      </c>
      <c r="AI6200">
        <v>90.317959927116505</v>
      </c>
      <c r="AJ6200">
        <v>90.715364727499093</v>
      </c>
      <c r="AK6200">
        <v>95.308875982409603</v>
      </c>
      <c r="AL6200">
        <v>80.197238528125396</v>
      </c>
      <c r="AM6200">
        <v>90.047418822685799</v>
      </c>
      <c r="AN6200">
        <v>1.00000004433016</v>
      </c>
    </row>
    <row r="6201" spans="1:40" x14ac:dyDescent="0.25">
      <c r="A6201" t="str">
        <f>"20190312164148389"</f>
        <v>20190312164148389</v>
      </c>
      <c r="B6201" t="str">
        <f>"1552380108382419"</f>
        <v>1552380108382419</v>
      </c>
      <c r="C6201" t="s">
        <v>40</v>
      </c>
      <c r="D6201">
        <v>6.0082810000000002</v>
      </c>
      <c r="E6201">
        <v>0.49582789999999999</v>
      </c>
      <c r="F6201" t="s">
        <v>61</v>
      </c>
      <c r="G6201">
        <v>-157.3501</v>
      </c>
      <c r="H6201">
        <v>0.46888920000000001</v>
      </c>
      <c r="I6201">
        <v>-61.947130000000001</v>
      </c>
      <c r="J6201">
        <v>-252.46260000000001</v>
      </c>
      <c r="K6201">
        <v>1.10866</v>
      </c>
      <c r="L6201">
        <v>-62.032069999999997</v>
      </c>
      <c r="M6201">
        <v>0.99978920000000004</v>
      </c>
      <c r="N6201">
        <v>0</v>
      </c>
      <c r="O6201">
        <v>-1.4344010000000001E-2</v>
      </c>
      <c r="P6201">
        <v>0.98783810000000005</v>
      </c>
      <c r="Q6201">
        <v>0.15525359999999999</v>
      </c>
      <c r="R6201">
        <v>-8.4880370000000004E-3</v>
      </c>
      <c r="S6201">
        <v>3.0405120000000001</v>
      </c>
      <c r="T6201">
        <v>-2.0408030000000001E-2</v>
      </c>
      <c r="U6201">
        <v>2.5939940000000001E-3</v>
      </c>
      <c r="V6201">
        <v>-4.9550590000000004E-3</v>
      </c>
      <c r="W6201">
        <v>0.16977529999999999</v>
      </c>
      <c r="X6201">
        <v>0.98547039999999997</v>
      </c>
      <c r="Y6201">
        <v>-1.519794E-2</v>
      </c>
      <c r="Z6201">
        <v>1.4728850000000001E-4</v>
      </c>
      <c r="AA6201">
        <v>0.99988449999999995</v>
      </c>
      <c r="AB6201">
        <v>33</v>
      </c>
      <c r="AC6201">
        <v>95.112499999999997</v>
      </c>
      <c r="AD6201">
        <v>-0.63977079999999997</v>
      </c>
      <c r="AE6201">
        <v>8.4939999999996005E-2</v>
      </c>
      <c r="AF6201">
        <v>-1.4493075708259799</v>
      </c>
      <c r="AG6201">
        <v>-0.63977079999999997</v>
      </c>
      <c r="AH6201">
        <v>95.097191445488605</v>
      </c>
      <c r="AI6201">
        <v>90.385409464549895</v>
      </c>
      <c r="AJ6201">
        <v>90.873135973790795</v>
      </c>
      <c r="AK6201">
        <v>95.110386498695803</v>
      </c>
      <c r="AL6201">
        <v>80.225245779056195</v>
      </c>
      <c r="AM6201">
        <v>90.288087369672795</v>
      </c>
      <c r="AN6201">
        <v>1.0000000571879699</v>
      </c>
    </row>
    <row r="6202" spans="1:40" x14ac:dyDescent="0.25">
      <c r="A6202" t="str">
        <f>"20190312164148400"</f>
        <v>20190312164148400</v>
      </c>
      <c r="B6202" t="str">
        <f>"1552380108392179"</f>
        <v>1552380108392179</v>
      </c>
      <c r="C6202" t="s">
        <v>40</v>
      </c>
      <c r="D6202">
        <v>8.9681549999999994</v>
      </c>
      <c r="E6202">
        <v>0.49583110000000002</v>
      </c>
      <c r="F6202" t="s">
        <v>61</v>
      </c>
      <c r="G6202">
        <v>-157.3501</v>
      </c>
      <c r="H6202">
        <v>0.41278550000000003</v>
      </c>
      <c r="I6202">
        <v>-61.703670000000002</v>
      </c>
      <c r="J6202">
        <v>-252.2903</v>
      </c>
      <c r="K6202">
        <v>1.1087070000000001</v>
      </c>
      <c r="L6202">
        <v>-62.035339999999998</v>
      </c>
      <c r="M6202">
        <v>0.99977780000000005</v>
      </c>
      <c r="N6202">
        <v>0</v>
      </c>
      <c r="O6202">
        <v>-1.513403E-2</v>
      </c>
      <c r="P6202">
        <v>0.98806740000000004</v>
      </c>
      <c r="Q6202">
        <v>0.15392030000000001</v>
      </c>
      <c r="R6202">
        <v>-5.5937790000000001E-3</v>
      </c>
      <c r="S6202">
        <v>3.040527</v>
      </c>
      <c r="T6202">
        <v>-2.2246120000000001E-2</v>
      </c>
      <c r="U6202">
        <v>1.049805E-2</v>
      </c>
      <c r="V6202">
        <v>-8.6589590000000008E-3</v>
      </c>
      <c r="W6202">
        <v>0.16844809999999999</v>
      </c>
      <c r="X6202">
        <v>0.98567249999999995</v>
      </c>
      <c r="Y6202">
        <v>-1.8586950000000001E-2</v>
      </c>
      <c r="Z6202">
        <v>1.7873119999999999E-4</v>
      </c>
      <c r="AA6202">
        <v>0.99982720000000003</v>
      </c>
      <c r="AB6202">
        <v>33</v>
      </c>
      <c r="AC6202">
        <v>94.940200000000004</v>
      </c>
      <c r="AD6202">
        <v>-0.69592149999999897</v>
      </c>
      <c r="AE6202">
        <v>0.33167000000000901</v>
      </c>
      <c r="AF6202">
        <v>-1.7685195278058601</v>
      </c>
      <c r="AG6202">
        <v>-0.69592149999999897</v>
      </c>
      <c r="AH6202">
        <v>94.919204507306105</v>
      </c>
      <c r="AI6202">
        <v>90.419996478505794</v>
      </c>
      <c r="AJ6202">
        <v>91.067402351603107</v>
      </c>
      <c r="AK6202">
        <v>94.938229140605898</v>
      </c>
      <c r="AL6202">
        <v>80.302399524366095</v>
      </c>
      <c r="AM6202">
        <v>90.503320366393794</v>
      </c>
      <c r="AN6202">
        <v>1.0000000086104099</v>
      </c>
    </row>
    <row r="6203" spans="1:40" x14ac:dyDescent="0.25">
      <c r="A6203" t="str">
        <f>"20190312164148411"</f>
        <v>20190312164148411</v>
      </c>
      <c r="B6203" t="str">
        <f>"1552380108401939"</f>
        <v>1552380108401939</v>
      </c>
      <c r="C6203" t="s">
        <v>40</v>
      </c>
      <c r="D6203">
        <v>6.2380930000000001</v>
      </c>
      <c r="E6203">
        <v>0.4958418</v>
      </c>
      <c r="F6203" t="s">
        <v>61</v>
      </c>
      <c r="G6203">
        <v>-157.3501</v>
      </c>
      <c r="H6203">
        <v>0.27465919999999999</v>
      </c>
      <c r="I6203">
        <v>-61.459769999999899</v>
      </c>
      <c r="J6203">
        <v>-252.1241</v>
      </c>
      <c r="K6203">
        <v>1.108746</v>
      </c>
      <c r="L6203">
        <v>-62.038640000000001</v>
      </c>
      <c r="M6203">
        <v>0.99976600000000004</v>
      </c>
      <c r="N6203">
        <v>0</v>
      </c>
      <c r="O6203">
        <v>-1.589902E-2</v>
      </c>
      <c r="P6203">
        <v>0.98831270000000004</v>
      </c>
      <c r="Q6203">
        <v>0.15241489999999999</v>
      </c>
      <c r="R6203">
        <v>-2.8248879999999998E-3</v>
      </c>
      <c r="S6203">
        <v>3.0405120000000001</v>
      </c>
      <c r="T6203">
        <v>-2.6711459999999999E-2</v>
      </c>
      <c r="U6203">
        <v>1.843262E-2</v>
      </c>
      <c r="V6203">
        <v>-1.221012E-2</v>
      </c>
      <c r="W6203">
        <v>0.1669495</v>
      </c>
      <c r="X6203">
        <v>0.98588989999999999</v>
      </c>
      <c r="Y6203">
        <v>-2.1960440000000001E-2</v>
      </c>
      <c r="Z6203">
        <v>2.361447E-4</v>
      </c>
      <c r="AA6203">
        <v>0.99975879999999995</v>
      </c>
      <c r="AB6203">
        <v>33</v>
      </c>
      <c r="AC6203">
        <v>94.774000000000001</v>
      </c>
      <c r="AD6203">
        <v>-0.83408680000000002</v>
      </c>
      <c r="AE6203">
        <v>0.57887000000000899</v>
      </c>
      <c r="AF6203">
        <v>-2.0856111390954699</v>
      </c>
      <c r="AG6203">
        <v>-0.83408680000000002</v>
      </c>
      <c r="AH6203">
        <v>94.745475631849004</v>
      </c>
      <c r="AI6203">
        <v>90.504265191743301</v>
      </c>
      <c r="AJ6203">
        <v>91.261035628173204</v>
      </c>
      <c r="AK6203">
        <v>94.772098358740294</v>
      </c>
      <c r="AL6203">
        <v>80.389496916287897</v>
      </c>
      <c r="AM6203">
        <v>90.709564605380706</v>
      </c>
      <c r="AN6203">
        <v>1.00000005875133</v>
      </c>
    </row>
    <row r="6204" spans="1:40" x14ac:dyDescent="0.25">
      <c r="A6204" t="str">
        <f>"20190312164148421"</f>
        <v>20190312164148421</v>
      </c>
      <c r="B6204" t="str">
        <f>"1552380108412674"</f>
        <v>1552380108412674</v>
      </c>
      <c r="C6204" t="s">
        <v>40</v>
      </c>
      <c r="D6204">
        <v>6.5916729999999903</v>
      </c>
      <c r="E6204">
        <v>0.49589090000000002</v>
      </c>
      <c r="F6204" t="s">
        <v>61</v>
      </c>
      <c r="G6204">
        <v>-157.3501</v>
      </c>
      <c r="H6204">
        <v>0.12644859999999999</v>
      </c>
      <c r="I6204">
        <v>-61.211979999999997</v>
      </c>
      <c r="J6204">
        <v>-251.9751</v>
      </c>
      <c r="K6204">
        <v>1.1087750000000001</v>
      </c>
      <c r="L6204">
        <v>-62.041690000000003</v>
      </c>
      <c r="M6204">
        <v>0.9997549</v>
      </c>
      <c r="N6204">
        <v>0</v>
      </c>
      <c r="O6204">
        <v>-1.6586219999999999E-2</v>
      </c>
      <c r="P6204">
        <v>0.98854390000000003</v>
      </c>
      <c r="Q6204">
        <v>0.15093380000000001</v>
      </c>
      <c r="R6204" s="1">
        <v>4.4328159999999997E-5</v>
      </c>
      <c r="S6204">
        <v>3.0404209999999998</v>
      </c>
      <c r="T6204">
        <v>-3.1513449999999998E-2</v>
      </c>
      <c r="U6204">
        <v>2.651978E-2</v>
      </c>
      <c r="V6204">
        <v>-1.578119E-2</v>
      </c>
      <c r="W6204">
        <v>0.16547590000000001</v>
      </c>
      <c r="X6204">
        <v>0.98608759999999995</v>
      </c>
      <c r="Y6204">
        <v>-2.5305999999999999E-2</v>
      </c>
      <c r="Z6204">
        <v>3.0306140000000001E-4</v>
      </c>
      <c r="AA6204">
        <v>0.99967969999999895</v>
      </c>
      <c r="AB6204">
        <v>33</v>
      </c>
      <c r="AC6204">
        <v>94.625</v>
      </c>
      <c r="AD6204">
        <v>-0.98232640000000004</v>
      </c>
      <c r="AE6204">
        <v>0.82970999999999795</v>
      </c>
      <c r="AF6204">
        <v>-2.39897716288674</v>
      </c>
      <c r="AG6204">
        <v>-0.98232640000000004</v>
      </c>
      <c r="AH6204">
        <v>94.588024262372997</v>
      </c>
      <c r="AI6204">
        <v>90.594822045694599</v>
      </c>
      <c r="AJ6204">
        <v>91.452845718809797</v>
      </c>
      <c r="AK6204">
        <v>94.623540360966402</v>
      </c>
      <c r="AL6204">
        <v>80.475118782341397</v>
      </c>
      <c r="AM6204">
        <v>90.916874321788001</v>
      </c>
      <c r="AN6204">
        <v>1.0000000371561899</v>
      </c>
    </row>
    <row r="6205" spans="1:40" x14ac:dyDescent="0.25">
      <c r="A6205" t="str">
        <f>"20190312164148442"</f>
        <v>20190312164148442</v>
      </c>
      <c r="B6205" t="str">
        <f>"1552380108432195"</f>
        <v>1552380108432195</v>
      </c>
      <c r="C6205" t="s">
        <v>40</v>
      </c>
      <c r="D6205">
        <v>6.173324</v>
      </c>
      <c r="E6205">
        <v>0.49599989999999999</v>
      </c>
      <c r="F6205" t="s">
        <v>43</v>
      </c>
      <c r="G6205">
        <v>-154.46459999999999</v>
      </c>
      <c r="H6205">
        <v>-0.05</v>
      </c>
      <c r="I6205">
        <v>-60.9268199999999</v>
      </c>
      <c r="J6205">
        <v>-251.66309999999999</v>
      </c>
      <c r="K6205">
        <v>1.1088249999999999</v>
      </c>
      <c r="L6205">
        <v>-62.048430000000003</v>
      </c>
      <c r="M6205">
        <v>0.99973020000000001</v>
      </c>
      <c r="N6205">
        <v>0</v>
      </c>
      <c r="O6205">
        <v>-1.8034040000000001E-2</v>
      </c>
      <c r="P6205">
        <v>0.98912540000000004</v>
      </c>
      <c r="Q6205">
        <v>0.147006</v>
      </c>
      <c r="R6205">
        <v>4.5149430000000004E-3</v>
      </c>
      <c r="S6205">
        <v>3.0402529999999999</v>
      </c>
      <c r="T6205">
        <v>-3.6129120000000001E-2</v>
      </c>
      <c r="U6205">
        <v>3.4759520000000002E-2</v>
      </c>
      <c r="V6205">
        <v>-2.1731009999999999E-2</v>
      </c>
      <c r="W6205">
        <v>0.16155919999999999</v>
      </c>
      <c r="X6205">
        <v>0.98662380000000005</v>
      </c>
      <c r="Y6205">
        <v>-2.9461939999999999E-2</v>
      </c>
      <c r="Z6205">
        <v>3.8935940000000001E-4</v>
      </c>
      <c r="AA6205">
        <v>0.99956579999999995</v>
      </c>
      <c r="AB6205">
        <v>33</v>
      </c>
      <c r="AC6205">
        <v>97.198499999999996</v>
      </c>
      <c r="AD6205">
        <v>-1.158825</v>
      </c>
      <c r="AE6205">
        <v>1.12161000000001</v>
      </c>
      <c r="AF6205">
        <v>-2.8740885774805802</v>
      </c>
      <c r="AG6205">
        <v>-1.158825</v>
      </c>
      <c r="AH6205">
        <v>97.148653350286907</v>
      </c>
      <c r="AI6205">
        <v>90.6831139465814</v>
      </c>
      <c r="AJ6205">
        <v>91.694569324215905</v>
      </c>
      <c r="AK6205">
        <v>97.198066381518302</v>
      </c>
      <c r="AL6205">
        <v>80.702591274981103</v>
      </c>
      <c r="AM6205">
        <v>91.261771581521501</v>
      </c>
      <c r="AN6205">
        <v>1.00000006731334</v>
      </c>
    </row>
    <row r="6206" spans="1:40" x14ac:dyDescent="0.25">
      <c r="A6206" t="str">
        <f>"20190312164148453"</f>
        <v>20190312164148453</v>
      </c>
      <c r="B6206" t="str">
        <f>"1552380108441954"</f>
        <v>1552380108441954</v>
      </c>
      <c r="C6206" t="s">
        <v>40</v>
      </c>
      <c r="D6206">
        <v>5.9925439999999996</v>
      </c>
      <c r="E6206">
        <v>0.49603930000000002</v>
      </c>
      <c r="F6206" t="s">
        <v>51</v>
      </c>
      <c r="G6206">
        <v>-181.59049999999999</v>
      </c>
      <c r="H6206" s="1">
        <v>-1.0189859999999999E-5</v>
      </c>
      <c r="I6206">
        <v>-60.956679999999999</v>
      </c>
      <c r="J6206">
        <v>-251.4982</v>
      </c>
      <c r="K6206">
        <v>1.1088469999999999</v>
      </c>
      <c r="L6206">
        <v>-62.052149999999997</v>
      </c>
      <c r="M6206">
        <v>0.9997161</v>
      </c>
      <c r="N6206">
        <v>0</v>
      </c>
      <c r="O6206">
        <v>-1.8802510000000001E-2</v>
      </c>
      <c r="P6206">
        <v>0.98934080000000002</v>
      </c>
      <c r="Q6206">
        <v>0.14546889999999901</v>
      </c>
      <c r="R6206">
        <v>6.6282479999999998E-3</v>
      </c>
      <c r="S6206">
        <v>3.0399319999999999</v>
      </c>
      <c r="T6206">
        <v>-4.8104170000000002E-2</v>
      </c>
      <c r="U6206">
        <v>4.7363280000000001E-2</v>
      </c>
      <c r="V6206">
        <v>-2.4623880000000001E-2</v>
      </c>
      <c r="W6206">
        <v>0.160025799999999</v>
      </c>
      <c r="X6206">
        <v>0.98680570000000001</v>
      </c>
      <c r="Y6206">
        <v>-3.4371310000000002E-2</v>
      </c>
      <c r="Z6206">
        <v>5.6943939999999995E-4</v>
      </c>
      <c r="AA6206">
        <v>0.99940899999999999</v>
      </c>
      <c r="AB6206">
        <v>33</v>
      </c>
      <c r="AC6206">
        <v>69.907700000000006</v>
      </c>
      <c r="AD6206">
        <v>-1.1088571898599999</v>
      </c>
      <c r="AE6206">
        <v>1.09546999999999</v>
      </c>
      <c r="AF6206">
        <v>-2.40925131022327</v>
      </c>
      <c r="AG6206">
        <v>-1.1088571898599999</v>
      </c>
      <c r="AH6206">
        <v>69.857167713242703</v>
      </c>
      <c r="AI6206">
        <v>90.908851060182698</v>
      </c>
      <c r="AJ6206">
        <v>91.975248143715604</v>
      </c>
      <c r="AK6206">
        <v>69.907495571357998</v>
      </c>
      <c r="AL6206">
        <v>80.791606631157094</v>
      </c>
      <c r="AM6206">
        <v>91.429411771740206</v>
      </c>
      <c r="AN6206">
        <v>1.0000000408421901</v>
      </c>
    </row>
    <row r="6207" spans="1:40" x14ac:dyDescent="0.25">
      <c r="A6207" t="str">
        <f>"20190312164148465"</f>
        <v>20190312164148465</v>
      </c>
      <c r="B6207" t="str">
        <f>"1552380108462452"</f>
        <v>1552380108462452</v>
      </c>
      <c r="C6207" t="s">
        <v>40</v>
      </c>
      <c r="D6207">
        <v>6.2879060000000004</v>
      </c>
      <c r="E6207">
        <v>0.49618370000000001</v>
      </c>
      <c r="F6207" t="s">
        <v>51</v>
      </c>
      <c r="G6207">
        <v>-187.68969999999999</v>
      </c>
      <c r="H6207" s="1">
        <v>-1.080847E-5</v>
      </c>
      <c r="I6207">
        <v>-60.931100000000001</v>
      </c>
      <c r="J6207">
        <v>-251.3295</v>
      </c>
      <c r="K6207">
        <v>1.108865</v>
      </c>
      <c r="L6207">
        <v>-62.0561199999999</v>
      </c>
      <c r="M6207">
        <v>0.99970110000000001</v>
      </c>
      <c r="N6207">
        <v>0</v>
      </c>
      <c r="O6207">
        <v>-1.9589869999999999E-2</v>
      </c>
      <c r="P6207">
        <v>0.98953570000000002</v>
      </c>
      <c r="Q6207">
        <v>0.14404400000000001</v>
      </c>
      <c r="R6207">
        <v>8.3814389999999992E-3</v>
      </c>
      <c r="S6207">
        <v>3.039749</v>
      </c>
      <c r="T6207">
        <v>-5.2824500000000003E-2</v>
      </c>
      <c r="U6207">
        <v>5.3405759999999997E-2</v>
      </c>
      <c r="V6207">
        <v>-2.717294E-2</v>
      </c>
      <c r="W6207">
        <v>0.1586032</v>
      </c>
      <c r="X6207">
        <v>0.98696839999999997</v>
      </c>
      <c r="Y6207">
        <v>-3.7143429999999998E-2</v>
      </c>
      <c r="Z6207">
        <v>6.6310209999999997E-4</v>
      </c>
      <c r="AA6207">
        <v>0.99930969999999997</v>
      </c>
      <c r="AB6207">
        <v>33</v>
      </c>
      <c r="AC6207">
        <v>63.639800000000001</v>
      </c>
      <c r="AD6207">
        <v>-1.1088758084699999</v>
      </c>
      <c r="AE6207">
        <v>1.1250199999999899</v>
      </c>
      <c r="AF6207">
        <v>-2.3709132615027801</v>
      </c>
      <c r="AG6207">
        <v>-1.1088758084699999</v>
      </c>
      <c r="AH6207">
        <v>63.586244521658699</v>
      </c>
      <c r="AI6207">
        <v>90.998381947066093</v>
      </c>
      <c r="AJ6207">
        <v>92.135374138679694</v>
      </c>
      <c r="AK6207">
        <v>63.640092140256598</v>
      </c>
      <c r="AL6207">
        <v>80.8741695910564</v>
      </c>
      <c r="AM6207">
        <v>91.577053109874797</v>
      </c>
      <c r="AN6207">
        <v>0.99999998315852101</v>
      </c>
    </row>
    <row r="6208" spans="1:40" x14ac:dyDescent="0.25">
      <c r="A6208" t="str">
        <f>"20190312164148476"</f>
        <v>20190312164148476</v>
      </c>
      <c r="B6208" t="str">
        <f>"1552380108472211"</f>
        <v>1552380108472211</v>
      </c>
      <c r="C6208" t="s">
        <v>40</v>
      </c>
      <c r="D6208">
        <v>6.2671739999999998</v>
      </c>
      <c r="E6208">
        <v>0.49626019999999998</v>
      </c>
      <c r="F6208" t="s">
        <v>51</v>
      </c>
      <c r="G6208">
        <v>-191.88069999999999</v>
      </c>
      <c r="H6208" s="1">
        <v>-9.0456130000000008E-6</v>
      </c>
      <c r="I6208">
        <v>-60.92801</v>
      </c>
      <c r="J6208">
        <v>-251.16030000000001</v>
      </c>
      <c r="K6208">
        <v>1.1088830000000001</v>
      </c>
      <c r="L6208">
        <v>-62.060209999999998</v>
      </c>
      <c r="M6208">
        <v>0.9996855</v>
      </c>
      <c r="N6208">
        <v>0</v>
      </c>
      <c r="O6208">
        <v>-2.0381110000000001E-2</v>
      </c>
      <c r="P6208">
        <v>0.98975089999999999</v>
      </c>
      <c r="Q6208">
        <v>0.14249239999999999</v>
      </c>
      <c r="R6208">
        <v>9.46462E-3</v>
      </c>
      <c r="S6208">
        <v>3.0394899999999998</v>
      </c>
      <c r="T6208">
        <v>-5.6694389999999997E-2</v>
      </c>
      <c r="U6208">
        <v>5.7678220000000002E-2</v>
      </c>
      <c r="V6208">
        <v>-2.9057039999999999E-2</v>
      </c>
      <c r="W6208">
        <v>0.1570522</v>
      </c>
      <c r="X6208">
        <v>0.98716280000000001</v>
      </c>
      <c r="Y6208">
        <v>-3.9338159999999997E-2</v>
      </c>
      <c r="Z6208">
        <v>7.4694720000000004E-4</v>
      </c>
      <c r="AA6208">
        <v>0.99922569999999999</v>
      </c>
      <c r="AB6208">
        <v>33</v>
      </c>
      <c r="AC6208">
        <v>59.279600000000002</v>
      </c>
      <c r="AD6208">
        <v>-1.108892045613</v>
      </c>
      <c r="AE6208">
        <v>1.1321999999999901</v>
      </c>
      <c r="AF6208">
        <v>-2.3394594991158799</v>
      </c>
      <c r="AG6208">
        <v>-1.108892045613</v>
      </c>
      <c r="AH6208">
        <v>59.223490178039803</v>
      </c>
      <c r="AI6208">
        <v>91.071836789202806</v>
      </c>
      <c r="AJ6208">
        <v>92.262134501444194</v>
      </c>
      <c r="AK6208">
        <v>59.280051460716599</v>
      </c>
      <c r="AL6208">
        <v>80.964163880918903</v>
      </c>
      <c r="AM6208">
        <v>91.686008824508093</v>
      </c>
      <c r="AN6208">
        <v>1.0000000494011101</v>
      </c>
    </row>
    <row r="6209" spans="1:40" x14ac:dyDescent="0.25">
      <c r="A6209" t="str">
        <f>"20190312164148487"</f>
        <v>20190312164148487</v>
      </c>
      <c r="B6209" t="str">
        <f>"1552380108481970"</f>
        <v>1552380108481970</v>
      </c>
      <c r="C6209" t="s">
        <v>40</v>
      </c>
      <c r="D6209">
        <v>6.4785279999999998</v>
      </c>
      <c r="E6209">
        <v>0.49637989999999999</v>
      </c>
      <c r="F6209" t="s">
        <v>51</v>
      </c>
      <c r="G6209">
        <v>-194.23480000000001</v>
      </c>
      <c r="H6209" s="1">
        <v>-8.0869299999999992E-6</v>
      </c>
      <c r="I6209">
        <v>-60.930079999999997</v>
      </c>
      <c r="J6209">
        <v>-250.98869999999999</v>
      </c>
      <c r="K6209">
        <v>1.1088990000000001</v>
      </c>
      <c r="L6209">
        <v>-62.064480000000003</v>
      </c>
      <c r="M6209">
        <v>0.99966889999999997</v>
      </c>
      <c r="N6209">
        <v>0</v>
      </c>
      <c r="O6209">
        <v>-2.118037E-2</v>
      </c>
      <c r="P6209">
        <v>0.98992910000000001</v>
      </c>
      <c r="Q6209">
        <v>0.14116010000000001</v>
      </c>
      <c r="R6209">
        <v>1.0704129999999999E-2</v>
      </c>
      <c r="S6209">
        <v>3.0390169999999999</v>
      </c>
      <c r="T6209">
        <v>-5.9199090000000003E-2</v>
      </c>
      <c r="U6209">
        <v>6.0333249999999998E-2</v>
      </c>
      <c r="V6209">
        <v>-3.1102749999999998E-2</v>
      </c>
      <c r="W6209">
        <v>0.15572130000000001</v>
      </c>
      <c r="X6209">
        <v>0.98731120000000006</v>
      </c>
      <c r="Y6209">
        <v>-4.1011190000000003E-2</v>
      </c>
      <c r="Z6209">
        <v>8.1191539999999902E-4</v>
      </c>
      <c r="AA6209">
        <v>0.9991584</v>
      </c>
      <c r="AB6209">
        <v>33</v>
      </c>
      <c r="AC6209">
        <v>56.753899999999902</v>
      </c>
      <c r="AD6209">
        <v>-1.10890708693</v>
      </c>
      <c r="AE6209">
        <v>1.1343999999999901</v>
      </c>
      <c r="AF6209">
        <v>-2.3354511551280002</v>
      </c>
      <c r="AG6209">
        <v>-1.10890708693</v>
      </c>
      <c r="AH6209">
        <v>56.695500294893698</v>
      </c>
      <c r="AI6209">
        <v>91.119555859214401</v>
      </c>
      <c r="AJ6209">
        <v>92.358844785574703</v>
      </c>
      <c r="AK6209">
        <v>56.754416222120703</v>
      </c>
      <c r="AL6209">
        <v>81.041367920411304</v>
      </c>
      <c r="AM6209">
        <v>91.804362342020099</v>
      </c>
      <c r="AN6209">
        <v>0.99999995498834504</v>
      </c>
    </row>
    <row r="6210" spans="1:40" x14ac:dyDescent="0.25">
      <c r="A6210" t="str">
        <f>"20190312164148499"</f>
        <v>20190312164148499</v>
      </c>
      <c r="B6210" t="str">
        <f>"1552380108492707"</f>
        <v>1552380108492707</v>
      </c>
      <c r="C6210" t="s">
        <v>40</v>
      </c>
      <c r="D6210">
        <v>6.5218720000000001</v>
      </c>
      <c r="E6210">
        <v>0.4964693</v>
      </c>
      <c r="F6210" t="s">
        <v>51</v>
      </c>
      <c r="G6210">
        <v>-196.43729999999999</v>
      </c>
      <c r="H6210" s="1">
        <v>-7.1899439999999999E-6</v>
      </c>
      <c r="I6210">
        <v>-60.9315</v>
      </c>
      <c r="J6210">
        <v>-250.82220000000001</v>
      </c>
      <c r="K6210">
        <v>1.10891299999999</v>
      </c>
      <c r="L6210">
        <v>-62.068730000000002</v>
      </c>
      <c r="M6210">
        <v>0.9996524</v>
      </c>
      <c r="N6210">
        <v>0</v>
      </c>
      <c r="O6210">
        <v>-2.195486E-2</v>
      </c>
      <c r="P6210">
        <v>0.99010799999999999</v>
      </c>
      <c r="Q6210">
        <v>0.13981550000000001</v>
      </c>
      <c r="R6210">
        <v>1.175376E-2</v>
      </c>
      <c r="S6210">
        <v>3.0386660000000001</v>
      </c>
      <c r="T6210">
        <v>-6.1769129999999998E-2</v>
      </c>
      <c r="U6210">
        <v>6.3110349999999996E-2</v>
      </c>
      <c r="V6210">
        <v>-3.2934030000000003E-2</v>
      </c>
      <c r="W6210">
        <v>0.15437679999999901</v>
      </c>
      <c r="X6210">
        <v>0.98746299999999998</v>
      </c>
      <c r="Y6210">
        <v>-4.2698729999999997E-2</v>
      </c>
      <c r="Z6210">
        <v>8.8013619999999996E-4</v>
      </c>
      <c r="AA6210">
        <v>0.99908759999999996</v>
      </c>
      <c r="AB6210">
        <v>33</v>
      </c>
      <c r="AC6210">
        <v>54.384900000000002</v>
      </c>
      <c r="AD6210">
        <v>-1.10892018994399</v>
      </c>
      <c r="AE6210">
        <v>1.13723</v>
      </c>
      <c r="AF6210">
        <v>-2.3301275600763698</v>
      </c>
      <c r="AG6210">
        <v>-1.10892018994399</v>
      </c>
      <c r="AH6210">
        <v>54.324242009726703</v>
      </c>
      <c r="AI6210">
        <v>91.168341775216504</v>
      </c>
      <c r="AJ6210">
        <v>92.456080101729796</v>
      </c>
      <c r="AK6210">
        <v>54.3854986955645</v>
      </c>
      <c r="AL6210">
        <v>81.119345607932601</v>
      </c>
      <c r="AM6210">
        <v>91.910230273137103</v>
      </c>
      <c r="AN6210">
        <v>1.0000000115396399</v>
      </c>
    </row>
    <row r="6211" spans="1:40" x14ac:dyDescent="0.25">
      <c r="A6211" t="str">
        <f>"20190312164148510"</f>
        <v>20190312164148510</v>
      </c>
      <c r="B6211" t="str">
        <f>"1552380108502469"</f>
        <v>1552380108502469</v>
      </c>
      <c r="C6211" t="s">
        <v>40</v>
      </c>
      <c r="D6211">
        <v>6.2888140000000003</v>
      </c>
      <c r="E6211">
        <v>0.49657839999999998</v>
      </c>
      <c r="F6211" t="s">
        <v>51</v>
      </c>
      <c r="G6211">
        <v>-199.6414</v>
      </c>
      <c r="H6211" s="1">
        <v>-5.8871540000000001E-6</v>
      </c>
      <c r="I6211">
        <v>-60.970219999999998</v>
      </c>
      <c r="J6211">
        <v>-250.65719999999999</v>
      </c>
      <c r="K6211">
        <v>1.108932</v>
      </c>
      <c r="L6211">
        <v>-62.073149999999998</v>
      </c>
      <c r="M6211">
        <v>0.99963550000000001</v>
      </c>
      <c r="N6211">
        <v>0</v>
      </c>
      <c r="O6211">
        <v>-2.271014E-2</v>
      </c>
      <c r="P6211">
        <v>0.99023410000000001</v>
      </c>
      <c r="Q6211">
        <v>0.1388363</v>
      </c>
      <c r="R6211">
        <v>1.2695959999999999E-2</v>
      </c>
      <c r="S6211">
        <v>3.0384980000000001</v>
      </c>
      <c r="T6211">
        <v>-6.5834160000000003E-2</v>
      </c>
      <c r="U6211">
        <v>6.5216060000000006E-2</v>
      </c>
      <c r="V6211">
        <v>-3.4636769999999997E-2</v>
      </c>
      <c r="W6211">
        <v>0.153396799999999</v>
      </c>
      <c r="X6211">
        <v>0.98755749999999998</v>
      </c>
      <c r="Y6211">
        <v>-4.4144419999999997E-2</v>
      </c>
      <c r="Z6211">
        <v>9.7010990000000001E-4</v>
      </c>
      <c r="AA6211">
        <v>0.99902469999999999</v>
      </c>
      <c r="AB6211">
        <v>33</v>
      </c>
      <c r="AC6211">
        <v>51.015799999999899</v>
      </c>
      <c r="AD6211">
        <v>-1.1089378871539901</v>
      </c>
      <c r="AE6211">
        <v>1.10293</v>
      </c>
      <c r="AF6211">
        <v>-2.2602774301487201</v>
      </c>
      <c r="AG6211">
        <v>-1.1089378871539901</v>
      </c>
      <c r="AH6211">
        <v>50.953524951190602</v>
      </c>
      <c r="AI6211">
        <v>91.245547582106994</v>
      </c>
      <c r="AJ6211">
        <v>92.539952093314596</v>
      </c>
      <c r="AK6211">
        <v>51.015686825234603</v>
      </c>
      <c r="AL6211">
        <v>81.176172708086298</v>
      </c>
      <c r="AM6211">
        <v>92.008721103591498</v>
      </c>
      <c r="AN6211">
        <v>1.00000004994626</v>
      </c>
    </row>
    <row r="6212" spans="1:40" x14ac:dyDescent="0.25">
      <c r="A6212" t="str">
        <f>"20190312164148521"</f>
        <v>20190312164148521</v>
      </c>
      <c r="B6212" t="str">
        <f>"1552380108512228"</f>
        <v>1552380108512228</v>
      </c>
      <c r="C6212" t="s">
        <v>40</v>
      </c>
      <c r="D6212">
        <v>6.2286650000000003</v>
      </c>
      <c r="E6212">
        <v>0.49668950000000001</v>
      </c>
      <c r="F6212" t="s">
        <v>51</v>
      </c>
      <c r="G6212">
        <v>-201.49600000000001</v>
      </c>
      <c r="H6212" s="1">
        <v>-4.9756969999999998E-6</v>
      </c>
      <c r="I6212">
        <v>-60.991269999999901</v>
      </c>
      <c r="J6212">
        <v>-250.50110000000001</v>
      </c>
      <c r="K6212">
        <v>1.1089519999999999</v>
      </c>
      <c r="L6212">
        <v>-62.077359999999999</v>
      </c>
      <c r="M6212">
        <v>0.99961920000000004</v>
      </c>
      <c r="N6212">
        <v>0</v>
      </c>
      <c r="O6212">
        <v>-2.3420960000000001E-2</v>
      </c>
      <c r="P6212">
        <v>0.99036120000000005</v>
      </c>
      <c r="Q6212">
        <v>0.1378943</v>
      </c>
      <c r="R6212">
        <v>1.3044170000000001E-2</v>
      </c>
      <c r="S6212">
        <v>3.0383610000000001</v>
      </c>
      <c r="T6212">
        <v>-6.8536760000000002E-2</v>
      </c>
      <c r="U6212">
        <v>6.6864010000000001E-2</v>
      </c>
      <c r="V6212">
        <v>-3.5702030000000003E-2</v>
      </c>
      <c r="W6212">
        <v>0.15245249999999999</v>
      </c>
      <c r="X6212">
        <v>0.98766569999999998</v>
      </c>
      <c r="Y6212">
        <v>-4.5395530000000003E-2</v>
      </c>
      <c r="Z6212">
        <v>1.0401029999999999E-3</v>
      </c>
      <c r="AA6212">
        <v>0.99896850000000004</v>
      </c>
      <c r="AB6212">
        <v>33</v>
      </c>
      <c r="AC6212">
        <v>49.005099999999999</v>
      </c>
      <c r="AD6212">
        <v>-1.1089569756969999</v>
      </c>
      <c r="AE6212">
        <v>1.08609</v>
      </c>
      <c r="AF6212">
        <v>-2.2325180145870802</v>
      </c>
      <c r="AG6212">
        <v>-1.1089569756969999</v>
      </c>
      <c r="AH6212">
        <v>48.941164644237297</v>
      </c>
      <c r="AI6212">
        <v>91.296693971833093</v>
      </c>
      <c r="AJ6212">
        <v>92.611814576915407</v>
      </c>
      <c r="AK6212">
        <v>49.004607120083598</v>
      </c>
      <c r="AL6212">
        <v>81.230920340296606</v>
      </c>
      <c r="AM6212">
        <v>92.070220088533901</v>
      </c>
      <c r="AN6212">
        <v>0.99999996732942897</v>
      </c>
    </row>
    <row r="6213" spans="1:40" x14ac:dyDescent="0.25">
      <c r="A6213" t="str">
        <f>"20190312164148530"</f>
        <v>20190312164148530</v>
      </c>
      <c r="B6213" t="str">
        <f>"1552380108521987"</f>
        <v>1552380108521987</v>
      </c>
      <c r="C6213" t="s">
        <v>40</v>
      </c>
      <c r="D6213">
        <v>6.2531330000000001</v>
      </c>
      <c r="E6213">
        <v>0.49673879999999998</v>
      </c>
      <c r="F6213" t="s">
        <v>51</v>
      </c>
      <c r="G6213">
        <v>-203.184</v>
      </c>
      <c r="H6213" s="1">
        <v>-4.1182970000000002E-6</v>
      </c>
      <c r="I6213">
        <v>-61.03745</v>
      </c>
      <c r="J6213">
        <v>-250.33969999999999</v>
      </c>
      <c r="K6213">
        <v>1.1089719999999901</v>
      </c>
      <c r="L6213">
        <v>-62.081879999999998</v>
      </c>
      <c r="M6213">
        <v>0.9996022</v>
      </c>
      <c r="N6213">
        <v>0</v>
      </c>
      <c r="O6213">
        <v>-2.414388E-2</v>
      </c>
      <c r="P6213">
        <v>0.99048950000000002</v>
      </c>
      <c r="Q6213">
        <v>0.1369592</v>
      </c>
      <c r="R6213">
        <v>1.315531E-2</v>
      </c>
      <c r="S6213">
        <v>3.0382389999999999</v>
      </c>
      <c r="T6213">
        <v>-7.1206210000000006E-2</v>
      </c>
      <c r="U6213">
        <v>6.6772460000000006E-2</v>
      </c>
      <c r="V6213">
        <v>-3.6543310000000002E-2</v>
      </c>
      <c r="W6213">
        <v>0.15151410000000001</v>
      </c>
      <c r="X6213">
        <v>0.98777939999999997</v>
      </c>
      <c r="Y6213">
        <v>-4.6086990000000001E-2</v>
      </c>
      <c r="Z6213">
        <v>1.105686E-3</v>
      </c>
      <c r="AA6213">
        <v>0.99893679999999996</v>
      </c>
      <c r="AB6213">
        <v>33</v>
      </c>
      <c r="AC6213">
        <v>47.155699999999896</v>
      </c>
      <c r="AD6213">
        <v>-1.1089761182969999</v>
      </c>
      <c r="AE6213">
        <v>1.04443</v>
      </c>
      <c r="AF6213">
        <v>-2.1815620819149402</v>
      </c>
      <c r="AG6213">
        <v>-1.1089761182969999</v>
      </c>
      <c r="AH6213">
        <v>47.090700200322999</v>
      </c>
      <c r="AI6213">
        <v>91.3476094488543</v>
      </c>
      <c r="AJ6213">
        <v>92.652434443620194</v>
      </c>
      <c r="AK6213">
        <v>47.154247809766801</v>
      </c>
      <c r="AL6213">
        <v>81.285319279652995</v>
      </c>
      <c r="AM6213">
        <v>92.118714960432399</v>
      </c>
      <c r="AN6213">
        <v>1.0000000395344599</v>
      </c>
    </row>
    <row r="6214" spans="1:40" x14ac:dyDescent="0.25">
      <c r="A6214" t="str">
        <f>"20190312164148543"</f>
        <v>20190312164148543</v>
      </c>
      <c r="B6214" t="str">
        <f>"1552380108532723"</f>
        <v>1552380108532723</v>
      </c>
      <c r="C6214" t="s">
        <v>40</v>
      </c>
      <c r="D6214">
        <v>6.1712439999999997</v>
      </c>
      <c r="E6214">
        <v>0.49682490000000001</v>
      </c>
      <c r="F6214" t="s">
        <v>51</v>
      </c>
      <c r="G6214">
        <v>-205.0093</v>
      </c>
      <c r="H6214" s="1">
        <v>-3.241837E-6</v>
      </c>
      <c r="I6214">
        <v>-61.087899999999998</v>
      </c>
      <c r="J6214">
        <v>-250.1728</v>
      </c>
      <c r="K6214">
        <v>1.1089979999999999</v>
      </c>
      <c r="L6214">
        <v>-62.086640000000003</v>
      </c>
      <c r="M6214">
        <v>0.99958400000000003</v>
      </c>
      <c r="N6214">
        <v>0</v>
      </c>
      <c r="O6214">
        <v>-2.4879120000000001E-2</v>
      </c>
      <c r="P6214">
        <v>0.99059980000000003</v>
      </c>
      <c r="Q6214">
        <v>0.13617319999999999</v>
      </c>
      <c r="R6214">
        <v>1.299807E-2</v>
      </c>
      <c r="S6214">
        <v>3.0381930000000001</v>
      </c>
      <c r="T6214">
        <v>-7.4327229999999994E-2</v>
      </c>
      <c r="U6214">
        <v>6.6619869999999998E-2</v>
      </c>
      <c r="V6214">
        <v>-3.7128599999999998E-2</v>
      </c>
      <c r="W6214">
        <v>0.15072369999999999</v>
      </c>
      <c r="X6214">
        <v>0.98787840000000005</v>
      </c>
      <c r="Y6214">
        <v>-4.6769770000000002E-2</v>
      </c>
      <c r="Z6214">
        <v>1.180485E-3</v>
      </c>
      <c r="AA6214">
        <v>0.99890500000000004</v>
      </c>
      <c r="AB6214">
        <v>33</v>
      </c>
      <c r="AC6214">
        <v>45.163499999999999</v>
      </c>
      <c r="AD6214">
        <v>-1.1090012418370001</v>
      </c>
      <c r="AE6214">
        <v>0.99874000000000496</v>
      </c>
      <c r="AF6214">
        <v>-2.1209003377461002</v>
      </c>
      <c r="AG6214">
        <v>-1.1090012418370001</v>
      </c>
      <c r="AH6214">
        <v>45.097488288455303</v>
      </c>
      <c r="AI6214">
        <v>91.407133292311698</v>
      </c>
      <c r="AJ6214">
        <v>92.692592688892404</v>
      </c>
      <c r="AK6214">
        <v>45.160951627754798</v>
      </c>
      <c r="AL6214">
        <v>81.331131212374004</v>
      </c>
      <c r="AM6214">
        <v>92.152401821733307</v>
      </c>
      <c r="AN6214">
        <v>0.99999994993310304</v>
      </c>
    </row>
    <row r="6215" spans="1:40" x14ac:dyDescent="0.25">
      <c r="A6215" t="str">
        <f>"20190312164148554"</f>
        <v>20190312164148554</v>
      </c>
      <c r="B6215" t="str">
        <f>"1552380108542483"</f>
        <v>1552380108542483</v>
      </c>
      <c r="C6215" t="s">
        <v>40</v>
      </c>
      <c r="D6215">
        <v>6.1697360000000003</v>
      </c>
      <c r="E6215">
        <v>0.4969152</v>
      </c>
      <c r="F6215" t="s">
        <v>51</v>
      </c>
      <c r="G6215">
        <v>-206.00030000000001</v>
      </c>
      <c r="H6215" s="1">
        <v>-2.618523E-6</v>
      </c>
      <c r="I6215">
        <v>-61.134889999999999</v>
      </c>
      <c r="J6215">
        <v>-249.9992</v>
      </c>
      <c r="K6215">
        <v>1.1090260000000001</v>
      </c>
      <c r="L6215">
        <v>-62.091669999999901</v>
      </c>
      <c r="M6215">
        <v>0.99956540000000005</v>
      </c>
      <c r="N6215">
        <v>0</v>
      </c>
      <c r="O6215">
        <v>-2.562714E-2</v>
      </c>
      <c r="P6215">
        <v>0.99067499999999997</v>
      </c>
      <c r="Q6215">
        <v>0.13568849999999999</v>
      </c>
      <c r="R6215">
        <v>1.232566E-2</v>
      </c>
      <c r="S6215">
        <v>3.0381010000000002</v>
      </c>
      <c r="T6215">
        <v>-7.6274869999999995E-2</v>
      </c>
      <c r="U6215">
        <v>6.5460210000000005E-2</v>
      </c>
      <c r="V6215">
        <v>-3.7211960000000002E-2</v>
      </c>
      <c r="W6215">
        <v>0.15023110000000001</v>
      </c>
      <c r="X6215">
        <v>0.98795029999999995</v>
      </c>
      <c r="Y6215">
        <v>-4.7135349999999999E-2</v>
      </c>
      <c r="Z6215">
        <v>1.2348120000000001E-3</v>
      </c>
      <c r="AA6215">
        <v>0.99888779999999999</v>
      </c>
      <c r="AB6215">
        <v>33</v>
      </c>
      <c r="AC6215">
        <v>43.9988999999999</v>
      </c>
      <c r="AD6215">
        <v>-1.1090286185230001</v>
      </c>
      <c r="AE6215">
        <v>0.95677999999998697</v>
      </c>
      <c r="AF6215">
        <v>-2.0828286913933001</v>
      </c>
      <c r="AG6215">
        <v>-1.1090286185230001</v>
      </c>
      <c r="AH6215">
        <v>43.932025972543897</v>
      </c>
      <c r="AI6215">
        <v>91.444456910166195</v>
      </c>
      <c r="AJ6215">
        <v>92.714375184027503</v>
      </c>
      <c r="AK6215">
        <v>43.995352321429003</v>
      </c>
      <c r="AL6215">
        <v>81.359680227709404</v>
      </c>
      <c r="AM6215">
        <v>92.157072919792199</v>
      </c>
      <c r="AN6215">
        <v>0.99999995432216904</v>
      </c>
    </row>
    <row r="6216" spans="1:40" x14ac:dyDescent="0.25">
      <c r="A6216" t="str">
        <f>"20190312164148565"</f>
        <v>20190312164148565</v>
      </c>
      <c r="B6216" t="str">
        <f>"1552380108562003"</f>
        <v>1552380108562003</v>
      </c>
      <c r="C6216" t="s">
        <v>40</v>
      </c>
      <c r="D6216">
        <v>5.9603440000000001</v>
      </c>
      <c r="E6216">
        <v>0.49712580000000001</v>
      </c>
      <c r="F6216" t="s">
        <v>51</v>
      </c>
      <c r="G6216">
        <v>-206.41749999999999</v>
      </c>
      <c r="H6216" s="1">
        <v>-2.3607009999999999E-6</v>
      </c>
      <c r="I6216">
        <v>-61.188099999999999</v>
      </c>
      <c r="J6216">
        <v>-249.83709999999999</v>
      </c>
      <c r="K6216">
        <v>1.109048</v>
      </c>
      <c r="L6216">
        <v>-62.096499999999999</v>
      </c>
      <c r="M6216">
        <v>0.99954790000000004</v>
      </c>
      <c r="N6216">
        <v>0</v>
      </c>
      <c r="O6216">
        <v>-2.6297709999999998E-2</v>
      </c>
      <c r="P6216">
        <v>0.99079360000000005</v>
      </c>
      <c r="Q6216">
        <v>0.13489029999999999</v>
      </c>
      <c r="R6216">
        <v>1.1512329999999999E-2</v>
      </c>
      <c r="S6216">
        <v>3.0380400000000001</v>
      </c>
      <c r="T6216">
        <v>-7.7309370000000002E-2</v>
      </c>
      <c r="U6216">
        <v>6.2988279999999994E-2</v>
      </c>
      <c r="V6216">
        <v>-3.7080870000000002E-2</v>
      </c>
      <c r="W6216">
        <v>0.14942629999999901</v>
      </c>
      <c r="X6216">
        <v>0.98807730000000005</v>
      </c>
      <c r="Y6216">
        <v>-4.6992720000000002E-2</v>
      </c>
      <c r="Z6216">
        <v>1.266833E-3</v>
      </c>
      <c r="AA6216">
        <v>0.99889450000000002</v>
      </c>
      <c r="AB6216">
        <v>33</v>
      </c>
      <c r="AC6216">
        <v>43.419600000000003</v>
      </c>
      <c r="AD6216">
        <v>-1.109050360701</v>
      </c>
      <c r="AE6216">
        <v>0.90839999999999999</v>
      </c>
      <c r="AF6216">
        <v>-2.0487070704738199</v>
      </c>
      <c r="AG6216">
        <v>-1.109050360701</v>
      </c>
      <c r="AH6216">
        <v>43.352417152287103</v>
      </c>
      <c r="AI6216">
        <v>91.463799791074905</v>
      </c>
      <c r="AJ6216">
        <v>92.705616266317605</v>
      </c>
      <c r="AK6216">
        <v>43.414965925462802</v>
      </c>
      <c r="AL6216">
        <v>81.406318552731307</v>
      </c>
      <c r="AM6216">
        <v>92.149205121753297</v>
      </c>
      <c r="AN6216">
        <v>0.99999998041346805</v>
      </c>
    </row>
    <row r="6217" spans="1:40" x14ac:dyDescent="0.25">
      <c r="A6217" t="str">
        <f>"20190312164148576"</f>
        <v>20190312164148576</v>
      </c>
      <c r="B6217" t="str">
        <f>"1552380108572739"</f>
        <v>1552380108572739</v>
      </c>
      <c r="C6217" t="s">
        <v>40</v>
      </c>
      <c r="D6217">
        <v>6.1916129999999896</v>
      </c>
      <c r="E6217">
        <v>0.49722300000000003</v>
      </c>
      <c r="F6217" t="s">
        <v>51</v>
      </c>
      <c r="G6217">
        <v>-207.16540000000001</v>
      </c>
      <c r="H6217" s="1">
        <v>-1.8962449999999999E-6</v>
      </c>
      <c r="I6217">
        <v>-61.266629999999999</v>
      </c>
      <c r="J6217">
        <v>-249.6678</v>
      </c>
      <c r="K6217">
        <v>1.109084</v>
      </c>
      <c r="L6217">
        <v>-62.101619999999997</v>
      </c>
      <c r="M6217">
        <v>0.99952980000000002</v>
      </c>
      <c r="N6217">
        <v>0</v>
      </c>
      <c r="O6217">
        <v>-2.6984749999999998E-2</v>
      </c>
      <c r="P6217">
        <v>0.99093730000000002</v>
      </c>
      <c r="Q6217">
        <v>0.13390569999999999</v>
      </c>
      <c r="R6217">
        <v>1.062221E-2</v>
      </c>
      <c r="S6217">
        <v>3.0379489999999998</v>
      </c>
      <c r="T6217">
        <v>-7.8957319999999998E-2</v>
      </c>
      <c r="U6217">
        <v>5.9082030000000001E-2</v>
      </c>
      <c r="V6217">
        <v>-3.6892800000000003E-2</v>
      </c>
      <c r="W6217">
        <v>0.14843419999999999</v>
      </c>
      <c r="X6217">
        <v>0.9882339</v>
      </c>
      <c r="Y6217">
        <v>-4.6394989999999997E-2</v>
      </c>
      <c r="Z6217">
        <v>1.3039670000000001E-3</v>
      </c>
      <c r="AA6217">
        <v>0.99892230000000004</v>
      </c>
      <c r="AB6217">
        <v>33</v>
      </c>
      <c r="AC6217">
        <v>42.502400000000002</v>
      </c>
      <c r="AD6217">
        <v>-1.1090858962450001</v>
      </c>
      <c r="AE6217">
        <v>0.83498999999999002</v>
      </c>
      <c r="AF6217">
        <v>-1.9803761218283</v>
      </c>
      <c r="AG6217">
        <v>-1.1090858962450001</v>
      </c>
      <c r="AH6217">
        <v>42.435500361867902</v>
      </c>
      <c r="AI6217">
        <v>91.495503508665394</v>
      </c>
      <c r="AJ6217">
        <v>92.671935689873393</v>
      </c>
      <c r="AK6217">
        <v>42.496160439165003</v>
      </c>
      <c r="AL6217">
        <v>81.463803084448202</v>
      </c>
      <c r="AM6217">
        <v>92.137976207352494</v>
      </c>
      <c r="AN6217">
        <v>1.0000000157653399</v>
      </c>
    </row>
    <row r="6218" spans="1:40" x14ac:dyDescent="0.25">
      <c r="A6218" t="str">
        <f>"20190312164148589"</f>
        <v>20190312164148589</v>
      </c>
      <c r="B6218" t="str">
        <f>"1552380108582499"</f>
        <v>1552380108582499</v>
      </c>
      <c r="C6218" t="s">
        <v>40</v>
      </c>
      <c r="D6218">
        <v>6.1374559999999896</v>
      </c>
      <c r="E6218">
        <v>0.49733559999999999</v>
      </c>
      <c r="F6218" t="s">
        <v>51</v>
      </c>
      <c r="G6218">
        <v>-208.41050000000001</v>
      </c>
      <c r="H6218" s="1">
        <v>-1.1150379999999999E-6</v>
      </c>
      <c r="I6218">
        <v>-61.339840000000002</v>
      </c>
      <c r="J6218">
        <v>-249.4845</v>
      </c>
      <c r="K6218">
        <v>1.1091329999999999</v>
      </c>
      <c r="L6218">
        <v>-62.107300000000002</v>
      </c>
      <c r="M6218">
        <v>0.99951109999999999</v>
      </c>
      <c r="N6218">
        <v>0</v>
      </c>
      <c r="O6218">
        <v>-2.7671850000000001E-2</v>
      </c>
      <c r="P6218">
        <v>0.99107959999999995</v>
      </c>
      <c r="Q6218">
        <v>0.1329005</v>
      </c>
      <c r="R6218">
        <v>9.9325909999999993E-3</v>
      </c>
      <c r="S6218">
        <v>3.0378720000000001</v>
      </c>
      <c r="T6218">
        <v>-8.1664680000000003E-2</v>
      </c>
      <c r="U6218">
        <v>5.6091309999999998E-2</v>
      </c>
      <c r="V6218">
        <v>-3.690976E-2</v>
      </c>
      <c r="W6218">
        <v>0.14742069999999999</v>
      </c>
      <c r="X6218">
        <v>0.98838499999999996</v>
      </c>
      <c r="Y6218">
        <v>-4.6097230000000003E-2</v>
      </c>
      <c r="Z6218">
        <v>1.3631699999999999E-3</v>
      </c>
      <c r="AA6218">
        <v>0.99893609999999999</v>
      </c>
      <c r="AB6218">
        <v>33</v>
      </c>
      <c r="AC6218">
        <v>41.073999999999899</v>
      </c>
      <c r="AD6218">
        <v>-1.1091341150380001</v>
      </c>
      <c r="AE6218">
        <v>0.76745999999999903</v>
      </c>
      <c r="AF6218">
        <v>-1.9024932416542999</v>
      </c>
      <c r="AG6218">
        <v>-1.1091341150380001</v>
      </c>
      <c r="AH6218">
        <v>41.0071374379663</v>
      </c>
      <c r="AI6218">
        <v>91.547656973924404</v>
      </c>
      <c r="AJ6218">
        <v>92.656286998629895</v>
      </c>
      <c r="AK6218">
        <v>41.066226754791302</v>
      </c>
      <c r="AL6218">
        <v>81.522518629598494</v>
      </c>
      <c r="AM6218">
        <v>92.138631453355998</v>
      </c>
      <c r="AN6218">
        <v>1.0000000506983699</v>
      </c>
    </row>
    <row r="6219" spans="1:40" x14ac:dyDescent="0.25">
      <c r="A6219" t="str">
        <f>"20190312164148601"</f>
        <v>20190312164148601</v>
      </c>
      <c r="B6219" t="str">
        <f>"1552380108592259"</f>
        <v>1552380108592259</v>
      </c>
      <c r="C6219" t="s">
        <v>40</v>
      </c>
      <c r="D6219">
        <v>6.119777</v>
      </c>
      <c r="E6219">
        <v>0.49745349999999999</v>
      </c>
      <c r="F6219" t="s">
        <v>51</v>
      </c>
      <c r="G6219">
        <v>-209.57640000000001</v>
      </c>
      <c r="H6219" s="1">
        <v>-4.1656579999999999E-7</v>
      </c>
      <c r="I6219">
        <v>-61.407690000000002</v>
      </c>
      <c r="J6219">
        <v>-249.3228</v>
      </c>
      <c r="K6219">
        <v>1.1091789999999999</v>
      </c>
      <c r="L6219">
        <v>-62.112340000000003</v>
      </c>
      <c r="M6219">
        <v>0.99949460000000001</v>
      </c>
      <c r="N6219">
        <v>0</v>
      </c>
      <c r="O6219">
        <v>-2.82595E-2</v>
      </c>
      <c r="P6219">
        <v>0.99122770000000004</v>
      </c>
      <c r="Q6219">
        <v>0.13185929999999901</v>
      </c>
      <c r="R6219">
        <v>8.9943030000000004E-3</v>
      </c>
      <c r="S6219">
        <v>3.0377809999999998</v>
      </c>
      <c r="T6219">
        <v>-8.4426520000000005E-2</v>
      </c>
      <c r="U6219">
        <v>5.3253170000000002E-2</v>
      </c>
      <c r="V6219">
        <v>-3.6579479999999998E-2</v>
      </c>
      <c r="W6219">
        <v>0.1463718</v>
      </c>
      <c r="X6219">
        <v>0.98855309999999996</v>
      </c>
      <c r="Y6219">
        <v>-4.575017E-2</v>
      </c>
      <c r="Z6219">
        <v>1.4208109999999999E-3</v>
      </c>
      <c r="AA6219">
        <v>0.9989519</v>
      </c>
      <c r="AB6219">
        <v>33</v>
      </c>
      <c r="AC6219">
        <v>39.746400000000001</v>
      </c>
      <c r="AD6219">
        <v>-1.1091794165658</v>
      </c>
      <c r="AE6219">
        <v>0.70465</v>
      </c>
      <c r="AF6219">
        <v>-1.8262791566194001</v>
      </c>
      <c r="AG6219">
        <v>-1.1091794165658</v>
      </c>
      <c r="AH6219">
        <v>39.679715995587799</v>
      </c>
      <c r="AI6219">
        <v>91.599497376061095</v>
      </c>
      <c r="AJ6219">
        <v>92.635207748333997</v>
      </c>
      <c r="AK6219">
        <v>39.737204683099499</v>
      </c>
      <c r="AL6219">
        <v>81.583274809902804</v>
      </c>
      <c r="AM6219">
        <v>92.119151760321401</v>
      </c>
      <c r="AN6219">
        <v>0.99999999685595997</v>
      </c>
    </row>
    <row r="6220" spans="1:40" x14ac:dyDescent="0.25">
      <c r="A6220" t="str">
        <f>"20190312164148611"</f>
        <v>20190312164148611</v>
      </c>
      <c r="B6220" t="str">
        <f>"1552380108602019"</f>
        <v>1552380108602019</v>
      </c>
      <c r="C6220" t="s">
        <v>40</v>
      </c>
      <c r="D6220">
        <v>6.2215049999999996</v>
      </c>
      <c r="E6220">
        <v>0.49757050000000003</v>
      </c>
      <c r="F6220" t="s">
        <v>60</v>
      </c>
      <c r="G6220">
        <v>-210.61760000000001</v>
      </c>
      <c r="H6220" s="1">
        <v>4.7440810000000001E-7</v>
      </c>
      <c r="I6220">
        <v>-61.47963</v>
      </c>
      <c r="J6220">
        <v>-249.15029999999999</v>
      </c>
      <c r="K6220">
        <v>1.1092329999999999</v>
      </c>
      <c r="L6220">
        <v>-62.117829999999998</v>
      </c>
      <c r="M6220">
        <v>0.99947839999999999</v>
      </c>
      <c r="N6220">
        <v>0</v>
      </c>
      <c r="O6220">
        <v>-2.8834530000000001E-2</v>
      </c>
      <c r="P6220">
        <v>0.99142960000000002</v>
      </c>
      <c r="Q6220">
        <v>0.13037309999999999</v>
      </c>
      <c r="R6220">
        <v>8.4013809999999994E-3</v>
      </c>
      <c r="S6220">
        <v>3.037674</v>
      </c>
      <c r="T6220">
        <v>-8.7050799999999998E-2</v>
      </c>
      <c r="U6220">
        <v>4.9652099999999998E-2</v>
      </c>
      <c r="V6220">
        <v>-3.6588080000000002E-2</v>
      </c>
      <c r="W6220">
        <v>0.1448777</v>
      </c>
      <c r="X6220">
        <v>0.98877289999999995</v>
      </c>
      <c r="Y6220">
        <v>-4.5139810000000002E-2</v>
      </c>
      <c r="Z6220">
        <v>1.472749E-3</v>
      </c>
      <c r="AA6220">
        <v>0.99897959999999997</v>
      </c>
      <c r="AB6220">
        <v>33</v>
      </c>
      <c r="AC6220">
        <v>38.532699999999899</v>
      </c>
      <c r="AD6220">
        <v>-1.1092325255919</v>
      </c>
      <c r="AE6220">
        <v>0.63819999999999699</v>
      </c>
      <c r="AF6220">
        <v>-1.7476765212085601</v>
      </c>
      <c r="AG6220">
        <v>-1.1092325255919</v>
      </c>
      <c r="AH6220">
        <v>38.466402955230002</v>
      </c>
      <c r="AI6220">
        <v>91.650044984531704</v>
      </c>
      <c r="AJ6220">
        <v>92.601378496547397</v>
      </c>
      <c r="AK6220">
        <v>38.522057659641497</v>
      </c>
      <c r="AL6220">
        <v>81.669803216635501</v>
      </c>
      <c r="AM6220">
        <v>92.119178768614603</v>
      </c>
      <c r="AN6220">
        <v>1.00000004166489</v>
      </c>
    </row>
    <row r="6221" spans="1:40" x14ac:dyDescent="0.25">
      <c r="A6221" t="str">
        <f>"20190312164148624"</f>
        <v>20190312164148624</v>
      </c>
      <c r="B6221" t="str">
        <f>"1552380108612755"</f>
        <v>1552380108612755</v>
      </c>
      <c r="C6221" t="s">
        <v>40</v>
      </c>
      <c r="D6221">
        <v>6.2880190000000002</v>
      </c>
      <c r="E6221">
        <v>0.49766349999999998</v>
      </c>
      <c r="F6221" t="s">
        <v>60</v>
      </c>
      <c r="G6221">
        <v>-212.19669999999999</v>
      </c>
      <c r="H6221" s="1">
        <v>-2.2099609999999999E-7</v>
      </c>
      <c r="I6221">
        <v>-61.547139999999999</v>
      </c>
      <c r="J6221">
        <v>-248.97970000000001</v>
      </c>
      <c r="K6221">
        <v>1.1092879999999901</v>
      </c>
      <c r="L6221">
        <v>-62.1233199999999</v>
      </c>
      <c r="M6221">
        <v>0.99946290000000004</v>
      </c>
      <c r="N6221">
        <v>0</v>
      </c>
      <c r="O6221">
        <v>-2.937116E-2</v>
      </c>
      <c r="P6221">
        <v>0.99153690000000005</v>
      </c>
      <c r="Q6221">
        <v>0.12961300000000001</v>
      </c>
      <c r="R6221">
        <v>7.4447230000000003E-3</v>
      </c>
      <c r="S6221">
        <v>3.0375369999999999</v>
      </c>
      <c r="T6221">
        <v>-9.1177579999999994E-2</v>
      </c>
      <c r="U6221">
        <v>4.6905519999999999E-2</v>
      </c>
      <c r="V6221">
        <v>-3.6190489999999999E-2</v>
      </c>
      <c r="W6221">
        <v>0.14410819999999999</v>
      </c>
      <c r="X6221">
        <v>0.98889990000000005</v>
      </c>
      <c r="Y6221">
        <v>-4.4770829999999998E-2</v>
      </c>
      <c r="Z6221">
        <v>1.5531799999999999E-3</v>
      </c>
      <c r="AA6221">
        <v>0.99899610000000005</v>
      </c>
      <c r="AB6221">
        <v>33</v>
      </c>
      <c r="AC6221">
        <v>36.783000000000001</v>
      </c>
      <c r="AD6221">
        <v>-1.1092882209960999</v>
      </c>
      <c r="AE6221">
        <v>0.57617999999999303</v>
      </c>
      <c r="AF6221">
        <v>-1.65490014203392</v>
      </c>
      <c r="AG6221">
        <v>-1.1092882209960999</v>
      </c>
      <c r="AH6221">
        <v>36.716817532581999</v>
      </c>
      <c r="AI6221">
        <v>91.728739289903601</v>
      </c>
      <c r="AJ6221">
        <v>92.580688374764904</v>
      </c>
      <c r="AK6221">
        <v>36.7708295331811</v>
      </c>
      <c r="AL6221">
        <v>81.714359293641706</v>
      </c>
      <c r="AM6221">
        <v>92.095902080414504</v>
      </c>
      <c r="AN6221">
        <v>0.99999996854684403</v>
      </c>
    </row>
    <row r="6222" spans="1:40" x14ac:dyDescent="0.25">
      <c r="A6222" t="str">
        <f>"20190312164148635"</f>
        <v>20190312164148635</v>
      </c>
      <c r="B6222" t="str">
        <f>"1552380108622514"</f>
        <v>1552380108622514</v>
      </c>
      <c r="C6222" t="s">
        <v>40</v>
      </c>
      <c r="D6222">
        <v>6.3074969999999997</v>
      </c>
      <c r="E6222">
        <v>0.49777939999999998</v>
      </c>
      <c r="F6222" t="s">
        <v>60</v>
      </c>
      <c r="G6222">
        <v>-212.78710000000001</v>
      </c>
      <c r="H6222" s="1">
        <v>-4.8929919999999998E-7</v>
      </c>
      <c r="I6222">
        <v>-61.603630000000003</v>
      </c>
      <c r="J6222">
        <v>-248.81280000000001</v>
      </c>
      <c r="K6222">
        <v>1.109343</v>
      </c>
      <c r="L6222">
        <v>-62.128689999999999</v>
      </c>
      <c r="M6222">
        <v>0.99944820000000001</v>
      </c>
      <c r="N6222">
        <v>0</v>
      </c>
      <c r="O6222">
        <v>-2.9863819999999999E-2</v>
      </c>
      <c r="P6222">
        <v>0.99168639999999997</v>
      </c>
      <c r="Q6222">
        <v>0.12850699999999901</v>
      </c>
      <c r="R6222">
        <v>6.6577859999999997E-3</v>
      </c>
      <c r="S6222">
        <v>3.0374599999999998</v>
      </c>
      <c r="T6222">
        <v>-9.3096970000000001E-2</v>
      </c>
      <c r="U6222">
        <v>4.3609620000000002E-2</v>
      </c>
      <c r="V6222">
        <v>-3.5920970000000003E-2</v>
      </c>
      <c r="W6222">
        <v>0.14299400000000001</v>
      </c>
      <c r="X6222">
        <v>0.98907149999999999</v>
      </c>
      <c r="Y6222">
        <v>-4.4178509999999997E-2</v>
      </c>
      <c r="Z6222">
        <v>1.591929E-3</v>
      </c>
      <c r="AA6222">
        <v>0.99902239999999998</v>
      </c>
      <c r="AB6222">
        <v>33</v>
      </c>
      <c r="AC6222">
        <v>36.025700000000001</v>
      </c>
      <c r="AD6222">
        <v>-1.10934348929919</v>
      </c>
      <c r="AE6222">
        <v>0.52505999999999597</v>
      </c>
      <c r="AF6222">
        <v>-1.59928839570551</v>
      </c>
      <c r="AG6222">
        <v>-1.10934348929919</v>
      </c>
      <c r="AH6222">
        <v>35.959855877766998</v>
      </c>
      <c r="AI6222">
        <v>91.765241794232907</v>
      </c>
      <c r="AJ6222">
        <v>92.546509976529805</v>
      </c>
      <c r="AK6222">
        <v>36.012492292254102</v>
      </c>
      <c r="AL6222">
        <v>81.778866756363698</v>
      </c>
      <c r="AM6222">
        <v>92.079946509595302</v>
      </c>
      <c r="AN6222">
        <v>1.00000001611699</v>
      </c>
    </row>
    <row r="6223" spans="1:40" x14ac:dyDescent="0.25">
      <c r="A6223" t="str">
        <f>"20190312164148648"</f>
        <v>20190312164148648</v>
      </c>
      <c r="B6223" t="str">
        <f>"1552380108642035"</f>
        <v>1552380108642035</v>
      </c>
      <c r="C6223" t="s">
        <v>40</v>
      </c>
      <c r="D6223">
        <v>6.5310389999999998</v>
      </c>
      <c r="E6223">
        <v>0.49809239999999999</v>
      </c>
      <c r="F6223" t="s">
        <v>60</v>
      </c>
      <c r="G6223">
        <v>-213.7997</v>
      </c>
      <c r="H6223" s="1">
        <v>-9.3898870000000002E-7</v>
      </c>
      <c r="I6223">
        <v>-61.661099999999998</v>
      </c>
      <c r="J6223">
        <v>-248.62309999999999</v>
      </c>
      <c r="K6223">
        <v>1.10941</v>
      </c>
      <c r="L6223">
        <v>-62.134920000000001</v>
      </c>
      <c r="M6223">
        <v>0.99943320000000002</v>
      </c>
      <c r="N6223">
        <v>0</v>
      </c>
      <c r="O6223">
        <v>-3.0367399999999999E-2</v>
      </c>
      <c r="P6223">
        <v>0.99177590000000004</v>
      </c>
      <c r="Q6223">
        <v>0.1278598</v>
      </c>
      <c r="R6223">
        <v>5.7322270000000003E-3</v>
      </c>
      <c r="S6223">
        <v>3.0373380000000001</v>
      </c>
      <c r="T6223">
        <v>-9.6233959999999993E-2</v>
      </c>
      <c r="U6223">
        <v>4.0557860000000001E-2</v>
      </c>
      <c r="V6223">
        <v>-3.5523489999999998E-2</v>
      </c>
      <c r="W6223">
        <v>0.14233609999999999</v>
      </c>
      <c r="X6223">
        <v>0.98918070000000002</v>
      </c>
      <c r="Y6223">
        <v>-4.36765E-2</v>
      </c>
      <c r="Z6223">
        <v>1.6536159999999999E-3</v>
      </c>
      <c r="AA6223">
        <v>0.99904440000000005</v>
      </c>
      <c r="AB6223">
        <v>33</v>
      </c>
      <c r="AC6223">
        <v>34.8233999999999</v>
      </c>
      <c r="AD6223">
        <v>-1.1094109389886999</v>
      </c>
      <c r="AE6223">
        <v>0.47381999999999602</v>
      </c>
      <c r="AF6223">
        <v>-1.5296569530194499</v>
      </c>
      <c r="AG6223">
        <v>-1.1094109389886999</v>
      </c>
      <c r="AH6223">
        <v>34.757675398383299</v>
      </c>
      <c r="AI6223">
        <v>91.826404854062005</v>
      </c>
      <c r="AJ6223">
        <v>92.519914513219902</v>
      </c>
      <c r="AK6223">
        <v>34.809002314413597</v>
      </c>
      <c r="AL6223">
        <v>81.816950838744603</v>
      </c>
      <c r="AM6223">
        <v>92.056724063971203</v>
      </c>
      <c r="AN6223">
        <v>0.99999997047873901</v>
      </c>
    </row>
    <row r="6224" spans="1:40" x14ac:dyDescent="0.25">
      <c r="A6224" t="str">
        <f>"20190312164148659"</f>
        <v>20190312164148659</v>
      </c>
      <c r="B6224" t="str">
        <f>"1552380108652772"</f>
        <v>1552380108652772</v>
      </c>
      <c r="C6224" t="s">
        <v>40</v>
      </c>
      <c r="D6224">
        <v>6.1184209999999997</v>
      </c>
      <c r="E6224">
        <v>0.49820209999999998</v>
      </c>
      <c r="F6224" t="s">
        <v>60</v>
      </c>
      <c r="G6224">
        <v>-214.20140000000001</v>
      </c>
      <c r="H6224" s="1">
        <v>-1.1303420000000001E-6</v>
      </c>
      <c r="I6224">
        <v>-61.73263</v>
      </c>
      <c r="J6224">
        <v>-248.4571</v>
      </c>
      <c r="K6224">
        <v>1.109467</v>
      </c>
      <c r="L6224">
        <v>-62.14038</v>
      </c>
      <c r="M6224">
        <v>0.99942050000000004</v>
      </c>
      <c r="N6224">
        <v>0</v>
      </c>
      <c r="O6224">
        <v>-3.078608E-2</v>
      </c>
      <c r="P6224">
        <v>0.99185719999999999</v>
      </c>
      <c r="Q6224">
        <v>0.12725829999999999</v>
      </c>
      <c r="R6224">
        <v>5.0004530000000002E-3</v>
      </c>
      <c r="S6224">
        <v>3.0372919999999999</v>
      </c>
      <c r="T6224">
        <v>-9.7891809999999996E-2</v>
      </c>
      <c r="U6224">
        <v>3.549194E-2</v>
      </c>
      <c r="V6224">
        <v>-3.5232279999999998E-2</v>
      </c>
      <c r="W6224">
        <v>0.1417253</v>
      </c>
      <c r="X6224">
        <v>0.98927889999999996</v>
      </c>
      <c r="Y6224">
        <v>-4.2428269999999997E-2</v>
      </c>
      <c r="Z6224">
        <v>1.675504E-3</v>
      </c>
      <c r="AA6224">
        <v>0.99909809999999999</v>
      </c>
      <c r="AB6224">
        <v>33</v>
      </c>
      <c r="AC6224">
        <v>34.255699999999898</v>
      </c>
      <c r="AD6224">
        <v>-1.109468130342</v>
      </c>
      <c r="AE6224">
        <v>0.40775</v>
      </c>
      <c r="AF6224">
        <v>-1.4607345672646399</v>
      </c>
      <c r="AG6224">
        <v>-1.109468130342</v>
      </c>
      <c r="AH6224">
        <v>34.191044524190502</v>
      </c>
      <c r="AI6224">
        <v>91.856850892001006</v>
      </c>
      <c r="AJ6224">
        <v>92.446344131785196</v>
      </c>
      <c r="AK6224">
        <v>34.240213063931499</v>
      </c>
      <c r="AL6224">
        <v>81.852306238075698</v>
      </c>
      <c r="AM6224">
        <v>92.039675696834905</v>
      </c>
      <c r="AN6224">
        <v>1.00000005809964</v>
      </c>
    </row>
    <row r="6225" spans="1:40" x14ac:dyDescent="0.25">
      <c r="A6225" t="str">
        <f>"20190312164148669"</f>
        <v>20190312164148669</v>
      </c>
      <c r="B6225" t="str">
        <f>"1552380108662531"</f>
        <v>1552380108662531</v>
      </c>
      <c r="C6225" t="s">
        <v>40</v>
      </c>
      <c r="D6225">
        <v>6.1135390000000003</v>
      </c>
      <c r="E6225">
        <v>0.49829079999999898</v>
      </c>
      <c r="F6225" t="s">
        <v>60</v>
      </c>
      <c r="G6225">
        <v>-214.74270000000001</v>
      </c>
      <c r="H6225" s="1">
        <v>-1.374495E-6</v>
      </c>
      <c r="I6225">
        <v>-61.777520000000003</v>
      </c>
      <c r="J6225">
        <v>-248.3065</v>
      </c>
      <c r="K6225">
        <v>1.109523</v>
      </c>
      <c r="L6225">
        <v>-62.145389999999999</v>
      </c>
      <c r="M6225">
        <v>0.99941040000000003</v>
      </c>
      <c r="N6225">
        <v>0</v>
      </c>
      <c r="O6225">
        <v>-3.1115179999999999E-2</v>
      </c>
      <c r="P6225">
        <v>0.99190290000000003</v>
      </c>
      <c r="Q6225">
        <v>0.12691640000000001</v>
      </c>
      <c r="R6225">
        <v>4.5993370000000002E-3</v>
      </c>
      <c r="S6225">
        <v>3.0373079999999999</v>
      </c>
      <c r="T6225">
        <v>-9.9951269999999995E-2</v>
      </c>
      <c r="U6225">
        <v>3.2684329999999998E-2</v>
      </c>
      <c r="V6225">
        <v>-3.5177449999999999E-2</v>
      </c>
      <c r="W6225">
        <v>0.141376</v>
      </c>
      <c r="X6225">
        <v>0.98933079999999995</v>
      </c>
      <c r="Y6225">
        <v>-4.1832290000000001E-2</v>
      </c>
      <c r="Z6225">
        <v>1.7117530000000001E-3</v>
      </c>
      <c r="AA6225">
        <v>0.99912319999999999</v>
      </c>
      <c r="AB6225">
        <v>33</v>
      </c>
      <c r="AC6225">
        <v>33.563799999999901</v>
      </c>
      <c r="AD6225">
        <v>-1.1095243744949901</v>
      </c>
      <c r="AE6225">
        <v>0.36787000000000297</v>
      </c>
      <c r="AF6225">
        <v>-1.41060426786079</v>
      </c>
      <c r="AG6225">
        <v>-1.1095243744949901</v>
      </c>
      <c r="AH6225">
        <v>33.4994945501495</v>
      </c>
      <c r="AI6225">
        <v>91.895300576877602</v>
      </c>
      <c r="AJ6225">
        <v>92.411199171148496</v>
      </c>
      <c r="AK6225">
        <v>33.547533200722803</v>
      </c>
      <c r="AL6225">
        <v>81.8725229799376</v>
      </c>
      <c r="AM6225">
        <v>92.036397395585993</v>
      </c>
      <c r="AN6225">
        <v>1.00000002909657</v>
      </c>
    </row>
    <row r="6226" spans="1:40" x14ac:dyDescent="0.25">
      <c r="A6226" t="str">
        <f>"20190312164148679"</f>
        <v>20190312164148679</v>
      </c>
      <c r="B6226" t="str">
        <f>"1552380108672291"</f>
        <v>1552380108672291</v>
      </c>
      <c r="C6226" t="s">
        <v>40</v>
      </c>
      <c r="D6226">
        <v>5.8422859999999996</v>
      </c>
      <c r="E6226">
        <v>0.49840230000000002</v>
      </c>
      <c r="F6226" t="s">
        <v>60</v>
      </c>
      <c r="G6226">
        <v>-215.03970000000001</v>
      </c>
      <c r="H6226" s="1">
        <v>-1.5093539999999999E-6</v>
      </c>
      <c r="I6226">
        <v>-61.805390000000003</v>
      </c>
      <c r="J6226">
        <v>-248.17840000000001</v>
      </c>
      <c r="K6226">
        <v>1.109569</v>
      </c>
      <c r="L6226">
        <v>-62.149659999999997</v>
      </c>
      <c r="M6226">
        <v>0.99940169999999995</v>
      </c>
      <c r="N6226">
        <v>0</v>
      </c>
      <c r="O6226">
        <v>-3.1393789999999998E-2</v>
      </c>
      <c r="P6226">
        <v>0.99193759999999997</v>
      </c>
      <c r="Q6226">
        <v>0.1266613</v>
      </c>
      <c r="R6226">
        <v>4.1114879999999999E-3</v>
      </c>
      <c r="S6226">
        <v>3.0373079999999999</v>
      </c>
      <c r="T6226">
        <v>-0.1013013</v>
      </c>
      <c r="U6226">
        <v>3.1036379999999999E-2</v>
      </c>
      <c r="V6226">
        <v>-3.4982989999999999E-2</v>
      </c>
      <c r="W6226">
        <v>0.1411145</v>
      </c>
      <c r="X6226">
        <v>0.989375</v>
      </c>
      <c r="Y6226">
        <v>-4.1567710000000001E-2</v>
      </c>
      <c r="Z6226">
        <v>1.73974E-3</v>
      </c>
      <c r="AA6226">
        <v>0.99913419999999997</v>
      </c>
      <c r="AB6226">
        <v>33</v>
      </c>
      <c r="AC6226">
        <v>33.1387</v>
      </c>
      <c r="AD6226">
        <v>-1.109570509354</v>
      </c>
      <c r="AE6226">
        <v>0.34426999999999403</v>
      </c>
      <c r="AF6226">
        <v>-1.38300895906676</v>
      </c>
      <c r="AG6226">
        <v>-1.109570509354</v>
      </c>
      <c r="AH6226">
        <v>33.074477869633597</v>
      </c>
      <c r="AI6226">
        <v>91.919740957825795</v>
      </c>
      <c r="AJ6226">
        <v>92.394427546577205</v>
      </c>
      <c r="AK6226">
        <v>33.121970757262801</v>
      </c>
      <c r="AL6226">
        <v>81.887657327376203</v>
      </c>
      <c r="AM6226">
        <v>92.025059247275294</v>
      </c>
      <c r="AN6226">
        <v>1.00000000116229</v>
      </c>
    </row>
    <row r="6227" spans="1:40" x14ac:dyDescent="0.25">
      <c r="A6227" t="str">
        <f>"20190312164148688"</f>
        <v>20190312164148688</v>
      </c>
      <c r="B6227" t="str">
        <f>"1552380108682051"</f>
        <v>1552380108682051</v>
      </c>
      <c r="C6227" t="s">
        <v>40</v>
      </c>
      <c r="D6227">
        <v>6.0574059999999896</v>
      </c>
      <c r="E6227">
        <v>0.49845099999999998</v>
      </c>
      <c r="F6227" t="s">
        <v>60</v>
      </c>
      <c r="G6227">
        <v>-215.04169999999999</v>
      </c>
      <c r="H6227" s="1">
        <v>-1.5179600000000001E-6</v>
      </c>
      <c r="I6227">
        <v>-61.834629999999997</v>
      </c>
      <c r="J6227">
        <v>-248.01240000000001</v>
      </c>
      <c r="K6227">
        <v>1.1096220000000001</v>
      </c>
      <c r="L6227">
        <v>-62.155209999999997</v>
      </c>
      <c r="M6227">
        <v>0.99939199999999995</v>
      </c>
      <c r="N6227">
        <v>0</v>
      </c>
      <c r="O6227">
        <v>-3.1703710000000003E-2</v>
      </c>
      <c r="P6227">
        <v>0.99192630000000004</v>
      </c>
      <c r="Q6227">
        <v>0.12675210000000001</v>
      </c>
      <c r="R6227">
        <v>4.0227040000000002E-3</v>
      </c>
      <c r="S6227">
        <v>3.0372309999999998</v>
      </c>
      <c r="T6227">
        <v>-0.1017007</v>
      </c>
      <c r="U6227">
        <v>2.886963E-2</v>
      </c>
      <c r="V6227">
        <v>-3.5218470000000002E-2</v>
      </c>
      <c r="W6227">
        <v>0.14119329999999999</v>
      </c>
      <c r="X6227">
        <v>0.9893554</v>
      </c>
      <c r="Y6227">
        <v>-4.1164810000000003E-2</v>
      </c>
      <c r="Z6227">
        <v>1.7502710000000001E-3</v>
      </c>
      <c r="AA6227">
        <v>0.99915080000000001</v>
      </c>
      <c r="AB6227">
        <v>33</v>
      </c>
      <c r="AC6227">
        <v>32.970700000000001</v>
      </c>
      <c r="AD6227">
        <v>-1.10962351795999</v>
      </c>
      <c r="AE6227">
        <v>0.32057999999999198</v>
      </c>
      <c r="AF6227">
        <v>-1.36427726264879</v>
      </c>
      <c r="AG6227">
        <v>-1.10962351795999</v>
      </c>
      <c r="AH6227">
        <v>32.906689683672298</v>
      </c>
      <c r="AI6227">
        <v>91.929642804763304</v>
      </c>
      <c r="AJ6227">
        <v>92.374064065959104</v>
      </c>
      <c r="AK6227">
        <v>32.953645363426702</v>
      </c>
      <c r="AL6227">
        <v>81.883096732586097</v>
      </c>
      <c r="AM6227">
        <v>92.038719360673497</v>
      </c>
      <c r="AN6227">
        <v>0.99999999805159501</v>
      </c>
    </row>
    <row r="6228" spans="1:40" x14ac:dyDescent="0.25">
      <c r="A6228" t="str">
        <f>"20190312164148700"</f>
        <v>20190312164148700</v>
      </c>
      <c r="B6228" t="str">
        <f>"1552380108691812"</f>
        <v>1552380108691812</v>
      </c>
      <c r="C6228" t="s">
        <v>40</v>
      </c>
      <c r="D6228">
        <v>6.1935799999999999</v>
      </c>
      <c r="E6228">
        <v>0.49850470000000002</v>
      </c>
      <c r="F6228" t="s">
        <v>60</v>
      </c>
      <c r="G6228">
        <v>-214.86930000000001</v>
      </c>
      <c r="H6228" s="1">
        <v>-1.447073E-6</v>
      </c>
      <c r="I6228">
        <v>-61.8461199999999</v>
      </c>
      <c r="J6228">
        <v>-247.85849999999999</v>
      </c>
      <c r="K6228">
        <v>1.109672</v>
      </c>
      <c r="L6228">
        <v>-62.160369999999901</v>
      </c>
      <c r="M6228">
        <v>0.99938320000000003</v>
      </c>
      <c r="N6228">
        <v>0</v>
      </c>
      <c r="O6228">
        <v>-3.198322E-2</v>
      </c>
      <c r="P6228">
        <v>0.99192939999999996</v>
      </c>
      <c r="Q6228">
        <v>0.12673770000000001</v>
      </c>
      <c r="R6228">
        <v>3.7792920000000001E-3</v>
      </c>
      <c r="S6228">
        <v>3.0373079999999999</v>
      </c>
      <c r="T6228">
        <v>-0.1016883</v>
      </c>
      <c r="U6228">
        <v>2.8320310000000001E-2</v>
      </c>
      <c r="V6228">
        <v>-3.5268609999999999E-2</v>
      </c>
      <c r="W6228">
        <v>0.14116790000000001</v>
      </c>
      <c r="X6228">
        <v>0.98935720000000005</v>
      </c>
      <c r="Y6228">
        <v>-4.1263130000000002E-2</v>
      </c>
      <c r="Z6228">
        <v>1.7610130000000001E-3</v>
      </c>
      <c r="AA6228">
        <v>0.9991468</v>
      </c>
      <c r="AB6228">
        <v>33</v>
      </c>
      <c r="AC6228">
        <v>32.989199999999897</v>
      </c>
      <c r="AD6228">
        <v>-1.1096734470730001</v>
      </c>
      <c r="AE6228">
        <v>0.31425000000000097</v>
      </c>
      <c r="AF6228">
        <v>-1.3677535515835699</v>
      </c>
      <c r="AG6228">
        <v>-1.1096734470730001</v>
      </c>
      <c r="AH6228">
        <v>32.925016974328102</v>
      </c>
      <c r="AI6228">
        <v>91.928649631014494</v>
      </c>
      <c r="AJ6228">
        <v>92.378783091885495</v>
      </c>
      <c r="AK6228">
        <v>32.972092255372601</v>
      </c>
      <c r="AL6228">
        <v>81.884566458737794</v>
      </c>
      <c r="AM6228">
        <v>92.041615688596096</v>
      </c>
      <c r="AN6228">
        <v>0.99999996001679003</v>
      </c>
    </row>
    <row r="6229" spans="1:40" x14ac:dyDescent="0.25">
      <c r="A6229" t="str">
        <f>"20190312164148710"</f>
        <v>20190312164148710</v>
      </c>
      <c r="B6229" t="str">
        <f>"1552380108702547"</f>
        <v>1552380108702547</v>
      </c>
      <c r="C6229" t="s">
        <v>40</v>
      </c>
      <c r="D6229">
        <v>6.1646679999999998</v>
      </c>
      <c r="E6229">
        <v>0.49857639999999998</v>
      </c>
      <c r="F6229" t="s">
        <v>60</v>
      </c>
      <c r="G6229">
        <v>-214.79169999999999</v>
      </c>
      <c r="H6229" s="1">
        <v>-1.418813E-6</v>
      </c>
      <c r="I6229">
        <v>-61.86495</v>
      </c>
      <c r="J6229">
        <v>-247.69890000000001</v>
      </c>
      <c r="K6229">
        <v>1.1097129999999999</v>
      </c>
      <c r="L6229">
        <v>-62.165770000000002</v>
      </c>
      <c r="M6229">
        <v>0.99937509999999996</v>
      </c>
      <c r="N6229">
        <v>0</v>
      </c>
      <c r="O6229">
        <v>-3.2241579999999999E-2</v>
      </c>
      <c r="P6229">
        <v>0.99198160000000002</v>
      </c>
      <c r="Q6229">
        <v>0.12633169999999999</v>
      </c>
      <c r="R6229">
        <v>3.6203440000000002E-3</v>
      </c>
      <c r="S6229">
        <v>3.0373540000000001</v>
      </c>
      <c r="T6229">
        <v>-0.1019293</v>
      </c>
      <c r="U6229">
        <v>2.7130129999999999E-2</v>
      </c>
      <c r="V6229">
        <v>-3.538256E-2</v>
      </c>
      <c r="W6229">
        <v>0.14074719999999999</v>
      </c>
      <c r="X6229">
        <v>0.98941310000000005</v>
      </c>
      <c r="Y6229">
        <v>-4.1129539999999999E-2</v>
      </c>
      <c r="Z6229">
        <v>1.771585E-3</v>
      </c>
      <c r="AA6229">
        <v>0.99915220000000005</v>
      </c>
      <c r="AB6229">
        <v>33</v>
      </c>
      <c r="AC6229">
        <v>32.907200000000003</v>
      </c>
      <c r="AD6229">
        <v>-1.1097144188129999</v>
      </c>
      <c r="AE6229">
        <v>0.30081999999999398</v>
      </c>
      <c r="AF6229">
        <v>-1.36020834284026</v>
      </c>
      <c r="AG6229">
        <v>-1.1097144188129999</v>
      </c>
      <c r="AH6229">
        <v>32.843041883913003</v>
      </c>
      <c r="AI6229">
        <v>91.933541242135504</v>
      </c>
      <c r="AJ6229">
        <v>92.371573401805193</v>
      </c>
      <c r="AK6229">
        <v>32.8899229706565</v>
      </c>
      <c r="AL6229">
        <v>81.908914141468202</v>
      </c>
      <c r="AM6229">
        <v>92.048090751735003</v>
      </c>
      <c r="AN6229">
        <v>0.99999999115580096</v>
      </c>
    </row>
    <row r="6230" spans="1:40" x14ac:dyDescent="0.25">
      <c r="A6230" t="str">
        <f>"20190312164148722"</f>
        <v>20190312164148722</v>
      </c>
      <c r="B6230" t="str">
        <f>"1552380108712307"</f>
        <v>1552380108712307</v>
      </c>
      <c r="C6230" t="s">
        <v>40</v>
      </c>
      <c r="D6230">
        <v>6.2084979999999996</v>
      </c>
      <c r="E6230">
        <v>0.49861899999999998</v>
      </c>
      <c r="F6230" t="s">
        <v>60</v>
      </c>
      <c r="G6230">
        <v>-214.85319999999999</v>
      </c>
      <c r="H6230" s="1">
        <v>-1.4501089999999999E-6</v>
      </c>
      <c r="I6230">
        <v>-61.883540000000004</v>
      </c>
      <c r="J6230">
        <v>-247.54089999999999</v>
      </c>
      <c r="K6230">
        <v>1.109748</v>
      </c>
      <c r="L6230">
        <v>-62.171140000000001</v>
      </c>
      <c r="M6230">
        <v>0.99936720000000001</v>
      </c>
      <c r="N6230">
        <v>0</v>
      </c>
      <c r="O6230">
        <v>-3.2487719999999998E-2</v>
      </c>
      <c r="P6230">
        <v>0.992089</v>
      </c>
      <c r="Q6230">
        <v>0.12548809999999999</v>
      </c>
      <c r="R6230">
        <v>3.474633E-3</v>
      </c>
      <c r="S6230">
        <v>3.0372309999999998</v>
      </c>
      <c r="T6230">
        <v>-0.10261480000000001</v>
      </c>
      <c r="U6230">
        <v>2.6092529999999999E-2</v>
      </c>
      <c r="V6230">
        <v>-3.5498729999999999E-2</v>
      </c>
      <c r="W6230">
        <v>0.13988800000000001</v>
      </c>
      <c r="X6230">
        <v>0.98953080000000004</v>
      </c>
      <c r="Y6230">
        <v>-4.1034029999999999E-2</v>
      </c>
      <c r="Z6230">
        <v>1.7902629999999901E-3</v>
      </c>
      <c r="AA6230">
        <v>0.99915609999999999</v>
      </c>
      <c r="AB6230">
        <v>33</v>
      </c>
      <c r="AC6230">
        <v>32.6877</v>
      </c>
      <c r="AD6230">
        <v>-1.1097494501089999</v>
      </c>
      <c r="AE6230">
        <v>0.28759999999999702</v>
      </c>
      <c r="AF6230">
        <v>-1.34795484570736</v>
      </c>
      <c r="AG6230">
        <v>-1.1097494501089999</v>
      </c>
      <c r="AH6230">
        <v>32.6234980756726</v>
      </c>
      <c r="AI6230">
        <v>91.946612451023398</v>
      </c>
      <c r="AJ6230">
        <v>92.366031308561901</v>
      </c>
      <c r="AK6230">
        <v>32.670187523206799</v>
      </c>
      <c r="AL6230">
        <v>81.958634722722493</v>
      </c>
      <c r="AM6230">
        <v>92.054565202568696</v>
      </c>
      <c r="AN6230">
        <v>1.0000000082621201</v>
      </c>
    </row>
    <row r="6231" spans="1:40" x14ac:dyDescent="0.25">
      <c r="A6231" t="str">
        <f>"20190312164148732"</f>
        <v>20190312164148732</v>
      </c>
      <c r="B6231" t="str">
        <f>"1552380108722068"</f>
        <v>1552380108722068</v>
      </c>
      <c r="C6231" t="s">
        <v>40</v>
      </c>
      <c r="D6231">
        <v>6.2809400000000002</v>
      </c>
      <c r="E6231">
        <v>0.49869970000000002</v>
      </c>
      <c r="F6231" t="s">
        <v>60</v>
      </c>
      <c r="G6231">
        <v>-215.57859999999999</v>
      </c>
      <c r="H6231" s="1">
        <v>-1.766823E-6</v>
      </c>
      <c r="I6231">
        <v>-61.904200000000003</v>
      </c>
      <c r="J6231">
        <v>-247.37880000000001</v>
      </c>
      <c r="K6231">
        <v>1.1097709999999901</v>
      </c>
      <c r="L6231">
        <v>-62.176699999999997</v>
      </c>
      <c r="M6231">
        <v>0.99935980000000002</v>
      </c>
      <c r="N6231">
        <v>0</v>
      </c>
      <c r="O6231">
        <v>-3.2722599999999998E-2</v>
      </c>
      <c r="P6231">
        <v>0.99216660000000001</v>
      </c>
      <c r="Q6231">
        <v>0.12486999999999999</v>
      </c>
      <c r="R6231">
        <v>3.6023420000000001E-3</v>
      </c>
      <c r="S6231">
        <v>3.03714</v>
      </c>
      <c r="T6231">
        <v>-0.1054513</v>
      </c>
      <c r="U6231">
        <v>2.5360110000000002E-2</v>
      </c>
      <c r="V6231">
        <v>-3.5874280000000001E-2</v>
      </c>
      <c r="W6231">
        <v>0.1392496</v>
      </c>
      <c r="X6231">
        <v>0.98960729999999997</v>
      </c>
      <c r="Y6231">
        <v>-4.1025680000000002E-2</v>
      </c>
      <c r="Z6231">
        <v>1.8477840000000001E-3</v>
      </c>
      <c r="AA6231">
        <v>0.99915639999999994</v>
      </c>
      <c r="AB6231">
        <v>33</v>
      </c>
      <c r="AC6231">
        <v>31.8002</v>
      </c>
      <c r="AD6231">
        <v>-1.10977276682299</v>
      </c>
      <c r="AE6231">
        <v>0.27249999999999303</v>
      </c>
      <c r="AF6231">
        <v>-1.3114510490515801</v>
      </c>
      <c r="AG6231">
        <v>-1.10977276682299</v>
      </c>
      <c r="AH6231">
        <v>31.7356010415787</v>
      </c>
      <c r="AI6231">
        <v>92.001072535831995</v>
      </c>
      <c r="AJ6231">
        <v>92.366360774685205</v>
      </c>
      <c r="AK6231">
        <v>31.782068417871901</v>
      </c>
      <c r="AL6231">
        <v>81.995573922662203</v>
      </c>
      <c r="AM6231">
        <v>92.076121677466901</v>
      </c>
      <c r="AN6231">
        <v>1.00000001163948</v>
      </c>
    </row>
    <row r="6232" spans="1:40" x14ac:dyDescent="0.25">
      <c r="A6232" t="str">
        <f>"20190312164148744"</f>
        <v>20190312164148744</v>
      </c>
      <c r="B6232" t="str">
        <f>"1552380108731827"</f>
        <v>1552380108731827</v>
      </c>
      <c r="C6232" t="s">
        <v>40</v>
      </c>
      <c r="D6232">
        <v>6.1034449999999998</v>
      </c>
      <c r="E6232">
        <v>0.4987837</v>
      </c>
      <c r="F6232" t="s">
        <v>60</v>
      </c>
      <c r="G6232">
        <v>-215.87010000000001</v>
      </c>
      <c r="H6232" s="1">
        <v>-1.89449E-6</v>
      </c>
      <c r="I6232">
        <v>-61.914160000000003</v>
      </c>
      <c r="J6232">
        <v>-247.21299999999999</v>
      </c>
      <c r="K6232">
        <v>1.1097919999999999</v>
      </c>
      <c r="L6232">
        <v>-62.182400000000001</v>
      </c>
      <c r="M6232">
        <v>0.99935260000000004</v>
      </c>
      <c r="N6232">
        <v>0</v>
      </c>
      <c r="O6232">
        <v>-3.2953469999999999E-2</v>
      </c>
      <c r="P6232">
        <v>0.99226829999999999</v>
      </c>
      <c r="Q6232">
        <v>0.1240444</v>
      </c>
      <c r="R6232">
        <v>4.088693E-3</v>
      </c>
      <c r="S6232">
        <v>3.037064</v>
      </c>
      <c r="T6232">
        <v>-0.10696849999999999</v>
      </c>
      <c r="U6232">
        <v>2.529907E-2</v>
      </c>
      <c r="V6232">
        <v>-3.6603490000000002E-2</v>
      </c>
      <c r="W6232">
        <v>0.13839870000000001</v>
      </c>
      <c r="X6232">
        <v>0.98970000000000002</v>
      </c>
      <c r="Y6232">
        <v>-4.1235059999999997E-2</v>
      </c>
      <c r="Z6232">
        <v>1.8862110000000001E-3</v>
      </c>
      <c r="AA6232">
        <v>0.99914769999999997</v>
      </c>
      <c r="AB6232">
        <v>33</v>
      </c>
      <c r="AC6232">
        <v>31.342899999999901</v>
      </c>
      <c r="AD6232">
        <v>-1.1097938944900001</v>
      </c>
      <c r="AE6232">
        <v>0.26824000000000497</v>
      </c>
      <c r="AF6232">
        <v>-1.2994302421000401</v>
      </c>
      <c r="AG6232">
        <v>-1.1097938944900001</v>
      </c>
      <c r="AH6232">
        <v>31.277822072084501</v>
      </c>
      <c r="AI6232">
        <v>92.030355810013603</v>
      </c>
      <c r="AJ6232">
        <v>92.3789725163535</v>
      </c>
      <c r="AK6232">
        <v>31.3244683117736</v>
      </c>
      <c r="AL6232">
        <v>82.044803920707295</v>
      </c>
      <c r="AM6232">
        <v>92.118086337151794</v>
      </c>
      <c r="AN6232">
        <v>1.0000000528209301</v>
      </c>
    </row>
    <row r="6233" spans="1:40" x14ac:dyDescent="0.25">
      <c r="A6233" t="str">
        <f>"20190312164148756"</f>
        <v>20190312164148756</v>
      </c>
      <c r="B6233" t="str">
        <f>"1552380108752323"</f>
        <v>1552380108752323</v>
      </c>
      <c r="C6233" t="s">
        <v>40</v>
      </c>
      <c r="D6233">
        <v>6.2630980000000003</v>
      </c>
      <c r="E6233">
        <v>0.49890289999999998</v>
      </c>
      <c r="F6233" t="s">
        <v>60</v>
      </c>
      <c r="G6233">
        <v>-216.24780000000001</v>
      </c>
      <c r="H6233" s="1">
        <v>-2.0561040000000002E-6</v>
      </c>
      <c r="I6233">
        <v>-61.912559999999999</v>
      </c>
      <c r="J6233">
        <v>-247.0455</v>
      </c>
      <c r="K6233">
        <v>1.109809</v>
      </c>
      <c r="L6233">
        <v>-62.1881699999999</v>
      </c>
      <c r="M6233">
        <v>0.9993455</v>
      </c>
      <c r="N6233">
        <v>0</v>
      </c>
      <c r="O6233">
        <v>-3.3178659999999999E-2</v>
      </c>
      <c r="P6233">
        <v>0.99232580000000004</v>
      </c>
      <c r="Q6233">
        <v>0.1235648</v>
      </c>
      <c r="R6233">
        <v>4.6392050000000004E-3</v>
      </c>
      <c r="S6233">
        <v>3.036896</v>
      </c>
      <c r="T6233">
        <v>-0.10884249999999999</v>
      </c>
      <c r="U6233">
        <v>2.6458740000000001E-2</v>
      </c>
      <c r="V6233">
        <v>-3.7388129999999999E-2</v>
      </c>
      <c r="W6233">
        <v>0.1378895</v>
      </c>
      <c r="X6233">
        <v>0.98974169999999995</v>
      </c>
      <c r="Y6233">
        <v>-4.1839990000000001E-2</v>
      </c>
      <c r="Z6233">
        <v>1.938242E-3</v>
      </c>
      <c r="AA6233">
        <v>0.99912239999999997</v>
      </c>
      <c r="AB6233">
        <v>33</v>
      </c>
      <c r="AC6233">
        <v>30.797699999999899</v>
      </c>
      <c r="AD6233">
        <v>-1.109811056104</v>
      </c>
      <c r="AE6233">
        <v>0.27560999999999303</v>
      </c>
      <c r="AF6233">
        <v>-1.2957083841839501</v>
      </c>
      <c r="AG6233">
        <v>-1.109811056104</v>
      </c>
      <c r="AH6233">
        <v>30.731691367959701</v>
      </c>
      <c r="AI6233">
        <v>92.066384800361803</v>
      </c>
      <c r="AJ6233">
        <v>92.414272557898499</v>
      </c>
      <c r="AK6233">
        <v>30.7790090017957</v>
      </c>
      <c r="AL6233">
        <v>82.074261019456898</v>
      </c>
      <c r="AM6233">
        <v>92.163356318480595</v>
      </c>
      <c r="AN6233">
        <v>1.0000000095970101</v>
      </c>
    </row>
    <row r="6234" spans="1:40" x14ac:dyDescent="0.25">
      <c r="A6234" t="str">
        <f>"20190312164148766"</f>
        <v>20190312164148766</v>
      </c>
      <c r="B6234" t="str">
        <f>"1552380108762083"</f>
        <v>1552380108762083</v>
      </c>
      <c r="C6234" t="s">
        <v>40</v>
      </c>
      <c r="D6234">
        <v>6.2474239999999996</v>
      </c>
      <c r="E6234">
        <v>0.49893700000000002</v>
      </c>
      <c r="F6234" t="s">
        <v>60</v>
      </c>
      <c r="G6234">
        <v>-216.27719999999999</v>
      </c>
      <c r="H6234" s="1">
        <v>-2.067597E-6</v>
      </c>
      <c r="I6234">
        <v>-61.908279999999998</v>
      </c>
      <c r="J6234">
        <v>-246.88589999999999</v>
      </c>
      <c r="K6234">
        <v>1.1098190000000001</v>
      </c>
      <c r="L6234">
        <v>-62.193730000000002</v>
      </c>
      <c r="M6234">
        <v>0.99933910000000004</v>
      </c>
      <c r="N6234">
        <v>0</v>
      </c>
      <c r="O6234">
        <v>-3.3386190000000003E-2</v>
      </c>
      <c r="P6234">
        <v>0.9923708</v>
      </c>
      <c r="Q6234">
        <v>0.12317409999999999</v>
      </c>
      <c r="R6234">
        <v>5.3546979999999997E-3</v>
      </c>
      <c r="S6234">
        <v>3.0366970000000002</v>
      </c>
      <c r="T6234">
        <v>-0.10953350000000001</v>
      </c>
      <c r="U6234">
        <v>2.7618409999999999E-2</v>
      </c>
      <c r="V6234">
        <v>-3.8317299999999999E-2</v>
      </c>
      <c r="W6234">
        <v>0.137465899999999</v>
      </c>
      <c r="X6234">
        <v>0.98976509999999995</v>
      </c>
      <c r="Y6234">
        <v>-4.2428399999999998E-2</v>
      </c>
      <c r="Z6234">
        <v>1.968755E-3</v>
      </c>
      <c r="AA6234">
        <v>0.99909760000000003</v>
      </c>
      <c r="AB6234">
        <v>33</v>
      </c>
      <c r="AC6234">
        <v>30.608699999999999</v>
      </c>
      <c r="AD6234">
        <v>-1.1098210675969999</v>
      </c>
      <c r="AE6234">
        <v>0.28544999999999698</v>
      </c>
      <c r="AF6234">
        <v>-1.30558808763993</v>
      </c>
      <c r="AG6234">
        <v>-1.1098210675969999</v>
      </c>
      <c r="AH6234">
        <v>30.541952793706798</v>
      </c>
      <c r="AI6234">
        <v>92.079177962893198</v>
      </c>
      <c r="AJ6234">
        <v>92.447753525532605</v>
      </c>
      <c r="AK6234">
        <v>30.589984365960099</v>
      </c>
      <c r="AL6234">
        <v>82.098764951611997</v>
      </c>
      <c r="AM6234">
        <v>92.217014695505398</v>
      </c>
      <c r="AN6234">
        <v>1.0000000211600499</v>
      </c>
    </row>
    <row r="6235" spans="1:40" x14ac:dyDescent="0.25">
      <c r="A6235" t="str">
        <f>"20190312164148778"</f>
        <v>20190312164148778</v>
      </c>
      <c r="B6235" t="str">
        <f>"1552380108771843"</f>
        <v>1552380108771843</v>
      </c>
      <c r="C6235" t="s">
        <v>40</v>
      </c>
      <c r="D6235">
        <v>6.2212769999999997</v>
      </c>
      <c r="E6235">
        <v>0.49901319999999999</v>
      </c>
      <c r="F6235" t="s">
        <v>60</v>
      </c>
      <c r="G6235">
        <v>-216.4367</v>
      </c>
      <c r="H6235" s="1">
        <v>-2.1319170000000001E-6</v>
      </c>
      <c r="I6235">
        <v>-61.892850000000003</v>
      </c>
      <c r="J6235">
        <v>-246.71</v>
      </c>
      <c r="K6235">
        <v>1.1098300000000001</v>
      </c>
      <c r="L6235">
        <v>-62.199860000000001</v>
      </c>
      <c r="M6235">
        <v>0.99933209999999995</v>
      </c>
      <c r="N6235">
        <v>0</v>
      </c>
      <c r="O6235">
        <v>-3.3612639999999999E-2</v>
      </c>
      <c r="P6235">
        <v>0.99236009999999997</v>
      </c>
      <c r="Q6235">
        <v>0.1232364</v>
      </c>
      <c r="R6235">
        <v>5.8568989999999996E-3</v>
      </c>
      <c r="S6235">
        <v>3.0366059999999999</v>
      </c>
      <c r="T6235">
        <v>-0.1106791</v>
      </c>
      <c r="U6235">
        <v>2.9998779999999999E-2</v>
      </c>
      <c r="V6235">
        <v>-3.9050109999999999E-2</v>
      </c>
      <c r="W6235">
        <v>0.13749</v>
      </c>
      <c r="X6235">
        <v>0.98973310000000003</v>
      </c>
      <c r="Y6235">
        <v>-4.3436280000000001E-2</v>
      </c>
      <c r="Z6235">
        <v>2.0159990000000001E-3</v>
      </c>
      <c r="AA6235">
        <v>0.9990542</v>
      </c>
      <c r="AB6235">
        <v>33</v>
      </c>
      <c r="AC6235">
        <v>30.273299999999999</v>
      </c>
      <c r="AD6235">
        <v>-1.1098321319169999</v>
      </c>
      <c r="AE6235">
        <v>0.30700999999999801</v>
      </c>
      <c r="AF6235">
        <v>-1.3227290641293099</v>
      </c>
      <c r="AG6235">
        <v>-1.1098321319169999</v>
      </c>
      <c r="AH6235">
        <v>30.2052783137995</v>
      </c>
      <c r="AI6235">
        <v>92.102258482468301</v>
      </c>
      <c r="AJ6235">
        <v>92.507455907418105</v>
      </c>
      <c r="AK6235">
        <v>30.254589363470298</v>
      </c>
      <c r="AL6235">
        <v>82.097370799405596</v>
      </c>
      <c r="AM6235">
        <v>92.259444062628901</v>
      </c>
      <c r="AN6235">
        <v>1.00000001021331</v>
      </c>
    </row>
    <row r="6236" spans="1:40" x14ac:dyDescent="0.25">
      <c r="A6236" t="str">
        <f>"20190312164148789"</f>
        <v>20190312164148789</v>
      </c>
      <c r="B6236" t="str">
        <f>"1552380108782580"</f>
        <v>1552380108782580</v>
      </c>
      <c r="C6236" t="s">
        <v>40</v>
      </c>
      <c r="D6236">
        <v>6.1162710000000002</v>
      </c>
      <c r="E6236">
        <v>0.49906489999999998</v>
      </c>
      <c r="F6236" t="s">
        <v>60</v>
      </c>
      <c r="G6236">
        <v>-216.1181</v>
      </c>
      <c r="H6236" s="1">
        <v>-1.9927489999999999E-6</v>
      </c>
      <c r="I6236">
        <v>-61.88344</v>
      </c>
      <c r="J6236">
        <v>-246.5504</v>
      </c>
      <c r="K6236">
        <v>1.109836</v>
      </c>
      <c r="L6236">
        <v>-62.205469999999998</v>
      </c>
      <c r="M6236">
        <v>0.99932569999999998</v>
      </c>
      <c r="N6236">
        <v>0</v>
      </c>
      <c r="O6236">
        <v>-3.3815369999999997E-2</v>
      </c>
      <c r="P6236">
        <v>0.99231930000000002</v>
      </c>
      <c r="Q6236">
        <v>0.12354900000000001</v>
      </c>
      <c r="R6236">
        <v>6.1740700000000003E-3</v>
      </c>
      <c r="S6236">
        <v>3.0366209999999998</v>
      </c>
      <c r="T6236">
        <v>-0.1101645</v>
      </c>
      <c r="U6236">
        <v>3.1402590000000001E-2</v>
      </c>
      <c r="V6236">
        <v>-3.9570080000000001E-2</v>
      </c>
      <c r="W6236">
        <v>0.137763</v>
      </c>
      <c r="X6236">
        <v>0.98967450000000001</v>
      </c>
      <c r="Y6236">
        <v>-4.4100590000000002E-2</v>
      </c>
      <c r="Z6236">
        <v>2.026014E-3</v>
      </c>
      <c r="AA6236">
        <v>0.99902500000000005</v>
      </c>
      <c r="AB6236">
        <v>33</v>
      </c>
      <c r="AC6236">
        <v>30.432300000000001</v>
      </c>
      <c r="AD6236">
        <v>-1.1098379927490001</v>
      </c>
      <c r="AE6236">
        <v>0.32202999999999798</v>
      </c>
      <c r="AF6236">
        <v>-1.3492363266998399</v>
      </c>
      <c r="AG6236">
        <v>-1.1098379927490001</v>
      </c>
      <c r="AH6236">
        <v>30.3636225206658</v>
      </c>
      <c r="AI6236">
        <v>92.091256841671097</v>
      </c>
      <c r="AJ6236">
        <v>92.544318482373001</v>
      </c>
      <c r="AK6236">
        <v>30.413841447816498</v>
      </c>
      <c r="AL6236">
        <v>82.081578901179199</v>
      </c>
      <c r="AM6236">
        <v>92.289633203758697</v>
      </c>
      <c r="AN6236">
        <v>1.00000002567522</v>
      </c>
    </row>
    <row r="6237" spans="1:40" x14ac:dyDescent="0.25">
      <c r="A6237" t="str">
        <f>"20190312164148813"</f>
        <v>20190312164148813</v>
      </c>
      <c r="B6237" t="str">
        <f>"1552380108802099"</f>
        <v>1552380108802099</v>
      </c>
      <c r="C6237" t="s">
        <v>40</v>
      </c>
      <c r="D6237">
        <v>6.0288069999999996</v>
      </c>
      <c r="E6237">
        <v>0.4991332</v>
      </c>
      <c r="F6237" t="s">
        <v>60</v>
      </c>
      <c r="G6237">
        <v>-215.59960000000001</v>
      </c>
      <c r="H6237" s="1">
        <v>-1.7681329999999999E-6</v>
      </c>
      <c r="I6237">
        <v>-61.87538</v>
      </c>
      <c r="J6237">
        <v>-246.203</v>
      </c>
      <c r="K6237">
        <v>1.1098429999999999</v>
      </c>
      <c r="L6237">
        <v>-62.217799999999997</v>
      </c>
      <c r="M6237">
        <v>0.99931190000000003</v>
      </c>
      <c r="N6237">
        <v>0</v>
      </c>
      <c r="O6237">
        <v>-3.4257639999999999E-2</v>
      </c>
      <c r="P6237">
        <v>0.99215359999999997</v>
      </c>
      <c r="Q6237">
        <v>0.12484389999999899</v>
      </c>
      <c r="R6237">
        <v>6.7190629999999999E-3</v>
      </c>
      <c r="S6237">
        <v>3.0365600000000001</v>
      </c>
      <c r="T6237">
        <v>-0.108885</v>
      </c>
      <c r="U6237">
        <v>3.2379150000000002E-2</v>
      </c>
      <c r="V6237">
        <v>-4.0553699999999998E-2</v>
      </c>
      <c r="W6237">
        <v>0.1389705</v>
      </c>
      <c r="X6237">
        <v>0.98946579999999995</v>
      </c>
      <c r="Y6237">
        <v>-4.4864559999999998E-2</v>
      </c>
      <c r="Z6237">
        <v>2.0320780000000001E-3</v>
      </c>
      <c r="AA6237">
        <v>0.99899099999999996</v>
      </c>
      <c r="AB6237">
        <v>33</v>
      </c>
      <c r="AC6237">
        <v>30.603399999999901</v>
      </c>
      <c r="AD6237">
        <v>-1.1098447681329999</v>
      </c>
      <c r="AE6237">
        <v>0.34241999999998901</v>
      </c>
      <c r="AF6237">
        <v>-1.3888987859717301</v>
      </c>
      <c r="AG6237">
        <v>-1.1098447681329999</v>
      </c>
      <c r="AH6237">
        <v>30.533549469148198</v>
      </c>
      <c r="AI6237">
        <v>92.079543349136699</v>
      </c>
      <c r="AJ6237">
        <v>92.604453868177004</v>
      </c>
      <c r="AK6237">
        <v>30.585265054139199</v>
      </c>
      <c r="AL6237">
        <v>82.011721978450097</v>
      </c>
      <c r="AM6237">
        <v>92.346979674844903</v>
      </c>
      <c r="AN6237">
        <v>0.99999998591178996</v>
      </c>
    </row>
    <row r="6238" spans="1:40" x14ac:dyDescent="0.25">
      <c r="A6238" t="str">
        <f>"20190312164148824"</f>
        <v>20190312164148824</v>
      </c>
      <c r="B6238" t="str">
        <f>"1552380108811860"</f>
        <v>1552380108811860</v>
      </c>
      <c r="C6238" t="s">
        <v>40</v>
      </c>
      <c r="D6238">
        <v>6.112908</v>
      </c>
      <c r="E6238">
        <v>0.49902980000000002</v>
      </c>
      <c r="F6238" t="s">
        <v>60</v>
      </c>
      <c r="G6238">
        <v>-214.01</v>
      </c>
      <c r="H6238" s="1">
        <v>-1.0787660000000001E-6</v>
      </c>
      <c r="I6238">
        <v>-61.847299999999997</v>
      </c>
      <c r="J6238">
        <v>-246.0497</v>
      </c>
      <c r="K6238">
        <v>1.1098479999999999</v>
      </c>
      <c r="L6238">
        <v>-62.2232699999999</v>
      </c>
      <c r="M6238">
        <v>0.99930580000000002</v>
      </c>
      <c r="N6238">
        <v>0</v>
      </c>
      <c r="O6238">
        <v>-3.445438E-2</v>
      </c>
      <c r="P6238">
        <v>0.99208459999999998</v>
      </c>
      <c r="Q6238">
        <v>0.1253782</v>
      </c>
      <c r="R6238">
        <v>6.9937460000000003E-3</v>
      </c>
      <c r="S6238">
        <v>3.0366520000000001</v>
      </c>
      <c r="T6238">
        <v>-0.10468760000000001</v>
      </c>
      <c r="U6238">
        <v>3.4942630000000002E-2</v>
      </c>
      <c r="V6238">
        <v>-4.1023570000000002E-2</v>
      </c>
      <c r="W6238">
        <v>0.1394658</v>
      </c>
      <c r="X6238">
        <v>0.9893767</v>
      </c>
      <c r="Y6238">
        <v>-4.590719E-2</v>
      </c>
      <c r="Z6238">
        <v>1.97847E-3</v>
      </c>
      <c r="AA6238">
        <v>0.99894369999999999</v>
      </c>
      <c r="AB6238">
        <v>33</v>
      </c>
      <c r="AC6238">
        <v>32.039700000000003</v>
      </c>
      <c r="AD6238">
        <v>-1.109849078766</v>
      </c>
      <c r="AE6238">
        <v>0.37596999999999497</v>
      </c>
      <c r="AF6238">
        <v>-1.4779923636091501</v>
      </c>
      <c r="AG6238">
        <v>-1.109849078766</v>
      </c>
      <c r="AH6238">
        <v>31.969362904218901</v>
      </c>
      <c r="AI6238">
        <v>91.9861632570138</v>
      </c>
      <c r="AJ6238">
        <v>92.646986421954793</v>
      </c>
      <c r="AK6238">
        <v>32.022748022400798</v>
      </c>
      <c r="AL6238">
        <v>81.983064000909394</v>
      </c>
      <c r="AM6238">
        <v>92.374355264247995</v>
      </c>
      <c r="AN6238">
        <v>0.99999994858403596</v>
      </c>
    </row>
    <row r="6239" spans="1:40" x14ac:dyDescent="0.25">
      <c r="A6239" t="str">
        <f>"20190312164148837"</f>
        <v>20190312164148837</v>
      </c>
      <c r="B6239" t="str">
        <f>"1552380108832355"</f>
        <v>1552380108832355</v>
      </c>
      <c r="C6239" t="s">
        <v>40</v>
      </c>
      <c r="D6239">
        <v>6.1654169999999997</v>
      </c>
      <c r="E6239">
        <v>0.49887670000000001</v>
      </c>
      <c r="F6239" t="s">
        <v>60</v>
      </c>
      <c r="G6239">
        <v>-213.2525</v>
      </c>
      <c r="H6239" s="1">
        <v>-7.4670900000000002E-7</v>
      </c>
      <c r="I6239">
        <v>-61.820770000000003</v>
      </c>
      <c r="J6239">
        <v>-245.8758</v>
      </c>
      <c r="K6239">
        <v>1.1098589999999999</v>
      </c>
      <c r="L6239">
        <v>-62.229520000000001</v>
      </c>
      <c r="M6239">
        <v>0.99929860000000004</v>
      </c>
      <c r="N6239">
        <v>0</v>
      </c>
      <c r="O6239">
        <v>-3.4677890000000003E-2</v>
      </c>
      <c r="P6239">
        <v>0.99197919999999995</v>
      </c>
      <c r="Q6239">
        <v>0.1262067</v>
      </c>
      <c r="R6239">
        <v>7.0093250000000003E-3</v>
      </c>
      <c r="S6239">
        <v>3.036667</v>
      </c>
      <c r="T6239">
        <v>-0.10276009999999999</v>
      </c>
      <c r="U6239">
        <v>3.7261959999999997E-2</v>
      </c>
      <c r="V6239">
        <v>-4.1258620000000003E-2</v>
      </c>
      <c r="W6239">
        <v>0.14024919999999999</v>
      </c>
      <c r="X6239">
        <v>0.98925629999999998</v>
      </c>
      <c r="Y6239">
        <v>-4.6894419999999999E-2</v>
      </c>
      <c r="Z6239">
        <v>1.9663060000000001E-3</v>
      </c>
      <c r="AA6239">
        <v>0.99889790000000001</v>
      </c>
      <c r="AB6239">
        <v>33</v>
      </c>
      <c r="AC6239">
        <v>32.6233</v>
      </c>
      <c r="AD6239">
        <v>-1.1098597467089999</v>
      </c>
      <c r="AE6239">
        <v>0.408749999999997</v>
      </c>
      <c r="AF6239">
        <v>-1.53814436440828</v>
      </c>
      <c r="AG6239">
        <v>-1.1098597467089999</v>
      </c>
      <c r="AH6239">
        <v>32.551829192513303</v>
      </c>
      <c r="AI6239">
        <v>91.950577494495803</v>
      </c>
      <c r="AJ6239">
        <v>92.705337292400202</v>
      </c>
      <c r="AK6239">
        <v>32.607043112212502</v>
      </c>
      <c r="AL6239">
        <v>81.937733934859907</v>
      </c>
      <c r="AM6239">
        <v>92.388234039368697</v>
      </c>
      <c r="AN6239">
        <v>1.0000000694573099</v>
      </c>
    </row>
    <row r="6240" spans="1:40" x14ac:dyDescent="0.25">
      <c r="A6240" t="str">
        <f>"20190312164148848"</f>
        <v>20190312164148848</v>
      </c>
      <c r="B6240" t="str">
        <f>"1552380108842115"</f>
        <v>1552380108842115</v>
      </c>
      <c r="C6240" t="s">
        <v>40</v>
      </c>
      <c r="D6240">
        <v>6.1104969999999996</v>
      </c>
      <c r="E6240">
        <v>0.47281269999999997</v>
      </c>
      <c r="F6240" t="s">
        <v>60</v>
      </c>
      <c r="G6240">
        <v>-212.27610000000001</v>
      </c>
      <c r="H6240" s="1">
        <v>-3.211309E-7</v>
      </c>
      <c r="I6240">
        <v>-61.795569999999998</v>
      </c>
      <c r="J6240">
        <v>-245.69200000000001</v>
      </c>
      <c r="K6240">
        <v>1.1098619999999999</v>
      </c>
      <c r="L6240">
        <v>-62.236179999999997</v>
      </c>
      <c r="M6240">
        <v>0.99929109999999999</v>
      </c>
      <c r="N6240">
        <v>0</v>
      </c>
      <c r="O6240">
        <v>-3.4912070000000003E-2</v>
      </c>
      <c r="P6240">
        <v>0.99188140000000002</v>
      </c>
      <c r="Q6240">
        <v>0.12697039999999901</v>
      </c>
      <c r="R6240">
        <v>7.0701019999999896E-3</v>
      </c>
      <c r="S6240">
        <v>3.036743</v>
      </c>
      <c r="T6240">
        <v>-0.10030890000000001</v>
      </c>
      <c r="U6240">
        <v>3.9215090000000001E-2</v>
      </c>
      <c r="V6240">
        <v>-4.15506E-2</v>
      </c>
      <c r="W6240">
        <v>0.140963</v>
      </c>
      <c r="X6240">
        <v>0.98914250000000004</v>
      </c>
      <c r="Y6240">
        <v>-4.7772120000000001E-2</v>
      </c>
      <c r="Z6240">
        <v>1.9415979999999999E-3</v>
      </c>
      <c r="AA6240">
        <v>0.99885639999999998</v>
      </c>
      <c r="AB6240">
        <v>33</v>
      </c>
      <c r="AC6240">
        <v>33.415899999999901</v>
      </c>
      <c r="AD6240">
        <v>-1.1098623211309</v>
      </c>
      <c r="AE6240">
        <v>0.440610000000006</v>
      </c>
      <c r="AF6240">
        <v>-1.60530478407844</v>
      </c>
      <c r="AG6240">
        <v>-1.1098623211309</v>
      </c>
      <c r="AH6240">
        <v>33.343364971625498</v>
      </c>
      <c r="AI6240">
        <v>91.904230972573401</v>
      </c>
      <c r="AJ6240">
        <v>92.756357159156494</v>
      </c>
      <c r="AK6240">
        <v>33.400430917170397</v>
      </c>
      <c r="AL6240">
        <v>81.896424884930795</v>
      </c>
      <c r="AM6240">
        <v>92.405391755743196</v>
      </c>
      <c r="AN6240">
        <v>0.99999995251780305</v>
      </c>
    </row>
    <row r="6241" spans="1:40" x14ac:dyDescent="0.25">
      <c r="A6241" t="str">
        <f>"20190312164148859"</f>
        <v>20190312164148859</v>
      </c>
      <c r="B6241" t="str">
        <f>"1552380108851875"</f>
        <v>1552380108851875</v>
      </c>
      <c r="C6241" t="s">
        <v>40</v>
      </c>
      <c r="D6241">
        <v>5.7156500000000001</v>
      </c>
      <c r="E6241">
        <v>0.47389049999999999</v>
      </c>
      <c r="F6241" t="s">
        <v>59</v>
      </c>
      <c r="G6241">
        <v>-228.6833</v>
      </c>
      <c r="H6241" s="1">
        <v>-2.944833E-6</v>
      </c>
      <c r="I6241">
        <v>-60.84104</v>
      </c>
      <c r="J6241">
        <v>-245.5317</v>
      </c>
      <c r="K6241">
        <v>1.109869</v>
      </c>
      <c r="L6241">
        <v>-62.241999999999997</v>
      </c>
      <c r="M6241">
        <v>0.99928470000000003</v>
      </c>
      <c r="N6241">
        <v>0</v>
      </c>
      <c r="O6241">
        <v>-3.5114010000000001E-2</v>
      </c>
      <c r="P6241">
        <v>0.99183339999999998</v>
      </c>
      <c r="Q6241">
        <v>0.12735160000000001</v>
      </c>
      <c r="R6241">
        <v>6.9496740000000003E-3</v>
      </c>
      <c r="S6241">
        <v>3.0482330000000002</v>
      </c>
      <c r="T6241">
        <v>-0.19890530000000001</v>
      </c>
      <c r="U6241">
        <v>0.25003049999999999</v>
      </c>
      <c r="V6241">
        <v>-4.1632059999999999E-2</v>
      </c>
      <c r="W6241">
        <v>0.14130100000000001</v>
      </c>
      <c r="X6241">
        <v>0.9890909</v>
      </c>
      <c r="Y6241">
        <v>-0.1163795</v>
      </c>
      <c r="Z6241">
        <v>6.072381E-3</v>
      </c>
      <c r="AA6241">
        <v>0.99318620000000002</v>
      </c>
      <c r="AB6241">
        <v>33</v>
      </c>
      <c r="AC6241">
        <v>16.848399999999899</v>
      </c>
      <c r="AD6241">
        <v>-1.1098719448329999</v>
      </c>
      <c r="AE6241">
        <v>1.40095999999999</v>
      </c>
      <c r="AF6241">
        <v>-1.98322219702849</v>
      </c>
      <c r="AG6241">
        <v>-1.1098719448329999</v>
      </c>
      <c r="AH6241">
        <v>16.716767168733099</v>
      </c>
      <c r="AI6241">
        <v>93.772073629183197</v>
      </c>
      <c r="AJ6241">
        <v>96.765758894775502</v>
      </c>
      <c r="AK6241">
        <v>16.870545059076999</v>
      </c>
      <c r="AL6241">
        <v>81.876863539560702</v>
      </c>
      <c r="AM6241">
        <v>92.410227558398503</v>
      </c>
      <c r="AN6241">
        <v>1.00000000474182</v>
      </c>
    </row>
    <row r="6242" spans="1:40" x14ac:dyDescent="0.25">
      <c r="A6242" t="str">
        <f>"20190312164148869"</f>
        <v>20190312164148869</v>
      </c>
      <c r="B6242" t="str">
        <f>"1552380108862611"</f>
        <v>1552380108862611</v>
      </c>
      <c r="C6242" t="s">
        <v>40</v>
      </c>
      <c r="D6242">
        <v>6.2523869999999997</v>
      </c>
      <c r="E6242">
        <v>0.4741553</v>
      </c>
      <c r="F6242" t="s">
        <v>59</v>
      </c>
      <c r="G6242">
        <v>-222.90899999999999</v>
      </c>
      <c r="H6242" s="1">
        <v>-3.8114189999999999E-7</v>
      </c>
      <c r="I6242">
        <v>-60.451680000000003</v>
      </c>
      <c r="J6242">
        <v>-245.38229999999999</v>
      </c>
      <c r="K6242">
        <v>1.1098840000000001</v>
      </c>
      <c r="L6242">
        <v>-62.2474699999999</v>
      </c>
      <c r="M6242">
        <v>0.99927889999999997</v>
      </c>
      <c r="N6242">
        <v>0</v>
      </c>
      <c r="O6242">
        <v>-3.529243E-2</v>
      </c>
      <c r="P6242">
        <v>0.99175420000000003</v>
      </c>
      <c r="Q6242">
        <v>0.1279595</v>
      </c>
      <c r="R6242">
        <v>7.0557270000000004E-3</v>
      </c>
      <c r="S6242">
        <v>3.04216</v>
      </c>
      <c r="T6242">
        <v>-0.14924879999999999</v>
      </c>
      <c r="U6242">
        <v>0.2407532</v>
      </c>
      <c r="V6242">
        <v>-4.1914899999999998E-2</v>
      </c>
      <c r="W6242">
        <v>0.14186789999999999</v>
      </c>
      <c r="X6242">
        <v>0.98899780000000004</v>
      </c>
      <c r="Y6242">
        <v>-0.1138506</v>
      </c>
      <c r="Z6242">
        <v>4.5149539999999998E-3</v>
      </c>
      <c r="AA6242">
        <v>0.99348760000000003</v>
      </c>
      <c r="AB6242">
        <v>33</v>
      </c>
      <c r="AC6242">
        <v>22.473299999999899</v>
      </c>
      <c r="AD6242">
        <v>-1.1098843811418999</v>
      </c>
      <c r="AE6242">
        <v>1.79578999999998</v>
      </c>
      <c r="AF6242">
        <v>-2.5816294214501299</v>
      </c>
      <c r="AG6242">
        <v>-1.1098843811418999</v>
      </c>
      <c r="AH6242">
        <v>22.3417659334856</v>
      </c>
      <c r="AI6242">
        <v>92.825208388109502</v>
      </c>
      <c r="AJ6242">
        <v>96.591392917765006</v>
      </c>
      <c r="AK6242">
        <v>22.517796491572099</v>
      </c>
      <c r="AL6242">
        <v>81.844052019701493</v>
      </c>
      <c r="AM6242">
        <v>92.4268108161626</v>
      </c>
      <c r="AN6242">
        <v>1.0000000041486199</v>
      </c>
    </row>
    <row r="6243" spans="1:40" x14ac:dyDescent="0.25">
      <c r="A6243" t="str">
        <f>"20190312164148879"</f>
        <v>20190312164148879</v>
      </c>
      <c r="B6243" t="str">
        <f>"1552380108872371"</f>
        <v>1552380108872371</v>
      </c>
      <c r="C6243" t="s">
        <v>40</v>
      </c>
      <c r="D6243">
        <v>6.0331010000000003</v>
      </c>
      <c r="E6243">
        <v>0.4739099</v>
      </c>
      <c r="F6243" t="s">
        <v>59</v>
      </c>
      <c r="G6243">
        <v>-221.6833</v>
      </c>
      <c r="H6243" s="1">
        <v>1.5946889999999999E-7</v>
      </c>
      <c r="I6243">
        <v>-60.382060000000003</v>
      </c>
      <c r="J6243">
        <v>-245.2467</v>
      </c>
      <c r="K6243">
        <v>1.109893</v>
      </c>
      <c r="L6243">
        <v>-62.25244</v>
      </c>
      <c r="M6243">
        <v>0.99927390000000005</v>
      </c>
      <c r="N6243">
        <v>0</v>
      </c>
      <c r="O6243">
        <v>-3.545218E-2</v>
      </c>
      <c r="P6243">
        <v>0.99164379999999996</v>
      </c>
      <c r="Q6243">
        <v>0.1288021</v>
      </c>
      <c r="R6243">
        <v>7.2744369999999999E-3</v>
      </c>
      <c r="S6243">
        <v>3.041595</v>
      </c>
      <c r="T6243">
        <v>-0.1424454</v>
      </c>
      <c r="U6243">
        <v>0.2394104</v>
      </c>
      <c r="V6243">
        <v>-4.2291469999999998E-2</v>
      </c>
      <c r="W6243">
        <v>0.14267260000000001</v>
      </c>
      <c r="X6243">
        <v>0.98886600000000002</v>
      </c>
      <c r="Y6243">
        <v>-0.11360389999999999</v>
      </c>
      <c r="Z6243">
        <v>4.3119439999999998E-3</v>
      </c>
      <c r="AA6243">
        <v>0.99351670000000003</v>
      </c>
      <c r="AB6243">
        <v>33</v>
      </c>
      <c r="AC6243">
        <v>23.563400000000001</v>
      </c>
      <c r="AD6243">
        <v>-1.1098928405310999</v>
      </c>
      <c r="AE6243">
        <v>1.8703799999999999</v>
      </c>
      <c r="AF6243">
        <v>-2.6987093162378102</v>
      </c>
      <c r="AG6243">
        <v>-1.1098928405310999</v>
      </c>
      <c r="AH6243">
        <v>23.4306105049981</v>
      </c>
      <c r="AI6243">
        <v>92.694250911529593</v>
      </c>
      <c r="AJ6243">
        <v>96.570306277938599</v>
      </c>
      <c r="AK6243">
        <v>23.6116158432229</v>
      </c>
      <c r="AL6243">
        <v>81.797472275976801</v>
      </c>
      <c r="AM6243">
        <v>92.448913204339505</v>
      </c>
      <c r="AN6243">
        <v>1.0000000025907601</v>
      </c>
    </row>
    <row r="6244" spans="1:40" x14ac:dyDescent="0.25">
      <c r="A6244" t="str">
        <f>"20190312164148889"</f>
        <v>20190312164148889</v>
      </c>
      <c r="B6244" t="str">
        <f>"1552380108882131"</f>
        <v>1552380108882131</v>
      </c>
      <c r="C6244" t="s">
        <v>40</v>
      </c>
      <c r="D6244">
        <v>6.1190259999999999</v>
      </c>
      <c r="E6244">
        <v>0.47445769999999998</v>
      </c>
      <c r="F6244" t="s">
        <v>60</v>
      </c>
      <c r="G6244">
        <v>-219.0753</v>
      </c>
      <c r="H6244" s="1">
        <v>-2.9007500000000001E-6</v>
      </c>
      <c r="I6244">
        <v>-60.167020000000001</v>
      </c>
      <c r="J6244">
        <v>-245.08009999999999</v>
      </c>
      <c r="K6244">
        <v>1.10991</v>
      </c>
      <c r="L6244">
        <v>-62.258580000000002</v>
      </c>
      <c r="M6244">
        <v>0.99926809999999999</v>
      </c>
      <c r="N6244">
        <v>0</v>
      </c>
      <c r="O6244">
        <v>-3.5630080000000001E-2</v>
      </c>
      <c r="P6244">
        <v>0.99151210000000001</v>
      </c>
      <c r="Q6244">
        <v>0.1298087</v>
      </c>
      <c r="R6244">
        <v>7.3467669999999997E-3</v>
      </c>
      <c r="S6244">
        <v>3.0402369999999999</v>
      </c>
      <c r="T6244">
        <v>-0.12893299999999999</v>
      </c>
      <c r="U6244">
        <v>0.24224850000000001</v>
      </c>
      <c r="V6244">
        <v>-4.2541549999999997E-2</v>
      </c>
      <c r="W6244">
        <v>0.14363199999999901</v>
      </c>
      <c r="X6244">
        <v>0.98871640000000005</v>
      </c>
      <c r="Y6244">
        <v>-0.11476509999999999</v>
      </c>
      <c r="Z6244">
        <v>3.9369990000000001E-3</v>
      </c>
      <c r="AA6244">
        <v>0.99338479999999996</v>
      </c>
      <c r="AB6244">
        <v>33</v>
      </c>
      <c r="AC6244">
        <v>26.0047999999999</v>
      </c>
      <c r="AD6244">
        <v>-1.1099129007499999</v>
      </c>
      <c r="AE6244">
        <v>2.0915599999999999</v>
      </c>
      <c r="AF6244">
        <v>-3.01142400854929</v>
      </c>
      <c r="AG6244">
        <v>-1.1099129007499999</v>
      </c>
      <c r="AH6244">
        <v>25.866937032443399</v>
      </c>
      <c r="AI6244">
        <v>92.440508976268504</v>
      </c>
      <c r="AJ6244">
        <v>96.640470981990305</v>
      </c>
      <c r="AK6244">
        <v>26.065283667109998</v>
      </c>
      <c r="AL6244">
        <v>81.741930866815594</v>
      </c>
      <c r="AM6244">
        <v>92.463748719476996</v>
      </c>
      <c r="AN6244">
        <v>1.0000000272646801</v>
      </c>
    </row>
    <row r="6245" spans="1:40" x14ac:dyDescent="0.25">
      <c r="A6245" t="str">
        <f>"20190312164148900"</f>
        <v>20190312164148900</v>
      </c>
      <c r="B6245" t="str">
        <f>"1552380108891891"</f>
        <v>1552380108891891</v>
      </c>
      <c r="C6245" t="s">
        <v>40</v>
      </c>
      <c r="D6245">
        <v>5.9641570000000002</v>
      </c>
      <c r="E6245">
        <v>0.47518050000000001</v>
      </c>
      <c r="F6245" t="s">
        <v>60</v>
      </c>
      <c r="G6245">
        <v>-218.23650000000001</v>
      </c>
      <c r="H6245" s="1">
        <v>-2.5432410000000001E-6</v>
      </c>
      <c r="I6245">
        <v>-60.15363</v>
      </c>
      <c r="J6245">
        <v>-244.93610000000001</v>
      </c>
      <c r="K6245">
        <v>1.1099289999999999</v>
      </c>
      <c r="L6245">
        <v>-62.263890000000004</v>
      </c>
      <c r="M6245">
        <v>0.99926329999999997</v>
      </c>
      <c r="N6245">
        <v>0</v>
      </c>
      <c r="O6245">
        <v>-3.5776099999999998E-2</v>
      </c>
      <c r="P6245">
        <v>0.99137039999999998</v>
      </c>
      <c r="Q6245">
        <v>0.1308802</v>
      </c>
      <c r="R6245">
        <v>7.4452529999999998E-3</v>
      </c>
      <c r="S6245">
        <v>3.040359</v>
      </c>
      <c r="T6245">
        <v>-0.12571060000000001</v>
      </c>
      <c r="U6245">
        <v>0.23840330000000001</v>
      </c>
      <c r="V6245">
        <v>-4.2785410000000003E-2</v>
      </c>
      <c r="W6245">
        <v>0.14466209999999999</v>
      </c>
      <c r="X6245">
        <v>0.98855570000000004</v>
      </c>
      <c r="Y6245">
        <v>-0.1136659</v>
      </c>
      <c r="Z6245">
        <v>3.8220630000000001E-3</v>
      </c>
      <c r="AA6245">
        <v>0.9935117</v>
      </c>
      <c r="AB6245">
        <v>33</v>
      </c>
      <c r="AC6245">
        <v>26.6996</v>
      </c>
      <c r="AD6245">
        <v>-1.109931543241</v>
      </c>
      <c r="AE6245">
        <v>2.11025999999999</v>
      </c>
      <c r="AF6245">
        <v>-3.0589549984981401</v>
      </c>
      <c r="AG6245">
        <v>-1.109931543241</v>
      </c>
      <c r="AH6245">
        <v>26.561383031063901</v>
      </c>
      <c r="AI6245">
        <v>92.3771562997172</v>
      </c>
      <c r="AJ6245">
        <v>96.569554994981303</v>
      </c>
      <c r="AK6245">
        <v>26.759974257020598</v>
      </c>
      <c r="AL6245">
        <v>81.6822877191684</v>
      </c>
      <c r="AM6245">
        <v>92.478256358818001</v>
      </c>
      <c r="AN6245">
        <v>1.00000004324388</v>
      </c>
    </row>
    <row r="6246" spans="1:40" x14ac:dyDescent="0.25">
      <c r="A6246" t="str">
        <f>"20190312164148912"</f>
        <v>20190312164148912</v>
      </c>
      <c r="B6246" t="str">
        <f>"1552380108902627"</f>
        <v>1552380108902627</v>
      </c>
      <c r="C6246" t="s">
        <v>40</v>
      </c>
      <c r="D6246">
        <v>6.0641129999999999</v>
      </c>
      <c r="E6246">
        <v>0.47561019999999998</v>
      </c>
      <c r="F6246" t="s">
        <v>60</v>
      </c>
      <c r="G6246">
        <v>-216.74160000000001</v>
      </c>
      <c r="H6246" s="1">
        <v>-1.9116520000000002E-6</v>
      </c>
      <c r="I6246">
        <v>-60.09901</v>
      </c>
      <c r="J6246">
        <v>-244.7679</v>
      </c>
      <c r="K6246">
        <v>1.109955</v>
      </c>
      <c r="L6246">
        <v>-62.27008</v>
      </c>
      <c r="M6246">
        <v>0.9992588</v>
      </c>
      <c r="N6246">
        <v>0</v>
      </c>
      <c r="O6246">
        <v>-3.5922040000000002E-2</v>
      </c>
      <c r="P6246">
        <v>0.99121890000000001</v>
      </c>
      <c r="Q6246">
        <v>0.13200880000000001</v>
      </c>
      <c r="R6246">
        <v>7.6816940000000002E-3</v>
      </c>
      <c r="S6246">
        <v>3.0401760000000002</v>
      </c>
      <c r="T6246">
        <v>-0.119682399999999</v>
      </c>
      <c r="U6246">
        <v>0.233429</v>
      </c>
      <c r="V6246">
        <v>-4.3169249999999999E-2</v>
      </c>
      <c r="W6246">
        <v>0.1457434</v>
      </c>
      <c r="X6246">
        <v>0.98838009999999998</v>
      </c>
      <c r="Y6246">
        <v>-0.11221250000000001</v>
      </c>
      <c r="Z6246">
        <v>3.6165479999999998E-3</v>
      </c>
      <c r="AA6246">
        <v>0.9936777</v>
      </c>
      <c r="AB6246">
        <v>33</v>
      </c>
      <c r="AC6246">
        <v>28.0262999999999</v>
      </c>
      <c r="AD6246">
        <v>-1.1099569116520001</v>
      </c>
      <c r="AE6246">
        <v>2.1710699999999998</v>
      </c>
      <c r="AF6246">
        <v>-3.1715818637663902</v>
      </c>
      <c r="AG6246">
        <v>-1.1099569116520001</v>
      </c>
      <c r="AH6246">
        <v>27.886732455303601</v>
      </c>
      <c r="AI6246">
        <v>92.264718031811</v>
      </c>
      <c r="AJ6246">
        <v>96.488418447399994</v>
      </c>
      <c r="AK6246">
        <v>28.088445718800099</v>
      </c>
      <c r="AL6246">
        <v>81.619669568778093</v>
      </c>
      <c r="AM6246">
        <v>92.500905082173603</v>
      </c>
      <c r="AN6246">
        <v>0.999999972432565</v>
      </c>
    </row>
    <row r="6247" spans="1:40" x14ac:dyDescent="0.25">
      <c r="A6247" t="str">
        <f>"20190312164148923"</f>
        <v>20190312164148923</v>
      </c>
      <c r="B6247" t="str">
        <f>"1552380108912388"</f>
        <v>1552380108912388</v>
      </c>
      <c r="C6247" t="s">
        <v>40</v>
      </c>
      <c r="D6247">
        <v>5.8919680000000003</v>
      </c>
      <c r="E6247">
        <v>0.47571530000000001</v>
      </c>
      <c r="F6247" t="s">
        <v>60</v>
      </c>
      <c r="G6247">
        <v>-215.34809999999999</v>
      </c>
      <c r="H6247" s="1">
        <v>-1.325575E-6</v>
      </c>
      <c r="I6247">
        <v>-60.032870000000003</v>
      </c>
      <c r="J6247">
        <v>-244.60810000000001</v>
      </c>
      <c r="K6247">
        <v>1.1099810000000001</v>
      </c>
      <c r="L6247">
        <v>-62.275970000000001</v>
      </c>
      <c r="M6247">
        <v>0.99925489999999995</v>
      </c>
      <c r="N6247">
        <v>0</v>
      </c>
      <c r="O6247">
        <v>-3.6041610000000002E-2</v>
      </c>
      <c r="P6247">
        <v>0.9910873</v>
      </c>
      <c r="Q6247">
        <v>0.132974799999999</v>
      </c>
      <c r="R6247">
        <v>7.9856500000000004E-3</v>
      </c>
      <c r="S6247">
        <v>3.0400239999999998</v>
      </c>
      <c r="T6247">
        <v>-0.11469459999999999</v>
      </c>
      <c r="U6247">
        <v>0.23117070000000001</v>
      </c>
      <c r="V6247">
        <v>-4.3596839999999998E-2</v>
      </c>
      <c r="W6247">
        <v>0.14666419999999999</v>
      </c>
      <c r="X6247">
        <v>0.98822520000000003</v>
      </c>
      <c r="Y6247">
        <v>-0.111611</v>
      </c>
      <c r="Z6247">
        <v>3.4593779999999999E-3</v>
      </c>
      <c r="AA6247">
        <v>0.99374600000000002</v>
      </c>
      <c r="AB6247">
        <v>33</v>
      </c>
      <c r="AC6247">
        <v>29.26</v>
      </c>
      <c r="AD6247">
        <v>-1.1099823255750001</v>
      </c>
      <c r="AE6247">
        <v>2.2430999999999899</v>
      </c>
      <c r="AF6247">
        <v>-3.2916112063795699</v>
      </c>
      <c r="AG6247">
        <v>-1.1099823255750001</v>
      </c>
      <c r="AH6247">
        <v>29.118474370883199</v>
      </c>
      <c r="AI6247">
        <v>92.169228333625</v>
      </c>
      <c r="AJ6247">
        <v>96.4494522916916</v>
      </c>
      <c r="AK6247">
        <v>29.3249435597894</v>
      </c>
      <c r="AL6247">
        <v>81.566339277609998</v>
      </c>
      <c r="AM6247">
        <v>92.526039916014099</v>
      </c>
      <c r="AN6247">
        <v>1.0000000589673299</v>
      </c>
    </row>
    <row r="6248" spans="1:40" x14ac:dyDescent="0.25">
      <c r="A6248" t="str">
        <f>"20190312164148933"</f>
        <v>20190312164148933</v>
      </c>
      <c r="B6248" t="str">
        <f>"1552380108922147"</f>
        <v>1552380108922147</v>
      </c>
      <c r="C6248" t="s">
        <v>40</v>
      </c>
      <c r="D6248">
        <v>6.0823410000000004</v>
      </c>
      <c r="E6248">
        <v>0.47624840000000002</v>
      </c>
      <c r="F6248" t="s">
        <v>60</v>
      </c>
      <c r="G6248">
        <v>-212.9907</v>
      </c>
      <c r="H6248" s="1">
        <v>-3.4406140000000002E-7</v>
      </c>
      <c r="I6248">
        <v>-59.864829999999998</v>
      </c>
      <c r="J6248">
        <v>-244.45189999999999</v>
      </c>
      <c r="K6248">
        <v>1.1100049999999999</v>
      </c>
      <c r="L6248">
        <v>-62.281739999999999</v>
      </c>
      <c r="M6248">
        <v>0.99925209999999998</v>
      </c>
      <c r="N6248">
        <v>0</v>
      </c>
      <c r="O6248">
        <v>-3.6137879999999997E-2</v>
      </c>
      <c r="P6248">
        <v>0.99103549999999996</v>
      </c>
      <c r="Q6248">
        <v>0.1333588</v>
      </c>
      <c r="R6248">
        <v>8.0186630000000005E-3</v>
      </c>
      <c r="S6248">
        <v>3.0394290000000002</v>
      </c>
      <c r="T6248">
        <v>-0.1067042</v>
      </c>
      <c r="U6248">
        <v>0.23178099999999999</v>
      </c>
      <c r="V6248">
        <v>-4.3735019999999999E-2</v>
      </c>
      <c r="W6248">
        <v>0.14700429999999901</v>
      </c>
      <c r="X6248">
        <v>0.98816850000000001</v>
      </c>
      <c r="Y6248">
        <v>-0.11193359999999999</v>
      </c>
      <c r="Z6248">
        <v>3.2281599999999999E-3</v>
      </c>
      <c r="AA6248">
        <v>0.99371050000000005</v>
      </c>
      <c r="AB6248">
        <v>33</v>
      </c>
      <c r="AC6248">
        <v>31.461199999999899</v>
      </c>
      <c r="AD6248">
        <v>-1.1100053440613999</v>
      </c>
      <c r="AE6248">
        <v>2.4169099999999899</v>
      </c>
      <c r="AF6248">
        <v>-3.5479890767711701</v>
      </c>
      <c r="AG6248">
        <v>-1.1100053440613999</v>
      </c>
      <c r="AH6248">
        <v>31.314544158251302</v>
      </c>
      <c r="AI6248">
        <v>92.017215422138804</v>
      </c>
      <c r="AJ6248">
        <v>96.464138987870498</v>
      </c>
      <c r="AK6248">
        <v>31.534441713653401</v>
      </c>
      <c r="AL6248">
        <v>81.546638960298097</v>
      </c>
      <c r="AM6248">
        <v>92.534180979508804</v>
      </c>
      <c r="AN6248">
        <v>1.00000000029257</v>
      </c>
    </row>
    <row r="6249" spans="1:40" x14ac:dyDescent="0.25">
      <c r="A6249" t="str">
        <f>"20190312164148945"</f>
        <v>20190312164148945</v>
      </c>
      <c r="B6249" t="str">
        <f>"1552380108942644"</f>
        <v>1552380108942644</v>
      </c>
      <c r="C6249" t="s">
        <v>40</v>
      </c>
      <c r="D6249">
        <v>5.5015150000000004</v>
      </c>
      <c r="E6249">
        <v>0.47624840000000002</v>
      </c>
      <c r="F6249" t="s">
        <v>60</v>
      </c>
      <c r="G6249">
        <v>-214.5985</v>
      </c>
      <c r="H6249" s="1">
        <v>-1.003308E-6</v>
      </c>
      <c r="I6249">
        <v>-60.03678</v>
      </c>
      <c r="J6249">
        <v>-244.28469999999999</v>
      </c>
      <c r="K6249">
        <v>1.110042</v>
      </c>
      <c r="L6249">
        <v>-62.2879</v>
      </c>
      <c r="M6249">
        <v>0.99925010000000003</v>
      </c>
      <c r="N6249">
        <v>0</v>
      </c>
      <c r="O6249">
        <v>-3.6212099999999997E-2</v>
      </c>
      <c r="P6249">
        <v>0.99102210000000002</v>
      </c>
      <c r="Q6249">
        <v>0.1334505</v>
      </c>
      <c r="R6249">
        <v>8.1560539999999994E-3</v>
      </c>
      <c r="S6249">
        <v>3.0404969999999998</v>
      </c>
      <c r="T6249">
        <v>-0.1130515</v>
      </c>
      <c r="U6249">
        <v>0.2286377</v>
      </c>
      <c r="V6249">
        <v>-4.3959970000000001E-2</v>
      </c>
      <c r="W6249">
        <v>0.1470486</v>
      </c>
      <c r="X6249">
        <v>0.98815189999999997</v>
      </c>
      <c r="Y6249">
        <v>-0.11094900000000001</v>
      </c>
      <c r="Z6249">
        <v>3.40347E-3</v>
      </c>
      <c r="AA6249">
        <v>0.99382029999999999</v>
      </c>
      <c r="AB6249">
        <v>33</v>
      </c>
      <c r="AC6249">
        <v>29.6861999999999</v>
      </c>
      <c r="AD6249">
        <v>-1.110043003308</v>
      </c>
      <c r="AE6249">
        <v>2.25111999999999</v>
      </c>
      <c r="AF6249">
        <v>-3.32012826453425</v>
      </c>
      <c r="AG6249">
        <v>-1.110043003308</v>
      </c>
      <c r="AH6249">
        <v>29.544127988199602</v>
      </c>
      <c r="AI6249">
        <v>92.138279134677802</v>
      </c>
      <c r="AJ6249">
        <v>96.411918864548198</v>
      </c>
      <c r="AK6249">
        <v>29.7508142030646</v>
      </c>
      <c r="AL6249">
        <v>81.544072643068702</v>
      </c>
      <c r="AM6249">
        <v>92.547241087335607</v>
      </c>
      <c r="AN6249">
        <v>0.99999997359898496</v>
      </c>
    </row>
    <row r="6250" spans="1:40" x14ac:dyDescent="0.25">
      <c r="A6250" t="str">
        <f>"20190312164148956"</f>
        <v>20190312164148956</v>
      </c>
      <c r="B6250" t="str">
        <f>"1552380108952403"</f>
        <v>1552380108952403</v>
      </c>
      <c r="C6250" t="s">
        <v>40</v>
      </c>
      <c r="D6250">
        <v>4.0387839999999997</v>
      </c>
      <c r="E6250">
        <v>0.46856360000000002</v>
      </c>
      <c r="F6250" t="s">
        <v>60</v>
      </c>
      <c r="G6250">
        <v>-214.25720000000001</v>
      </c>
      <c r="H6250" s="1">
        <v>-8.6044769999999997E-7</v>
      </c>
      <c r="I6250">
        <v>-60.016849999999998</v>
      </c>
      <c r="J6250">
        <v>-244.11930000000001</v>
      </c>
      <c r="K6250">
        <v>1.110077</v>
      </c>
      <c r="L6250">
        <v>-62.29401</v>
      </c>
      <c r="M6250">
        <v>0.99924860000000004</v>
      </c>
      <c r="N6250">
        <v>0</v>
      </c>
      <c r="O6250">
        <v>-3.6269370000000002E-2</v>
      </c>
      <c r="P6250">
        <v>0.99100120000000003</v>
      </c>
      <c r="Q6250">
        <v>0.13359289999999999</v>
      </c>
      <c r="R6250">
        <v>8.3607170000000001E-3</v>
      </c>
      <c r="S6250">
        <v>3.0404209999999998</v>
      </c>
      <c r="T6250">
        <v>-0.1123972</v>
      </c>
      <c r="U6250">
        <v>0.22994999999999999</v>
      </c>
      <c r="V6250">
        <v>-4.423498E-2</v>
      </c>
      <c r="W6250">
        <v>0.14714340000000001</v>
      </c>
      <c r="X6250">
        <v>0.98812560000000005</v>
      </c>
      <c r="Y6250">
        <v>-0.1114351</v>
      </c>
      <c r="Z6250">
        <v>3.3948989999999998E-3</v>
      </c>
      <c r="AA6250">
        <v>0.99376600000000004</v>
      </c>
      <c r="AB6250">
        <v>33</v>
      </c>
      <c r="AC6250">
        <v>29.862100000000002</v>
      </c>
      <c r="AD6250">
        <v>-1.1100778604477</v>
      </c>
      <c r="AE6250">
        <v>2.2771599999999999</v>
      </c>
      <c r="AF6250">
        <v>-3.3542338655439901</v>
      </c>
      <c r="AG6250">
        <v>-1.1100778604477</v>
      </c>
      <c r="AH6250">
        <v>29.719019385358902</v>
      </c>
      <c r="AI6250">
        <v>92.125659140258605</v>
      </c>
      <c r="AJ6250">
        <v>96.439431278861093</v>
      </c>
      <c r="AK6250">
        <v>29.928302172163999</v>
      </c>
      <c r="AL6250">
        <v>81.538581984170307</v>
      </c>
      <c r="AM6250">
        <v>92.563223364544797</v>
      </c>
      <c r="AN6250">
        <v>1.0000000574972501</v>
      </c>
    </row>
    <row r="6251" spans="1:40" x14ac:dyDescent="0.25">
      <c r="A6251" t="str">
        <f>"20190312164149002"</f>
        <v>20190312164149002</v>
      </c>
      <c r="B6251" t="str">
        <f>"1552380108992419"</f>
        <v>1552380108992419</v>
      </c>
      <c r="C6251" t="s">
        <v>40</v>
      </c>
      <c r="D6251">
        <v>5.5005559999999996</v>
      </c>
      <c r="E6251">
        <v>0.46775660000000002</v>
      </c>
      <c r="F6251" t="s">
        <v>42</v>
      </c>
      <c r="G6251">
        <v>-243.45160000000001</v>
      </c>
      <c r="H6251">
        <v>0.85056529999999997</v>
      </c>
      <c r="I6251">
        <v>-62.225180000000002</v>
      </c>
      <c r="J6251">
        <v>-243.471</v>
      </c>
      <c r="K6251">
        <v>1.1102379999999901</v>
      </c>
      <c r="L6251">
        <v>-62.317570000000003</v>
      </c>
      <c r="M6251">
        <v>0.99925390000000003</v>
      </c>
      <c r="N6251">
        <v>0</v>
      </c>
      <c r="O6251">
        <v>-3.618449E-2</v>
      </c>
      <c r="P6251">
        <v>0.99115810000000004</v>
      </c>
      <c r="Q6251">
        <v>0.13240150000000001</v>
      </c>
      <c r="R6251">
        <v>8.6988840000000005E-3</v>
      </c>
      <c r="S6251">
        <v>3.191681</v>
      </c>
      <c r="T6251">
        <v>-1.2404200000000001</v>
      </c>
      <c r="U6251">
        <v>0.32934570000000002</v>
      </c>
      <c r="V6251">
        <v>-4.455986E-2</v>
      </c>
      <c r="W6251">
        <v>0.1457656</v>
      </c>
      <c r="X6251">
        <v>0.9883151</v>
      </c>
      <c r="Y6251">
        <v>-0.1268068</v>
      </c>
      <c r="Z6251">
        <v>3.7259510000000003E-2</v>
      </c>
      <c r="AA6251">
        <v>0.99122739999999998</v>
      </c>
      <c r="AB6251">
        <v>32</v>
      </c>
      <c r="AC6251">
        <v>1.9399999999961798E-2</v>
      </c>
      <c r="AD6251">
        <v>-0.25967269999999898</v>
      </c>
      <c r="AE6251">
        <v>9.2389999999994601E-2</v>
      </c>
      <c r="AF6251">
        <v>-1.08606049694222E-2</v>
      </c>
      <c r="AG6251">
        <v>-0.25967269999999898</v>
      </c>
      <c r="AH6251">
        <v>1.87298326781557E-3</v>
      </c>
      <c r="AI6251">
        <v>177.569733730709</v>
      </c>
      <c r="AJ6251">
        <v>170.21520979850999</v>
      </c>
      <c r="AK6251">
        <v>0.259906467660797</v>
      </c>
      <c r="AL6251">
        <v>81.618383801679002</v>
      </c>
      <c r="AM6251">
        <v>92.581528944704999</v>
      </c>
      <c r="AN6251">
        <v>0.99999996407729397</v>
      </c>
    </row>
    <row r="6252" spans="1:40" x14ac:dyDescent="0.25">
      <c r="A6252" t="str">
        <f>"20190312164149012"</f>
        <v>20190312164149012</v>
      </c>
      <c r="B6252" t="str">
        <f>"1552380109002180"</f>
        <v>1552380109002180</v>
      </c>
      <c r="C6252" t="s">
        <v>40</v>
      </c>
      <c r="D6252">
        <v>5.9465440000000003</v>
      </c>
      <c r="E6252">
        <v>0.4699951</v>
      </c>
      <c r="F6252" t="s">
        <v>57</v>
      </c>
      <c r="G6252">
        <v>-240.6387</v>
      </c>
      <c r="H6252" s="1">
        <v>3.0620630000000001E-7</v>
      </c>
      <c r="I6252">
        <v>-62.009720000000002</v>
      </c>
      <c r="J6252">
        <v>-243.30289999999999</v>
      </c>
      <c r="K6252">
        <v>1.1102749999999999</v>
      </c>
      <c r="L6252">
        <v>-62.323610000000002</v>
      </c>
      <c r="M6252">
        <v>0.99925770000000003</v>
      </c>
      <c r="N6252">
        <v>0</v>
      </c>
      <c r="O6252">
        <v>-3.6098999999999999E-2</v>
      </c>
      <c r="P6252">
        <v>0.99116919999999997</v>
      </c>
      <c r="Q6252">
        <v>0.1323124</v>
      </c>
      <c r="R6252">
        <v>8.7879410000000005E-3</v>
      </c>
      <c r="S6252">
        <v>3.1907809999999999</v>
      </c>
      <c r="T6252">
        <v>-1.2507539999999999</v>
      </c>
      <c r="U6252">
        <v>0.34674070000000001</v>
      </c>
      <c r="V6252">
        <v>-4.4578680000000002E-2</v>
      </c>
      <c r="W6252">
        <v>0.14562639999999999</v>
      </c>
      <c r="X6252">
        <v>0.98833479999999996</v>
      </c>
      <c r="Y6252">
        <v>-0.1315614</v>
      </c>
      <c r="Z6252">
        <v>3.8413170000000003E-2</v>
      </c>
      <c r="AA6252">
        <v>0.99056350000000004</v>
      </c>
      <c r="AB6252">
        <v>32</v>
      </c>
      <c r="AC6252">
        <v>2.6641999999999899</v>
      </c>
      <c r="AD6252">
        <v>-1.11027469379369</v>
      </c>
      <c r="AE6252">
        <v>0.31389</v>
      </c>
      <c r="AF6252">
        <v>-0.34992862194858898</v>
      </c>
      <c r="AG6252">
        <v>-1.11027469379369</v>
      </c>
      <c r="AH6252">
        <v>2.2634221414139799</v>
      </c>
      <c r="AI6252">
        <v>115.862717027979</v>
      </c>
      <c r="AJ6252">
        <v>98.788439000413007</v>
      </c>
      <c r="AK6252">
        <v>2.54523863839534</v>
      </c>
      <c r="AL6252">
        <v>81.626445631884806</v>
      </c>
      <c r="AM6252">
        <v>92.582566377432201</v>
      </c>
      <c r="AN6252">
        <v>0.99999999198927103</v>
      </c>
    </row>
    <row r="6253" spans="1:40" x14ac:dyDescent="0.25">
      <c r="A6253" t="str">
        <f>"20190312164149024"</f>
        <v>20190312164149024</v>
      </c>
      <c r="B6253" t="str">
        <f>"1552380109011940"</f>
        <v>1552380109011940</v>
      </c>
      <c r="C6253" t="s">
        <v>40</v>
      </c>
      <c r="D6253">
        <v>6.1011509999999998</v>
      </c>
      <c r="E6253">
        <v>0.47001209999999999</v>
      </c>
      <c r="F6253" t="s">
        <v>42</v>
      </c>
      <c r="G6253">
        <v>-242.58240000000001</v>
      </c>
      <c r="H6253">
        <v>0.84047109999999903</v>
      </c>
      <c r="I6253">
        <v>-62.249419999999901</v>
      </c>
      <c r="J6253">
        <v>-243.14689999999999</v>
      </c>
      <c r="K6253">
        <v>1.110304</v>
      </c>
      <c r="L6253">
        <v>-62.329160000000002</v>
      </c>
      <c r="M6253">
        <v>0.99926170000000003</v>
      </c>
      <c r="N6253">
        <v>0</v>
      </c>
      <c r="O6253">
        <v>-3.6003889999999997E-2</v>
      </c>
      <c r="P6253">
        <v>0.99111309999999997</v>
      </c>
      <c r="Q6253">
        <v>0.13269069999999999</v>
      </c>
      <c r="R6253">
        <v>9.4005340000000003E-3</v>
      </c>
      <c r="S6253">
        <v>3.1829529999999999</v>
      </c>
      <c r="T6253">
        <v>-1.1919690000000001</v>
      </c>
      <c r="U6253">
        <v>0.32867429999999997</v>
      </c>
      <c r="V6253">
        <v>-4.5106630000000002E-2</v>
      </c>
      <c r="W6253">
        <v>0.14595810000000001</v>
      </c>
      <c r="X6253">
        <v>0.98826190000000003</v>
      </c>
      <c r="Y6253">
        <v>-0.1274806</v>
      </c>
      <c r="Z6253">
        <v>3.6045649999999999E-2</v>
      </c>
      <c r="AA6253">
        <v>0.99118580000000001</v>
      </c>
      <c r="AB6253">
        <v>32</v>
      </c>
      <c r="AC6253">
        <v>0.56449999999998102</v>
      </c>
      <c r="AD6253">
        <v>-0.26983289999999999</v>
      </c>
      <c r="AE6253">
        <v>7.9740000000001005E-2</v>
      </c>
      <c r="AF6253">
        <v>-8.1709890649355202E-2</v>
      </c>
      <c r="AG6253">
        <v>-0.26983289999999999</v>
      </c>
      <c r="AH6253">
        <v>0.458541527735912</v>
      </c>
      <c r="AI6253">
        <v>120.08512726681499</v>
      </c>
      <c r="AJ6253">
        <v>100.103779086663</v>
      </c>
      <c r="AK6253">
        <v>0.53828118377918799</v>
      </c>
      <c r="AL6253">
        <v>81.607235254505298</v>
      </c>
      <c r="AM6253">
        <v>92.613302326520397</v>
      </c>
      <c r="AN6253">
        <v>0.99999997900858795</v>
      </c>
    </row>
    <row r="6254" spans="1:40" x14ac:dyDescent="0.25">
      <c r="A6254" t="str">
        <f>"20190312164149036"</f>
        <v>20190312164149036</v>
      </c>
      <c r="B6254" t="str">
        <f>"1552380109032435"</f>
        <v>1552380109032435</v>
      </c>
      <c r="C6254" t="s">
        <v>40</v>
      </c>
      <c r="D6254">
        <v>6.0062810000000004</v>
      </c>
      <c r="E6254">
        <v>0.47001209999999999</v>
      </c>
      <c r="F6254" t="s">
        <v>58</v>
      </c>
      <c r="G6254">
        <v>-239.9838</v>
      </c>
      <c r="H6254" s="1">
        <v>-3.5586999999999999E-6</v>
      </c>
      <c r="I6254">
        <v>-62.002110000000002</v>
      </c>
      <c r="J6254">
        <v>-242.9717</v>
      </c>
      <c r="K6254">
        <v>1.1103350000000001</v>
      </c>
      <c r="L6254">
        <v>-62.335389999999997</v>
      </c>
      <c r="M6254">
        <v>0.9992666</v>
      </c>
      <c r="N6254">
        <v>0</v>
      </c>
      <c r="O6254">
        <v>-3.5881929999999999E-2</v>
      </c>
      <c r="P6254">
        <v>0.99109610000000004</v>
      </c>
      <c r="Q6254">
        <v>0.13280140000000001</v>
      </c>
      <c r="R6254">
        <v>9.6244999999999994E-3</v>
      </c>
      <c r="S6254">
        <v>3.1728969999999999</v>
      </c>
      <c r="T6254">
        <v>-1.113764</v>
      </c>
      <c r="U6254">
        <v>0.32800289999999999</v>
      </c>
      <c r="V6254">
        <v>-4.5221219999999999E-2</v>
      </c>
      <c r="W6254">
        <v>0.14601700000000001</v>
      </c>
      <c r="X6254">
        <v>0.98824800000000002</v>
      </c>
      <c r="Y6254">
        <v>-0.12870409999999999</v>
      </c>
      <c r="Z6254">
        <v>3.4084089999999997E-2</v>
      </c>
      <c r="AA6254">
        <v>0.99109720000000001</v>
      </c>
      <c r="AB6254">
        <v>32</v>
      </c>
      <c r="AC6254">
        <v>2.98789999999999</v>
      </c>
      <c r="AD6254">
        <v>-1.1103385587000001</v>
      </c>
      <c r="AE6254">
        <v>0.33328000000000901</v>
      </c>
      <c r="AF6254">
        <v>-0.38744037567380302</v>
      </c>
      <c r="AG6254">
        <v>-1.1103385587000001</v>
      </c>
      <c r="AH6254">
        <v>2.6170542798809202</v>
      </c>
      <c r="AI6254">
        <v>112.767598723769</v>
      </c>
      <c r="AJ6254">
        <v>98.421155373801994</v>
      </c>
      <c r="AK6254">
        <v>2.86913486324385</v>
      </c>
      <c r="AL6254">
        <v>81.6038243012229</v>
      </c>
      <c r="AM6254">
        <v>92.619968784594704</v>
      </c>
      <c r="AN6254">
        <v>1.0000000162656399</v>
      </c>
    </row>
    <row r="6255" spans="1:40" x14ac:dyDescent="0.25">
      <c r="A6255" t="str">
        <f>"20190312164149047"</f>
        <v>20190312164149047</v>
      </c>
      <c r="B6255" t="str">
        <f>"1552380109042195"</f>
        <v>1552380109042195</v>
      </c>
      <c r="C6255" t="s">
        <v>40</v>
      </c>
      <c r="D6255">
        <v>6.0257589999999999</v>
      </c>
      <c r="E6255">
        <v>0.4815333</v>
      </c>
      <c r="F6255" t="s">
        <v>42</v>
      </c>
      <c r="G6255">
        <v>-242.28370000000001</v>
      </c>
      <c r="H6255">
        <v>0.86886200000000002</v>
      </c>
      <c r="I6255">
        <v>-62.26426</v>
      </c>
      <c r="J6255">
        <v>-242.81479999999999</v>
      </c>
      <c r="K6255">
        <v>1.1103540000000001</v>
      </c>
      <c r="L6255">
        <v>-62.340940000000003</v>
      </c>
      <c r="M6255">
        <v>0.99927180000000004</v>
      </c>
      <c r="N6255">
        <v>0</v>
      </c>
      <c r="O6255">
        <v>-3.5757089999999998E-2</v>
      </c>
      <c r="P6255">
        <v>0.99100569999999999</v>
      </c>
      <c r="Q6255">
        <v>0.1334292</v>
      </c>
      <c r="R6255">
        <v>1.024446E-2</v>
      </c>
      <c r="S6255">
        <v>3.1729579999999999</v>
      </c>
      <c r="T6255">
        <v>-1.1135219999999999</v>
      </c>
      <c r="U6255">
        <v>0.32824710000000001</v>
      </c>
      <c r="V6255">
        <v>-4.5721940000000003E-2</v>
      </c>
      <c r="W6255">
        <v>0.1465977</v>
      </c>
      <c r="X6255">
        <v>0.98813899999999999</v>
      </c>
      <c r="Y6255">
        <v>-0.128667899999999</v>
      </c>
      <c r="Z6255">
        <v>3.4027750000000002E-2</v>
      </c>
      <c r="AA6255">
        <v>0.99110379999999998</v>
      </c>
      <c r="AB6255">
        <v>32</v>
      </c>
      <c r="AC6255">
        <v>0.53109999999998003</v>
      </c>
      <c r="AD6255">
        <v>-0.24149200000000001</v>
      </c>
      <c r="AE6255">
        <v>7.6680000000003107E-2</v>
      </c>
      <c r="AF6255">
        <v>-7.9518264595730997E-2</v>
      </c>
      <c r="AG6255">
        <v>-0.24149200000000001</v>
      </c>
      <c r="AH6255">
        <v>0.43908882779929298</v>
      </c>
      <c r="AI6255">
        <v>118.421433016913</v>
      </c>
      <c r="AJ6255">
        <v>100.26491817835</v>
      </c>
      <c r="AK6255">
        <v>0.50738598637179</v>
      </c>
      <c r="AL6255">
        <v>81.570190854074994</v>
      </c>
      <c r="AM6255">
        <v>92.649229543414606</v>
      </c>
      <c r="AN6255">
        <v>1.0000000323818199</v>
      </c>
    </row>
    <row r="6256" spans="1:40" x14ac:dyDescent="0.25">
      <c r="A6256" t="str">
        <f>"20190312164149057"</f>
        <v>20190312164149057</v>
      </c>
      <c r="B6256" t="str">
        <f>"1552380109051955"</f>
        <v>1552380109051955</v>
      </c>
      <c r="C6256" t="s">
        <v>40</v>
      </c>
      <c r="D6256">
        <v>6.0784219999999998</v>
      </c>
      <c r="E6256">
        <v>0.48149969999999997</v>
      </c>
      <c r="F6256" t="s">
        <v>58</v>
      </c>
      <c r="G6256">
        <v>-231.78</v>
      </c>
      <c r="H6256" s="1">
        <v>-7.4458740000000002E-8</v>
      </c>
      <c r="I6256">
        <v>-61.600200000000001</v>
      </c>
      <c r="J6256">
        <v>-242.6591</v>
      </c>
      <c r="K6256">
        <v>1.1103719999999999</v>
      </c>
      <c r="L6256">
        <v>-62.346409999999999</v>
      </c>
      <c r="M6256">
        <v>0.99927679999999997</v>
      </c>
      <c r="N6256">
        <v>0</v>
      </c>
      <c r="O6256">
        <v>-3.5629180000000003E-2</v>
      </c>
      <c r="P6256">
        <v>0.99091300000000004</v>
      </c>
      <c r="Q6256">
        <v>0.13408919999999999</v>
      </c>
      <c r="R6256">
        <v>1.0558329999999999E-2</v>
      </c>
      <c r="S6256">
        <v>3.0666660000000001</v>
      </c>
      <c r="T6256">
        <v>-0.30857709999999999</v>
      </c>
      <c r="U6256">
        <v>0.2058411</v>
      </c>
      <c r="V6256">
        <v>-4.5913250000000003E-2</v>
      </c>
      <c r="W6256">
        <v>0.14721039999999999</v>
      </c>
      <c r="X6256">
        <v>0.988039</v>
      </c>
      <c r="Y6256">
        <v>-0.10179000000000001</v>
      </c>
      <c r="Z6256">
        <v>8.6755200000000008E-3</v>
      </c>
      <c r="AA6256">
        <v>0.99476810000000004</v>
      </c>
      <c r="AB6256">
        <v>32</v>
      </c>
      <c r="AC6256">
        <v>10.8790999999999</v>
      </c>
      <c r="AD6256">
        <v>-1.11037207445874</v>
      </c>
      <c r="AE6256">
        <v>0.74620999999999704</v>
      </c>
      <c r="AF6256">
        <v>-1.1217529357845899</v>
      </c>
      <c r="AG6256">
        <v>-1.11037207445874</v>
      </c>
      <c r="AH6256">
        <v>10.734304418168101</v>
      </c>
      <c r="AI6256">
        <v>95.873993273209607</v>
      </c>
      <c r="AJ6256">
        <v>95.965851683678807</v>
      </c>
      <c r="AK6256">
        <v>10.849725670936699</v>
      </c>
      <c r="AL6256">
        <v>81.534700386664596</v>
      </c>
      <c r="AM6256">
        <v>92.660567436615494</v>
      </c>
      <c r="AN6256">
        <v>0.99999999695736097</v>
      </c>
    </row>
    <row r="6257" spans="1:40" x14ac:dyDescent="0.25">
      <c r="A6257" t="str">
        <f>"20190312164149068"</f>
        <v>20190312164149068</v>
      </c>
      <c r="B6257" t="str">
        <f>"1552380109062691"</f>
        <v>1552380109062691</v>
      </c>
      <c r="C6257" t="s">
        <v>40</v>
      </c>
      <c r="D6257">
        <v>5.9882549999999997</v>
      </c>
      <c r="E6257">
        <v>0.48196559999999999</v>
      </c>
      <c r="F6257" t="s">
        <v>59</v>
      </c>
      <c r="G6257">
        <v>-229.21250000000001</v>
      </c>
      <c r="H6257" s="1">
        <v>-3.2858700000000002E-6</v>
      </c>
      <c r="I6257">
        <v>-61.446829999999999</v>
      </c>
      <c r="J6257">
        <v>-242.49860000000001</v>
      </c>
      <c r="K6257">
        <v>1.1103809999999901</v>
      </c>
      <c r="L6257">
        <v>-62.352020000000003</v>
      </c>
      <c r="M6257">
        <v>0.99928240000000002</v>
      </c>
      <c r="N6257">
        <v>0</v>
      </c>
      <c r="O6257">
        <v>-3.5495270000000002E-2</v>
      </c>
      <c r="P6257">
        <v>0.99082420000000004</v>
      </c>
      <c r="Q6257">
        <v>0.13471620000000001</v>
      </c>
      <c r="R6257">
        <v>1.092811E-2</v>
      </c>
      <c r="S6257">
        <v>3.0595249999999998</v>
      </c>
      <c r="T6257">
        <v>-0.25264439999999999</v>
      </c>
      <c r="U6257">
        <v>0.20468140000000001</v>
      </c>
      <c r="V6257">
        <v>-4.6152350000000002E-2</v>
      </c>
      <c r="W6257">
        <v>0.14778620000000001</v>
      </c>
      <c r="X6257">
        <v>0.98794190000000004</v>
      </c>
      <c r="Y6257">
        <v>-0.10166269999999999</v>
      </c>
      <c r="Z6257">
        <v>7.109181E-3</v>
      </c>
      <c r="AA6257">
        <v>0.9947935</v>
      </c>
      <c r="AB6257">
        <v>32</v>
      </c>
      <c r="AC6257">
        <v>13.286099999999999</v>
      </c>
      <c r="AD6257">
        <v>-1.1103842858699999</v>
      </c>
      <c r="AE6257">
        <v>0.90518999999998995</v>
      </c>
      <c r="AF6257">
        <v>-1.3667520826524799</v>
      </c>
      <c r="AG6257">
        <v>-1.1103842858699999</v>
      </c>
      <c r="AH6257">
        <v>13.154139436508901</v>
      </c>
      <c r="AI6257">
        <v>94.799371514886403</v>
      </c>
      <c r="AJ6257">
        <v>95.9319071910368</v>
      </c>
      <c r="AK6257">
        <v>13.2714863083552</v>
      </c>
      <c r="AL6257">
        <v>81.501344659295</v>
      </c>
      <c r="AM6257">
        <v>92.674665140952001</v>
      </c>
      <c r="AN6257">
        <v>0.99999999904828596</v>
      </c>
    </row>
    <row r="6258" spans="1:40" x14ac:dyDescent="0.25">
      <c r="A6258" t="str">
        <f>"20190312164149080"</f>
        <v>20190312164149080</v>
      </c>
      <c r="B6258" t="str">
        <f>"1552380109072451"</f>
        <v>1552380109072451</v>
      </c>
      <c r="C6258" t="s">
        <v>40</v>
      </c>
      <c r="D6258">
        <v>5.9530849999999997</v>
      </c>
      <c r="E6258">
        <v>0.48252240000000002</v>
      </c>
      <c r="F6258" t="s">
        <v>59</v>
      </c>
      <c r="G6258">
        <v>-225.9846</v>
      </c>
      <c r="H6258" s="1">
        <v>-1.8821749999999999E-6</v>
      </c>
      <c r="I6258">
        <v>-61.26849</v>
      </c>
      <c r="J6258">
        <v>-242.3312</v>
      </c>
      <c r="K6258">
        <v>1.11039</v>
      </c>
      <c r="L6258">
        <v>-62.357819999999997</v>
      </c>
      <c r="M6258">
        <v>0.99928779999999995</v>
      </c>
      <c r="N6258">
        <v>0</v>
      </c>
      <c r="O6258">
        <v>-3.5356850000000002E-2</v>
      </c>
      <c r="P6258">
        <v>0.99078250000000001</v>
      </c>
      <c r="Q6258">
        <v>0.13500799999999999</v>
      </c>
      <c r="R6258">
        <v>1.1095020000000001E-2</v>
      </c>
      <c r="S6258">
        <v>3.0534970000000001</v>
      </c>
      <c r="T6258">
        <v>-0.20531369999999999</v>
      </c>
      <c r="U6258">
        <v>0.2003479</v>
      </c>
      <c r="V6258">
        <v>-4.6184120000000002E-2</v>
      </c>
      <c r="W6258">
        <v>0.1480253</v>
      </c>
      <c r="X6258">
        <v>0.98790460000000002</v>
      </c>
      <c r="Y6258">
        <v>-0.1004095</v>
      </c>
      <c r="Z6258">
        <v>5.7409490000000004E-3</v>
      </c>
      <c r="AA6258">
        <v>0.99492959999999997</v>
      </c>
      <c r="AB6258">
        <v>32</v>
      </c>
      <c r="AC6258">
        <v>16.346599999999899</v>
      </c>
      <c r="AD6258">
        <v>-1.1103918821750001</v>
      </c>
      <c r="AE6258">
        <v>1.0893299999999899</v>
      </c>
      <c r="AF6258">
        <v>-1.6590419621992101</v>
      </c>
      <c r="AG6258">
        <v>-1.1103918821750001</v>
      </c>
      <c r="AH6258">
        <v>16.223331949143599</v>
      </c>
      <c r="AI6258">
        <v>93.895202076951193</v>
      </c>
      <c r="AJ6258">
        <v>95.838924555799807</v>
      </c>
      <c r="AK6258">
        <v>16.34569943124</v>
      </c>
      <c r="AL6258">
        <v>81.4874927304095</v>
      </c>
      <c r="AM6258">
        <v>92.6766045389097</v>
      </c>
      <c r="AN6258">
        <v>0.99999998054071204</v>
      </c>
    </row>
    <row r="6259" spans="1:40" x14ac:dyDescent="0.25">
      <c r="A6259" t="str">
        <f>"20190312164149090"</f>
        <v>20190312164149090</v>
      </c>
      <c r="B6259" t="str">
        <f>"1552380109082211"</f>
        <v>1552380109082211</v>
      </c>
      <c r="C6259" t="s">
        <v>40</v>
      </c>
      <c r="D6259">
        <v>5.8968400000000001</v>
      </c>
      <c r="E6259">
        <v>0.48256120000000002</v>
      </c>
      <c r="F6259" t="s">
        <v>59</v>
      </c>
      <c r="G6259">
        <v>-223.351</v>
      </c>
      <c r="H6259" s="1">
        <v>-7.2365790000000002E-7</v>
      </c>
      <c r="I6259">
        <v>-61.139360000000003</v>
      </c>
      <c r="J6259">
        <v>-242.17230000000001</v>
      </c>
      <c r="K6259">
        <v>1.110385</v>
      </c>
      <c r="L6259">
        <v>-62.363340000000001</v>
      </c>
      <c r="M6259">
        <v>0.99929290000000004</v>
      </c>
      <c r="N6259">
        <v>0</v>
      </c>
      <c r="O6259">
        <v>-3.5232670000000001E-2</v>
      </c>
      <c r="P6259">
        <v>0.99075959999999996</v>
      </c>
      <c r="Q6259">
        <v>0.13515479999999899</v>
      </c>
      <c r="R6259">
        <v>1.135946E-2</v>
      </c>
      <c r="S6259">
        <v>3.050049</v>
      </c>
      <c r="T6259">
        <v>-0.17843539999999999</v>
      </c>
      <c r="U6259">
        <v>0.1958008</v>
      </c>
      <c r="V6259">
        <v>-4.6325709999999999E-2</v>
      </c>
      <c r="W6259">
        <v>0.148123</v>
      </c>
      <c r="X6259">
        <v>0.98788330000000002</v>
      </c>
      <c r="Y6259">
        <v>-9.895901E-2</v>
      </c>
      <c r="Z6259">
        <v>4.947E-3</v>
      </c>
      <c r="AA6259">
        <v>0.99507920000000005</v>
      </c>
      <c r="AB6259">
        <v>32</v>
      </c>
      <c r="AC6259">
        <v>18.821300000000001</v>
      </c>
      <c r="AD6259">
        <v>-1.1103857236579</v>
      </c>
      <c r="AE6259">
        <v>1.2239800000000001</v>
      </c>
      <c r="AF6259">
        <v>-1.87988625894533</v>
      </c>
      <c r="AG6259">
        <v>-1.1103857236579</v>
      </c>
      <c r="AH6259">
        <v>18.701666674044901</v>
      </c>
      <c r="AI6259">
        <v>93.380871283676001</v>
      </c>
      <c r="AJ6259">
        <v>95.740074433790696</v>
      </c>
      <c r="AK6259">
        <v>18.8286819822567</v>
      </c>
      <c r="AL6259">
        <v>81.481832312475007</v>
      </c>
      <c r="AM6259">
        <v>92.684856213817696</v>
      </c>
      <c r="AN6259">
        <v>0.99999995447744605</v>
      </c>
    </row>
    <row r="6260" spans="1:40" x14ac:dyDescent="0.25">
      <c r="A6260" t="str">
        <f>"20190312164149101"</f>
        <v>20190312164149101</v>
      </c>
      <c r="B6260" t="str">
        <f>"1552380109091972"</f>
        <v>1552380109091972</v>
      </c>
      <c r="C6260" t="s">
        <v>40</v>
      </c>
      <c r="D6260">
        <v>5.9599010000000003</v>
      </c>
      <c r="E6260">
        <v>0.48247990000000002</v>
      </c>
      <c r="F6260" t="s">
        <v>59</v>
      </c>
      <c r="G6260">
        <v>-220.61269999999999</v>
      </c>
      <c r="H6260" s="1">
        <v>4.8673949999999996E-7</v>
      </c>
      <c r="I6260">
        <v>-60.978859999999997</v>
      </c>
      <c r="J6260">
        <v>-242.0189</v>
      </c>
      <c r="K6260">
        <v>1.110376</v>
      </c>
      <c r="L6260">
        <v>-62.368650000000002</v>
      </c>
      <c r="M6260">
        <v>0.99929760000000001</v>
      </c>
      <c r="N6260">
        <v>0</v>
      </c>
      <c r="O6260">
        <v>-3.5119049999999999E-2</v>
      </c>
      <c r="P6260">
        <v>0.99076830000000005</v>
      </c>
      <c r="Q6260">
        <v>0.13506599999999999</v>
      </c>
      <c r="R6260">
        <v>1.165387E-2</v>
      </c>
      <c r="S6260">
        <v>3.04718</v>
      </c>
      <c r="T6260">
        <v>-0.156939299999999</v>
      </c>
      <c r="U6260">
        <v>0.19567870000000001</v>
      </c>
      <c r="V6260">
        <v>-4.6507060000000003E-2</v>
      </c>
      <c r="W6260">
        <v>0.14798810000000001</v>
      </c>
      <c r="X6260">
        <v>0.98789510000000003</v>
      </c>
      <c r="Y6260">
        <v>-9.8917630000000006E-2</v>
      </c>
      <c r="Z6260">
        <v>4.3490530000000003E-3</v>
      </c>
      <c r="AA6260">
        <v>0.99508609999999997</v>
      </c>
      <c r="AB6260">
        <v>32</v>
      </c>
      <c r="AC6260">
        <v>21.406199999999998</v>
      </c>
      <c r="AD6260">
        <v>-1.1103755132605</v>
      </c>
      <c r="AE6260">
        <v>1.3897900000000001</v>
      </c>
      <c r="AF6260">
        <v>-2.1350416375600201</v>
      </c>
      <c r="AG6260">
        <v>-1.1103755132605</v>
      </c>
      <c r="AH6260">
        <v>21.287144466196398</v>
      </c>
      <c r="AI6260">
        <v>92.9710646908499</v>
      </c>
      <c r="AJ6260">
        <v>95.727454085875294</v>
      </c>
      <c r="AK6260">
        <v>21.4227415635646</v>
      </c>
      <c r="AL6260">
        <v>81.489648520509903</v>
      </c>
      <c r="AM6260">
        <v>92.695318930830695</v>
      </c>
      <c r="AN6260">
        <v>1.00000005648773</v>
      </c>
    </row>
    <row r="6261" spans="1:40" x14ac:dyDescent="0.25">
      <c r="A6261" t="str">
        <f>"20190312164149112"</f>
        <v>20190312164149112</v>
      </c>
      <c r="B6261" t="str">
        <f>"1552380109102707"</f>
        <v>1552380109102707</v>
      </c>
      <c r="C6261" t="s">
        <v>40</v>
      </c>
      <c r="D6261">
        <v>6.0608139999999997</v>
      </c>
      <c r="E6261">
        <v>0.48257739999999999</v>
      </c>
      <c r="F6261" t="s">
        <v>60</v>
      </c>
      <c r="G6261">
        <v>-217.76499999999999</v>
      </c>
      <c r="H6261" s="1">
        <v>-2.4111690000000001E-6</v>
      </c>
      <c r="I6261">
        <v>-60.800789999999999</v>
      </c>
      <c r="J6261">
        <v>-241.85480000000001</v>
      </c>
      <c r="K6261">
        <v>1.1103590000000001</v>
      </c>
      <c r="L6261">
        <v>-62.374270000000003</v>
      </c>
      <c r="M6261">
        <v>0.99930189999999997</v>
      </c>
      <c r="N6261">
        <v>0</v>
      </c>
      <c r="O6261">
        <v>-3.5009829999999999E-2</v>
      </c>
      <c r="P6261">
        <v>0.99074980000000001</v>
      </c>
      <c r="Q6261">
        <v>0.13515379999999999</v>
      </c>
      <c r="R6261">
        <v>1.2180710000000001E-2</v>
      </c>
      <c r="S6261">
        <v>3.044632</v>
      </c>
      <c r="T6261">
        <v>-0.1393876</v>
      </c>
      <c r="U6261">
        <v>0.19680790000000001</v>
      </c>
      <c r="V6261">
        <v>-4.6920839999999998E-2</v>
      </c>
      <c r="W6261">
        <v>0.14802870000000001</v>
      </c>
      <c r="X6261">
        <v>0.98786940000000001</v>
      </c>
      <c r="Y6261">
        <v>-9.9266530000000006E-2</v>
      </c>
      <c r="Z6261">
        <v>3.869365E-3</v>
      </c>
      <c r="AA6261">
        <v>0.99505339999999998</v>
      </c>
      <c r="AB6261">
        <v>32</v>
      </c>
      <c r="AC6261">
        <v>24.0898</v>
      </c>
      <c r="AD6261">
        <v>-1.1103614111689999</v>
      </c>
      <c r="AE6261">
        <v>1.57347999999999</v>
      </c>
      <c r="AF6261">
        <v>-2.4108665589811702</v>
      </c>
      <c r="AG6261">
        <v>-1.1103614111689999</v>
      </c>
      <c r="AH6261">
        <v>23.969230765054998</v>
      </c>
      <c r="AI6261">
        <v>92.639002850422202</v>
      </c>
      <c r="AJ6261">
        <v>95.743591573469999</v>
      </c>
      <c r="AK6261">
        <v>24.1157459660092</v>
      </c>
      <c r="AL6261">
        <v>81.487295976102502</v>
      </c>
      <c r="AM6261">
        <v>92.719334372200294</v>
      </c>
      <c r="AN6261">
        <v>1.00000000635317</v>
      </c>
    </row>
    <row r="6262" spans="1:40" x14ac:dyDescent="0.25">
      <c r="A6262" t="str">
        <f>"20190312164149124"</f>
        <v>20190312164149124</v>
      </c>
      <c r="B6262" t="str">
        <f>"1552380109112468"</f>
        <v>1552380109112468</v>
      </c>
      <c r="C6262" t="s">
        <v>40</v>
      </c>
      <c r="D6262">
        <v>6.0103540000000004</v>
      </c>
      <c r="E6262">
        <v>0.48189080000000001</v>
      </c>
      <c r="F6262" t="s">
        <v>60</v>
      </c>
      <c r="G6262">
        <v>-216.00360000000001</v>
      </c>
      <c r="H6262" s="1">
        <v>-1.6274359999999901E-6</v>
      </c>
      <c r="I6262">
        <v>-60.695230000000002</v>
      </c>
      <c r="J6262">
        <v>-241.70249999999999</v>
      </c>
      <c r="K6262">
        <v>1.1103430000000001</v>
      </c>
      <c r="L6262">
        <v>-62.379550000000002</v>
      </c>
      <c r="M6262">
        <v>0.99930569999999996</v>
      </c>
      <c r="N6262">
        <v>0</v>
      </c>
      <c r="O6262">
        <v>-3.492191E-2</v>
      </c>
      <c r="P6262">
        <v>0.99076730000000002</v>
      </c>
      <c r="Q6262">
        <v>0.13497579999999901</v>
      </c>
      <c r="R6262">
        <v>1.273092E-2</v>
      </c>
      <c r="S6262">
        <v>3.0434109999999999</v>
      </c>
      <c r="T6262">
        <v>-0.13072029999999901</v>
      </c>
      <c r="U6262">
        <v>0.19766239999999999</v>
      </c>
      <c r="V6262">
        <v>-4.73798E-2</v>
      </c>
      <c r="W6262">
        <v>0.14780940000000001</v>
      </c>
      <c r="X6262">
        <v>0.98788030000000004</v>
      </c>
      <c r="Y6262">
        <v>-9.9499509999999999E-2</v>
      </c>
      <c r="Z6262">
        <v>3.6316339999999999E-3</v>
      </c>
      <c r="AA6262">
        <v>0.995031</v>
      </c>
      <c r="AB6262">
        <v>32</v>
      </c>
      <c r="AC6262">
        <v>25.698899999999899</v>
      </c>
      <c r="AD6262">
        <v>-1.110344627436</v>
      </c>
      <c r="AE6262">
        <v>1.68431999999999</v>
      </c>
      <c r="AF6262">
        <v>-2.5760345455839202</v>
      </c>
      <c r="AG6262">
        <v>-1.110344627436</v>
      </c>
      <c r="AH6262">
        <v>25.576856111297499</v>
      </c>
      <c r="AI6262">
        <v>92.473271295194095</v>
      </c>
      <c r="AJ6262">
        <v>95.751287479230498</v>
      </c>
      <c r="AK6262">
        <v>25.730223234743502</v>
      </c>
      <c r="AL6262">
        <v>81.500000436274206</v>
      </c>
      <c r="AM6262">
        <v>92.745862997261597</v>
      </c>
      <c r="AN6262">
        <v>0.99999997565224397</v>
      </c>
    </row>
    <row r="6263" spans="1:40" x14ac:dyDescent="0.25">
      <c r="A6263" t="str">
        <f>"20190312164149134"</f>
        <v>20190312164149134</v>
      </c>
      <c r="B6263" t="str">
        <f>"1552380109122227"</f>
        <v>1552380109122227</v>
      </c>
      <c r="C6263" t="s">
        <v>40</v>
      </c>
      <c r="D6263">
        <v>5.9920429999999998</v>
      </c>
      <c r="E6263">
        <v>0.48189409999999999</v>
      </c>
      <c r="F6263" t="s">
        <v>60</v>
      </c>
      <c r="G6263">
        <v>-218.28729999999999</v>
      </c>
      <c r="H6263" s="1">
        <v>-2.6341170000000002E-6</v>
      </c>
      <c r="I6263">
        <v>-60.796610000000001</v>
      </c>
      <c r="J6263">
        <v>-241.53489999999999</v>
      </c>
      <c r="K6263">
        <v>1.110312</v>
      </c>
      <c r="L6263">
        <v>-62.385309999999997</v>
      </c>
      <c r="M6263">
        <v>0.99930909999999995</v>
      </c>
      <c r="N6263">
        <v>0</v>
      </c>
      <c r="O6263">
        <v>-3.483787E-2</v>
      </c>
      <c r="P6263">
        <v>0.99077890000000002</v>
      </c>
      <c r="Q6263">
        <v>0.13485269999999999</v>
      </c>
      <c r="R6263">
        <v>1.3124419999999999E-2</v>
      </c>
      <c r="S6263">
        <v>3.0449830000000002</v>
      </c>
      <c r="T6263">
        <v>-0.14439250000000001</v>
      </c>
      <c r="U6263">
        <v>0.2058411</v>
      </c>
      <c r="V6263">
        <v>-4.7683410000000002E-2</v>
      </c>
      <c r="W6263">
        <v>0.14764330000000001</v>
      </c>
      <c r="X6263">
        <v>0.9878905</v>
      </c>
      <c r="Y6263">
        <v>-0.10201349999999999</v>
      </c>
      <c r="Z6263">
        <v>4.0641920000000003E-3</v>
      </c>
      <c r="AA6263">
        <v>0.99477470000000001</v>
      </c>
      <c r="AB6263">
        <v>32</v>
      </c>
      <c r="AC6263">
        <v>23.247599999999998</v>
      </c>
      <c r="AD6263">
        <v>-1.110314634117</v>
      </c>
      <c r="AE6263">
        <v>1.58869999999999</v>
      </c>
      <c r="AF6263">
        <v>-2.3922686918834901</v>
      </c>
      <c r="AG6263">
        <v>-1.110314634117</v>
      </c>
      <c r="AH6263">
        <v>23.125628606929599</v>
      </c>
      <c r="AI6263">
        <v>92.734222842507094</v>
      </c>
      <c r="AJ6263">
        <v>95.9060486591234</v>
      </c>
      <c r="AK6263">
        <v>23.275533217233502</v>
      </c>
      <c r="AL6263">
        <v>81.509622584615002</v>
      </c>
      <c r="AM6263">
        <v>92.763402824950006</v>
      </c>
      <c r="AN6263">
        <v>0.99999994580718199</v>
      </c>
    </row>
    <row r="6264" spans="1:40" x14ac:dyDescent="0.25">
      <c r="A6264" t="str">
        <f>"20190312164149146"</f>
        <v>20190312164149146</v>
      </c>
      <c r="B6264" t="str">
        <f>"1552380109142724"</f>
        <v>1552380109142724</v>
      </c>
      <c r="C6264" t="s">
        <v>40</v>
      </c>
      <c r="D6264">
        <v>6.3922489999999996</v>
      </c>
      <c r="E6264">
        <v>0.48170829999999998</v>
      </c>
      <c r="F6264" t="s">
        <v>60</v>
      </c>
      <c r="G6264">
        <v>-217.56200000000001</v>
      </c>
      <c r="H6264" s="1">
        <v>-2.310416E-6</v>
      </c>
      <c r="I6264">
        <v>-60.749450000000003</v>
      </c>
      <c r="J6264">
        <v>-241.37139999999999</v>
      </c>
      <c r="K6264">
        <v>1.110287</v>
      </c>
      <c r="L6264">
        <v>-62.390929999999997</v>
      </c>
      <c r="M6264">
        <v>0.99931170000000002</v>
      </c>
      <c r="N6264">
        <v>0</v>
      </c>
      <c r="O6264">
        <v>-3.477761E-2</v>
      </c>
      <c r="P6264">
        <v>0.99078350000000004</v>
      </c>
      <c r="Q6264">
        <v>0.1347614</v>
      </c>
      <c r="R6264">
        <v>1.369917E-2</v>
      </c>
      <c r="S6264">
        <v>3.0443570000000002</v>
      </c>
      <c r="T6264">
        <v>-0.1410006</v>
      </c>
      <c r="U6264">
        <v>0.20773320000000001</v>
      </c>
      <c r="V6264">
        <v>-4.819122E-2</v>
      </c>
      <c r="W6264">
        <v>0.14751320000000001</v>
      </c>
      <c r="X6264">
        <v>0.98788540000000002</v>
      </c>
      <c r="Y6264">
        <v>-0.10258920000000001</v>
      </c>
      <c r="Z6264">
        <v>3.9800800000000004E-3</v>
      </c>
      <c r="AA6264">
        <v>0.99471589999999999</v>
      </c>
      <c r="AB6264">
        <v>32</v>
      </c>
      <c r="AC6264">
        <v>23.809399999999901</v>
      </c>
      <c r="AD6264">
        <v>-1.1102893104160001</v>
      </c>
      <c r="AE6264">
        <v>1.6414800000000001</v>
      </c>
      <c r="AF6264">
        <v>-2.46325867963967</v>
      </c>
      <c r="AG6264">
        <v>-1.1102893104160001</v>
      </c>
      <c r="AH6264">
        <v>23.686638383992801</v>
      </c>
      <c r="AI6264">
        <v>92.669348136995197</v>
      </c>
      <c r="AJ6264">
        <v>95.937053048043893</v>
      </c>
      <c r="AK6264">
        <v>23.840243782513699</v>
      </c>
      <c r="AL6264">
        <v>81.517160186301297</v>
      </c>
      <c r="AM6264">
        <v>92.792800051544305</v>
      </c>
      <c r="AN6264">
        <v>1.0000000506962401</v>
      </c>
    </row>
    <row r="6265" spans="1:40" x14ac:dyDescent="0.25">
      <c r="A6265" t="str">
        <f>"20190312164149157"</f>
        <v>20190312164149157</v>
      </c>
      <c r="B6265" t="str">
        <f>"1552380109152483"</f>
        <v>1552380109152483</v>
      </c>
      <c r="C6265" t="s">
        <v>40</v>
      </c>
      <c r="D6265">
        <v>6.0315649999999996</v>
      </c>
      <c r="E6265">
        <v>0.48182760000000002</v>
      </c>
      <c r="F6265" t="s">
        <v>60</v>
      </c>
      <c r="G6265">
        <v>-217.51130000000001</v>
      </c>
      <c r="H6265" s="1">
        <v>-2.2844859999999999E-6</v>
      </c>
      <c r="I6265">
        <v>-60.733750000000001</v>
      </c>
      <c r="J6265">
        <v>-241.20509999999999</v>
      </c>
      <c r="K6265">
        <v>1.110268</v>
      </c>
      <c r="L6265">
        <v>-62.396669999999901</v>
      </c>
      <c r="M6265">
        <v>0.99931420000000004</v>
      </c>
      <c r="N6265">
        <v>0</v>
      </c>
      <c r="O6265">
        <v>-3.4723810000000001E-2</v>
      </c>
      <c r="P6265">
        <v>0.99081909999999895</v>
      </c>
      <c r="Q6265">
        <v>0.13443459999999999</v>
      </c>
      <c r="R6265">
        <v>1.43216E-2</v>
      </c>
      <c r="S6265">
        <v>3.044235</v>
      </c>
      <c r="T6265">
        <v>-0.14165810000000001</v>
      </c>
      <c r="U6265">
        <v>0.2114258</v>
      </c>
      <c r="V6265">
        <v>-4.8753499999999998E-2</v>
      </c>
      <c r="W6265">
        <v>0.14714820000000001</v>
      </c>
      <c r="X6265">
        <v>0.98791220000000002</v>
      </c>
      <c r="Y6265">
        <v>-0.1037365</v>
      </c>
      <c r="Z6265">
        <v>4.0227689999999998E-3</v>
      </c>
      <c r="AA6265">
        <v>0.9945967</v>
      </c>
      <c r="AB6265">
        <v>32</v>
      </c>
      <c r="AC6265">
        <v>23.6937999999999</v>
      </c>
      <c r="AD6265">
        <v>-1.110270284486</v>
      </c>
      <c r="AE6265">
        <v>1.66291999999999</v>
      </c>
      <c r="AF6265">
        <v>-2.4793067401321802</v>
      </c>
      <c r="AG6265">
        <v>-1.110270284486</v>
      </c>
      <c r="AH6265">
        <v>23.5702599935961</v>
      </c>
      <c r="AI6265">
        <v>92.682132013072405</v>
      </c>
      <c r="AJ6265">
        <v>96.004742634684305</v>
      </c>
      <c r="AK6265">
        <v>23.726289599977399</v>
      </c>
      <c r="AL6265">
        <v>81.538303496497903</v>
      </c>
      <c r="AM6265">
        <v>92.825256548905202</v>
      </c>
      <c r="AN6265">
        <v>1.0000000057171601</v>
      </c>
    </row>
    <row r="6266" spans="1:40" x14ac:dyDescent="0.25">
      <c r="A6266" t="str">
        <f>"20190312164149170"</f>
        <v>20190312164149170</v>
      </c>
      <c r="B6266" t="str">
        <f>"1552380109162243"</f>
        <v>1552380109162243</v>
      </c>
      <c r="C6266" t="s">
        <v>40</v>
      </c>
      <c r="D6266">
        <v>6.0164059999999999</v>
      </c>
      <c r="E6266">
        <v>0.48200799999999999</v>
      </c>
      <c r="F6266" t="s">
        <v>60</v>
      </c>
      <c r="G6266">
        <v>-217.8416</v>
      </c>
      <c r="H6266" s="1">
        <v>-2.4346529999999999E-6</v>
      </c>
      <c r="I6266">
        <v>-60.765599999999999</v>
      </c>
      <c r="J6266">
        <v>-241.0376</v>
      </c>
      <c r="K6266">
        <v>1.1102449999999999</v>
      </c>
      <c r="L6266">
        <v>-62.402439999999999</v>
      </c>
      <c r="M6266">
        <v>0.99931570000000003</v>
      </c>
      <c r="N6266">
        <v>0</v>
      </c>
      <c r="O6266">
        <v>-3.469444E-2</v>
      </c>
      <c r="P6266">
        <v>0.99082239999999999</v>
      </c>
      <c r="Q6266">
        <v>0.13430980000000001</v>
      </c>
      <c r="R6266">
        <v>1.524118E-2</v>
      </c>
      <c r="S6266">
        <v>3.044327</v>
      </c>
      <c r="T6266">
        <v>-0.14467079999999999</v>
      </c>
      <c r="U6266">
        <v>0.2125244</v>
      </c>
      <c r="V6266">
        <v>-4.9636060000000003E-2</v>
      </c>
      <c r="W6266">
        <v>0.1469878</v>
      </c>
      <c r="X6266">
        <v>0.9878922</v>
      </c>
      <c r="Y6266">
        <v>-0.1040557</v>
      </c>
      <c r="Z6266">
        <v>4.1142339999999996E-3</v>
      </c>
      <c r="AA6266">
        <v>0.99456299999999997</v>
      </c>
      <c r="AB6266">
        <v>32</v>
      </c>
      <c r="AC6266">
        <v>23.196000000000002</v>
      </c>
      <c r="AD6266">
        <v>-1.110247434653</v>
      </c>
      <c r="AE6266">
        <v>1.6368400000000001</v>
      </c>
      <c r="AF6266">
        <v>-2.4351416903888898</v>
      </c>
      <c r="AG6266">
        <v>-1.110247434653</v>
      </c>
      <c r="AH6266">
        <v>23.072642927196501</v>
      </c>
      <c r="AI6266">
        <v>92.739734076685906</v>
      </c>
      <c r="AJ6266">
        <v>96.024828527560899</v>
      </c>
      <c r="AK6266">
        <v>23.227341993098101</v>
      </c>
      <c r="AL6266">
        <v>81.547595361761196</v>
      </c>
      <c r="AM6266">
        <v>92.876373752796994</v>
      </c>
      <c r="AN6266">
        <v>1.0000000753109901</v>
      </c>
    </row>
    <row r="6267" spans="1:40" x14ac:dyDescent="0.25">
      <c r="A6267" t="str">
        <f>"20190312164149180"</f>
        <v>20190312164149180</v>
      </c>
      <c r="B6267" t="str">
        <f>"1552380109172004"</f>
        <v>1552380109172004</v>
      </c>
      <c r="C6267" t="s">
        <v>40</v>
      </c>
      <c r="D6267">
        <v>5.8926080000000001</v>
      </c>
      <c r="E6267">
        <v>0.48171900000000001</v>
      </c>
      <c r="F6267" t="s">
        <v>60</v>
      </c>
      <c r="G6267">
        <v>-217.29089999999999</v>
      </c>
      <c r="H6267" s="1">
        <v>-2.1904989999999998E-6</v>
      </c>
      <c r="I6267">
        <v>-60.73574</v>
      </c>
      <c r="J6267">
        <v>-240.87690000000001</v>
      </c>
      <c r="K6267">
        <v>1.110225</v>
      </c>
      <c r="L6267">
        <v>-62.407989999999998</v>
      </c>
      <c r="M6267">
        <v>0.99931689999999995</v>
      </c>
      <c r="N6267">
        <v>0</v>
      </c>
      <c r="O6267">
        <v>-3.4672219999999997E-2</v>
      </c>
      <c r="P6267">
        <v>0.99082769999999998</v>
      </c>
      <c r="Q6267">
        <v>0.13418440000000001</v>
      </c>
      <c r="R6267">
        <v>1.5981499999999999E-2</v>
      </c>
      <c r="S6267">
        <v>3.043777</v>
      </c>
      <c r="T6267">
        <v>-0.14230809999999999</v>
      </c>
      <c r="U6267">
        <v>0.21362300000000001</v>
      </c>
      <c r="V6267">
        <v>-5.0347620000000003E-2</v>
      </c>
      <c r="W6267">
        <v>0.1468284</v>
      </c>
      <c r="X6267">
        <v>0.98787979999999997</v>
      </c>
      <c r="Y6267">
        <v>-0.1044079</v>
      </c>
      <c r="Z6267">
        <v>4.0549740000000003E-3</v>
      </c>
      <c r="AA6267">
        <v>0.99452629999999997</v>
      </c>
      <c r="AB6267">
        <v>32</v>
      </c>
      <c r="AC6267">
        <v>23.585999999999999</v>
      </c>
      <c r="AD6267">
        <v>-1.110227190499</v>
      </c>
      <c r="AE6267">
        <v>1.67225</v>
      </c>
      <c r="AF6267">
        <v>-2.4836147723102702</v>
      </c>
      <c r="AG6267">
        <v>-1.110227190499</v>
      </c>
      <c r="AH6267">
        <v>23.462105475451999</v>
      </c>
      <c r="AI6267">
        <v>92.694185680471804</v>
      </c>
      <c r="AJ6267">
        <v>96.042623462092905</v>
      </c>
      <c r="AK6267">
        <v>23.6193001609488</v>
      </c>
      <c r="AL6267">
        <v>81.556827680602893</v>
      </c>
      <c r="AM6267">
        <v>92.917573958797405</v>
      </c>
      <c r="AN6267">
        <v>0.99999998056713202</v>
      </c>
    </row>
    <row r="6268" spans="1:40" x14ac:dyDescent="0.25">
      <c r="A6268" t="str">
        <f>"20190312164149191"</f>
        <v>20190312164149191</v>
      </c>
      <c r="B6268" t="str">
        <f>"1552380109182739"</f>
        <v>1552380109182739</v>
      </c>
      <c r="C6268" t="s">
        <v>40</v>
      </c>
      <c r="D6268">
        <v>6.0022379999999904</v>
      </c>
      <c r="E6268">
        <v>0.48172019999999999</v>
      </c>
      <c r="F6268" t="s">
        <v>60</v>
      </c>
      <c r="G6268">
        <v>-217.95910000000001</v>
      </c>
      <c r="H6268" s="1">
        <v>-2.4852189999999998E-6</v>
      </c>
      <c r="I6268">
        <v>-60.766159999999999</v>
      </c>
      <c r="J6268">
        <v>-240.71799999999999</v>
      </c>
      <c r="K6268">
        <v>1.110206</v>
      </c>
      <c r="L6268">
        <v>-62.413510000000002</v>
      </c>
      <c r="M6268">
        <v>0.99931749999999997</v>
      </c>
      <c r="N6268">
        <v>0</v>
      </c>
      <c r="O6268">
        <v>-3.4669169999999999E-2</v>
      </c>
      <c r="P6268">
        <v>0.99079200000000001</v>
      </c>
      <c r="Q6268">
        <v>0.13434360000000001</v>
      </c>
      <c r="R6268">
        <v>1.6830459999999998E-2</v>
      </c>
      <c r="S6268">
        <v>3.0442049999999998</v>
      </c>
      <c r="T6268">
        <v>-0.14747289999999999</v>
      </c>
      <c r="U6268">
        <v>0.21807860000000001</v>
      </c>
      <c r="V6268">
        <v>-5.1185590000000003E-2</v>
      </c>
      <c r="W6268">
        <v>0.14695429999999901</v>
      </c>
      <c r="X6268">
        <v>0.98781810000000003</v>
      </c>
      <c r="Y6268">
        <v>-0.1058306</v>
      </c>
      <c r="Z6268">
        <v>4.2354250000000001E-3</v>
      </c>
      <c r="AA6268">
        <v>0.99437520000000001</v>
      </c>
      <c r="AB6268">
        <v>32</v>
      </c>
      <c r="AC6268">
        <v>22.758899999999901</v>
      </c>
      <c r="AD6268">
        <v>-1.110208485219</v>
      </c>
      <c r="AE6268">
        <v>1.6473499999999901</v>
      </c>
      <c r="AF6268">
        <v>-2.4297042220259999</v>
      </c>
      <c r="AG6268">
        <v>-1.110208485219</v>
      </c>
      <c r="AH6268">
        <v>22.634518517756099</v>
      </c>
      <c r="AI6268">
        <v>92.792055720667193</v>
      </c>
      <c r="AJ6268">
        <v>96.126958390566699</v>
      </c>
      <c r="AK6268">
        <v>22.791609289776499</v>
      </c>
      <c r="AL6268">
        <v>81.549535752831503</v>
      </c>
      <c r="AM6268">
        <v>92.966232075986497</v>
      </c>
      <c r="AN6268">
        <v>1.0000000647998699</v>
      </c>
    </row>
    <row r="6269" spans="1:40" x14ac:dyDescent="0.25">
      <c r="A6269" t="str">
        <f>"20190312164149202"</f>
        <v>20190312164149202</v>
      </c>
      <c r="B6269" t="str">
        <f>"1552380109192499"</f>
        <v>1552380109192499</v>
      </c>
      <c r="C6269" t="s">
        <v>40</v>
      </c>
      <c r="D6269">
        <v>5.8897870000000001</v>
      </c>
      <c r="E6269">
        <v>0.48178949999999998</v>
      </c>
      <c r="F6269" t="s">
        <v>60</v>
      </c>
      <c r="G6269">
        <v>-217.7971</v>
      </c>
      <c r="H6269" s="1">
        <v>-2.411818E-6</v>
      </c>
      <c r="I6269">
        <v>-60.751429999999999</v>
      </c>
      <c r="J6269">
        <v>-240.56870000000001</v>
      </c>
      <c r="K6269">
        <v>1.1101859999999999</v>
      </c>
      <c r="L6269">
        <v>-62.418669999999999</v>
      </c>
      <c r="M6269">
        <v>0.99931769999999998</v>
      </c>
      <c r="N6269">
        <v>0</v>
      </c>
      <c r="O6269">
        <v>-3.4673990000000002E-2</v>
      </c>
      <c r="P6269">
        <v>0.99077760000000004</v>
      </c>
      <c r="Q6269">
        <v>0.1343714</v>
      </c>
      <c r="R6269">
        <v>1.7444830000000001E-2</v>
      </c>
      <c r="S6269">
        <v>3.0441280000000002</v>
      </c>
      <c r="T6269">
        <v>-0.14744699999999999</v>
      </c>
      <c r="U6269">
        <v>0.2207336</v>
      </c>
      <c r="V6269">
        <v>-5.1797929999999999E-2</v>
      </c>
      <c r="W6269">
        <v>0.1469519</v>
      </c>
      <c r="X6269">
        <v>0.98778650000000001</v>
      </c>
      <c r="Y6269">
        <v>-0.1066989</v>
      </c>
      <c r="Z6269">
        <v>4.255885E-3</v>
      </c>
      <c r="AA6269">
        <v>0.9942822</v>
      </c>
      <c r="AB6269">
        <v>32</v>
      </c>
      <c r="AC6269">
        <v>22.771599999999999</v>
      </c>
      <c r="AD6269">
        <v>-1.1101884118179901</v>
      </c>
      <c r="AE6269">
        <v>1.6672399999999901</v>
      </c>
      <c r="AF6269">
        <v>-2.4500909137959201</v>
      </c>
      <c r="AG6269">
        <v>-1.1101884118179901</v>
      </c>
      <c r="AH6269">
        <v>22.646549140237202</v>
      </c>
      <c r="AI6269">
        <v>92.790274205025099</v>
      </c>
      <c r="AJ6269">
        <v>96.174714787068297</v>
      </c>
      <c r="AK6269">
        <v>22.8057372552781</v>
      </c>
      <c r="AL6269">
        <v>81.549674458919299</v>
      </c>
      <c r="AM6269">
        <v>93.001748842763106</v>
      </c>
      <c r="AN6269">
        <v>1.00000002802407</v>
      </c>
    </row>
    <row r="6270" spans="1:40" x14ac:dyDescent="0.25">
      <c r="A6270" t="str">
        <f>"20190312164149213"</f>
        <v>20190312164149213</v>
      </c>
      <c r="B6270" t="str">
        <f>"1552380109202260"</f>
        <v>1552380109202260</v>
      </c>
      <c r="C6270" t="s">
        <v>40</v>
      </c>
      <c r="D6270">
        <v>5.8203909999999999</v>
      </c>
      <c r="E6270">
        <v>0.4818269</v>
      </c>
      <c r="F6270" t="s">
        <v>60</v>
      </c>
      <c r="G6270">
        <v>-217.7518</v>
      </c>
      <c r="H6270" s="1">
        <v>-2.3925829999999999E-6</v>
      </c>
      <c r="I6270">
        <v>-60.752209999999998</v>
      </c>
      <c r="J6270">
        <v>-240.3877</v>
      </c>
      <c r="K6270">
        <v>1.110163</v>
      </c>
      <c r="L6270">
        <v>-62.424930000000003</v>
      </c>
      <c r="M6270">
        <v>0.99931749999999997</v>
      </c>
      <c r="N6270">
        <v>0</v>
      </c>
      <c r="O6270">
        <v>-3.4695990000000003E-2</v>
      </c>
      <c r="P6270">
        <v>0.9907589</v>
      </c>
      <c r="Q6270">
        <v>0.1343791</v>
      </c>
      <c r="R6270">
        <v>1.843233E-2</v>
      </c>
      <c r="S6270">
        <v>3.044098</v>
      </c>
      <c r="T6270">
        <v>-0.14811440000000001</v>
      </c>
      <c r="U6270">
        <v>0.22232060000000001</v>
      </c>
      <c r="V6270">
        <v>-5.2799029999999997E-2</v>
      </c>
      <c r="W6270">
        <v>0.1469241</v>
      </c>
      <c r="X6270">
        <v>0.98773759999999999</v>
      </c>
      <c r="Y6270">
        <v>-0.107235</v>
      </c>
      <c r="Z6270">
        <v>4.2891769999999999E-3</v>
      </c>
      <c r="AA6270">
        <v>0.99422440000000001</v>
      </c>
      <c r="AB6270">
        <v>32</v>
      </c>
      <c r="AC6270">
        <v>22.6358999999999</v>
      </c>
      <c r="AD6270">
        <v>-1.110165392583</v>
      </c>
      <c r="AE6270">
        <v>1.67272</v>
      </c>
      <c r="AF6270">
        <v>-2.451286595729</v>
      </c>
      <c r="AG6270">
        <v>-1.110165392583</v>
      </c>
      <c r="AH6270">
        <v>22.5103762247874</v>
      </c>
      <c r="AI6270">
        <v>92.806855762226604</v>
      </c>
      <c r="AJ6270">
        <v>96.214784317714006</v>
      </c>
      <c r="AK6270">
        <v>22.670648666387201</v>
      </c>
      <c r="AL6270">
        <v>81.551284501237006</v>
      </c>
      <c r="AM6270">
        <v>93.059805722753197</v>
      </c>
      <c r="AN6270">
        <v>0.99999999759175495</v>
      </c>
    </row>
    <row r="6271" spans="1:40" x14ac:dyDescent="0.25">
      <c r="A6271" t="str">
        <f>"20190312164149226"</f>
        <v>20190312164149226</v>
      </c>
      <c r="B6271" t="str">
        <f>"1552380109222756"</f>
        <v>1552380109222756</v>
      </c>
      <c r="C6271" t="s">
        <v>40</v>
      </c>
      <c r="D6271">
        <v>5.8815369999999998</v>
      </c>
      <c r="E6271">
        <v>0.48187059999999998</v>
      </c>
      <c r="F6271" t="s">
        <v>60</v>
      </c>
      <c r="G6271">
        <v>-217.7056</v>
      </c>
      <c r="H6271" s="1">
        <v>-2.3711309999999998E-6</v>
      </c>
      <c r="I6271">
        <v>-60.745989999999999</v>
      </c>
      <c r="J6271">
        <v>-240.22120000000001</v>
      </c>
      <c r="K6271">
        <v>1.110136</v>
      </c>
      <c r="L6271">
        <v>-62.430729999999997</v>
      </c>
      <c r="M6271">
        <v>0.99931669999999995</v>
      </c>
      <c r="N6271">
        <v>0</v>
      </c>
      <c r="O6271">
        <v>-3.4730169999999998E-2</v>
      </c>
      <c r="P6271">
        <v>0.99071480000000001</v>
      </c>
      <c r="Q6271">
        <v>0.1345655</v>
      </c>
      <c r="R6271">
        <v>1.9401809999999999E-2</v>
      </c>
      <c r="S6271">
        <v>3.044006</v>
      </c>
      <c r="T6271">
        <v>-0.1489878</v>
      </c>
      <c r="U6271">
        <v>0.22531129999999999</v>
      </c>
      <c r="V6271">
        <v>-5.3793420000000002E-2</v>
      </c>
      <c r="W6271">
        <v>0.14707879999999901</v>
      </c>
      <c r="X6271">
        <v>0.98766089999999995</v>
      </c>
      <c r="Y6271">
        <v>-0.1082394</v>
      </c>
      <c r="Z6271">
        <v>4.3406209999999898E-3</v>
      </c>
      <c r="AA6271">
        <v>0.99411539999999998</v>
      </c>
      <c r="AB6271">
        <v>32</v>
      </c>
      <c r="AC6271">
        <v>22.515599999999999</v>
      </c>
      <c r="AD6271">
        <v>-1.110138371131</v>
      </c>
      <c r="AE6271">
        <v>1.6847399999999999</v>
      </c>
      <c r="AF6271">
        <v>-2.45981010242703</v>
      </c>
      <c r="AG6271">
        <v>-1.110138371131</v>
      </c>
      <c r="AH6271">
        <v>22.389372954775101</v>
      </c>
      <c r="AI6271">
        <v>92.821637236276104</v>
      </c>
      <c r="AJ6271">
        <v>96.269660074759599</v>
      </c>
      <c r="AK6271">
        <v>22.551432199553901</v>
      </c>
      <c r="AL6271">
        <v>81.542323339368807</v>
      </c>
      <c r="AM6271">
        <v>93.117561541941498</v>
      </c>
      <c r="AN6271">
        <v>0.99999997941677299</v>
      </c>
    </row>
    <row r="6272" spans="1:40" x14ac:dyDescent="0.25">
      <c r="A6272" t="str">
        <f>"20190312164149238"</f>
        <v>20190312164149238</v>
      </c>
      <c r="B6272" t="str">
        <f>"1552380109232516"</f>
        <v>1552380109232516</v>
      </c>
      <c r="C6272" t="s">
        <v>40</v>
      </c>
      <c r="D6272">
        <v>5.9349790000000002</v>
      </c>
      <c r="E6272">
        <v>0.48198150000000001</v>
      </c>
      <c r="F6272" t="s">
        <v>60</v>
      </c>
      <c r="G6272">
        <v>-217.5831</v>
      </c>
      <c r="H6272" s="1">
        <v>-2.3152220000000001E-6</v>
      </c>
      <c r="I6272">
        <v>-60.733429999999998</v>
      </c>
      <c r="J6272">
        <v>-240.0436</v>
      </c>
      <c r="K6272">
        <v>1.110112</v>
      </c>
      <c r="L6272">
        <v>-62.436919999999901</v>
      </c>
      <c r="M6272">
        <v>0.99931550000000002</v>
      </c>
      <c r="N6272">
        <v>0</v>
      </c>
      <c r="O6272">
        <v>-3.4774020000000003E-2</v>
      </c>
      <c r="P6272">
        <v>0.99065349999999996</v>
      </c>
      <c r="Q6272">
        <v>0.13485510000000001</v>
      </c>
      <c r="R6272">
        <v>2.049111E-2</v>
      </c>
      <c r="S6272">
        <v>3.04393</v>
      </c>
      <c r="T6272">
        <v>-0.1492695</v>
      </c>
      <c r="U6272">
        <v>0.22821040000000001</v>
      </c>
      <c r="V6272">
        <v>-5.4916359999999997E-2</v>
      </c>
      <c r="W6272">
        <v>0.147336299999999</v>
      </c>
      <c r="X6272">
        <v>0.98756069999999996</v>
      </c>
      <c r="Y6272">
        <v>-0.10922460000000001</v>
      </c>
      <c r="Z6272">
        <v>4.3750339999999999E-3</v>
      </c>
      <c r="AA6272">
        <v>0.99400750000000004</v>
      </c>
      <c r="AB6272">
        <v>32</v>
      </c>
      <c r="AC6272">
        <v>22.4605</v>
      </c>
      <c r="AD6272">
        <v>-1.1101143152220001</v>
      </c>
      <c r="AE6272">
        <v>1.70348999999998</v>
      </c>
      <c r="AF6272">
        <v>-2.4775460050472602</v>
      </c>
      <c r="AG6272">
        <v>-1.1101143152220001</v>
      </c>
      <c r="AH6272">
        <v>22.333426681818501</v>
      </c>
      <c r="AI6272">
        <v>92.828303543302098</v>
      </c>
      <c r="AJ6272">
        <v>96.330192039294204</v>
      </c>
      <c r="AK6272">
        <v>22.497834014681199</v>
      </c>
      <c r="AL6272">
        <v>81.527407042234799</v>
      </c>
      <c r="AM6272">
        <v>93.1828306036318</v>
      </c>
      <c r="AN6272">
        <v>0.999999964038914</v>
      </c>
    </row>
    <row r="6273" spans="1:40" x14ac:dyDescent="0.25">
      <c r="A6273" t="str">
        <f>"20190312164149250"</f>
        <v>20190312164149250</v>
      </c>
      <c r="B6273" t="str">
        <f>"1552380109242275"</f>
        <v>1552380109242275</v>
      </c>
      <c r="C6273" t="s">
        <v>40</v>
      </c>
      <c r="D6273">
        <v>5.9629500000000002</v>
      </c>
      <c r="E6273">
        <v>0.48210449999999999</v>
      </c>
      <c r="F6273" t="s">
        <v>60</v>
      </c>
      <c r="G6273">
        <v>-217.39840000000001</v>
      </c>
      <c r="H6273" s="1">
        <v>-2.2324119999999999E-6</v>
      </c>
      <c r="I6273">
        <v>-60.719970000000004</v>
      </c>
      <c r="J6273">
        <v>-239.86439999999999</v>
      </c>
      <c r="K6273">
        <v>1.11009</v>
      </c>
      <c r="L6273">
        <v>-62.443210000000001</v>
      </c>
      <c r="M6273">
        <v>0.99931380000000003</v>
      </c>
      <c r="N6273">
        <v>0</v>
      </c>
      <c r="O6273">
        <v>-3.4836730000000003E-2</v>
      </c>
      <c r="P6273">
        <v>0.99061949999999999</v>
      </c>
      <c r="Q6273">
        <v>0.13494990000000001</v>
      </c>
      <c r="R6273">
        <v>2.1484550000000002E-2</v>
      </c>
      <c r="S6273">
        <v>3.0438390000000002</v>
      </c>
      <c r="T6273">
        <v>-0.14921499999999999</v>
      </c>
      <c r="U6273">
        <v>0.2307739</v>
      </c>
      <c r="V6273">
        <v>-5.5962600000000001E-2</v>
      </c>
      <c r="W6273">
        <v>0.14740239999999999</v>
      </c>
      <c r="X6273">
        <v>0.98749209999999998</v>
      </c>
      <c r="Y6273">
        <v>-0.1101205</v>
      </c>
      <c r="Z6273">
        <v>4.3984209999999996E-3</v>
      </c>
      <c r="AA6273">
        <v>0.99390849999999997</v>
      </c>
      <c r="AB6273">
        <v>32</v>
      </c>
      <c r="AC6273">
        <v>22.465999999999902</v>
      </c>
      <c r="AD6273">
        <v>-1.1100922324119999</v>
      </c>
      <c r="AE6273">
        <v>1.7232400000000001</v>
      </c>
      <c r="AF6273">
        <v>-2.4988324461967499</v>
      </c>
      <c r="AG6273">
        <v>-1.1100922324119999</v>
      </c>
      <c r="AH6273">
        <v>22.338103846280099</v>
      </c>
      <c r="AI6273">
        <v>92.827367375790701</v>
      </c>
      <c r="AJ6273">
        <v>96.3828065944776</v>
      </c>
      <c r="AK6273">
        <v>22.504829521811999</v>
      </c>
      <c r="AL6273">
        <v>81.523577981941699</v>
      </c>
      <c r="AM6273">
        <v>93.243564939893304</v>
      </c>
      <c r="AN6273">
        <v>0.99999996384346401</v>
      </c>
    </row>
    <row r="6274" spans="1:40" x14ac:dyDescent="0.25">
      <c r="A6274" t="str">
        <f>"20190312164149262"</f>
        <v>20190312164149262</v>
      </c>
      <c r="B6274" t="str">
        <f>"1552380109252036"</f>
        <v>1552380109252036</v>
      </c>
      <c r="C6274" t="s">
        <v>40</v>
      </c>
      <c r="D6274">
        <v>5.8706449999999997</v>
      </c>
      <c r="E6274">
        <v>0.48223240000000001</v>
      </c>
      <c r="F6274" t="s">
        <v>60</v>
      </c>
      <c r="G6274">
        <v>-217.1567</v>
      </c>
      <c r="H6274" s="1">
        <v>-2.1245569999999998E-6</v>
      </c>
      <c r="I6274">
        <v>-60.704320000000003</v>
      </c>
      <c r="J6274">
        <v>-239.69759999999999</v>
      </c>
      <c r="K6274">
        <v>1.1100699999999999</v>
      </c>
      <c r="L6274">
        <v>-62.449069999999899</v>
      </c>
      <c r="M6274">
        <v>0.99931190000000003</v>
      </c>
      <c r="N6274">
        <v>0</v>
      </c>
      <c r="O6274">
        <v>-3.4899319999999998E-2</v>
      </c>
      <c r="P6274">
        <v>0.9905619</v>
      </c>
      <c r="Q6274">
        <v>0.135174499999999</v>
      </c>
      <c r="R6274">
        <v>2.269738E-2</v>
      </c>
      <c r="S6274">
        <v>3.0436100000000001</v>
      </c>
      <c r="T6274">
        <v>-0.14879010000000001</v>
      </c>
      <c r="U6274">
        <v>0.23306270000000001</v>
      </c>
      <c r="V6274">
        <v>-5.7227970000000003E-2</v>
      </c>
      <c r="W6274">
        <v>0.14760090000000001</v>
      </c>
      <c r="X6274">
        <v>0.98738999999999999</v>
      </c>
      <c r="Y6274">
        <v>-0.1109314</v>
      </c>
      <c r="Z6274">
        <v>4.4089560000000003E-3</v>
      </c>
      <c r="AA6274">
        <v>0.99381830000000004</v>
      </c>
      <c r="AB6274">
        <v>32</v>
      </c>
      <c r="AC6274">
        <v>22.540899999999901</v>
      </c>
      <c r="AD6274">
        <v>-1.110072124557</v>
      </c>
      <c r="AE6274">
        <v>1.74474999999999</v>
      </c>
      <c r="AF6274">
        <v>-2.5243254251538398</v>
      </c>
      <c r="AG6274">
        <v>-1.110072124557</v>
      </c>
      <c r="AH6274">
        <v>22.412239290281398</v>
      </c>
      <c r="AI6274">
        <v>92.817739786393901</v>
      </c>
      <c r="AJ6274">
        <v>96.426230121576197</v>
      </c>
      <c r="AK6274">
        <v>22.581252157013601</v>
      </c>
      <c r="AL6274">
        <v>81.512079635163204</v>
      </c>
      <c r="AM6274">
        <v>93.317085435049904</v>
      </c>
      <c r="AN6274">
        <v>1.0000000391655599</v>
      </c>
    </row>
    <row r="6275" spans="1:40" x14ac:dyDescent="0.25">
      <c r="A6275" t="str">
        <f>"20190312164149274"</f>
        <v>20190312164149274</v>
      </c>
      <c r="B6275" t="str">
        <f>"1552380109262771"</f>
        <v>1552380109262771</v>
      </c>
      <c r="C6275" t="s">
        <v>40</v>
      </c>
      <c r="D6275">
        <v>5.6809770000000004</v>
      </c>
      <c r="E6275">
        <v>0.4820682</v>
      </c>
      <c r="F6275" t="s">
        <v>60</v>
      </c>
      <c r="G6275">
        <v>-216.9623</v>
      </c>
      <c r="H6275" s="1">
        <v>-2.0363019999999999E-6</v>
      </c>
      <c r="I6275">
        <v>-60.686079999999997</v>
      </c>
      <c r="J6275">
        <v>-239.5204</v>
      </c>
      <c r="K6275">
        <v>1.110052</v>
      </c>
      <c r="L6275">
        <v>-62.455289999999998</v>
      </c>
      <c r="M6275">
        <v>0.99930969999999997</v>
      </c>
      <c r="N6275">
        <v>0</v>
      </c>
      <c r="O6275">
        <v>-3.4975010000000001E-2</v>
      </c>
      <c r="P6275">
        <v>0.99050780000000005</v>
      </c>
      <c r="Q6275">
        <v>0.13536280000000001</v>
      </c>
      <c r="R6275">
        <v>2.390803E-2</v>
      </c>
      <c r="S6275">
        <v>3.0434420000000002</v>
      </c>
      <c r="T6275">
        <v>-0.1485986</v>
      </c>
      <c r="U6275">
        <v>0.23599239999999999</v>
      </c>
      <c r="V6275">
        <v>-5.850383E-2</v>
      </c>
      <c r="W6275">
        <v>0.14776310000000001</v>
      </c>
      <c r="X6275">
        <v>0.98729089999999997</v>
      </c>
      <c r="Y6275">
        <v>-0.1119609</v>
      </c>
      <c r="Z6275">
        <v>4.4321430000000004E-3</v>
      </c>
      <c r="AA6275">
        <v>0.99370270000000005</v>
      </c>
      <c r="AB6275">
        <v>32</v>
      </c>
      <c r="AC6275">
        <v>22.5581</v>
      </c>
      <c r="AD6275">
        <v>-1.1100540363019999</v>
      </c>
      <c r="AE6275">
        <v>1.7692099999999999</v>
      </c>
      <c r="AF6275">
        <v>-2.5510195578227202</v>
      </c>
      <c r="AG6275">
        <v>-1.1100540363019999</v>
      </c>
      <c r="AH6275">
        <v>22.428435236783901</v>
      </c>
      <c r="AI6275">
        <v>92.815314185060899</v>
      </c>
      <c r="AJ6275">
        <v>96.488959390846603</v>
      </c>
      <c r="AK6275">
        <v>22.600323624198701</v>
      </c>
      <c r="AL6275">
        <v>81.502682691374403</v>
      </c>
      <c r="AM6275">
        <v>93.391206560131593</v>
      </c>
      <c r="AN6275">
        <v>0.99999997653454398</v>
      </c>
    </row>
    <row r="6276" spans="1:40" x14ac:dyDescent="0.25">
      <c r="A6276" t="str">
        <f>"20190312164149285"</f>
        <v>20190312164149285</v>
      </c>
      <c r="B6276" t="str">
        <f>"1552380109282292"</f>
        <v>1552380109282292</v>
      </c>
      <c r="C6276" t="s">
        <v>40</v>
      </c>
      <c r="D6276">
        <v>5.9681550000000003</v>
      </c>
      <c r="E6276">
        <v>0.48231099999999999</v>
      </c>
      <c r="F6276" t="s">
        <v>60</v>
      </c>
      <c r="G6276">
        <v>-216.4923</v>
      </c>
      <c r="H6276" s="1">
        <v>-1.820147E-6</v>
      </c>
      <c r="I6276">
        <v>-60.631469999999901</v>
      </c>
      <c r="J6276">
        <v>-239.36199999999999</v>
      </c>
      <c r="K6276">
        <v>1.1100380000000001</v>
      </c>
      <c r="L6276">
        <v>-62.460909999999998</v>
      </c>
      <c r="M6276">
        <v>0.99930750000000002</v>
      </c>
      <c r="N6276">
        <v>0</v>
      </c>
      <c r="O6276">
        <v>-3.5047799999999997E-2</v>
      </c>
      <c r="P6276">
        <v>0.99043769999999998</v>
      </c>
      <c r="Q6276">
        <v>0.13566989999999901</v>
      </c>
      <c r="R6276">
        <v>2.5047429999999999E-2</v>
      </c>
      <c r="S6276">
        <v>3.0429840000000001</v>
      </c>
      <c r="T6276">
        <v>-0.14668519999999999</v>
      </c>
      <c r="U6276">
        <v>0.2409973</v>
      </c>
      <c r="V6276">
        <v>-5.9706879999999997E-2</v>
      </c>
      <c r="W6276">
        <v>0.14804709999999999</v>
      </c>
      <c r="X6276">
        <v>0.98717639999999995</v>
      </c>
      <c r="Y6276">
        <v>-0.11367140000000001</v>
      </c>
      <c r="Z6276">
        <v>4.4201689999999998E-3</v>
      </c>
      <c r="AA6276">
        <v>0.99350859999999996</v>
      </c>
      <c r="AB6276">
        <v>32</v>
      </c>
      <c r="AC6276">
        <v>22.869699999999899</v>
      </c>
      <c r="AD6276">
        <v>-1.1100398201470001</v>
      </c>
      <c r="AE6276">
        <v>1.82944</v>
      </c>
      <c r="AF6276">
        <v>-2.62376912690618</v>
      </c>
      <c r="AG6276">
        <v>-1.1100398201470001</v>
      </c>
      <c r="AH6276">
        <v>22.738296198016901</v>
      </c>
      <c r="AI6276">
        <v>92.776456983121406</v>
      </c>
      <c r="AJ6276">
        <v>96.582241977018299</v>
      </c>
      <c r="AK6276">
        <v>22.9160744199867</v>
      </c>
      <c r="AL6276">
        <v>81.486230362974396</v>
      </c>
      <c r="AM6276">
        <v>93.461174652891401</v>
      </c>
      <c r="AN6276">
        <v>1.00000005002735</v>
      </c>
    </row>
    <row r="6277" spans="1:40" x14ac:dyDescent="0.25">
      <c r="A6277" t="str">
        <f>"20190312164149295"</f>
        <v>20190312164149295</v>
      </c>
      <c r="B6277" t="str">
        <f>"1552380109292052"</f>
        <v>1552380109292052</v>
      </c>
      <c r="C6277" t="s">
        <v>40</v>
      </c>
      <c r="D6277">
        <v>5.9697239999999896</v>
      </c>
      <c r="E6277">
        <v>0.48241519999999999</v>
      </c>
      <c r="F6277" t="s">
        <v>60</v>
      </c>
      <c r="G6277">
        <v>-216.39670000000001</v>
      </c>
      <c r="H6277" s="1">
        <v>-1.7783120000000001E-6</v>
      </c>
      <c r="I6277">
        <v>-60.628450000000001</v>
      </c>
      <c r="J6277">
        <v>-239.20009999999999</v>
      </c>
      <c r="K6277">
        <v>1.110025</v>
      </c>
      <c r="L6277">
        <v>-62.466639999999998</v>
      </c>
      <c r="M6277">
        <v>0.999305</v>
      </c>
      <c r="N6277">
        <v>0</v>
      </c>
      <c r="O6277">
        <v>-3.5125089999999998E-2</v>
      </c>
      <c r="P6277">
        <v>0.99035899999999999</v>
      </c>
      <c r="Q6277">
        <v>0.13601079999999999</v>
      </c>
      <c r="R6277">
        <v>2.6270109999999999E-2</v>
      </c>
      <c r="S6277">
        <v>3.0429689999999998</v>
      </c>
      <c r="T6277">
        <v>-0.1470832</v>
      </c>
      <c r="U6277">
        <v>0.24279790000000001</v>
      </c>
      <c r="V6277">
        <v>-6.099744E-2</v>
      </c>
      <c r="W6277">
        <v>0.14836350000000001</v>
      </c>
      <c r="X6277">
        <v>0.98704990000000004</v>
      </c>
      <c r="Y6277">
        <v>-0.114331</v>
      </c>
      <c r="Z6277">
        <v>4.4517030000000004E-3</v>
      </c>
      <c r="AA6277">
        <v>0.9934328</v>
      </c>
      <c r="AB6277">
        <v>32</v>
      </c>
      <c r="AC6277">
        <v>22.8033999999999</v>
      </c>
      <c r="AD6277">
        <v>-1.1100267783119999</v>
      </c>
      <c r="AE6277">
        <v>1.83819</v>
      </c>
      <c r="AF6277">
        <v>-2.6318932120182499</v>
      </c>
      <c r="AG6277">
        <v>-1.1100267783119999</v>
      </c>
      <c r="AH6277">
        <v>22.671380383658502</v>
      </c>
      <c r="AI6277">
        <v>92.784384384662005</v>
      </c>
      <c r="AJ6277">
        <v>96.621757831950802</v>
      </c>
      <c r="AK6277">
        <v>22.8506128983135</v>
      </c>
      <c r="AL6277">
        <v>81.4678987749801</v>
      </c>
      <c r="AM6277">
        <v>93.536251900622204</v>
      </c>
      <c r="AN6277">
        <v>0.99999996045440598</v>
      </c>
    </row>
    <row r="6278" spans="1:40" x14ac:dyDescent="0.25">
      <c r="A6278" t="str">
        <f>"20190312164149306"</f>
        <v>20190312164149306</v>
      </c>
      <c r="B6278" t="str">
        <f>"1552380109302788"</f>
        <v>1552380109302788</v>
      </c>
      <c r="C6278" t="s">
        <v>40</v>
      </c>
      <c r="D6278">
        <v>5.942615</v>
      </c>
      <c r="E6278">
        <v>0.48231649999999998</v>
      </c>
      <c r="F6278" t="s">
        <v>60</v>
      </c>
      <c r="G6278">
        <v>-216.19759999999999</v>
      </c>
      <c r="H6278" s="1">
        <v>-1.687527E-6</v>
      </c>
      <c r="I6278">
        <v>-60.608289999999997</v>
      </c>
      <c r="J6278">
        <v>-239.05029999999999</v>
      </c>
      <c r="K6278">
        <v>1.110017</v>
      </c>
      <c r="L6278">
        <v>-62.471980000000002</v>
      </c>
      <c r="M6278">
        <v>0.99930249999999998</v>
      </c>
      <c r="N6278">
        <v>0</v>
      </c>
      <c r="O6278">
        <v>-3.5201610000000001E-2</v>
      </c>
      <c r="P6278">
        <v>0.9902898</v>
      </c>
      <c r="Q6278">
        <v>0.13624749999999999</v>
      </c>
      <c r="R6278">
        <v>2.7619640000000001E-2</v>
      </c>
      <c r="S6278">
        <v>3.0428310000000001</v>
      </c>
      <c r="T6278">
        <v>-0.14683650000000001</v>
      </c>
      <c r="U6278">
        <v>0.24581910000000001</v>
      </c>
      <c r="V6278">
        <v>-6.2416289999999999E-2</v>
      </c>
      <c r="W6278">
        <v>0.14857799999999999</v>
      </c>
      <c r="X6278">
        <v>0.9869289</v>
      </c>
      <c r="Y6278">
        <v>-0.1153899</v>
      </c>
      <c r="Z6278">
        <v>4.4734559999999998E-3</v>
      </c>
      <c r="AA6278">
        <v>0.99331020000000003</v>
      </c>
      <c r="AB6278">
        <v>32</v>
      </c>
      <c r="AC6278">
        <v>22.852699999999999</v>
      </c>
      <c r="AD6278">
        <v>-1.1100186875269999</v>
      </c>
      <c r="AE6278">
        <v>1.8636899999999901</v>
      </c>
      <c r="AF6278">
        <v>-2.6608128791824202</v>
      </c>
      <c r="AG6278">
        <v>-1.1100186875269999</v>
      </c>
      <c r="AH6278">
        <v>22.719675745146201</v>
      </c>
      <c r="AI6278">
        <v>92.778127222605804</v>
      </c>
      <c r="AJ6278">
        <v>96.6797615622189</v>
      </c>
      <c r="AK6278">
        <v>22.901871814968899</v>
      </c>
      <c r="AL6278">
        <v>81.455470867799903</v>
      </c>
      <c r="AM6278">
        <v>93.618734378100001</v>
      </c>
      <c r="AN6278">
        <v>0.99999993449828495</v>
      </c>
    </row>
    <row r="6279" spans="1:40" x14ac:dyDescent="0.25">
      <c r="A6279" t="str">
        <f>"20190312164149327"</f>
        <v>20190312164149327</v>
      </c>
      <c r="B6279" t="str">
        <f>"1552380109322308"</f>
        <v>1552380109322308</v>
      </c>
      <c r="C6279" t="s">
        <v>40</v>
      </c>
      <c r="D6279">
        <v>5.8537169999999996</v>
      </c>
      <c r="E6279">
        <v>0.48230020000000001</v>
      </c>
      <c r="F6279" t="s">
        <v>60</v>
      </c>
      <c r="G6279">
        <v>-216.6934</v>
      </c>
      <c r="H6279" s="1">
        <v>-1.9049299999999999E-6</v>
      </c>
      <c r="I6279">
        <v>-60.625889999999998</v>
      </c>
      <c r="J6279">
        <v>-238.7621</v>
      </c>
      <c r="K6279">
        <v>1.1100030000000001</v>
      </c>
      <c r="L6279">
        <v>-62.4822699999999</v>
      </c>
      <c r="M6279">
        <v>0.99929769999999896</v>
      </c>
      <c r="N6279">
        <v>0</v>
      </c>
      <c r="O6279">
        <v>-3.5353509999999998E-2</v>
      </c>
      <c r="P6279">
        <v>0.99012480000000003</v>
      </c>
      <c r="Q6279">
        <v>0.136929</v>
      </c>
      <c r="R6279">
        <v>3.0058359999999999E-2</v>
      </c>
      <c r="S6279">
        <v>3.0431979999999998</v>
      </c>
      <c r="T6279">
        <v>-0.151094799999999</v>
      </c>
      <c r="U6279">
        <v>0.2512817</v>
      </c>
      <c r="V6279">
        <v>-6.4993860000000001E-2</v>
      </c>
      <c r="W6279">
        <v>0.1492155</v>
      </c>
      <c r="X6279">
        <v>0.98666640000000005</v>
      </c>
      <c r="Y6279">
        <v>-0.11728959999999999</v>
      </c>
      <c r="Z6279">
        <v>4.6567350000000004E-3</v>
      </c>
      <c r="AA6279">
        <v>0.99308680000000005</v>
      </c>
      <c r="AB6279">
        <v>32</v>
      </c>
      <c r="AC6279">
        <v>22.0687</v>
      </c>
      <c r="AD6279">
        <v>-1.11000490492999</v>
      </c>
      <c r="AE6279">
        <v>1.8563799999999799</v>
      </c>
      <c r="AF6279">
        <v>-2.6288815513905499</v>
      </c>
      <c r="AG6279">
        <v>-1.11000490492999</v>
      </c>
      <c r="AH6279">
        <v>21.934166975252701</v>
      </c>
      <c r="AI6279">
        <v>92.876498867099599</v>
      </c>
      <c r="AJ6279">
        <v>96.834485381800306</v>
      </c>
      <c r="AK6279">
        <v>22.1190146706058</v>
      </c>
      <c r="AL6279">
        <v>81.418533841952097</v>
      </c>
      <c r="AM6279">
        <v>93.768752752726002</v>
      </c>
      <c r="AN6279">
        <v>1.0000000260834501</v>
      </c>
    </row>
    <row r="6280" spans="1:40" x14ac:dyDescent="0.25">
      <c r="A6280" t="str">
        <f>"20190312164149335"</f>
        <v>20190312164149335</v>
      </c>
      <c r="B6280" t="str">
        <f>"1552380109332067"</f>
        <v>1552380109332067</v>
      </c>
      <c r="C6280" t="s">
        <v>40</v>
      </c>
      <c r="D6280">
        <v>5.9710349999999996</v>
      </c>
      <c r="E6280">
        <v>0.48250799999999999</v>
      </c>
      <c r="F6280" t="s">
        <v>60</v>
      </c>
      <c r="G6280">
        <v>-216.73490000000001</v>
      </c>
      <c r="H6280" s="1">
        <v>-1.9176239999999999E-6</v>
      </c>
      <c r="I6280">
        <v>-60.606659999999998</v>
      </c>
      <c r="J6280">
        <v>-238.61930000000001</v>
      </c>
      <c r="K6280">
        <v>1.110001</v>
      </c>
      <c r="L6280">
        <v>-62.487400000000001</v>
      </c>
      <c r="M6280">
        <v>0.9992953</v>
      </c>
      <c r="N6280">
        <v>0</v>
      </c>
      <c r="O6280">
        <v>-3.5430919999999998E-2</v>
      </c>
      <c r="P6280">
        <v>0.99002690000000004</v>
      </c>
      <c r="Q6280">
        <v>0.13733329999999999</v>
      </c>
      <c r="R6280">
        <v>3.1404990000000001E-2</v>
      </c>
      <c r="S6280">
        <v>3.0432589999999999</v>
      </c>
      <c r="T6280">
        <v>-0.153357299999999</v>
      </c>
      <c r="U6280">
        <v>0.25912479999999999</v>
      </c>
      <c r="V6280">
        <v>-6.6410759999999999E-2</v>
      </c>
      <c r="W6280">
        <v>0.1495969</v>
      </c>
      <c r="X6280">
        <v>0.98651429999999996</v>
      </c>
      <c r="Y6280">
        <v>-0.1198969</v>
      </c>
      <c r="Z6280">
        <v>4.7952230000000004E-3</v>
      </c>
      <c r="AA6280">
        <v>0.99277479999999996</v>
      </c>
      <c r="AB6280">
        <v>32</v>
      </c>
      <c r="AC6280">
        <v>21.884399999999999</v>
      </c>
      <c r="AD6280">
        <v>-1.1100029176240001</v>
      </c>
      <c r="AE6280">
        <v>1.8807400000000001</v>
      </c>
      <c r="AF6280">
        <v>-2.6482399005884298</v>
      </c>
      <c r="AG6280">
        <v>-1.1100029176240001</v>
      </c>
      <c r="AH6280">
        <v>21.748475034421499</v>
      </c>
      <c r="AI6280">
        <v>92.900352160429406</v>
      </c>
      <c r="AJ6280">
        <v>96.942539625728799</v>
      </c>
      <c r="AK6280">
        <v>21.937216035109302</v>
      </c>
      <c r="AL6280">
        <v>81.396433317109796</v>
      </c>
      <c r="AM6280">
        <v>93.851260879702494</v>
      </c>
      <c r="AN6280">
        <v>1.00000004281893</v>
      </c>
    </row>
    <row r="6281" spans="1:40" x14ac:dyDescent="0.25">
      <c r="A6281" t="str">
        <f>"20190312164149348"</f>
        <v>20190312164149348</v>
      </c>
      <c r="B6281" t="str">
        <f>"1552380109342803"</f>
        <v>1552380109342803</v>
      </c>
      <c r="C6281" t="s">
        <v>40</v>
      </c>
      <c r="D6281">
        <v>6.198817</v>
      </c>
      <c r="E6281">
        <v>0.48265000000000002</v>
      </c>
      <c r="F6281" t="s">
        <v>60</v>
      </c>
      <c r="G6281">
        <v>-216.2792</v>
      </c>
      <c r="H6281" s="1">
        <v>-1.712166E-6</v>
      </c>
      <c r="I6281">
        <v>-60.569240000000001</v>
      </c>
      <c r="J6281">
        <v>-238.44730000000001</v>
      </c>
      <c r="K6281">
        <v>1.109998</v>
      </c>
      <c r="L6281">
        <v>-62.493589999999998</v>
      </c>
      <c r="M6281">
        <v>0.99929230000000002</v>
      </c>
      <c r="N6281">
        <v>0</v>
      </c>
      <c r="O6281">
        <v>-3.5525800000000003E-2</v>
      </c>
      <c r="P6281">
        <v>0.98994289999999996</v>
      </c>
      <c r="Q6281">
        <v>0.1376597</v>
      </c>
      <c r="R6281">
        <v>3.2607190000000001E-2</v>
      </c>
      <c r="S6281">
        <v>3.0429080000000002</v>
      </c>
      <c r="T6281">
        <v>-0.15119170000000001</v>
      </c>
      <c r="U6281">
        <v>0.26126100000000002</v>
      </c>
      <c r="V6281">
        <v>-6.7702150000000003E-2</v>
      </c>
      <c r="W6281">
        <v>0.14989630000000001</v>
      </c>
      <c r="X6281">
        <v>0.98638099999999995</v>
      </c>
      <c r="Y6281">
        <v>-0.1206971</v>
      </c>
      <c r="Z6281">
        <v>4.7525340000000001E-3</v>
      </c>
      <c r="AA6281">
        <v>0.99267799999999995</v>
      </c>
      <c r="AB6281">
        <v>32</v>
      </c>
      <c r="AC6281">
        <v>22.168099999999999</v>
      </c>
      <c r="AD6281">
        <v>-1.1099997121659999</v>
      </c>
      <c r="AE6281">
        <v>1.92435</v>
      </c>
      <c r="AF6281">
        <v>-2.7040059789351401</v>
      </c>
      <c r="AG6281">
        <v>-1.1099997121659999</v>
      </c>
      <c r="AH6281">
        <v>22.030912398158399</v>
      </c>
      <c r="AI6281">
        <v>92.862889494519806</v>
      </c>
      <c r="AJ6281">
        <v>96.997309996594893</v>
      </c>
      <c r="AK6281">
        <v>22.223970140154002</v>
      </c>
      <c r="AL6281">
        <v>81.379082780139598</v>
      </c>
      <c r="AM6281">
        <v>93.926447476065306</v>
      </c>
      <c r="AN6281">
        <v>0.99999997951465602</v>
      </c>
    </row>
    <row r="6282" spans="1:40" x14ac:dyDescent="0.25">
      <c r="A6282" t="str">
        <f>"20190312164149359"</f>
        <v>20190312164149359</v>
      </c>
      <c r="B6282" t="str">
        <f>"1552380109352563"</f>
        <v>1552380109352563</v>
      </c>
      <c r="C6282" t="s">
        <v>40</v>
      </c>
      <c r="D6282">
        <v>5.918183</v>
      </c>
      <c r="E6282">
        <v>0.48288510000000001</v>
      </c>
      <c r="F6282" t="s">
        <v>60</v>
      </c>
      <c r="G6282">
        <v>-215.7757</v>
      </c>
      <c r="H6282" s="1">
        <v>-1.4853899999999999E-6</v>
      </c>
      <c r="I6282">
        <v>-60.528759999999998</v>
      </c>
      <c r="J6282">
        <v>-238.29</v>
      </c>
      <c r="K6282">
        <v>1.1099909999999999</v>
      </c>
      <c r="L6282">
        <v>-62.499270000000003</v>
      </c>
      <c r="M6282">
        <v>0.99928939999999999</v>
      </c>
      <c r="N6282">
        <v>0</v>
      </c>
      <c r="O6282">
        <v>-3.5612820000000003E-2</v>
      </c>
      <c r="P6282">
        <v>0.98982919999999996</v>
      </c>
      <c r="Q6282">
        <v>0.138156</v>
      </c>
      <c r="R6282">
        <v>3.3926310000000001E-2</v>
      </c>
      <c r="S6282">
        <v>3.0425110000000002</v>
      </c>
      <c r="T6282">
        <v>-0.14896089999999901</v>
      </c>
      <c r="U6282">
        <v>0.26367190000000001</v>
      </c>
      <c r="V6282">
        <v>-6.910152E-2</v>
      </c>
      <c r="W6282">
        <v>0.1503678</v>
      </c>
      <c r="X6282">
        <v>0.98621219999999998</v>
      </c>
      <c r="Y6282">
        <v>-0.1215797</v>
      </c>
      <c r="Z6282">
        <v>4.708757E-3</v>
      </c>
      <c r="AA6282">
        <v>0.99257050000000002</v>
      </c>
      <c r="AB6282">
        <v>32</v>
      </c>
      <c r="AC6282">
        <v>22.514299999999899</v>
      </c>
      <c r="AD6282">
        <v>-1.1099924853899901</v>
      </c>
      <c r="AE6282">
        <v>1.97050999999999</v>
      </c>
      <c r="AF6282">
        <v>-2.7644503248716701</v>
      </c>
      <c r="AG6282">
        <v>-1.1099924853899901</v>
      </c>
      <c r="AH6282">
        <v>22.3758608623999</v>
      </c>
      <c r="AI6282">
        <v>92.818532098188399</v>
      </c>
      <c r="AJ6282">
        <v>97.042980918477397</v>
      </c>
      <c r="AK6282">
        <v>22.573289929688698</v>
      </c>
      <c r="AL6282">
        <v>81.351758293462595</v>
      </c>
      <c r="AM6282">
        <v>94.008027118706906</v>
      </c>
      <c r="AN6282">
        <v>0.99999999938599504</v>
      </c>
    </row>
    <row r="6283" spans="1:40" x14ac:dyDescent="0.25">
      <c r="A6283" t="str">
        <f>"20190312164149370"</f>
        <v>20190312164149370</v>
      </c>
      <c r="B6283" t="str">
        <f>"1552380109362324"</f>
        <v>1552380109362324</v>
      </c>
      <c r="C6283" t="s">
        <v>40</v>
      </c>
      <c r="D6283">
        <v>5.8209249999999999</v>
      </c>
      <c r="E6283">
        <v>0.48300110000000002</v>
      </c>
      <c r="F6283" t="s">
        <v>60</v>
      </c>
      <c r="G6283">
        <v>-215.50989999999999</v>
      </c>
      <c r="H6283" s="1">
        <v>-1.3662139999999999E-6</v>
      </c>
      <c r="I6283">
        <v>-60.509430000000002</v>
      </c>
      <c r="J6283">
        <v>-238.1277</v>
      </c>
      <c r="K6283">
        <v>1.1099870000000001</v>
      </c>
      <c r="L6283">
        <v>-62.505130000000001</v>
      </c>
      <c r="M6283">
        <v>0.99928669999999997</v>
      </c>
      <c r="N6283">
        <v>0</v>
      </c>
      <c r="O6283">
        <v>-3.5702320000000003E-2</v>
      </c>
      <c r="P6283">
        <v>0.98970539999999996</v>
      </c>
      <c r="Q6283">
        <v>0.13868269999999999</v>
      </c>
      <c r="R6283">
        <v>3.5363699999999901E-2</v>
      </c>
      <c r="S6283">
        <v>3.0424190000000002</v>
      </c>
      <c r="T6283">
        <v>-0.14824599999999999</v>
      </c>
      <c r="U6283">
        <v>0.26574710000000001</v>
      </c>
      <c r="V6283">
        <v>-7.0621530000000002E-2</v>
      </c>
      <c r="W6283">
        <v>0.15086739999999901</v>
      </c>
      <c r="X6283">
        <v>0.98602820000000002</v>
      </c>
      <c r="Y6283">
        <v>-0.12234390000000001</v>
      </c>
      <c r="Z6283">
        <v>4.7091140000000004E-3</v>
      </c>
      <c r="AA6283">
        <v>0.99247660000000004</v>
      </c>
      <c r="AB6283">
        <v>32</v>
      </c>
      <c r="AC6283">
        <v>22.617799999999999</v>
      </c>
      <c r="AD6283">
        <v>-1.109988366214</v>
      </c>
      <c r="AE6283">
        <v>1.9957</v>
      </c>
      <c r="AF6283">
        <v>-2.7953162235796101</v>
      </c>
      <c r="AG6283">
        <v>-1.109988366214</v>
      </c>
      <c r="AH6283">
        <v>22.4784020671942</v>
      </c>
      <c r="AI6283">
        <v>92.805407993721403</v>
      </c>
      <c r="AJ6283">
        <v>97.0886627208329</v>
      </c>
      <c r="AK6283">
        <v>22.678721887649999</v>
      </c>
      <c r="AL6283">
        <v>81.322802938342406</v>
      </c>
      <c r="AM6283">
        <v>94.096655629816297</v>
      </c>
      <c r="AN6283">
        <v>0.99999999203876999</v>
      </c>
    </row>
    <row r="6284" spans="1:40" x14ac:dyDescent="0.25">
      <c r="A6284" t="str">
        <f>"20190312164149380"</f>
        <v>20190312164149380</v>
      </c>
      <c r="B6284" t="str">
        <f>"1552380109372084"</f>
        <v>1552380109372084</v>
      </c>
      <c r="C6284" t="s">
        <v>40</v>
      </c>
      <c r="D6284">
        <v>5.9635170000000004</v>
      </c>
      <c r="E6284">
        <v>0.483178</v>
      </c>
      <c r="F6284" t="s">
        <v>60</v>
      </c>
      <c r="G6284">
        <v>-215.22550000000001</v>
      </c>
      <c r="H6284" s="1">
        <v>-1.2359370000000001E-6</v>
      </c>
      <c r="I6284">
        <v>-60.478319999999997</v>
      </c>
      <c r="J6284">
        <v>-237.9667</v>
      </c>
      <c r="K6284">
        <v>1.109985</v>
      </c>
      <c r="L6284">
        <v>-62.510930000000002</v>
      </c>
      <c r="M6284">
        <v>0.9992837</v>
      </c>
      <c r="N6284">
        <v>0</v>
      </c>
      <c r="O6284">
        <v>-3.5790269999999999E-2</v>
      </c>
      <c r="P6284">
        <v>0.98962240000000001</v>
      </c>
      <c r="Q6284">
        <v>0.13895569999999999</v>
      </c>
      <c r="R6284">
        <v>3.6589749999999997E-2</v>
      </c>
      <c r="S6284">
        <v>3.0422359999999999</v>
      </c>
      <c r="T6284">
        <v>-0.14744649999999901</v>
      </c>
      <c r="U6284">
        <v>0.26922610000000002</v>
      </c>
      <c r="V6284">
        <v>-7.1930060000000004E-2</v>
      </c>
      <c r="W6284">
        <v>0.15111350000000001</v>
      </c>
      <c r="X6284">
        <v>0.98589590000000005</v>
      </c>
      <c r="Y6284">
        <v>-0.12356300000000001</v>
      </c>
      <c r="Z6284">
        <v>4.7175239999999998E-3</v>
      </c>
      <c r="AA6284">
        <v>0.99232549999999997</v>
      </c>
      <c r="AB6284">
        <v>32</v>
      </c>
      <c r="AC6284">
        <v>22.7411999999999</v>
      </c>
      <c r="AD6284">
        <v>-1.1099862359370001</v>
      </c>
      <c r="AE6284">
        <v>2.03261</v>
      </c>
      <c r="AF6284">
        <v>-2.8385738359167698</v>
      </c>
      <c r="AG6284">
        <v>-1.1099862359370001</v>
      </c>
      <c r="AH6284">
        <v>22.600459044544198</v>
      </c>
      <c r="AI6284">
        <v>92.789849768090406</v>
      </c>
      <c r="AJ6284">
        <v>97.158753063498395</v>
      </c>
      <c r="AK6284">
        <v>22.805050315446401</v>
      </c>
      <c r="AL6284">
        <v>81.308538759562097</v>
      </c>
      <c r="AM6284">
        <v>94.172853895130203</v>
      </c>
      <c r="AN6284">
        <v>0.99999997452533096</v>
      </c>
    </row>
    <row r="6285" spans="1:40" x14ac:dyDescent="0.25">
      <c r="A6285" t="str">
        <f>"20190312164149391"</f>
        <v>20190312164149391</v>
      </c>
      <c r="B6285" t="str">
        <f>"1552380109382820"</f>
        <v>1552380109382820</v>
      </c>
      <c r="C6285" t="s">
        <v>40</v>
      </c>
      <c r="D6285">
        <v>6.0067870000000001</v>
      </c>
      <c r="E6285">
        <v>0.4833559</v>
      </c>
      <c r="F6285" t="s">
        <v>60</v>
      </c>
      <c r="G6285">
        <v>-215.3272</v>
      </c>
      <c r="H6285" s="1">
        <v>-1.282439E-6</v>
      </c>
      <c r="I6285">
        <v>-60.489049999999999</v>
      </c>
      <c r="J6285">
        <v>-237.81049999999999</v>
      </c>
      <c r="K6285">
        <v>1.1099829999999999</v>
      </c>
      <c r="L6285">
        <v>-62.516599999999997</v>
      </c>
      <c r="M6285">
        <v>0.99928099999999997</v>
      </c>
      <c r="N6285">
        <v>0</v>
      </c>
      <c r="O6285">
        <v>-3.5874400000000001E-2</v>
      </c>
      <c r="P6285">
        <v>0.98953720000000001</v>
      </c>
      <c r="Q6285">
        <v>0.139181</v>
      </c>
      <c r="R6285">
        <v>3.8017450000000001E-2</v>
      </c>
      <c r="S6285">
        <v>3.0423580000000001</v>
      </c>
      <c r="T6285">
        <v>-0.14916309999999999</v>
      </c>
      <c r="U6285">
        <v>0.271698</v>
      </c>
      <c r="V6285">
        <v>-7.3436749999999995E-2</v>
      </c>
      <c r="W6285">
        <v>0.1513138</v>
      </c>
      <c r="X6285">
        <v>0.98575409999999997</v>
      </c>
      <c r="Y6285">
        <v>-0.12443750000000001</v>
      </c>
      <c r="Z6285">
        <v>4.7975229999999997E-3</v>
      </c>
      <c r="AA6285">
        <v>0.99221590000000004</v>
      </c>
      <c r="AB6285">
        <v>32</v>
      </c>
      <c r="AC6285">
        <v>22.4832999999999</v>
      </c>
      <c r="AD6285">
        <v>-1.109984282439</v>
      </c>
      <c r="AE6285">
        <v>2.02754999999999</v>
      </c>
      <c r="AF6285">
        <v>-2.82604785205681</v>
      </c>
      <c r="AG6285">
        <v>-1.109984282439</v>
      </c>
      <c r="AH6285">
        <v>22.342067242195501</v>
      </c>
      <c r="AI6285">
        <v>92.821746506328196</v>
      </c>
      <c r="AJ6285">
        <v>97.209057603405</v>
      </c>
      <c r="AK6285">
        <v>22.547429570222899</v>
      </c>
      <c r="AL6285">
        <v>81.2969289972431</v>
      </c>
      <c r="AM6285">
        <v>94.260553036284804</v>
      </c>
      <c r="AN6285">
        <v>0.99999998399390599</v>
      </c>
    </row>
    <row r="6286" spans="1:40" x14ac:dyDescent="0.25">
      <c r="A6286" t="str">
        <f>"20190312164149403"</f>
        <v>20190312164149403</v>
      </c>
      <c r="B6286" t="str">
        <f>"1552380109392580"</f>
        <v>1552380109392580</v>
      </c>
      <c r="C6286" t="s">
        <v>40</v>
      </c>
      <c r="D6286">
        <v>5.8550649999999997</v>
      </c>
      <c r="E6286">
        <v>0.48343259999999999</v>
      </c>
      <c r="F6286" t="s">
        <v>60</v>
      </c>
      <c r="G6286">
        <v>-215.58340000000001</v>
      </c>
      <c r="H6286" s="1">
        <v>-1.397316E-6</v>
      </c>
      <c r="I6286">
        <v>-60.507809999999999</v>
      </c>
      <c r="J6286">
        <v>-237.65440000000001</v>
      </c>
      <c r="K6286">
        <v>1.10998</v>
      </c>
      <c r="L6286">
        <v>-62.522280000000002</v>
      </c>
      <c r="M6286">
        <v>0.99927849999999996</v>
      </c>
      <c r="N6286">
        <v>0</v>
      </c>
      <c r="O6286">
        <v>-3.5957349999999999E-2</v>
      </c>
      <c r="P6286">
        <v>0.98947410000000002</v>
      </c>
      <c r="Q6286">
        <v>0.1393421</v>
      </c>
      <c r="R6286">
        <v>3.9053820000000003E-2</v>
      </c>
      <c r="S6286">
        <v>3.0425260000000001</v>
      </c>
      <c r="T6286">
        <v>-0.15193879999999901</v>
      </c>
      <c r="U6286">
        <v>0.27496340000000002</v>
      </c>
      <c r="V6286">
        <v>-7.4551950000000006E-2</v>
      </c>
      <c r="W6286">
        <v>0.1514501</v>
      </c>
      <c r="X6286">
        <v>0.98564949999999996</v>
      </c>
      <c r="Y6286">
        <v>-0.1255627</v>
      </c>
      <c r="Z6286">
        <v>4.9183459999999997E-3</v>
      </c>
      <c r="AA6286">
        <v>0.99207350000000005</v>
      </c>
      <c r="AB6286">
        <v>32</v>
      </c>
      <c r="AC6286">
        <v>22.071000000000002</v>
      </c>
      <c r="AD6286">
        <v>-1.109981397316</v>
      </c>
      <c r="AE6286">
        <v>2.0144700000000002</v>
      </c>
      <c r="AF6286">
        <v>-2.79981825485517</v>
      </c>
      <c r="AG6286">
        <v>-1.109981397316</v>
      </c>
      <c r="AH6286">
        <v>21.929278853392599</v>
      </c>
      <c r="AI6286">
        <v>92.8743409932042</v>
      </c>
      <c r="AJ6286">
        <v>97.275868372978593</v>
      </c>
      <c r="AK6286">
        <v>22.135137496578999</v>
      </c>
      <c r="AL6286">
        <v>81.289028948772796</v>
      </c>
      <c r="AM6286">
        <v>94.325466754342898</v>
      </c>
      <c r="AN6286">
        <v>1.0000000314445301</v>
      </c>
    </row>
    <row r="6287" spans="1:40" x14ac:dyDescent="0.25">
      <c r="A6287" t="str">
        <f>"20190312164149414"</f>
        <v>20190312164149414</v>
      </c>
      <c r="B6287" t="str">
        <f>"1552380109402340"</f>
        <v>1552380109402340</v>
      </c>
      <c r="C6287" t="s">
        <v>40</v>
      </c>
      <c r="D6287">
        <v>5.8987480000000003</v>
      </c>
      <c r="E6287">
        <v>0.48356909999999997</v>
      </c>
      <c r="F6287" t="s">
        <v>60</v>
      </c>
      <c r="G6287">
        <v>-215.8466</v>
      </c>
      <c r="H6287" s="1">
        <v>-1.516222E-6</v>
      </c>
      <c r="I6287">
        <v>-60.53031</v>
      </c>
      <c r="J6287">
        <v>-237.4838</v>
      </c>
      <c r="K6287">
        <v>1.1099760000000001</v>
      </c>
      <c r="L6287">
        <v>-62.528530000000003</v>
      </c>
      <c r="M6287">
        <v>0.99927540000000004</v>
      </c>
      <c r="N6287">
        <v>0</v>
      </c>
      <c r="O6287">
        <v>-3.6046010000000003E-2</v>
      </c>
      <c r="P6287">
        <v>0.98942350000000001</v>
      </c>
      <c r="Q6287">
        <v>0.13934009999999999</v>
      </c>
      <c r="R6287">
        <v>4.0316739999999997E-2</v>
      </c>
      <c r="S6287">
        <v>3.0427550000000001</v>
      </c>
      <c r="T6287">
        <v>-0.1548715</v>
      </c>
      <c r="U6287">
        <v>0.27792359999999999</v>
      </c>
      <c r="V6287">
        <v>-7.590015E-2</v>
      </c>
      <c r="W6287">
        <v>0.15142269999999999</v>
      </c>
      <c r="X6287">
        <v>0.98555079999999995</v>
      </c>
      <c r="Y6287">
        <v>-0.12659200000000001</v>
      </c>
      <c r="Z6287">
        <v>5.0431959999999998E-3</v>
      </c>
      <c r="AA6287">
        <v>0.99194199999999999</v>
      </c>
      <c r="AB6287">
        <v>32</v>
      </c>
      <c r="AC6287">
        <v>21.6372</v>
      </c>
      <c r="AD6287">
        <v>-1.109977516222</v>
      </c>
      <c r="AE6287">
        <v>1.9982200000000001</v>
      </c>
      <c r="AF6287">
        <v>-2.76968702863382</v>
      </c>
      <c r="AG6287">
        <v>-1.109977516222</v>
      </c>
      <c r="AH6287">
        <v>21.495014580760699</v>
      </c>
      <c r="AI6287">
        <v>92.9318658304895</v>
      </c>
      <c r="AJ6287">
        <v>97.342250156613105</v>
      </c>
      <c r="AK6287">
        <v>21.701125965032698</v>
      </c>
      <c r="AL6287">
        <v>81.290617096904597</v>
      </c>
      <c r="AM6287">
        <v>94.403822962579298</v>
      </c>
      <c r="AN6287">
        <v>1.00000002311297</v>
      </c>
    </row>
    <row r="6288" spans="1:40" x14ac:dyDescent="0.25">
      <c r="A6288" t="str">
        <f>"20190312164149426"</f>
        <v>20190312164149426</v>
      </c>
      <c r="B6288" t="str">
        <f>"1552380109422836"</f>
        <v>1552380109422836</v>
      </c>
      <c r="C6288" t="s">
        <v>40</v>
      </c>
      <c r="D6288">
        <v>5.9515079999999996</v>
      </c>
      <c r="E6288">
        <v>0.48396850000000002</v>
      </c>
      <c r="F6288" t="s">
        <v>60</v>
      </c>
      <c r="G6288">
        <v>-216.089</v>
      </c>
      <c r="H6288" s="1">
        <v>-1.626225E-6</v>
      </c>
      <c r="I6288">
        <v>-60.552900000000001</v>
      </c>
      <c r="J6288">
        <v>-237.32249999999999</v>
      </c>
      <c r="K6288">
        <v>1.1099699999999999</v>
      </c>
      <c r="L6288">
        <v>-62.534419999999997</v>
      </c>
      <c r="M6288">
        <v>0.99927279999999996</v>
      </c>
      <c r="N6288">
        <v>0</v>
      </c>
      <c r="O6288">
        <v>-3.6127520000000003E-2</v>
      </c>
      <c r="P6288">
        <v>0.98939429999999995</v>
      </c>
      <c r="Q6288">
        <v>0.13918759999999999</v>
      </c>
      <c r="R6288">
        <v>4.1543860000000002E-2</v>
      </c>
      <c r="S6288">
        <v>3.042862</v>
      </c>
      <c r="T6288">
        <v>-0.157865899999999</v>
      </c>
      <c r="U6288">
        <v>0.28097529999999998</v>
      </c>
      <c r="V6288">
        <v>-7.7205819999999994E-2</v>
      </c>
      <c r="W6288">
        <v>0.1512474</v>
      </c>
      <c r="X6288">
        <v>0.98547629999999997</v>
      </c>
      <c r="Y6288">
        <v>-0.1276466</v>
      </c>
      <c r="Z6288">
        <v>5.1716690000000003E-3</v>
      </c>
      <c r="AA6288">
        <v>0.99180619999999997</v>
      </c>
      <c r="AB6288">
        <v>32</v>
      </c>
      <c r="AC6288">
        <v>21.2334999999999</v>
      </c>
      <c r="AD6288">
        <v>-1.1099716262249999</v>
      </c>
      <c r="AE6288">
        <v>1.98151999999999</v>
      </c>
      <c r="AF6288">
        <v>-2.7399742851264999</v>
      </c>
      <c r="AG6288">
        <v>-1.1099716262249999</v>
      </c>
      <c r="AH6288">
        <v>21.0909076976039</v>
      </c>
      <c r="AI6288">
        <v>92.987522126750605</v>
      </c>
      <c r="AJ6288">
        <v>97.401986656118197</v>
      </c>
      <c r="AK6288">
        <v>21.297086270263101</v>
      </c>
      <c r="AL6288">
        <v>81.300778103192798</v>
      </c>
      <c r="AM6288">
        <v>94.479611131449005</v>
      </c>
      <c r="AN6288">
        <v>1.00000002625516</v>
      </c>
    </row>
    <row r="6289" spans="1:40" x14ac:dyDescent="0.25">
      <c r="A6289" t="str">
        <f>"20190312164149437"</f>
        <v>20190312164149437</v>
      </c>
      <c r="B6289" t="str">
        <f>"1552380109432597"</f>
        <v>1552380109432597</v>
      </c>
      <c r="C6289" t="s">
        <v>40</v>
      </c>
      <c r="D6289">
        <v>5.9511269999999996</v>
      </c>
      <c r="E6289">
        <v>0.48415360000000002</v>
      </c>
      <c r="F6289" t="s">
        <v>60</v>
      </c>
      <c r="G6289">
        <v>-215.8433</v>
      </c>
      <c r="H6289" s="1">
        <v>-1.51936E-6</v>
      </c>
      <c r="I6289">
        <v>-60.547490000000003</v>
      </c>
      <c r="J6289">
        <v>-237.15389999999999</v>
      </c>
      <c r="K6289">
        <v>1.109966</v>
      </c>
      <c r="L6289">
        <v>-62.540590000000002</v>
      </c>
      <c r="M6289">
        <v>0.99927010000000005</v>
      </c>
      <c r="N6289">
        <v>0</v>
      </c>
      <c r="O6289">
        <v>-3.6211279999999998E-2</v>
      </c>
      <c r="P6289">
        <v>0.98929279999999997</v>
      </c>
      <c r="Q6289">
        <v>0.13942850000000001</v>
      </c>
      <c r="R6289">
        <v>4.3124719999999998E-2</v>
      </c>
      <c r="S6289">
        <v>3.0424500000000001</v>
      </c>
      <c r="T6289">
        <v>-0.157223</v>
      </c>
      <c r="U6289">
        <v>0.28143309999999999</v>
      </c>
      <c r="V6289">
        <v>-7.886514E-2</v>
      </c>
      <c r="W6289">
        <v>0.15146370000000001</v>
      </c>
      <c r="X6289">
        <v>0.98531159999999995</v>
      </c>
      <c r="Y6289">
        <v>-0.12789120000000001</v>
      </c>
      <c r="Z6289">
        <v>5.1619190000000001E-3</v>
      </c>
      <c r="AA6289">
        <v>0.99177470000000001</v>
      </c>
      <c r="AB6289">
        <v>32</v>
      </c>
      <c r="AC6289">
        <v>21.310599999999901</v>
      </c>
      <c r="AD6289">
        <v>-1.10996751936</v>
      </c>
      <c r="AE6289">
        <v>1.9930999999999901</v>
      </c>
      <c r="AF6289">
        <v>-2.7561216954138699</v>
      </c>
      <c r="AG6289">
        <v>-1.10996751936</v>
      </c>
      <c r="AH6289">
        <v>21.1675166684823</v>
      </c>
      <c r="AI6289">
        <v>92.976607028316593</v>
      </c>
      <c r="AJ6289">
        <v>97.418476065717698</v>
      </c>
      <c r="AK6289">
        <v>21.3750320842904</v>
      </c>
      <c r="AL6289">
        <v>81.288239968907206</v>
      </c>
      <c r="AM6289">
        <v>94.576244706382099</v>
      </c>
      <c r="AN6289">
        <v>0.99999995590973301</v>
      </c>
    </row>
    <row r="6290" spans="1:40" x14ac:dyDescent="0.25">
      <c r="A6290" t="str">
        <f>"20190312164149449"</f>
        <v>20190312164149449</v>
      </c>
      <c r="B6290" t="str">
        <f>"1552380109442355"</f>
        <v>1552380109442355</v>
      </c>
      <c r="C6290" t="s">
        <v>40</v>
      </c>
      <c r="D6290">
        <v>5.8880420000000004</v>
      </c>
      <c r="E6290">
        <v>0.48436649999999998</v>
      </c>
      <c r="F6290" t="s">
        <v>60</v>
      </c>
      <c r="G6290">
        <v>-215.56209999999999</v>
      </c>
      <c r="H6290" s="1">
        <v>-1.39127199999999E-6</v>
      </c>
      <c r="I6290">
        <v>-60.519410000000001</v>
      </c>
      <c r="J6290">
        <v>-236.99369999999999</v>
      </c>
      <c r="K6290">
        <v>1.109964</v>
      </c>
      <c r="L6290">
        <v>-62.546480000000003</v>
      </c>
      <c r="M6290">
        <v>0.99926749999999998</v>
      </c>
      <c r="N6290">
        <v>0</v>
      </c>
      <c r="O6290">
        <v>-3.6285489999999997E-2</v>
      </c>
      <c r="P6290">
        <v>0.98923410000000001</v>
      </c>
      <c r="Q6290">
        <v>0.13940130000000001</v>
      </c>
      <c r="R6290">
        <v>4.4533980000000001E-2</v>
      </c>
      <c r="S6290">
        <v>3.0421140000000002</v>
      </c>
      <c r="T6290">
        <v>-0.15638540000000001</v>
      </c>
      <c r="U6290">
        <v>0.2847595</v>
      </c>
      <c r="V6290">
        <v>-8.0345639999999996E-2</v>
      </c>
      <c r="W6290">
        <v>0.15141370000000001</v>
      </c>
      <c r="X6290">
        <v>0.98519970000000001</v>
      </c>
      <c r="Y6290">
        <v>-0.12905059999999999</v>
      </c>
      <c r="Z6290">
        <v>5.1682899999999999E-3</v>
      </c>
      <c r="AA6290">
        <v>0.99162450000000002</v>
      </c>
      <c r="AB6290">
        <v>32</v>
      </c>
      <c r="AC6290">
        <v>21.4316</v>
      </c>
      <c r="AD6290">
        <v>-1.109965391272</v>
      </c>
      <c r="AE6290">
        <v>2.0270700000000001</v>
      </c>
      <c r="AF6290">
        <v>-2.7960152048152702</v>
      </c>
      <c r="AG6290">
        <v>-1.109965391272</v>
      </c>
      <c r="AH6290">
        <v>21.287332744630302</v>
      </c>
      <c r="AI6290">
        <v>92.959443861927696</v>
      </c>
      <c r="AJ6290">
        <v>97.482761823557297</v>
      </c>
      <c r="AK6290">
        <v>21.498843214833499</v>
      </c>
      <c r="AL6290">
        <v>81.291138480240704</v>
      </c>
      <c r="AM6290">
        <v>94.662304483346503</v>
      </c>
      <c r="AN6290">
        <v>0.99999998964739401</v>
      </c>
    </row>
    <row r="6291" spans="1:40" x14ac:dyDescent="0.25">
      <c r="A6291" t="str">
        <f>"20190312164149461"</f>
        <v>20190312164149461</v>
      </c>
      <c r="B6291" t="str">
        <f>"1552380109452117"</f>
        <v>1552380109452117</v>
      </c>
      <c r="C6291" t="s">
        <v>40</v>
      </c>
      <c r="D6291">
        <v>5.9439970000000004</v>
      </c>
      <c r="E6291">
        <v>0.48457719999999999</v>
      </c>
      <c r="F6291" t="s">
        <v>60</v>
      </c>
      <c r="G6291">
        <v>-215.4117</v>
      </c>
      <c r="H6291" s="1">
        <v>-1.323817E-6</v>
      </c>
      <c r="I6291">
        <v>-60.508450000000003</v>
      </c>
      <c r="J6291">
        <v>-236.8038</v>
      </c>
      <c r="K6291">
        <v>1.1099669999999999</v>
      </c>
      <c r="L6291">
        <v>-62.553469999999997</v>
      </c>
      <c r="M6291">
        <v>0.99926490000000001</v>
      </c>
      <c r="N6291">
        <v>0</v>
      </c>
      <c r="O6291">
        <v>-3.6370739999999999E-2</v>
      </c>
      <c r="P6291">
        <v>0.98916579999999998</v>
      </c>
      <c r="Q6291">
        <v>0.13948440000000001</v>
      </c>
      <c r="R6291">
        <v>4.5777499999999999E-2</v>
      </c>
      <c r="S6291">
        <v>3.041779</v>
      </c>
      <c r="T6291">
        <v>-0.15643879999999999</v>
      </c>
      <c r="U6291">
        <v>0.28723140000000003</v>
      </c>
      <c r="V6291">
        <v>-8.1671090000000002E-2</v>
      </c>
      <c r="W6291">
        <v>0.15146799999999999</v>
      </c>
      <c r="X6291">
        <v>0.98508240000000002</v>
      </c>
      <c r="Y6291">
        <v>-0.12994259999999999</v>
      </c>
      <c r="Z6291">
        <v>5.197676E-3</v>
      </c>
      <c r="AA6291">
        <v>0.9915079</v>
      </c>
      <c r="AB6291">
        <v>32</v>
      </c>
      <c r="AC6291">
        <v>21.392099999999999</v>
      </c>
      <c r="AD6291">
        <v>-1.1099683238169999</v>
      </c>
      <c r="AE6291">
        <v>2.0450199999999898</v>
      </c>
      <c r="AF6291">
        <v>-2.8142623145373902</v>
      </c>
      <c r="AG6291">
        <v>-1.1099683238169999</v>
      </c>
      <c r="AH6291">
        <v>21.246876080344698</v>
      </c>
      <c r="AI6291">
        <v>92.964651296210803</v>
      </c>
      <c r="AJ6291">
        <v>97.545211394449495</v>
      </c>
      <c r="AK6291">
        <v>21.461170639749</v>
      </c>
      <c r="AL6291">
        <v>81.287991357601499</v>
      </c>
      <c r="AM6291">
        <v>94.739432077468706</v>
      </c>
      <c r="AN6291">
        <v>1.0000000283777699</v>
      </c>
    </row>
    <row r="6292" spans="1:40" x14ac:dyDescent="0.25">
      <c r="A6292" t="str">
        <f>"20190312164149471"</f>
        <v>20190312164149471</v>
      </c>
      <c r="B6292" t="str">
        <f>"1552380109462851"</f>
        <v>1552380109462851</v>
      </c>
      <c r="C6292" t="s">
        <v>40</v>
      </c>
      <c r="D6292">
        <v>5.8861869999999996</v>
      </c>
      <c r="E6292">
        <v>0.48477310000000001</v>
      </c>
      <c r="F6292" t="s">
        <v>60</v>
      </c>
      <c r="G6292">
        <v>-215.14279999999999</v>
      </c>
      <c r="H6292" s="1">
        <v>-1.20406E-6</v>
      </c>
      <c r="I6292">
        <v>-60.491909999999997</v>
      </c>
      <c r="J6292">
        <v>-236.64689999999999</v>
      </c>
      <c r="K6292">
        <v>1.1099680000000001</v>
      </c>
      <c r="L6292">
        <v>-62.559229999999999</v>
      </c>
      <c r="M6292">
        <v>0.99926280000000001</v>
      </c>
      <c r="N6292">
        <v>0</v>
      </c>
      <c r="O6292">
        <v>-3.643573E-2</v>
      </c>
      <c r="P6292">
        <v>0.98911819999999895</v>
      </c>
      <c r="Q6292">
        <v>0.13944119999999999</v>
      </c>
      <c r="R6292">
        <v>4.6923859999999998E-2</v>
      </c>
      <c r="S6292">
        <v>3.041458</v>
      </c>
      <c r="T6292">
        <v>-0.1558523</v>
      </c>
      <c r="U6292">
        <v>0.28945920000000003</v>
      </c>
      <c r="V6292">
        <v>-8.2880969999999998E-2</v>
      </c>
      <c r="W6292">
        <v>0.1513996</v>
      </c>
      <c r="X6292">
        <v>0.98499179999999997</v>
      </c>
      <c r="Y6292">
        <v>-0.13073709999999999</v>
      </c>
      <c r="Z6292">
        <v>5.2022040000000002E-3</v>
      </c>
      <c r="AA6292">
        <v>0.99140340000000005</v>
      </c>
      <c r="AB6292">
        <v>32</v>
      </c>
      <c r="AC6292">
        <v>21.504099999999902</v>
      </c>
      <c r="AD6292">
        <v>-1.10996920406</v>
      </c>
      <c r="AE6292">
        <v>2.06732</v>
      </c>
      <c r="AF6292">
        <v>-2.8420194090402799</v>
      </c>
      <c r="AG6292">
        <v>-1.10996920406</v>
      </c>
      <c r="AH6292">
        <v>21.358106522199598</v>
      </c>
      <c r="AI6292">
        <v>92.949007212607796</v>
      </c>
      <c r="AJ6292">
        <v>97.5795448330216</v>
      </c>
      <c r="AK6292">
        <v>21.5749349980237</v>
      </c>
      <c r="AL6292">
        <v>81.291955601023304</v>
      </c>
      <c r="AM6292">
        <v>94.809755637500004</v>
      </c>
      <c r="AN6292">
        <v>0.99999997006776997</v>
      </c>
    </row>
    <row r="6293" spans="1:40" x14ac:dyDescent="0.25">
      <c r="A6293" t="str">
        <f>"20190312164149482"</f>
        <v>20190312164149482</v>
      </c>
      <c r="B6293" t="str">
        <f>"1552380109472612"</f>
        <v>1552380109472612</v>
      </c>
      <c r="C6293" t="s">
        <v>40</v>
      </c>
      <c r="D6293">
        <v>5.9092209999999996</v>
      </c>
      <c r="E6293">
        <v>0.48499140000000002</v>
      </c>
      <c r="F6293" t="s">
        <v>60</v>
      </c>
      <c r="G6293">
        <v>-214.9443</v>
      </c>
      <c r="H6293" s="1">
        <v>-1.1154670000000001E-6</v>
      </c>
      <c r="I6293">
        <v>-60.47889</v>
      </c>
      <c r="J6293">
        <v>-236.50450000000001</v>
      </c>
      <c r="K6293">
        <v>1.1099669999999999</v>
      </c>
      <c r="L6293">
        <v>-62.564480000000003</v>
      </c>
      <c r="M6293">
        <v>0.99926099999999995</v>
      </c>
      <c r="N6293">
        <v>0</v>
      </c>
      <c r="O6293">
        <v>-3.6491660000000002E-2</v>
      </c>
      <c r="P6293">
        <v>0.98905270000000001</v>
      </c>
      <c r="Q6293">
        <v>0.13949600000000001</v>
      </c>
      <c r="R6293">
        <v>4.812437E-2</v>
      </c>
      <c r="S6293">
        <v>3.0410919999999999</v>
      </c>
      <c r="T6293">
        <v>-0.1555356</v>
      </c>
      <c r="U6293">
        <v>0.29150389999999998</v>
      </c>
      <c r="V6293">
        <v>-8.4135940000000006E-2</v>
      </c>
      <c r="W6293">
        <v>0.1514307</v>
      </c>
      <c r="X6293">
        <v>0.98488059999999999</v>
      </c>
      <c r="Y6293">
        <v>-0.1314642</v>
      </c>
      <c r="Z6293">
        <v>5.2134989999999999E-3</v>
      </c>
      <c r="AA6293">
        <v>0.99130720000000005</v>
      </c>
      <c r="AB6293">
        <v>32</v>
      </c>
      <c r="AC6293">
        <v>21.560199999999998</v>
      </c>
      <c r="AD6293">
        <v>-1.109968115467</v>
      </c>
      <c r="AE6293">
        <v>2.0855899999999998</v>
      </c>
      <c r="AF6293">
        <v>-2.86350641211666</v>
      </c>
      <c r="AG6293">
        <v>-1.109968115467</v>
      </c>
      <c r="AH6293">
        <v>21.4134970006568</v>
      </c>
      <c r="AI6293">
        <v>92.941135842582895</v>
      </c>
      <c r="AJ6293">
        <v>97.616655683755994</v>
      </c>
      <c r="AK6293">
        <v>21.6326039113817</v>
      </c>
      <c r="AL6293">
        <v>81.290152783558199</v>
      </c>
      <c r="AM6293">
        <v>94.882783321282503</v>
      </c>
      <c r="AN6293">
        <v>0.99999995477926495</v>
      </c>
    </row>
    <row r="6294" spans="1:40" x14ac:dyDescent="0.25">
      <c r="A6294" t="str">
        <f>"20190312164149493"</f>
        <v>20190312164149493</v>
      </c>
      <c r="B6294" t="str">
        <f>"1552380109482502"</f>
        <v>1552380109482502</v>
      </c>
      <c r="C6294" t="s">
        <v>40</v>
      </c>
      <c r="D6294">
        <v>5.8304830000000001</v>
      </c>
      <c r="E6294">
        <v>0.48516340000000002</v>
      </c>
      <c r="F6294" t="s">
        <v>60</v>
      </c>
      <c r="G6294">
        <v>-214.7397</v>
      </c>
      <c r="H6294" s="1">
        <v>-1.0237419999999999E-6</v>
      </c>
      <c r="I6294">
        <v>-60.464010000000002</v>
      </c>
      <c r="J6294">
        <v>-236.33430000000001</v>
      </c>
      <c r="K6294">
        <v>1.1099699999999999</v>
      </c>
      <c r="L6294">
        <v>-62.570770000000003</v>
      </c>
      <c r="M6294">
        <v>0.99925920000000001</v>
      </c>
      <c r="N6294">
        <v>0</v>
      </c>
      <c r="O6294">
        <v>-3.6553490000000001E-2</v>
      </c>
      <c r="P6294">
        <v>0.98905240000000005</v>
      </c>
      <c r="Q6294">
        <v>0.1391627</v>
      </c>
      <c r="R6294">
        <v>4.9084559999999999E-2</v>
      </c>
      <c r="S6294">
        <v>3.0408330000000001</v>
      </c>
      <c r="T6294">
        <v>-0.15507760000000001</v>
      </c>
      <c r="U6294">
        <v>0.29345700000000002</v>
      </c>
      <c r="V6294">
        <v>-8.5158819999999996E-2</v>
      </c>
      <c r="W6294">
        <v>0.1510687</v>
      </c>
      <c r="X6294">
        <v>0.98484830000000001</v>
      </c>
      <c r="Y6294">
        <v>-0.1321647</v>
      </c>
      <c r="Z6294">
        <v>5.2194059999999898E-3</v>
      </c>
      <c r="AA6294">
        <v>0.99121400000000004</v>
      </c>
      <c r="AB6294">
        <v>32</v>
      </c>
      <c r="AC6294">
        <v>21.5946</v>
      </c>
      <c r="AD6294">
        <v>-1.109971023742</v>
      </c>
      <c r="AE6294">
        <v>2.10676</v>
      </c>
      <c r="AF6294">
        <v>-2.8872109356889202</v>
      </c>
      <c r="AG6294">
        <v>-1.109971023742</v>
      </c>
      <c r="AH6294">
        <v>21.447022355814902</v>
      </c>
      <c r="AI6294">
        <v>92.936207834328599</v>
      </c>
      <c r="AJ6294">
        <v>97.667097547187694</v>
      </c>
      <c r="AK6294">
        <v>21.668936074286901</v>
      </c>
      <c r="AL6294">
        <v>81.311135428096506</v>
      </c>
      <c r="AM6294">
        <v>94.942014656926304</v>
      </c>
      <c r="AN6294">
        <v>0.99999997537818497</v>
      </c>
    </row>
    <row r="6295" spans="1:40" x14ac:dyDescent="0.25">
      <c r="A6295" t="str">
        <f>"20190312164149503"</f>
        <v>20190312164149503</v>
      </c>
      <c r="B6295" t="str">
        <f>"1552380109492262"</f>
        <v>1552380109492262</v>
      </c>
      <c r="C6295" t="s">
        <v>40</v>
      </c>
      <c r="D6295">
        <v>5.906091</v>
      </c>
      <c r="E6295">
        <v>0.48535909999999899</v>
      </c>
      <c r="F6295" t="s">
        <v>60</v>
      </c>
      <c r="G6295">
        <v>-214.68510000000001</v>
      </c>
      <c r="H6295" s="1">
        <v>-1.001358E-6</v>
      </c>
      <c r="I6295">
        <v>-60.467959999999998</v>
      </c>
      <c r="J6295">
        <v>-236.18889999999999</v>
      </c>
      <c r="K6295">
        <v>1.1099730000000001</v>
      </c>
      <c r="L6295">
        <v>-62.576140000000002</v>
      </c>
      <c r="M6295">
        <v>0.99925770000000003</v>
      </c>
      <c r="N6295">
        <v>0</v>
      </c>
      <c r="O6295">
        <v>-3.6600559999999997E-2</v>
      </c>
      <c r="P6295">
        <v>0.98904950000000003</v>
      </c>
      <c r="Q6295">
        <v>0.1387912</v>
      </c>
      <c r="R6295">
        <v>5.0185639999999997E-2</v>
      </c>
      <c r="S6295">
        <v>3.0404969999999998</v>
      </c>
      <c r="T6295">
        <v>-0.15588840000000001</v>
      </c>
      <c r="U6295">
        <v>0.29531859999999999</v>
      </c>
      <c r="V6295">
        <v>-8.6308949999999995E-2</v>
      </c>
      <c r="W6295">
        <v>0.15067269999999999</v>
      </c>
      <c r="X6295">
        <v>0.98480889999999999</v>
      </c>
      <c r="Y6295">
        <v>-0.13281979999999999</v>
      </c>
      <c r="Z6295">
        <v>5.2662400000000002E-3</v>
      </c>
      <c r="AA6295">
        <v>0.99112619999999896</v>
      </c>
      <c r="AB6295">
        <v>32</v>
      </c>
      <c r="AC6295">
        <v>21.503799999999899</v>
      </c>
      <c r="AD6295">
        <v>-1.109974001358</v>
      </c>
      <c r="AE6295">
        <v>2.1081799999999999</v>
      </c>
      <c r="AF6295">
        <v>-2.8862583715454102</v>
      </c>
      <c r="AG6295">
        <v>-1.109974001358</v>
      </c>
      <c r="AH6295">
        <v>21.355865360667501</v>
      </c>
      <c r="AI6295">
        <v>92.948520119822206</v>
      </c>
      <c r="AJ6295">
        <v>97.696922835023202</v>
      </c>
      <c r="AK6295">
        <v>21.578589272099499</v>
      </c>
      <c r="AL6295">
        <v>81.334087782825605</v>
      </c>
      <c r="AM6295">
        <v>95.008622168177794</v>
      </c>
      <c r="AN6295">
        <v>1.0000000334473</v>
      </c>
    </row>
    <row r="6296" spans="1:40" x14ac:dyDescent="0.25">
      <c r="A6296" t="str">
        <f>"20190312164149514"</f>
        <v>20190312164149514</v>
      </c>
      <c r="B6296" t="str">
        <f>"1552380109502021"</f>
        <v>1552380109502021</v>
      </c>
      <c r="C6296" t="s">
        <v>40</v>
      </c>
      <c r="D6296">
        <v>5.9079790000000001</v>
      </c>
      <c r="E6296">
        <v>0.48556670000000002</v>
      </c>
      <c r="F6296" t="s">
        <v>60</v>
      </c>
      <c r="G6296">
        <v>-214.66229999999999</v>
      </c>
      <c r="H6296" s="1">
        <v>-9.923258E-7</v>
      </c>
      <c r="I6296">
        <v>-60.470730000000003</v>
      </c>
      <c r="J6296">
        <v>-236.0317</v>
      </c>
      <c r="K6296">
        <v>1.1099749999999999</v>
      </c>
      <c r="L6296">
        <v>-62.581940000000003</v>
      </c>
      <c r="M6296">
        <v>0.99925629999999999</v>
      </c>
      <c r="N6296">
        <v>0</v>
      </c>
      <c r="O6296">
        <v>-3.664676E-2</v>
      </c>
      <c r="P6296">
        <v>0.98905279999999995</v>
      </c>
      <c r="Q6296">
        <v>0.1384243</v>
      </c>
      <c r="R6296">
        <v>5.112129E-2</v>
      </c>
      <c r="S6296">
        <v>3.0401310000000001</v>
      </c>
      <c r="T6296">
        <v>-0.1567578</v>
      </c>
      <c r="U6296">
        <v>0.29733280000000001</v>
      </c>
      <c r="V6296">
        <v>-8.7292839999999997E-2</v>
      </c>
      <c r="W6296">
        <v>0.15027869999999999</v>
      </c>
      <c r="X6296">
        <v>0.9847823</v>
      </c>
      <c r="Y6296">
        <v>-0.13352410000000001</v>
      </c>
      <c r="Z6296">
        <v>5.3165189999999996E-3</v>
      </c>
      <c r="AA6296">
        <v>0.99103129999999995</v>
      </c>
      <c r="AB6296">
        <v>32</v>
      </c>
      <c r="AC6296">
        <v>21.369399999999999</v>
      </c>
      <c r="AD6296">
        <v>-1.1099759923257999</v>
      </c>
      <c r="AE6296">
        <v>2.1112099999999998</v>
      </c>
      <c r="AF6296">
        <v>-2.8852580777456902</v>
      </c>
      <c r="AG6296">
        <v>-1.1099759923257999</v>
      </c>
      <c r="AH6296">
        <v>21.220968337488301</v>
      </c>
      <c r="AI6296">
        <v>92.966915016751202</v>
      </c>
      <c r="AJ6296">
        <v>97.742606715789705</v>
      </c>
      <c r="AK6296">
        <v>21.4449588029312</v>
      </c>
      <c r="AL6296">
        <v>81.356921619336603</v>
      </c>
      <c r="AM6296">
        <v>95.065559326050902</v>
      </c>
      <c r="AN6296">
        <v>0.99999995299112099</v>
      </c>
    </row>
    <row r="6297" spans="1:40" x14ac:dyDescent="0.25">
      <c r="A6297" t="str">
        <f>"20190312164149526"</f>
        <v>20190312164149526</v>
      </c>
      <c r="B6297" t="str">
        <f>"1552380109522517"</f>
        <v>1552380109522517</v>
      </c>
      <c r="C6297" t="s">
        <v>40</v>
      </c>
      <c r="D6297">
        <v>5.9685879999999996</v>
      </c>
      <c r="E6297">
        <v>0.48595290000000002</v>
      </c>
      <c r="F6297" t="s">
        <v>60</v>
      </c>
      <c r="G6297">
        <v>-214.60740000000001</v>
      </c>
      <c r="H6297" s="1">
        <v>-9.7000319999999999E-7</v>
      </c>
      <c r="I6297">
        <v>-60.475349999999999</v>
      </c>
      <c r="J6297">
        <v>-235.86750000000001</v>
      </c>
      <c r="K6297">
        <v>1.1099779999999999</v>
      </c>
      <c r="L6297">
        <v>-62.588009999999997</v>
      </c>
      <c r="M6297">
        <v>0.99925509999999995</v>
      </c>
      <c r="N6297">
        <v>0</v>
      </c>
      <c r="O6297">
        <v>-3.6685410000000002E-2</v>
      </c>
      <c r="P6297">
        <v>0.98908700000000005</v>
      </c>
      <c r="Q6297">
        <v>0.13781460000000001</v>
      </c>
      <c r="R6297">
        <v>5.2094990000000001E-2</v>
      </c>
      <c r="S6297">
        <v>3.0398100000000001</v>
      </c>
      <c r="T6297">
        <v>-0.15749050000000001</v>
      </c>
      <c r="U6297">
        <v>0.29888920000000002</v>
      </c>
      <c r="V6297">
        <v>-8.8309650000000003E-2</v>
      </c>
      <c r="W6297">
        <v>0.14963889999999999</v>
      </c>
      <c r="X6297">
        <v>0.98478909999999997</v>
      </c>
      <c r="Y6297">
        <v>-0.1340722</v>
      </c>
      <c r="Z6297">
        <v>5.3579169999999898E-3</v>
      </c>
      <c r="AA6297">
        <v>0.99095710000000004</v>
      </c>
      <c r="AB6297">
        <v>32</v>
      </c>
      <c r="AC6297">
        <v>21.260099999999898</v>
      </c>
      <c r="AD6297">
        <v>-1.1099789700031999</v>
      </c>
      <c r="AE6297">
        <v>2.1126599999999902</v>
      </c>
      <c r="AF6297">
        <v>-2.8834461791166999</v>
      </c>
      <c r="AG6297">
        <v>-1.1099789700031999</v>
      </c>
      <c r="AH6297">
        <v>21.111294526763199</v>
      </c>
      <c r="AI6297">
        <v>92.982061340314203</v>
      </c>
      <c r="AJ6297">
        <v>97.777510783885603</v>
      </c>
      <c r="AK6297">
        <v>21.336191594974402</v>
      </c>
      <c r="AL6297">
        <v>81.393998981121896</v>
      </c>
      <c r="AM6297">
        <v>95.1242167579056</v>
      </c>
      <c r="AN6297">
        <v>0.99999998307757099</v>
      </c>
    </row>
    <row r="6298" spans="1:40" x14ac:dyDescent="0.25">
      <c r="A6298" t="str">
        <f>"20190312164149537"</f>
        <v>20190312164149537</v>
      </c>
      <c r="B6298" t="str">
        <f>"1552380109532277"</f>
        <v>1552380109532277</v>
      </c>
      <c r="C6298" t="s">
        <v>40</v>
      </c>
      <c r="D6298">
        <v>5.9118550000000001</v>
      </c>
      <c r="E6298">
        <v>0.48611149999999997</v>
      </c>
      <c r="F6298" t="s">
        <v>60</v>
      </c>
      <c r="G6298">
        <v>-214.64750000000001</v>
      </c>
      <c r="H6298" s="1">
        <v>-9.9408520000000003E-7</v>
      </c>
      <c r="I6298">
        <v>-60.501289999999997</v>
      </c>
      <c r="J6298">
        <v>-235.69710000000001</v>
      </c>
      <c r="K6298">
        <v>1.109982</v>
      </c>
      <c r="L6298">
        <v>-62.594299999999997</v>
      </c>
      <c r="M6298">
        <v>0.99925430000000004</v>
      </c>
      <c r="N6298">
        <v>0</v>
      </c>
      <c r="O6298">
        <v>-3.6720940000000001E-2</v>
      </c>
      <c r="P6298">
        <v>0.98909000000000002</v>
      </c>
      <c r="Q6298">
        <v>0.13748750000000001</v>
      </c>
      <c r="R6298">
        <v>5.2899700000000001E-2</v>
      </c>
      <c r="S6298">
        <v>3.0395050000000001</v>
      </c>
      <c r="T6298">
        <v>-0.15899099999999999</v>
      </c>
      <c r="U6298">
        <v>0.29888920000000002</v>
      </c>
      <c r="V6298">
        <v>-8.9153659999999996E-2</v>
      </c>
      <c r="W6298">
        <v>0.1492792</v>
      </c>
      <c r="X6298">
        <v>0.98476770000000002</v>
      </c>
      <c r="Y6298">
        <v>-0.1341126</v>
      </c>
      <c r="Z6298">
        <v>5.4123419999999997E-3</v>
      </c>
      <c r="AA6298">
        <v>0.99095129999999998</v>
      </c>
      <c r="AB6298">
        <v>33</v>
      </c>
      <c r="AC6298">
        <v>21.049600000000002</v>
      </c>
      <c r="AD6298">
        <v>-1.1099829940852</v>
      </c>
      <c r="AE6298">
        <v>2.0930099999999898</v>
      </c>
      <c r="AF6298">
        <v>-2.8567485075547299</v>
      </c>
      <c r="AG6298">
        <v>-1.1099829940852</v>
      </c>
      <c r="AH6298">
        <v>20.900989316438</v>
      </c>
      <c r="AI6298">
        <v>93.011983590035399</v>
      </c>
      <c r="AJ6298">
        <v>97.782964124702801</v>
      </c>
      <c r="AK6298">
        <v>21.124498306194901</v>
      </c>
      <c r="AL6298">
        <v>81.414842870415299</v>
      </c>
      <c r="AM6298">
        <v>95.173038257331498</v>
      </c>
      <c r="AN6298">
        <v>1.0000000388036601</v>
      </c>
    </row>
    <row r="6299" spans="1:40" x14ac:dyDescent="0.25">
      <c r="A6299" t="str">
        <f>"20190312164149549"</f>
        <v>20190312164149549</v>
      </c>
      <c r="B6299" t="str">
        <f>"1552380109542037"</f>
        <v>1552380109542037</v>
      </c>
      <c r="C6299" t="s">
        <v>40</v>
      </c>
      <c r="D6299">
        <v>5.9634330000000002</v>
      </c>
      <c r="E6299">
        <v>0.48630269999999998</v>
      </c>
      <c r="F6299" t="s">
        <v>60</v>
      </c>
      <c r="G6299">
        <v>-214.49109999999999</v>
      </c>
      <c r="H6299" s="1">
        <v>-9.2670230000000004E-7</v>
      </c>
      <c r="I6299">
        <v>-60.500190000000003</v>
      </c>
      <c r="J6299">
        <v>-235.52590000000001</v>
      </c>
      <c r="K6299">
        <v>1.1099870000000001</v>
      </c>
      <c r="L6299">
        <v>-62.6006199999999</v>
      </c>
      <c r="M6299">
        <v>0.99925370000000002</v>
      </c>
      <c r="N6299">
        <v>0</v>
      </c>
      <c r="O6299">
        <v>-3.6744400000000003E-2</v>
      </c>
      <c r="P6299">
        <v>0.98910310000000001</v>
      </c>
      <c r="Q6299">
        <v>0.13706989999999999</v>
      </c>
      <c r="R6299">
        <v>5.3728400000000003E-2</v>
      </c>
      <c r="S6299">
        <v>3.0391539999999999</v>
      </c>
      <c r="T6299">
        <v>-0.15907789999999999</v>
      </c>
      <c r="U6299">
        <v>0.30010989999999999</v>
      </c>
      <c r="V6299">
        <v>-9.0009779999999998E-2</v>
      </c>
      <c r="W6299">
        <v>0.14882609999999999</v>
      </c>
      <c r="X6299">
        <v>0.98475840000000003</v>
      </c>
      <c r="Y6299">
        <v>-0.1345402</v>
      </c>
      <c r="Z6299">
        <v>5.4281959999999997E-3</v>
      </c>
      <c r="AA6299">
        <v>0.99089320000000003</v>
      </c>
      <c r="AB6299">
        <v>33</v>
      </c>
      <c r="AC6299">
        <v>21.034800000000001</v>
      </c>
      <c r="AD6299">
        <v>-1.1099879267023001</v>
      </c>
      <c r="AE6299">
        <v>2.1004299999999798</v>
      </c>
      <c r="AF6299">
        <v>-2.86408079057126</v>
      </c>
      <c r="AG6299">
        <v>-1.1099879267023001</v>
      </c>
      <c r="AH6299">
        <v>20.885824511578399</v>
      </c>
      <c r="AI6299">
        <v>93.013997812143998</v>
      </c>
      <c r="AJ6299">
        <v>97.808290065364005</v>
      </c>
      <c r="AK6299">
        <v>21.1104878555848</v>
      </c>
      <c r="AL6299">
        <v>81.441096852190697</v>
      </c>
      <c r="AM6299">
        <v>95.222489293291005</v>
      </c>
      <c r="AN6299">
        <v>1.0000000374536999</v>
      </c>
    </row>
    <row r="6300" spans="1:40" x14ac:dyDescent="0.25">
      <c r="A6300" t="str">
        <f>"20190312164149560"</f>
        <v>20190312164149560</v>
      </c>
      <c r="B6300" t="str">
        <f>"1552380109552773"</f>
        <v>1552380109552773</v>
      </c>
      <c r="C6300" t="s">
        <v>40</v>
      </c>
      <c r="D6300">
        <v>5.8466079999999998</v>
      </c>
      <c r="E6300">
        <v>0.4864906</v>
      </c>
      <c r="F6300" t="s">
        <v>60</v>
      </c>
      <c r="G6300">
        <v>-214.5017</v>
      </c>
      <c r="H6300" s="1">
        <v>-9.3580159999999998E-7</v>
      </c>
      <c r="I6300">
        <v>-60.517339999999997</v>
      </c>
      <c r="J6300">
        <v>-235.36410000000001</v>
      </c>
      <c r="K6300">
        <v>1.1099950000000001</v>
      </c>
      <c r="L6300">
        <v>-62.6066</v>
      </c>
      <c r="M6300">
        <v>0.99925350000000002</v>
      </c>
      <c r="N6300">
        <v>0</v>
      </c>
      <c r="O6300">
        <v>-3.6764199999999997E-2</v>
      </c>
      <c r="P6300">
        <v>0.98907529999999999</v>
      </c>
      <c r="Q6300">
        <v>0.1368799</v>
      </c>
      <c r="R6300">
        <v>5.4719570000000002E-2</v>
      </c>
      <c r="S6300">
        <v>3.0389249999999999</v>
      </c>
      <c r="T6300">
        <v>-0.1604421</v>
      </c>
      <c r="U6300">
        <v>0.30111690000000002</v>
      </c>
      <c r="V6300">
        <v>-9.1022889999999995E-2</v>
      </c>
      <c r="W6300">
        <v>0.14860110000000001</v>
      </c>
      <c r="X6300">
        <v>0.9846992</v>
      </c>
      <c r="Y6300">
        <v>-0.1348878</v>
      </c>
      <c r="Z6300">
        <v>5.4851960000000003E-3</v>
      </c>
      <c r="AA6300">
        <v>0.99084570000000005</v>
      </c>
      <c r="AB6300">
        <v>33</v>
      </c>
      <c r="AC6300">
        <v>20.862400000000001</v>
      </c>
      <c r="AD6300">
        <v>-1.1099959358016001</v>
      </c>
      <c r="AE6300">
        <v>2.0892599999999901</v>
      </c>
      <c r="AF6300">
        <v>-2.84691174745367</v>
      </c>
      <c r="AG6300">
        <v>-1.1099959358016001</v>
      </c>
      <c r="AH6300">
        <v>20.713424963320001</v>
      </c>
      <c r="AI6300">
        <v>93.038930909657196</v>
      </c>
      <c r="AJ6300">
        <v>97.825861669806002</v>
      </c>
      <c r="AK6300">
        <v>20.937597072882401</v>
      </c>
      <c r="AL6300">
        <v>81.454132903471901</v>
      </c>
      <c r="AM6300">
        <v>95.281256486777295</v>
      </c>
      <c r="AN6300">
        <v>0.99999998395290002</v>
      </c>
    </row>
    <row r="6301" spans="1:40" x14ac:dyDescent="0.25">
      <c r="A6301" t="str">
        <f>"20190312164149570"</f>
        <v>20190312164149570</v>
      </c>
      <c r="B6301" t="str">
        <f>"1552380109562533"</f>
        <v>1552380109562533</v>
      </c>
      <c r="C6301" t="s">
        <v>40</v>
      </c>
      <c r="D6301">
        <v>5.9106550000000002</v>
      </c>
      <c r="E6301">
        <v>0.48668699999999998</v>
      </c>
      <c r="F6301" t="s">
        <v>60</v>
      </c>
      <c r="G6301">
        <v>-214.38149999999999</v>
      </c>
      <c r="H6301" s="1">
        <v>-8.8406809999999899E-7</v>
      </c>
      <c r="I6301">
        <v>-60.516710000000003</v>
      </c>
      <c r="J6301">
        <v>-235.21469999999999</v>
      </c>
      <c r="K6301">
        <v>1.1099969999999999</v>
      </c>
      <c r="L6301">
        <v>-62.612119999999997</v>
      </c>
      <c r="M6301">
        <v>0.99925339999999996</v>
      </c>
      <c r="N6301">
        <v>0</v>
      </c>
      <c r="O6301">
        <v>-3.6774359999999999E-2</v>
      </c>
      <c r="P6301">
        <v>0.98903419999999997</v>
      </c>
      <c r="Q6301">
        <v>0.1369388</v>
      </c>
      <c r="R6301">
        <v>5.5310030000000003E-2</v>
      </c>
      <c r="S6301">
        <v>3.0386510000000002</v>
      </c>
      <c r="T6301">
        <v>-0.16074669999999999</v>
      </c>
      <c r="U6301">
        <v>0.30264279999999999</v>
      </c>
      <c r="V6301">
        <v>-9.1624510000000006E-2</v>
      </c>
      <c r="W6301">
        <v>0.1486237</v>
      </c>
      <c r="X6301">
        <v>0.98463999999999996</v>
      </c>
      <c r="Y6301">
        <v>-0.13539770000000001</v>
      </c>
      <c r="Z6301">
        <v>5.509936E-3</v>
      </c>
      <c r="AA6301">
        <v>0.99077599999999999</v>
      </c>
      <c r="AB6301">
        <v>33</v>
      </c>
      <c r="AC6301">
        <v>20.833200000000001</v>
      </c>
      <c r="AD6301">
        <v>-1.1099978840681</v>
      </c>
      <c r="AE6301">
        <v>2.0954100000000002</v>
      </c>
      <c r="AF6301">
        <v>-2.8521582240545298</v>
      </c>
      <c r="AG6301">
        <v>-1.1099978840681</v>
      </c>
      <c r="AH6301">
        <v>20.683914456611198</v>
      </c>
      <c r="AI6301">
        <v>93.043079285284193</v>
      </c>
      <c r="AJ6301">
        <v>97.851150860833002</v>
      </c>
      <c r="AK6301">
        <v>20.9091180848473</v>
      </c>
      <c r="AL6301">
        <v>81.452823550378298</v>
      </c>
      <c r="AM6301">
        <v>95.316281648417203</v>
      </c>
      <c r="AN6301">
        <v>0.99999999231721504</v>
      </c>
    </row>
    <row r="6302" spans="1:40" x14ac:dyDescent="0.25">
      <c r="A6302" t="str">
        <f>"20190312164149582"</f>
        <v>20190312164149582</v>
      </c>
      <c r="B6302" t="str">
        <f>"1552380109572293"</f>
        <v>1552380109572293</v>
      </c>
      <c r="C6302" t="s">
        <v>40</v>
      </c>
      <c r="D6302">
        <v>5.9137579999999996</v>
      </c>
      <c r="E6302">
        <v>0.48684810000000001</v>
      </c>
      <c r="F6302" t="s">
        <v>60</v>
      </c>
      <c r="G6302">
        <v>-214.1592</v>
      </c>
      <c r="H6302" s="1">
        <v>-7.8720889999999899E-7</v>
      </c>
      <c r="I6302">
        <v>-60.511049999999997</v>
      </c>
      <c r="J6302">
        <v>-235.05240000000001</v>
      </c>
      <c r="K6302">
        <v>1.110004</v>
      </c>
      <c r="L6302">
        <v>-62.618099999999998</v>
      </c>
      <c r="M6302">
        <v>0.99925370000000002</v>
      </c>
      <c r="N6302">
        <v>0</v>
      </c>
      <c r="O6302">
        <v>-3.6781500000000002E-2</v>
      </c>
      <c r="P6302">
        <v>0.9890101</v>
      </c>
      <c r="Q6302">
        <v>0.1368328</v>
      </c>
      <c r="R6302">
        <v>5.6004239999999997E-2</v>
      </c>
      <c r="S6302">
        <v>3.0384829999999998</v>
      </c>
      <c r="T6302">
        <v>-0.160181399999999</v>
      </c>
      <c r="U6302">
        <v>0.30319210000000002</v>
      </c>
      <c r="V6302">
        <v>-9.2328469999999996E-2</v>
      </c>
      <c r="W6302">
        <v>0.14847759999999999</v>
      </c>
      <c r="X6302">
        <v>0.98459629999999998</v>
      </c>
      <c r="Y6302">
        <v>-0.13558889999999901</v>
      </c>
      <c r="Z6302">
        <v>5.4962379999999996E-3</v>
      </c>
      <c r="AA6302">
        <v>0.99075000000000002</v>
      </c>
      <c r="AB6302">
        <v>33</v>
      </c>
      <c r="AC6302">
        <v>20.8932</v>
      </c>
      <c r="AD6302">
        <v>-1.1100047872088901</v>
      </c>
      <c r="AE6302">
        <v>2.1070500000000001</v>
      </c>
      <c r="AF6302">
        <v>-2.8661523666684401</v>
      </c>
      <c r="AG6302">
        <v>-1.1100047872088901</v>
      </c>
      <c r="AH6302">
        <v>20.743594311301301</v>
      </c>
      <c r="AI6302">
        <v>93.0342454828303</v>
      </c>
      <c r="AJ6302">
        <v>97.866775904170794</v>
      </c>
      <c r="AK6302">
        <v>20.9700654497891</v>
      </c>
      <c r="AL6302">
        <v>81.461288526564203</v>
      </c>
      <c r="AM6302">
        <v>95.357126813777001</v>
      </c>
      <c r="AN6302">
        <v>1.00000000902399</v>
      </c>
    </row>
    <row r="6303" spans="1:40" x14ac:dyDescent="0.25">
      <c r="A6303" t="str">
        <f>"20190312164149592"</f>
        <v>20190312164149592</v>
      </c>
      <c r="B6303" t="str">
        <f>"1552380109582054"</f>
        <v>1552380109582054</v>
      </c>
      <c r="C6303" t="s">
        <v>40</v>
      </c>
      <c r="D6303">
        <v>6.3751790000000002</v>
      </c>
      <c r="E6303">
        <v>0.48703809999999897</v>
      </c>
      <c r="F6303" t="s">
        <v>60</v>
      </c>
      <c r="G6303">
        <v>-214.0241</v>
      </c>
      <c r="H6303" s="1">
        <v>-7.2973460000000002E-7</v>
      </c>
      <c r="I6303">
        <v>-60.512880000000003</v>
      </c>
      <c r="J6303">
        <v>-234.89619999999999</v>
      </c>
      <c r="K6303">
        <v>1.1100049999999999</v>
      </c>
      <c r="L6303">
        <v>-62.623840000000001</v>
      </c>
      <c r="M6303">
        <v>0.99925419999999998</v>
      </c>
      <c r="N6303">
        <v>0</v>
      </c>
      <c r="O6303">
        <v>-3.6780420000000001E-2</v>
      </c>
      <c r="P6303">
        <v>0.9889561</v>
      </c>
      <c r="Q6303">
        <v>0.137016</v>
      </c>
      <c r="R6303">
        <v>5.6503570000000003E-2</v>
      </c>
      <c r="S6303">
        <v>3.0383149999999999</v>
      </c>
      <c r="T6303">
        <v>-0.1603812</v>
      </c>
      <c r="U6303">
        <v>0.30416870000000001</v>
      </c>
      <c r="V6303">
        <v>-9.2827870000000007E-2</v>
      </c>
      <c r="W6303">
        <v>0.14861859999999999</v>
      </c>
      <c r="X6303">
        <v>0.98452810000000002</v>
      </c>
      <c r="Y6303">
        <v>-0.13590739999999901</v>
      </c>
      <c r="Z6303">
        <v>5.511625E-3</v>
      </c>
      <c r="AA6303">
        <v>0.99070619999999998</v>
      </c>
      <c r="AB6303">
        <v>33</v>
      </c>
      <c r="AC6303">
        <v>20.8720999999999</v>
      </c>
      <c r="AD6303">
        <v>-1.1100057297346</v>
      </c>
      <c r="AE6303">
        <v>2.1109599999999902</v>
      </c>
      <c r="AF6303">
        <v>-2.8692363821682201</v>
      </c>
      <c r="AG6303">
        <v>-1.1100057297346</v>
      </c>
      <c r="AH6303">
        <v>20.722313517226301</v>
      </c>
      <c r="AI6303">
        <v>93.037238629637699</v>
      </c>
      <c r="AJ6303">
        <v>97.883120250569107</v>
      </c>
      <c r="AK6303">
        <v>20.949436929020798</v>
      </c>
      <c r="AL6303">
        <v>81.453119457143401</v>
      </c>
      <c r="AM6303">
        <v>95.386304196013896</v>
      </c>
      <c r="AN6303">
        <v>1.0000000407021501</v>
      </c>
    </row>
    <row r="6304" spans="1:40" x14ac:dyDescent="0.25">
      <c r="A6304" t="str">
        <f>"20190312164149604"</f>
        <v>20190312164149604</v>
      </c>
      <c r="B6304" t="str">
        <f>"1552380109592791"</f>
        <v>1552380109592791</v>
      </c>
      <c r="C6304" t="s">
        <v>40</v>
      </c>
      <c r="D6304">
        <v>5.9114079999999998</v>
      </c>
      <c r="E6304">
        <v>0.48718830000000002</v>
      </c>
      <c r="F6304" t="s">
        <v>60</v>
      </c>
      <c r="G6304">
        <v>-213.78039999999999</v>
      </c>
      <c r="H6304" s="1">
        <v>-6.2397900000000003E-7</v>
      </c>
      <c r="I6304">
        <v>-60.508319999999998</v>
      </c>
      <c r="J6304">
        <v>-234.73349999999999</v>
      </c>
      <c r="K6304">
        <v>1.1100110000000001</v>
      </c>
      <c r="L6304">
        <v>-62.629849999999998</v>
      </c>
      <c r="M6304">
        <v>0.99925509999999995</v>
      </c>
      <c r="N6304">
        <v>0</v>
      </c>
      <c r="O6304">
        <v>-3.6770230000000001E-2</v>
      </c>
      <c r="P6304">
        <v>0.98895659999999996</v>
      </c>
      <c r="Q6304">
        <v>0.13678999999999999</v>
      </c>
      <c r="R6304">
        <v>5.7042410000000002E-2</v>
      </c>
      <c r="S6304">
        <v>3.0382389999999999</v>
      </c>
      <c r="T6304">
        <v>-0.15971279999999999</v>
      </c>
      <c r="U6304">
        <v>0.30438229999999999</v>
      </c>
      <c r="V6304">
        <v>-9.336034E-2</v>
      </c>
      <c r="W6304">
        <v>0.14834600000000001</v>
      </c>
      <c r="X6304">
        <v>0.98451880000000003</v>
      </c>
      <c r="Y6304">
        <v>-0.1359707</v>
      </c>
      <c r="Z6304">
        <v>5.489926E-3</v>
      </c>
      <c r="AA6304">
        <v>0.99069770000000001</v>
      </c>
      <c r="AB6304">
        <v>33</v>
      </c>
      <c r="AC6304">
        <v>20.953099999999999</v>
      </c>
      <c r="AD6304">
        <v>-1.1100116239790001</v>
      </c>
      <c r="AE6304">
        <v>2.1215299999999999</v>
      </c>
      <c r="AF6304">
        <v>-2.8825905000302701</v>
      </c>
      <c r="AG6304">
        <v>-1.1100116239790001</v>
      </c>
      <c r="AH6304">
        <v>20.803123325662501</v>
      </c>
      <c r="AI6304">
        <v>93.025435748365197</v>
      </c>
      <c r="AJ6304">
        <v>97.888971082263893</v>
      </c>
      <c r="AK6304">
        <v>21.031200486395399</v>
      </c>
      <c r="AL6304">
        <v>81.468912823043098</v>
      </c>
      <c r="AM6304">
        <v>95.4170681767594</v>
      </c>
      <c r="AN6304">
        <v>0.99999997817717701</v>
      </c>
    </row>
    <row r="6305" spans="1:40" x14ac:dyDescent="0.25">
      <c r="A6305" t="str">
        <f>"20190312164149617"</f>
        <v>20190312164149617</v>
      </c>
      <c r="B6305" t="str">
        <f>"1552380109612309"</f>
        <v>1552380109612309</v>
      </c>
      <c r="C6305" t="s">
        <v>40</v>
      </c>
      <c r="D6305">
        <v>5.9113699999999998</v>
      </c>
      <c r="E6305">
        <v>0.48735800000000001</v>
      </c>
      <c r="F6305" t="s">
        <v>60</v>
      </c>
      <c r="G6305">
        <v>-213.6919</v>
      </c>
      <c r="H6305" s="1">
        <v>-5.8836699999999999E-7</v>
      </c>
      <c r="I6305">
        <v>-60.517220000000002</v>
      </c>
      <c r="J6305">
        <v>-234.54499999999999</v>
      </c>
      <c r="K6305">
        <v>1.110017</v>
      </c>
      <c r="L6305">
        <v>-62.636749999999999</v>
      </c>
      <c r="M6305">
        <v>0.99925649999999999</v>
      </c>
      <c r="N6305">
        <v>0</v>
      </c>
      <c r="O6305">
        <v>-3.6748629999999997E-2</v>
      </c>
      <c r="P6305">
        <v>0.98891249999999997</v>
      </c>
      <c r="Q6305">
        <v>0.13698979999999999</v>
      </c>
      <c r="R6305">
        <v>5.7325710000000002E-2</v>
      </c>
      <c r="S6305">
        <v>3.0380859999999998</v>
      </c>
      <c r="T6305">
        <v>-0.16026840000000001</v>
      </c>
      <c r="U6305">
        <v>0.30502319999999999</v>
      </c>
      <c r="V6305">
        <v>-9.3624959999999993E-2</v>
      </c>
      <c r="W6305">
        <v>0.14848939999999999</v>
      </c>
      <c r="X6305">
        <v>0.98447209999999996</v>
      </c>
      <c r="Y6305">
        <v>-0.13615910000000001</v>
      </c>
      <c r="Z6305">
        <v>5.5130350000000003E-3</v>
      </c>
      <c r="AA6305">
        <v>0.99067159999999999</v>
      </c>
      <c r="AB6305">
        <v>33</v>
      </c>
      <c r="AC6305">
        <v>20.853099999999898</v>
      </c>
      <c r="AD6305">
        <v>-1.110017588367</v>
      </c>
      <c r="AE6305">
        <v>2.1195300000000001</v>
      </c>
      <c r="AF6305">
        <v>-2.8764062454674599</v>
      </c>
      <c r="AG6305">
        <v>-1.110017588367</v>
      </c>
      <c r="AH6305">
        <v>20.7030559098814</v>
      </c>
      <c r="AI6305">
        <v>93.039894755676002</v>
      </c>
      <c r="AJ6305">
        <v>97.9098284354871</v>
      </c>
      <c r="AK6305">
        <v>20.931373006640602</v>
      </c>
      <c r="AL6305">
        <v>81.460604998392398</v>
      </c>
      <c r="AM6305">
        <v>95.432586711093407</v>
      </c>
      <c r="AN6305">
        <v>1.00000002536288</v>
      </c>
    </row>
    <row r="6306" spans="1:40" x14ac:dyDescent="0.25">
      <c r="A6306" t="str">
        <f>"20190312164149628"</f>
        <v>20190312164149628</v>
      </c>
      <c r="B6306" t="str">
        <f>"1552380109622069"</f>
        <v>1552380109622069</v>
      </c>
      <c r="C6306" t="s">
        <v>40</v>
      </c>
      <c r="D6306">
        <v>5.9580479999999998</v>
      </c>
      <c r="E6306">
        <v>0.48735800000000001</v>
      </c>
      <c r="F6306" t="s">
        <v>60</v>
      </c>
      <c r="G6306">
        <v>-213.41909999999999</v>
      </c>
      <c r="H6306" s="1">
        <v>-4.7190139999999998E-7</v>
      </c>
      <c r="I6306">
        <v>-60.519280000000002</v>
      </c>
      <c r="J6306">
        <v>-234.3785</v>
      </c>
      <c r="K6306">
        <v>1.110028</v>
      </c>
      <c r="L6306">
        <v>-62.642850000000003</v>
      </c>
      <c r="M6306">
        <v>0.99925850000000005</v>
      </c>
      <c r="N6306">
        <v>0</v>
      </c>
      <c r="O6306">
        <v>-3.6707450000000003E-2</v>
      </c>
      <c r="P6306">
        <v>0.988869</v>
      </c>
      <c r="Q6306">
        <v>0.13723299999999999</v>
      </c>
      <c r="R6306">
        <v>5.7493339999999997E-2</v>
      </c>
      <c r="S6306">
        <v>3.038116</v>
      </c>
      <c r="T6306">
        <v>-0.15963150000000001</v>
      </c>
      <c r="U6306">
        <v>0.30450440000000001</v>
      </c>
      <c r="V6306">
        <v>-9.3756530000000005E-2</v>
      </c>
      <c r="W6306">
        <v>0.14867749999999999</v>
      </c>
      <c r="X6306">
        <v>0.9844311</v>
      </c>
      <c r="Y6306">
        <v>-0.13595199999999999</v>
      </c>
      <c r="Z6306">
        <v>5.4835630000000003E-3</v>
      </c>
      <c r="AA6306">
        <v>0.99070020000000003</v>
      </c>
      <c r="AB6306">
        <v>33</v>
      </c>
      <c r="AC6306">
        <v>20.959399999999999</v>
      </c>
      <c r="AD6306">
        <v>-1.1100284719014</v>
      </c>
      <c r="AE6306">
        <v>2.12357</v>
      </c>
      <c r="AF6306">
        <v>-2.8835509438329998</v>
      </c>
      <c r="AG6306">
        <v>-1.1100284719014</v>
      </c>
      <c r="AH6306">
        <v>20.8095418102405</v>
      </c>
      <c r="AI6306">
        <v>93.024548736790607</v>
      </c>
      <c r="AJ6306">
        <v>97.889163061573399</v>
      </c>
      <c r="AK6306">
        <v>21.0376818971639</v>
      </c>
      <c r="AL6306">
        <v>81.449705939804204</v>
      </c>
      <c r="AM6306">
        <v>95.440400503920898</v>
      </c>
      <c r="AN6306">
        <v>0.99999993828554801</v>
      </c>
    </row>
    <row r="6307" spans="1:40" x14ac:dyDescent="0.25">
      <c r="A6307" t="str">
        <f>"20190312164149640"</f>
        <v>20190312164149640</v>
      </c>
      <c r="B6307" t="str">
        <f>"1552380109632805"</f>
        <v>1552380109632805</v>
      </c>
      <c r="C6307" t="s">
        <v>40</v>
      </c>
      <c r="D6307">
        <v>5.9667510000000004</v>
      </c>
      <c r="E6307">
        <v>0.48750490000000002</v>
      </c>
      <c r="F6307" t="s">
        <v>60</v>
      </c>
      <c r="G6307">
        <v>-213.1534</v>
      </c>
      <c r="H6307" s="1">
        <v>-3.5591779999999999E-7</v>
      </c>
      <c r="I6307">
        <v>-60.511789999999998</v>
      </c>
      <c r="J6307">
        <v>-234.2064</v>
      </c>
      <c r="K6307">
        <v>1.1100369999999999</v>
      </c>
      <c r="L6307">
        <v>-62.649140000000003</v>
      </c>
      <c r="M6307">
        <v>0.99926110000000001</v>
      </c>
      <c r="N6307">
        <v>0</v>
      </c>
      <c r="O6307">
        <v>-3.6656679999999997E-2</v>
      </c>
      <c r="P6307">
        <v>0.98879950000000005</v>
      </c>
      <c r="Q6307">
        <v>0.1375825</v>
      </c>
      <c r="R6307">
        <v>5.7850699999999998E-2</v>
      </c>
      <c r="S6307">
        <v>3.0380859999999998</v>
      </c>
      <c r="T6307">
        <v>-0.158885</v>
      </c>
      <c r="U6307">
        <v>0.30502319999999999</v>
      </c>
      <c r="V6307">
        <v>-9.4068269999999996E-2</v>
      </c>
      <c r="W6307">
        <v>0.1489685</v>
      </c>
      <c r="X6307">
        <v>0.98435740000000005</v>
      </c>
      <c r="Y6307">
        <v>-0.13607230000000001</v>
      </c>
      <c r="Z6307">
        <v>5.4584500000000001E-3</v>
      </c>
      <c r="AA6307">
        <v>0.99068389999999995</v>
      </c>
      <c r="AB6307">
        <v>33</v>
      </c>
      <c r="AC6307">
        <v>21.053000000000001</v>
      </c>
      <c r="AD6307">
        <v>-1.1100373559178001</v>
      </c>
      <c r="AE6307">
        <v>2.1373499999999899</v>
      </c>
      <c r="AF6307">
        <v>-2.8997189270049302</v>
      </c>
      <c r="AG6307">
        <v>-1.1100373559178001</v>
      </c>
      <c r="AH6307">
        <v>20.902977604620499</v>
      </c>
      <c r="AI6307">
        <v>93.011015073358806</v>
      </c>
      <c r="AJ6307">
        <v>97.897824633345394</v>
      </c>
      <c r="AK6307">
        <v>21.132321820529601</v>
      </c>
      <c r="AL6307">
        <v>81.432845394547996</v>
      </c>
      <c r="AM6307">
        <v>95.458786944176595</v>
      </c>
      <c r="AN6307">
        <v>0.99999997217390102</v>
      </c>
    </row>
    <row r="6308" spans="1:40" x14ac:dyDescent="0.25">
      <c r="A6308" t="str">
        <f>"20190312164149650"</f>
        <v>20190312164149650</v>
      </c>
      <c r="B6308" t="str">
        <f>"1552380109642565"</f>
        <v>1552380109642565</v>
      </c>
      <c r="C6308" t="s">
        <v>40</v>
      </c>
      <c r="D6308">
        <v>5.9129180000000003</v>
      </c>
      <c r="E6308">
        <v>0.48765819999999999</v>
      </c>
      <c r="F6308" t="s">
        <v>60</v>
      </c>
      <c r="G6308">
        <v>-212.8057</v>
      </c>
      <c r="H6308" s="1">
        <v>-2.0337900000000001E-7</v>
      </c>
      <c r="I6308">
        <v>-60.49915</v>
      </c>
      <c r="J6308">
        <v>-234.047</v>
      </c>
      <c r="K6308">
        <v>1.110053</v>
      </c>
      <c r="L6308">
        <v>-62.654969999999999</v>
      </c>
      <c r="M6308">
        <v>0.99926429999999999</v>
      </c>
      <c r="N6308">
        <v>0</v>
      </c>
      <c r="O6308">
        <v>-3.6585720000000002E-2</v>
      </c>
      <c r="P6308">
        <v>0.9887802</v>
      </c>
      <c r="Q6308">
        <v>0.13762940000000001</v>
      </c>
      <c r="R6308">
        <v>5.8068700000000001E-2</v>
      </c>
      <c r="S6308">
        <v>3.0380549999999999</v>
      </c>
      <c r="T6308">
        <v>-0.15758139999999901</v>
      </c>
      <c r="U6308">
        <v>0.30520629999999999</v>
      </c>
      <c r="V6308">
        <v>-9.4223799999999996E-2</v>
      </c>
      <c r="W6308">
        <v>0.14895659999999999</v>
      </c>
      <c r="X6308">
        <v>0.98434440000000001</v>
      </c>
      <c r="Y6308">
        <v>-0.13606589999999999</v>
      </c>
      <c r="Z6308">
        <v>5.4099300000000003E-3</v>
      </c>
      <c r="AA6308">
        <v>0.99068500000000004</v>
      </c>
      <c r="AB6308">
        <v>33</v>
      </c>
      <c r="AC6308">
        <v>21.241299999999899</v>
      </c>
      <c r="AD6308">
        <v>-1.110053203379</v>
      </c>
      <c r="AE6308">
        <v>2.1558199999999901</v>
      </c>
      <c r="AF6308">
        <v>-2.9236530533206802</v>
      </c>
      <c r="AG6308">
        <v>-1.110053203379</v>
      </c>
      <c r="AH6308">
        <v>21.091186760842699</v>
      </c>
      <c r="AI6308">
        <v>92.984279103414806</v>
      </c>
      <c r="AJ6308">
        <v>97.892028175774101</v>
      </c>
      <c r="AK6308">
        <v>21.3217758235863</v>
      </c>
      <c r="AL6308">
        <v>81.4335355401372</v>
      </c>
      <c r="AM6308">
        <v>95.467829480854604</v>
      </c>
      <c r="AN6308">
        <v>1.0000000454906699</v>
      </c>
    </row>
    <row r="6309" spans="1:40" x14ac:dyDescent="0.25">
      <c r="A6309" t="str">
        <f>"20190312164149662"</f>
        <v>20190312164149662</v>
      </c>
      <c r="B6309" t="str">
        <f>"1552380109652325"</f>
        <v>1552380109652325</v>
      </c>
      <c r="C6309" t="s">
        <v>40</v>
      </c>
      <c r="D6309">
        <v>5.971838</v>
      </c>
      <c r="E6309">
        <v>0.48782130000000001</v>
      </c>
      <c r="F6309" t="s">
        <v>60</v>
      </c>
      <c r="G6309">
        <v>-212.62909999999999</v>
      </c>
      <c r="H6309" s="1">
        <v>-1.2964310000000001E-7</v>
      </c>
      <c r="I6309">
        <v>-60.506700000000002</v>
      </c>
      <c r="J6309">
        <v>-233.88640000000001</v>
      </c>
      <c r="K6309">
        <v>1.1100719999999999</v>
      </c>
      <c r="L6309">
        <v>-62.6607699999999</v>
      </c>
      <c r="M6309">
        <v>0.99926800000000005</v>
      </c>
      <c r="N6309">
        <v>0</v>
      </c>
      <c r="O6309">
        <v>-3.6503420000000002E-2</v>
      </c>
      <c r="P6309">
        <v>0.98873889999999998</v>
      </c>
      <c r="Q6309">
        <v>0.13798529999999901</v>
      </c>
      <c r="R6309">
        <v>5.7926610000000003E-2</v>
      </c>
      <c r="S6309">
        <v>3.038071</v>
      </c>
      <c r="T6309">
        <v>-0.15745789999999901</v>
      </c>
      <c r="U6309">
        <v>0.30471799999999999</v>
      </c>
      <c r="V6309">
        <v>-9.4008330000000001E-2</v>
      </c>
      <c r="W6309">
        <v>0.14925279999999999</v>
      </c>
      <c r="X6309">
        <v>0.98432010000000003</v>
      </c>
      <c r="Y6309">
        <v>-0.135827</v>
      </c>
      <c r="Z6309">
        <v>5.3952829999999998E-3</v>
      </c>
      <c r="AA6309">
        <v>0.99071790000000004</v>
      </c>
      <c r="AB6309">
        <v>33</v>
      </c>
      <c r="AC6309">
        <v>21.257300000000001</v>
      </c>
      <c r="AD6309">
        <v>-1.1100721296431</v>
      </c>
      <c r="AE6309">
        <v>2.1540699999999799</v>
      </c>
      <c r="AF6309">
        <v>-2.9207651616524499</v>
      </c>
      <c r="AG6309">
        <v>-1.1100721296431</v>
      </c>
      <c r="AH6309">
        <v>21.107519379259301</v>
      </c>
      <c r="AI6309">
        <v>92.982123573327797</v>
      </c>
      <c r="AJ6309">
        <v>97.878306649041704</v>
      </c>
      <c r="AK6309">
        <v>21.3375374307426</v>
      </c>
      <c r="AL6309">
        <v>81.416372383373499</v>
      </c>
      <c r="AM6309">
        <v>95.455535091264807</v>
      </c>
      <c r="AN6309">
        <v>1.00000001184061</v>
      </c>
    </row>
    <row r="6310" spans="1:40" x14ac:dyDescent="0.25">
      <c r="A6310" t="str">
        <f>"20190312164149672"</f>
        <v>20190312164149672</v>
      </c>
      <c r="B6310" t="str">
        <f>"1552380109662086"</f>
        <v>1552380109662086</v>
      </c>
      <c r="C6310" t="s">
        <v>40</v>
      </c>
      <c r="D6310">
        <v>5.9130890000000003</v>
      </c>
      <c r="E6310">
        <v>0.48796479999999998</v>
      </c>
      <c r="F6310" t="s">
        <v>60</v>
      </c>
      <c r="G6310">
        <v>-212.29089999999999</v>
      </c>
      <c r="H6310" s="1">
        <v>1.5439470000000001E-8</v>
      </c>
      <c r="I6310">
        <v>-60.506720000000001</v>
      </c>
      <c r="J6310">
        <v>-233.7261</v>
      </c>
      <c r="K6310">
        <v>1.1100890000000001</v>
      </c>
      <c r="L6310">
        <v>-62.666559999999997</v>
      </c>
      <c r="M6310">
        <v>0.9992723</v>
      </c>
      <c r="N6310">
        <v>0</v>
      </c>
      <c r="O6310">
        <v>-3.640297E-2</v>
      </c>
      <c r="P6310">
        <v>0.98867430000000001</v>
      </c>
      <c r="Q6310">
        <v>0.13832610000000001</v>
      </c>
      <c r="R6310">
        <v>5.8217959999999999E-2</v>
      </c>
      <c r="S6310">
        <v>3.0382229999999999</v>
      </c>
      <c r="T6310">
        <v>-0.15617329999999999</v>
      </c>
      <c r="U6310">
        <v>0.30303960000000002</v>
      </c>
      <c r="V6310">
        <v>-9.4208490000000006E-2</v>
      </c>
      <c r="W6310">
        <v>0.14953239999999901</v>
      </c>
      <c r="X6310">
        <v>0.98425850000000004</v>
      </c>
      <c r="Y6310">
        <v>-0.13518520000000001</v>
      </c>
      <c r="Z6310">
        <v>5.3296039999999999E-3</v>
      </c>
      <c r="AA6310">
        <v>0.99080599999999996</v>
      </c>
      <c r="AB6310">
        <v>33</v>
      </c>
      <c r="AC6310">
        <v>21.435199999999998</v>
      </c>
      <c r="AD6310">
        <v>-1.11008898456053</v>
      </c>
      <c r="AE6310">
        <v>2.15984</v>
      </c>
      <c r="AF6310">
        <v>-2.9309818873684601</v>
      </c>
      <c r="AG6310">
        <v>-1.11008898456053</v>
      </c>
      <c r="AH6310">
        <v>21.285845972209501</v>
      </c>
      <c r="AI6310">
        <v>92.957501201148006</v>
      </c>
      <c r="AJ6310">
        <v>97.8401137706893</v>
      </c>
      <c r="AK6310">
        <v>21.515347804075901</v>
      </c>
      <c r="AL6310">
        <v>81.400170447910298</v>
      </c>
      <c r="AM6310">
        <v>95.467420651256205</v>
      </c>
      <c r="AN6310">
        <v>0.99999998653004496</v>
      </c>
    </row>
    <row r="6311" spans="1:40" x14ac:dyDescent="0.25">
      <c r="A6311" t="str">
        <f>"20190312164149685"</f>
        <v>20190312164149685</v>
      </c>
      <c r="B6311" t="str">
        <f>"1552380109672821"</f>
        <v>1552380109672821</v>
      </c>
      <c r="C6311" t="s">
        <v>40</v>
      </c>
      <c r="D6311">
        <v>5.9044600000000003</v>
      </c>
      <c r="E6311">
        <v>0.48812450000000002</v>
      </c>
      <c r="F6311" t="s">
        <v>60</v>
      </c>
      <c r="G6311">
        <v>-211.98140000000001</v>
      </c>
      <c r="H6311" s="1">
        <v>1.500401E-7</v>
      </c>
      <c r="I6311">
        <v>-60.499830000000003</v>
      </c>
      <c r="J6311">
        <v>-233.5583</v>
      </c>
      <c r="K6311">
        <v>1.1101110000000001</v>
      </c>
      <c r="L6311">
        <v>-62.672550000000001</v>
      </c>
      <c r="M6311">
        <v>0.99927739999999998</v>
      </c>
      <c r="N6311">
        <v>0</v>
      </c>
      <c r="O6311">
        <v>-3.6276469999999998E-2</v>
      </c>
      <c r="P6311">
        <v>0.98868579999999995</v>
      </c>
      <c r="Q6311">
        <v>0.138238</v>
      </c>
      <c r="R6311">
        <v>5.822741E-2</v>
      </c>
      <c r="S6311">
        <v>3.0382389999999999</v>
      </c>
      <c r="T6311">
        <v>-0.15510479999999999</v>
      </c>
      <c r="U6311">
        <v>0.30273440000000001</v>
      </c>
      <c r="V6311">
        <v>-9.4104599999999997E-2</v>
      </c>
      <c r="W6311">
        <v>0.14938100000000001</v>
      </c>
      <c r="X6311">
        <v>0.98429140000000004</v>
      </c>
      <c r="Y6311">
        <v>-0.13496420000000001</v>
      </c>
      <c r="Z6311">
        <v>5.2811169999999897E-3</v>
      </c>
      <c r="AA6311">
        <v>0.99083639999999995</v>
      </c>
      <c r="AB6311">
        <v>33</v>
      </c>
      <c r="AC6311">
        <v>21.576899999999899</v>
      </c>
      <c r="AD6311">
        <v>-1.1101108499598999</v>
      </c>
      <c r="AE6311">
        <v>2.1727199999999902</v>
      </c>
      <c r="AF6311">
        <v>-2.9463531303712598</v>
      </c>
      <c r="AG6311">
        <v>-1.1101108499598999</v>
      </c>
      <c r="AH6311">
        <v>21.4277224861994</v>
      </c>
      <c r="AI6311">
        <v>92.938088260543793</v>
      </c>
      <c r="AJ6311">
        <v>97.829184863220107</v>
      </c>
      <c r="AK6311">
        <v>21.657807687151099</v>
      </c>
      <c r="AL6311">
        <v>81.408943332438099</v>
      </c>
      <c r="AM6311">
        <v>95.461246390686298</v>
      </c>
      <c r="AN6311">
        <v>0.99999995950805898</v>
      </c>
    </row>
    <row r="6312" spans="1:40" x14ac:dyDescent="0.25">
      <c r="A6312" t="str">
        <f>"20190312164149693"</f>
        <v>20190312164149693</v>
      </c>
      <c r="B6312" t="str">
        <f>"1552380109682112"</f>
        <v>1552380109682112</v>
      </c>
      <c r="C6312" t="s">
        <v>40</v>
      </c>
      <c r="D6312">
        <v>5.8594879999999998</v>
      </c>
      <c r="E6312">
        <v>0.48830050000000003</v>
      </c>
      <c r="F6312" t="s">
        <v>60</v>
      </c>
      <c r="G6312">
        <v>-211.83510000000001</v>
      </c>
      <c r="H6312" s="1">
        <v>2.084431E-7</v>
      </c>
      <c r="I6312">
        <v>-60.516280000000002</v>
      </c>
      <c r="J6312">
        <v>-233.42169999999999</v>
      </c>
      <c r="K6312">
        <v>1.110131</v>
      </c>
      <c r="L6312">
        <v>-62.677430000000001</v>
      </c>
      <c r="M6312">
        <v>0.99928220000000001</v>
      </c>
      <c r="N6312">
        <v>0</v>
      </c>
      <c r="O6312">
        <v>-3.6160829999999998E-2</v>
      </c>
      <c r="P6312">
        <v>0.98866209999999999</v>
      </c>
      <c r="Q6312">
        <v>0.13830479999999901</v>
      </c>
      <c r="R6312">
        <v>5.8474129999999999E-2</v>
      </c>
      <c r="S6312">
        <v>3.038284</v>
      </c>
      <c r="T6312">
        <v>-0.15526400000000001</v>
      </c>
      <c r="U6312">
        <v>0.30157469999999997</v>
      </c>
      <c r="V6312">
        <v>-9.42466E-2</v>
      </c>
      <c r="W6312">
        <v>0.14939559999999999</v>
      </c>
      <c r="X6312">
        <v>0.98427560000000003</v>
      </c>
      <c r="Y6312">
        <v>-0.13447390000000001</v>
      </c>
      <c r="Z6312">
        <v>5.2681669999999998E-3</v>
      </c>
      <c r="AA6312">
        <v>0.99090310000000004</v>
      </c>
      <c r="AB6312">
        <v>33</v>
      </c>
      <c r="AC6312">
        <v>21.586599999999901</v>
      </c>
      <c r="AD6312">
        <v>-1.1101307915568901</v>
      </c>
      <c r="AE6312">
        <v>2.1611500000000001</v>
      </c>
      <c r="AF6312">
        <v>-2.93269633024169</v>
      </c>
      <c r="AG6312">
        <v>-1.1101307915568901</v>
      </c>
      <c r="AH6312">
        <v>21.438190866568601</v>
      </c>
      <c r="AI6312">
        <v>92.936986658253105</v>
      </c>
      <c r="AJ6312">
        <v>97.789583554226198</v>
      </c>
      <c r="AK6312">
        <v>21.666313155938699</v>
      </c>
      <c r="AL6312">
        <v>81.408097340720005</v>
      </c>
      <c r="AM6312">
        <v>95.469524519127901</v>
      </c>
      <c r="AN6312">
        <v>0.999999961833139</v>
      </c>
    </row>
    <row r="6313" spans="1:40" x14ac:dyDescent="0.25">
      <c r="A6313" t="str">
        <f>"20190312164149704"</f>
        <v>20190312164149704</v>
      </c>
      <c r="B6313" t="str">
        <f>"1552380109692848"</f>
        <v>1552380109692848</v>
      </c>
      <c r="C6313" t="s">
        <v>40</v>
      </c>
      <c r="D6313">
        <v>5.9219369999999998</v>
      </c>
      <c r="E6313">
        <v>0.48830050000000003</v>
      </c>
      <c r="F6313" t="s">
        <v>60</v>
      </c>
      <c r="G6313">
        <v>-211.65430000000001</v>
      </c>
      <c r="H6313" s="1">
        <v>2.8440389999999999E-7</v>
      </c>
      <c r="I6313">
        <v>-60.52223</v>
      </c>
      <c r="J6313">
        <v>-233.26750000000001</v>
      </c>
      <c r="K6313">
        <v>1.1101529999999999</v>
      </c>
      <c r="L6313">
        <v>-62.682859999999998</v>
      </c>
      <c r="M6313">
        <v>0.99928839999999997</v>
      </c>
      <c r="N6313">
        <v>0</v>
      </c>
      <c r="O6313">
        <v>-3.600648E-2</v>
      </c>
      <c r="P6313">
        <v>0.98869379999999996</v>
      </c>
      <c r="Q6313">
        <v>0.13799939999999999</v>
      </c>
      <c r="R6313">
        <v>5.8659139999999999E-2</v>
      </c>
      <c r="S6313">
        <v>3.0382690000000001</v>
      </c>
      <c r="T6313">
        <v>-0.15495049999999999</v>
      </c>
      <c r="U6313">
        <v>0.30081180000000002</v>
      </c>
      <c r="V6313">
        <v>-9.4291719999999996E-2</v>
      </c>
      <c r="W6313">
        <v>0.14903159999999999</v>
      </c>
      <c r="X6313">
        <v>0.98432649999999999</v>
      </c>
      <c r="Y6313">
        <v>-0.13407649999999999</v>
      </c>
      <c r="Z6313">
        <v>5.2396760000000004E-3</v>
      </c>
      <c r="AA6313">
        <v>0.99095710000000004</v>
      </c>
      <c r="AB6313">
        <v>33</v>
      </c>
      <c r="AC6313">
        <v>21.613199999999999</v>
      </c>
      <c r="AD6313">
        <v>-1.1101527155961</v>
      </c>
      <c r="AE6313">
        <v>2.1606299999999901</v>
      </c>
      <c r="AF6313">
        <v>-2.9298397834040002</v>
      </c>
      <c r="AG6313">
        <v>-1.1101527155961</v>
      </c>
      <c r="AH6313">
        <v>21.465309725906199</v>
      </c>
      <c r="AI6313">
        <v>92.933460597732903</v>
      </c>
      <c r="AJ6313">
        <v>97.772377751512096</v>
      </c>
      <c r="AK6313">
        <v>21.692761968856001</v>
      </c>
      <c r="AL6313">
        <v>81.429189478818898</v>
      </c>
      <c r="AM6313">
        <v>95.471845882261704</v>
      </c>
      <c r="AN6313">
        <v>1.0000000024306801</v>
      </c>
    </row>
    <row r="6314" spans="1:40" x14ac:dyDescent="0.25">
      <c r="A6314" t="str">
        <f>"20190312164149716"</f>
        <v>20190312164149716</v>
      </c>
      <c r="B6314" t="str">
        <f>"1552380109712369"</f>
        <v>1552380109712369</v>
      </c>
      <c r="C6314" t="s">
        <v>40</v>
      </c>
      <c r="D6314">
        <v>5.9797359999999999</v>
      </c>
      <c r="E6314">
        <v>0.50585329999999995</v>
      </c>
      <c r="F6314" t="s">
        <v>60</v>
      </c>
      <c r="G6314">
        <v>-211.63980000000001</v>
      </c>
      <c r="H6314" s="1">
        <v>2.861298E-7</v>
      </c>
      <c r="I6314">
        <v>-60.539070000000002</v>
      </c>
      <c r="J6314">
        <v>-233.0986</v>
      </c>
      <c r="K6314">
        <v>1.1101780000000001</v>
      </c>
      <c r="L6314">
        <v>-62.688809999999997</v>
      </c>
      <c r="M6314">
        <v>0.99929579999999996</v>
      </c>
      <c r="N6314">
        <v>0</v>
      </c>
      <c r="O6314">
        <v>-3.5820820000000003E-2</v>
      </c>
      <c r="P6314">
        <v>0.98874919999999999</v>
      </c>
      <c r="Q6314">
        <v>0.1374455</v>
      </c>
      <c r="R6314">
        <v>5.9026509999999997E-2</v>
      </c>
      <c r="S6314">
        <v>3.038208</v>
      </c>
      <c r="T6314">
        <v>-0.15595209999999901</v>
      </c>
      <c r="U6314">
        <v>0.30114750000000001</v>
      </c>
      <c r="V6314">
        <v>-9.4490710000000006E-2</v>
      </c>
      <c r="W6314">
        <v>0.1484125</v>
      </c>
      <c r="X6314">
        <v>0.98440090000000002</v>
      </c>
      <c r="Y6314">
        <v>-0.13400020000000001</v>
      </c>
      <c r="Z6314">
        <v>5.2621219999999897E-3</v>
      </c>
      <c r="AA6314">
        <v>0.9909673</v>
      </c>
      <c r="AB6314">
        <v>33</v>
      </c>
      <c r="AC6314">
        <v>21.4588</v>
      </c>
      <c r="AD6314">
        <v>-1.11017771387019</v>
      </c>
      <c r="AE6314">
        <v>2.14974</v>
      </c>
      <c r="AF6314">
        <v>-2.9093702785001798</v>
      </c>
      <c r="AG6314">
        <v>-1.11017771387019</v>
      </c>
      <c r="AH6314">
        <v>21.311541910672901</v>
      </c>
      <c r="AI6314">
        <v>92.954645637619706</v>
      </c>
      <c r="AJ6314">
        <v>97.773746359537597</v>
      </c>
      <c r="AK6314">
        <v>21.5378445668122</v>
      </c>
      <c r="AL6314">
        <v>81.465059747012106</v>
      </c>
      <c r="AM6314">
        <v>95.482911272819607</v>
      </c>
      <c r="AN6314">
        <v>0.99999994817668003</v>
      </c>
    </row>
    <row r="6315" spans="1:40" x14ac:dyDescent="0.25">
      <c r="A6315" t="str">
        <f>"20190312164149727"</f>
        <v>20190312164149727</v>
      </c>
      <c r="B6315" t="str">
        <f>"1552380109722144"</f>
        <v>1552380109722144</v>
      </c>
      <c r="C6315" t="s">
        <v>40</v>
      </c>
      <c r="D6315">
        <v>6.0146470000000001</v>
      </c>
      <c r="E6315">
        <v>0.50585329999999995</v>
      </c>
      <c r="F6315" t="s">
        <v>60</v>
      </c>
      <c r="G6315">
        <v>-210.755</v>
      </c>
      <c r="H6315" s="1">
        <v>4.1013209999999998E-7</v>
      </c>
      <c r="I6315">
        <v>-61.499650000000003</v>
      </c>
      <c r="J6315">
        <v>-232.92699999999999</v>
      </c>
      <c r="K6315">
        <v>1.110204</v>
      </c>
      <c r="L6315">
        <v>-62.694760000000002</v>
      </c>
      <c r="M6315">
        <v>0.99930439999999998</v>
      </c>
      <c r="N6315">
        <v>0</v>
      </c>
      <c r="O6315">
        <v>-3.5594479999999998E-2</v>
      </c>
      <c r="P6315">
        <v>0.98877400000000004</v>
      </c>
      <c r="Q6315">
        <v>0.13707230000000001</v>
      </c>
      <c r="R6315">
        <v>5.9475729999999997E-2</v>
      </c>
      <c r="S6315">
        <v>3.0455169999999998</v>
      </c>
      <c r="T6315">
        <v>-0.15132089999999901</v>
      </c>
      <c r="U6315">
        <v>0.1620789</v>
      </c>
      <c r="V6315">
        <v>-9.4730780000000001E-2</v>
      </c>
      <c r="W6315">
        <v>0.14797299999999999</v>
      </c>
      <c r="X6315">
        <v>0.98444399999999999</v>
      </c>
      <c r="Y6315">
        <v>-8.8503609999999996E-2</v>
      </c>
      <c r="Z6315">
        <v>3.9622820000000001E-3</v>
      </c>
      <c r="AA6315">
        <v>0.99606799999999995</v>
      </c>
      <c r="AB6315">
        <v>33</v>
      </c>
      <c r="AC6315">
        <v>22.172000000000001</v>
      </c>
      <c r="AD6315">
        <v>-1.1102035898678999</v>
      </c>
      <c r="AE6315">
        <v>1.1951099999999899</v>
      </c>
      <c r="AF6315">
        <v>-1.9786556421089601</v>
      </c>
      <c r="AG6315">
        <v>-1.1102035898678999</v>
      </c>
      <c r="AH6315">
        <v>22.060256187724601</v>
      </c>
      <c r="AI6315">
        <v>92.869534497650704</v>
      </c>
      <c r="AJ6315">
        <v>95.125328707129697</v>
      </c>
      <c r="AK6315">
        <v>22.176621321315999</v>
      </c>
      <c r="AL6315">
        <v>81.490522484623796</v>
      </c>
      <c r="AM6315">
        <v>95.496517167481102</v>
      </c>
      <c r="AN6315">
        <v>0.99999995927220298</v>
      </c>
    </row>
    <row r="6316" spans="1:40" x14ac:dyDescent="0.25">
      <c r="A6316" t="str">
        <f>"20190312164149738"</f>
        <v>20190312164149738</v>
      </c>
      <c r="B6316" t="str">
        <f>"1552380109732864"</f>
        <v>1552380109732864</v>
      </c>
      <c r="C6316" t="s">
        <v>40</v>
      </c>
      <c r="D6316">
        <v>5.9770240000000001</v>
      </c>
      <c r="E6316">
        <v>0.50638749999999999</v>
      </c>
      <c r="F6316" t="s">
        <v>60</v>
      </c>
      <c r="G6316">
        <v>-210.75210000000001</v>
      </c>
      <c r="H6316" s="1">
        <v>4.09609E-7</v>
      </c>
      <c r="I6316">
        <v>-61.506309999999999</v>
      </c>
      <c r="J6316">
        <v>-232.76400000000001</v>
      </c>
      <c r="K6316">
        <v>1.1102299999999901</v>
      </c>
      <c r="L6316">
        <v>-62.700380000000003</v>
      </c>
      <c r="M6316">
        <v>0.99931309999999995</v>
      </c>
      <c r="N6316">
        <v>0</v>
      </c>
      <c r="O6316">
        <v>-3.536914E-2</v>
      </c>
      <c r="P6316">
        <v>0.98883390000000004</v>
      </c>
      <c r="Q6316">
        <v>0.13653589999999999</v>
      </c>
      <c r="R6316">
        <v>5.9713019999999999E-2</v>
      </c>
      <c r="S6316">
        <v>3.0453640000000002</v>
      </c>
      <c r="T6316">
        <v>-0.15246860000000001</v>
      </c>
      <c r="U6316">
        <v>0.16320799999999999</v>
      </c>
      <c r="V6316">
        <v>-9.4760479999999994E-2</v>
      </c>
      <c r="W6316">
        <v>0.14737310000000001</v>
      </c>
      <c r="X6316">
        <v>0.98453120000000005</v>
      </c>
      <c r="Y6316">
        <v>-8.8647660000000003E-2</v>
      </c>
      <c r="Z6316">
        <v>3.9847900000000002E-3</v>
      </c>
      <c r="AA6316">
        <v>0.99605509999999997</v>
      </c>
      <c r="AB6316">
        <v>33</v>
      </c>
      <c r="AC6316">
        <v>22.011900000000001</v>
      </c>
      <c r="AD6316">
        <v>-1.11022959039099</v>
      </c>
      <c r="AE6316">
        <v>1.19407</v>
      </c>
      <c r="AF6316">
        <v>-1.9669233077873001</v>
      </c>
      <c r="AG6316">
        <v>-1.11022959039099</v>
      </c>
      <c r="AH6316">
        <v>21.900339858145301</v>
      </c>
      <c r="AI6316">
        <v>92.890489387504402</v>
      </c>
      <c r="AJ6316">
        <v>95.132105233431403</v>
      </c>
      <c r="AK6316">
        <v>22.016500242871601</v>
      </c>
      <c r="AL6316">
        <v>81.525275862309599</v>
      </c>
      <c r="AM6316">
        <v>95.497745882687994</v>
      </c>
      <c r="AN6316">
        <v>1.0000000314734301</v>
      </c>
    </row>
    <row r="6317" spans="1:40" x14ac:dyDescent="0.25">
      <c r="A6317" t="str">
        <f>"20190312164149749"</f>
        <v>20190312164149749</v>
      </c>
      <c r="B6317" t="str">
        <f>"1552380109742625"</f>
        <v>1552380109742625</v>
      </c>
      <c r="C6317" t="s">
        <v>40</v>
      </c>
      <c r="D6317">
        <v>6.0909360000000001</v>
      </c>
      <c r="E6317">
        <v>0.50618589999999997</v>
      </c>
      <c r="F6317" t="s">
        <v>60</v>
      </c>
      <c r="G6317">
        <v>-211.1841</v>
      </c>
      <c r="H6317" s="1">
        <v>2.0788259999999999E-7</v>
      </c>
      <c r="I6317">
        <v>-61.567990000000002</v>
      </c>
      <c r="J6317">
        <v>-232.60429999999999</v>
      </c>
      <c r="K6317">
        <v>1.110258</v>
      </c>
      <c r="L6317">
        <v>-62.70581</v>
      </c>
      <c r="M6317">
        <v>0.99932279999999996</v>
      </c>
      <c r="N6317">
        <v>0</v>
      </c>
      <c r="O6317">
        <v>-3.5111169999999997E-2</v>
      </c>
      <c r="P6317">
        <v>0.98889629999999995</v>
      </c>
      <c r="Q6317">
        <v>0.13595670000000001</v>
      </c>
      <c r="R6317">
        <v>6.0003809999999998E-2</v>
      </c>
      <c r="S6317">
        <v>3.045868</v>
      </c>
      <c r="T6317">
        <v>-0.15670139999999999</v>
      </c>
      <c r="U6317">
        <v>0.15982060000000001</v>
      </c>
      <c r="V6317">
        <v>-9.4811400000000004E-2</v>
      </c>
      <c r="W6317">
        <v>0.14673220000000001</v>
      </c>
      <c r="X6317">
        <v>0.984622</v>
      </c>
      <c r="Y6317">
        <v>-8.7270449999999999E-2</v>
      </c>
      <c r="Z6317">
        <v>4.0460749999999997E-3</v>
      </c>
      <c r="AA6317">
        <v>0.99617639999999996</v>
      </c>
      <c r="AB6317">
        <v>33</v>
      </c>
      <c r="AC6317">
        <v>21.420199999999902</v>
      </c>
      <c r="AD6317">
        <v>-1.1102577921173999</v>
      </c>
      <c r="AE6317">
        <v>1.1378199999999901</v>
      </c>
      <c r="AF6317">
        <v>-1.8842043617262301</v>
      </c>
      <c r="AG6317">
        <v>-1.1102577921173999</v>
      </c>
      <c r="AH6317">
        <v>21.309948460736798</v>
      </c>
      <c r="AI6317">
        <v>92.9708694621267</v>
      </c>
      <c r="AJ6317">
        <v>95.052895236142405</v>
      </c>
      <c r="AK6317">
        <v>21.421876711459301</v>
      </c>
      <c r="AL6317">
        <v>81.562400149389305</v>
      </c>
      <c r="AM6317">
        <v>95.500177856570403</v>
      </c>
      <c r="AN6317">
        <v>1.0000000114854</v>
      </c>
    </row>
    <row r="6318" spans="1:40" x14ac:dyDescent="0.25">
      <c r="A6318" t="str">
        <f>"20190312164149761"</f>
        <v>20190312164149761</v>
      </c>
      <c r="B6318" t="str">
        <f>"1552380109752385"</f>
        <v>1552380109752385</v>
      </c>
      <c r="C6318" t="s">
        <v>40</v>
      </c>
      <c r="D6318">
        <v>6.0769549999999999</v>
      </c>
      <c r="E6318">
        <v>0.50596569999999996</v>
      </c>
      <c r="F6318" t="s">
        <v>60</v>
      </c>
      <c r="G6318">
        <v>-211.49039999999999</v>
      </c>
      <c r="H6318" s="1">
        <v>7.3506210000000004E-8</v>
      </c>
      <c r="I6318">
        <v>-61.579039999999999</v>
      </c>
      <c r="J6318">
        <v>-232.44059999999999</v>
      </c>
      <c r="K6318">
        <v>1.110284</v>
      </c>
      <c r="L6318">
        <v>-62.711300000000001</v>
      </c>
      <c r="M6318">
        <v>0.99933300000000003</v>
      </c>
      <c r="N6318">
        <v>0</v>
      </c>
      <c r="O6318">
        <v>-3.4836989999999998E-2</v>
      </c>
      <c r="P6318">
        <v>0.98890679999999997</v>
      </c>
      <c r="Q6318">
        <v>0.13561019999999999</v>
      </c>
      <c r="R6318">
        <v>6.0608120000000001E-2</v>
      </c>
      <c r="S6318">
        <v>3.0458370000000001</v>
      </c>
      <c r="T6318">
        <v>-0.16016320000000001</v>
      </c>
      <c r="U6318">
        <v>0.1625366</v>
      </c>
      <c r="V6318">
        <v>-9.5157649999999996E-2</v>
      </c>
      <c r="W6318">
        <v>0.146320799999999</v>
      </c>
      <c r="X6318">
        <v>0.98464980000000002</v>
      </c>
      <c r="Y6318">
        <v>-8.7875809999999999E-2</v>
      </c>
      <c r="Z6318">
        <v>4.1367820000000003E-3</v>
      </c>
      <c r="AA6318">
        <v>0.99612279999999997</v>
      </c>
      <c r="AB6318">
        <v>33</v>
      </c>
      <c r="AC6318">
        <v>20.950199999999899</v>
      </c>
      <c r="AD6318">
        <v>-1.11028392649379</v>
      </c>
      <c r="AE6318">
        <v>1.13226</v>
      </c>
      <c r="AF6318">
        <v>-1.85625999431745</v>
      </c>
      <c r="AG6318">
        <v>-1.11028392649379</v>
      </c>
      <c r="AH6318">
        <v>20.839674872340701</v>
      </c>
      <c r="AI6318">
        <v>93.037683366723599</v>
      </c>
      <c r="AJ6318">
        <v>95.090094609053907</v>
      </c>
      <c r="AK6318">
        <v>20.9516223798732</v>
      </c>
      <c r="AL6318">
        <v>81.586228654692107</v>
      </c>
      <c r="AM6318">
        <v>95.519985699393203</v>
      </c>
      <c r="AN6318">
        <v>0.99999999175310095</v>
      </c>
    </row>
    <row r="6319" spans="1:40" x14ac:dyDescent="0.25">
      <c r="A6319" t="str">
        <f>"20190312164149770"</f>
        <v>20190312164149770</v>
      </c>
      <c r="B6319" t="str">
        <f>"1552380109762145"</f>
        <v>1552380109762145</v>
      </c>
      <c r="C6319" t="s">
        <v>40</v>
      </c>
      <c r="D6319">
        <v>5.9179810000000002</v>
      </c>
      <c r="E6319">
        <v>0.50674960000000002</v>
      </c>
      <c r="F6319" t="s">
        <v>60</v>
      </c>
      <c r="G6319">
        <v>-211.30430000000001</v>
      </c>
      <c r="H6319" s="1">
        <v>1.5870270000000001E-7</v>
      </c>
      <c r="I6319">
        <v>-61.55903</v>
      </c>
      <c r="J6319">
        <v>-232.2835</v>
      </c>
      <c r="K6319">
        <v>1.1103069999999999</v>
      </c>
      <c r="L6319">
        <v>-62.716549999999998</v>
      </c>
      <c r="M6319">
        <v>0.99934350000000005</v>
      </c>
      <c r="N6319">
        <v>0</v>
      </c>
      <c r="O6319">
        <v>-3.4548799999999998E-2</v>
      </c>
      <c r="P6319">
        <v>0.98888330000000002</v>
      </c>
      <c r="Q6319">
        <v>0.13559170000000001</v>
      </c>
      <c r="R6319">
        <v>6.1030630000000002E-2</v>
      </c>
      <c r="S6319">
        <v>3.04541</v>
      </c>
      <c r="T6319">
        <v>-0.15997410000000001</v>
      </c>
      <c r="U6319">
        <v>0.16601560000000001</v>
      </c>
      <c r="V6319">
        <v>-9.5306660000000001E-2</v>
      </c>
      <c r="W6319">
        <v>0.1462406</v>
      </c>
      <c r="X6319">
        <v>0.9846473</v>
      </c>
      <c r="Y6319">
        <v>-8.8730160000000002E-2</v>
      </c>
      <c r="Z6319">
        <v>4.1396530000000001E-3</v>
      </c>
      <c r="AA6319">
        <v>0.99604709999999996</v>
      </c>
      <c r="AB6319">
        <v>33</v>
      </c>
      <c r="AC6319">
        <v>20.979199999999899</v>
      </c>
      <c r="AD6319">
        <v>-1.1103068412972901</v>
      </c>
      <c r="AE6319">
        <v>1.1575199999999899</v>
      </c>
      <c r="AF6319">
        <v>-1.8764382960989101</v>
      </c>
      <c r="AG6319">
        <v>-1.1103068412972901</v>
      </c>
      <c r="AH6319">
        <v>20.868406530767899</v>
      </c>
      <c r="AI6319">
        <v>93.033344422604401</v>
      </c>
      <c r="AJ6319">
        <v>95.1380847308114</v>
      </c>
      <c r="AK6319">
        <v>20.981996880523401</v>
      </c>
      <c r="AL6319">
        <v>81.590873719258397</v>
      </c>
      <c r="AM6319">
        <v>95.528590035449795</v>
      </c>
      <c r="AN6319">
        <v>0.99999998896300202</v>
      </c>
    </row>
    <row r="6320" spans="1:40" x14ac:dyDescent="0.25">
      <c r="A6320" t="str">
        <f>"20190312164149783"</f>
        <v>20190312164149783</v>
      </c>
      <c r="B6320" t="str">
        <f>"1552380109772881"</f>
        <v>1552380109772881</v>
      </c>
      <c r="C6320" t="s">
        <v>40</v>
      </c>
      <c r="D6320">
        <v>5.9515000000000002</v>
      </c>
      <c r="E6320">
        <v>0.50674960000000002</v>
      </c>
      <c r="F6320" t="s">
        <v>60</v>
      </c>
      <c r="G6320">
        <v>-211.95650000000001</v>
      </c>
      <c r="H6320" s="1">
        <v>-1.426794E-7</v>
      </c>
      <c r="I6320">
        <v>-61.640189999999997</v>
      </c>
      <c r="J6320">
        <v>-232.11750000000001</v>
      </c>
      <c r="K6320">
        <v>1.110331</v>
      </c>
      <c r="L6320">
        <v>-62.722019999999901</v>
      </c>
      <c r="M6320">
        <v>0.9993552</v>
      </c>
      <c r="N6320">
        <v>0</v>
      </c>
      <c r="O6320">
        <v>-3.4229599999999999E-2</v>
      </c>
      <c r="P6320">
        <v>0.9888825</v>
      </c>
      <c r="Q6320">
        <v>0.13544919999999999</v>
      </c>
      <c r="R6320">
        <v>6.1360419999999999E-2</v>
      </c>
      <c r="S6320">
        <v>3.0466000000000002</v>
      </c>
      <c r="T6320">
        <v>-0.16641149999999999</v>
      </c>
      <c r="U6320">
        <v>0.16131589999999901</v>
      </c>
      <c r="V6320">
        <v>-9.5332639999999996E-2</v>
      </c>
      <c r="W6320">
        <v>0.1460331</v>
      </c>
      <c r="X6320">
        <v>0.98467559999999998</v>
      </c>
      <c r="Y6320">
        <v>-8.6848110000000006E-2</v>
      </c>
      <c r="Z6320">
        <v>4.2357410000000003E-3</v>
      </c>
      <c r="AA6320">
        <v>0.99621249999999995</v>
      </c>
      <c r="AB6320">
        <v>33</v>
      </c>
      <c r="AC6320">
        <v>20.160999999999898</v>
      </c>
      <c r="AD6320">
        <v>-1.11033114267939</v>
      </c>
      <c r="AE6320">
        <v>1.0818299999999801</v>
      </c>
      <c r="AF6320">
        <v>-1.7659984878759201</v>
      </c>
      <c r="AG6320">
        <v>-1.11033114267939</v>
      </c>
      <c r="AH6320">
        <v>20.0515085876706</v>
      </c>
      <c r="AI6320">
        <v>93.157259835312104</v>
      </c>
      <c r="AJ6320">
        <v>95.033229597709806</v>
      </c>
      <c r="AK6320">
        <v>20.159726747825999</v>
      </c>
      <c r="AL6320">
        <v>81.602891773242206</v>
      </c>
      <c r="AM6320">
        <v>95.529929801723</v>
      </c>
      <c r="AN6320">
        <v>1.0000000078901601</v>
      </c>
    </row>
    <row r="6321" spans="1:40" x14ac:dyDescent="0.25">
      <c r="A6321" t="str">
        <f>"20190312164149792"</f>
        <v>20190312164149792</v>
      </c>
      <c r="B6321" t="str">
        <f>"1552380109782172"</f>
        <v>1552380109782172</v>
      </c>
      <c r="C6321" t="s">
        <v>40</v>
      </c>
      <c r="D6321">
        <v>5.9764540000000004</v>
      </c>
      <c r="E6321">
        <v>0.50673500000000005</v>
      </c>
      <c r="F6321" t="s">
        <v>60</v>
      </c>
      <c r="G6321">
        <v>-211.8424</v>
      </c>
      <c r="H6321" s="1">
        <v>-9.4414420000000002E-8</v>
      </c>
      <c r="I6321">
        <v>-61.642690000000002</v>
      </c>
      <c r="J6321">
        <v>-231.9598</v>
      </c>
      <c r="K6321">
        <v>1.110357</v>
      </c>
      <c r="L6321">
        <v>-62.727139999999999</v>
      </c>
      <c r="M6321">
        <v>0.9993668</v>
      </c>
      <c r="N6321">
        <v>0</v>
      </c>
      <c r="O6321">
        <v>-3.3909040000000001E-2</v>
      </c>
      <c r="P6321">
        <v>0.98886439999999998</v>
      </c>
      <c r="Q6321">
        <v>0.13537779999999999</v>
      </c>
      <c r="R6321">
        <v>6.1809070000000001E-2</v>
      </c>
      <c r="S6321">
        <v>3.0465239999999998</v>
      </c>
      <c r="T6321">
        <v>-0.16683779999999901</v>
      </c>
      <c r="U6321">
        <v>0.16217039999999999</v>
      </c>
      <c r="V6321">
        <v>-9.5475400000000002E-2</v>
      </c>
      <c r="W6321">
        <v>0.1459001</v>
      </c>
      <c r="X6321">
        <v>0.98468149999999999</v>
      </c>
      <c r="Y6321">
        <v>-8.6808090000000004E-2</v>
      </c>
      <c r="Z6321">
        <v>4.2280249999999998E-3</v>
      </c>
      <c r="AA6321">
        <v>0.99621610000000005</v>
      </c>
      <c r="AB6321">
        <v>33</v>
      </c>
      <c r="AC6321">
        <v>20.1174</v>
      </c>
      <c r="AD6321">
        <v>-1.1103570944144101</v>
      </c>
      <c r="AE6321">
        <v>1.0844499999999999</v>
      </c>
      <c r="AF6321">
        <v>-1.7606795077672499</v>
      </c>
      <c r="AG6321">
        <v>-1.1103570944144101</v>
      </c>
      <c r="AH6321">
        <v>20.008278936980101</v>
      </c>
      <c r="AI6321">
        <v>93.164162172039099</v>
      </c>
      <c r="AJ6321">
        <v>95.028934233507997</v>
      </c>
      <c r="AK6321">
        <v>20.1162648428129</v>
      </c>
      <c r="AL6321">
        <v>81.6105947475356</v>
      </c>
      <c r="AM6321">
        <v>95.538126412681507</v>
      </c>
      <c r="AN6321">
        <v>1.0000000238136999</v>
      </c>
    </row>
    <row r="6322" spans="1:40" x14ac:dyDescent="0.25">
      <c r="A6322" t="str">
        <f>"20190312164149805"</f>
        <v>20190312164149805</v>
      </c>
      <c r="B6322" t="str">
        <f>"1552380109791931"</f>
        <v>1552380109791931</v>
      </c>
      <c r="C6322" t="s">
        <v>40</v>
      </c>
      <c r="D6322">
        <v>5.9793339999999997</v>
      </c>
      <c r="E6322">
        <v>0.50676069999999995</v>
      </c>
      <c r="F6322" t="s">
        <v>60</v>
      </c>
      <c r="G6322">
        <v>-211.56370000000001</v>
      </c>
      <c r="H6322" s="1">
        <v>2.7699340000000001E-8</v>
      </c>
      <c r="I6322">
        <v>-61.633119999999998</v>
      </c>
      <c r="J6322">
        <v>-231.7946</v>
      </c>
      <c r="K6322">
        <v>1.1103780000000001</v>
      </c>
      <c r="L6322">
        <v>-62.732419999999998</v>
      </c>
      <c r="M6322">
        <v>0.99937920000000002</v>
      </c>
      <c r="N6322">
        <v>0</v>
      </c>
      <c r="O6322">
        <v>-3.3555349999999998E-2</v>
      </c>
      <c r="P6322">
        <v>0.98881779999999997</v>
      </c>
      <c r="Q6322">
        <v>0.13529369999999999</v>
      </c>
      <c r="R6322">
        <v>6.2729660000000007E-2</v>
      </c>
      <c r="S6322">
        <v>3.0462950000000002</v>
      </c>
      <c r="T6322">
        <v>-0.16583909999999999</v>
      </c>
      <c r="U6322">
        <v>0.16339110000000001</v>
      </c>
      <c r="V6322">
        <v>-9.6055020000000005E-2</v>
      </c>
      <c r="W6322">
        <v>0.145752399999999</v>
      </c>
      <c r="X6322">
        <v>0.98464700000000005</v>
      </c>
      <c r="Y6322">
        <v>-8.6860119999999999E-2</v>
      </c>
      <c r="Z6322">
        <v>4.1852110000000003E-3</v>
      </c>
      <c r="AA6322">
        <v>0.99621170000000003</v>
      </c>
      <c r="AB6322">
        <v>33</v>
      </c>
      <c r="AC6322">
        <v>20.230899999999899</v>
      </c>
      <c r="AD6322">
        <v>-1.1103779723006599</v>
      </c>
      <c r="AE6322">
        <v>1.09929999999999</v>
      </c>
      <c r="AF6322">
        <v>-1.7722519250704301</v>
      </c>
      <c r="AG6322">
        <v>-1.1103779723006599</v>
      </c>
      <c r="AH6322">
        <v>20.122178934930599</v>
      </c>
      <c r="AI6322">
        <v>93.146325686186998</v>
      </c>
      <c r="AJ6322">
        <v>95.033312329800495</v>
      </c>
      <c r="AK6322">
        <v>20.230568484762099</v>
      </c>
      <c r="AL6322">
        <v>81.619148757594701</v>
      </c>
      <c r="AM6322">
        <v>95.571730802855896</v>
      </c>
      <c r="AN6322">
        <v>1.0000000217909799</v>
      </c>
    </row>
    <row r="6323" spans="1:40" x14ac:dyDescent="0.25">
      <c r="A6323" t="str">
        <f>"20190312164149817"</f>
        <v>20190312164149817</v>
      </c>
      <c r="B6323" t="str">
        <f>"1552380109812427"</f>
        <v>1552380109812427</v>
      </c>
      <c r="C6323" t="s">
        <v>40</v>
      </c>
      <c r="D6323">
        <v>5.9253600000000004</v>
      </c>
      <c r="E6323">
        <v>0.50666409999999995</v>
      </c>
      <c r="F6323" t="s">
        <v>60</v>
      </c>
      <c r="G6323">
        <v>-211.3426</v>
      </c>
      <c r="H6323" s="1">
        <v>1.2628169999999999E-7</v>
      </c>
      <c r="I6323">
        <v>-61.619120000000002</v>
      </c>
      <c r="J6323">
        <v>-231.61850000000001</v>
      </c>
      <c r="K6323">
        <v>1.1104019999999999</v>
      </c>
      <c r="L6323">
        <v>-62.738010000000003</v>
      </c>
      <c r="M6323">
        <v>0.99939299999999998</v>
      </c>
      <c r="N6323">
        <v>0</v>
      </c>
      <c r="O6323">
        <v>-3.3167439999999999E-2</v>
      </c>
      <c r="P6323">
        <v>0.98880489999999999</v>
      </c>
      <c r="Q6323">
        <v>0.1349552</v>
      </c>
      <c r="R6323">
        <v>6.3657839999999993E-2</v>
      </c>
      <c r="S6323">
        <v>3.046036</v>
      </c>
      <c r="T6323">
        <v>-0.16537489999999999</v>
      </c>
      <c r="U6323">
        <v>0.165802</v>
      </c>
      <c r="V6323">
        <v>-9.6609669999999995E-2</v>
      </c>
      <c r="W6323">
        <v>0.14534810000000001</v>
      </c>
      <c r="X6323">
        <v>0.98465250000000004</v>
      </c>
      <c r="Y6323">
        <v>-8.7265090000000003E-2</v>
      </c>
      <c r="Z6323">
        <v>4.1637289999999997E-3</v>
      </c>
      <c r="AA6323">
        <v>0.99617639999999996</v>
      </c>
      <c r="AB6323">
        <v>33</v>
      </c>
      <c r="AC6323">
        <v>20.2759</v>
      </c>
      <c r="AD6323">
        <v>-1.1104018737182999</v>
      </c>
      <c r="AE6323">
        <v>1.1188899999999999</v>
      </c>
      <c r="AF6323">
        <v>-1.7854735397610699</v>
      </c>
      <c r="AG6323">
        <v>-1.1104018737182999</v>
      </c>
      <c r="AH6323">
        <v>20.167328813303701</v>
      </c>
      <c r="AI6323">
        <v>93.139237508251497</v>
      </c>
      <c r="AJ6323">
        <v>95.059374504253697</v>
      </c>
      <c r="AK6323">
        <v>20.2766382703409</v>
      </c>
      <c r="AL6323">
        <v>81.6425627829897</v>
      </c>
      <c r="AM6323">
        <v>95.603668326908902</v>
      </c>
      <c r="AN6323">
        <v>1.00000002213368</v>
      </c>
    </row>
    <row r="6324" spans="1:40" x14ac:dyDescent="0.25">
      <c r="A6324" t="str">
        <f>"20190312164149829"</f>
        <v>20190312164149829</v>
      </c>
      <c r="B6324" t="str">
        <f>"1552380109822187"</f>
        <v>1552380109822187</v>
      </c>
      <c r="C6324" t="s">
        <v>40</v>
      </c>
      <c r="D6324">
        <v>5.9483639999999998</v>
      </c>
      <c r="E6324">
        <v>0.50666409999999995</v>
      </c>
      <c r="F6324" t="s">
        <v>60</v>
      </c>
      <c r="G6324">
        <v>-211.80080000000001</v>
      </c>
      <c r="H6324" s="1">
        <v>-7.4858459999999995E-8</v>
      </c>
      <c r="I6324">
        <v>-61.636310000000002</v>
      </c>
      <c r="J6324">
        <v>-231.44669999999999</v>
      </c>
      <c r="K6324">
        <v>1.110412</v>
      </c>
      <c r="L6324">
        <v>-62.743319999999997</v>
      </c>
      <c r="M6324">
        <v>0.99940669999999998</v>
      </c>
      <c r="N6324">
        <v>0</v>
      </c>
      <c r="O6324">
        <v>-3.2768760000000001E-2</v>
      </c>
      <c r="P6324">
        <v>0.98883469999999996</v>
      </c>
      <c r="Q6324">
        <v>0.1342602</v>
      </c>
      <c r="R6324">
        <v>6.4657300000000001E-2</v>
      </c>
      <c r="S6324">
        <v>3.0463559999999998</v>
      </c>
      <c r="T6324">
        <v>-0.1706898</v>
      </c>
      <c r="U6324">
        <v>0.16934199999999999</v>
      </c>
      <c r="V6324">
        <v>-9.7223879999999999E-2</v>
      </c>
      <c r="W6324">
        <v>0.14459179999999999</v>
      </c>
      <c r="X6324">
        <v>0.98470340000000001</v>
      </c>
      <c r="Y6324">
        <v>-8.8004079999999998E-2</v>
      </c>
      <c r="Z6324">
        <v>4.2951270000000001E-3</v>
      </c>
      <c r="AA6324">
        <v>0.99611090000000002</v>
      </c>
      <c r="AB6324">
        <v>33</v>
      </c>
      <c r="AC6324">
        <v>19.645899999999902</v>
      </c>
      <c r="AD6324">
        <v>-1.1104120748584601</v>
      </c>
      <c r="AE6324">
        <v>1.10701</v>
      </c>
      <c r="AF6324">
        <v>-1.7446674312311901</v>
      </c>
      <c r="AG6324">
        <v>-1.1104120748584601</v>
      </c>
      <c r="AH6324">
        <v>19.536854749876301</v>
      </c>
      <c r="AI6324">
        <v>93.240141896722903</v>
      </c>
      <c r="AJ6324">
        <v>95.103053814822204</v>
      </c>
      <c r="AK6324">
        <v>19.646006539227201</v>
      </c>
      <c r="AL6324">
        <v>81.686358288912501</v>
      </c>
      <c r="AM6324">
        <v>95.638775953359797</v>
      </c>
      <c r="AN6324">
        <v>1.00000002872052</v>
      </c>
    </row>
    <row r="6325" spans="1:40" x14ac:dyDescent="0.25">
      <c r="A6325" t="str">
        <f>"20190312164149840"</f>
        <v>20190312164149840</v>
      </c>
      <c r="B6325" t="str">
        <f>"1552380109831949"</f>
        <v>1552380109831949</v>
      </c>
      <c r="C6325" t="s">
        <v>40</v>
      </c>
      <c r="D6325">
        <v>5.9682399999999998</v>
      </c>
      <c r="E6325">
        <v>0.50674979999999903</v>
      </c>
      <c r="F6325" t="s">
        <v>60</v>
      </c>
      <c r="G6325">
        <v>-211.87469999999999</v>
      </c>
      <c r="H6325" s="1">
        <v>-1.0653130000000001E-7</v>
      </c>
      <c r="I6325">
        <v>-61.636159999999997</v>
      </c>
      <c r="J6325">
        <v>-231.2825</v>
      </c>
      <c r="K6325">
        <v>1.1104270000000001</v>
      </c>
      <c r="L6325">
        <v>-62.74841</v>
      </c>
      <c r="M6325">
        <v>0.99941990000000003</v>
      </c>
      <c r="N6325">
        <v>0</v>
      </c>
      <c r="O6325">
        <v>-3.2383469999999998E-2</v>
      </c>
      <c r="P6325">
        <v>0.98884050000000001</v>
      </c>
      <c r="Q6325">
        <v>0.13356179999999901</v>
      </c>
      <c r="R6325">
        <v>6.6000719999999999E-2</v>
      </c>
      <c r="S6325">
        <v>3.0460820000000002</v>
      </c>
      <c r="T6325">
        <v>-0.17281830000000001</v>
      </c>
      <c r="U6325">
        <v>0.17230219999999999</v>
      </c>
      <c r="V6325">
        <v>-9.8193589999999997E-2</v>
      </c>
      <c r="W6325">
        <v>0.14383399999999999</v>
      </c>
      <c r="X6325">
        <v>0.98471810000000004</v>
      </c>
      <c r="Y6325">
        <v>-8.8584910000000003E-2</v>
      </c>
      <c r="Z6325">
        <v>4.343502E-3</v>
      </c>
      <c r="AA6325">
        <v>0.99605920000000003</v>
      </c>
      <c r="AB6325">
        <v>33</v>
      </c>
      <c r="AC6325">
        <v>19.407800000000002</v>
      </c>
      <c r="AD6325">
        <v>-1.1104271065313001</v>
      </c>
      <c r="AE6325">
        <v>1.11225</v>
      </c>
      <c r="AF6325">
        <v>-1.7345338217011801</v>
      </c>
      <c r="AG6325">
        <v>-1.1104271065313001</v>
      </c>
      <c r="AH6325">
        <v>19.298629853966698</v>
      </c>
      <c r="AI6325">
        <v>93.279928240505896</v>
      </c>
      <c r="AJ6325">
        <v>95.135864630192899</v>
      </c>
      <c r="AK6325">
        <v>19.408213987329201</v>
      </c>
      <c r="AL6325">
        <v>81.730235193968994</v>
      </c>
      <c r="AM6325">
        <v>95.694564750417697</v>
      </c>
      <c r="AN6325">
        <v>0.99999996857034801</v>
      </c>
    </row>
    <row r="6326" spans="1:40" x14ac:dyDescent="0.25">
      <c r="A6326" t="str">
        <f>"20190312164149851"</f>
        <v>20190312164149851</v>
      </c>
      <c r="B6326" t="str">
        <f>"1552380109842685"</f>
        <v>1552380109842685</v>
      </c>
      <c r="C6326" t="s">
        <v>40</v>
      </c>
      <c r="D6326">
        <v>5.9598740000000001</v>
      </c>
      <c r="E6326">
        <v>0.50681299999999996</v>
      </c>
      <c r="F6326" t="s">
        <v>60</v>
      </c>
      <c r="G6326">
        <v>-211.98240000000001</v>
      </c>
      <c r="H6326" s="1">
        <v>-1.5271509999999999E-7</v>
      </c>
      <c r="I6326">
        <v>-61.636040000000001</v>
      </c>
      <c r="J6326">
        <v>-231.11060000000001</v>
      </c>
      <c r="K6326">
        <v>1.1104369999999999</v>
      </c>
      <c r="L6326">
        <v>-62.753599999999999</v>
      </c>
      <c r="M6326">
        <v>0.99943360000000003</v>
      </c>
      <c r="N6326">
        <v>0</v>
      </c>
      <c r="O6326">
        <v>-3.1967580000000002E-2</v>
      </c>
      <c r="P6326">
        <v>0.98878509999999997</v>
      </c>
      <c r="Q6326">
        <v>0.13318379999999999</v>
      </c>
      <c r="R6326">
        <v>6.7573759999999997E-2</v>
      </c>
      <c r="S6326">
        <v>3.0458069999999999</v>
      </c>
      <c r="T6326">
        <v>-0.175239899999999</v>
      </c>
      <c r="U6326">
        <v>0.1755371</v>
      </c>
      <c r="V6326">
        <v>-9.9359690000000001E-2</v>
      </c>
      <c r="W6326">
        <v>0.143397</v>
      </c>
      <c r="X6326">
        <v>0.98466489999999995</v>
      </c>
      <c r="Y6326">
        <v>-8.9224059999999994E-2</v>
      </c>
      <c r="Z6326">
        <v>4.3990019999999999E-3</v>
      </c>
      <c r="AA6326">
        <v>0.99600180000000005</v>
      </c>
      <c r="AB6326">
        <v>33</v>
      </c>
      <c r="AC6326">
        <v>19.1282</v>
      </c>
      <c r="AD6326">
        <v>-1.1104371527151</v>
      </c>
      <c r="AE6326">
        <v>1.1175599999999899</v>
      </c>
      <c r="AF6326">
        <v>-1.72271888173266</v>
      </c>
      <c r="AG6326">
        <v>-1.1104371527151</v>
      </c>
      <c r="AH6326">
        <v>19.018818121035601</v>
      </c>
      <c r="AI6326">
        <v>93.327897728787903</v>
      </c>
      <c r="AJ6326">
        <v>95.175710463332095</v>
      </c>
      <c r="AK6326">
        <v>19.128938123603199</v>
      </c>
      <c r="AL6326">
        <v>81.755536041491098</v>
      </c>
      <c r="AM6326">
        <v>95.762047522970505</v>
      </c>
      <c r="AN6326">
        <v>1.00000000644895</v>
      </c>
    </row>
    <row r="6327" spans="1:40" x14ac:dyDescent="0.25">
      <c r="A6327" t="str">
        <f>"20190312164149864"</f>
        <v>20190312164149864</v>
      </c>
      <c r="B6327" t="str">
        <f>"1552380109852443"</f>
        <v>1552380109852443</v>
      </c>
      <c r="C6327" t="s">
        <v>40</v>
      </c>
      <c r="D6327">
        <v>5.969786</v>
      </c>
      <c r="E6327">
        <v>0.50673219999999997</v>
      </c>
      <c r="F6327" t="s">
        <v>60</v>
      </c>
      <c r="G6327">
        <v>-211.95320000000001</v>
      </c>
      <c r="H6327" s="1">
        <v>-1.3714009999999999E-7</v>
      </c>
      <c r="I6327">
        <v>-61.624600000000001</v>
      </c>
      <c r="J6327">
        <v>-230.93960000000001</v>
      </c>
      <c r="K6327">
        <v>1.1104459999999901</v>
      </c>
      <c r="L6327">
        <v>-62.758699999999997</v>
      </c>
      <c r="M6327">
        <v>0.99944750000000004</v>
      </c>
      <c r="N6327">
        <v>0</v>
      </c>
      <c r="O6327">
        <v>-3.154995E-2</v>
      </c>
      <c r="P6327">
        <v>0.98876169999999997</v>
      </c>
      <c r="Q6327">
        <v>0.13268659999999999</v>
      </c>
      <c r="R6327">
        <v>6.8881880000000006E-2</v>
      </c>
      <c r="S6327">
        <v>3.0455320000000001</v>
      </c>
      <c r="T6327">
        <v>-0.17653099999999999</v>
      </c>
      <c r="U6327">
        <v>0.17947389999999999</v>
      </c>
      <c r="V6327">
        <v>-0.1002594</v>
      </c>
      <c r="W6327">
        <v>0.14284249999999901</v>
      </c>
      <c r="X6327">
        <v>0.98465429999999998</v>
      </c>
      <c r="Y6327">
        <v>-9.0092340000000007E-2</v>
      </c>
      <c r="Z6327">
        <v>4.432549E-3</v>
      </c>
      <c r="AA6327">
        <v>0.99592360000000002</v>
      </c>
      <c r="AB6327">
        <v>33</v>
      </c>
      <c r="AC6327">
        <v>18.9864</v>
      </c>
      <c r="AD6327">
        <v>-1.11044613714009</v>
      </c>
      <c r="AE6327">
        <v>1.1340999999999899</v>
      </c>
      <c r="AF6327">
        <v>-1.72670260367027</v>
      </c>
      <c r="AG6327">
        <v>-1.11044613714009</v>
      </c>
      <c r="AH6327">
        <v>18.876822734232999</v>
      </c>
      <c r="AI6327">
        <v>93.352631540378397</v>
      </c>
      <c r="AJ6327">
        <v>95.226420875324095</v>
      </c>
      <c r="AK6327">
        <v>18.988128634614501</v>
      </c>
      <c r="AL6327">
        <v>81.787637038314102</v>
      </c>
      <c r="AM6327">
        <v>95.813929661127901</v>
      </c>
      <c r="AN6327">
        <v>1.0000000088015499</v>
      </c>
    </row>
    <row r="6328" spans="1:40" x14ac:dyDescent="0.25">
      <c r="A6328" t="str">
        <f>"20190312164149874"</f>
        <v>20190312164149874</v>
      </c>
      <c r="B6328" t="str">
        <f>"1552380109862203"</f>
        <v>1552380109862203</v>
      </c>
      <c r="C6328" t="s">
        <v>40</v>
      </c>
      <c r="D6328">
        <v>5.9747979999999998</v>
      </c>
      <c r="E6328">
        <v>0.50680570000000003</v>
      </c>
      <c r="F6328" t="s">
        <v>60</v>
      </c>
      <c r="G6328">
        <v>-211.84039999999999</v>
      </c>
      <c r="H6328" s="1">
        <v>-8.4001950000000004E-8</v>
      </c>
      <c r="I6328">
        <v>-61.606729999999999</v>
      </c>
      <c r="J6328">
        <v>-230.767</v>
      </c>
      <c r="K6328">
        <v>1.110455</v>
      </c>
      <c r="L6328">
        <v>-62.763759999999998</v>
      </c>
      <c r="M6328">
        <v>0.99946140000000006</v>
      </c>
      <c r="N6328">
        <v>0</v>
      </c>
      <c r="O6328">
        <v>-3.1123640000000001E-2</v>
      </c>
      <c r="P6328">
        <v>0.98867819999999995</v>
      </c>
      <c r="Q6328">
        <v>0.1326512</v>
      </c>
      <c r="R6328">
        <v>7.0137580000000005E-2</v>
      </c>
      <c r="S6328">
        <v>3.0450590000000002</v>
      </c>
      <c r="T6328">
        <v>-0.17704329999999999</v>
      </c>
      <c r="U6328">
        <v>0.18365480000000001</v>
      </c>
      <c r="V6328">
        <v>-0.1010969</v>
      </c>
      <c r="W6328">
        <v>0.14275099999999999</v>
      </c>
      <c r="X6328">
        <v>0.98458190000000001</v>
      </c>
      <c r="Y6328">
        <v>-9.103704E-2</v>
      </c>
      <c r="Z6328">
        <v>4.4485760000000001E-3</v>
      </c>
      <c r="AA6328">
        <v>0.99583759999999999</v>
      </c>
      <c r="AB6328">
        <v>33</v>
      </c>
      <c r="AC6328">
        <v>18.926600000000001</v>
      </c>
      <c r="AD6328">
        <v>-1.11045508400195</v>
      </c>
      <c r="AE6328">
        <v>1.15702999999999</v>
      </c>
      <c r="AF6328">
        <v>-1.73959993146097</v>
      </c>
      <c r="AG6328">
        <v>-1.11045508400195</v>
      </c>
      <c r="AH6328">
        <v>18.816883544762302</v>
      </c>
      <c r="AI6328">
        <v>93.363014674121899</v>
      </c>
      <c r="AJ6328">
        <v>95.281917337270301</v>
      </c>
      <c r="AK6328">
        <v>18.9297233142028</v>
      </c>
      <c r="AL6328">
        <v>81.792933600526695</v>
      </c>
      <c r="AM6328">
        <v>95.862586572681707</v>
      </c>
      <c r="AN6328">
        <v>0.99999997449910905</v>
      </c>
    </row>
    <row r="6329" spans="1:40" x14ac:dyDescent="0.25">
      <c r="A6329" t="str">
        <f>"20190312164149886"</f>
        <v>20190312164149886</v>
      </c>
      <c r="B6329" t="str">
        <f>"1552380109871964"</f>
        <v>1552380109871964</v>
      </c>
      <c r="C6329" t="s">
        <v>40</v>
      </c>
      <c r="D6329">
        <v>5.9183919999999999</v>
      </c>
      <c r="E6329">
        <v>0.50680570000000003</v>
      </c>
      <c r="F6329" t="s">
        <v>60</v>
      </c>
      <c r="G6329">
        <v>-211.69669999999999</v>
      </c>
      <c r="H6329" s="1">
        <v>-1.8834499999999999E-8</v>
      </c>
      <c r="I6329">
        <v>-61.593589999999999</v>
      </c>
      <c r="J6329">
        <v>-230.61</v>
      </c>
      <c r="K6329">
        <v>1.11046</v>
      </c>
      <c r="L6329">
        <v>-62.76831</v>
      </c>
      <c r="M6329">
        <v>0.99947390000000003</v>
      </c>
      <c r="N6329">
        <v>0</v>
      </c>
      <c r="O6329">
        <v>-3.0732559999999999E-2</v>
      </c>
      <c r="P6329">
        <v>0.98860360000000003</v>
      </c>
      <c r="Q6329">
        <v>0.132566299999999</v>
      </c>
      <c r="R6329">
        <v>7.1339529999999998E-2</v>
      </c>
      <c r="S6329">
        <v>3.0448909999999998</v>
      </c>
      <c r="T6329">
        <v>-0.17730190000000001</v>
      </c>
      <c r="U6329">
        <v>0.18682860000000001</v>
      </c>
      <c r="V6329">
        <v>-0.1019139</v>
      </c>
      <c r="W6329">
        <v>0.14261550000000001</v>
      </c>
      <c r="X6329">
        <v>0.98451730000000004</v>
      </c>
      <c r="Y6329">
        <v>-9.1683799999999996E-2</v>
      </c>
      <c r="Z6329">
        <v>4.4512340000000001E-3</v>
      </c>
      <c r="AA6329">
        <v>0.99577819999999995</v>
      </c>
      <c r="AB6329">
        <v>33</v>
      </c>
      <c r="AC6329">
        <v>18.9133</v>
      </c>
      <c r="AD6329">
        <v>-1.1104600188345</v>
      </c>
      <c r="AE6329">
        <v>1.17472</v>
      </c>
      <c r="AF6329">
        <v>-1.74944283641871</v>
      </c>
      <c r="AG6329">
        <v>-1.1104600188345</v>
      </c>
      <c r="AH6329">
        <v>18.803689438193899</v>
      </c>
      <c r="AI6329">
        <v>93.365202285438997</v>
      </c>
      <c r="AJ6329">
        <v>95.315338426619206</v>
      </c>
      <c r="AK6329">
        <v>18.917515909319899</v>
      </c>
      <c r="AL6329">
        <v>81.8007773877993</v>
      </c>
      <c r="AM6329">
        <v>95.910015269743795</v>
      </c>
      <c r="AN6329">
        <v>0.99999996892637399</v>
      </c>
    </row>
    <row r="6330" spans="1:40" x14ac:dyDescent="0.25">
      <c r="A6330" t="str">
        <f>"20190312164149895"</f>
        <v>20190312164149895</v>
      </c>
      <c r="B6330" t="str">
        <f>"1552380109891993"</f>
        <v>1552380109891993</v>
      </c>
      <c r="C6330" t="s">
        <v>40</v>
      </c>
      <c r="D6330">
        <v>5.9163100000000002</v>
      </c>
      <c r="E6330">
        <v>0.50676750000000004</v>
      </c>
      <c r="F6330" t="s">
        <v>60</v>
      </c>
      <c r="G6330">
        <v>-211.57040000000001</v>
      </c>
      <c r="H6330" s="1">
        <v>4.0464220000000002E-8</v>
      </c>
      <c r="I6330">
        <v>-61.574339999999999</v>
      </c>
      <c r="J6330">
        <v>-230.4479</v>
      </c>
      <c r="K6330">
        <v>1.110471</v>
      </c>
      <c r="L6330">
        <v>-62.772950000000002</v>
      </c>
      <c r="M6330">
        <v>0.99948689999999996</v>
      </c>
      <c r="N6330">
        <v>0</v>
      </c>
      <c r="O6330">
        <v>-3.0326829999999999E-2</v>
      </c>
      <c r="P6330">
        <v>0.9885372</v>
      </c>
      <c r="Q6330">
        <v>0.13238249999999999</v>
      </c>
      <c r="R6330">
        <v>7.2589600000000004E-2</v>
      </c>
      <c r="S6330">
        <v>3.0446170000000001</v>
      </c>
      <c r="T6330">
        <v>-0.1775727</v>
      </c>
      <c r="U6330">
        <v>0.190918</v>
      </c>
      <c r="V6330">
        <v>-0.1027643</v>
      </c>
      <c r="W6330">
        <v>0.14238000000000001</v>
      </c>
      <c r="X6330">
        <v>0.98446299999999998</v>
      </c>
      <c r="Y6330">
        <v>-9.2615820000000001E-2</v>
      </c>
      <c r="Z6330">
        <v>4.4617509999999999E-3</v>
      </c>
      <c r="AA6330">
        <v>0.99569189999999996</v>
      </c>
      <c r="AB6330">
        <v>33</v>
      </c>
      <c r="AC6330">
        <v>18.877500000000001</v>
      </c>
      <c r="AD6330">
        <v>-1.11047095953578</v>
      </c>
      <c r="AE6330">
        <v>1.19861</v>
      </c>
      <c r="AF6330">
        <v>-1.76450240963881</v>
      </c>
      <c r="AG6330">
        <v>-1.11047095953578</v>
      </c>
      <c r="AH6330">
        <v>18.767781000707</v>
      </c>
      <c r="AI6330">
        <v>93.371353469158905</v>
      </c>
      <c r="AJ6330">
        <v>95.371025497927505</v>
      </c>
      <c r="AK6330">
        <v>18.8832258418972</v>
      </c>
      <c r="AL6330">
        <v>81.814409768215896</v>
      </c>
      <c r="AM6330">
        <v>95.959303115778098</v>
      </c>
      <c r="AN6330">
        <v>0.99999998206174401</v>
      </c>
    </row>
    <row r="6331" spans="1:40" x14ac:dyDescent="0.25">
      <c r="A6331" t="str">
        <f>"20190312164149906"</f>
        <v>20190312164149906</v>
      </c>
      <c r="B6331" t="str">
        <f>"1552380109902728"</f>
        <v>1552380109902728</v>
      </c>
      <c r="C6331" t="s">
        <v>40</v>
      </c>
      <c r="D6331">
        <v>5.9157190000000002</v>
      </c>
      <c r="E6331">
        <v>0.50678970000000001</v>
      </c>
      <c r="F6331" t="s">
        <v>60</v>
      </c>
      <c r="G6331">
        <v>-211.3956</v>
      </c>
      <c r="H6331" s="1">
        <v>1.2205939999999999E-7</v>
      </c>
      <c r="I6331">
        <v>-61.54956</v>
      </c>
      <c r="J6331">
        <v>-230.30619999999999</v>
      </c>
      <c r="K6331">
        <v>1.1104719999999999</v>
      </c>
      <c r="L6331">
        <v>-62.776949999999999</v>
      </c>
      <c r="M6331">
        <v>0.99949809999999994</v>
      </c>
      <c r="N6331">
        <v>0</v>
      </c>
      <c r="O6331">
        <v>-2.9970980000000001E-2</v>
      </c>
      <c r="P6331">
        <v>0.98845749999999999</v>
      </c>
      <c r="Q6331">
        <v>0.13236020000000001</v>
      </c>
      <c r="R6331">
        <v>7.3708140000000005E-2</v>
      </c>
      <c r="S6331">
        <v>3.0441889999999998</v>
      </c>
      <c r="T6331">
        <v>-0.17743149999999999</v>
      </c>
      <c r="U6331">
        <v>0.1954651</v>
      </c>
      <c r="V6331">
        <v>-0.103531399999999</v>
      </c>
      <c r="W6331">
        <v>0.14231250000000001</v>
      </c>
      <c r="X6331">
        <v>0.98439239999999995</v>
      </c>
      <c r="Y6331">
        <v>-9.3750249999999993E-2</v>
      </c>
      <c r="Z6331">
        <v>4.4709229999999999E-3</v>
      </c>
      <c r="AA6331">
        <v>0.99558570000000002</v>
      </c>
      <c r="AB6331">
        <v>33</v>
      </c>
      <c r="AC6331">
        <v>18.910599999999899</v>
      </c>
      <c r="AD6331">
        <v>-1.1104718779406</v>
      </c>
      <c r="AE6331">
        <v>1.22738999999999</v>
      </c>
      <c r="AF6331">
        <v>-1.7874996440630699</v>
      </c>
      <c r="AG6331">
        <v>-1.1104718779406</v>
      </c>
      <c r="AH6331">
        <v>18.8007572549465</v>
      </c>
      <c r="AI6331">
        <v>93.365123567780699</v>
      </c>
      <c r="AJ6331">
        <v>95.431124517819001</v>
      </c>
      <c r="AK6331">
        <v>18.918159956207301</v>
      </c>
      <c r="AL6331">
        <v>81.818317150985294</v>
      </c>
      <c r="AM6331">
        <v>96.003890987472403</v>
      </c>
      <c r="AN6331">
        <v>0.99999999780998405</v>
      </c>
    </row>
    <row r="6332" spans="1:40" x14ac:dyDescent="0.25">
      <c r="A6332" t="str">
        <f>"20190312164149917"</f>
        <v>20190312164149917</v>
      </c>
      <c r="B6332" t="str">
        <f>"1552380109912488"</f>
        <v>1552380109912488</v>
      </c>
      <c r="C6332" t="s">
        <v>40</v>
      </c>
      <c r="D6332">
        <v>5.9770699999999897</v>
      </c>
      <c r="E6332">
        <v>0.50686369999999903</v>
      </c>
      <c r="F6332" t="s">
        <v>60</v>
      </c>
      <c r="G6332">
        <v>-211.29150000000001</v>
      </c>
      <c r="H6332" s="1">
        <v>1.7041799999999901E-7</v>
      </c>
      <c r="I6332">
        <v>-61.535499999999999</v>
      </c>
      <c r="J6332">
        <v>-230.1387</v>
      </c>
      <c r="K6332">
        <v>1.110474</v>
      </c>
      <c r="L6332">
        <v>-62.781619999999997</v>
      </c>
      <c r="M6332">
        <v>0.99951120000000004</v>
      </c>
      <c r="N6332">
        <v>0</v>
      </c>
      <c r="O6332">
        <v>-2.9549530000000001E-2</v>
      </c>
      <c r="P6332">
        <v>0.98833280000000001</v>
      </c>
      <c r="Q6332">
        <v>0.1323386</v>
      </c>
      <c r="R6332">
        <v>7.5400019999999998E-2</v>
      </c>
      <c r="S6332">
        <v>3.044006</v>
      </c>
      <c r="T6332">
        <v>-0.17777200000000001</v>
      </c>
      <c r="U6332">
        <v>0.1987305</v>
      </c>
      <c r="V6332">
        <v>-0.10480589999999999</v>
      </c>
      <c r="W6332">
        <v>0.142236</v>
      </c>
      <c r="X6332">
        <v>0.98426849999999999</v>
      </c>
      <c r="Y6332">
        <v>-9.4396610000000006E-2</v>
      </c>
      <c r="Z6332">
        <v>4.4738779999999997E-3</v>
      </c>
      <c r="AA6332">
        <v>0.99552459999999998</v>
      </c>
      <c r="AB6332">
        <v>33</v>
      </c>
      <c r="AC6332">
        <v>18.847199999999901</v>
      </c>
      <c r="AD6332">
        <v>-1.110473829582</v>
      </c>
      <c r="AE6332">
        <v>1.2461199999999899</v>
      </c>
      <c r="AF6332">
        <v>-1.79632182754239</v>
      </c>
      <c r="AG6332">
        <v>-1.110473829582</v>
      </c>
      <c r="AH6332">
        <v>18.737380147578602</v>
      </c>
      <c r="AI6332">
        <v>93.376232813853207</v>
      </c>
      <c r="AJ6332">
        <v>95.476116574610103</v>
      </c>
      <c r="AK6332">
        <v>18.856015990372001</v>
      </c>
      <c r="AL6332">
        <v>81.822744669526898</v>
      </c>
      <c r="AM6332">
        <v>96.078010042976601</v>
      </c>
      <c r="AN6332">
        <v>0.99999991823152601</v>
      </c>
    </row>
    <row r="6333" spans="1:40" x14ac:dyDescent="0.25">
      <c r="A6333" t="str">
        <f>"20190312164149929"</f>
        <v>20190312164149929</v>
      </c>
      <c r="B6333" t="str">
        <f>"1552380109922248"</f>
        <v>1552380109922248</v>
      </c>
      <c r="C6333" t="s">
        <v>40</v>
      </c>
      <c r="D6333">
        <v>5.917573</v>
      </c>
      <c r="E6333">
        <v>0.50688169999999999</v>
      </c>
      <c r="F6333" t="s">
        <v>60</v>
      </c>
      <c r="G6333">
        <v>-211.08969999999999</v>
      </c>
      <c r="H6333" s="1">
        <v>2.6373570000000002E-7</v>
      </c>
      <c r="I6333">
        <v>-61.510289999999998</v>
      </c>
      <c r="J6333">
        <v>-229.97190000000001</v>
      </c>
      <c r="K6333">
        <v>1.1104700000000001</v>
      </c>
      <c r="L6333">
        <v>-62.786160000000002</v>
      </c>
      <c r="M6333">
        <v>0.99952399999999997</v>
      </c>
      <c r="N6333">
        <v>0</v>
      </c>
      <c r="O6333">
        <v>-2.9129889999999999E-2</v>
      </c>
      <c r="P6333">
        <v>0.98822399999999999</v>
      </c>
      <c r="Q6333">
        <v>0.13233739999999999</v>
      </c>
      <c r="R6333">
        <v>7.6815060000000004E-2</v>
      </c>
      <c r="S6333">
        <v>3.0436860000000001</v>
      </c>
      <c r="T6333">
        <v>-0.17743349999999999</v>
      </c>
      <c r="U6333">
        <v>0.203125</v>
      </c>
      <c r="V6333">
        <v>-0.1058055</v>
      </c>
      <c r="W6333">
        <v>0.1421818</v>
      </c>
      <c r="X6333">
        <v>0.98416950000000003</v>
      </c>
      <c r="Y6333">
        <v>-9.5416269999999997E-2</v>
      </c>
      <c r="Z6333">
        <v>4.4708789999999997E-3</v>
      </c>
      <c r="AA6333">
        <v>0.99542739999999996</v>
      </c>
      <c r="AB6333">
        <v>33</v>
      </c>
      <c r="AC6333">
        <v>18.882200000000001</v>
      </c>
      <c r="AD6333">
        <v>-1.1104697362642999</v>
      </c>
      <c r="AE6333">
        <v>1.2758699999999901</v>
      </c>
      <c r="AF6333">
        <v>-1.8191301458228799</v>
      </c>
      <c r="AG6333">
        <v>-1.1104697362642999</v>
      </c>
      <c r="AH6333">
        <v>18.772386082910199</v>
      </c>
      <c r="AI6333">
        <v>93.369606391896696</v>
      </c>
      <c r="AJ6333">
        <v>95.53494120725</v>
      </c>
      <c r="AK6333">
        <v>18.892984326686999</v>
      </c>
      <c r="AL6333">
        <v>81.825882959210702</v>
      </c>
      <c r="AM6333">
        <v>96.136152248669305</v>
      </c>
      <c r="AN6333">
        <v>1.0000000364058601</v>
      </c>
    </row>
    <row r="6334" spans="1:40" x14ac:dyDescent="0.25">
      <c r="A6334" t="str">
        <f>"20190312164149939"</f>
        <v>20190312164149939</v>
      </c>
      <c r="B6334" t="str">
        <f>"1552380109932010"</f>
        <v>1552380109932010</v>
      </c>
      <c r="C6334" t="s">
        <v>40</v>
      </c>
      <c r="D6334">
        <v>5.916283</v>
      </c>
      <c r="E6334">
        <v>0.50698080000000001</v>
      </c>
      <c r="F6334" t="s">
        <v>60</v>
      </c>
      <c r="G6334">
        <v>-210.9546</v>
      </c>
      <c r="H6334" s="1">
        <v>3.2673340000000001E-7</v>
      </c>
      <c r="I6334">
        <v>-61.491309999999999</v>
      </c>
      <c r="J6334">
        <v>-229.81</v>
      </c>
      <c r="K6334">
        <v>1.110466</v>
      </c>
      <c r="L6334">
        <v>-62.790559999999999</v>
      </c>
      <c r="M6334">
        <v>0.99953630000000004</v>
      </c>
      <c r="N6334">
        <v>0</v>
      </c>
      <c r="O6334">
        <v>-2.8723019999999998E-2</v>
      </c>
      <c r="P6334">
        <v>0.9881337</v>
      </c>
      <c r="Q6334">
        <v>0.1321445</v>
      </c>
      <c r="R6334">
        <v>7.8292559999999997E-2</v>
      </c>
      <c r="S6334">
        <v>3.0434420000000002</v>
      </c>
      <c r="T6334">
        <v>-0.1777146</v>
      </c>
      <c r="U6334">
        <v>0.20721439999999999</v>
      </c>
      <c r="V6334">
        <v>-0.10688010000000001</v>
      </c>
      <c r="W6334">
        <v>0.14193629999999999</v>
      </c>
      <c r="X6334">
        <v>0.98408879999999999</v>
      </c>
      <c r="Y6334">
        <v>-9.6346230000000005E-2</v>
      </c>
      <c r="Z6334">
        <v>4.4814929999999996E-3</v>
      </c>
      <c r="AA6334">
        <v>0.99533780000000005</v>
      </c>
      <c r="AB6334">
        <v>33</v>
      </c>
      <c r="AC6334">
        <v>18.855399999999999</v>
      </c>
      <c r="AD6334">
        <v>-1.1104656732666001</v>
      </c>
      <c r="AE6334">
        <v>1.29925</v>
      </c>
      <c r="AF6334">
        <v>-1.8339944806428701</v>
      </c>
      <c r="AG6334">
        <v>-1.1104656732666001</v>
      </c>
      <c r="AH6334">
        <v>18.7455879627881</v>
      </c>
      <c r="AI6334">
        <v>93.374097571755001</v>
      </c>
      <c r="AJ6334">
        <v>95.587809996671197</v>
      </c>
      <c r="AK6334">
        <v>18.8677963164</v>
      </c>
      <c r="AL6334">
        <v>81.840093036119896</v>
      </c>
      <c r="AM6334">
        <v>96.198494962842503</v>
      </c>
      <c r="AN6334">
        <v>1.00000001765956</v>
      </c>
    </row>
    <row r="6335" spans="1:40" x14ac:dyDescent="0.25">
      <c r="A6335" t="str">
        <f>"20190312164149949"</f>
        <v>20190312164149949</v>
      </c>
      <c r="B6335" t="str">
        <f>"1552380109942745"</f>
        <v>1552380109942745</v>
      </c>
      <c r="C6335" t="s">
        <v>40</v>
      </c>
      <c r="D6335">
        <v>5.9159889999999997</v>
      </c>
      <c r="E6335">
        <v>0.50706209999999996</v>
      </c>
      <c r="F6335" t="s">
        <v>60</v>
      </c>
      <c r="G6335">
        <v>-210.8955</v>
      </c>
      <c r="H6335" s="1">
        <v>3.55453599999999E-7</v>
      </c>
      <c r="I6335">
        <v>-61.478700000000003</v>
      </c>
      <c r="J6335">
        <v>-229.64789999999999</v>
      </c>
      <c r="K6335">
        <v>1.1104609999999999</v>
      </c>
      <c r="L6335">
        <v>-62.794829999999997</v>
      </c>
      <c r="M6335">
        <v>0.99954829999999995</v>
      </c>
      <c r="N6335">
        <v>0</v>
      </c>
      <c r="O6335">
        <v>-2.8315679999999999E-2</v>
      </c>
      <c r="P6335">
        <v>0.98808499999999999</v>
      </c>
      <c r="Q6335">
        <v>0.1316572</v>
      </c>
      <c r="R6335">
        <v>7.9714430000000003E-2</v>
      </c>
      <c r="S6335">
        <v>3.0432130000000002</v>
      </c>
      <c r="T6335">
        <v>-0.1786654</v>
      </c>
      <c r="U6335">
        <v>0.21105960000000001</v>
      </c>
      <c r="V6335">
        <v>-0.1078988</v>
      </c>
      <c r="W6335">
        <v>0.14139769999999999</v>
      </c>
      <c r="X6335">
        <v>0.98405520000000002</v>
      </c>
      <c r="Y6335">
        <v>-9.7194340000000004E-2</v>
      </c>
      <c r="Z6335">
        <v>4.5065540000000003E-3</v>
      </c>
      <c r="AA6335">
        <v>0.99525520000000001</v>
      </c>
      <c r="AB6335">
        <v>33</v>
      </c>
      <c r="AC6335">
        <v>18.752399999999898</v>
      </c>
      <c r="AD6335">
        <v>-1.11046064454639</v>
      </c>
      <c r="AE6335">
        <v>1.31613</v>
      </c>
      <c r="AF6335">
        <v>-1.8401948126766901</v>
      </c>
      <c r="AG6335">
        <v>-1.11046064454639</v>
      </c>
      <c r="AH6335">
        <v>18.6425585774269</v>
      </c>
      <c r="AI6335">
        <v>93.392398297698904</v>
      </c>
      <c r="AJ6335">
        <v>95.637367106827995</v>
      </c>
      <c r="AK6335">
        <v>18.766044604670501</v>
      </c>
      <c r="AL6335">
        <v>81.871267204797405</v>
      </c>
      <c r="AM6335">
        <v>96.257319838838896</v>
      </c>
      <c r="AN6335">
        <v>1.0000000486268801</v>
      </c>
    </row>
    <row r="6336" spans="1:40" x14ac:dyDescent="0.25">
      <c r="A6336" t="str">
        <f>"20190312164149961"</f>
        <v>20190312164149961</v>
      </c>
      <c r="B6336" t="str">
        <f>"1552380109952505"</f>
        <v>1552380109952505</v>
      </c>
      <c r="C6336" t="s">
        <v>40</v>
      </c>
      <c r="D6336">
        <v>5.9208499999999997</v>
      </c>
      <c r="E6336">
        <v>0.50708059999999999</v>
      </c>
      <c r="F6336" t="s">
        <v>60</v>
      </c>
      <c r="G6336">
        <v>-210.90960000000001</v>
      </c>
      <c r="H6336" s="1">
        <v>3.5129049999999998E-7</v>
      </c>
      <c r="I6336">
        <v>-61.471550000000001</v>
      </c>
      <c r="J6336">
        <v>-229.48310000000001</v>
      </c>
      <c r="K6336">
        <v>1.1104620000000001</v>
      </c>
      <c r="L6336">
        <v>-62.799160000000001</v>
      </c>
      <c r="M6336">
        <v>0.99956049999999996</v>
      </c>
      <c r="N6336">
        <v>0</v>
      </c>
      <c r="O6336">
        <v>-2.7902380000000001E-2</v>
      </c>
      <c r="P6336">
        <v>0.98801779999999995</v>
      </c>
      <c r="Q6336">
        <v>0.13141949999999999</v>
      </c>
      <c r="R6336">
        <v>8.0933379999999999E-2</v>
      </c>
      <c r="S6336">
        <v>3.042862</v>
      </c>
      <c r="T6336">
        <v>-0.18032429999999999</v>
      </c>
      <c r="U6336">
        <v>0.21487429999999999</v>
      </c>
      <c r="V6336">
        <v>-0.1087094</v>
      </c>
      <c r="W6336">
        <v>0.14110739999999999</v>
      </c>
      <c r="X6336">
        <v>0.98400759999999998</v>
      </c>
      <c r="Y6336">
        <v>-9.8027530000000002E-2</v>
      </c>
      <c r="Z6336">
        <v>4.5488439999999998E-3</v>
      </c>
      <c r="AA6336">
        <v>0.99517330000000004</v>
      </c>
      <c r="AB6336">
        <v>33</v>
      </c>
      <c r="AC6336">
        <v>18.573499999999999</v>
      </c>
      <c r="AD6336">
        <v>-1.1104616487095</v>
      </c>
      <c r="AE6336">
        <v>1.32761</v>
      </c>
      <c r="AF6336">
        <v>-1.8388243531514901</v>
      </c>
      <c r="AG6336">
        <v>-1.1104616487095</v>
      </c>
      <c r="AH6336">
        <v>18.463559235290699</v>
      </c>
      <c r="AI6336">
        <v>93.424915718502305</v>
      </c>
      <c r="AJ6336">
        <v>95.687451776882995</v>
      </c>
      <c r="AK6336">
        <v>18.588098872937099</v>
      </c>
      <c r="AL6336">
        <v>81.888068184022202</v>
      </c>
      <c r="AM6336">
        <v>96.304253975544597</v>
      </c>
      <c r="AN6336">
        <v>0.99999999442043996</v>
      </c>
    </row>
    <row r="6337" spans="1:40" x14ac:dyDescent="0.25">
      <c r="A6337" t="str">
        <f>"20190312164149973"</f>
        <v>20190312164149973</v>
      </c>
      <c r="B6337" t="str">
        <f>"1552380109962265"</f>
        <v>1552380109962265</v>
      </c>
      <c r="C6337" t="s">
        <v>40</v>
      </c>
      <c r="D6337">
        <v>5.9791290000000004</v>
      </c>
      <c r="E6337">
        <v>0.5072352</v>
      </c>
      <c r="F6337" t="s">
        <v>60</v>
      </c>
      <c r="G6337">
        <v>-210.82310000000001</v>
      </c>
      <c r="H6337" s="1">
        <v>3.9181439999999999E-7</v>
      </c>
      <c r="I6337">
        <v>-61.458640000000003</v>
      </c>
      <c r="J6337">
        <v>-229.31389999999999</v>
      </c>
      <c r="K6337">
        <v>1.110455</v>
      </c>
      <c r="L6337">
        <v>-62.8035</v>
      </c>
      <c r="M6337">
        <v>0.99957269999999998</v>
      </c>
      <c r="N6337">
        <v>0</v>
      </c>
      <c r="O6337">
        <v>-2.7478470000000001E-2</v>
      </c>
      <c r="P6337">
        <v>0.98796390000000001</v>
      </c>
      <c r="Q6337">
        <v>0.13095799999999999</v>
      </c>
      <c r="R6337">
        <v>8.2324969999999997E-2</v>
      </c>
      <c r="S6337">
        <v>3.0425719999999998</v>
      </c>
      <c r="T6337">
        <v>-0.18106420000000001</v>
      </c>
      <c r="U6337">
        <v>0.21856690000000001</v>
      </c>
      <c r="V6337">
        <v>-0.10968120000000001</v>
      </c>
      <c r="W6337">
        <v>0.14059240000000001</v>
      </c>
      <c r="X6337">
        <v>0.98397349999999995</v>
      </c>
      <c r="Y6337">
        <v>-9.8811360000000001E-2</v>
      </c>
      <c r="Z6337">
        <v>4.5658139999999996E-3</v>
      </c>
      <c r="AA6337">
        <v>0.99509570000000003</v>
      </c>
      <c r="AB6337">
        <v>33</v>
      </c>
      <c r="AC6337">
        <v>18.490799999999901</v>
      </c>
      <c r="AD6337">
        <v>-1.1104546081855999</v>
      </c>
      <c r="AE6337">
        <v>1.34485999999999</v>
      </c>
      <c r="AF6337">
        <v>-1.84585415073686</v>
      </c>
      <c r="AG6337">
        <v>-1.1104546081855999</v>
      </c>
      <c r="AH6337">
        <v>18.380917958441799</v>
      </c>
      <c r="AI6337">
        <v>93.439973484653706</v>
      </c>
      <c r="AJ6337">
        <v>95.734548865473599</v>
      </c>
      <c r="AK6337">
        <v>18.506713159759201</v>
      </c>
      <c r="AL6337">
        <v>81.917872829701807</v>
      </c>
      <c r="AM6337">
        <v>96.360369216586093</v>
      </c>
      <c r="AN6337">
        <v>1.0000000186367199</v>
      </c>
    </row>
    <row r="6338" spans="1:40" x14ac:dyDescent="0.25">
      <c r="A6338" t="str">
        <f>"20190312164149984"</f>
        <v>20190312164149984</v>
      </c>
      <c r="B6338" t="str">
        <f>"1552380109972024"</f>
        <v>1552380109972024</v>
      </c>
      <c r="C6338" t="s">
        <v>40</v>
      </c>
      <c r="D6338">
        <v>5.8962139999999996</v>
      </c>
      <c r="E6338">
        <v>0.50734889999999999</v>
      </c>
      <c r="F6338" t="s">
        <v>60</v>
      </c>
      <c r="G6338">
        <v>-210.7818</v>
      </c>
      <c r="H6338" s="1">
        <v>4.1092949999999997E-7</v>
      </c>
      <c r="I6338">
        <v>-61.453449999999997</v>
      </c>
      <c r="J6338">
        <v>-229.1463</v>
      </c>
      <c r="K6338">
        <v>1.1104459999999901</v>
      </c>
      <c r="L6338">
        <v>-62.80771</v>
      </c>
      <c r="M6338">
        <v>0.99958460000000005</v>
      </c>
      <c r="N6338">
        <v>0</v>
      </c>
      <c r="O6338">
        <v>-2.705946E-2</v>
      </c>
      <c r="P6338">
        <v>0.98789559999999998</v>
      </c>
      <c r="Q6338">
        <v>0.13055919999999999</v>
      </c>
      <c r="R6338">
        <v>8.3766560000000004E-2</v>
      </c>
      <c r="S6338">
        <v>3.0422669999999998</v>
      </c>
      <c r="T6338">
        <v>-0.1822947</v>
      </c>
      <c r="U6338">
        <v>0.2216187</v>
      </c>
      <c r="V6338">
        <v>-0.110708399999999</v>
      </c>
      <c r="W6338">
        <v>0.14014099999999999</v>
      </c>
      <c r="X6338">
        <v>0.98392279999999999</v>
      </c>
      <c r="Y6338">
        <v>-9.9390980000000004E-2</v>
      </c>
      <c r="Z6338">
        <v>4.5893549999999998E-3</v>
      </c>
      <c r="AA6338">
        <v>0.99503790000000003</v>
      </c>
      <c r="AB6338">
        <v>33</v>
      </c>
      <c r="AC6338">
        <v>18.3644999999999</v>
      </c>
      <c r="AD6338">
        <v>-1.1104455890704901</v>
      </c>
      <c r="AE6338">
        <v>1.35426</v>
      </c>
      <c r="AF6338">
        <v>-1.84401623810749</v>
      </c>
      <c r="AG6338">
        <v>-1.1104455890704901</v>
      </c>
      <c r="AH6338">
        <v>18.254744399130999</v>
      </c>
      <c r="AI6338">
        <v>93.463459785761899</v>
      </c>
      <c r="AJ6338">
        <v>95.768207867689597</v>
      </c>
      <c r="AK6338">
        <v>18.381218087229598</v>
      </c>
      <c r="AL6338">
        <v>81.943994311378106</v>
      </c>
      <c r="AM6338">
        <v>96.419769187588301</v>
      </c>
      <c r="AN6338">
        <v>0.99999996303569905</v>
      </c>
    </row>
    <row r="6339" spans="1:40" x14ac:dyDescent="0.25">
      <c r="A6339" t="str">
        <f>"20190312164149995"</f>
        <v>20190312164149995</v>
      </c>
      <c r="B6339" t="str">
        <f>"1552380109992053"</f>
        <v>1552380109992053</v>
      </c>
      <c r="C6339" t="s">
        <v>40</v>
      </c>
      <c r="D6339">
        <v>5.8723830000000001</v>
      </c>
      <c r="E6339">
        <v>0.50746469999999999</v>
      </c>
      <c r="F6339" t="s">
        <v>60</v>
      </c>
      <c r="G6339">
        <v>-210.73750000000001</v>
      </c>
      <c r="H6339" s="1">
        <v>4.3148709999999902E-7</v>
      </c>
      <c r="I6339">
        <v>-61.447670000000002</v>
      </c>
      <c r="J6339">
        <v>-228.97110000000001</v>
      </c>
      <c r="K6339">
        <v>1.1104419999999999</v>
      </c>
      <c r="L6339">
        <v>-62.812100000000001</v>
      </c>
      <c r="M6339">
        <v>0.99959699999999996</v>
      </c>
      <c r="N6339">
        <v>0</v>
      </c>
      <c r="O6339">
        <v>-2.6621969999999998E-2</v>
      </c>
      <c r="P6339">
        <v>0.9878401</v>
      </c>
      <c r="Q6339">
        <v>0.13003100000000001</v>
      </c>
      <c r="R6339">
        <v>8.5229750000000007E-2</v>
      </c>
      <c r="S6339">
        <v>3.0419770000000002</v>
      </c>
      <c r="T6339">
        <v>-0.1834961</v>
      </c>
      <c r="U6339">
        <v>0.2247314</v>
      </c>
      <c r="V6339">
        <v>-0.1117385</v>
      </c>
      <c r="W6339">
        <v>0.1395593</v>
      </c>
      <c r="X6339">
        <v>0.98388900000000001</v>
      </c>
      <c r="Y6339">
        <v>-9.9971820000000003E-2</v>
      </c>
      <c r="Z6339">
        <v>4.6109569999999997E-3</v>
      </c>
      <c r="AA6339">
        <v>0.99497959999999996</v>
      </c>
      <c r="AB6339">
        <v>33</v>
      </c>
      <c r="AC6339">
        <v>18.233599999999999</v>
      </c>
      <c r="AD6339">
        <v>-1.1104415685129001</v>
      </c>
      <c r="AE6339">
        <v>1.36443</v>
      </c>
      <c r="AF6339">
        <v>-1.84258834026149</v>
      </c>
      <c r="AG6339">
        <v>-1.1104415685129001</v>
      </c>
      <c r="AH6339">
        <v>18.123965416377601</v>
      </c>
      <c r="AI6339">
        <v>93.488150416273101</v>
      </c>
      <c r="AJ6339">
        <v>95.805078601806997</v>
      </c>
      <c r="AK6339">
        <v>18.251200910701701</v>
      </c>
      <c r="AL6339">
        <v>81.977653765868894</v>
      </c>
      <c r="AM6339">
        <v>96.479217807298795</v>
      </c>
      <c r="AN6339">
        <v>0.99999992745986699</v>
      </c>
    </row>
    <row r="6340" spans="1:40" x14ac:dyDescent="0.25">
      <c r="A6340" t="str">
        <f>"20190312164150006"</f>
        <v>20190312164150006</v>
      </c>
      <c r="B6340" t="str">
        <f>"1552380110002788"</f>
        <v>1552380110002788</v>
      </c>
      <c r="C6340" t="s">
        <v>40</v>
      </c>
      <c r="D6340">
        <v>5.8608419999999999</v>
      </c>
      <c r="E6340">
        <v>0.50761529999999999</v>
      </c>
      <c r="F6340" t="s">
        <v>60</v>
      </c>
      <c r="G6340">
        <v>-210.6645</v>
      </c>
      <c r="H6340" s="1">
        <v>4.6469070000000001E-7</v>
      </c>
      <c r="I6340">
        <v>-61.440489999999997</v>
      </c>
      <c r="J6340">
        <v>-228.8175</v>
      </c>
      <c r="K6340">
        <v>1.1104369999999999</v>
      </c>
      <c r="L6340">
        <v>-62.815829999999998</v>
      </c>
      <c r="M6340">
        <v>0.99960740000000003</v>
      </c>
      <c r="N6340">
        <v>0</v>
      </c>
      <c r="O6340">
        <v>-2.623936E-2</v>
      </c>
      <c r="P6340">
        <v>0.98776109999999995</v>
      </c>
      <c r="Q6340">
        <v>0.12981719999999999</v>
      </c>
      <c r="R6340">
        <v>8.6462860000000002E-2</v>
      </c>
      <c r="S6340">
        <v>3.0415190000000001</v>
      </c>
      <c r="T6340">
        <v>-0.18449280000000001</v>
      </c>
      <c r="U6340">
        <v>0.22787479999999999</v>
      </c>
      <c r="V6340">
        <v>-0.1125927</v>
      </c>
      <c r="W6340">
        <v>0.1393006</v>
      </c>
      <c r="X6340">
        <v>0.98382840000000005</v>
      </c>
      <c r="Y6340">
        <v>-0.1006215</v>
      </c>
      <c r="Z6340">
        <v>4.6329789999999997E-3</v>
      </c>
      <c r="AA6340">
        <v>0.99491399999999997</v>
      </c>
      <c r="AB6340">
        <v>33</v>
      </c>
      <c r="AC6340">
        <v>18.152999999999899</v>
      </c>
      <c r="AD6340">
        <v>-1.1104365353093</v>
      </c>
      <c r="AE6340">
        <v>1.37534</v>
      </c>
      <c r="AF6340">
        <v>-1.84435054285838</v>
      </c>
      <c r="AG6340">
        <v>-1.1104365353093</v>
      </c>
      <c r="AH6340">
        <v>18.043527832736999</v>
      </c>
      <c r="AI6340">
        <v>93.503451765250304</v>
      </c>
      <c r="AJ6340">
        <v>95.8363175067132</v>
      </c>
      <c r="AK6340">
        <v>18.1715050250288</v>
      </c>
      <c r="AL6340">
        <v>81.992623362810505</v>
      </c>
      <c r="AM6340">
        <v>96.528721726213703</v>
      </c>
      <c r="AN6340">
        <v>1.0000000469501</v>
      </c>
    </row>
    <row r="6341" spans="1:40" x14ac:dyDescent="0.25">
      <c r="A6341" t="str">
        <f>"20190312164150017"</f>
        <v>20190312164150017</v>
      </c>
      <c r="B6341" t="str">
        <f>"1552380110012548"</f>
        <v>1552380110012548</v>
      </c>
      <c r="C6341" t="s">
        <v>40</v>
      </c>
      <c r="D6341">
        <v>5.813059</v>
      </c>
      <c r="E6341">
        <v>0.50761529999999999</v>
      </c>
      <c r="F6341" t="s">
        <v>60</v>
      </c>
      <c r="G6341">
        <v>-210.52549999999999</v>
      </c>
      <c r="H6341" s="1">
        <v>5.2707999999999998E-7</v>
      </c>
      <c r="I6341">
        <v>-61.430149999999998</v>
      </c>
      <c r="J6341">
        <v>-228.64439999999999</v>
      </c>
      <c r="K6341">
        <v>1.1104339999999999</v>
      </c>
      <c r="L6341">
        <v>-62.820010000000003</v>
      </c>
      <c r="M6341">
        <v>0.99961920000000004</v>
      </c>
      <c r="N6341">
        <v>0</v>
      </c>
      <c r="O6341">
        <v>-2.5807730000000001E-2</v>
      </c>
      <c r="P6341">
        <v>0.98773809999999995</v>
      </c>
      <c r="Q6341">
        <v>0.12931709999999999</v>
      </c>
      <c r="R6341">
        <v>8.7468560000000001E-2</v>
      </c>
      <c r="S6341">
        <v>3.0412750000000002</v>
      </c>
      <c r="T6341">
        <v>-0.1846236</v>
      </c>
      <c r="U6341">
        <v>0.2303772</v>
      </c>
      <c r="V6341">
        <v>-0.11317240000000001</v>
      </c>
      <c r="W6341">
        <v>0.13875279999999901</v>
      </c>
      <c r="X6341">
        <v>0.98383929999999997</v>
      </c>
      <c r="Y6341">
        <v>-0.10101160000000001</v>
      </c>
      <c r="Z6341">
        <v>4.6221530000000004E-3</v>
      </c>
      <c r="AA6341">
        <v>0.99487449999999999</v>
      </c>
      <c r="AB6341">
        <v>33</v>
      </c>
      <c r="AC6341">
        <v>18.1189</v>
      </c>
      <c r="AD6341">
        <v>-1.1104334729199901</v>
      </c>
      <c r="AE6341">
        <v>1.3898599999999901</v>
      </c>
      <c r="AF6341">
        <v>-1.8501186874028901</v>
      </c>
      <c r="AG6341">
        <v>-1.1104334729199901</v>
      </c>
      <c r="AH6341">
        <v>18.009745366534201</v>
      </c>
      <c r="AI6341">
        <v>93.509815640708993</v>
      </c>
      <c r="AJ6341">
        <v>95.865349012609101</v>
      </c>
      <c r="AK6341">
        <v>18.138548172956401</v>
      </c>
      <c r="AL6341">
        <v>82.024317809820801</v>
      </c>
      <c r="AM6341">
        <v>96.561971306520405</v>
      </c>
      <c r="AN6341">
        <v>1.0000000499270401</v>
      </c>
    </row>
    <row r="6342" spans="1:40" x14ac:dyDescent="0.25">
      <c r="A6342" t="str">
        <f>"20190312164150031"</f>
        <v>20190312164150031</v>
      </c>
      <c r="B6342" t="str">
        <f>"1552380110022309"</f>
        <v>1552380110022309</v>
      </c>
      <c r="C6342" t="s">
        <v>40</v>
      </c>
      <c r="D6342">
        <v>5.8212590000000004</v>
      </c>
      <c r="E6342">
        <v>0.51419479999999995</v>
      </c>
      <c r="F6342" t="s">
        <v>60</v>
      </c>
      <c r="G6342">
        <v>-210.5042</v>
      </c>
      <c r="H6342" s="1">
        <v>5.3690169999999896E-7</v>
      </c>
      <c r="I6342">
        <v>-61.42765</v>
      </c>
      <c r="J6342">
        <v>-228.4564</v>
      </c>
      <c r="K6342">
        <v>1.1104290000000001</v>
      </c>
      <c r="L6342">
        <v>-62.824399999999997</v>
      </c>
      <c r="M6342">
        <v>0.99963159999999895</v>
      </c>
      <c r="N6342">
        <v>0</v>
      </c>
      <c r="O6342">
        <v>-2.5339879999999999E-2</v>
      </c>
      <c r="P6342">
        <v>0.98764260000000004</v>
      </c>
      <c r="Q6342">
        <v>0.12909870000000001</v>
      </c>
      <c r="R6342">
        <v>8.8858629999999994E-2</v>
      </c>
      <c r="S6342">
        <v>3.0409389999999998</v>
      </c>
      <c r="T6342">
        <v>-0.1861477</v>
      </c>
      <c r="U6342">
        <v>0.23339840000000001</v>
      </c>
      <c r="V6342">
        <v>-0.11409900000000001</v>
      </c>
      <c r="W6342">
        <v>0.13848559999999999</v>
      </c>
      <c r="X6342">
        <v>0.98376989999999997</v>
      </c>
      <c r="Y6342">
        <v>-0.101533</v>
      </c>
      <c r="Z6342">
        <v>4.6479190000000004E-3</v>
      </c>
      <c r="AA6342">
        <v>0.99482130000000002</v>
      </c>
      <c r="AB6342">
        <v>33</v>
      </c>
      <c r="AC6342">
        <v>17.952200000000001</v>
      </c>
      <c r="AD6342">
        <v>-1.1104284630982999</v>
      </c>
      <c r="AE6342">
        <v>1.3967499999999899</v>
      </c>
      <c r="AF6342">
        <v>-1.8442160260304401</v>
      </c>
      <c r="AG6342">
        <v>-1.1104284630982999</v>
      </c>
      <c r="AH6342">
        <v>17.843182360375501</v>
      </c>
      <c r="AI6342">
        <v>93.542253871911996</v>
      </c>
      <c r="AJ6342">
        <v>95.9009610836344</v>
      </c>
      <c r="AK6342">
        <v>17.972571904653599</v>
      </c>
      <c r="AL6342">
        <v>82.039776320934806</v>
      </c>
      <c r="AM6342">
        <v>96.615685753091597</v>
      </c>
      <c r="AN6342">
        <v>1.00000002967718</v>
      </c>
    </row>
    <row r="6343" spans="1:40" x14ac:dyDescent="0.25">
      <c r="A6343" t="str">
        <f>"20190312164150042"</f>
        <v>20190312164150042</v>
      </c>
      <c r="B6343" t="str">
        <f>"1552380110032070"</f>
        <v>1552380110032070</v>
      </c>
      <c r="C6343" t="s">
        <v>40</v>
      </c>
      <c r="D6343">
        <v>5.7982550000000002</v>
      </c>
      <c r="E6343">
        <v>0.5149726</v>
      </c>
      <c r="F6343" t="s">
        <v>60</v>
      </c>
      <c r="G6343">
        <v>-215.92910000000001</v>
      </c>
      <c r="H6343" s="1">
        <v>-1.9546950000000002E-6</v>
      </c>
      <c r="I6343">
        <v>-62.045189999999998</v>
      </c>
      <c r="J6343">
        <v>-228.27430000000001</v>
      </c>
      <c r="K6343">
        <v>1.1104270000000001</v>
      </c>
      <c r="L6343">
        <v>-62.82864</v>
      </c>
      <c r="M6343">
        <v>0.99964330000000001</v>
      </c>
      <c r="N6343">
        <v>0</v>
      </c>
      <c r="O6343">
        <v>-2.4886700000000001E-2</v>
      </c>
      <c r="P6343">
        <v>0.98760669999999995</v>
      </c>
      <c r="Q6343">
        <v>0.12878010000000001</v>
      </c>
      <c r="R6343">
        <v>8.9714660000000002E-2</v>
      </c>
      <c r="S6343">
        <v>3.055847</v>
      </c>
      <c r="T6343">
        <v>-0.27087280000000002</v>
      </c>
      <c r="U6343">
        <v>0.1900635</v>
      </c>
      <c r="V6343">
        <v>-0.11450730000000001</v>
      </c>
      <c r="W6343">
        <v>0.13812240000000001</v>
      </c>
      <c r="X6343">
        <v>0.98377349999999997</v>
      </c>
      <c r="Y6343">
        <v>-8.6462269999999994E-2</v>
      </c>
      <c r="Z6343">
        <v>6.0207819999999997E-3</v>
      </c>
      <c r="AA6343">
        <v>0.99623689999999998</v>
      </c>
      <c r="AB6343">
        <v>33</v>
      </c>
      <c r="AC6343">
        <v>12.3452</v>
      </c>
      <c r="AD6343">
        <v>-1.1104289546949999</v>
      </c>
      <c r="AE6343">
        <v>0.78344999999999398</v>
      </c>
      <c r="AF6343">
        <v>-1.08173616368314</v>
      </c>
      <c r="AG6343">
        <v>-1.1104289546949999</v>
      </c>
      <c r="AH6343">
        <v>12.223378848542</v>
      </c>
      <c r="AI6343">
        <v>95.1706706389039</v>
      </c>
      <c r="AJ6343">
        <v>95.057347232312296</v>
      </c>
      <c r="AK6343">
        <v>12.321290357191801</v>
      </c>
      <c r="AL6343">
        <v>82.060787910721402</v>
      </c>
      <c r="AM6343">
        <v>96.639124741887898</v>
      </c>
      <c r="AN6343">
        <v>1.0000000092186401</v>
      </c>
    </row>
    <row r="6344" spans="1:40" x14ac:dyDescent="0.25">
      <c r="A6344" t="str">
        <f>"20190312164150053"</f>
        <v>20190312164150053</v>
      </c>
      <c r="B6344" t="str">
        <f>"1552380110042805"</f>
        <v>1552380110042805</v>
      </c>
      <c r="C6344" t="s">
        <v>40</v>
      </c>
      <c r="D6344">
        <v>5.8129160000000004</v>
      </c>
      <c r="E6344">
        <v>0.51364239999999906</v>
      </c>
      <c r="F6344" t="s">
        <v>60</v>
      </c>
      <c r="G6344">
        <v>-215.37880000000001</v>
      </c>
      <c r="H6344" s="1">
        <v>-1.7179939999999999E-6</v>
      </c>
      <c r="I6344">
        <v>-62.042929999999998</v>
      </c>
      <c r="J6344">
        <v>-228.1062</v>
      </c>
      <c r="K6344">
        <v>1.110422</v>
      </c>
      <c r="L6344">
        <v>-62.832459999999998</v>
      </c>
      <c r="M6344">
        <v>0.99965409999999999</v>
      </c>
      <c r="N6344">
        <v>0</v>
      </c>
      <c r="O6344">
        <v>-2.446883E-2</v>
      </c>
      <c r="P6344">
        <v>0.98745859999999996</v>
      </c>
      <c r="Q6344">
        <v>0.12912509999999999</v>
      </c>
      <c r="R6344">
        <v>9.0845200000000001E-2</v>
      </c>
      <c r="S6344">
        <v>3.0550229999999998</v>
      </c>
      <c r="T6344">
        <v>-0.2630671</v>
      </c>
      <c r="U6344">
        <v>0.18612670000000001</v>
      </c>
      <c r="V6344">
        <v>-0.1152238</v>
      </c>
      <c r="W6344">
        <v>0.13842750000000001</v>
      </c>
      <c r="X6344">
        <v>0.98364689999999999</v>
      </c>
      <c r="Y6344">
        <v>-8.4815479999999999E-2</v>
      </c>
      <c r="Z6344">
        <v>5.7431219999999998E-3</v>
      </c>
      <c r="AA6344">
        <v>0.99638020000000005</v>
      </c>
      <c r="AB6344">
        <v>33</v>
      </c>
      <c r="AC6344">
        <v>12.7273999999999</v>
      </c>
      <c r="AD6344">
        <v>-1.110423717994</v>
      </c>
      <c r="AE6344">
        <v>0.78952999999999196</v>
      </c>
      <c r="AF6344">
        <v>-1.0924488209198</v>
      </c>
      <c r="AG6344">
        <v>-1.110423717994</v>
      </c>
      <c r="AH6344">
        <v>12.6086601623907</v>
      </c>
      <c r="AI6344">
        <v>95.014269357087997</v>
      </c>
      <c r="AJ6344">
        <v>94.951896603019307</v>
      </c>
      <c r="AK6344">
        <v>12.7045187374599</v>
      </c>
      <c r="AL6344">
        <v>82.043137024444903</v>
      </c>
      <c r="AM6344">
        <v>96.681145058946996</v>
      </c>
      <c r="AN6344">
        <v>0.99999996036114902</v>
      </c>
    </row>
    <row r="6345" spans="1:40" x14ac:dyDescent="0.25">
      <c r="A6345" t="str">
        <f>"20190312164150066"</f>
        <v>20190312164150066</v>
      </c>
      <c r="B6345" t="str">
        <f>"1552380110062324"</f>
        <v>1552380110062324</v>
      </c>
      <c r="C6345" t="s">
        <v>40</v>
      </c>
      <c r="D6345">
        <v>5.809361</v>
      </c>
      <c r="E6345">
        <v>0.51305369999999995</v>
      </c>
      <c r="F6345" t="s">
        <v>60</v>
      </c>
      <c r="G6345">
        <v>-214.47329999999999</v>
      </c>
      <c r="H6345" s="1">
        <v>-1.3026419999999999E-6</v>
      </c>
      <c r="I6345">
        <v>-61.941780000000001</v>
      </c>
      <c r="J6345">
        <v>-227.934</v>
      </c>
      <c r="K6345">
        <v>1.1104210000000001</v>
      </c>
      <c r="L6345">
        <v>-62.836300000000001</v>
      </c>
      <c r="M6345">
        <v>0.99966480000000002</v>
      </c>
      <c r="N6345">
        <v>0</v>
      </c>
      <c r="O6345">
        <v>-2.4040720000000002E-2</v>
      </c>
      <c r="P6345">
        <v>0.987317</v>
      </c>
      <c r="Q6345">
        <v>0.12946260000000001</v>
      </c>
      <c r="R6345">
        <v>9.1897960000000001E-2</v>
      </c>
      <c r="S6345">
        <v>3.0522770000000001</v>
      </c>
      <c r="T6345">
        <v>-0.24861359999999999</v>
      </c>
      <c r="U6345">
        <v>0.19940189999999999</v>
      </c>
      <c r="V6345">
        <v>-0.1158525</v>
      </c>
      <c r="W6345">
        <v>0.13872679999999901</v>
      </c>
      <c r="X6345">
        <v>0.98353089999999999</v>
      </c>
      <c r="Y6345">
        <v>-8.8789549999999995E-2</v>
      </c>
      <c r="Z6345">
        <v>5.5594190000000003E-3</v>
      </c>
      <c r="AA6345">
        <v>0.99603489999999995</v>
      </c>
      <c r="AB6345">
        <v>33</v>
      </c>
      <c r="AC6345">
        <v>13.460699999999999</v>
      </c>
      <c r="AD6345">
        <v>-1.1104223026419999</v>
      </c>
      <c r="AE6345">
        <v>0.89451999999999998</v>
      </c>
      <c r="AF6345">
        <v>-1.20968534304007</v>
      </c>
      <c r="AG6345">
        <v>-1.1104223026419999</v>
      </c>
      <c r="AH6345">
        <v>13.3448879552821</v>
      </c>
      <c r="AI6345">
        <v>94.737264672264004</v>
      </c>
      <c r="AJ6345">
        <v>95.1795829958605</v>
      </c>
      <c r="AK6345">
        <v>13.4455349785125</v>
      </c>
      <c r="AL6345">
        <v>82.025821478627194</v>
      </c>
      <c r="AM6345">
        <v>96.718052420431405</v>
      </c>
      <c r="AN6345">
        <v>0.99999997902464899</v>
      </c>
    </row>
    <row r="6346" spans="1:40" x14ac:dyDescent="0.25">
      <c r="A6346" t="str">
        <f>"20190312164150077"</f>
        <v>20190312164150077</v>
      </c>
      <c r="B6346" t="str">
        <f>"1552380110072084"</f>
        <v>1552380110072084</v>
      </c>
      <c r="C6346" t="s">
        <v>40</v>
      </c>
      <c r="D6346">
        <v>5.8377530000000002</v>
      </c>
      <c r="E6346">
        <v>0.51304719999999904</v>
      </c>
      <c r="F6346" t="s">
        <v>60</v>
      </c>
      <c r="G6346">
        <v>-213.00800000000001</v>
      </c>
      <c r="H6346" s="1">
        <v>-6.4377509999999997E-7</v>
      </c>
      <c r="I6346">
        <v>-61.828029999999998</v>
      </c>
      <c r="J6346">
        <v>-227.75360000000001</v>
      </c>
      <c r="K6346">
        <v>1.11042</v>
      </c>
      <c r="L6346">
        <v>-62.840240000000001</v>
      </c>
      <c r="M6346">
        <v>0.99967569999999994</v>
      </c>
      <c r="N6346">
        <v>0</v>
      </c>
      <c r="O6346">
        <v>-2.359234E-2</v>
      </c>
      <c r="P6346">
        <v>0.98721239999999999</v>
      </c>
      <c r="Q6346">
        <v>0.1297355</v>
      </c>
      <c r="R6346">
        <v>9.2630790000000005E-2</v>
      </c>
      <c r="S6346">
        <v>3.0491329999999999</v>
      </c>
      <c r="T6346">
        <v>-0.22684099999999999</v>
      </c>
      <c r="U6346">
        <v>0.20596310000000001</v>
      </c>
      <c r="V6346">
        <v>-0.1161418</v>
      </c>
      <c r="W6346">
        <v>0.13896249999999999</v>
      </c>
      <c r="X6346">
        <v>0.98346350000000005</v>
      </c>
      <c r="Y6346">
        <v>-9.0601280000000006E-2</v>
      </c>
      <c r="Z6346">
        <v>5.1127430000000003E-3</v>
      </c>
      <c r="AA6346">
        <v>0.99587409999999998</v>
      </c>
      <c r="AB6346">
        <v>33</v>
      </c>
      <c r="AC6346">
        <v>14.7456</v>
      </c>
      <c r="AD6346">
        <v>-1.1104206437751001</v>
      </c>
      <c r="AE6346">
        <v>1.0122099999999901</v>
      </c>
      <c r="AF6346">
        <v>-1.35219526392853</v>
      </c>
      <c r="AG6346">
        <v>-1.1104206437751001</v>
      </c>
      <c r="AH6346">
        <v>14.635009775863599</v>
      </c>
      <c r="AI6346">
        <v>94.320628953070198</v>
      </c>
      <c r="AJ6346">
        <v>95.278830922988206</v>
      </c>
      <c r="AK6346">
        <v>14.739232584416801</v>
      </c>
      <c r="AL6346">
        <v>82.012184747810394</v>
      </c>
      <c r="AM6346">
        <v>96.735131748592394</v>
      </c>
      <c r="AN6346">
        <v>0.99999997497286897</v>
      </c>
    </row>
    <row r="6347" spans="1:40" x14ac:dyDescent="0.25">
      <c r="A6347" t="str">
        <f>"20190312164150086"</f>
        <v>20190312164150086</v>
      </c>
      <c r="B6347" t="str">
        <f>"1552380110082353"</f>
        <v>1552380110082353</v>
      </c>
      <c r="C6347" t="s">
        <v>40</v>
      </c>
      <c r="D6347">
        <v>5.8602670000000003</v>
      </c>
      <c r="E6347">
        <v>0.51280029999999999</v>
      </c>
      <c r="F6347" t="s">
        <v>60</v>
      </c>
      <c r="G6347">
        <v>-212.36250000000001</v>
      </c>
      <c r="H6347" s="1">
        <v>-3.5697520000000002E-7</v>
      </c>
      <c r="I6347">
        <v>-61.790999999999997</v>
      </c>
      <c r="J6347">
        <v>-227.61949999999999</v>
      </c>
      <c r="K6347">
        <v>1.1104179999999999</v>
      </c>
      <c r="L6347">
        <v>-62.84308</v>
      </c>
      <c r="M6347">
        <v>0.99968389999999996</v>
      </c>
      <c r="N6347">
        <v>0</v>
      </c>
      <c r="O6347">
        <v>-2.3259180000000001E-2</v>
      </c>
      <c r="P6347">
        <v>0.98707339999999999</v>
      </c>
      <c r="Q6347">
        <v>0.13015639999999901</v>
      </c>
      <c r="R6347">
        <v>9.3519050000000006E-2</v>
      </c>
      <c r="S6347">
        <v>3.048279</v>
      </c>
      <c r="T6347">
        <v>-0.2199229</v>
      </c>
      <c r="U6347">
        <v>0.20779420000000001</v>
      </c>
      <c r="V6347">
        <v>-0.11669939999999999</v>
      </c>
      <c r="W6347">
        <v>0.1393577</v>
      </c>
      <c r="X6347">
        <v>0.98334160000000004</v>
      </c>
      <c r="Y6347">
        <v>-9.0902380000000005E-2</v>
      </c>
      <c r="Z6347">
        <v>4.9453630000000004E-3</v>
      </c>
      <c r="AA6347">
        <v>0.9958475</v>
      </c>
      <c r="AB6347">
        <v>33</v>
      </c>
      <c r="AC6347">
        <v>15.2569999999999</v>
      </c>
      <c r="AD6347">
        <v>-1.1104183569752</v>
      </c>
      <c r="AE6347">
        <v>1.0520799999999999</v>
      </c>
      <c r="AF6347">
        <v>-1.3992997326159899</v>
      </c>
      <c r="AG6347">
        <v>-1.1104183569752</v>
      </c>
      <c r="AH6347">
        <v>15.1485375235088</v>
      </c>
      <c r="AI6347">
        <v>94.174688740137398</v>
      </c>
      <c r="AJ6347">
        <v>95.277545706983901</v>
      </c>
      <c r="AK6347">
        <v>15.253499853160299</v>
      </c>
      <c r="AL6347">
        <v>81.989319254255904</v>
      </c>
      <c r="AM6347">
        <v>96.767999240775794</v>
      </c>
      <c r="AN6347">
        <v>1.0000000104000999</v>
      </c>
    </row>
    <row r="6348" spans="1:40" x14ac:dyDescent="0.25">
      <c r="A6348" t="str">
        <f>"20190312164150096"</f>
        <v>20190312164150096</v>
      </c>
      <c r="B6348" t="str">
        <f>"1552380110092113"</f>
        <v>1552380110092113</v>
      </c>
      <c r="C6348" t="s">
        <v>40</v>
      </c>
      <c r="D6348">
        <v>5.8618350000000001</v>
      </c>
      <c r="E6348">
        <v>0.51260969999999995</v>
      </c>
      <c r="F6348" t="s">
        <v>60</v>
      </c>
      <c r="G6348">
        <v>-211.79900000000001</v>
      </c>
      <c r="H6348" s="1">
        <v>-1.0185080000000001E-7</v>
      </c>
      <c r="I6348">
        <v>-61.740650000000002</v>
      </c>
      <c r="J6348">
        <v>-227.47409999999999</v>
      </c>
      <c r="K6348">
        <v>1.110417</v>
      </c>
      <c r="L6348">
        <v>-62.846159999999998</v>
      </c>
      <c r="M6348">
        <v>0.99969249999999998</v>
      </c>
      <c r="N6348">
        <v>0</v>
      </c>
      <c r="O6348">
        <v>-2.2897870000000001E-2</v>
      </c>
      <c r="P6348">
        <v>0.98694850000000001</v>
      </c>
      <c r="Q6348">
        <v>0.1305045</v>
      </c>
      <c r="R6348">
        <v>9.4349619999999995E-2</v>
      </c>
      <c r="S6348">
        <v>3.0473789999999998</v>
      </c>
      <c r="T6348">
        <v>-0.21389030000000001</v>
      </c>
      <c r="U6348">
        <v>0.21234130000000001</v>
      </c>
      <c r="V6348">
        <v>-0.11717229999999999</v>
      </c>
      <c r="W6348">
        <v>0.13967829999999901</v>
      </c>
      <c r="X6348">
        <v>0.98323990000000006</v>
      </c>
      <c r="Y6348">
        <v>-9.2055200000000004E-2</v>
      </c>
      <c r="Z6348">
        <v>4.826276E-3</v>
      </c>
      <c r="AA6348">
        <v>0.99574220000000002</v>
      </c>
      <c r="AB6348">
        <v>34</v>
      </c>
      <c r="AC6348">
        <v>15.675099999999899</v>
      </c>
      <c r="AD6348">
        <v>-1.1104171018508</v>
      </c>
      <c r="AE6348">
        <v>1.10550999999999</v>
      </c>
      <c r="AF6348">
        <v>-1.45688794857486</v>
      </c>
      <c r="AG6348">
        <v>-1.1104171018508</v>
      </c>
      <c r="AH6348">
        <v>15.567937768974801</v>
      </c>
      <c r="AI6348">
        <v>94.062147975375893</v>
      </c>
      <c r="AJ6348">
        <v>95.346316618602003</v>
      </c>
      <c r="AK6348">
        <v>15.6753384337773</v>
      </c>
      <c r="AL6348">
        <v>81.970769019743798</v>
      </c>
      <c r="AM6348">
        <v>96.795865482266805</v>
      </c>
      <c r="AN6348">
        <v>1.00000003816509</v>
      </c>
    </row>
    <row r="6349" spans="1:40" x14ac:dyDescent="0.25">
      <c r="A6349" t="str">
        <f>"20190312164150109"</f>
        <v>20190312164150109</v>
      </c>
      <c r="B6349" t="str">
        <f>"1552380110102850"</f>
        <v>1552380110102850</v>
      </c>
      <c r="C6349" t="s">
        <v>40</v>
      </c>
      <c r="D6349">
        <v>5.9325530000000004</v>
      </c>
      <c r="E6349">
        <v>0.51266970000000001</v>
      </c>
      <c r="F6349" t="s">
        <v>60</v>
      </c>
      <c r="G6349">
        <v>-211.25700000000001</v>
      </c>
      <c r="H6349" s="1">
        <v>1.4277009999999999E-7</v>
      </c>
      <c r="I6349">
        <v>-61.695169999999997</v>
      </c>
      <c r="J6349">
        <v>-227.28569999999999</v>
      </c>
      <c r="K6349">
        <v>1.1104149999999999</v>
      </c>
      <c r="L6349">
        <v>-62.850070000000002</v>
      </c>
      <c r="M6349">
        <v>0.99970329999999996</v>
      </c>
      <c r="N6349">
        <v>0</v>
      </c>
      <c r="O6349">
        <v>-2.2429609999999999E-2</v>
      </c>
      <c r="P6349">
        <v>0.98683609999999999</v>
      </c>
      <c r="Q6349">
        <v>0.1306532</v>
      </c>
      <c r="R6349">
        <v>9.5311119999999999E-2</v>
      </c>
      <c r="S6349">
        <v>3.0465849999999999</v>
      </c>
      <c r="T6349">
        <v>-0.20860490000000001</v>
      </c>
      <c r="U6349">
        <v>0.21621699999999999</v>
      </c>
      <c r="V6349">
        <v>-0.117671</v>
      </c>
      <c r="W6349">
        <v>0.13979539999999999</v>
      </c>
      <c r="X6349">
        <v>0.98316369999999997</v>
      </c>
      <c r="Y6349">
        <v>-9.2880030000000002E-2</v>
      </c>
      <c r="Z6349">
        <v>4.7044890000000001E-3</v>
      </c>
      <c r="AA6349">
        <v>0.99566619999999995</v>
      </c>
      <c r="AB6349">
        <v>34</v>
      </c>
      <c r="AC6349">
        <v>16.028699999999901</v>
      </c>
      <c r="AD6349">
        <v>-1.1104148572299</v>
      </c>
      <c r="AE6349">
        <v>1.15489999999999</v>
      </c>
      <c r="AF6349">
        <v>-1.5069482604692701</v>
      </c>
      <c r="AG6349">
        <v>-1.1104148572299</v>
      </c>
      <c r="AH6349">
        <v>15.9227394512745</v>
      </c>
      <c r="AI6349">
        <v>93.971526343053299</v>
      </c>
      <c r="AJ6349">
        <v>95.4064418522712</v>
      </c>
      <c r="AK6349">
        <v>16.032390521942101</v>
      </c>
      <c r="AL6349">
        <v>81.963993215698594</v>
      </c>
      <c r="AM6349">
        <v>96.825041257992496</v>
      </c>
      <c r="AN6349">
        <v>1.00000003954992</v>
      </c>
    </row>
    <row r="6350" spans="1:40" x14ac:dyDescent="0.25">
      <c r="A6350" t="str">
        <f>"20190312164150119"</f>
        <v>20190312164150119</v>
      </c>
      <c r="B6350" t="str">
        <f>"1552380110112609"</f>
        <v>1552380110112609</v>
      </c>
      <c r="C6350" t="s">
        <v>40</v>
      </c>
      <c r="D6350">
        <v>6.0302699999999998</v>
      </c>
      <c r="E6350">
        <v>0.51278080000000004</v>
      </c>
      <c r="F6350" t="s">
        <v>60</v>
      </c>
      <c r="G6350">
        <v>-210.81530000000001</v>
      </c>
      <c r="H6350" s="1">
        <v>3.3937699999999998E-7</v>
      </c>
      <c r="I6350">
        <v>-61.668370000000003</v>
      </c>
      <c r="J6350">
        <v>-227.12280000000001</v>
      </c>
      <c r="K6350">
        <v>1.110412</v>
      </c>
      <c r="L6350">
        <v>-62.853389999999997</v>
      </c>
      <c r="M6350">
        <v>0.9997125</v>
      </c>
      <c r="N6350">
        <v>0</v>
      </c>
      <c r="O6350">
        <v>-2.2024800000000001E-2</v>
      </c>
      <c r="P6350">
        <v>0.98675559999999995</v>
      </c>
      <c r="Q6350">
        <v>0.13061439999999999</v>
      </c>
      <c r="R6350">
        <v>9.6194009999999996E-2</v>
      </c>
      <c r="S6350">
        <v>3.0460820000000002</v>
      </c>
      <c r="T6350">
        <v>-0.2053633</v>
      </c>
      <c r="U6350">
        <v>0.21853639999999999</v>
      </c>
      <c r="V6350">
        <v>-0.118154</v>
      </c>
      <c r="W6350">
        <v>0.1397302</v>
      </c>
      <c r="X6350">
        <v>0.98311499999999996</v>
      </c>
      <c r="Y6350">
        <v>-9.3251039999999993E-2</v>
      </c>
      <c r="Z6350">
        <v>4.6174329999999998E-3</v>
      </c>
      <c r="AA6350">
        <v>0.99563190000000001</v>
      </c>
      <c r="AB6350">
        <v>34</v>
      </c>
      <c r="AC6350">
        <v>16.307500000000001</v>
      </c>
      <c r="AD6350">
        <v>-1.1104116606229999</v>
      </c>
      <c r="AE6350">
        <v>1.18502</v>
      </c>
      <c r="AF6350">
        <v>-1.5368299438747901</v>
      </c>
      <c r="AG6350">
        <v>-1.1104116606229999</v>
      </c>
      <c r="AH6350">
        <v>16.202713062505801</v>
      </c>
      <c r="AI6350">
        <v>93.903027084216006</v>
      </c>
      <c r="AJ6350">
        <v>95.418304028608503</v>
      </c>
      <c r="AK6350">
        <v>16.313269780100299</v>
      </c>
      <c r="AL6350">
        <v>81.967765608659207</v>
      </c>
      <c r="AM6350">
        <v>96.853126131828404</v>
      </c>
      <c r="AN6350">
        <v>0.999999999866519</v>
      </c>
    </row>
    <row r="6351" spans="1:40" x14ac:dyDescent="0.25">
      <c r="A6351" t="str">
        <f>"20190312164150130"</f>
        <v>20190312164150130</v>
      </c>
      <c r="B6351" t="str">
        <f>"1552380110122369"</f>
        <v>1552380110122369</v>
      </c>
      <c r="C6351" t="s">
        <v>40</v>
      </c>
      <c r="D6351">
        <v>5.845008</v>
      </c>
      <c r="E6351">
        <v>0.51278080000000004</v>
      </c>
      <c r="F6351" t="s">
        <v>60</v>
      </c>
      <c r="G6351">
        <v>-210.41480000000001</v>
      </c>
      <c r="H6351" s="1">
        <v>5.1715349999999999E-7</v>
      </c>
      <c r="I6351">
        <v>-61.645919999999997</v>
      </c>
      <c r="J6351">
        <v>-226.95419999999999</v>
      </c>
      <c r="K6351">
        <v>1.1104069999999999</v>
      </c>
      <c r="L6351">
        <v>-62.856720000000003</v>
      </c>
      <c r="M6351">
        <v>0.99972179999999999</v>
      </c>
      <c r="N6351">
        <v>0</v>
      </c>
      <c r="O6351">
        <v>-2.160604E-2</v>
      </c>
      <c r="P6351">
        <v>0.98668040000000001</v>
      </c>
      <c r="Q6351">
        <v>0.13066320000000001</v>
      </c>
      <c r="R6351">
        <v>9.6896369999999996E-2</v>
      </c>
      <c r="S6351">
        <v>3.0456089999999998</v>
      </c>
      <c r="T6351">
        <v>-0.20241110000000001</v>
      </c>
      <c r="U6351">
        <v>0.22009280000000001</v>
      </c>
      <c r="V6351">
        <v>-0.1184424</v>
      </c>
      <c r="W6351">
        <v>0.13975479999999901</v>
      </c>
      <c r="X6351">
        <v>0.98307679999999997</v>
      </c>
      <c r="Y6351">
        <v>-9.3359239999999996E-2</v>
      </c>
      <c r="Z6351">
        <v>4.527639E-3</v>
      </c>
      <c r="AA6351">
        <v>0.99562220000000001</v>
      </c>
      <c r="AB6351">
        <v>34</v>
      </c>
      <c r="AC6351">
        <v>16.539399999999901</v>
      </c>
      <c r="AD6351">
        <v>-1.1104064828464999</v>
      </c>
      <c r="AE6351">
        <v>1.2107999999999901</v>
      </c>
      <c r="AF6351">
        <v>-1.56088625090625</v>
      </c>
      <c r="AG6351">
        <v>-1.1104064828464999</v>
      </c>
      <c r="AH6351">
        <v>16.4356899271434</v>
      </c>
      <c r="AI6351">
        <v>93.847807953511605</v>
      </c>
      <c r="AJ6351">
        <v>95.425070225406003</v>
      </c>
      <c r="AK6351">
        <v>16.546941464410299</v>
      </c>
      <c r="AL6351">
        <v>81.966342170361202</v>
      </c>
      <c r="AM6351">
        <v>96.869958531446301</v>
      </c>
      <c r="AN6351">
        <v>1.00000000046952</v>
      </c>
    </row>
    <row r="6352" spans="1:40" x14ac:dyDescent="0.25">
      <c r="A6352" t="str">
        <f>"20190312164150140"</f>
        <v>20190312164150140</v>
      </c>
      <c r="B6352" t="str">
        <f>"1552380110132130"</f>
        <v>1552380110132130</v>
      </c>
      <c r="C6352" t="s">
        <v>40</v>
      </c>
      <c r="D6352">
        <v>5.8204219999999998</v>
      </c>
      <c r="E6352">
        <v>0.51295789999999997</v>
      </c>
      <c r="F6352" t="s">
        <v>60</v>
      </c>
      <c r="G6352">
        <v>-210.2336</v>
      </c>
      <c r="H6352" s="1">
        <v>5.9740889999999998E-7</v>
      </c>
      <c r="I6352">
        <v>-61.63655</v>
      </c>
      <c r="J6352">
        <v>-226.80359999999999</v>
      </c>
      <c r="K6352">
        <v>1.110406</v>
      </c>
      <c r="L6352">
        <v>-62.859650000000002</v>
      </c>
      <c r="M6352">
        <v>0.99973020000000001</v>
      </c>
      <c r="N6352">
        <v>0</v>
      </c>
      <c r="O6352">
        <v>-2.123212E-2</v>
      </c>
      <c r="P6352">
        <v>0.98659330000000001</v>
      </c>
      <c r="Q6352">
        <v>0.1304582</v>
      </c>
      <c r="R6352">
        <v>9.8054479999999999E-2</v>
      </c>
      <c r="S6352">
        <v>3.0454560000000002</v>
      </c>
      <c r="T6352">
        <v>-0.2022467</v>
      </c>
      <c r="U6352">
        <v>0.22222900000000001</v>
      </c>
      <c r="V6352">
        <v>-0.1192304</v>
      </c>
      <c r="W6352">
        <v>0.13952819999999999</v>
      </c>
      <c r="X6352">
        <v>0.98301369999999999</v>
      </c>
      <c r="Y6352">
        <v>-9.3685640000000001E-2</v>
      </c>
      <c r="Z6352">
        <v>4.5101159999999998E-3</v>
      </c>
      <c r="AA6352">
        <v>0.99559160000000002</v>
      </c>
      <c r="AB6352">
        <v>34</v>
      </c>
      <c r="AC6352">
        <v>16.569999999999901</v>
      </c>
      <c r="AD6352">
        <v>-1.1104054025911001</v>
      </c>
      <c r="AE6352">
        <v>1.2231000000000001</v>
      </c>
      <c r="AF6352">
        <v>-1.56765431084447</v>
      </c>
      <c r="AG6352">
        <v>-1.1104054025911001</v>
      </c>
      <c r="AH6352">
        <v>16.466746996757202</v>
      </c>
      <c r="AI6352">
        <v>93.840485144536004</v>
      </c>
      <c r="AJ6352">
        <v>95.4382379000524</v>
      </c>
      <c r="AK6352">
        <v>16.578428660510198</v>
      </c>
      <c r="AL6352">
        <v>81.979453619828703</v>
      </c>
      <c r="AM6352">
        <v>96.915662983240694</v>
      </c>
      <c r="AN6352">
        <v>0.99999997063354396</v>
      </c>
    </row>
    <row r="6353" spans="1:40" x14ac:dyDescent="0.25">
      <c r="A6353" t="str">
        <f>"20190312164150150"</f>
        <v>20190312164150150</v>
      </c>
      <c r="B6353" t="str">
        <f>"1552380110142866"</f>
        <v>1552380110142866</v>
      </c>
      <c r="C6353" t="s">
        <v>40</v>
      </c>
      <c r="D6353">
        <v>6.6771369999999903</v>
      </c>
      <c r="E6353">
        <v>0.51316569999999995</v>
      </c>
      <c r="F6353" t="s">
        <v>60</v>
      </c>
      <c r="G6353">
        <v>-210.8698</v>
      </c>
      <c r="H6353" s="1">
        <v>3.117963E-7</v>
      </c>
      <c r="I6353">
        <v>-61.684190000000001</v>
      </c>
      <c r="J6353">
        <v>-226.6412</v>
      </c>
      <c r="K6353">
        <v>1.110403</v>
      </c>
      <c r="L6353">
        <v>-62.862729999999999</v>
      </c>
      <c r="M6353">
        <v>0.99973869999999998</v>
      </c>
      <c r="N6353">
        <v>0</v>
      </c>
      <c r="O6353">
        <v>-2.0828880000000001E-2</v>
      </c>
      <c r="P6353">
        <v>0.9865505</v>
      </c>
      <c r="Q6353">
        <v>0.13034369999999901</v>
      </c>
      <c r="R6353">
        <v>9.8634680000000002E-2</v>
      </c>
      <c r="S6353">
        <v>3.046478</v>
      </c>
      <c r="T6353">
        <v>-0.21230489999999999</v>
      </c>
      <c r="U6353">
        <v>0.2247314</v>
      </c>
      <c r="V6353">
        <v>-0.1194127</v>
      </c>
      <c r="W6353">
        <v>0.13939409999999999</v>
      </c>
      <c r="X6353">
        <v>0.98301059999999996</v>
      </c>
      <c r="Y6353">
        <v>-9.4047930000000002E-2</v>
      </c>
      <c r="Z6353">
        <v>4.7167249999999997E-3</v>
      </c>
      <c r="AA6353">
        <v>0.99555649999999996</v>
      </c>
      <c r="AB6353">
        <v>34</v>
      </c>
      <c r="AC6353">
        <v>15.7714</v>
      </c>
      <c r="AD6353">
        <v>-1.1104026882036999</v>
      </c>
      <c r="AE6353">
        <v>1.1785399999999999</v>
      </c>
      <c r="AF6353">
        <v>-1.4994081455286401</v>
      </c>
      <c r="AG6353">
        <v>-1.1104026882036999</v>
      </c>
      <c r="AH6353">
        <v>15.666202999951301</v>
      </c>
      <c r="AI6353">
        <v>94.035897957020595</v>
      </c>
      <c r="AJ6353">
        <v>95.467110930539704</v>
      </c>
      <c r="AK6353">
        <v>15.7769178026803</v>
      </c>
      <c r="AL6353">
        <v>81.987212836589194</v>
      </c>
      <c r="AM6353">
        <v>96.926155839505597</v>
      </c>
      <c r="AN6353">
        <v>0.99999997387422901</v>
      </c>
    </row>
    <row r="6354" spans="1:40" x14ac:dyDescent="0.25">
      <c r="A6354" t="str">
        <f>"20190312164150162"</f>
        <v>20190312164150162</v>
      </c>
      <c r="B6354" t="str">
        <f>"1552380110152625"</f>
        <v>1552380110152625</v>
      </c>
      <c r="C6354" t="s">
        <v>40</v>
      </c>
      <c r="D6354">
        <v>6.6907110000000003</v>
      </c>
      <c r="E6354">
        <v>0.51325730000000003</v>
      </c>
      <c r="F6354" t="s">
        <v>60</v>
      </c>
      <c r="G6354">
        <v>-210.50839999999999</v>
      </c>
      <c r="H6354" s="1">
        <v>4.695441E-7</v>
      </c>
      <c r="I6354">
        <v>-61.673920000000003</v>
      </c>
      <c r="J6354">
        <v>-226.47380000000001</v>
      </c>
      <c r="K6354">
        <v>1.1104000000000001</v>
      </c>
      <c r="L6354">
        <v>-62.865879999999997</v>
      </c>
      <c r="M6354">
        <v>0.99974750000000001</v>
      </c>
      <c r="N6354">
        <v>0</v>
      </c>
      <c r="O6354">
        <v>-2.0413000000000001E-2</v>
      </c>
      <c r="P6354">
        <v>0.98647600000000002</v>
      </c>
      <c r="Q6354">
        <v>0.13032469999999999</v>
      </c>
      <c r="R6354">
        <v>9.9402619999999997E-2</v>
      </c>
      <c r="S6354">
        <v>3.0461580000000001</v>
      </c>
      <c r="T6354">
        <v>-0.2096634</v>
      </c>
      <c r="U6354">
        <v>0.22445680000000001</v>
      </c>
      <c r="V6354">
        <v>-0.1197696</v>
      </c>
      <c r="W6354">
        <v>0.1393549</v>
      </c>
      <c r="X6354">
        <v>0.98297270000000003</v>
      </c>
      <c r="Y6354">
        <v>-9.3561099999999994E-2</v>
      </c>
      <c r="Z6354">
        <v>4.6134080000000003E-3</v>
      </c>
      <c r="AA6354">
        <v>0.99560280000000001</v>
      </c>
      <c r="AB6354">
        <v>34</v>
      </c>
      <c r="AC6354">
        <v>15.965400000000001</v>
      </c>
      <c r="AD6354">
        <v>-1.11039953045589</v>
      </c>
      <c r="AE6354">
        <v>1.1919599999999999</v>
      </c>
      <c r="AF6354">
        <v>-1.5103621952416899</v>
      </c>
      <c r="AG6354">
        <v>-1.11039953045589</v>
      </c>
      <c r="AH6354">
        <v>15.861439966088501</v>
      </c>
      <c r="AI6354">
        <v>93.986553575809893</v>
      </c>
      <c r="AJ6354">
        <v>95.439433017423994</v>
      </c>
      <c r="AK6354">
        <v>15.971833297272999</v>
      </c>
      <c r="AL6354">
        <v>81.989480672176896</v>
      </c>
      <c r="AM6354">
        <v>96.946919945443696</v>
      </c>
      <c r="AN6354">
        <v>0.99999993709172796</v>
      </c>
    </row>
    <row r="6355" spans="1:40" x14ac:dyDescent="0.25">
      <c r="A6355" t="str">
        <f>"20190312164150173"</f>
        <v>20190312164150173</v>
      </c>
      <c r="B6355" t="str">
        <f>"1552380110162386"</f>
        <v>1552380110162386</v>
      </c>
      <c r="C6355" t="s">
        <v>40</v>
      </c>
      <c r="D6355">
        <v>5.7909629999999996</v>
      </c>
      <c r="E6355">
        <v>0.51342959999999904</v>
      </c>
      <c r="F6355" t="s">
        <v>60</v>
      </c>
      <c r="G6355">
        <v>-210.27529999999999</v>
      </c>
      <c r="H6355" s="1">
        <v>5.7239059999999895E-7</v>
      </c>
      <c r="I6355">
        <v>-61.663209999999999</v>
      </c>
      <c r="J6355">
        <v>-226.30549999999999</v>
      </c>
      <c r="K6355">
        <v>1.110398</v>
      </c>
      <c r="L6355">
        <v>-62.868929999999999</v>
      </c>
      <c r="M6355">
        <v>0.99975619999999998</v>
      </c>
      <c r="N6355">
        <v>0</v>
      </c>
      <c r="O6355">
        <v>-1.9995229999999999E-2</v>
      </c>
      <c r="P6355">
        <v>0.98642890000000005</v>
      </c>
      <c r="Q6355">
        <v>0.1299776</v>
      </c>
      <c r="R6355">
        <v>0.1003208</v>
      </c>
      <c r="S6355">
        <v>3.0459290000000001</v>
      </c>
      <c r="T6355">
        <v>-0.2087967</v>
      </c>
      <c r="U6355">
        <v>0.22613530000000001</v>
      </c>
      <c r="V6355">
        <v>-0.12027549999999999</v>
      </c>
      <c r="W6355">
        <v>0.13898940000000001</v>
      </c>
      <c r="X6355">
        <v>0.98296269999999997</v>
      </c>
      <c r="Y6355">
        <v>-9.3699019999999994E-2</v>
      </c>
      <c r="Z6355">
        <v>4.5707769999999998E-3</v>
      </c>
      <c r="AA6355">
        <v>0.99559010000000003</v>
      </c>
      <c r="AB6355">
        <v>34</v>
      </c>
      <c r="AC6355">
        <v>16.030200000000001</v>
      </c>
      <c r="AD6355">
        <v>-1.11039742760939</v>
      </c>
      <c r="AE6355">
        <v>1.2057199999999999</v>
      </c>
      <c r="AF6355">
        <v>-1.51877412520442</v>
      </c>
      <c r="AG6355">
        <v>-1.11039742760939</v>
      </c>
      <c r="AH6355">
        <v>15.926894546199099</v>
      </c>
      <c r="AI6355">
        <v>93.970163954208203</v>
      </c>
      <c r="AJ6355">
        <v>95.447201965902494</v>
      </c>
      <c r="AK6355">
        <v>16.0376315949824</v>
      </c>
      <c r="AL6355">
        <v>82.010628262793105</v>
      </c>
      <c r="AM6355">
        <v>96.976045077677398</v>
      </c>
      <c r="AN6355">
        <v>0.99999995940194897</v>
      </c>
    </row>
    <row r="6356" spans="1:40" x14ac:dyDescent="0.25">
      <c r="A6356" t="str">
        <f>"20190312164150185"</f>
        <v>20190312164150185</v>
      </c>
      <c r="B6356" t="str">
        <f>"1552380110172145"</f>
        <v>1552380110172145</v>
      </c>
      <c r="C6356" t="s">
        <v>40</v>
      </c>
      <c r="D6356">
        <v>5.9124429999999997</v>
      </c>
      <c r="E6356">
        <v>0.5134493</v>
      </c>
      <c r="F6356" t="s">
        <v>60</v>
      </c>
      <c r="G6356">
        <v>-210.066</v>
      </c>
      <c r="H6356" s="1">
        <v>6.6374650000000001E-7</v>
      </c>
      <c r="I6356">
        <v>-61.657400000000003</v>
      </c>
      <c r="J6356">
        <v>-226.13939999999999</v>
      </c>
      <c r="K6356">
        <v>1.1103970000000001</v>
      </c>
      <c r="L6356">
        <v>-62.87189</v>
      </c>
      <c r="M6356">
        <v>0.99976430000000005</v>
      </c>
      <c r="N6356">
        <v>0</v>
      </c>
      <c r="O6356">
        <v>-1.9582579999999999E-2</v>
      </c>
      <c r="P6356">
        <v>0.9863442</v>
      </c>
      <c r="Q6356">
        <v>0.1298221</v>
      </c>
      <c r="R6356">
        <v>0.1013476</v>
      </c>
      <c r="S6356">
        <v>3.0456240000000001</v>
      </c>
      <c r="T6356">
        <v>-0.20824790000000001</v>
      </c>
      <c r="U6356">
        <v>0.2272034</v>
      </c>
      <c r="V6356">
        <v>-0.1208943</v>
      </c>
      <c r="W6356">
        <v>0.138817</v>
      </c>
      <c r="X6356">
        <v>0.98291119999999998</v>
      </c>
      <c r="Y6356">
        <v>-9.3645140000000002E-2</v>
      </c>
      <c r="Z6356">
        <v>4.5291990000000002E-3</v>
      </c>
      <c r="AA6356">
        <v>0.99559529999999996</v>
      </c>
      <c r="AB6356">
        <v>34</v>
      </c>
      <c r="AC6356">
        <v>16.073399999999999</v>
      </c>
      <c r="AD6356">
        <v>-1.1103963362535001</v>
      </c>
      <c r="AE6356">
        <v>1.2144899999999901</v>
      </c>
      <c r="AF6356">
        <v>-1.5218080533542899</v>
      </c>
      <c r="AG6356">
        <v>-1.1103963362535001</v>
      </c>
      <c r="AH6356">
        <v>15.9707468854302</v>
      </c>
      <c r="AI6356">
        <v>93.959320345600801</v>
      </c>
      <c r="AJ6356">
        <v>95.443121293029293</v>
      </c>
      <c r="AK6356">
        <v>16.081468709458601</v>
      </c>
      <c r="AL6356">
        <v>82.020603148369005</v>
      </c>
      <c r="AM6356">
        <v>97.011943181011802</v>
      </c>
      <c r="AN6356">
        <v>1.00000000917346</v>
      </c>
    </row>
    <row r="6357" spans="1:40" x14ac:dyDescent="0.25">
      <c r="A6357" t="str">
        <f>"20190312164150196"</f>
        <v>20190312164150196</v>
      </c>
      <c r="B6357" t="str">
        <f>"1552380110192174"</f>
        <v>1552380110192174</v>
      </c>
      <c r="C6357" t="s">
        <v>40</v>
      </c>
      <c r="D6357">
        <v>5.8274080000000001</v>
      </c>
      <c r="E6357">
        <v>0.51353119999999997</v>
      </c>
      <c r="F6357" t="s">
        <v>51</v>
      </c>
      <c r="G6357">
        <v>-209.85339999999999</v>
      </c>
      <c r="H6357" s="1">
        <v>-3.7264339999999998E-7</v>
      </c>
      <c r="I6357">
        <v>-61.640300000000003</v>
      </c>
      <c r="J6357">
        <v>-225.965</v>
      </c>
      <c r="K6357">
        <v>1.1104000000000001</v>
      </c>
      <c r="L6357">
        <v>-62.874940000000002</v>
      </c>
      <c r="M6357">
        <v>0.99977300000000002</v>
      </c>
      <c r="N6357">
        <v>0</v>
      </c>
      <c r="O6357">
        <v>-1.914979E-2</v>
      </c>
      <c r="P6357">
        <v>0.98626780000000003</v>
      </c>
      <c r="Q6357">
        <v>0.1297847</v>
      </c>
      <c r="R6357">
        <v>0.10213800000000001</v>
      </c>
      <c r="S6357">
        <v>3.0451969999999999</v>
      </c>
      <c r="T6357">
        <v>-0.20762520000000001</v>
      </c>
      <c r="U6357">
        <v>0.23028560000000001</v>
      </c>
      <c r="V6357">
        <v>-0.1212575</v>
      </c>
      <c r="W6357">
        <v>0.1387632</v>
      </c>
      <c r="X6357">
        <v>0.98287400000000003</v>
      </c>
      <c r="Y6357">
        <v>-9.4227770000000002E-2</v>
      </c>
      <c r="Z6357">
        <v>4.5065210000000003E-3</v>
      </c>
      <c r="AA6357">
        <v>0.99554039999999999</v>
      </c>
      <c r="AB6357">
        <v>34</v>
      </c>
      <c r="AC6357">
        <v>16.111599999999999</v>
      </c>
      <c r="AD6357">
        <v>-1.11040037264339</v>
      </c>
      <c r="AE6357">
        <v>1.23463999999999</v>
      </c>
      <c r="AF6357">
        <v>-1.53570895843377</v>
      </c>
      <c r="AG6357">
        <v>-1.11040037264339</v>
      </c>
      <c r="AH6357">
        <v>16.009402494349001</v>
      </c>
      <c r="AI6357">
        <v>93.949566887832702</v>
      </c>
      <c r="AJ6357">
        <v>95.479357381278504</v>
      </c>
      <c r="AK6357">
        <v>16.121177352124398</v>
      </c>
      <c r="AL6357">
        <v>82.023715338409005</v>
      </c>
      <c r="AM6357">
        <v>97.033061871737203</v>
      </c>
      <c r="AN6357">
        <v>0.99999995342824399</v>
      </c>
    </row>
    <row r="6358" spans="1:40" x14ac:dyDescent="0.25">
      <c r="A6358" t="str">
        <f>"20190312164150208"</f>
        <v>20190312164150208</v>
      </c>
      <c r="B6358" t="str">
        <f>"1552380110201934"</f>
        <v>1552380110201934</v>
      </c>
      <c r="C6358" t="s">
        <v>40</v>
      </c>
      <c r="D6358">
        <v>5.8368869999999999</v>
      </c>
      <c r="E6358">
        <v>0.51352529999999996</v>
      </c>
      <c r="F6358" t="s">
        <v>51</v>
      </c>
      <c r="G6358">
        <v>-209.54390000000001</v>
      </c>
      <c r="H6358" s="1">
        <v>-4.8649309999999998E-7</v>
      </c>
      <c r="I6358">
        <v>-61.623939999999997</v>
      </c>
      <c r="J6358">
        <v>-225.78899999999999</v>
      </c>
      <c r="K6358">
        <v>1.110398</v>
      </c>
      <c r="L6358">
        <v>-62.877899999999997</v>
      </c>
      <c r="M6358">
        <v>0.99978140000000004</v>
      </c>
      <c r="N6358">
        <v>0</v>
      </c>
      <c r="O6358">
        <v>-1.8712719999999999E-2</v>
      </c>
      <c r="P6358">
        <v>0.98620209999999997</v>
      </c>
      <c r="Q6358">
        <v>0.129663</v>
      </c>
      <c r="R6358">
        <v>0.1029229</v>
      </c>
      <c r="S6358">
        <v>3.0448300000000001</v>
      </c>
      <c r="T6358">
        <v>-0.20589289999999999</v>
      </c>
      <c r="U6358">
        <v>0.23196410000000001</v>
      </c>
      <c r="V6358">
        <v>-0.12161089999999999</v>
      </c>
      <c r="W6358">
        <v>0.13862720000000001</v>
      </c>
      <c r="X6358">
        <v>0.98284959999999999</v>
      </c>
      <c r="Y6358">
        <v>-9.4352169999999999E-2</v>
      </c>
      <c r="Z6358">
        <v>4.44416E-3</v>
      </c>
      <c r="AA6358">
        <v>0.99552890000000005</v>
      </c>
      <c r="AB6358">
        <v>34</v>
      </c>
      <c r="AC6358">
        <v>16.245100000000001</v>
      </c>
      <c r="AD6358">
        <v>-1.1103984864931</v>
      </c>
      <c r="AE6358">
        <v>1.25395999999999</v>
      </c>
      <c r="AF6358">
        <v>-1.5505422507383599</v>
      </c>
      <c r="AG6358">
        <v>-1.1103984864931</v>
      </c>
      <c r="AH6358">
        <v>16.143810349707199</v>
      </c>
      <c r="AI6358">
        <v>93.916735656323496</v>
      </c>
      <c r="AJ6358">
        <v>95.486180315067003</v>
      </c>
      <c r="AK6358">
        <v>16.256068979843899</v>
      </c>
      <c r="AL6358">
        <v>82.031584175932807</v>
      </c>
      <c r="AM6358">
        <v>97.053526615529805</v>
      </c>
      <c r="AN6358">
        <v>1.0000000238994</v>
      </c>
    </row>
    <row r="6359" spans="1:40" x14ac:dyDescent="0.25">
      <c r="A6359" t="str">
        <f>"20190312164150219"</f>
        <v>20190312164150219</v>
      </c>
      <c r="B6359" t="str">
        <f>"1552380110212670"</f>
        <v>1552380110212670</v>
      </c>
      <c r="C6359" t="s">
        <v>40</v>
      </c>
      <c r="D6359">
        <v>5.8054690000000004</v>
      </c>
      <c r="E6359">
        <v>0.51368479999999905</v>
      </c>
      <c r="F6359" t="s">
        <v>51</v>
      </c>
      <c r="G6359">
        <v>-209.3141</v>
      </c>
      <c r="H6359" s="1">
        <v>-5.7805140000000001E-7</v>
      </c>
      <c r="I6359">
        <v>-61.608269999999997</v>
      </c>
      <c r="J6359">
        <v>-225.62029999999999</v>
      </c>
      <c r="K6359">
        <v>1.1103959999999999</v>
      </c>
      <c r="L6359">
        <v>-62.880710000000001</v>
      </c>
      <c r="M6359">
        <v>0.99978920000000004</v>
      </c>
      <c r="N6359">
        <v>0</v>
      </c>
      <c r="O6359">
        <v>-1.8294009999999999E-2</v>
      </c>
      <c r="P6359">
        <v>0.98614780000000002</v>
      </c>
      <c r="Q6359">
        <v>0.12957299999999999</v>
      </c>
      <c r="R6359">
        <v>0.10355399999999999</v>
      </c>
      <c r="S6359">
        <v>3.0444640000000001</v>
      </c>
      <c r="T6359">
        <v>-0.20519570000000001</v>
      </c>
      <c r="U6359">
        <v>0.2346191</v>
      </c>
      <c r="V6359">
        <v>-0.1218287</v>
      </c>
      <c r="W6359">
        <v>0.138523799999999</v>
      </c>
      <c r="X6359">
        <v>0.98283719999999997</v>
      </c>
      <c r="Y6359">
        <v>-9.4809039999999997E-2</v>
      </c>
      <c r="Z6359">
        <v>4.4167299999999998E-3</v>
      </c>
      <c r="AA6359">
        <v>0.99548570000000003</v>
      </c>
      <c r="AB6359">
        <v>34</v>
      </c>
      <c r="AC6359">
        <v>16.306199999999901</v>
      </c>
      <c r="AD6359">
        <v>-1.11039657805139</v>
      </c>
      <c r="AE6359">
        <v>1.27244</v>
      </c>
      <c r="AF6359">
        <v>-1.5633402265116001</v>
      </c>
      <c r="AG6359">
        <v>-1.11039657805139</v>
      </c>
      <c r="AH6359">
        <v>16.205499460117199</v>
      </c>
      <c r="AI6359">
        <v>93.901708025683803</v>
      </c>
      <c r="AJ6359">
        <v>95.510257269281297</v>
      </c>
      <c r="AK6359">
        <v>16.318554653407201</v>
      </c>
      <c r="AL6359">
        <v>82.037566232238206</v>
      </c>
      <c r="AM6359">
        <v>97.066119846263007</v>
      </c>
      <c r="AN6359">
        <v>1.0000000185069799</v>
      </c>
    </row>
    <row r="6360" spans="1:40" x14ac:dyDescent="0.25">
      <c r="A6360" t="str">
        <f>"20190312164150231"</f>
        <v>20190312164150231</v>
      </c>
      <c r="B6360" t="str">
        <f>"1552380110222431"</f>
        <v>1552380110222431</v>
      </c>
      <c r="C6360" t="s">
        <v>40</v>
      </c>
      <c r="D6360">
        <v>5.8110650000000001</v>
      </c>
      <c r="E6360">
        <v>0.5138431</v>
      </c>
      <c r="F6360" t="s">
        <v>51</v>
      </c>
      <c r="G6360">
        <v>-209.42019999999999</v>
      </c>
      <c r="H6360" s="1">
        <v>-5.3454550000000001E-7</v>
      </c>
      <c r="I6360">
        <v>-61.62688</v>
      </c>
      <c r="J6360">
        <v>-225.43809999999999</v>
      </c>
      <c r="K6360">
        <v>1.1103959999999999</v>
      </c>
      <c r="L6360">
        <v>-62.88364</v>
      </c>
      <c r="M6360">
        <v>0.99979750000000001</v>
      </c>
      <c r="N6360">
        <v>0</v>
      </c>
      <c r="O6360">
        <v>-1.7841800000000001E-2</v>
      </c>
      <c r="P6360">
        <v>0.98602480000000003</v>
      </c>
      <c r="Q6360">
        <v>0.12974379999999999</v>
      </c>
      <c r="R6360">
        <v>0.1045077</v>
      </c>
      <c r="S6360">
        <v>3.0448149999999998</v>
      </c>
      <c r="T6360">
        <v>-0.2086992</v>
      </c>
      <c r="U6360">
        <v>0.2356567</v>
      </c>
      <c r="V6360">
        <v>-0.1223359</v>
      </c>
      <c r="W6360">
        <v>0.1386811</v>
      </c>
      <c r="X6360">
        <v>0.98275199999999996</v>
      </c>
      <c r="Y6360">
        <v>-9.4679869999999999E-2</v>
      </c>
      <c r="Z6360">
        <v>4.4560590000000001E-3</v>
      </c>
      <c r="AA6360">
        <v>0.99549779999999999</v>
      </c>
      <c r="AB6360">
        <v>34</v>
      </c>
      <c r="AC6360">
        <v>16.017899999999901</v>
      </c>
      <c r="AD6360">
        <v>-1.1103965345455</v>
      </c>
      <c r="AE6360">
        <v>1.2567599999999901</v>
      </c>
      <c r="AF6360">
        <v>-1.5350289238355099</v>
      </c>
      <c r="AG6360">
        <v>-1.1103965345455</v>
      </c>
      <c r="AH6360">
        <v>15.9169044200301</v>
      </c>
      <c r="AI6360">
        <v>93.972237853180999</v>
      </c>
      <c r="AJ6360">
        <v>95.5085788178869</v>
      </c>
      <c r="AK6360">
        <v>16.029258890457701</v>
      </c>
      <c r="AL6360">
        <v>82.028465674921193</v>
      </c>
      <c r="AM6360">
        <v>97.095847310843197</v>
      </c>
      <c r="AN6360">
        <v>1.0000000067149999</v>
      </c>
    </row>
    <row r="6361" spans="1:40" x14ac:dyDescent="0.25">
      <c r="A6361" t="str">
        <f>"20190312164150244"</f>
        <v>20190312164150244</v>
      </c>
      <c r="B6361" t="str">
        <f>"1552380110232190"</f>
        <v>1552380110232190</v>
      </c>
      <c r="C6361" t="s">
        <v>40</v>
      </c>
      <c r="D6361">
        <v>5.9207320000000001</v>
      </c>
      <c r="E6361">
        <v>0.51402040000000004</v>
      </c>
      <c r="F6361" t="s">
        <v>51</v>
      </c>
      <c r="G6361">
        <v>-209.3989</v>
      </c>
      <c r="H6361" s="1">
        <v>-5.4395739999999995E-7</v>
      </c>
      <c r="I6361">
        <v>-61.631770000000003</v>
      </c>
      <c r="J6361">
        <v>-225.2441</v>
      </c>
      <c r="K6361">
        <v>1.110395</v>
      </c>
      <c r="L6361">
        <v>-62.886659999999999</v>
      </c>
      <c r="M6361">
        <v>0.99980619999999998</v>
      </c>
      <c r="N6361">
        <v>0</v>
      </c>
      <c r="O6361">
        <v>-1.7360629999999998E-2</v>
      </c>
      <c r="P6361">
        <v>0.98595790000000005</v>
      </c>
      <c r="Q6361">
        <v>0.1295222</v>
      </c>
      <c r="R6361">
        <v>0.10541109999999999</v>
      </c>
      <c r="S6361">
        <v>3.0450590000000002</v>
      </c>
      <c r="T6361">
        <v>-0.2108109</v>
      </c>
      <c r="U6361">
        <v>0.23767089999999999</v>
      </c>
      <c r="V6361">
        <v>-0.1227645</v>
      </c>
      <c r="W6361">
        <v>0.13844679999999901</v>
      </c>
      <c r="X6361">
        <v>0.98273160000000004</v>
      </c>
      <c r="Y6361">
        <v>-9.4844629999999999E-2</v>
      </c>
      <c r="Z6361">
        <v>4.4730250000000003E-3</v>
      </c>
      <c r="AA6361">
        <v>0.99548199999999998</v>
      </c>
      <c r="AB6361">
        <v>34</v>
      </c>
      <c r="AC6361">
        <v>15.8452</v>
      </c>
      <c r="AD6361">
        <v>-1.11039554395739</v>
      </c>
      <c r="AE6361">
        <v>1.2548900000000001</v>
      </c>
      <c r="AF6361">
        <v>-1.52236580256218</v>
      </c>
      <c r="AG6361">
        <v>-1.11039554395739</v>
      </c>
      <c r="AH6361">
        <v>15.744189177727201</v>
      </c>
      <c r="AI6361">
        <v>94.015571182835203</v>
      </c>
      <c r="AJ6361">
        <v>95.522977808248498</v>
      </c>
      <c r="AK6361">
        <v>15.856546558595699</v>
      </c>
      <c r="AL6361">
        <v>82.042020928529098</v>
      </c>
      <c r="AM6361">
        <v>97.120598944726595</v>
      </c>
      <c r="AN6361">
        <v>1.0000000182645199</v>
      </c>
    </row>
    <row r="6362" spans="1:40" x14ac:dyDescent="0.25">
      <c r="A6362" t="str">
        <f>"20190312164150256"</f>
        <v>20190312164150256</v>
      </c>
      <c r="B6362" t="str">
        <f>"1552380110252686"</f>
        <v>1552380110252686</v>
      </c>
      <c r="C6362" t="s">
        <v>40</v>
      </c>
      <c r="D6362">
        <v>5.8259119999999998</v>
      </c>
      <c r="E6362">
        <v>0.51409070000000001</v>
      </c>
      <c r="F6362" t="s">
        <v>51</v>
      </c>
      <c r="G6362">
        <v>-209.45750000000001</v>
      </c>
      <c r="H6362" s="1">
        <v>-5.2548779999999999E-7</v>
      </c>
      <c r="I6362">
        <v>-61.646369999999997</v>
      </c>
      <c r="J6362">
        <v>-225.0513</v>
      </c>
      <c r="K6362">
        <v>1.110395</v>
      </c>
      <c r="L6362">
        <v>-62.889620000000001</v>
      </c>
      <c r="M6362">
        <v>0.99981439999999999</v>
      </c>
      <c r="N6362">
        <v>0</v>
      </c>
      <c r="O6362">
        <v>-1.68822E-2</v>
      </c>
      <c r="P6362">
        <v>0.9858384</v>
      </c>
      <c r="Q6362">
        <v>0.1295606</v>
      </c>
      <c r="R6362">
        <v>0.10647379999999999</v>
      </c>
      <c r="S6362">
        <v>3.0453190000000001</v>
      </c>
      <c r="T6362">
        <v>-0.21420040000000001</v>
      </c>
      <c r="U6362">
        <v>0.23925779999999999</v>
      </c>
      <c r="V6362">
        <v>-0.12335450000000001</v>
      </c>
      <c r="W6362">
        <v>0.13847279999999901</v>
      </c>
      <c r="X6362">
        <v>0.98265400000000003</v>
      </c>
      <c r="Y6362">
        <v>-9.4869809999999999E-2</v>
      </c>
      <c r="Z6362">
        <v>4.5116089999999998E-3</v>
      </c>
      <c r="AA6362">
        <v>0.99547949999999996</v>
      </c>
      <c r="AB6362">
        <v>34</v>
      </c>
      <c r="AC6362">
        <v>15.5937999999999</v>
      </c>
      <c r="AD6362">
        <v>-1.1103955254878</v>
      </c>
      <c r="AE6362">
        <v>1.24324999999999</v>
      </c>
      <c r="AF6362">
        <v>-1.49879016897563</v>
      </c>
      <c r="AG6362">
        <v>-1.1103955254878</v>
      </c>
      <c r="AH6362">
        <v>15.492528947214501</v>
      </c>
      <c r="AI6362">
        <v>94.080562277148999</v>
      </c>
      <c r="AJ6362">
        <v>95.525756430482701</v>
      </c>
      <c r="AK6362">
        <v>15.6044161497289</v>
      </c>
      <c r="AL6362">
        <v>82.040516334338193</v>
      </c>
      <c r="AM6362">
        <v>97.155025533223693</v>
      </c>
      <c r="AN6362">
        <v>0.999999966363044</v>
      </c>
    </row>
    <row r="6363" spans="1:40" x14ac:dyDescent="0.25">
      <c r="A6363" t="str">
        <f>"20190312164150269"</f>
        <v>20190312164150269</v>
      </c>
      <c r="B6363" t="str">
        <f>"1552380110262447"</f>
        <v>1552380110262447</v>
      </c>
      <c r="C6363" t="s">
        <v>40</v>
      </c>
      <c r="D6363">
        <v>5.8548460000000002</v>
      </c>
      <c r="E6363">
        <v>0.51401940000000002</v>
      </c>
      <c r="F6363" t="s">
        <v>51</v>
      </c>
      <c r="G6363">
        <v>-209.43109999999999</v>
      </c>
      <c r="H6363" s="1">
        <v>-5.3582890000000003E-7</v>
      </c>
      <c r="I6363">
        <v>-61.647399999999998</v>
      </c>
      <c r="J6363">
        <v>-224.87</v>
      </c>
      <c r="K6363">
        <v>1.1103959999999999</v>
      </c>
      <c r="L6363">
        <v>-62.892240000000001</v>
      </c>
      <c r="M6363">
        <v>0.99982199999999999</v>
      </c>
      <c r="N6363">
        <v>0</v>
      </c>
      <c r="O6363">
        <v>-1.6432510000000001E-2</v>
      </c>
      <c r="P6363">
        <v>0.9857534</v>
      </c>
      <c r="Q6363">
        <v>0.12951469999999901</v>
      </c>
      <c r="R6363">
        <v>0.1073141</v>
      </c>
      <c r="S6363">
        <v>3.0453800000000002</v>
      </c>
      <c r="T6363">
        <v>-0.21648680000000001</v>
      </c>
      <c r="U6363">
        <v>0.2421875</v>
      </c>
      <c r="V6363">
        <v>-0.123751399999999</v>
      </c>
      <c r="W6363">
        <v>0.13841709999999999</v>
      </c>
      <c r="X6363">
        <v>0.98261200000000004</v>
      </c>
      <c r="Y6363">
        <v>-9.5366279999999998E-2</v>
      </c>
      <c r="Z6363">
        <v>4.5450969999999997E-3</v>
      </c>
      <c r="AA6363">
        <v>0.99543190000000004</v>
      </c>
      <c r="AB6363">
        <v>34</v>
      </c>
      <c r="AC6363">
        <v>15.4389</v>
      </c>
      <c r="AD6363">
        <v>-1.1103965358289001</v>
      </c>
      <c r="AE6363">
        <v>1.2448399999999999</v>
      </c>
      <c r="AF6363">
        <v>-1.49072132856955</v>
      </c>
      <c r="AG6363">
        <v>-1.1103965358289001</v>
      </c>
      <c r="AH6363">
        <v>15.3375333605218</v>
      </c>
      <c r="AI6363">
        <v>94.121483122644506</v>
      </c>
      <c r="AJ6363">
        <v>95.551388070363103</v>
      </c>
      <c r="AK6363">
        <v>15.4497624619717</v>
      </c>
      <c r="AL6363">
        <v>82.043739190726598</v>
      </c>
      <c r="AM6363">
        <v>97.178111093000595</v>
      </c>
      <c r="AN6363">
        <v>1.0000000225591801</v>
      </c>
    </row>
    <row r="6364" spans="1:40" x14ac:dyDescent="0.25">
      <c r="A6364" t="str">
        <f>"20190312164150282"</f>
        <v>20190312164150282</v>
      </c>
      <c r="B6364" t="str">
        <f>"1552380110272208"</f>
        <v>1552380110272208</v>
      </c>
      <c r="C6364" t="s">
        <v>40</v>
      </c>
      <c r="D6364">
        <v>5.8707570000000002</v>
      </c>
      <c r="E6364">
        <v>0.51401940000000002</v>
      </c>
      <c r="F6364" t="s">
        <v>51</v>
      </c>
      <c r="G6364">
        <v>-209.1765</v>
      </c>
      <c r="H6364" s="1">
        <v>-6.682678E-7</v>
      </c>
      <c r="I6364">
        <v>-61.628149999999998</v>
      </c>
      <c r="J6364">
        <v>-224.6712</v>
      </c>
      <c r="K6364">
        <v>1.1103959999999999</v>
      </c>
      <c r="L6364">
        <v>-62.895110000000003</v>
      </c>
      <c r="M6364">
        <v>0.99982990000000005</v>
      </c>
      <c r="N6364">
        <v>0</v>
      </c>
      <c r="O6364">
        <v>-1.5939789999999999E-2</v>
      </c>
      <c r="P6364">
        <v>0.98564759999999996</v>
      </c>
      <c r="Q6364">
        <v>0.1294438</v>
      </c>
      <c r="R6364">
        <v>0.1083672</v>
      </c>
      <c r="S6364">
        <v>3.0449679999999999</v>
      </c>
      <c r="T6364">
        <v>-0.21544779999999999</v>
      </c>
      <c r="U6364">
        <v>0.24526980000000001</v>
      </c>
      <c r="V6364">
        <v>-0.124317899999999</v>
      </c>
      <c r="W6364">
        <v>0.13833579999999901</v>
      </c>
      <c r="X6364">
        <v>0.98255190000000003</v>
      </c>
      <c r="Y6364">
        <v>-9.5890130000000004E-2</v>
      </c>
      <c r="Z6364">
        <v>4.507474E-3</v>
      </c>
      <c r="AA6364">
        <v>0.99538170000000004</v>
      </c>
      <c r="AB6364">
        <v>34</v>
      </c>
      <c r="AC6364">
        <v>15.4946999999999</v>
      </c>
      <c r="AD6364">
        <v>-1.1103966682677999</v>
      </c>
      <c r="AE6364">
        <v>1.2669599999999901</v>
      </c>
      <c r="AF6364">
        <v>-1.5061085411545301</v>
      </c>
      <c r="AG6364">
        <v>-1.1103966682677999</v>
      </c>
      <c r="AH6364">
        <v>15.394003176647299</v>
      </c>
      <c r="AI6364">
        <v>94.106162404961495</v>
      </c>
      <c r="AJ6364">
        <v>95.587883408822904</v>
      </c>
      <c r="AK6364">
        <v>15.5073104535012</v>
      </c>
      <c r="AL6364">
        <v>82.048442285022006</v>
      </c>
      <c r="AM6364">
        <v>97.211061850455906</v>
      </c>
      <c r="AN6364">
        <v>0.99999998500782905</v>
      </c>
    </row>
    <row r="6365" spans="1:40" x14ac:dyDescent="0.25">
      <c r="A6365" t="str">
        <f>"20190312164150293"</f>
        <v>20190312164150293</v>
      </c>
      <c r="B6365" t="str">
        <f>"1552380110282474"</f>
        <v>1552380110282474</v>
      </c>
      <c r="C6365" t="s">
        <v>40</v>
      </c>
      <c r="D6365">
        <v>5.8744649999999998</v>
      </c>
      <c r="E6365">
        <v>0.50023320000000004</v>
      </c>
      <c r="F6365" t="s">
        <v>51</v>
      </c>
      <c r="G6365">
        <v>-208.99270000000001</v>
      </c>
      <c r="H6365" s="1">
        <v>-7.8350259999999905E-7</v>
      </c>
      <c r="I6365">
        <v>-61.616709999999998</v>
      </c>
      <c r="J6365">
        <v>-224.48400000000001</v>
      </c>
      <c r="K6365">
        <v>1.110395</v>
      </c>
      <c r="L6365">
        <v>-62.897669999999998</v>
      </c>
      <c r="M6365">
        <v>0.99983739999999999</v>
      </c>
      <c r="N6365">
        <v>0</v>
      </c>
      <c r="O6365">
        <v>-1.5476159999999999E-2</v>
      </c>
      <c r="P6365">
        <v>0.98551180000000005</v>
      </c>
      <c r="Q6365">
        <v>0.12958739999999999</v>
      </c>
      <c r="R6365">
        <v>0.1094256</v>
      </c>
      <c r="S6365">
        <v>3.044708</v>
      </c>
      <c r="T6365">
        <v>-0.21563479999999999</v>
      </c>
      <c r="U6365">
        <v>0.2482605</v>
      </c>
      <c r="V6365">
        <v>-0.1249189</v>
      </c>
      <c r="W6365">
        <v>0.13847039999999999</v>
      </c>
      <c r="X6365">
        <v>0.98245669999999996</v>
      </c>
      <c r="Y6365">
        <v>-9.6406049999999993E-2</v>
      </c>
      <c r="Z6365">
        <v>4.4970490000000004E-3</v>
      </c>
      <c r="AA6365">
        <v>0.99533190000000005</v>
      </c>
      <c r="AB6365">
        <v>34</v>
      </c>
      <c r="AC6365">
        <v>15.491299999999899</v>
      </c>
      <c r="AD6365">
        <v>-1.1103957835025999</v>
      </c>
      <c r="AE6365">
        <v>1.2809600000000001</v>
      </c>
      <c r="AF6365">
        <v>-1.5128427353978899</v>
      </c>
      <c r="AG6365">
        <v>-1.1103957835025999</v>
      </c>
      <c r="AH6365">
        <v>15.391079602066799</v>
      </c>
      <c r="AI6365">
        <v>94.106755124519907</v>
      </c>
      <c r="AJ6365">
        <v>95.613768413217002</v>
      </c>
      <c r="AK6365">
        <v>15.505063793974699</v>
      </c>
      <c r="AL6365">
        <v>82.040655253520796</v>
      </c>
      <c r="AM6365">
        <v>97.246247899173596</v>
      </c>
      <c r="AN6365">
        <v>0.99999997531412899</v>
      </c>
    </row>
    <row r="6366" spans="1:40" x14ac:dyDescent="0.25">
      <c r="A6366" t="str">
        <f>"20190312164150309"</f>
        <v>20190312164150309</v>
      </c>
      <c r="B6366" t="str">
        <f>"1552380110301994"</f>
        <v>1552380110301994</v>
      </c>
      <c r="C6366" t="s">
        <v>40</v>
      </c>
      <c r="D6366">
        <v>6.0040589999999998</v>
      </c>
      <c r="E6366">
        <v>0.49463790000000002</v>
      </c>
      <c r="F6366" t="s">
        <v>51</v>
      </c>
      <c r="G6366">
        <v>-205.2002</v>
      </c>
      <c r="H6366" s="1">
        <v>-3.0546719999999998E-6</v>
      </c>
      <c r="I6366">
        <v>-60.614829999999998</v>
      </c>
      <c r="J6366">
        <v>-224.24340000000001</v>
      </c>
      <c r="K6366">
        <v>1.110398</v>
      </c>
      <c r="L6366">
        <v>-62.900849999999998</v>
      </c>
      <c r="M6366">
        <v>0.99984649999999997</v>
      </c>
      <c r="N6366">
        <v>0</v>
      </c>
      <c r="O6366">
        <v>-1.4880920000000001E-2</v>
      </c>
      <c r="P6366">
        <v>0.98528870000000002</v>
      </c>
      <c r="Q6366">
        <v>0.1298174</v>
      </c>
      <c r="R6366">
        <v>0.11114690000000001</v>
      </c>
      <c r="S6366">
        <v>3.027237</v>
      </c>
      <c r="T6366">
        <v>-0.1743141</v>
      </c>
      <c r="U6366">
        <v>0.35836790000000002</v>
      </c>
      <c r="V6366">
        <v>-0.12605139999999901</v>
      </c>
      <c r="W6366">
        <v>0.1386896</v>
      </c>
      <c r="X6366">
        <v>0.98228110000000002</v>
      </c>
      <c r="Y6366">
        <v>-0.13208549999999999</v>
      </c>
      <c r="Z6366">
        <v>4.6399259999999999E-3</v>
      </c>
      <c r="AA6366">
        <v>0.99122739999999998</v>
      </c>
      <c r="AB6366">
        <v>34</v>
      </c>
      <c r="AC6366">
        <v>19.043199999999999</v>
      </c>
      <c r="AD6366">
        <v>-1.110401054672</v>
      </c>
      <c r="AE6366">
        <v>2.2860199999999899</v>
      </c>
      <c r="AF6366">
        <v>-2.5605770047415501</v>
      </c>
      <c r="AG6366">
        <v>-1.110401054672</v>
      </c>
      <c r="AH6366">
        <v>18.943578351922199</v>
      </c>
      <c r="AI6366">
        <v>93.324460160616695</v>
      </c>
      <c r="AJ6366">
        <v>97.697934841174401</v>
      </c>
      <c r="AK6366">
        <v>19.148073163502499</v>
      </c>
      <c r="AL6366">
        <v>82.027973533806701</v>
      </c>
      <c r="AM6366">
        <v>97.312526721225893</v>
      </c>
      <c r="AN6366">
        <v>0.99999996000366398</v>
      </c>
    </row>
    <row r="6367" spans="1:40" x14ac:dyDescent="0.25">
      <c r="A6367" t="str">
        <f>"20190312164150320"</f>
        <v>20190312164150320</v>
      </c>
      <c r="B6367" t="str">
        <f>"1552380110312731"</f>
        <v>1552380110312731</v>
      </c>
      <c r="C6367" t="s">
        <v>40</v>
      </c>
      <c r="D6367">
        <v>5.7024179999999998</v>
      </c>
      <c r="E6367">
        <v>0.49282330000000002</v>
      </c>
      <c r="F6367" t="s">
        <v>51</v>
      </c>
      <c r="G6367">
        <v>-202.96029999999999</v>
      </c>
      <c r="H6367" s="1">
        <v>-4.27228E-6</v>
      </c>
      <c r="I6367">
        <v>-60.0321199999999</v>
      </c>
      <c r="J6367">
        <v>-224.07210000000001</v>
      </c>
      <c r="K6367">
        <v>1.1103989999999999</v>
      </c>
      <c r="L6367">
        <v>-62.90305</v>
      </c>
      <c r="M6367">
        <v>0.99985279999999999</v>
      </c>
      <c r="N6367">
        <v>0</v>
      </c>
      <c r="O6367">
        <v>-1.4457589999999999E-2</v>
      </c>
      <c r="P6367">
        <v>0.98513099999999998</v>
      </c>
      <c r="Q6367">
        <v>0.130082</v>
      </c>
      <c r="R6367">
        <v>0.1122298</v>
      </c>
      <c r="S6367">
        <v>3.0196230000000002</v>
      </c>
      <c r="T6367">
        <v>-0.1575426</v>
      </c>
      <c r="U6367">
        <v>0.40701290000000001</v>
      </c>
      <c r="V6367">
        <v>-0.1267161</v>
      </c>
      <c r="W6367">
        <v>0.13894690000000001</v>
      </c>
      <c r="X6367">
        <v>0.98215929999999996</v>
      </c>
      <c r="Y6367">
        <v>-0.14767930000000001</v>
      </c>
      <c r="Z6367">
        <v>4.583111E-3</v>
      </c>
      <c r="AA6367">
        <v>0.98902469999999998</v>
      </c>
      <c r="AB6367">
        <v>34</v>
      </c>
      <c r="AC6367">
        <v>21.111799999999999</v>
      </c>
      <c r="AD6367">
        <v>-1.1104032722799999</v>
      </c>
      <c r="AE6367">
        <v>2.87093</v>
      </c>
      <c r="AF6367">
        <v>-3.1672659340375202</v>
      </c>
      <c r="AG6367">
        <v>-1.1104032722799999</v>
      </c>
      <c r="AH6367">
        <v>21.011015793591199</v>
      </c>
      <c r="AI6367">
        <v>92.991453987583</v>
      </c>
      <c r="AJ6367">
        <v>98.5724014109298</v>
      </c>
      <c r="AK6367">
        <v>21.277390667150598</v>
      </c>
      <c r="AL6367">
        <v>82.013087927623005</v>
      </c>
      <c r="AM6367">
        <v>97.351568432677794</v>
      </c>
      <c r="AN6367">
        <v>1.0000000507976501</v>
      </c>
    </row>
    <row r="6368" spans="1:40" x14ac:dyDescent="0.25">
      <c r="A6368" t="str">
        <f>"20190312164150331"</f>
        <v>20190312164150331</v>
      </c>
      <c r="B6368" t="str">
        <f>"1552380110322490"</f>
        <v>1552380110322490</v>
      </c>
      <c r="C6368" t="s">
        <v>40</v>
      </c>
      <c r="D6368">
        <v>5.8575520000000001</v>
      </c>
      <c r="E6368">
        <v>0.49152210000000002</v>
      </c>
      <c r="F6368" t="s">
        <v>51</v>
      </c>
      <c r="G6368">
        <v>-202.14429999999999</v>
      </c>
      <c r="H6368" s="1">
        <v>-4.7356869999999997E-6</v>
      </c>
      <c r="I6368">
        <v>-59.817210000000003</v>
      </c>
      <c r="J6368">
        <v>-223.90799999999999</v>
      </c>
      <c r="K6368">
        <v>1.1104000000000001</v>
      </c>
      <c r="L6368">
        <v>-62.905029999999996</v>
      </c>
      <c r="M6368">
        <v>0.99985860000000004</v>
      </c>
      <c r="N6368">
        <v>0</v>
      </c>
      <c r="O6368">
        <v>-1.4052749999999999E-2</v>
      </c>
      <c r="P6368">
        <v>0.98497279999999998</v>
      </c>
      <c r="Q6368">
        <v>0.1303694</v>
      </c>
      <c r="R6368">
        <v>0.1132821</v>
      </c>
      <c r="S6368">
        <v>3.0171049999999999</v>
      </c>
      <c r="T6368">
        <v>-0.152784</v>
      </c>
      <c r="U6368">
        <v>0.4245911</v>
      </c>
      <c r="V6368">
        <v>-0.12736900000000001</v>
      </c>
      <c r="W6368">
        <v>0.1392302</v>
      </c>
      <c r="X6368">
        <v>0.98203470000000004</v>
      </c>
      <c r="Y6368">
        <v>-0.15304719999999999</v>
      </c>
      <c r="Z6368">
        <v>4.5615400000000002E-3</v>
      </c>
      <c r="AA6368">
        <v>0.98820839999999999</v>
      </c>
      <c r="AB6368">
        <v>34</v>
      </c>
      <c r="AC6368">
        <v>21.7637</v>
      </c>
      <c r="AD6368">
        <v>-1.1104047356869999</v>
      </c>
      <c r="AE6368">
        <v>3.0878199999999998</v>
      </c>
      <c r="AF6368">
        <v>-3.3847308891872498</v>
      </c>
      <c r="AG6368">
        <v>-1.1104047356869999</v>
      </c>
      <c r="AH6368">
        <v>21.662877843789801</v>
      </c>
      <c r="AI6368">
        <v>92.899208341518005</v>
      </c>
      <c r="AJ6368">
        <v>98.880417040235699</v>
      </c>
      <c r="AK6368">
        <v>21.953807832451599</v>
      </c>
      <c r="AL6368">
        <v>81.996696554150304</v>
      </c>
      <c r="AM6368">
        <v>97.389956734054493</v>
      </c>
      <c r="AN6368">
        <v>1.00000003137856</v>
      </c>
    </row>
    <row r="6369" spans="1:40" x14ac:dyDescent="0.25">
      <c r="A6369" t="str">
        <f>"20190312164150342"</f>
        <v>20190312164150342</v>
      </c>
      <c r="B6369" t="str">
        <f>"1552380110332252"</f>
        <v>1552380110332252</v>
      </c>
      <c r="C6369" t="s">
        <v>40</v>
      </c>
      <c r="D6369">
        <v>5.8563970000000003</v>
      </c>
      <c r="E6369">
        <v>0.49046430000000002</v>
      </c>
      <c r="F6369" t="s">
        <v>51</v>
      </c>
      <c r="G6369">
        <v>-202.1129</v>
      </c>
      <c r="H6369" s="1">
        <v>-4.7696129999999998E-6</v>
      </c>
      <c r="I6369">
        <v>-59.736490000000003</v>
      </c>
      <c r="J6369">
        <v>-223.7542</v>
      </c>
      <c r="K6369">
        <v>1.1104019999999999</v>
      </c>
      <c r="L6369">
        <v>-62.906889999999997</v>
      </c>
      <c r="M6369">
        <v>0.99986390000000003</v>
      </c>
      <c r="N6369">
        <v>0</v>
      </c>
      <c r="O6369">
        <v>-1.367319E-2</v>
      </c>
      <c r="P6369">
        <v>0.98483569999999998</v>
      </c>
      <c r="Q6369">
        <v>0.1303503</v>
      </c>
      <c r="R6369">
        <v>0.1144893</v>
      </c>
      <c r="S6369">
        <v>3.0156860000000001</v>
      </c>
      <c r="T6369">
        <v>-0.15364129999999901</v>
      </c>
      <c r="U6369">
        <v>0.43841550000000001</v>
      </c>
      <c r="V6369">
        <v>-0.12820100000000001</v>
      </c>
      <c r="W6369">
        <v>0.139208</v>
      </c>
      <c r="X6369">
        <v>0.98192950000000001</v>
      </c>
      <c r="Y6369">
        <v>-0.157167</v>
      </c>
      <c r="Z6369">
        <v>4.6728639999999997E-3</v>
      </c>
      <c r="AA6369">
        <v>0.98756100000000002</v>
      </c>
      <c r="AB6369">
        <v>34</v>
      </c>
      <c r="AC6369">
        <v>21.641300000000001</v>
      </c>
      <c r="AD6369">
        <v>-1.110406769613</v>
      </c>
      <c r="AE6369">
        <v>3.1703999999999999</v>
      </c>
      <c r="AF6369">
        <v>-3.4571115856788799</v>
      </c>
      <c r="AG6369">
        <v>-1.110406769613</v>
      </c>
      <c r="AH6369">
        <v>21.540407980747599</v>
      </c>
      <c r="AI6369">
        <v>92.913759146787598</v>
      </c>
      <c r="AJ6369">
        <v>99.117886274099305</v>
      </c>
      <c r="AK6369">
        <v>21.8443081759732</v>
      </c>
      <c r="AL6369">
        <v>81.997980400404003</v>
      </c>
      <c r="AM6369">
        <v>97.4384785888316</v>
      </c>
      <c r="AN6369">
        <v>0.99999995331762304</v>
      </c>
    </row>
    <row r="6370" spans="1:40" x14ac:dyDescent="0.25">
      <c r="A6370" t="str">
        <f>"20190312164150363"</f>
        <v>20190312164150363</v>
      </c>
      <c r="B6370" t="str">
        <f>"1552380110352746"</f>
        <v>1552380110352746</v>
      </c>
      <c r="C6370" t="s">
        <v>40</v>
      </c>
      <c r="D6370">
        <v>5.7952899999999996</v>
      </c>
      <c r="E6370">
        <v>0.48960009999999998</v>
      </c>
      <c r="F6370" t="s">
        <v>51</v>
      </c>
      <c r="G6370">
        <v>-202.48570000000001</v>
      </c>
      <c r="H6370" s="1">
        <v>-4.5817660000000002E-6</v>
      </c>
      <c r="I6370">
        <v>-59.727080000000001</v>
      </c>
      <c r="J6370">
        <v>-223.42009999999999</v>
      </c>
      <c r="K6370">
        <v>1.1103970000000001</v>
      </c>
      <c r="L6370">
        <v>-62.910679999999999</v>
      </c>
      <c r="M6370">
        <v>0.99987470000000001</v>
      </c>
      <c r="N6370">
        <v>0</v>
      </c>
      <c r="O6370">
        <v>-1.2850189999999999E-2</v>
      </c>
      <c r="P6370">
        <v>0.98448650000000004</v>
      </c>
      <c r="Q6370">
        <v>0.1306966</v>
      </c>
      <c r="R6370">
        <v>0.1170707</v>
      </c>
      <c r="S6370">
        <v>3.0146480000000002</v>
      </c>
      <c r="T6370">
        <v>-0.1573917</v>
      </c>
      <c r="U6370">
        <v>0.45071410000000001</v>
      </c>
      <c r="V6370">
        <v>-0.12996939999999901</v>
      </c>
      <c r="W6370">
        <v>0.13955229999999999</v>
      </c>
      <c r="X6370">
        <v>0.98164810000000002</v>
      </c>
      <c r="Y6370">
        <v>-0.160331</v>
      </c>
      <c r="Z6370">
        <v>4.8263569999999999E-3</v>
      </c>
      <c r="AA6370">
        <v>0.98705149999999997</v>
      </c>
      <c r="AB6370">
        <v>34</v>
      </c>
      <c r="AC6370">
        <v>20.934399999999901</v>
      </c>
      <c r="AD6370">
        <v>-1.11040158176599</v>
      </c>
      <c r="AE6370">
        <v>3.18359999999999</v>
      </c>
      <c r="AF6370">
        <v>-3.4428921787599802</v>
      </c>
      <c r="AG6370">
        <v>-1.11040158176599</v>
      </c>
      <c r="AH6370">
        <v>20.834468001244002</v>
      </c>
      <c r="AI6370">
        <v>93.010026109304704</v>
      </c>
      <c r="AJ6370">
        <v>99.383319053823399</v>
      </c>
      <c r="AK6370">
        <v>21.146194814250102</v>
      </c>
      <c r="AL6370">
        <v>81.978058907673898</v>
      </c>
      <c r="AM6370">
        <v>97.542048603730805</v>
      </c>
      <c r="AN6370">
        <v>0.999999940802628</v>
      </c>
    </row>
    <row r="6371" spans="1:40" x14ac:dyDescent="0.25">
      <c r="A6371" t="str">
        <f>"20190312164150374"</f>
        <v>20190312164150374</v>
      </c>
      <c r="B6371" t="str">
        <f>"1552380110362506"</f>
        <v>1552380110362506</v>
      </c>
      <c r="C6371" t="s">
        <v>40</v>
      </c>
      <c r="D6371">
        <v>5.8546559999999896</v>
      </c>
      <c r="E6371">
        <v>0.48914269999999999</v>
      </c>
      <c r="F6371" t="s">
        <v>51</v>
      </c>
      <c r="G6371">
        <v>-202.92590000000001</v>
      </c>
      <c r="H6371" s="1">
        <v>-4.3534499999999998E-6</v>
      </c>
      <c r="I6371">
        <v>-59.745100000000001</v>
      </c>
      <c r="J6371">
        <v>-223.24889999999999</v>
      </c>
      <c r="K6371">
        <v>1.1103959999999999</v>
      </c>
      <c r="L6371">
        <v>-62.912480000000002</v>
      </c>
      <c r="M6371">
        <v>0.99987999999999999</v>
      </c>
      <c r="N6371">
        <v>0</v>
      </c>
      <c r="O6371">
        <v>-1.242882E-2</v>
      </c>
      <c r="P6371">
        <v>0.98433680000000001</v>
      </c>
      <c r="Q6371">
        <v>0.13046189999999999</v>
      </c>
      <c r="R6371">
        <v>0.1185794</v>
      </c>
      <c r="S6371">
        <v>3.0135800000000001</v>
      </c>
      <c r="T6371">
        <v>-0.163279799999999</v>
      </c>
      <c r="U6371">
        <v>0.46548460000000003</v>
      </c>
      <c r="V6371">
        <v>-0.13106189999999901</v>
      </c>
      <c r="W6371">
        <v>0.13932139999999901</v>
      </c>
      <c r="X6371">
        <v>0.98153570000000001</v>
      </c>
      <c r="Y6371">
        <v>-0.16467010000000001</v>
      </c>
      <c r="Z6371">
        <v>5.100668E-3</v>
      </c>
      <c r="AA6371">
        <v>0.98633550000000003</v>
      </c>
      <c r="AB6371">
        <v>34</v>
      </c>
      <c r="AC6371">
        <v>20.322999999999901</v>
      </c>
      <c r="AD6371">
        <v>-1.11040035345</v>
      </c>
      <c r="AE6371">
        <v>3.1673800000000001</v>
      </c>
      <c r="AF6371">
        <v>-3.4097992546571598</v>
      </c>
      <c r="AG6371">
        <v>-1.11040035345</v>
      </c>
      <c r="AH6371">
        <v>20.223121792434299</v>
      </c>
      <c r="AI6371">
        <v>93.099153130470498</v>
      </c>
      <c r="AJ6371">
        <v>99.570564720553605</v>
      </c>
      <c r="AK6371">
        <v>20.538606937512402</v>
      </c>
      <c r="AL6371">
        <v>81.991419514740002</v>
      </c>
      <c r="AM6371">
        <v>97.605567494680798</v>
      </c>
      <c r="AN6371">
        <v>1.0000000022520299</v>
      </c>
    </row>
    <row r="6372" spans="1:40" x14ac:dyDescent="0.25">
      <c r="A6372" t="str">
        <f>"20190312164150386"</f>
        <v>20190312164150386</v>
      </c>
      <c r="B6372" t="str">
        <f>"1552380110382533"</f>
        <v>1552380110382533</v>
      </c>
      <c r="C6372" t="s">
        <v>40</v>
      </c>
      <c r="D6372">
        <v>5.7613849999999998</v>
      </c>
      <c r="E6372">
        <v>0.48856379999999999</v>
      </c>
      <c r="F6372" t="s">
        <v>51</v>
      </c>
      <c r="G6372">
        <v>-203.06989999999999</v>
      </c>
      <c r="H6372" s="1">
        <v>-4.2809830000000003E-6</v>
      </c>
      <c r="I6372">
        <v>-59.740900000000003</v>
      </c>
      <c r="J6372">
        <v>-223.0736</v>
      </c>
      <c r="K6372">
        <v>1.110398</v>
      </c>
      <c r="L6372">
        <v>-62.914250000000003</v>
      </c>
      <c r="M6372">
        <v>0.99988500000000002</v>
      </c>
      <c r="N6372">
        <v>0</v>
      </c>
      <c r="O6372">
        <v>-1.199792E-2</v>
      </c>
      <c r="P6372">
        <v>0.98416329999999996</v>
      </c>
      <c r="Q6372">
        <v>0.1301359</v>
      </c>
      <c r="R6372">
        <v>0.1203646</v>
      </c>
      <c r="S6372">
        <v>3.01268</v>
      </c>
      <c r="T6372">
        <v>-0.16578039999999999</v>
      </c>
      <c r="U6372">
        <v>0.47351070000000001</v>
      </c>
      <c r="V6372">
        <v>-0.13242129999999999</v>
      </c>
      <c r="W6372">
        <v>0.1390045</v>
      </c>
      <c r="X6372">
        <v>0.9813982</v>
      </c>
      <c r="Y6372">
        <v>-0.1668441</v>
      </c>
      <c r="Z6372">
        <v>5.2149910000000004E-3</v>
      </c>
      <c r="AA6372">
        <v>0.98596950000000005</v>
      </c>
      <c r="AB6372">
        <v>34</v>
      </c>
      <c r="AC6372">
        <v>20.003699999999998</v>
      </c>
      <c r="AD6372">
        <v>-1.1104022809829901</v>
      </c>
      <c r="AE6372">
        <v>3.1733499999999899</v>
      </c>
      <c r="AF6372">
        <v>-3.4029065672821099</v>
      </c>
      <c r="AG6372">
        <v>-1.1104022809829901</v>
      </c>
      <c r="AH6372">
        <v>19.904358266305302</v>
      </c>
      <c r="AI6372">
        <v>93.147471230482793</v>
      </c>
      <c r="AJ6372">
        <v>99.701656561434802</v>
      </c>
      <c r="AK6372">
        <v>20.2236555628477</v>
      </c>
      <c r="AL6372">
        <v>82.009755258715202</v>
      </c>
      <c r="AM6372">
        <v>97.684579964643305</v>
      </c>
      <c r="AN6372">
        <v>1.0000000393385799</v>
      </c>
    </row>
    <row r="6373" spans="1:40" x14ac:dyDescent="0.25">
      <c r="A6373" t="str">
        <f>"20190312164150398"</f>
        <v>20190312164150398</v>
      </c>
      <c r="B6373" t="str">
        <f>"1552380110392294"</f>
        <v>1552380110392294</v>
      </c>
      <c r="C6373" t="s">
        <v>40</v>
      </c>
      <c r="D6373">
        <v>5.8564579999999999</v>
      </c>
      <c r="E6373">
        <v>0.48837419999999998</v>
      </c>
      <c r="F6373" t="s">
        <v>51</v>
      </c>
      <c r="G6373">
        <v>-203.5624</v>
      </c>
      <c r="H6373" s="1">
        <v>-4.0209360000000001E-6</v>
      </c>
      <c r="I6373">
        <v>-59.782069999999997</v>
      </c>
      <c r="J6373">
        <v>-222.8913</v>
      </c>
      <c r="K6373">
        <v>1.1104019999999999</v>
      </c>
      <c r="L6373">
        <v>-62.916080000000001</v>
      </c>
      <c r="M6373">
        <v>0.99989019999999995</v>
      </c>
      <c r="N6373">
        <v>0</v>
      </c>
      <c r="O6373">
        <v>-1.1549759999999999E-2</v>
      </c>
      <c r="P6373">
        <v>0.9840314</v>
      </c>
      <c r="Q6373">
        <v>0.1297112</v>
      </c>
      <c r="R6373">
        <v>0.12189170000000001</v>
      </c>
      <c r="S6373">
        <v>3.0118100000000001</v>
      </c>
      <c r="T6373">
        <v>-0.17140469999999999</v>
      </c>
      <c r="U6373">
        <v>0.48348999999999998</v>
      </c>
      <c r="V6373">
        <v>-0.13350580000000001</v>
      </c>
      <c r="W6373">
        <v>0.13859270000000001</v>
      </c>
      <c r="X6373">
        <v>0.98130949999999995</v>
      </c>
      <c r="Y6373">
        <v>-0.16960980000000001</v>
      </c>
      <c r="Z6373">
        <v>5.4445910000000004E-3</v>
      </c>
      <c r="AA6373">
        <v>0.98549629999999999</v>
      </c>
      <c r="AB6373">
        <v>34</v>
      </c>
      <c r="AC6373">
        <v>19.328900000000001</v>
      </c>
      <c r="AD6373">
        <v>-1.110406020936</v>
      </c>
      <c r="AE6373">
        <v>3.1340100000000102</v>
      </c>
      <c r="AF6373">
        <v>-3.3462939467219801</v>
      </c>
      <c r="AG6373">
        <v>-1.110406020936</v>
      </c>
      <c r="AH6373">
        <v>19.229574926296799</v>
      </c>
      <c r="AI6373">
        <v>93.256032792643595</v>
      </c>
      <c r="AJ6373">
        <v>99.871648999965103</v>
      </c>
      <c r="AK6373">
        <v>19.5501211391454</v>
      </c>
      <c r="AL6373">
        <v>82.033580235961594</v>
      </c>
      <c r="AM6373">
        <v>97.747445473130796</v>
      </c>
      <c r="AN6373">
        <v>1.00000003495858</v>
      </c>
    </row>
    <row r="6374" spans="1:40" x14ac:dyDescent="0.25">
      <c r="A6374" t="str">
        <f>"20190312164150407"</f>
        <v>20190312164150407</v>
      </c>
      <c r="B6374" t="str">
        <f>"1552380110402054"</f>
        <v>1552380110402054</v>
      </c>
      <c r="C6374" t="s">
        <v>40</v>
      </c>
      <c r="D6374">
        <v>5.8538449999999997</v>
      </c>
      <c r="E6374">
        <v>0.4881836</v>
      </c>
      <c r="F6374" t="s">
        <v>51</v>
      </c>
      <c r="G6374">
        <v>-203.7998</v>
      </c>
      <c r="H6374" s="1">
        <v>-3.8930480000000003E-6</v>
      </c>
      <c r="I6374">
        <v>-59.813279999999999</v>
      </c>
      <c r="J6374">
        <v>-222.72559999999999</v>
      </c>
      <c r="K6374">
        <v>1.1104080000000001</v>
      </c>
      <c r="L6374">
        <v>-62.9176</v>
      </c>
      <c r="M6374">
        <v>0.99989439999999996</v>
      </c>
      <c r="N6374">
        <v>0</v>
      </c>
      <c r="O6374">
        <v>-1.1143470000000001E-2</v>
      </c>
      <c r="P6374">
        <v>0.98379119999999998</v>
      </c>
      <c r="Q6374">
        <v>0.12973399999999999</v>
      </c>
      <c r="R6374">
        <v>0.12379080000000001</v>
      </c>
      <c r="S6374">
        <v>3.0111539999999999</v>
      </c>
      <c r="T6374">
        <v>-0.1751356</v>
      </c>
      <c r="U6374">
        <v>0.48937989999999998</v>
      </c>
      <c r="V6374">
        <v>-0.13500309999999999</v>
      </c>
      <c r="W6374">
        <v>0.1386367</v>
      </c>
      <c r="X6374">
        <v>0.98109840000000004</v>
      </c>
      <c r="Y6374">
        <v>-0.17110699999999901</v>
      </c>
      <c r="Z6374">
        <v>5.5829989999999999E-3</v>
      </c>
      <c r="AA6374">
        <v>0.98523660000000002</v>
      </c>
      <c r="AB6374">
        <v>34</v>
      </c>
      <c r="AC6374">
        <v>18.925799999999899</v>
      </c>
      <c r="AD6374">
        <v>-1.110411893048</v>
      </c>
      <c r="AE6374">
        <v>3.1043199999999902</v>
      </c>
      <c r="AF6374">
        <v>-3.3039599670622701</v>
      </c>
      <c r="AG6374">
        <v>-1.110411893048</v>
      </c>
      <c r="AH6374">
        <v>18.826918824646398</v>
      </c>
      <c r="AI6374">
        <v>93.324704476742397</v>
      </c>
      <c r="AJ6374">
        <v>99.953554729465196</v>
      </c>
      <c r="AK6374">
        <v>19.146854531906801</v>
      </c>
      <c r="AL6374">
        <v>82.031034535985</v>
      </c>
      <c r="AM6374">
        <v>97.834926671550306</v>
      </c>
      <c r="AN6374">
        <v>1.0000000210395299</v>
      </c>
    </row>
    <row r="6375" spans="1:40" x14ac:dyDescent="0.25">
      <c r="A6375" t="str">
        <f>"20190312164150420"</f>
        <v>20190312164150420</v>
      </c>
      <c r="B6375" t="str">
        <f>"1552380110412790"</f>
        <v>1552380110412790</v>
      </c>
      <c r="C6375" t="s">
        <v>40</v>
      </c>
      <c r="D6375">
        <v>5.7976470000000004</v>
      </c>
      <c r="E6375">
        <v>0.48798439999999998</v>
      </c>
      <c r="F6375" t="s">
        <v>51</v>
      </c>
      <c r="G6375">
        <v>-203.82329999999999</v>
      </c>
      <c r="H6375" s="1">
        <v>-3.8842129999999997E-6</v>
      </c>
      <c r="I6375">
        <v>-59.799030000000002</v>
      </c>
      <c r="J6375">
        <v>-222.5472</v>
      </c>
      <c r="K6375">
        <v>1.1104149999999999</v>
      </c>
      <c r="L6375">
        <v>-62.919220000000003</v>
      </c>
      <c r="M6375">
        <v>0.99989899999999998</v>
      </c>
      <c r="N6375">
        <v>0</v>
      </c>
      <c r="O6375">
        <v>-1.0705839999999999E-2</v>
      </c>
      <c r="P6375">
        <v>0.98360959999999997</v>
      </c>
      <c r="Q6375">
        <v>0.12954189999999999</v>
      </c>
      <c r="R6375">
        <v>0.1254255</v>
      </c>
      <c r="S6375">
        <v>3.0102540000000002</v>
      </c>
      <c r="T6375">
        <v>-0.17683670000000001</v>
      </c>
      <c r="U6375">
        <v>0.4966431</v>
      </c>
      <c r="V6375">
        <v>-0.1362062</v>
      </c>
      <c r="W6375">
        <v>0.13847039999999999</v>
      </c>
      <c r="X6375">
        <v>0.98095549999999998</v>
      </c>
      <c r="Y6375">
        <v>-0.17302890000000001</v>
      </c>
      <c r="Z6375">
        <v>5.6682080000000001E-3</v>
      </c>
      <c r="AA6375">
        <v>0.98490040000000001</v>
      </c>
      <c r="AB6375">
        <v>34</v>
      </c>
      <c r="AC6375">
        <v>18.7239</v>
      </c>
      <c r="AD6375">
        <v>-1.1104188842129901</v>
      </c>
      <c r="AE6375">
        <v>3.1201899999999898</v>
      </c>
      <c r="AF6375">
        <v>-3.3091509521320202</v>
      </c>
      <c r="AG6375">
        <v>-1.1104188842129901</v>
      </c>
      <c r="AH6375">
        <v>18.625683277543299</v>
      </c>
      <c r="AI6375">
        <v>93.359316082308695</v>
      </c>
      <c r="AJ6375">
        <v>100.074390597709</v>
      </c>
      <c r="AK6375">
        <v>18.949923157569</v>
      </c>
      <c r="AL6375">
        <v>82.040654944885503</v>
      </c>
      <c r="AM6375">
        <v>97.905006993849995</v>
      </c>
      <c r="AN6375">
        <v>0.99999993678742305</v>
      </c>
    </row>
    <row r="6376" spans="1:40" x14ac:dyDescent="0.25">
      <c r="A6376" t="str">
        <f>"20190312164150431"</f>
        <v>20190312164150431</v>
      </c>
      <c r="B6376" t="str">
        <f>"1552380110422550"</f>
        <v>1552380110422550</v>
      </c>
      <c r="C6376" t="s">
        <v>40</v>
      </c>
      <c r="D6376">
        <v>5.8988269999999998</v>
      </c>
      <c r="E6376">
        <v>0.48792059999999998</v>
      </c>
      <c r="F6376" t="s">
        <v>51</v>
      </c>
      <c r="G6376">
        <v>-203.9075</v>
      </c>
      <c r="H6376" s="1">
        <v>-3.8403350000000002E-6</v>
      </c>
      <c r="I6376">
        <v>-59.803649999999998</v>
      </c>
      <c r="J6376">
        <v>-222.3732</v>
      </c>
      <c r="K6376">
        <v>1.1104210000000001</v>
      </c>
      <c r="L6376">
        <v>-62.920679999999997</v>
      </c>
      <c r="M6376">
        <v>0.99990310000000004</v>
      </c>
      <c r="N6376">
        <v>0</v>
      </c>
      <c r="O6376">
        <v>-1.0279679999999999E-2</v>
      </c>
      <c r="P6376">
        <v>0.98335810000000001</v>
      </c>
      <c r="Q6376">
        <v>0.1295856</v>
      </c>
      <c r="R6376">
        <v>0.12733639999999999</v>
      </c>
      <c r="S6376">
        <v>3.0094599999999998</v>
      </c>
      <c r="T6376">
        <v>-0.17928169999999999</v>
      </c>
      <c r="U6376">
        <v>0.50302119999999995</v>
      </c>
      <c r="V6376">
        <v>-0.13769619999999999</v>
      </c>
      <c r="W6376">
        <v>0.138545</v>
      </c>
      <c r="X6376">
        <v>0.98073699999999997</v>
      </c>
      <c r="Y6376">
        <v>-0.1746712</v>
      </c>
      <c r="Z6376">
        <v>5.7702869999999998E-3</v>
      </c>
      <c r="AA6376">
        <v>0.98460990000000004</v>
      </c>
      <c r="AB6376">
        <v>34</v>
      </c>
      <c r="AC6376">
        <v>18.465699999999998</v>
      </c>
      <c r="AD6376">
        <v>-1.1104248403350001</v>
      </c>
      <c r="AE6376">
        <v>3.1170300000000002</v>
      </c>
      <c r="AF6376">
        <v>-3.2951096357865399</v>
      </c>
      <c r="AG6376">
        <v>-1.1104248403350001</v>
      </c>
      <c r="AH6376">
        <v>18.368099076128999</v>
      </c>
      <c r="AI6376">
        <v>93.405318080673595</v>
      </c>
      <c r="AJ6376">
        <v>100.170286825199</v>
      </c>
      <c r="AK6376">
        <v>18.694326800085101</v>
      </c>
      <c r="AL6376">
        <v>82.036339681985197</v>
      </c>
      <c r="AM6376">
        <v>97.992128454634894</v>
      </c>
      <c r="AN6376">
        <v>1.00000001184422</v>
      </c>
    </row>
    <row r="6377" spans="1:40" x14ac:dyDescent="0.25">
      <c r="A6377" t="str">
        <f>"20190312164150444"</f>
        <v>20190312164150444</v>
      </c>
      <c r="B6377" t="str">
        <f>"1552380110432309"</f>
        <v>1552380110432309</v>
      </c>
      <c r="C6377" t="s">
        <v>40</v>
      </c>
      <c r="D6377">
        <v>5.76159</v>
      </c>
      <c r="E6377">
        <v>0.48792059999999998</v>
      </c>
      <c r="F6377" t="s">
        <v>51</v>
      </c>
      <c r="G6377">
        <v>-204.1019</v>
      </c>
      <c r="H6377" s="1">
        <v>-3.7357940000000001E-6</v>
      </c>
      <c r="I6377">
        <v>-59.828200000000002</v>
      </c>
      <c r="J6377">
        <v>-222.18780000000001</v>
      </c>
      <c r="K6377">
        <v>1.11043</v>
      </c>
      <c r="L6377">
        <v>-62.922179999999997</v>
      </c>
      <c r="M6377">
        <v>0.99990730000000005</v>
      </c>
      <c r="N6377">
        <v>0</v>
      </c>
      <c r="O6377">
        <v>-9.8258960000000006E-3</v>
      </c>
      <c r="P6377">
        <v>0.98307429999999996</v>
      </c>
      <c r="Q6377">
        <v>0.12981909999999999</v>
      </c>
      <c r="R6377">
        <v>0.129276</v>
      </c>
      <c r="S6377">
        <v>3.0089419999999998</v>
      </c>
      <c r="T6377">
        <v>-0.1828669</v>
      </c>
      <c r="U6377">
        <v>0.50927730000000004</v>
      </c>
      <c r="V6377">
        <v>-0.13918820000000001</v>
      </c>
      <c r="W6377">
        <v>0.13881749999999901</v>
      </c>
      <c r="X6377">
        <v>0.98048780000000002</v>
      </c>
      <c r="Y6377">
        <v>-0.17622779999999999</v>
      </c>
      <c r="Z6377">
        <v>5.9050209999999999E-3</v>
      </c>
      <c r="AA6377">
        <v>0.98433170000000003</v>
      </c>
      <c r="AB6377">
        <v>34</v>
      </c>
      <c r="AC6377">
        <v>18.085899999999999</v>
      </c>
      <c r="AD6377">
        <v>-1.110433735794</v>
      </c>
      <c r="AE6377">
        <v>3.0939800000000002</v>
      </c>
      <c r="AF6377">
        <v>-3.2596103673588299</v>
      </c>
      <c r="AG6377">
        <v>-1.110433735794</v>
      </c>
      <c r="AH6377">
        <v>17.988740577442801</v>
      </c>
      <c r="AI6377">
        <v>93.475889179657898</v>
      </c>
      <c r="AJ6377">
        <v>100.27071291189399</v>
      </c>
      <c r="AK6377">
        <v>18.315373607740501</v>
      </c>
      <c r="AL6377">
        <v>82.020574063495204</v>
      </c>
      <c r="AM6377">
        <v>98.079615728467701</v>
      </c>
      <c r="AN6377">
        <v>0.99999998963716497</v>
      </c>
    </row>
    <row r="6378" spans="1:40" x14ac:dyDescent="0.25">
      <c r="A6378" t="str">
        <f>"20190312164150455"</f>
        <v>20190312164150455</v>
      </c>
      <c r="B6378" t="str">
        <f>"1552380110442070"</f>
        <v>1552380110442070</v>
      </c>
      <c r="C6378" t="s">
        <v>40</v>
      </c>
      <c r="D6378">
        <v>5.7919390000000002</v>
      </c>
      <c r="E6378">
        <v>0.48235830000000002</v>
      </c>
      <c r="F6378" t="s">
        <v>51</v>
      </c>
      <c r="G6378">
        <v>-203.86240000000001</v>
      </c>
      <c r="H6378" s="1">
        <v>-3.8670520000000002E-6</v>
      </c>
      <c r="I6378">
        <v>-59.786670000000001</v>
      </c>
      <c r="J6378">
        <v>-222.00970000000001</v>
      </c>
      <c r="K6378">
        <v>1.1104419999999999</v>
      </c>
      <c r="L6378">
        <v>-62.923549999999999</v>
      </c>
      <c r="M6378">
        <v>0.99991110000000005</v>
      </c>
      <c r="N6378">
        <v>0</v>
      </c>
      <c r="O6378">
        <v>-9.3903700000000003E-3</v>
      </c>
      <c r="P6378">
        <v>0.98270199999999996</v>
      </c>
      <c r="Q6378">
        <v>0.13028100000000001</v>
      </c>
      <c r="R6378">
        <v>0.1316206</v>
      </c>
      <c r="S6378">
        <v>3.0080260000000001</v>
      </c>
      <c r="T6378">
        <v>-0.18227260000000001</v>
      </c>
      <c r="U6378">
        <v>0.514679</v>
      </c>
      <c r="V6378">
        <v>-0.14110309999999901</v>
      </c>
      <c r="W6378">
        <v>0.1393218</v>
      </c>
      <c r="X6378">
        <v>0.98014250000000003</v>
      </c>
      <c r="Y6378">
        <v>-0.17756649999999999</v>
      </c>
      <c r="Z6378">
        <v>5.900794E-3</v>
      </c>
      <c r="AA6378">
        <v>0.9840911</v>
      </c>
      <c r="AB6378">
        <v>34</v>
      </c>
      <c r="AC6378">
        <v>18.147300000000001</v>
      </c>
      <c r="AD6378">
        <v>-1.1104458670520001</v>
      </c>
      <c r="AE6378">
        <v>3.1368800000000001</v>
      </c>
      <c r="AF6378">
        <v>-3.29517899723652</v>
      </c>
      <c r="AG6378">
        <v>-1.1104458670520001</v>
      </c>
      <c r="AH6378">
        <v>18.051413052020798</v>
      </c>
      <c r="AI6378">
        <v>93.463072611531402</v>
      </c>
      <c r="AJ6378">
        <v>100.345102568743</v>
      </c>
      <c r="AK6378">
        <v>18.383275220214401</v>
      </c>
      <c r="AL6378">
        <v>81.991396227973894</v>
      </c>
      <c r="AM6378">
        <v>98.192120315236096</v>
      </c>
      <c r="AN6378">
        <v>0.99999998454554895</v>
      </c>
    </row>
    <row r="6379" spans="1:40" x14ac:dyDescent="0.25">
      <c r="A6379" t="str">
        <f>"20190312164150467"</f>
        <v>20190312164150467</v>
      </c>
      <c r="B6379" t="str">
        <f>"1552380110462566"</f>
        <v>1552380110462566</v>
      </c>
      <c r="C6379" t="s">
        <v>40</v>
      </c>
      <c r="D6379">
        <v>5.8572369999999996</v>
      </c>
      <c r="E6379">
        <v>0.4815643</v>
      </c>
      <c r="F6379" t="s">
        <v>60</v>
      </c>
      <c r="G6379">
        <v>-211.10329999999999</v>
      </c>
      <c r="H6379" s="1">
        <v>4.317944E-7</v>
      </c>
      <c r="I6379">
        <v>-60.856720000000003</v>
      </c>
      <c r="J6379">
        <v>-221.83369999999999</v>
      </c>
      <c r="K6379">
        <v>1.110457</v>
      </c>
      <c r="L6379">
        <v>-62.924799999999998</v>
      </c>
      <c r="M6379">
        <v>0.99991430000000003</v>
      </c>
      <c r="N6379">
        <v>0</v>
      </c>
      <c r="O6379">
        <v>-8.9589439999999999E-3</v>
      </c>
      <c r="P6379">
        <v>0.98233740000000003</v>
      </c>
      <c r="Q6379">
        <v>0.1307276</v>
      </c>
      <c r="R6379">
        <v>0.13388059999999999</v>
      </c>
      <c r="S6379">
        <v>3.016953</v>
      </c>
      <c r="T6379">
        <v>-0.30717250000000001</v>
      </c>
      <c r="U6379">
        <v>0.57171629999999996</v>
      </c>
      <c r="V6379">
        <v>-0.1429378</v>
      </c>
      <c r="W6379">
        <v>0.13982420000000001</v>
      </c>
      <c r="X6379">
        <v>0.97980509999999998</v>
      </c>
      <c r="Y6379">
        <v>-0.19396959999999999</v>
      </c>
      <c r="Z6379">
        <v>1.0664949999999999E-2</v>
      </c>
      <c r="AA6379">
        <v>0.98094959999999998</v>
      </c>
      <c r="AB6379">
        <v>34</v>
      </c>
      <c r="AC6379">
        <v>10.730399999999999</v>
      </c>
      <c r="AD6379">
        <v>-1.1104565682056</v>
      </c>
      <c r="AE6379">
        <v>2.0680800000000001</v>
      </c>
      <c r="AF6379">
        <v>-2.1420159902812999</v>
      </c>
      <c r="AG6379">
        <v>-1.1104565682056</v>
      </c>
      <c r="AH6379">
        <v>10.6019648701793</v>
      </c>
      <c r="AI6379">
        <v>95.861801313091405</v>
      </c>
      <c r="AJ6379">
        <v>101.42225021143101</v>
      </c>
      <c r="AK6379">
        <v>10.873040301636401</v>
      </c>
      <c r="AL6379">
        <v>81.962326634492996</v>
      </c>
      <c r="AM6379">
        <v>98.299982488864998</v>
      </c>
      <c r="AN6379">
        <v>1.0000000277802401</v>
      </c>
    </row>
    <row r="6380" spans="1:40" x14ac:dyDescent="0.25">
      <c r="A6380" t="str">
        <f>"20190312164150488"</f>
        <v>20190312164150488</v>
      </c>
      <c r="B6380" t="str">
        <f>"1552380110482086"</f>
        <v>1552380110482086</v>
      </c>
      <c r="C6380" t="s">
        <v>40</v>
      </c>
      <c r="D6380">
        <v>6.13279</v>
      </c>
      <c r="E6380">
        <v>0.48277209999999998</v>
      </c>
      <c r="F6380" t="s">
        <v>51</v>
      </c>
      <c r="G6380">
        <v>-209.85599999999999</v>
      </c>
      <c r="H6380" s="1">
        <v>-9.6949439999999998E-8</v>
      </c>
      <c r="I6380">
        <v>-60.607840000000003</v>
      </c>
      <c r="J6380">
        <v>-221.49369999999999</v>
      </c>
      <c r="K6380">
        <v>1.1104969999999901</v>
      </c>
      <c r="L6380">
        <v>-62.927</v>
      </c>
      <c r="M6380">
        <v>0.99992000000000003</v>
      </c>
      <c r="N6380">
        <v>0</v>
      </c>
      <c r="O6380">
        <v>-8.1182379999999998E-3</v>
      </c>
      <c r="P6380">
        <v>0.98169839999999997</v>
      </c>
      <c r="Q6380">
        <v>0.1306002</v>
      </c>
      <c r="R6380">
        <v>0.1386076</v>
      </c>
      <c r="S6380">
        <v>3.0116879999999999</v>
      </c>
      <c r="T6380">
        <v>-0.27921459999999998</v>
      </c>
      <c r="U6380">
        <v>0.5825806</v>
      </c>
      <c r="V6380">
        <v>-0.14683750000000001</v>
      </c>
      <c r="W6380">
        <v>0.13983789999999999</v>
      </c>
      <c r="X6380">
        <v>0.97922629999999999</v>
      </c>
      <c r="Y6380">
        <v>-0.1970354</v>
      </c>
      <c r="Z6380">
        <v>9.7752410000000005E-3</v>
      </c>
      <c r="AA6380">
        <v>0.98034759999999999</v>
      </c>
      <c r="AB6380">
        <v>34</v>
      </c>
      <c r="AC6380">
        <v>11.637699999999899</v>
      </c>
      <c r="AD6380">
        <v>-1.1104970969494401</v>
      </c>
      <c r="AE6380">
        <v>2.3191599999999899</v>
      </c>
      <c r="AF6380">
        <v>-2.3926119881604802</v>
      </c>
      <c r="AG6380">
        <v>-1.1104970969494401</v>
      </c>
      <c r="AH6380">
        <v>11.517620861696599</v>
      </c>
      <c r="AI6380">
        <v>95.392845317636997</v>
      </c>
      <c r="AJ6380">
        <v>101.735424393263</v>
      </c>
      <c r="AK6380">
        <v>11.815810858422299</v>
      </c>
      <c r="AL6380">
        <v>81.961533816011993</v>
      </c>
      <c r="AM6380">
        <v>98.528107834805695</v>
      </c>
      <c r="AN6380">
        <v>1.00000001814717</v>
      </c>
    </row>
    <row r="6381" spans="1:40" x14ac:dyDescent="0.25">
      <c r="A6381" t="str">
        <f>"20190312164150498"</f>
        <v>20190312164150498</v>
      </c>
      <c r="B6381" t="str">
        <f>"1552380110492822"</f>
        <v>1552380110492822</v>
      </c>
      <c r="C6381" t="s">
        <v>40</v>
      </c>
      <c r="D6381">
        <v>5.86252</v>
      </c>
      <c r="E6381">
        <v>0.48395919999999998</v>
      </c>
      <c r="F6381" t="s">
        <v>51</v>
      </c>
      <c r="G6381">
        <v>-208.70590000000001</v>
      </c>
      <c r="H6381" s="1">
        <v>-8.0214200000000001E-7</v>
      </c>
      <c r="I6381">
        <v>-60.44106</v>
      </c>
      <c r="J6381">
        <v>-221.3424</v>
      </c>
      <c r="K6381">
        <v>1.1105179999999999</v>
      </c>
      <c r="L6381">
        <v>-62.927919999999901</v>
      </c>
      <c r="M6381">
        <v>0.99992219999999998</v>
      </c>
      <c r="N6381">
        <v>0</v>
      </c>
      <c r="O6381">
        <v>-7.7403949999999997E-3</v>
      </c>
      <c r="P6381">
        <v>0.98132090000000005</v>
      </c>
      <c r="Q6381">
        <v>0.13027040000000001</v>
      </c>
      <c r="R6381">
        <v>0.1415594</v>
      </c>
      <c r="S6381">
        <v>3.0081329999999999</v>
      </c>
      <c r="T6381">
        <v>-0.26122689999999998</v>
      </c>
      <c r="U6381">
        <v>0.58477780000000001</v>
      </c>
      <c r="V6381">
        <v>-0.1494171</v>
      </c>
      <c r="W6381">
        <v>0.1395815</v>
      </c>
      <c r="X6381">
        <v>0.97887259999999998</v>
      </c>
      <c r="Y6381">
        <v>-0.19767419999999999</v>
      </c>
      <c r="Z6381">
        <v>9.1527850000000001E-3</v>
      </c>
      <c r="AA6381">
        <v>0.98022500000000001</v>
      </c>
      <c r="AB6381">
        <v>34</v>
      </c>
      <c r="AC6381">
        <v>12.6364999999999</v>
      </c>
      <c r="AD6381">
        <v>-1.110518802142</v>
      </c>
      <c r="AE6381">
        <v>2.4868599999999899</v>
      </c>
      <c r="AF6381">
        <v>-2.5655263480741599</v>
      </c>
      <c r="AG6381">
        <v>-1.110518802142</v>
      </c>
      <c r="AH6381">
        <v>12.523753984093601</v>
      </c>
      <c r="AI6381">
        <v>94.964764464941794</v>
      </c>
      <c r="AJ6381">
        <v>101.577033413858</v>
      </c>
      <c r="AK6381">
        <v>12.831975347025701</v>
      </c>
      <c r="AL6381">
        <v>81.976369941466402</v>
      </c>
      <c r="AM6381">
        <v>98.678754008856799</v>
      </c>
      <c r="AN6381">
        <v>1.0000000159727001</v>
      </c>
    </row>
    <row r="6382" spans="1:40" x14ac:dyDescent="0.25">
      <c r="A6382" t="str">
        <f>"20190312164150510"</f>
        <v>20190312164150510</v>
      </c>
      <c r="B6382" t="str">
        <f>"1552380110502582"</f>
        <v>1552380110502582</v>
      </c>
      <c r="C6382" t="s">
        <v>40</v>
      </c>
      <c r="D6382">
        <v>5.5699009999999998</v>
      </c>
      <c r="E6382">
        <v>0.48479050000000001</v>
      </c>
      <c r="F6382" t="s">
        <v>51</v>
      </c>
      <c r="G6382">
        <v>-208.14590000000001</v>
      </c>
      <c r="H6382" s="1">
        <v>-1.154579E-6</v>
      </c>
      <c r="I6382">
        <v>-60.366779999999999</v>
      </c>
      <c r="J6382">
        <v>-221.16800000000001</v>
      </c>
      <c r="K6382">
        <v>1.110549</v>
      </c>
      <c r="L6382">
        <v>-62.928800000000003</v>
      </c>
      <c r="M6382">
        <v>0.99992429999999999</v>
      </c>
      <c r="N6382">
        <v>0</v>
      </c>
      <c r="O6382">
        <v>-7.2967279999999997E-3</v>
      </c>
      <c r="P6382">
        <v>0.98100620000000005</v>
      </c>
      <c r="Q6382">
        <v>0.1295946</v>
      </c>
      <c r="R6382">
        <v>0.144333399999999</v>
      </c>
      <c r="S6382">
        <v>3.006516</v>
      </c>
      <c r="T6382">
        <v>-0.25300620000000001</v>
      </c>
      <c r="U6382">
        <v>0.58349609999999996</v>
      </c>
      <c r="V6382">
        <v>-0.15175620000000001</v>
      </c>
      <c r="W6382">
        <v>0.13901350000000001</v>
      </c>
      <c r="X6382">
        <v>0.97859350000000001</v>
      </c>
      <c r="Y6382">
        <v>-0.19698450000000001</v>
      </c>
      <c r="Z6382">
        <v>8.8051309999999904E-3</v>
      </c>
      <c r="AA6382">
        <v>0.98036710000000005</v>
      </c>
      <c r="AB6382">
        <v>34</v>
      </c>
      <c r="AC6382">
        <v>13.022099999999901</v>
      </c>
      <c r="AD6382">
        <v>-1.110550154579</v>
      </c>
      <c r="AE6382">
        <v>2.5620199999999902</v>
      </c>
      <c r="AF6382">
        <v>-2.6385004516338002</v>
      </c>
      <c r="AG6382">
        <v>-1.110550154579</v>
      </c>
      <c r="AH6382">
        <v>12.9126439689996</v>
      </c>
      <c r="AI6382">
        <v>94.816577924286705</v>
      </c>
      <c r="AJ6382">
        <v>101.548536576215</v>
      </c>
      <c r="AK6382">
        <v>13.226162729576901</v>
      </c>
      <c r="AL6382">
        <v>82.009233966004302</v>
      </c>
      <c r="AM6382">
        <v>98.814975785996694</v>
      </c>
      <c r="AN6382">
        <v>0.99999996783146905</v>
      </c>
    </row>
    <row r="6383" spans="1:40" x14ac:dyDescent="0.25">
      <c r="A6383" t="str">
        <f>"20190312164150521"</f>
        <v>20190312164150521</v>
      </c>
      <c r="B6383" t="str">
        <f>"1552380110512342"</f>
        <v>1552380110512342</v>
      </c>
      <c r="C6383" t="s">
        <v>40</v>
      </c>
      <c r="D6383">
        <v>5.779973</v>
      </c>
      <c r="E6383">
        <v>0.48539710000000003</v>
      </c>
      <c r="F6383" t="s">
        <v>51</v>
      </c>
      <c r="G6383">
        <v>-207.70439999999999</v>
      </c>
      <c r="H6383" s="1">
        <v>-1.4505299999999999E-6</v>
      </c>
      <c r="I6383">
        <v>-60.309150000000002</v>
      </c>
      <c r="J6383">
        <v>-221.00810000000001</v>
      </c>
      <c r="K6383">
        <v>1.1105780000000001</v>
      </c>
      <c r="L6383">
        <v>-62.929630000000003</v>
      </c>
      <c r="M6383">
        <v>0.99992599999999998</v>
      </c>
      <c r="N6383">
        <v>0</v>
      </c>
      <c r="O6383">
        <v>-6.8863070000000004E-3</v>
      </c>
      <c r="P6383">
        <v>0.98061690000000001</v>
      </c>
      <c r="Q6383">
        <v>0.1291475</v>
      </c>
      <c r="R6383">
        <v>0.14734839999999999</v>
      </c>
      <c r="S6383">
        <v>3.0048219999999999</v>
      </c>
      <c r="T6383">
        <v>-0.24785389999999999</v>
      </c>
      <c r="U6383">
        <v>0.58465579999999995</v>
      </c>
      <c r="V6383">
        <v>-0.15436939999999999</v>
      </c>
      <c r="W6383">
        <v>0.13866879999999901</v>
      </c>
      <c r="X6383">
        <v>0.97823360000000004</v>
      </c>
      <c r="Y6383">
        <v>-0.19707839999999999</v>
      </c>
      <c r="Z6383">
        <v>8.6011939999999995E-3</v>
      </c>
      <c r="AA6383">
        <v>0.98035000000000005</v>
      </c>
      <c r="AB6383">
        <v>34</v>
      </c>
      <c r="AC6383">
        <v>13.303699999999999</v>
      </c>
      <c r="AD6383">
        <v>-1.11057945053</v>
      </c>
      <c r="AE6383">
        <v>2.6204800000000001</v>
      </c>
      <c r="AF6383">
        <v>-2.6939634765687899</v>
      </c>
      <c r="AG6383">
        <v>-1.11057945053</v>
      </c>
      <c r="AH6383">
        <v>13.196807897415001</v>
      </c>
      <c r="AI6383">
        <v>94.713641131019202</v>
      </c>
      <c r="AJ6383">
        <v>101.53769403104199</v>
      </c>
      <c r="AK6383">
        <v>13.514679597027101</v>
      </c>
      <c r="AL6383">
        <v>82.029176929592197</v>
      </c>
      <c r="AM6383">
        <v>98.967567021507094</v>
      </c>
      <c r="AN6383">
        <v>0.99999996195937901</v>
      </c>
    </row>
    <row r="6384" spans="1:40" x14ac:dyDescent="0.25">
      <c r="A6384" t="str">
        <f>"20190312164150530"</f>
        <v>20190312164150530</v>
      </c>
      <c r="B6384" t="str">
        <f>"1552380110522102"</f>
        <v>1552380110522102</v>
      </c>
      <c r="C6384" t="s">
        <v>40</v>
      </c>
      <c r="D6384">
        <v>5.7935509999999999</v>
      </c>
      <c r="E6384">
        <v>0.48588429999999999</v>
      </c>
      <c r="F6384" t="s">
        <v>51</v>
      </c>
      <c r="G6384">
        <v>-207.20650000000001</v>
      </c>
      <c r="H6384" s="1">
        <v>-1.7897579999999999E-6</v>
      </c>
      <c r="I6384">
        <v>-60.223649999999999</v>
      </c>
      <c r="J6384">
        <v>-220.84200000000001</v>
      </c>
      <c r="K6384">
        <v>1.1106180000000001</v>
      </c>
      <c r="L6384">
        <v>-62.93036</v>
      </c>
      <c r="M6384">
        <v>0.99992740000000002</v>
      </c>
      <c r="N6384">
        <v>0</v>
      </c>
      <c r="O6384">
        <v>-6.4498460000000004E-3</v>
      </c>
      <c r="P6384">
        <v>0.9802128</v>
      </c>
      <c r="Q6384">
        <v>0.1285183</v>
      </c>
      <c r="R6384">
        <v>0.1505532</v>
      </c>
      <c r="S6384">
        <v>3.0026700000000002</v>
      </c>
      <c r="T6384">
        <v>-0.24161850000000001</v>
      </c>
      <c r="U6384">
        <v>0.58871459999999998</v>
      </c>
      <c r="V6384">
        <v>-0.15714829999999999</v>
      </c>
      <c r="W6384">
        <v>0.13816579999999901</v>
      </c>
      <c r="X6384">
        <v>0.97786220000000001</v>
      </c>
      <c r="Y6384">
        <v>-0.1980893</v>
      </c>
      <c r="Z6384">
        <v>8.3957830000000004E-3</v>
      </c>
      <c r="AA6384">
        <v>0.98014800000000002</v>
      </c>
      <c r="AB6384">
        <v>34</v>
      </c>
      <c r="AC6384">
        <v>13.6355</v>
      </c>
      <c r="AD6384">
        <v>-1.1106197897579999</v>
      </c>
      <c r="AE6384">
        <v>2.7067100000000002</v>
      </c>
      <c r="AF6384">
        <v>-2.77688113210495</v>
      </c>
      <c r="AG6384">
        <v>-1.1106197897579999</v>
      </c>
      <c r="AH6384">
        <v>13.5313908053022</v>
      </c>
      <c r="AI6384">
        <v>94.596790500329504</v>
      </c>
      <c r="AJ6384">
        <v>101.59709690151401</v>
      </c>
      <c r="AK6384">
        <v>13.857960970686101</v>
      </c>
      <c r="AL6384">
        <v>82.058276563083993</v>
      </c>
      <c r="AM6384">
        <v>99.129712401157093</v>
      </c>
      <c r="AN6384">
        <v>0.99999992933568205</v>
      </c>
    </row>
    <row r="6385" spans="1:40" x14ac:dyDescent="0.25">
      <c r="A6385" t="str">
        <f>"20190312164150542"</f>
        <v>20190312164150542</v>
      </c>
      <c r="B6385" t="str">
        <f>"1552380110532838"</f>
        <v>1552380110532838</v>
      </c>
      <c r="C6385" t="s">
        <v>40</v>
      </c>
      <c r="D6385">
        <v>5.907629</v>
      </c>
      <c r="E6385">
        <v>0.48634840000000001</v>
      </c>
      <c r="F6385" t="s">
        <v>51</v>
      </c>
      <c r="G6385">
        <v>-206.89189999999999</v>
      </c>
      <c r="H6385" s="1">
        <v>-2.0048989999999998E-6</v>
      </c>
      <c r="I6385">
        <v>-60.166679999999999</v>
      </c>
      <c r="J6385">
        <v>-220.67160000000001</v>
      </c>
      <c r="K6385">
        <v>1.1106640000000001</v>
      </c>
      <c r="L6385">
        <v>-62.93103</v>
      </c>
      <c r="M6385">
        <v>0.9999287</v>
      </c>
      <c r="N6385">
        <v>0</v>
      </c>
      <c r="O6385">
        <v>-5.9901850000000003E-3</v>
      </c>
      <c r="P6385">
        <v>0.97979689999999997</v>
      </c>
      <c r="Q6385">
        <v>0.1278329</v>
      </c>
      <c r="R6385">
        <v>0.15380869999999999</v>
      </c>
      <c r="S6385">
        <v>3.0005799999999998</v>
      </c>
      <c r="T6385">
        <v>-0.23888799999999999</v>
      </c>
      <c r="U6385">
        <v>0.59445190000000003</v>
      </c>
      <c r="V6385">
        <v>-0.15995619999999999</v>
      </c>
      <c r="W6385">
        <v>0.13762079999999999</v>
      </c>
      <c r="X6385">
        <v>0.97748369999999996</v>
      </c>
      <c r="Y6385">
        <v>-0.19958200000000001</v>
      </c>
      <c r="Z6385">
        <v>8.3278999999999992E-3</v>
      </c>
      <c r="AA6385">
        <v>0.97984570000000004</v>
      </c>
      <c r="AB6385">
        <v>34</v>
      </c>
      <c r="AC6385">
        <v>13.7797</v>
      </c>
      <c r="AD6385">
        <v>-1.11066600489899</v>
      </c>
      <c r="AE6385">
        <v>2.7643499999999999</v>
      </c>
      <c r="AF6385">
        <v>-2.8291787383139102</v>
      </c>
      <c r="AG6385">
        <v>-1.11066600489899</v>
      </c>
      <c r="AH6385">
        <v>13.677473228227999</v>
      </c>
      <c r="AI6385">
        <v>94.546629501078499</v>
      </c>
      <c r="AJ6385">
        <v>101.68678491203499</v>
      </c>
      <c r="AK6385">
        <v>14.0111064950867</v>
      </c>
      <c r="AL6385">
        <v>82.089803926327505</v>
      </c>
      <c r="AM6385">
        <v>99.293555318752695</v>
      </c>
      <c r="AN6385">
        <v>0.99999992713838204</v>
      </c>
    </row>
    <row r="6386" spans="1:40" x14ac:dyDescent="0.25">
      <c r="A6386" t="str">
        <f>"20190312164150554"</f>
        <v>20190312164150554</v>
      </c>
      <c r="B6386" t="str">
        <f>"1552380110542599"</f>
        <v>1552380110542599</v>
      </c>
      <c r="C6386" t="s">
        <v>40</v>
      </c>
      <c r="D6386">
        <v>5.7062369999999998</v>
      </c>
      <c r="E6386">
        <v>0.48673840000000002</v>
      </c>
      <c r="F6386" t="s">
        <v>51</v>
      </c>
      <c r="G6386">
        <v>-206.66810000000001</v>
      </c>
      <c r="H6386" s="1">
        <v>-2.1578669999999999E-6</v>
      </c>
      <c r="I6386">
        <v>-60.126429999999999</v>
      </c>
      <c r="J6386">
        <v>-220.48920000000001</v>
      </c>
      <c r="K6386">
        <v>1.1107199999999999</v>
      </c>
      <c r="L6386">
        <v>-62.931640000000002</v>
      </c>
      <c r="M6386">
        <v>0.99992970000000003</v>
      </c>
      <c r="N6386">
        <v>0</v>
      </c>
      <c r="O6386">
        <v>-5.4795909999999998E-3</v>
      </c>
      <c r="P6386">
        <v>0.97927799999999998</v>
      </c>
      <c r="Q6386">
        <v>0.1276738</v>
      </c>
      <c r="R6386">
        <v>0.15720799999999999</v>
      </c>
      <c r="S6386">
        <v>2.998596</v>
      </c>
      <c r="T6386">
        <v>-0.2378296</v>
      </c>
      <c r="U6386">
        <v>0.60055539999999996</v>
      </c>
      <c r="V6386">
        <v>-0.16286049999999999</v>
      </c>
      <c r="W6386">
        <v>0.13763029999999901</v>
      </c>
      <c r="X6386">
        <v>0.9770027</v>
      </c>
      <c r="Y6386">
        <v>-0.20112530000000001</v>
      </c>
      <c r="Z6386">
        <v>8.3153080000000004E-3</v>
      </c>
      <c r="AA6386">
        <v>0.97953020000000002</v>
      </c>
      <c r="AB6386">
        <v>34</v>
      </c>
      <c r="AC6386">
        <v>13.821099999999999</v>
      </c>
      <c r="AD6386">
        <v>-1.1107221578669999</v>
      </c>
      <c r="AE6386">
        <v>2.80520999999999</v>
      </c>
      <c r="AF6386">
        <v>-2.8631462836471502</v>
      </c>
      <c r="AG6386">
        <v>-1.1107221578669999</v>
      </c>
      <c r="AH6386">
        <v>13.7204141131319</v>
      </c>
      <c r="AI6386">
        <v>94.531044104751999</v>
      </c>
      <c r="AJ6386">
        <v>101.78720493782301</v>
      </c>
      <c r="AK6386">
        <v>14.0599101629196</v>
      </c>
      <c r="AL6386">
        <v>82.089254639798696</v>
      </c>
      <c r="AM6386">
        <v>99.463846639795904</v>
      </c>
      <c r="AN6386">
        <v>0.99999995887281401</v>
      </c>
    </row>
    <row r="6387" spans="1:40" x14ac:dyDescent="0.25">
      <c r="A6387" t="str">
        <f>"20190312164150565"</f>
        <v>20190312164150565</v>
      </c>
      <c r="B6387" t="str">
        <f>"1552380110552358"</f>
        <v>1552380110552358</v>
      </c>
      <c r="C6387" t="s">
        <v>40</v>
      </c>
      <c r="D6387">
        <v>5.7612899999999998</v>
      </c>
      <c r="E6387">
        <v>0.48710870000000001</v>
      </c>
      <c r="F6387" t="s">
        <v>51</v>
      </c>
      <c r="G6387">
        <v>-206.43260000000001</v>
      </c>
      <c r="H6387" s="1">
        <v>-2.3192160000000002E-6</v>
      </c>
      <c r="I6387">
        <v>-60.082689999999999</v>
      </c>
      <c r="J6387">
        <v>-220.33189999999999</v>
      </c>
      <c r="K6387">
        <v>1.110781</v>
      </c>
      <c r="L6387">
        <v>-62.932040000000001</v>
      </c>
      <c r="M6387">
        <v>0.99993030000000005</v>
      </c>
      <c r="N6387">
        <v>0</v>
      </c>
      <c r="O6387">
        <v>-5.006211E-3</v>
      </c>
      <c r="P6387">
        <v>0.97875319999999999</v>
      </c>
      <c r="Q6387">
        <v>0.12743840000000001</v>
      </c>
      <c r="R6387">
        <v>0.16063079999999999</v>
      </c>
      <c r="S6387">
        <v>2.9968409999999999</v>
      </c>
      <c r="T6387">
        <v>-0.23680399999999999</v>
      </c>
      <c r="U6387">
        <v>0.60739140000000003</v>
      </c>
      <c r="V6387">
        <v>-0.165827</v>
      </c>
      <c r="W6387">
        <v>0.13754569999999999</v>
      </c>
      <c r="X6387">
        <v>0.97651549999999998</v>
      </c>
      <c r="Y6387">
        <v>-0.20291989999999999</v>
      </c>
      <c r="Z6387">
        <v>8.3155599999999996E-3</v>
      </c>
      <c r="AA6387">
        <v>0.97916000000000003</v>
      </c>
      <c r="AB6387">
        <v>34</v>
      </c>
      <c r="AC6387">
        <v>13.899299999999901</v>
      </c>
      <c r="AD6387">
        <v>-1.1107833192159999</v>
      </c>
      <c r="AE6387">
        <v>2.8493499999999998</v>
      </c>
      <c r="AF6387">
        <v>-2.9011199216728101</v>
      </c>
      <c r="AG6387">
        <v>-1.1107833192159999</v>
      </c>
      <c r="AH6387">
        <v>13.8002776362195</v>
      </c>
      <c r="AI6387">
        <v>94.503788046201194</v>
      </c>
      <c r="AJ6387">
        <v>101.87195286986299</v>
      </c>
      <c r="AK6387">
        <v>14.1455999950131</v>
      </c>
      <c r="AL6387">
        <v>82.094148474540901</v>
      </c>
      <c r="AM6387">
        <v>99.637744171192296</v>
      </c>
      <c r="AN6387">
        <v>0.999999967628869</v>
      </c>
    </row>
    <row r="6388" spans="1:40" x14ac:dyDescent="0.25">
      <c r="A6388" t="str">
        <f>"20190312164150575"</f>
        <v>20190312164150575</v>
      </c>
      <c r="B6388" t="str">
        <f>"1552380110572854"</f>
        <v>1552380110572854</v>
      </c>
      <c r="C6388" t="s">
        <v>40</v>
      </c>
      <c r="D6388">
        <v>5.9166639999999999</v>
      </c>
      <c r="E6388">
        <v>0.48816399999999999</v>
      </c>
      <c r="F6388" t="s">
        <v>51</v>
      </c>
      <c r="G6388">
        <v>-206.3219</v>
      </c>
      <c r="H6388" s="1">
        <v>-2.3959689999999998E-6</v>
      </c>
      <c r="I6388">
        <v>-60.058590000000002</v>
      </c>
      <c r="J6388">
        <v>-220.16</v>
      </c>
      <c r="K6388">
        <v>1.110851</v>
      </c>
      <c r="L6388">
        <v>-62.932429999999997</v>
      </c>
      <c r="M6388">
        <v>0.99993050000000006</v>
      </c>
      <c r="N6388">
        <v>0</v>
      </c>
      <c r="O6388">
        <v>-4.4687329999999999E-3</v>
      </c>
      <c r="P6388">
        <v>0.97815110000000005</v>
      </c>
      <c r="Q6388">
        <v>0.1273369</v>
      </c>
      <c r="R6388">
        <v>0.16433399999999901</v>
      </c>
      <c r="S6388">
        <v>2.9952239999999999</v>
      </c>
      <c r="T6388">
        <v>-0.2374763</v>
      </c>
      <c r="U6388">
        <v>0.61431880000000005</v>
      </c>
      <c r="V6388">
        <v>-0.1690132</v>
      </c>
      <c r="W6388">
        <v>0.13761370000000001</v>
      </c>
      <c r="X6388">
        <v>0.97595949999999998</v>
      </c>
      <c r="Y6388">
        <v>-0.20466300000000001</v>
      </c>
      <c r="Z6388">
        <v>8.3677619999999904E-3</v>
      </c>
      <c r="AA6388">
        <v>0.97879669999999996</v>
      </c>
      <c r="AB6388">
        <v>34</v>
      </c>
      <c r="AC6388">
        <v>13.838099999999899</v>
      </c>
      <c r="AD6388">
        <v>-1.1108533959689999</v>
      </c>
      <c r="AE6388">
        <v>2.87384</v>
      </c>
      <c r="AF6388">
        <v>-2.9176296975003599</v>
      </c>
      <c r="AG6388">
        <v>-1.1108533959689999</v>
      </c>
      <c r="AH6388">
        <v>13.7402364232541</v>
      </c>
      <c r="AI6388">
        <v>94.521739754230197</v>
      </c>
      <c r="AJ6388">
        <v>101.98823907779401</v>
      </c>
      <c r="AK6388">
        <v>14.0904455318486</v>
      </c>
      <c r="AL6388">
        <v>82.090214966686005</v>
      </c>
      <c r="AM6388">
        <v>99.824837077337094</v>
      </c>
      <c r="AN6388">
        <v>0.999999968921089</v>
      </c>
    </row>
    <row r="6389" spans="1:40" x14ac:dyDescent="0.25">
      <c r="A6389" t="str">
        <f>"20190312164150588"</f>
        <v>20190312164150588</v>
      </c>
      <c r="B6389" t="str">
        <f>"1552380110582617"</f>
        <v>1552380110582617</v>
      </c>
      <c r="C6389" t="s">
        <v>40</v>
      </c>
      <c r="D6389">
        <v>5.6910970000000001</v>
      </c>
      <c r="E6389">
        <v>0.488485</v>
      </c>
      <c r="F6389" t="s">
        <v>51</v>
      </c>
      <c r="G6389">
        <v>-206.19040000000001</v>
      </c>
      <c r="H6389" s="1">
        <v>-2.480828E-6</v>
      </c>
      <c r="I6389">
        <v>-60.053899999999999</v>
      </c>
      <c r="J6389">
        <v>-219.9786</v>
      </c>
      <c r="K6389">
        <v>1.110938</v>
      </c>
      <c r="L6389">
        <v>-62.932619999999901</v>
      </c>
      <c r="M6389">
        <v>0.99993089999999996</v>
      </c>
      <c r="N6389">
        <v>0</v>
      </c>
      <c r="O6389">
        <v>-3.827984E-3</v>
      </c>
      <c r="P6389">
        <v>0.97745459999999995</v>
      </c>
      <c r="Q6389">
        <v>0.1274931</v>
      </c>
      <c r="R6389">
        <v>0.1683095</v>
      </c>
      <c r="S6389">
        <v>2.994354</v>
      </c>
      <c r="T6389">
        <v>-0.2381076</v>
      </c>
      <c r="U6389">
        <v>0.61700440000000001</v>
      </c>
      <c r="V6389">
        <v>-0.17237820000000001</v>
      </c>
      <c r="W6389">
        <v>0.1379406</v>
      </c>
      <c r="X6389">
        <v>0.97532459999999999</v>
      </c>
      <c r="Y6389">
        <v>-0.20493169999999999</v>
      </c>
      <c r="Z6389">
        <v>8.3517669999999995E-3</v>
      </c>
      <c r="AA6389">
        <v>0.97874059999999896</v>
      </c>
      <c r="AB6389">
        <v>34</v>
      </c>
      <c r="AC6389">
        <v>13.7881999999999</v>
      </c>
      <c r="AD6389">
        <v>-1.1109404808279999</v>
      </c>
      <c r="AE6389">
        <v>2.8787199999999902</v>
      </c>
      <c r="AF6389">
        <v>-2.9133601443227199</v>
      </c>
      <c r="AG6389">
        <v>-1.1109404808279999</v>
      </c>
      <c r="AH6389">
        <v>13.6919058607146</v>
      </c>
      <c r="AI6389">
        <v>94.537586323988094</v>
      </c>
      <c r="AJ6389">
        <v>102.012233766813</v>
      </c>
      <c r="AK6389">
        <v>14.042440748713901</v>
      </c>
      <c r="AL6389">
        <v>82.071304594664397</v>
      </c>
      <c r="AM6389">
        <v>100.02291091932</v>
      </c>
      <c r="AN6389">
        <v>0.99999996416437897</v>
      </c>
    </row>
    <row r="6390" spans="1:40" x14ac:dyDescent="0.25">
      <c r="A6390" t="str">
        <f>"20190312164150599"</f>
        <v>20190312164150599</v>
      </c>
      <c r="B6390" t="str">
        <f>"1552380110592374"</f>
        <v>1552380110592374</v>
      </c>
      <c r="C6390" t="s">
        <v>40</v>
      </c>
      <c r="D6390">
        <v>5.7074660000000002</v>
      </c>
      <c r="E6390">
        <v>0.4886836</v>
      </c>
      <c r="F6390" t="s">
        <v>51</v>
      </c>
      <c r="G6390">
        <v>-205.89439999999999</v>
      </c>
      <c r="H6390" s="1">
        <v>-2.6876330000000002E-6</v>
      </c>
      <c r="I6390">
        <v>-59.983750000000001</v>
      </c>
      <c r="J6390">
        <v>-219.81039999999999</v>
      </c>
      <c r="K6390">
        <v>1.1110260000000001</v>
      </c>
      <c r="L6390">
        <v>-62.932769999999998</v>
      </c>
      <c r="M6390">
        <v>0.99993089999999996</v>
      </c>
      <c r="N6390">
        <v>0</v>
      </c>
      <c r="O6390">
        <v>-3.211827E-3</v>
      </c>
      <c r="P6390">
        <v>0.97677510000000001</v>
      </c>
      <c r="Q6390">
        <v>0.127549</v>
      </c>
      <c r="R6390">
        <v>0.17216879999999901</v>
      </c>
      <c r="S6390">
        <v>2.9920960000000001</v>
      </c>
      <c r="T6390">
        <v>-0.23601150000000001</v>
      </c>
      <c r="U6390">
        <v>0.62646480000000004</v>
      </c>
      <c r="V6390">
        <v>-0.17565310000000001</v>
      </c>
      <c r="W6390">
        <v>0.1381493</v>
      </c>
      <c r="X6390">
        <v>0.97471059999999998</v>
      </c>
      <c r="Y6390">
        <v>-0.2074455</v>
      </c>
      <c r="Z6390">
        <v>8.3318590000000005E-3</v>
      </c>
      <c r="AA6390">
        <v>0.9782111</v>
      </c>
      <c r="AB6390">
        <v>34</v>
      </c>
      <c r="AC6390">
        <v>13.915999999999899</v>
      </c>
      <c r="AD6390">
        <v>-1.111028687633</v>
      </c>
      <c r="AE6390">
        <v>2.9490199999999902</v>
      </c>
      <c r="AF6390">
        <v>-2.9755519904405601</v>
      </c>
      <c r="AG6390">
        <v>-1.111028687633</v>
      </c>
      <c r="AH6390">
        <v>13.822138164176501</v>
      </c>
      <c r="AI6390">
        <v>94.493079581079002</v>
      </c>
      <c r="AJ6390">
        <v>102.148904628084</v>
      </c>
      <c r="AK6390">
        <v>14.1823763108354</v>
      </c>
      <c r="AL6390">
        <v>82.059231639546297</v>
      </c>
      <c r="AM6390">
        <v>100.215656427152</v>
      </c>
      <c r="AN6390">
        <v>0.99999999719123001</v>
      </c>
    </row>
    <row r="6391" spans="1:40" x14ac:dyDescent="0.25">
      <c r="A6391" t="str">
        <f>"20190312164150609"</f>
        <v>20190312164150609</v>
      </c>
      <c r="B6391" t="str">
        <f>"1552380110602134"</f>
        <v>1552380110602134</v>
      </c>
      <c r="C6391" t="s">
        <v>40</v>
      </c>
      <c r="D6391">
        <v>5.5880570000000001</v>
      </c>
      <c r="E6391">
        <v>0.4889522</v>
      </c>
      <c r="F6391" t="s">
        <v>51</v>
      </c>
      <c r="G6391">
        <v>-205.66159999999999</v>
      </c>
      <c r="H6391" s="1">
        <v>-2.8526040000000001E-6</v>
      </c>
      <c r="I6391">
        <v>-59.91986</v>
      </c>
      <c r="J6391">
        <v>-219.62970000000001</v>
      </c>
      <c r="K6391">
        <v>1.111145</v>
      </c>
      <c r="L6391">
        <v>-62.932619999999901</v>
      </c>
      <c r="M6391">
        <v>0.99993069999999895</v>
      </c>
      <c r="N6391">
        <v>0</v>
      </c>
      <c r="O6391">
        <v>-2.4373950000000002E-3</v>
      </c>
      <c r="P6391">
        <v>0.97593839999999998</v>
      </c>
      <c r="Q6391">
        <v>0.12783620000000001</v>
      </c>
      <c r="R6391">
        <v>0.17664170000000001</v>
      </c>
      <c r="S6391">
        <v>2.989792</v>
      </c>
      <c r="T6391">
        <v>-0.2347716</v>
      </c>
      <c r="U6391">
        <v>0.63665769999999899</v>
      </c>
      <c r="V6391">
        <v>-0.17939920000000001</v>
      </c>
      <c r="W6391">
        <v>0.13857620000000001</v>
      </c>
      <c r="X6391">
        <v>0.97396740000000004</v>
      </c>
      <c r="Y6391">
        <v>-0.21003169999999999</v>
      </c>
      <c r="Z6391">
        <v>8.3317809999999999E-3</v>
      </c>
      <c r="AA6391">
        <v>0.97765899999999994</v>
      </c>
      <c r="AB6391">
        <v>34</v>
      </c>
      <c r="AC6391">
        <v>13.9681</v>
      </c>
      <c r="AD6391">
        <v>-1.111147852604</v>
      </c>
      <c r="AE6391">
        <v>3.0127599999999899</v>
      </c>
      <c r="AF6391">
        <v>-3.0284866327270001</v>
      </c>
      <c r="AG6391">
        <v>-1.111147852604</v>
      </c>
      <c r="AH6391">
        <v>13.8768053823157</v>
      </c>
      <c r="AI6391">
        <v>94.4731924071028</v>
      </c>
      <c r="AJ6391">
        <v>102.311247634905</v>
      </c>
      <c r="AK6391">
        <v>14.2468280137587</v>
      </c>
      <c r="AL6391">
        <v>82.034534276375993</v>
      </c>
      <c r="AM6391">
        <v>100.436573688612</v>
      </c>
      <c r="AN6391">
        <v>0.99999996621491904</v>
      </c>
    </row>
    <row r="6392" spans="1:40" x14ac:dyDescent="0.25">
      <c r="A6392" t="str">
        <f>"20190312164150620"</f>
        <v>20190312164150620</v>
      </c>
      <c r="B6392" t="str">
        <f>"1552380110612870"</f>
        <v>1552380110612870</v>
      </c>
      <c r="C6392" t="s">
        <v>40</v>
      </c>
      <c r="D6392">
        <v>5.8639999999999999</v>
      </c>
      <c r="E6392">
        <v>0.4892687</v>
      </c>
      <c r="F6392" t="s">
        <v>51</v>
      </c>
      <c r="G6392">
        <v>-205.28039999999999</v>
      </c>
      <c r="H6392" s="1">
        <v>-3.1212630000000001E-6</v>
      </c>
      <c r="I6392">
        <v>-59.8206699999999</v>
      </c>
      <c r="J6392">
        <v>-219.4684</v>
      </c>
      <c r="K6392">
        <v>1.111256</v>
      </c>
      <c r="L6392">
        <v>-62.932400000000001</v>
      </c>
      <c r="M6392">
        <v>0.99993010000000004</v>
      </c>
      <c r="N6392">
        <v>0</v>
      </c>
      <c r="O6392">
        <v>-1.7122400000000001E-3</v>
      </c>
      <c r="P6392">
        <v>0.97494760000000003</v>
      </c>
      <c r="Q6392">
        <v>0.12880430000000001</v>
      </c>
      <c r="R6392">
        <v>0.18134739999999999</v>
      </c>
      <c r="S6392">
        <v>2.987015</v>
      </c>
      <c r="T6392">
        <v>-0.23130149999999999</v>
      </c>
      <c r="U6392">
        <v>0.64779659999999994</v>
      </c>
      <c r="V6392">
        <v>-0.1834286</v>
      </c>
      <c r="W6392">
        <v>0.13965659999999999</v>
      </c>
      <c r="X6392">
        <v>0.97306219999999999</v>
      </c>
      <c r="Y6392">
        <v>-0.2130032</v>
      </c>
      <c r="Z6392">
        <v>8.2713869999999998E-3</v>
      </c>
      <c r="AA6392">
        <v>0.97701649999999995</v>
      </c>
      <c r="AB6392">
        <v>34</v>
      </c>
      <c r="AC6392">
        <v>14.188000000000001</v>
      </c>
      <c r="AD6392">
        <v>-1.1112591212630001</v>
      </c>
      <c r="AE6392">
        <v>3.1117300000000001</v>
      </c>
      <c r="AF6392">
        <v>-3.1177717778413401</v>
      </c>
      <c r="AG6392">
        <v>-1.1112591212630001</v>
      </c>
      <c r="AH6392">
        <v>14.1001215931005</v>
      </c>
      <c r="AI6392">
        <v>94.4004240587346</v>
      </c>
      <c r="AJ6392">
        <v>102.468430387282</v>
      </c>
      <c r="AK6392">
        <v>14.483398310946001</v>
      </c>
      <c r="AL6392">
        <v>81.972024588437804</v>
      </c>
      <c r="AM6392">
        <v>100.675357629</v>
      </c>
      <c r="AN6392">
        <v>1.00000003114517</v>
      </c>
    </row>
    <row r="6393" spans="1:40" x14ac:dyDescent="0.25">
      <c r="A6393" t="str">
        <f>"20190312164150633"</f>
        <v>20190312164150633</v>
      </c>
      <c r="B6393" t="str">
        <f>"1552380110622631"</f>
        <v>1552380110622631</v>
      </c>
      <c r="C6393" t="s">
        <v>40</v>
      </c>
      <c r="D6393">
        <v>5.863181</v>
      </c>
      <c r="E6393">
        <v>0.48956349999999998</v>
      </c>
      <c r="F6393" t="s">
        <v>51</v>
      </c>
      <c r="G6393">
        <v>-204.9127</v>
      </c>
      <c r="H6393" s="1">
        <v>-3.3478170000000002E-6</v>
      </c>
      <c r="I6393">
        <v>-59.714840000000002</v>
      </c>
      <c r="J6393">
        <v>-219.2842</v>
      </c>
      <c r="K6393">
        <v>1.1113999999999999</v>
      </c>
      <c r="L6393">
        <v>-62.931849999999997</v>
      </c>
      <c r="M6393">
        <v>0.99992910000000002</v>
      </c>
      <c r="N6393">
        <v>0</v>
      </c>
      <c r="O6393">
        <v>-7.9133969999999997E-4</v>
      </c>
      <c r="P6393">
        <v>0.97396859999999996</v>
      </c>
      <c r="Q6393">
        <v>0.12970209999999999</v>
      </c>
      <c r="R6393">
        <v>0.18591099999999999</v>
      </c>
      <c r="S6393">
        <v>2.9844819999999999</v>
      </c>
      <c r="T6393">
        <v>-0.227852</v>
      </c>
      <c r="U6393">
        <v>0.65972900000000001</v>
      </c>
      <c r="V6393">
        <v>-0.18713669999999999</v>
      </c>
      <c r="W6393">
        <v>0.1406684</v>
      </c>
      <c r="X6393">
        <v>0.97221000000000002</v>
      </c>
      <c r="Y6393">
        <v>-0.2160136</v>
      </c>
      <c r="Z6393">
        <v>8.1956909999999997E-3</v>
      </c>
      <c r="AA6393">
        <v>0.976356</v>
      </c>
      <c r="AB6393">
        <v>34</v>
      </c>
      <c r="AC6393">
        <v>14.3714999999999</v>
      </c>
      <c r="AD6393">
        <v>-1.111403347817</v>
      </c>
      <c r="AE6393">
        <v>3.2170099999999899</v>
      </c>
      <c r="AF6393">
        <v>-3.2101005141216201</v>
      </c>
      <c r="AG6393">
        <v>-1.111403347817</v>
      </c>
      <c r="AH6393">
        <v>14.287579592664899</v>
      </c>
      <c r="AI6393">
        <v>94.340202176041601</v>
      </c>
      <c r="AJ6393">
        <v>102.662805637459</v>
      </c>
      <c r="AK6393">
        <v>14.685873938211399</v>
      </c>
      <c r="AL6393">
        <v>81.913474601667502</v>
      </c>
      <c r="AM6393">
        <v>100.89537217863401</v>
      </c>
      <c r="AN6393">
        <v>1.0000000136727201</v>
      </c>
    </row>
    <row r="6394" spans="1:40" x14ac:dyDescent="0.25">
      <c r="A6394" t="str">
        <f>"20190312164150645"</f>
        <v>20190312164150645</v>
      </c>
      <c r="B6394" t="str">
        <f>"1552380110632391"</f>
        <v>1552380110632391</v>
      </c>
      <c r="C6394" t="s">
        <v>40</v>
      </c>
      <c r="D6394">
        <v>5.8113760000000001</v>
      </c>
      <c r="E6394">
        <v>0.48988409999999899</v>
      </c>
      <c r="F6394" t="s">
        <v>51</v>
      </c>
      <c r="G6394">
        <v>-204.52770000000001</v>
      </c>
      <c r="H6394" s="1">
        <v>-3.567264E-6</v>
      </c>
      <c r="I6394">
        <v>-59.609870000000001</v>
      </c>
      <c r="J6394">
        <v>-219.11750000000001</v>
      </c>
      <c r="K6394">
        <v>1.1115389999999901</v>
      </c>
      <c r="L6394">
        <v>-62.931179999999998</v>
      </c>
      <c r="M6394">
        <v>0.99992749999999997</v>
      </c>
      <c r="N6394">
        <v>0</v>
      </c>
      <c r="O6394">
        <v>1.2472920000000001E-4</v>
      </c>
      <c r="P6394">
        <v>0.9729044</v>
      </c>
      <c r="Q6394">
        <v>0.13074479999999999</v>
      </c>
      <c r="R6394">
        <v>0.190691</v>
      </c>
      <c r="S6394">
        <v>2.9819490000000002</v>
      </c>
      <c r="T6394">
        <v>-0.22458880000000001</v>
      </c>
      <c r="U6394">
        <v>0.67129519999999998</v>
      </c>
      <c r="V6394">
        <v>-0.19106870000000001</v>
      </c>
      <c r="W6394">
        <v>0.14179520000000001</v>
      </c>
      <c r="X6394">
        <v>0.97128110000000001</v>
      </c>
      <c r="Y6394">
        <v>-0.21891179999999999</v>
      </c>
      <c r="Z6394">
        <v>8.1215490000000005E-3</v>
      </c>
      <c r="AA6394">
        <v>0.97571090000000005</v>
      </c>
      <c r="AB6394">
        <v>34</v>
      </c>
      <c r="AC6394">
        <v>14.589799999999901</v>
      </c>
      <c r="AD6394">
        <v>-1.11154256726399</v>
      </c>
      <c r="AE6394">
        <v>3.3213100000000102</v>
      </c>
      <c r="AF6394">
        <v>-3.30127241876494</v>
      </c>
      <c r="AG6394">
        <v>-1.11154256726399</v>
      </c>
      <c r="AH6394">
        <v>14.5101418200707</v>
      </c>
      <c r="AI6394">
        <v>94.271814339837306</v>
      </c>
      <c r="AJ6394">
        <v>102.81745541452599</v>
      </c>
      <c r="AK6394">
        <v>14.922404032202801</v>
      </c>
      <c r="AL6394">
        <v>81.848260346596504</v>
      </c>
      <c r="AM6394">
        <v>101.129019378745</v>
      </c>
      <c r="AN6394">
        <v>1.00000005103996</v>
      </c>
    </row>
    <row r="6395" spans="1:40" x14ac:dyDescent="0.25">
      <c r="A6395" t="str">
        <f>"20190312164150655"</f>
        <v>20190312164150655</v>
      </c>
      <c r="B6395" t="str">
        <f>"1552380110642150"</f>
        <v>1552380110642150</v>
      </c>
      <c r="C6395" t="s">
        <v>40</v>
      </c>
      <c r="D6395">
        <v>5.2767619999999997</v>
      </c>
      <c r="E6395">
        <v>0.49001280000000003</v>
      </c>
      <c r="F6395" t="s">
        <v>51</v>
      </c>
      <c r="G6395">
        <v>-204.1232</v>
      </c>
      <c r="H6395" s="1">
        <v>-3.8000219999999998E-6</v>
      </c>
      <c r="I6395">
        <v>-59.489600000000003</v>
      </c>
      <c r="J6395">
        <v>-218.94329999999999</v>
      </c>
      <c r="K6395">
        <v>1.111688</v>
      </c>
      <c r="L6395">
        <v>-62.930269999999901</v>
      </c>
      <c r="M6395">
        <v>0.9999247</v>
      </c>
      <c r="N6395">
        <v>0</v>
      </c>
      <c r="O6395">
        <v>1.1501949999999999E-3</v>
      </c>
      <c r="P6395">
        <v>0.97185460000000001</v>
      </c>
      <c r="Q6395">
        <v>0.13145679999999901</v>
      </c>
      <c r="R6395">
        <v>0.195494</v>
      </c>
      <c r="S6395">
        <v>2.9792019999999999</v>
      </c>
      <c r="T6395">
        <v>-0.2208523</v>
      </c>
      <c r="U6395">
        <v>0.68380739999999995</v>
      </c>
      <c r="V6395">
        <v>-0.19492409999999999</v>
      </c>
      <c r="W6395">
        <v>0.14258390000000001</v>
      </c>
      <c r="X6395">
        <v>0.97039909999999996</v>
      </c>
      <c r="Y6395">
        <v>-0.22201280000000001</v>
      </c>
      <c r="Z6395">
        <v>8.0286639999999996E-3</v>
      </c>
      <c r="AA6395">
        <v>0.97501070000000001</v>
      </c>
      <c r="AB6395">
        <v>34</v>
      </c>
      <c r="AC6395">
        <v>14.820099999999901</v>
      </c>
      <c r="AD6395">
        <v>-1.111691800022</v>
      </c>
      <c r="AE6395">
        <v>3.4406699999999901</v>
      </c>
      <c r="AF6395">
        <v>-3.40543849772709</v>
      </c>
      <c r="AG6395">
        <v>-1.111691800022</v>
      </c>
      <c r="AH6395">
        <v>14.7453213083498</v>
      </c>
      <c r="AI6395">
        <v>94.201356443563199</v>
      </c>
      <c r="AJ6395">
        <v>103.004474163314</v>
      </c>
      <c r="AK6395">
        <v>15.174233769996899</v>
      </c>
      <c r="AL6395">
        <v>81.802606829614604</v>
      </c>
      <c r="AM6395">
        <v>101.357856428907</v>
      </c>
      <c r="AN6395">
        <v>0.999999993290415</v>
      </c>
    </row>
    <row r="6396" spans="1:40" x14ac:dyDescent="0.25">
      <c r="A6396" t="str">
        <f>"20190312164150667"</f>
        <v>20190312164150667</v>
      </c>
      <c r="B6396" t="str">
        <f>"1552380110662646"</f>
        <v>1552380110662646</v>
      </c>
      <c r="C6396" t="s">
        <v>40</v>
      </c>
      <c r="D6396">
        <v>5.6671459999999998</v>
      </c>
      <c r="E6396">
        <v>0.48726570000000002</v>
      </c>
      <c r="F6396" t="s">
        <v>51</v>
      </c>
      <c r="G6396">
        <v>-203.89109999999999</v>
      </c>
      <c r="H6396" s="1">
        <v>-3.9382309999999996E-6</v>
      </c>
      <c r="I6396">
        <v>-59.399650000000001</v>
      </c>
      <c r="J6396">
        <v>-218.7757</v>
      </c>
      <c r="K6396">
        <v>1.1118440000000001</v>
      </c>
      <c r="L6396">
        <v>-62.929020000000001</v>
      </c>
      <c r="M6396">
        <v>0.9999209</v>
      </c>
      <c r="N6396">
        <v>0</v>
      </c>
      <c r="O6396">
        <v>2.2739829999999998E-3</v>
      </c>
      <c r="P6396">
        <v>0.97069899999999998</v>
      </c>
      <c r="Q6396">
        <v>0.13158320000000001</v>
      </c>
      <c r="R6396">
        <v>0.20107069999999999</v>
      </c>
      <c r="S6396">
        <v>2.9761959999999998</v>
      </c>
      <c r="T6396">
        <v>-0.21980930000000001</v>
      </c>
      <c r="U6396">
        <v>0.69808959999999998</v>
      </c>
      <c r="V6396">
        <v>-0.19946169999999999</v>
      </c>
      <c r="W6396">
        <v>0.14276040000000001</v>
      </c>
      <c r="X6396">
        <v>0.96945060000000005</v>
      </c>
      <c r="Y6396">
        <v>-0.22556880000000001</v>
      </c>
      <c r="Z6396">
        <v>8.0420370000000001E-3</v>
      </c>
      <c r="AA6396">
        <v>0.974194</v>
      </c>
      <c r="AB6396">
        <v>34</v>
      </c>
      <c r="AC6396">
        <v>14.884600000000001</v>
      </c>
      <c r="AD6396">
        <v>-1.111847938231</v>
      </c>
      <c r="AE6396">
        <v>3.5293699999999899</v>
      </c>
      <c r="AF6396">
        <v>-3.4771420646025999</v>
      </c>
      <c r="AG6396">
        <v>-1.111847938231</v>
      </c>
      <c r="AH6396">
        <v>14.814327381675101</v>
      </c>
      <c r="AI6396">
        <v>94.178977617312796</v>
      </c>
      <c r="AJ6396">
        <v>103.20906528847399</v>
      </c>
      <c r="AK6396">
        <v>15.257490571736501</v>
      </c>
      <c r="AL6396">
        <v>81.792389523041706</v>
      </c>
      <c r="AM6396">
        <v>101.626202360383</v>
      </c>
      <c r="AN6396">
        <v>0.99999998370770404</v>
      </c>
    </row>
    <row r="6397" spans="1:40" x14ac:dyDescent="0.25">
      <c r="A6397" t="str">
        <f>"20190312164150679"</f>
        <v>20190312164150679</v>
      </c>
      <c r="B6397" t="str">
        <f>"1552380110672406"</f>
        <v>1552380110672406</v>
      </c>
      <c r="C6397" t="s">
        <v>40</v>
      </c>
      <c r="D6397">
        <v>5.9047020000000003</v>
      </c>
      <c r="E6397">
        <v>0.48726570000000002</v>
      </c>
      <c r="F6397" t="s">
        <v>51</v>
      </c>
      <c r="G6397">
        <v>-203.22919999999999</v>
      </c>
      <c r="H6397" s="1">
        <v>-4.3483000000000004E-6</v>
      </c>
      <c r="I6397">
        <v>-59.071240000000003</v>
      </c>
      <c r="J6397">
        <v>-218.58580000000001</v>
      </c>
      <c r="K6397">
        <v>1.1120239999999999</v>
      </c>
      <c r="L6397">
        <v>-62.927399999999999</v>
      </c>
      <c r="M6397">
        <v>0.99991490000000005</v>
      </c>
      <c r="N6397">
        <v>0</v>
      </c>
      <c r="O6397">
        <v>3.6101829999999999E-3</v>
      </c>
      <c r="P6397">
        <v>0.96950599999999998</v>
      </c>
      <c r="Q6397">
        <v>0.1318762</v>
      </c>
      <c r="R6397">
        <v>0.20655989999999999</v>
      </c>
      <c r="S6397">
        <v>2.9668269999999999</v>
      </c>
      <c r="T6397">
        <v>-0.21218129999999999</v>
      </c>
      <c r="U6397">
        <v>0.73620609999999997</v>
      </c>
      <c r="V6397">
        <v>-0.20371810000000001</v>
      </c>
      <c r="W6397">
        <v>0.14310400000000001</v>
      </c>
      <c r="X6397">
        <v>0.9685144</v>
      </c>
      <c r="Y6397">
        <v>-0.23677490000000001</v>
      </c>
      <c r="Z6397">
        <v>8.0761619999999996E-3</v>
      </c>
      <c r="AA6397">
        <v>0.97153100000000003</v>
      </c>
      <c r="AB6397">
        <v>34</v>
      </c>
      <c r="AC6397">
        <v>15.3566</v>
      </c>
      <c r="AD6397">
        <v>-1.1120283483</v>
      </c>
      <c r="AE6397">
        <v>3.8561599999999898</v>
      </c>
      <c r="AF6397">
        <v>-3.7820346830609202</v>
      </c>
      <c r="AG6397">
        <v>-1.1120283483</v>
      </c>
      <c r="AH6397">
        <v>15.2949767221586</v>
      </c>
      <c r="AI6397">
        <v>94.037224772689001</v>
      </c>
      <c r="AJ6397">
        <v>103.889094361288</v>
      </c>
      <c r="AK6397">
        <v>15.794831633248601</v>
      </c>
      <c r="AL6397">
        <v>81.772498438877903</v>
      </c>
      <c r="AM6397">
        <v>101.878479853462</v>
      </c>
      <c r="AN6397">
        <v>0.99999998104548404</v>
      </c>
    </row>
    <row r="6398" spans="1:40" x14ac:dyDescent="0.25">
      <c r="A6398" t="str">
        <f>"20190312164150692"</f>
        <v>20190312164150692</v>
      </c>
      <c r="B6398" t="str">
        <f>"1552380110682166"</f>
        <v>1552380110682166</v>
      </c>
      <c r="C6398" t="s">
        <v>40</v>
      </c>
      <c r="D6398">
        <v>5.8872660000000003</v>
      </c>
      <c r="E6398">
        <v>0.40322950000000002</v>
      </c>
      <c r="F6398" t="s">
        <v>51</v>
      </c>
      <c r="G6398">
        <v>-202.99430000000001</v>
      </c>
      <c r="H6398" s="1">
        <v>-4.4913979999999901E-6</v>
      </c>
      <c r="I6398">
        <v>-58.965679999999999</v>
      </c>
      <c r="J6398">
        <v>-218.36709999999999</v>
      </c>
      <c r="K6398">
        <v>1.112249</v>
      </c>
      <c r="L6398">
        <v>-62.924959999999999</v>
      </c>
      <c r="M6398">
        <v>0.99990460000000003</v>
      </c>
      <c r="N6398">
        <v>0</v>
      </c>
      <c r="O6398">
        <v>5.3843329999999998E-3</v>
      </c>
      <c r="P6398">
        <v>0.96809849999999997</v>
      </c>
      <c r="Q6398">
        <v>0.1318231</v>
      </c>
      <c r="R6398">
        <v>0.2130919</v>
      </c>
      <c r="S6398">
        <v>2.9626920000000001</v>
      </c>
      <c r="T6398">
        <v>-0.21130789999999999</v>
      </c>
      <c r="U6398">
        <v>0.75280760000000002</v>
      </c>
      <c r="V6398">
        <v>-0.20861060000000001</v>
      </c>
      <c r="W6398">
        <v>0.14308089999999901</v>
      </c>
      <c r="X6398">
        <v>0.9674758</v>
      </c>
      <c r="Y6398">
        <v>-0.24048659999999999</v>
      </c>
      <c r="Z6398">
        <v>8.0542259999999994E-3</v>
      </c>
      <c r="AA6398">
        <v>0.97061900000000001</v>
      </c>
      <c r="AB6398">
        <v>34</v>
      </c>
      <c r="AC6398">
        <v>15.3727999999999</v>
      </c>
      <c r="AD6398">
        <v>-1.112253491398</v>
      </c>
      <c r="AE6398">
        <v>3.9592799999999899</v>
      </c>
      <c r="AF6398">
        <v>-3.8575064339541498</v>
      </c>
      <c r="AG6398">
        <v>-1.112253491398</v>
      </c>
      <c r="AH6398">
        <v>15.3186947040848</v>
      </c>
      <c r="AI6398">
        <v>94.0275207425057</v>
      </c>
      <c r="AJ6398">
        <v>104.13417941490199</v>
      </c>
      <c r="AK6398">
        <v>15.8360307891239</v>
      </c>
      <c r="AL6398">
        <v>81.773835682838595</v>
      </c>
      <c r="AM6398">
        <v>102.16802596431199</v>
      </c>
      <c r="AN6398">
        <v>0.99999997498140403</v>
      </c>
    </row>
    <row r="6399" spans="1:40" x14ac:dyDescent="0.25">
      <c r="A6399" t="str">
        <f>"20190312164150704"</f>
        <v>20190312164150704</v>
      </c>
      <c r="B6399" t="str">
        <f>"1552380110692903"</f>
        <v>1552380110692903</v>
      </c>
      <c r="C6399" t="s">
        <v>40</v>
      </c>
      <c r="D6399">
        <v>5.7793729999999996</v>
      </c>
      <c r="E6399">
        <v>0.39676430000000001</v>
      </c>
      <c r="F6399" t="s">
        <v>43</v>
      </c>
      <c r="G6399">
        <v>-142.75299999999999</v>
      </c>
      <c r="H6399">
        <v>-0.05</v>
      </c>
      <c r="I6399">
        <v>-24.531199999999998</v>
      </c>
      <c r="J6399">
        <v>-218.2099</v>
      </c>
      <c r="K6399">
        <v>1.112411</v>
      </c>
      <c r="L6399">
        <v>-62.922879999999999</v>
      </c>
      <c r="M6399">
        <v>0.99989459999999997</v>
      </c>
      <c r="N6399">
        <v>0</v>
      </c>
      <c r="O6399">
        <v>6.7580619999999996E-3</v>
      </c>
      <c r="P6399">
        <v>0.96680560000000004</v>
      </c>
      <c r="Q6399">
        <v>0.13153889999999999</v>
      </c>
      <c r="R6399">
        <v>0.2190539</v>
      </c>
      <c r="S6399">
        <v>2.7926030000000002</v>
      </c>
      <c r="T6399">
        <v>-4.2924520000000001E-2</v>
      </c>
      <c r="U6399">
        <v>1.417969</v>
      </c>
      <c r="V6399">
        <v>-0.21330270000000001</v>
      </c>
      <c r="W6399">
        <v>0.1427986</v>
      </c>
      <c r="X6399">
        <v>0.96649390000000002</v>
      </c>
      <c r="Y6399">
        <v>-0.44666159999999999</v>
      </c>
      <c r="Z6399">
        <v>3.138086E-3</v>
      </c>
      <c r="AA6399">
        <v>0.89469739999999998</v>
      </c>
      <c r="AB6399">
        <v>34</v>
      </c>
      <c r="AC6399">
        <v>75.456900000000005</v>
      </c>
      <c r="AD6399">
        <v>-1.1624110000000001</v>
      </c>
      <c r="AE6399">
        <v>38.391680000000001</v>
      </c>
      <c r="AF6399">
        <v>-37.873678942471102</v>
      </c>
      <c r="AG6399">
        <v>-1.1624110000000001</v>
      </c>
      <c r="AH6399">
        <v>75.700380841141197</v>
      </c>
      <c r="AI6399">
        <v>90.786770491162898</v>
      </c>
      <c r="AJ6399">
        <v>116.579271725186</v>
      </c>
      <c r="AK6399">
        <v>84.6540868208034</v>
      </c>
      <c r="AL6399">
        <v>81.790178057525594</v>
      </c>
      <c r="AM6399">
        <v>102.445526850992</v>
      </c>
      <c r="AN6399">
        <v>0.99999997036322896</v>
      </c>
    </row>
    <row r="6400" spans="1:40" x14ac:dyDescent="0.25">
      <c r="A6400" t="str">
        <f>"20190312164150715"</f>
        <v>20190312164150715</v>
      </c>
      <c r="B6400" t="str">
        <f>"1552380110712422"</f>
        <v>1552380110712422</v>
      </c>
      <c r="C6400" t="s">
        <v>40</v>
      </c>
      <c r="D6400">
        <v>5.5061249999999999</v>
      </c>
      <c r="E6400">
        <v>0.39006980000000002</v>
      </c>
      <c r="F6400" t="s">
        <v>51</v>
      </c>
      <c r="G6400">
        <v>-188.04849999999999</v>
      </c>
      <c r="H6400" s="1">
        <v>-5.0138659999999999E-6</v>
      </c>
      <c r="I6400">
        <v>-46.767200000000003</v>
      </c>
      <c r="J6400">
        <v>-218.02719999999999</v>
      </c>
      <c r="K6400">
        <v>1.112603</v>
      </c>
      <c r="L6400">
        <v>-62.920140000000004</v>
      </c>
      <c r="M6400">
        <v>0.99988010000000005</v>
      </c>
      <c r="N6400">
        <v>0</v>
      </c>
      <c r="O6400">
        <v>8.4444410000000004E-3</v>
      </c>
      <c r="P6400">
        <v>0.96543829999999997</v>
      </c>
      <c r="Q6400">
        <v>0.13162090000000001</v>
      </c>
      <c r="R6400">
        <v>0.2249554</v>
      </c>
      <c r="S6400">
        <v>2.7795869999999998</v>
      </c>
      <c r="T6400">
        <v>-0.102517</v>
      </c>
      <c r="U6400">
        <v>1.488861</v>
      </c>
      <c r="V6400">
        <v>-0.21764700000000001</v>
      </c>
      <c r="W6400">
        <v>0.14288029999999999</v>
      </c>
      <c r="X6400">
        <v>0.96551279999999995</v>
      </c>
      <c r="Y6400">
        <v>-0.46446949999999998</v>
      </c>
      <c r="Z6400">
        <v>7.7320089999999998E-3</v>
      </c>
      <c r="AA6400">
        <v>0.88555539999999999</v>
      </c>
      <c r="AB6400">
        <v>34</v>
      </c>
      <c r="AC6400">
        <v>29.9787</v>
      </c>
      <c r="AD6400">
        <v>-1.1126080138659999</v>
      </c>
      <c r="AE6400">
        <v>16.152940000000001</v>
      </c>
      <c r="AF6400">
        <v>-15.8822352541318</v>
      </c>
      <c r="AG6400">
        <v>-1.1126080138659999</v>
      </c>
      <c r="AH6400">
        <v>30.081933002201801</v>
      </c>
      <c r="AI6400">
        <v>91.873319264307796</v>
      </c>
      <c r="AJ6400">
        <v>117.832526702083</v>
      </c>
      <c r="AK6400">
        <v>34.035363761961897</v>
      </c>
      <c r="AL6400">
        <v>81.785448589668505</v>
      </c>
      <c r="AM6400">
        <v>102.70334848976</v>
      </c>
      <c r="AN6400">
        <v>0.99999998185046401</v>
      </c>
    </row>
    <row r="6401" spans="1:40" x14ac:dyDescent="0.25">
      <c r="A6401" t="str">
        <f>"20190312164150727"</f>
        <v>20190312164150727</v>
      </c>
      <c r="B6401" t="str">
        <f>"1552380110722182"</f>
        <v>1552380110722182</v>
      </c>
      <c r="C6401" t="s">
        <v>40</v>
      </c>
      <c r="D6401">
        <v>5.6540780000000002</v>
      </c>
      <c r="E6401">
        <v>0.38857029999999998</v>
      </c>
      <c r="F6401" t="s">
        <v>42</v>
      </c>
      <c r="G6401">
        <v>-217.26560000000001</v>
      </c>
      <c r="H6401">
        <v>1.067229</v>
      </c>
      <c r="I6401">
        <v>-62.49006</v>
      </c>
      <c r="J6401">
        <v>-217.87020000000001</v>
      </c>
      <c r="K6401">
        <v>1.112768</v>
      </c>
      <c r="L6401">
        <v>-62.91733</v>
      </c>
      <c r="M6401">
        <v>0.99986399999999998</v>
      </c>
      <c r="N6401">
        <v>0</v>
      </c>
      <c r="O6401">
        <v>1.003565E-2</v>
      </c>
      <c r="P6401">
        <v>0.96395750000000002</v>
      </c>
      <c r="Q6401">
        <v>0.13218360000000001</v>
      </c>
      <c r="R6401">
        <v>0.2308974</v>
      </c>
      <c r="S6401">
        <v>2.7659150000000001</v>
      </c>
      <c r="T6401">
        <v>-0.164775</v>
      </c>
      <c r="U6401">
        <v>1.5619809999999901</v>
      </c>
      <c r="V6401">
        <v>-0.22212319999999999</v>
      </c>
      <c r="W6401">
        <v>0.14342249999999901</v>
      </c>
      <c r="X6401">
        <v>0.96441239999999995</v>
      </c>
      <c r="Y6401">
        <v>-0.48233409999999899</v>
      </c>
      <c r="Z6401">
        <v>1.2809060000000001E-2</v>
      </c>
      <c r="AA6401">
        <v>0.8758937</v>
      </c>
      <c r="AB6401">
        <v>34</v>
      </c>
      <c r="AC6401">
        <v>0.60460000000000402</v>
      </c>
      <c r="AD6401">
        <v>-4.5539000000000003E-2</v>
      </c>
      <c r="AE6401">
        <v>0.42727000000000698</v>
      </c>
      <c r="AF6401">
        <v>-0.419592829793345</v>
      </c>
      <c r="AG6401">
        <v>-4.5539000000000003E-2</v>
      </c>
      <c r="AH6401">
        <v>0.60656284935500804</v>
      </c>
      <c r="AI6401">
        <v>93.533173974837297</v>
      </c>
      <c r="AJ6401">
        <v>124.673737690642</v>
      </c>
      <c r="AK6401">
        <v>0.73895225390593</v>
      </c>
      <c r="AL6401">
        <v>81.754059713685507</v>
      </c>
      <c r="AM6401">
        <v>102.970161879868</v>
      </c>
      <c r="AN6401">
        <v>1.0000000033791201</v>
      </c>
    </row>
    <row r="6402" spans="1:40" x14ac:dyDescent="0.25">
      <c r="A6402" t="str">
        <f>"20190312164150738"</f>
        <v>20190312164150738</v>
      </c>
      <c r="B6402" t="str">
        <f>"1552380110731943"</f>
        <v>1552380110731943</v>
      </c>
      <c r="C6402" t="s">
        <v>40</v>
      </c>
      <c r="D6402">
        <v>5.5959789999999998</v>
      </c>
      <c r="E6402">
        <v>0.38778449999999998</v>
      </c>
      <c r="F6402" t="s">
        <v>42</v>
      </c>
      <c r="G6402">
        <v>-216.983</v>
      </c>
      <c r="H6402">
        <v>1.0575680000000001</v>
      </c>
      <c r="I6402">
        <v>-62.40493</v>
      </c>
      <c r="J6402">
        <v>-217.68950000000001</v>
      </c>
      <c r="K6402">
        <v>1.112959</v>
      </c>
      <c r="L6402">
        <v>-62.913939999999997</v>
      </c>
      <c r="M6402">
        <v>0.9998418</v>
      </c>
      <c r="N6402">
        <v>0</v>
      </c>
      <c r="O6402">
        <v>1.1912239999999999E-2</v>
      </c>
      <c r="P6402">
        <v>0.9624279</v>
      </c>
      <c r="Q6402">
        <v>0.1328259</v>
      </c>
      <c r="R6402">
        <v>0.23683299999999999</v>
      </c>
      <c r="S6402">
        <v>2.754486</v>
      </c>
      <c r="T6402">
        <v>-0.17138210000000001</v>
      </c>
      <c r="U6402">
        <v>1.5913389999999901</v>
      </c>
      <c r="V6402">
        <v>-0.2263308</v>
      </c>
      <c r="W6402">
        <v>0.14404259999999999</v>
      </c>
      <c r="X6402">
        <v>0.96334109999999995</v>
      </c>
      <c r="Y6402">
        <v>-0.48920219999999998</v>
      </c>
      <c r="Z6402">
        <v>1.342717E-2</v>
      </c>
      <c r="AA6402">
        <v>0.87206700000000004</v>
      </c>
      <c r="AB6402">
        <v>34</v>
      </c>
      <c r="AC6402">
        <v>0.70650000000000501</v>
      </c>
      <c r="AD6402">
        <v>-5.5390999999999899E-2</v>
      </c>
      <c r="AE6402">
        <v>0.50900999999999597</v>
      </c>
      <c r="AF6402">
        <v>-0.49853982341502601</v>
      </c>
      <c r="AG6402">
        <v>-5.5390999999999899E-2</v>
      </c>
      <c r="AH6402">
        <v>0.70964230037616005</v>
      </c>
      <c r="AI6402">
        <v>93.654472429502405</v>
      </c>
      <c r="AJ6402">
        <v>125.08891194736201</v>
      </c>
      <c r="AK6402">
        <v>0.86902377004018405</v>
      </c>
      <c r="AL6402">
        <v>81.718157689647697</v>
      </c>
      <c r="AM6402">
        <v>103.221487321803</v>
      </c>
      <c r="AN6402">
        <v>0.99999998829630399</v>
      </c>
    </row>
    <row r="6403" spans="1:40" x14ac:dyDescent="0.25">
      <c r="A6403" t="str">
        <f>"20190312164150748"</f>
        <v>20190312164150748</v>
      </c>
      <c r="B6403" t="str">
        <f>"1552380110742678"</f>
        <v>1552380110742678</v>
      </c>
      <c r="C6403" t="s">
        <v>40</v>
      </c>
      <c r="D6403">
        <v>5.6091419999999896</v>
      </c>
      <c r="E6403">
        <v>0.387127</v>
      </c>
      <c r="F6403" t="s">
        <v>42</v>
      </c>
      <c r="G6403">
        <v>-216.6978</v>
      </c>
      <c r="H6403">
        <v>1.0468200000000001</v>
      </c>
      <c r="I6403">
        <v>-62.330300000000001</v>
      </c>
      <c r="J6403">
        <v>-217.51730000000001</v>
      </c>
      <c r="K6403">
        <v>1.113138</v>
      </c>
      <c r="L6403">
        <v>-62.909970000000001</v>
      </c>
      <c r="M6403">
        <v>0.99981489999999995</v>
      </c>
      <c r="N6403">
        <v>0</v>
      </c>
      <c r="O6403">
        <v>1.3885099999999999E-2</v>
      </c>
      <c r="P6403">
        <v>0.96074289999999996</v>
      </c>
      <c r="Q6403">
        <v>0.13387109999999999</v>
      </c>
      <c r="R6403">
        <v>0.243006</v>
      </c>
      <c r="S6403">
        <v>2.744904</v>
      </c>
      <c r="T6403">
        <v>-0.18306420000000001</v>
      </c>
      <c r="U6403">
        <v>1.615265</v>
      </c>
      <c r="V6403">
        <v>-0.23068930000000001</v>
      </c>
      <c r="W6403">
        <v>0.14504990000000001</v>
      </c>
      <c r="X6403">
        <v>0.96215539999999999</v>
      </c>
      <c r="Y6403">
        <v>-0.49435560000000001</v>
      </c>
      <c r="Z6403">
        <v>1.439237E-2</v>
      </c>
      <c r="AA6403">
        <v>0.86914059999999904</v>
      </c>
      <c r="AB6403">
        <v>34</v>
      </c>
      <c r="AC6403">
        <v>0.819500000000005</v>
      </c>
      <c r="AD6403">
        <v>-6.6317999999999794E-2</v>
      </c>
      <c r="AE6403">
        <v>0.57966999999999202</v>
      </c>
      <c r="AF6403">
        <v>-0.56576474494913098</v>
      </c>
      <c r="AG6403">
        <v>-6.6317999999999794E-2</v>
      </c>
      <c r="AH6403">
        <v>0.82387433286740996</v>
      </c>
      <c r="AI6403">
        <v>93.796346382929997</v>
      </c>
      <c r="AJ6403">
        <v>124.47787018393301</v>
      </c>
      <c r="AK6403">
        <v>1.0016270464145201</v>
      </c>
      <c r="AL6403">
        <v>81.659831372312894</v>
      </c>
      <c r="AM6403">
        <v>103.48289500966</v>
      </c>
      <c r="AN6403">
        <v>1.00000002018682</v>
      </c>
    </row>
    <row r="6404" spans="1:40" x14ac:dyDescent="0.25">
      <c r="A6404" t="str">
        <f>"20190312164150759"</f>
        <v>20190312164150759</v>
      </c>
      <c r="B6404" t="str">
        <f>"1552380110752438"</f>
        <v>1552380110752438</v>
      </c>
      <c r="C6404" t="s">
        <v>40</v>
      </c>
      <c r="D6404">
        <v>5.5859800000000002</v>
      </c>
      <c r="E6404">
        <v>0.38681660000000001</v>
      </c>
      <c r="F6404" t="s">
        <v>42</v>
      </c>
      <c r="G6404">
        <v>-216.6799</v>
      </c>
      <c r="H6404">
        <v>1.0560670000000001</v>
      </c>
      <c r="I6404">
        <v>-62.408209999999997</v>
      </c>
      <c r="J6404">
        <v>-217.37129999999999</v>
      </c>
      <c r="K6404">
        <v>1.113289</v>
      </c>
      <c r="L6404">
        <v>-62.906559999999999</v>
      </c>
      <c r="M6404">
        <v>0.99978880000000003</v>
      </c>
      <c r="N6404">
        <v>0</v>
      </c>
      <c r="O6404">
        <v>1.557479E-2</v>
      </c>
      <c r="P6404">
        <v>0.9589877</v>
      </c>
      <c r="Q6404">
        <v>0.13500039999999999</v>
      </c>
      <c r="R6404">
        <v>0.24923390000000001</v>
      </c>
      <c r="S6404">
        <v>2.7342219999999999</v>
      </c>
      <c r="T6404">
        <v>-0.1863369</v>
      </c>
      <c r="U6404">
        <v>1.6379999999999999</v>
      </c>
      <c r="V6404">
        <v>-0.23537269999999999</v>
      </c>
      <c r="W6404">
        <v>0.1461326</v>
      </c>
      <c r="X6404">
        <v>0.96085640000000005</v>
      </c>
      <c r="Y6404">
        <v>-0.49966240000000001</v>
      </c>
      <c r="Z6404">
        <v>1.4730439999999999E-2</v>
      </c>
      <c r="AA6404">
        <v>0.86609499999999995</v>
      </c>
      <c r="AB6404">
        <v>34</v>
      </c>
      <c r="AC6404">
        <v>0.69139999999998702</v>
      </c>
      <c r="AD6404">
        <v>-5.7221999999999801E-2</v>
      </c>
      <c r="AE6404">
        <v>0.49835000000000201</v>
      </c>
      <c r="AF6404">
        <v>-0.48533241516404702</v>
      </c>
      <c r="AG6404">
        <v>-5.7221999999999801E-2</v>
      </c>
      <c r="AH6404">
        <v>0.695941398298217</v>
      </c>
      <c r="AI6404">
        <v>93.858316496963894</v>
      </c>
      <c r="AJ6404">
        <v>124.890970765665</v>
      </c>
      <c r="AK6404">
        <v>0.85038599492127298</v>
      </c>
      <c r="AL6404">
        <v>81.597129235486705</v>
      </c>
      <c r="AM6404">
        <v>103.764212656678</v>
      </c>
      <c r="AN6404">
        <v>1.0000000330545</v>
      </c>
    </row>
    <row r="6405" spans="1:40" x14ac:dyDescent="0.25">
      <c r="A6405" t="str">
        <f>"20190312164150769"</f>
        <v>20190312164150769</v>
      </c>
      <c r="B6405" t="str">
        <f>"1552380110762198"</f>
        <v>1552380110762198</v>
      </c>
      <c r="C6405" t="s">
        <v>40</v>
      </c>
      <c r="D6405">
        <v>5.6094039999999996</v>
      </c>
      <c r="E6405">
        <v>0.38687100000000002</v>
      </c>
      <c r="F6405" t="s">
        <v>42</v>
      </c>
      <c r="G6405">
        <v>-216.39959999999999</v>
      </c>
      <c r="H6405">
        <v>1.046187</v>
      </c>
      <c r="I6405">
        <v>-62.315089999999998</v>
      </c>
      <c r="J6405">
        <v>-217.22640000000001</v>
      </c>
      <c r="K6405">
        <v>1.1134329999999999</v>
      </c>
      <c r="L6405">
        <v>-62.902560000000001</v>
      </c>
      <c r="M6405">
        <v>0.99975820000000004</v>
      </c>
      <c r="N6405">
        <v>0</v>
      </c>
      <c r="O6405">
        <v>1.7368399999999999E-2</v>
      </c>
      <c r="P6405">
        <v>0.95723749999999996</v>
      </c>
      <c r="Q6405">
        <v>0.13626559999999999</v>
      </c>
      <c r="R6405">
        <v>0.2552027</v>
      </c>
      <c r="S6405">
        <v>2.723862</v>
      </c>
      <c r="T6405">
        <v>-0.1880898</v>
      </c>
      <c r="U6405">
        <v>1.65814199999999</v>
      </c>
      <c r="V6405">
        <v>-0.23970030000000001</v>
      </c>
      <c r="W6405">
        <v>0.1473496</v>
      </c>
      <c r="X6405">
        <v>0.95959989999999995</v>
      </c>
      <c r="Y6405">
        <v>-0.50421949999999904</v>
      </c>
      <c r="Z6405">
        <v>1.4922019999999999E-2</v>
      </c>
      <c r="AA6405">
        <v>0.86344669999999901</v>
      </c>
      <c r="AB6405">
        <v>34</v>
      </c>
      <c r="AC6405">
        <v>0.82680000000001996</v>
      </c>
      <c r="AD6405">
        <v>-6.7245999999999903E-2</v>
      </c>
      <c r="AE6405">
        <v>0.58746999999999605</v>
      </c>
      <c r="AF6405">
        <v>-0.57051202356602804</v>
      </c>
      <c r="AG6405">
        <v>-6.7245999999999903E-2</v>
      </c>
      <c r="AH6405">
        <v>0.83321696377314003</v>
      </c>
      <c r="AI6405">
        <v>93.809823058361701</v>
      </c>
      <c r="AJ6405">
        <v>124.39983434289201</v>
      </c>
      <c r="AK6405">
        <v>1.0120555825984701</v>
      </c>
      <c r="AL6405">
        <v>81.526637360876194</v>
      </c>
      <c r="AM6405">
        <v>104.025022031562</v>
      </c>
      <c r="AN6405">
        <v>1.0000000532601201</v>
      </c>
    </row>
    <row r="6406" spans="1:40" x14ac:dyDescent="0.25">
      <c r="A6406" t="str">
        <f>"20190312164150777"</f>
        <v>20190312164150777</v>
      </c>
      <c r="B6406" t="str">
        <f>"1552380110771958"</f>
        <v>1552380110771958</v>
      </c>
      <c r="C6406" t="s">
        <v>40</v>
      </c>
      <c r="D6406">
        <v>5.6429150000000003</v>
      </c>
      <c r="E6406">
        <v>0.38706479999999999</v>
      </c>
      <c r="F6406" t="s">
        <v>42</v>
      </c>
      <c r="G6406">
        <v>-216.3837</v>
      </c>
      <c r="H6406">
        <v>1.054921</v>
      </c>
      <c r="I6406">
        <v>-62.382759999999998</v>
      </c>
      <c r="J6406">
        <v>-217.09020000000001</v>
      </c>
      <c r="K6406">
        <v>1.1135649999999999</v>
      </c>
      <c r="L6406">
        <v>-62.898829999999997</v>
      </c>
      <c r="M6406">
        <v>0.99972649999999996</v>
      </c>
      <c r="N6406">
        <v>0</v>
      </c>
      <c r="O6406">
        <v>1.9055140000000002E-2</v>
      </c>
      <c r="P6406">
        <v>0.95553390000000005</v>
      </c>
      <c r="Q6406">
        <v>0.137516</v>
      </c>
      <c r="R6406">
        <v>0.26085370000000002</v>
      </c>
      <c r="S6406">
        <v>2.714432</v>
      </c>
      <c r="T6406">
        <v>-0.1884633</v>
      </c>
      <c r="U6406">
        <v>1.6745000000000001</v>
      </c>
      <c r="V6406">
        <v>-0.2438148</v>
      </c>
      <c r="W6406">
        <v>0.14855070000000001</v>
      </c>
      <c r="X6406">
        <v>0.95837729999999999</v>
      </c>
      <c r="Y6406">
        <v>-0.50786039999999999</v>
      </c>
      <c r="Z6406">
        <v>1.498299E-2</v>
      </c>
      <c r="AA6406">
        <v>0.86130910000000005</v>
      </c>
      <c r="AB6406">
        <v>34</v>
      </c>
      <c r="AC6406">
        <v>0.70650000000000501</v>
      </c>
      <c r="AD6406">
        <v>-5.8643999999999898E-2</v>
      </c>
      <c r="AE6406">
        <v>0.51607000000000602</v>
      </c>
      <c r="AF6406">
        <v>-0.50026498924567897</v>
      </c>
      <c r="AG6406">
        <v>-5.8643999999999898E-2</v>
      </c>
      <c r="AH6406">
        <v>0.71300299846910198</v>
      </c>
      <c r="AI6406">
        <v>93.851889780405898</v>
      </c>
      <c r="AJ6406">
        <v>125.054688936243</v>
      </c>
      <c r="AK6406">
        <v>0.87297047717944598</v>
      </c>
      <c r="AL6406">
        <v>81.457053229539497</v>
      </c>
      <c r="AM6406">
        <v>104.27347163348099</v>
      </c>
      <c r="AN6406">
        <v>1.0000000081624001</v>
      </c>
    </row>
    <row r="6407" spans="1:40" x14ac:dyDescent="0.25">
      <c r="A6407" t="str">
        <f>"20190312164150788"</f>
        <v>20190312164150788</v>
      </c>
      <c r="B6407" t="str">
        <f>"1552380110782694"</f>
        <v>1552380110782694</v>
      </c>
      <c r="C6407" t="s">
        <v>40</v>
      </c>
      <c r="D6407">
        <v>5.6451979999999997</v>
      </c>
      <c r="E6407">
        <v>0.38742349999999998</v>
      </c>
      <c r="F6407" t="s">
        <v>42</v>
      </c>
      <c r="G6407">
        <v>-216.3683</v>
      </c>
      <c r="H6407">
        <v>1.0627580000000001</v>
      </c>
      <c r="I6407">
        <v>-62.448419999999999</v>
      </c>
      <c r="J6407">
        <v>-216.9239</v>
      </c>
      <c r="K6407">
        <v>1.1137060000000001</v>
      </c>
      <c r="L6407">
        <v>-62.893549999999998</v>
      </c>
      <c r="M6407">
        <v>0.99968129999999999</v>
      </c>
      <c r="N6407">
        <v>0</v>
      </c>
      <c r="O6407">
        <v>2.1244829999999999E-2</v>
      </c>
      <c r="P6407">
        <v>0.95345530000000001</v>
      </c>
      <c r="Q6407">
        <v>0.13889470000000001</v>
      </c>
      <c r="R6407">
        <v>0.26764060000000001</v>
      </c>
      <c r="S6407">
        <v>2.7060089999999999</v>
      </c>
      <c r="T6407">
        <v>-0.19044700000000001</v>
      </c>
      <c r="U6407">
        <v>1.68869</v>
      </c>
      <c r="V6407">
        <v>-0.2486003</v>
      </c>
      <c r="W6407">
        <v>0.149869</v>
      </c>
      <c r="X6407">
        <v>0.95694159999999995</v>
      </c>
      <c r="Y6407">
        <v>-0.51040790000000003</v>
      </c>
      <c r="Z6407">
        <v>1.510248E-2</v>
      </c>
      <c r="AA6407">
        <v>0.85979989999999995</v>
      </c>
      <c r="AB6407">
        <v>34</v>
      </c>
      <c r="AC6407">
        <v>0.55559999999999798</v>
      </c>
      <c r="AD6407">
        <v>-5.0947999999999702E-2</v>
      </c>
      <c r="AE6407">
        <v>0.44512999999999803</v>
      </c>
      <c r="AF6407">
        <v>-0.43101737174707</v>
      </c>
      <c r="AG6407">
        <v>-5.0947999999999702E-2</v>
      </c>
      <c r="AH6407">
        <v>0.56205365857572998</v>
      </c>
      <c r="AI6407">
        <v>94.114233277553694</v>
      </c>
      <c r="AJ6407">
        <v>127.483213415967</v>
      </c>
      <c r="AK6407">
        <v>0.71012392479771902</v>
      </c>
      <c r="AL6407">
        <v>81.380665230365295</v>
      </c>
      <c r="AM6407">
        <v>104.56274579912601</v>
      </c>
      <c r="AN6407">
        <v>1.0000000260658199</v>
      </c>
    </row>
    <row r="6408" spans="1:40" x14ac:dyDescent="0.25">
      <c r="A6408" t="str">
        <f>"20190312164150800"</f>
        <v>20190312164150800</v>
      </c>
      <c r="B6408" t="str">
        <f>"1552380110792454"</f>
        <v>1552380110792454</v>
      </c>
      <c r="C6408" t="s">
        <v>40</v>
      </c>
      <c r="D6408">
        <v>5.62826</v>
      </c>
      <c r="E6408">
        <v>0.3876964</v>
      </c>
      <c r="F6408" t="s">
        <v>42</v>
      </c>
      <c r="G6408">
        <v>-216.0864</v>
      </c>
      <c r="H6408">
        <v>1.0546660000000001</v>
      </c>
      <c r="I6408">
        <v>-62.363770000000002</v>
      </c>
      <c r="J6408">
        <v>-216.74770000000001</v>
      </c>
      <c r="K6408">
        <v>1.113853</v>
      </c>
      <c r="L6408">
        <v>-62.88776</v>
      </c>
      <c r="M6408">
        <v>0.99962740000000005</v>
      </c>
      <c r="N6408">
        <v>0</v>
      </c>
      <c r="O6408">
        <v>2.3593719999999999E-2</v>
      </c>
      <c r="P6408">
        <v>0.95147700000000002</v>
      </c>
      <c r="Q6408">
        <v>0.1396078</v>
      </c>
      <c r="R6408">
        <v>0.27422859999999899</v>
      </c>
      <c r="S6408">
        <v>2.6955110000000002</v>
      </c>
      <c r="T6408">
        <v>-0.190022</v>
      </c>
      <c r="U6408">
        <v>1.7050780000000001</v>
      </c>
      <c r="V6408">
        <v>-0.2530367</v>
      </c>
      <c r="W6408">
        <v>0.15052289999999999</v>
      </c>
      <c r="X6408">
        <v>0.95567530000000001</v>
      </c>
      <c r="Y6408">
        <v>-0.51363110000000001</v>
      </c>
      <c r="Z6408">
        <v>1.5049099999999999E-2</v>
      </c>
      <c r="AA6408">
        <v>0.85787919999999995</v>
      </c>
      <c r="AB6408">
        <v>34</v>
      </c>
      <c r="AC6408">
        <v>0.66130000000001099</v>
      </c>
      <c r="AD6408">
        <v>-5.9187000000000101E-2</v>
      </c>
      <c r="AE6408">
        <v>0.52399000000000395</v>
      </c>
      <c r="AF6408">
        <v>-0.50575136389062403</v>
      </c>
      <c r="AG6408">
        <v>-5.9187000000000101E-2</v>
      </c>
      <c r="AH6408">
        <v>0.67018202303539998</v>
      </c>
      <c r="AI6408">
        <v>94.032353560014002</v>
      </c>
      <c r="AJ6408">
        <v>127.039947953808</v>
      </c>
      <c r="AK6408">
        <v>0.84168372150472803</v>
      </c>
      <c r="AL6408">
        <v>81.342769388699097</v>
      </c>
      <c r="AM6408">
        <v>104.830055941944</v>
      </c>
      <c r="AN6408">
        <v>0.99999999700069497</v>
      </c>
    </row>
    <row r="6409" spans="1:40" x14ac:dyDescent="0.25">
      <c r="A6409" t="str">
        <f>"20190312164150810"</f>
        <v>20190312164150810</v>
      </c>
      <c r="B6409" t="str">
        <f>"1552380110802214"</f>
        <v>1552380110802214</v>
      </c>
      <c r="C6409" t="s">
        <v>40</v>
      </c>
      <c r="D6409">
        <v>5.6395390000000001</v>
      </c>
      <c r="E6409">
        <v>0.38805309999999998</v>
      </c>
      <c r="F6409" t="s">
        <v>42</v>
      </c>
      <c r="G6409">
        <v>-215.80439999999999</v>
      </c>
      <c r="H6409">
        <v>1.0468900000000001</v>
      </c>
      <c r="I6409">
        <v>-62.283149999999999</v>
      </c>
      <c r="J6409">
        <v>-216.59620000000001</v>
      </c>
      <c r="K6409">
        <v>1.1139650000000001</v>
      </c>
      <c r="L6409">
        <v>-62.88223</v>
      </c>
      <c r="M6409">
        <v>0.99957470000000004</v>
      </c>
      <c r="N6409">
        <v>0</v>
      </c>
      <c r="O6409">
        <v>2.5691809999999999E-2</v>
      </c>
      <c r="P6409">
        <v>0.94938469999999997</v>
      </c>
      <c r="Q6409">
        <v>0.14058190000000001</v>
      </c>
      <c r="R6409">
        <v>0.28090100000000001</v>
      </c>
      <c r="S6409">
        <v>2.6848299999999998</v>
      </c>
      <c r="T6409">
        <v>-0.19059409999999999</v>
      </c>
      <c r="U6409">
        <v>1.7213130000000001</v>
      </c>
      <c r="V6409">
        <v>-0.2577972</v>
      </c>
      <c r="W6409">
        <v>0.15143209999999999</v>
      </c>
      <c r="X6409">
        <v>0.9542583</v>
      </c>
      <c r="Y6409">
        <v>-0.51704410000000001</v>
      </c>
      <c r="Z6409">
        <v>1.5097620000000001E-2</v>
      </c>
      <c r="AA6409">
        <v>0.85582559999999996</v>
      </c>
      <c r="AB6409">
        <v>34</v>
      </c>
      <c r="AC6409">
        <v>0.79180000000002304</v>
      </c>
      <c r="AD6409">
        <v>-6.7074999999999996E-2</v>
      </c>
      <c r="AE6409">
        <v>0.59908000000000705</v>
      </c>
      <c r="AF6409">
        <v>-0.57590924798569898</v>
      </c>
      <c r="AG6409">
        <v>-6.7074999999999996E-2</v>
      </c>
      <c r="AH6409">
        <v>0.80326567025662798</v>
      </c>
      <c r="AI6409">
        <v>93.882319600518798</v>
      </c>
      <c r="AJ6409">
        <v>125.639004461913</v>
      </c>
      <c r="AK6409">
        <v>0.99065950485183496</v>
      </c>
      <c r="AL6409">
        <v>81.290071944345996</v>
      </c>
      <c r="AM6409">
        <v>105.117826982016</v>
      </c>
      <c r="AN6409">
        <v>0.99999999017857</v>
      </c>
    </row>
    <row r="6410" spans="1:40" x14ac:dyDescent="0.25">
      <c r="A6410" t="str">
        <f>"20190312164150824"</f>
        <v>20190312164150824</v>
      </c>
      <c r="B6410" t="str">
        <f>"1552380110811974"</f>
        <v>1552380110811974</v>
      </c>
      <c r="C6410" t="s">
        <v>40</v>
      </c>
      <c r="D6410">
        <v>5.6329129999999896</v>
      </c>
      <c r="E6410">
        <v>0.38833440000000002</v>
      </c>
      <c r="F6410" t="s">
        <v>42</v>
      </c>
      <c r="G6410">
        <v>-215.78649999999999</v>
      </c>
      <c r="H6410">
        <v>1.0563830000000001</v>
      </c>
      <c r="I6410">
        <v>-62.356560000000002</v>
      </c>
      <c r="J6410">
        <v>-216.39150000000001</v>
      </c>
      <c r="K6410">
        <v>1.1141049999999999</v>
      </c>
      <c r="L6410">
        <v>-62.87433</v>
      </c>
      <c r="M6410">
        <v>0.99949509999999997</v>
      </c>
      <c r="N6410">
        <v>0</v>
      </c>
      <c r="O6410">
        <v>2.8578659999999999E-2</v>
      </c>
      <c r="P6410">
        <v>0.94696309999999995</v>
      </c>
      <c r="Q6410">
        <v>0.1411779</v>
      </c>
      <c r="R6410">
        <v>0.28866890000000001</v>
      </c>
      <c r="S6410">
        <v>2.674255</v>
      </c>
      <c r="T6410">
        <v>-0.19018280000000001</v>
      </c>
      <c r="U6410">
        <v>1.736664</v>
      </c>
      <c r="V6410">
        <v>-0.26292330000000003</v>
      </c>
      <c r="W6410">
        <v>0.15195620000000001</v>
      </c>
      <c r="X6410">
        <v>0.95277520000000004</v>
      </c>
      <c r="Y6410">
        <v>-0.51957359999999997</v>
      </c>
      <c r="Z6410">
        <v>1.498937E-2</v>
      </c>
      <c r="AA6410">
        <v>0.854294199999999</v>
      </c>
      <c r="AB6410">
        <v>34</v>
      </c>
      <c r="AC6410">
        <v>0.60500000000001797</v>
      </c>
      <c r="AD6410">
        <v>-5.7721999999999801E-2</v>
      </c>
      <c r="AE6410">
        <v>0.51777000000001205</v>
      </c>
      <c r="AF6410">
        <v>-0.49765188914013803</v>
      </c>
      <c r="AG6410">
        <v>-5.7721999999999801E-2</v>
      </c>
      <c r="AH6410">
        <v>0.61631312305643404</v>
      </c>
      <c r="AI6410">
        <v>94.167642871347098</v>
      </c>
      <c r="AJ6410">
        <v>128.91969533770401</v>
      </c>
      <c r="AK6410">
        <v>0.79424876310909298</v>
      </c>
      <c r="AL6410">
        <v>81.259691427884306</v>
      </c>
      <c r="AM6410">
        <v>105.42712148973401</v>
      </c>
      <c r="AN6410">
        <v>0.999999965068184</v>
      </c>
    </row>
    <row r="6411" spans="1:40" x14ac:dyDescent="0.25">
      <c r="A6411" t="str">
        <f>"20190312164150834"</f>
        <v>20190312164150834</v>
      </c>
      <c r="B6411" t="str">
        <f>"1552380110822711"</f>
        <v>1552380110822711</v>
      </c>
      <c r="C6411" t="s">
        <v>40</v>
      </c>
      <c r="D6411">
        <v>5.6437200000000001</v>
      </c>
      <c r="E6411">
        <v>0.38868809999999998</v>
      </c>
      <c r="F6411" t="s">
        <v>42</v>
      </c>
      <c r="G6411">
        <v>-215.50210000000001</v>
      </c>
      <c r="H6411">
        <v>1.049725</v>
      </c>
      <c r="I6411">
        <v>-62.287669999999999</v>
      </c>
      <c r="J6411">
        <v>-216.2396</v>
      </c>
      <c r="K6411">
        <v>1.1142030000000001</v>
      </c>
      <c r="L6411">
        <v>-62.868070000000003</v>
      </c>
      <c r="M6411">
        <v>0.99942949999999997</v>
      </c>
      <c r="N6411">
        <v>0</v>
      </c>
      <c r="O6411">
        <v>3.0765750000000001E-2</v>
      </c>
      <c r="P6411">
        <v>0.94463909999999995</v>
      </c>
      <c r="Q6411">
        <v>0.14216870000000001</v>
      </c>
      <c r="R6411">
        <v>0.29571130000000001</v>
      </c>
      <c r="S6411">
        <v>2.6615600000000001</v>
      </c>
      <c r="T6411">
        <v>-0.19264999999999999</v>
      </c>
      <c r="U6411">
        <v>1.7557069999999999</v>
      </c>
      <c r="V6411">
        <v>-0.26798719999999998</v>
      </c>
      <c r="W6411">
        <v>0.15287429999999999</v>
      </c>
      <c r="X6411">
        <v>0.95121619999999996</v>
      </c>
      <c r="Y6411">
        <v>-0.52380130000000003</v>
      </c>
      <c r="Z6411">
        <v>1.5212760000000001E-2</v>
      </c>
      <c r="AA6411">
        <v>0.85170469999999898</v>
      </c>
      <c r="AB6411">
        <v>34</v>
      </c>
      <c r="AC6411">
        <v>0.73749999999998195</v>
      </c>
      <c r="AD6411">
        <v>-6.4477999999999994E-2</v>
      </c>
      <c r="AE6411">
        <v>0.58039999999999703</v>
      </c>
      <c r="AF6411">
        <v>-0.55481441970685297</v>
      </c>
      <c r="AG6411">
        <v>-6.4477999999999994E-2</v>
      </c>
      <c r="AH6411">
        <v>0.75146194037547998</v>
      </c>
      <c r="AI6411">
        <v>93.948749659171398</v>
      </c>
      <c r="AJ6411">
        <v>126.43894883935801</v>
      </c>
      <c r="AK6411">
        <v>0.93630737508124695</v>
      </c>
      <c r="AL6411">
        <v>81.206466404060393</v>
      </c>
      <c r="AM6411">
        <v>105.734179783407</v>
      </c>
      <c r="AN6411">
        <v>0.999999975053384</v>
      </c>
    </row>
    <row r="6412" spans="1:40" x14ac:dyDescent="0.25">
      <c r="A6412" t="str">
        <f>"20190312164150846"</f>
        <v>20190312164150846</v>
      </c>
      <c r="B6412" t="str">
        <f>"1552380110842231"</f>
        <v>1552380110842231</v>
      </c>
      <c r="C6412" t="s">
        <v>40</v>
      </c>
      <c r="D6412">
        <v>5.6517089999999897</v>
      </c>
      <c r="E6412">
        <v>0.38965149999999998</v>
      </c>
      <c r="F6412" t="s">
        <v>42</v>
      </c>
      <c r="G6412">
        <v>-215.48349999999999</v>
      </c>
      <c r="H6412">
        <v>1.0586549999999999</v>
      </c>
      <c r="I6412">
        <v>-62.362670000000001</v>
      </c>
      <c r="J6412">
        <v>-216.06950000000001</v>
      </c>
      <c r="K6412">
        <v>1.114295</v>
      </c>
      <c r="L6412">
        <v>-62.860529999999997</v>
      </c>
      <c r="M6412">
        <v>0.99934869999999998</v>
      </c>
      <c r="N6412">
        <v>0</v>
      </c>
      <c r="O6412">
        <v>3.3262159999999999E-2</v>
      </c>
      <c r="P6412">
        <v>0.94209290000000001</v>
      </c>
      <c r="Q6412">
        <v>0.14328659999999999</v>
      </c>
      <c r="R6412">
        <v>0.30319980000000002</v>
      </c>
      <c r="S6412">
        <v>2.650436</v>
      </c>
      <c r="T6412">
        <v>-0.19473389999999999</v>
      </c>
      <c r="U6412">
        <v>1.77200299999999</v>
      </c>
      <c r="V6412">
        <v>-0.27321839999999997</v>
      </c>
      <c r="W6412">
        <v>0.15391560000000001</v>
      </c>
      <c r="X6412">
        <v>0.94955869999999998</v>
      </c>
      <c r="Y6412">
        <v>-0.52691860000000001</v>
      </c>
      <c r="Z6412">
        <v>1.5345320000000001E-2</v>
      </c>
      <c r="AA6412">
        <v>0.84977719999999901</v>
      </c>
      <c r="AB6412">
        <v>34</v>
      </c>
      <c r="AC6412">
        <v>0.58600000000001196</v>
      </c>
      <c r="AD6412">
        <v>-5.5640000000000099E-2</v>
      </c>
      <c r="AE6412">
        <v>0.49786000000001002</v>
      </c>
      <c r="AF6412">
        <v>-0.47560070597012599</v>
      </c>
      <c r="AG6412">
        <v>-5.5640000000000099E-2</v>
      </c>
      <c r="AH6412">
        <v>0.59910034225822795</v>
      </c>
      <c r="AI6412">
        <v>94.160294869620202</v>
      </c>
      <c r="AJ6412">
        <v>128.44459099698199</v>
      </c>
      <c r="AK6412">
        <v>0.76695049463000498</v>
      </c>
      <c r="AL6412">
        <v>81.146090104171407</v>
      </c>
      <c r="AM6412">
        <v>106.052219004581</v>
      </c>
      <c r="AN6412">
        <v>1.0000000153838</v>
      </c>
    </row>
    <row r="6413" spans="1:40" x14ac:dyDescent="0.25">
      <c r="A6413" t="str">
        <f>"20190312164150859"</f>
        <v>20190312164150859</v>
      </c>
      <c r="B6413" t="str">
        <f>"1552380110851991"</f>
        <v>1552380110851991</v>
      </c>
      <c r="C6413" t="s">
        <v>40</v>
      </c>
      <c r="D6413">
        <v>5.8809680000000002</v>
      </c>
      <c r="E6413">
        <v>0.39003520000000003</v>
      </c>
      <c r="F6413" t="s">
        <v>42</v>
      </c>
      <c r="G6413">
        <v>-215.20410000000001</v>
      </c>
      <c r="H6413">
        <v>1.047917</v>
      </c>
      <c r="I6413">
        <v>-62.275320000000001</v>
      </c>
      <c r="J6413">
        <v>-215.87309999999999</v>
      </c>
      <c r="K6413">
        <v>1.114395</v>
      </c>
      <c r="L6413">
        <v>-62.851439999999997</v>
      </c>
      <c r="M6413">
        <v>0.99924669999999904</v>
      </c>
      <c r="N6413">
        <v>0</v>
      </c>
      <c r="O6413">
        <v>3.6173660000000003E-2</v>
      </c>
      <c r="P6413">
        <v>0.93941379999999997</v>
      </c>
      <c r="Q6413">
        <v>0.14407990000000001</v>
      </c>
      <c r="R6413">
        <v>0.3110349</v>
      </c>
      <c r="S6413">
        <v>2.6405180000000001</v>
      </c>
      <c r="T6413">
        <v>-0.20252870000000001</v>
      </c>
      <c r="U6413">
        <v>1.785614</v>
      </c>
      <c r="V6413">
        <v>-0.27841549999999998</v>
      </c>
      <c r="W6413">
        <v>0.15463170000000001</v>
      </c>
      <c r="X6413">
        <v>0.94793130000000003</v>
      </c>
      <c r="Y6413">
        <v>-0.52885369999999998</v>
      </c>
      <c r="Z6413">
        <v>1.585334E-2</v>
      </c>
      <c r="AA6413">
        <v>0.84856489999999996</v>
      </c>
      <c r="AB6413">
        <v>34</v>
      </c>
      <c r="AC6413">
        <v>0.66899999999998205</v>
      </c>
      <c r="AD6413">
        <v>-6.6477999999999995E-2</v>
      </c>
      <c r="AE6413">
        <v>0.57612000000000996</v>
      </c>
      <c r="AF6413">
        <v>-0.54843090523471905</v>
      </c>
      <c r="AG6413">
        <v>-6.6477999999999995E-2</v>
      </c>
      <c r="AH6413">
        <v>0.68551787065694803</v>
      </c>
      <c r="AI6413">
        <v>94.330386910729402</v>
      </c>
      <c r="AJ6413">
        <v>128.66065468351101</v>
      </c>
      <c r="AK6413">
        <v>0.880414977888614</v>
      </c>
      <c r="AL6413">
        <v>81.104562871787493</v>
      </c>
      <c r="AM6413">
        <v>106.367963078819</v>
      </c>
      <c r="AN6413">
        <v>0.99999995140241305</v>
      </c>
    </row>
    <row r="6414" spans="1:40" x14ac:dyDescent="0.25">
      <c r="A6414" t="str">
        <f>"20190312164150872"</f>
        <v>20190312164150872</v>
      </c>
      <c r="B6414" t="str">
        <f>"1552380110862726"</f>
        <v>1552380110862726</v>
      </c>
      <c r="C6414" t="s">
        <v>40</v>
      </c>
      <c r="D6414">
        <v>5.655519</v>
      </c>
      <c r="E6414">
        <v>0.39048929999999998</v>
      </c>
      <c r="F6414" t="s">
        <v>51</v>
      </c>
      <c r="G6414">
        <v>-201.43049999999999</v>
      </c>
      <c r="H6414" s="1">
        <v>-6.3300320000000004E-6</v>
      </c>
      <c r="I6414">
        <v>-52.936660000000003</v>
      </c>
      <c r="J6414">
        <v>-215.6618</v>
      </c>
      <c r="K6414">
        <v>1.1144879999999999</v>
      </c>
      <c r="L6414">
        <v>-62.840760000000003</v>
      </c>
      <c r="M6414">
        <v>0.99912500000000004</v>
      </c>
      <c r="N6414">
        <v>0</v>
      </c>
      <c r="O6414">
        <v>3.9368229999999997E-2</v>
      </c>
      <c r="P6414">
        <v>0.936608</v>
      </c>
      <c r="Q6414">
        <v>0.14452179999999901</v>
      </c>
      <c r="R6414">
        <v>0.319185099999999</v>
      </c>
      <c r="S6414">
        <v>2.62738</v>
      </c>
      <c r="T6414">
        <v>-0.2027302</v>
      </c>
      <c r="U6414">
        <v>1.8036799999999999</v>
      </c>
      <c r="V6414">
        <v>-0.28366839999999999</v>
      </c>
      <c r="W6414">
        <v>0.1549973</v>
      </c>
      <c r="X6414">
        <v>0.94631290000000001</v>
      </c>
      <c r="Y6414">
        <v>-0.53207769999999899</v>
      </c>
      <c r="Z6414">
        <v>1.5797990000000001E-2</v>
      </c>
      <c r="AA6414">
        <v>0.84654810000000003</v>
      </c>
      <c r="AB6414">
        <v>34</v>
      </c>
      <c r="AC6414">
        <v>14.231299999999999</v>
      </c>
      <c r="AD6414">
        <v>-1.1144943300319901</v>
      </c>
      <c r="AE6414">
        <v>9.9040999999999997</v>
      </c>
      <c r="AF6414">
        <v>-9.2976876499458996</v>
      </c>
      <c r="AG6414">
        <v>-1.1144943300319901</v>
      </c>
      <c r="AH6414">
        <v>14.5500933828018</v>
      </c>
      <c r="AI6414">
        <v>93.693001422919593</v>
      </c>
      <c r="AJ6414">
        <v>122.579075424462</v>
      </c>
      <c r="AK6414">
        <v>17.303014497360898</v>
      </c>
      <c r="AL6414">
        <v>81.083360467837593</v>
      </c>
      <c r="AM6414">
        <v>106.686719208673</v>
      </c>
      <c r="AN6414">
        <v>1.0000000144361301</v>
      </c>
    </row>
    <row r="6415" spans="1:40" x14ac:dyDescent="0.25">
      <c r="A6415" t="str">
        <f>"20190312164150885"</f>
        <v>20190312164150885</v>
      </c>
      <c r="B6415" t="str">
        <f>"1552380110872487"</f>
        <v>1552380110872487</v>
      </c>
      <c r="C6415" t="s">
        <v>40</v>
      </c>
      <c r="D6415">
        <v>5.6583199999999998</v>
      </c>
      <c r="E6415">
        <v>0.39092070000000001</v>
      </c>
      <c r="F6415" t="s">
        <v>42</v>
      </c>
      <c r="G6415">
        <v>-214.89500000000001</v>
      </c>
      <c r="H6415">
        <v>1.0546180000000001</v>
      </c>
      <c r="I6415">
        <v>-62.306190000000001</v>
      </c>
      <c r="J6415">
        <v>-215.49180000000001</v>
      </c>
      <c r="K6415">
        <v>1.114555</v>
      </c>
      <c r="L6415">
        <v>-62.831699999999998</v>
      </c>
      <c r="M6415">
        <v>0.99901879999999998</v>
      </c>
      <c r="N6415">
        <v>0</v>
      </c>
      <c r="O6415">
        <v>4.1959509999999998E-2</v>
      </c>
      <c r="P6415">
        <v>0.93393680000000001</v>
      </c>
      <c r="Q6415">
        <v>0.14462990000000001</v>
      </c>
      <c r="R6415">
        <v>0.32687040000000001</v>
      </c>
      <c r="S6415">
        <v>2.6136020000000002</v>
      </c>
      <c r="T6415">
        <v>-0.20406830000000001</v>
      </c>
      <c r="U6415">
        <v>1.8220209999999999</v>
      </c>
      <c r="V6415">
        <v>-0.28902270000000002</v>
      </c>
      <c r="W6415">
        <v>0.155027</v>
      </c>
      <c r="X6415">
        <v>0.94468649999999998</v>
      </c>
      <c r="Y6415">
        <v>-0.53594830000000004</v>
      </c>
      <c r="Z6415">
        <v>1.5897459999999999E-2</v>
      </c>
      <c r="AA6415">
        <v>0.84410110000000005</v>
      </c>
      <c r="AB6415">
        <v>34</v>
      </c>
      <c r="AC6415">
        <v>0.596800000000001</v>
      </c>
      <c r="AD6415">
        <v>-5.99369999999999E-2</v>
      </c>
      <c r="AE6415">
        <v>0.52550999999999704</v>
      </c>
      <c r="AF6415">
        <v>-0.49717853987462202</v>
      </c>
      <c r="AG6415">
        <v>-5.99369999999999E-2</v>
      </c>
      <c r="AH6415">
        <v>0.61483361981691598</v>
      </c>
      <c r="AI6415">
        <v>94.334869259149997</v>
      </c>
      <c r="AJ6415">
        <v>128.96036036820101</v>
      </c>
      <c r="AK6415">
        <v>0.79296867815698302</v>
      </c>
      <c r="AL6415">
        <v>81.081638170476097</v>
      </c>
      <c r="AM6415">
        <v>107.01126185635999</v>
      </c>
      <c r="AN6415">
        <v>1.0000000375632601</v>
      </c>
    </row>
    <row r="6416" spans="1:40" x14ac:dyDescent="0.25">
      <c r="A6416" t="str">
        <f>"20190312164150895"</f>
        <v>20190312164150895</v>
      </c>
      <c r="B6416" t="str">
        <f>"1552380110892006"</f>
        <v>1552380110892006</v>
      </c>
      <c r="C6416" t="s">
        <v>40</v>
      </c>
      <c r="D6416">
        <v>5.6292799999999996</v>
      </c>
      <c r="E6416">
        <v>0.3918237</v>
      </c>
      <c r="F6416" t="s">
        <v>42</v>
      </c>
      <c r="G6416">
        <v>-214.61799999999999</v>
      </c>
      <c r="H6416">
        <v>1.044994</v>
      </c>
      <c r="I6416">
        <v>-62.213669999999901</v>
      </c>
      <c r="J6416">
        <v>-215.3167</v>
      </c>
      <c r="K6416">
        <v>1.1146149999999999</v>
      </c>
      <c r="L6416">
        <v>-62.82199</v>
      </c>
      <c r="M6416">
        <v>0.99890190000000001</v>
      </c>
      <c r="N6416">
        <v>0</v>
      </c>
      <c r="O6416">
        <v>4.4645129999999998E-2</v>
      </c>
      <c r="P6416">
        <v>0.93120510000000001</v>
      </c>
      <c r="Q6416">
        <v>0.144319899999999</v>
      </c>
      <c r="R6416">
        <v>0.33470749999999999</v>
      </c>
      <c r="S6416">
        <v>2.6004330000000002</v>
      </c>
      <c r="T6416">
        <v>-0.20701990000000001</v>
      </c>
      <c r="U6416">
        <v>1.8395999999999999</v>
      </c>
      <c r="V6416">
        <v>-0.29444569999999998</v>
      </c>
      <c r="W6416">
        <v>0.15463829999999901</v>
      </c>
      <c r="X6416">
        <v>0.94307410000000003</v>
      </c>
      <c r="Y6416">
        <v>-0.539458199999999</v>
      </c>
      <c r="Z6416">
        <v>1.6100420000000001E-2</v>
      </c>
      <c r="AA6416">
        <v>0.84185840000000001</v>
      </c>
      <c r="AB6416">
        <v>34</v>
      </c>
      <c r="AC6416">
        <v>0.69870000000000199</v>
      </c>
      <c r="AD6416">
        <v>-6.9620999999999905E-2</v>
      </c>
      <c r="AE6416">
        <v>0.60832000000000597</v>
      </c>
      <c r="AF6416">
        <v>-0.57327889932921905</v>
      </c>
      <c r="AG6416">
        <v>-6.9620999999999905E-2</v>
      </c>
      <c r="AH6416">
        <v>0.72109192184284199</v>
      </c>
      <c r="AI6416">
        <v>94.321961216832506</v>
      </c>
      <c r="AJ6416">
        <v>128.48522629999101</v>
      </c>
      <c r="AK6416">
        <v>0.92383404343211195</v>
      </c>
      <c r="AL6416">
        <v>81.104180695762807</v>
      </c>
      <c r="AM6416">
        <v>107.339358377008</v>
      </c>
      <c r="AN6416">
        <v>1.00000001608309</v>
      </c>
    </row>
    <row r="6417" spans="1:40" x14ac:dyDescent="0.25">
      <c r="A6417" t="str">
        <f>"20190312164150906"</f>
        <v>20190312164150906</v>
      </c>
      <c r="B6417" t="str">
        <f>"1552380110902742"</f>
        <v>1552380110902742</v>
      </c>
      <c r="C6417" t="s">
        <v>40</v>
      </c>
      <c r="D6417">
        <v>5.717854</v>
      </c>
      <c r="E6417">
        <v>0.39232610000000001</v>
      </c>
      <c r="F6417" t="s">
        <v>42</v>
      </c>
      <c r="G6417">
        <v>-214.5942</v>
      </c>
      <c r="H6417">
        <v>1.055321</v>
      </c>
      <c r="I6417">
        <v>-62.304569999999998</v>
      </c>
      <c r="J6417">
        <v>-215.16380000000001</v>
      </c>
      <c r="K6417">
        <v>1.114657</v>
      </c>
      <c r="L6417">
        <v>-62.812899999999999</v>
      </c>
      <c r="M6417">
        <v>0.99879280000000004</v>
      </c>
      <c r="N6417">
        <v>0</v>
      </c>
      <c r="O6417">
        <v>4.7010789999999997E-2</v>
      </c>
      <c r="P6417">
        <v>0.92852049999999997</v>
      </c>
      <c r="Q6417">
        <v>0.1436308</v>
      </c>
      <c r="R6417">
        <v>0.34237400000000001</v>
      </c>
      <c r="S6417">
        <v>2.5881810000000001</v>
      </c>
      <c r="T6417">
        <v>-0.21240690000000001</v>
      </c>
      <c r="U6417">
        <v>1.853912</v>
      </c>
      <c r="V6417">
        <v>-0.29999880000000001</v>
      </c>
      <c r="W6417">
        <v>0.15386900000000001</v>
      </c>
      <c r="X6417">
        <v>0.94144839999999996</v>
      </c>
      <c r="Y6417">
        <v>-0.54236379999999995</v>
      </c>
      <c r="Z6417">
        <v>1.649258E-2</v>
      </c>
      <c r="AA6417">
        <v>0.83998189999999995</v>
      </c>
      <c r="AB6417">
        <v>34</v>
      </c>
      <c r="AC6417">
        <v>0.56960000000000799</v>
      </c>
      <c r="AD6417">
        <v>-5.9336E-2</v>
      </c>
      <c r="AE6417">
        <v>0.50832999999999995</v>
      </c>
      <c r="AF6417">
        <v>-0.47809976443859298</v>
      </c>
      <c r="AG6417">
        <v>-5.9336E-2</v>
      </c>
      <c r="AH6417">
        <v>0.58930971101747098</v>
      </c>
      <c r="AI6417">
        <v>94.4709282444161</v>
      </c>
      <c r="AJ6417">
        <v>129.05199741981201</v>
      </c>
      <c r="AK6417">
        <v>0.76117414640260495</v>
      </c>
      <c r="AL6417">
        <v>81.148792313577999</v>
      </c>
      <c r="AM6417">
        <v>107.67482595781399</v>
      </c>
      <c r="AN6417">
        <v>1.0000000195124901</v>
      </c>
    </row>
    <row r="6418" spans="1:40" x14ac:dyDescent="0.25">
      <c r="A6418" t="str">
        <f>"20190312164150917"</f>
        <v>20190312164150917</v>
      </c>
      <c r="B6418" t="str">
        <f>"1552380110912502"</f>
        <v>1552380110912502</v>
      </c>
      <c r="C6418" t="s">
        <v>40</v>
      </c>
      <c r="D6418">
        <v>5.6926750000000004</v>
      </c>
      <c r="E6418">
        <v>0.39285429999999999</v>
      </c>
      <c r="F6418" t="s">
        <v>42</v>
      </c>
      <c r="G6418">
        <v>-214.32079999999999</v>
      </c>
      <c r="H6418">
        <v>1.04393799999999</v>
      </c>
      <c r="I6418">
        <v>-62.200119999999998</v>
      </c>
      <c r="J6418">
        <v>-215.00970000000001</v>
      </c>
      <c r="K6418">
        <v>1.1146990000000001</v>
      </c>
      <c r="L6418">
        <v>-62.803649999999998</v>
      </c>
      <c r="M6418">
        <v>0.99867700000000004</v>
      </c>
      <c r="N6418">
        <v>0</v>
      </c>
      <c r="O6418">
        <v>4.9399159999999998E-2</v>
      </c>
      <c r="P6418">
        <v>0.92569400000000002</v>
      </c>
      <c r="Q6418">
        <v>0.14280100000000001</v>
      </c>
      <c r="R6418">
        <v>0.35028359999999997</v>
      </c>
      <c r="S6418">
        <v>2.5744319999999998</v>
      </c>
      <c r="T6418">
        <v>-0.21595110000000001</v>
      </c>
      <c r="U6418">
        <v>1.8710629999999999</v>
      </c>
      <c r="V6418">
        <v>-0.30578739999999999</v>
      </c>
      <c r="W6418">
        <v>0.1529539</v>
      </c>
      <c r="X6418">
        <v>0.93973359999999995</v>
      </c>
      <c r="Y6418">
        <v>-0.54610009999999998</v>
      </c>
      <c r="Z6418">
        <v>1.6773E-2</v>
      </c>
      <c r="AA6418">
        <v>0.83755199999999996</v>
      </c>
      <c r="AB6418">
        <v>34</v>
      </c>
      <c r="AC6418">
        <v>0.68890000000001705</v>
      </c>
      <c r="AD6418">
        <v>-7.0761000000000004E-2</v>
      </c>
      <c r="AE6418">
        <v>0.60352999999999901</v>
      </c>
      <c r="AF6418">
        <v>-0.56538359280595496</v>
      </c>
      <c r="AG6418">
        <v>-7.0761000000000004E-2</v>
      </c>
      <c r="AH6418">
        <v>0.71361599068449699</v>
      </c>
      <c r="AI6418">
        <v>94.444180198613296</v>
      </c>
      <c r="AJ6418">
        <v>128.38907718432699</v>
      </c>
      <c r="AK6418">
        <v>0.913188648799243</v>
      </c>
      <c r="AL6418">
        <v>81.201851909808994</v>
      </c>
      <c r="AM6418">
        <v>108.024782504374</v>
      </c>
      <c r="AN6418">
        <v>1.0000000342464599</v>
      </c>
    </row>
    <row r="6419" spans="1:40" x14ac:dyDescent="0.25">
      <c r="A6419" t="str">
        <f>"20190312164150928"</f>
        <v>20190312164150928</v>
      </c>
      <c r="B6419" t="str">
        <f>"1552380110922263"</f>
        <v>1552380110922263</v>
      </c>
      <c r="C6419" t="s">
        <v>40</v>
      </c>
      <c r="D6419">
        <v>5.7036480000000003</v>
      </c>
      <c r="E6419">
        <v>0.3933661</v>
      </c>
      <c r="F6419" t="s">
        <v>42</v>
      </c>
      <c r="G6419">
        <v>-214.29949999999999</v>
      </c>
      <c r="H6419">
        <v>1.052756</v>
      </c>
      <c r="I6419">
        <v>-62.279710000000001</v>
      </c>
      <c r="J6419">
        <v>-214.83590000000001</v>
      </c>
      <c r="K6419">
        <v>1.114738</v>
      </c>
      <c r="L6419">
        <v>-62.7924199999999</v>
      </c>
      <c r="M6419">
        <v>0.99853860000000005</v>
      </c>
      <c r="N6419">
        <v>0</v>
      </c>
      <c r="O6419">
        <v>5.211433E-2</v>
      </c>
      <c r="P6419">
        <v>0.92271599999999998</v>
      </c>
      <c r="Q6419">
        <v>0.14196520000000001</v>
      </c>
      <c r="R6419">
        <v>0.35838700000000001</v>
      </c>
      <c r="S6419">
        <v>2.560562</v>
      </c>
      <c r="T6419">
        <v>-0.2233173</v>
      </c>
      <c r="U6419">
        <v>1.888733</v>
      </c>
      <c r="V6419">
        <v>-0.31147829999999999</v>
      </c>
      <c r="W6419">
        <v>0.152035</v>
      </c>
      <c r="X6419">
        <v>0.93801210000000002</v>
      </c>
      <c r="Y6419">
        <v>-0.54964409999999997</v>
      </c>
      <c r="Z6419">
        <v>1.731655E-2</v>
      </c>
      <c r="AA6419">
        <v>0.83521939999999995</v>
      </c>
      <c r="AB6419">
        <v>34</v>
      </c>
      <c r="AC6419">
        <v>0.53640000000001398</v>
      </c>
      <c r="AD6419">
        <v>-6.1981999999999898E-2</v>
      </c>
      <c r="AE6419">
        <v>0.512709999999998</v>
      </c>
      <c r="AF6419">
        <v>-0.48070207707920798</v>
      </c>
      <c r="AG6419">
        <v>-6.1981999999999898E-2</v>
      </c>
      <c r="AH6419">
        <v>0.558496335073559</v>
      </c>
      <c r="AI6419">
        <v>94.808062843185695</v>
      </c>
      <c r="AJ6419">
        <v>130.71883070483699</v>
      </c>
      <c r="AK6419">
        <v>0.73948252955892202</v>
      </c>
      <c r="AL6419">
        <v>81.255124072348394</v>
      </c>
      <c r="AM6419">
        <v>108.369372942079</v>
      </c>
      <c r="AN6419">
        <v>1.0000000361711401</v>
      </c>
    </row>
    <row r="6420" spans="1:40" x14ac:dyDescent="0.25">
      <c r="A6420" t="str">
        <f>"20190312164150938"</f>
        <v>20190312164150938</v>
      </c>
      <c r="B6420" t="str">
        <f>"1552380110932022"</f>
        <v>1552380110932022</v>
      </c>
      <c r="C6420" t="s">
        <v>40</v>
      </c>
      <c r="D6420">
        <v>5.7006759999999996</v>
      </c>
      <c r="E6420">
        <v>0.39384140000000001</v>
      </c>
      <c r="F6420" t="s">
        <v>42</v>
      </c>
      <c r="G6420">
        <v>-214.0241</v>
      </c>
      <c r="H6420">
        <v>1.0412680000000001</v>
      </c>
      <c r="I6420">
        <v>-62.184660000000001</v>
      </c>
      <c r="J6420">
        <v>-214.67590000000001</v>
      </c>
      <c r="K6420">
        <v>1.1147689999999999</v>
      </c>
      <c r="L6420">
        <v>-62.781950000000002</v>
      </c>
      <c r="M6420">
        <v>0.99840439999999997</v>
      </c>
      <c r="N6420">
        <v>0</v>
      </c>
      <c r="O6420">
        <v>5.4616629999999999E-2</v>
      </c>
      <c r="P6420">
        <v>0.9196993</v>
      </c>
      <c r="Q6420">
        <v>0.14104179999999999</v>
      </c>
      <c r="R6420">
        <v>0.36641600000000002</v>
      </c>
      <c r="S6420">
        <v>2.5461119999999999</v>
      </c>
      <c r="T6420">
        <v>-0.23044999999999999</v>
      </c>
      <c r="U6420">
        <v>1.90686</v>
      </c>
      <c r="V6420">
        <v>-0.31730629999999999</v>
      </c>
      <c r="W6420">
        <v>0.15102349999999901</v>
      </c>
      <c r="X6420">
        <v>0.93622039999999995</v>
      </c>
      <c r="Y6420">
        <v>-0.55354199999999998</v>
      </c>
      <c r="Z6420">
        <v>1.7873219999999999E-2</v>
      </c>
      <c r="AA6420">
        <v>0.83262939999999996</v>
      </c>
      <c r="AB6420">
        <v>34</v>
      </c>
      <c r="AC6420">
        <v>0.65180000000000804</v>
      </c>
      <c r="AD6420">
        <v>-7.3500999999999997E-2</v>
      </c>
      <c r="AE6420">
        <v>0.59729000000000099</v>
      </c>
      <c r="AF6420">
        <v>-0.55694591785914904</v>
      </c>
      <c r="AG6420">
        <v>-7.3500999999999997E-2</v>
      </c>
      <c r="AH6420">
        <v>0.67876066103014199</v>
      </c>
      <c r="AI6420">
        <v>94.785243953775705</v>
      </c>
      <c r="AJ6420">
        <v>129.37002822582301</v>
      </c>
      <c r="AK6420">
        <v>0.88108296282645604</v>
      </c>
      <c r="AL6420">
        <v>81.313755571370805</v>
      </c>
      <c r="AM6420">
        <v>108.72268381483001</v>
      </c>
      <c r="AN6420">
        <v>1.0000000114740499</v>
      </c>
    </row>
    <row r="6421" spans="1:40" x14ac:dyDescent="0.25">
      <c r="A6421" t="str">
        <f>"20190312164150949"</f>
        <v>20190312164150949</v>
      </c>
      <c r="B6421" t="str">
        <f>"1552380110942759"</f>
        <v>1552380110942759</v>
      </c>
      <c r="C6421" t="s">
        <v>40</v>
      </c>
      <c r="D6421">
        <v>5.6566669999999997</v>
      </c>
      <c r="E6421">
        <v>0.39432050000000002</v>
      </c>
      <c r="F6421" t="s">
        <v>51</v>
      </c>
      <c r="G6421">
        <v>-202.8374</v>
      </c>
      <c r="H6421" s="1">
        <v>-5.665683E-6</v>
      </c>
      <c r="I6421">
        <v>-53.781199999999998</v>
      </c>
      <c r="J6421">
        <v>-214.51560000000001</v>
      </c>
      <c r="K6421">
        <v>1.1148</v>
      </c>
      <c r="L6421">
        <v>-62.770780000000002</v>
      </c>
      <c r="M6421">
        <v>0.99826239999999999</v>
      </c>
      <c r="N6421">
        <v>0</v>
      </c>
      <c r="O6421">
        <v>5.7144199999999999E-2</v>
      </c>
      <c r="P6421">
        <v>0.91655960000000003</v>
      </c>
      <c r="Q6421">
        <v>0.1403314</v>
      </c>
      <c r="R6421">
        <v>0.3744671</v>
      </c>
      <c r="S6421">
        <v>2.531631</v>
      </c>
      <c r="T6421">
        <v>-0.23838999999999999</v>
      </c>
      <c r="U6421">
        <v>1.924774</v>
      </c>
      <c r="V6421">
        <v>-0.32315080000000002</v>
      </c>
      <c r="W6421">
        <v>0.15022260000000001</v>
      </c>
      <c r="X6421">
        <v>0.93434830000000002</v>
      </c>
      <c r="Y6421">
        <v>-0.55735730000000006</v>
      </c>
      <c r="Z6421">
        <v>1.8487170000000001E-2</v>
      </c>
      <c r="AA6421">
        <v>0.83006689999999905</v>
      </c>
      <c r="AB6421">
        <v>34</v>
      </c>
      <c r="AC6421">
        <v>11.6782</v>
      </c>
      <c r="AD6421">
        <v>-1.1148056656829901</v>
      </c>
      <c r="AE6421">
        <v>8.9895800000000001</v>
      </c>
      <c r="AF6421">
        <v>-8.26021156104221</v>
      </c>
      <c r="AG6421">
        <v>-1.1148056656829901</v>
      </c>
      <c r="AH6421">
        <v>12.1036109417413</v>
      </c>
      <c r="AI6421">
        <v>94.350520256711505</v>
      </c>
      <c r="AJ6421">
        <v>124.31191235524901</v>
      </c>
      <c r="AK6421">
        <v>14.695961504251899</v>
      </c>
      <c r="AL6421">
        <v>81.360173294263106</v>
      </c>
      <c r="AM6421">
        <v>109.07829698050099</v>
      </c>
      <c r="AN6421">
        <v>1.00000000740214</v>
      </c>
    </row>
    <row r="6422" spans="1:40" x14ac:dyDescent="0.25">
      <c r="A6422" t="str">
        <f>"20190312164150959"</f>
        <v>20190312164150959</v>
      </c>
      <c r="B6422" t="str">
        <f>"1552380110952519"</f>
        <v>1552380110952519</v>
      </c>
      <c r="C6422" t="s">
        <v>40</v>
      </c>
      <c r="D6422">
        <v>5.7164710000000003</v>
      </c>
      <c r="E6422">
        <v>0.39432050000000002</v>
      </c>
      <c r="F6422" t="s">
        <v>42</v>
      </c>
      <c r="G6422">
        <v>-213.72900000000001</v>
      </c>
      <c r="H6422">
        <v>1.038481</v>
      </c>
      <c r="I6422">
        <v>-62.163699999999999</v>
      </c>
      <c r="J6422">
        <v>-214.37719999999999</v>
      </c>
      <c r="K6422">
        <v>1.1148279999999999</v>
      </c>
      <c r="L6422">
        <v>-62.761020000000002</v>
      </c>
      <c r="M6422">
        <v>0.99813499999999999</v>
      </c>
      <c r="N6422">
        <v>0</v>
      </c>
      <c r="O6422">
        <v>5.9326589999999998E-2</v>
      </c>
      <c r="P6422">
        <v>0.91360660000000005</v>
      </c>
      <c r="Q6422">
        <v>0.13971259999999999</v>
      </c>
      <c r="R6422">
        <v>0.38184240000000003</v>
      </c>
      <c r="S6422">
        <v>2.516769</v>
      </c>
      <c r="T6422">
        <v>-0.244195</v>
      </c>
      <c r="U6422">
        <v>1.9427190000000001</v>
      </c>
      <c r="V6422">
        <v>-0.3286425</v>
      </c>
      <c r="W6422">
        <v>0.14951729999999899</v>
      </c>
      <c r="X6422">
        <v>0.93254420000000005</v>
      </c>
      <c r="Y6422">
        <v>-0.56153520000000001</v>
      </c>
      <c r="Z6422">
        <v>1.8982479999999999E-2</v>
      </c>
      <c r="AA6422">
        <v>0.8272351</v>
      </c>
      <c r="AB6422">
        <v>34</v>
      </c>
      <c r="AC6422">
        <v>0.64819999999997402</v>
      </c>
      <c r="AD6422">
        <v>-7.6347000000000095E-2</v>
      </c>
      <c r="AE6422">
        <v>0.59731999999999597</v>
      </c>
      <c r="AF6422">
        <v>-0.55365457932283801</v>
      </c>
      <c r="AG6422">
        <v>-7.6347000000000095E-2</v>
      </c>
      <c r="AH6422">
        <v>0.67741655438974901</v>
      </c>
      <c r="AI6422">
        <v>94.987283416520299</v>
      </c>
      <c r="AJ6422">
        <v>129.25923203569801</v>
      </c>
      <c r="AK6422">
        <v>0.87821150400995596</v>
      </c>
      <c r="AL6422">
        <v>81.401045570999599</v>
      </c>
      <c r="AM6422">
        <v>109.41321863678201</v>
      </c>
      <c r="AN6422">
        <v>1.0000000003795899</v>
      </c>
    </row>
    <row r="6423" spans="1:40" x14ac:dyDescent="0.25">
      <c r="A6423" t="str">
        <f>"20190312164150969"</f>
        <v>20190312164150969</v>
      </c>
      <c r="B6423" t="str">
        <f>"1552380110962278"</f>
        <v>1552380110962278</v>
      </c>
      <c r="C6423" t="s">
        <v>40</v>
      </c>
      <c r="D6423">
        <v>5.6876759999999997</v>
      </c>
      <c r="E6423">
        <v>0.40983380000000003</v>
      </c>
      <c r="F6423" t="s">
        <v>51</v>
      </c>
      <c r="G6423">
        <v>-203.07480000000001</v>
      </c>
      <c r="H6423" s="1">
        <v>-5.5583159999999901E-6</v>
      </c>
      <c r="I6423">
        <v>-53.8932</v>
      </c>
      <c r="J6423">
        <v>-214.22710000000001</v>
      </c>
      <c r="K6423">
        <v>1.1148530000000001</v>
      </c>
      <c r="L6423">
        <v>-62.7498199999999</v>
      </c>
      <c r="M6423">
        <v>0.99798980000000004</v>
      </c>
      <c r="N6423">
        <v>0</v>
      </c>
      <c r="O6423">
        <v>6.1712290000000003E-2</v>
      </c>
      <c r="P6423">
        <v>0.91055059999999999</v>
      </c>
      <c r="Q6423">
        <v>0.13971249999999999</v>
      </c>
      <c r="R6423">
        <v>0.38907340000000001</v>
      </c>
      <c r="S6423">
        <v>2.5012050000000001</v>
      </c>
      <c r="T6423">
        <v>-0.24671080000000001</v>
      </c>
      <c r="U6423">
        <v>1.9624330000000001</v>
      </c>
      <c r="V6423">
        <v>-0.33382299999999998</v>
      </c>
      <c r="W6423">
        <v>0.14943190000000001</v>
      </c>
      <c r="X6423">
        <v>0.93071599999999999</v>
      </c>
      <c r="Y6423">
        <v>-0.5660444</v>
      </c>
      <c r="Z6423">
        <v>1.9221780000000001E-2</v>
      </c>
      <c r="AA6423">
        <v>0.82415059999999996</v>
      </c>
      <c r="AB6423">
        <v>34</v>
      </c>
      <c r="AC6423">
        <v>11.152299999999901</v>
      </c>
      <c r="AD6423">
        <v>-1.114858558316</v>
      </c>
      <c r="AE6423">
        <v>8.8566199999999906</v>
      </c>
      <c r="AF6423">
        <v>-8.1017796116314695</v>
      </c>
      <c r="AG6423">
        <v>-1.114858558316</v>
      </c>
      <c r="AH6423">
        <v>11.606529482966399</v>
      </c>
      <c r="AI6423">
        <v>94.503515604182098</v>
      </c>
      <c r="AJ6423">
        <v>124.9164416676</v>
      </c>
      <c r="AK6423">
        <v>14.1983544511139</v>
      </c>
      <c r="AL6423">
        <v>81.405994052569</v>
      </c>
      <c r="AM6423">
        <v>109.73155593976701</v>
      </c>
      <c r="AN6423">
        <v>0.999999980361304</v>
      </c>
    </row>
    <row r="6424" spans="1:40" x14ac:dyDescent="0.25">
      <c r="A6424" t="str">
        <f>"20190312164150978"</f>
        <v>20190312164150978</v>
      </c>
      <c r="B6424" t="str">
        <f>"1552380110972038"</f>
        <v>1552380110972038</v>
      </c>
      <c r="C6424" t="s">
        <v>40</v>
      </c>
      <c r="D6424">
        <v>5.6898059999999999</v>
      </c>
      <c r="E6424">
        <v>0.41040120000000002</v>
      </c>
      <c r="F6424" t="s">
        <v>42</v>
      </c>
      <c r="G6424">
        <v>-213.42869999999999</v>
      </c>
      <c r="H6424">
        <v>1.007849</v>
      </c>
      <c r="I6424">
        <v>-62.162559999999999</v>
      </c>
      <c r="J6424">
        <v>-214.08519999999999</v>
      </c>
      <c r="K6424">
        <v>1.114884</v>
      </c>
      <c r="L6424">
        <v>-62.739139999999999</v>
      </c>
      <c r="M6424">
        <v>0.99784729999999999</v>
      </c>
      <c r="N6424">
        <v>0</v>
      </c>
      <c r="O6424">
        <v>6.3969600000000001E-2</v>
      </c>
      <c r="P6424">
        <v>0.90753700000000004</v>
      </c>
      <c r="Q6424">
        <v>0.139506399999999</v>
      </c>
      <c r="R6424">
        <v>0.39612449999999999</v>
      </c>
      <c r="S6424">
        <v>2.54657</v>
      </c>
      <c r="T6424">
        <v>-0.34131409999999901</v>
      </c>
      <c r="U6424">
        <v>1.8734740000000001</v>
      </c>
      <c r="V6424">
        <v>-0.33894869999999999</v>
      </c>
      <c r="W6424">
        <v>0.14914059999999901</v>
      </c>
      <c r="X6424">
        <v>0.92890839999999997</v>
      </c>
      <c r="Y6424">
        <v>-0.53712969999999904</v>
      </c>
      <c r="Z6424">
        <v>2.443178E-2</v>
      </c>
      <c r="AA6424">
        <v>0.84314579999999995</v>
      </c>
      <c r="AB6424">
        <v>34</v>
      </c>
      <c r="AC6424">
        <v>0.65649999999999398</v>
      </c>
      <c r="AD6424">
        <v>-0.10703500000000001</v>
      </c>
      <c r="AE6424">
        <v>0.57657999999999898</v>
      </c>
      <c r="AF6424">
        <v>-0.52551231989672398</v>
      </c>
      <c r="AG6424">
        <v>-0.10703500000000001</v>
      </c>
      <c r="AH6424">
        <v>0.68181097123898604</v>
      </c>
      <c r="AI6424">
        <v>97.087735161737299</v>
      </c>
      <c r="AJ6424">
        <v>127.623581866598</v>
      </c>
      <c r="AK6424">
        <v>0.86745944578987999</v>
      </c>
      <c r="AL6424">
        <v>81.422873440833897</v>
      </c>
      <c r="AM6424">
        <v>110.046483011123</v>
      </c>
      <c r="AN6424">
        <v>0.99999997769530402</v>
      </c>
    </row>
    <row r="6425" spans="1:40" x14ac:dyDescent="0.25">
      <c r="A6425" t="str">
        <f>"20190312164150992"</f>
        <v>20190312164150992</v>
      </c>
      <c r="B6425" t="str">
        <f>"1552380110982775"</f>
        <v>1552380110982775</v>
      </c>
      <c r="C6425" t="s">
        <v>40</v>
      </c>
      <c r="D6425">
        <v>5.6912320000000003</v>
      </c>
      <c r="E6425">
        <v>0.41010609999999997</v>
      </c>
      <c r="F6425" t="s">
        <v>51</v>
      </c>
      <c r="G6425">
        <v>-205.77590000000001</v>
      </c>
      <c r="H6425" s="1">
        <v>-3.5797639999999999E-6</v>
      </c>
      <c r="I6425">
        <v>-56.547249999999998</v>
      </c>
      <c r="J6425">
        <v>-213.89109999999999</v>
      </c>
      <c r="K6425">
        <v>1.1149260000000001</v>
      </c>
      <c r="L6425">
        <v>-62.723689999999998</v>
      </c>
      <c r="M6425">
        <v>0.99764249999999999</v>
      </c>
      <c r="N6425">
        <v>0</v>
      </c>
      <c r="O6425">
        <v>6.7083690000000001E-2</v>
      </c>
      <c r="P6425">
        <v>0.90400619999999998</v>
      </c>
      <c r="Q6425">
        <v>0.13981979999999999</v>
      </c>
      <c r="R6425">
        <v>0.40400900000000001</v>
      </c>
      <c r="S6425">
        <v>2.533798</v>
      </c>
      <c r="T6425">
        <v>-0.3399683</v>
      </c>
      <c r="U6425">
        <v>1.888123</v>
      </c>
      <c r="V6425">
        <v>-0.34416160000000001</v>
      </c>
      <c r="W6425">
        <v>0.14936070000000001</v>
      </c>
      <c r="X6425">
        <v>0.92695430000000001</v>
      </c>
      <c r="Y6425">
        <v>-0.53968300000000002</v>
      </c>
      <c r="Z6425">
        <v>2.418323E-2</v>
      </c>
      <c r="AA6425">
        <v>0.84152079999999996</v>
      </c>
      <c r="AB6425">
        <v>33</v>
      </c>
      <c r="AC6425">
        <v>8.1151999999999802</v>
      </c>
      <c r="AD6425">
        <v>-1.114929579764</v>
      </c>
      <c r="AE6425">
        <v>6.1764400000000004</v>
      </c>
      <c r="AF6425">
        <v>-5.5517150362093002</v>
      </c>
      <c r="AG6425">
        <v>-1.114929579764</v>
      </c>
      <c r="AH6425">
        <v>8.4107715464736099</v>
      </c>
      <c r="AI6425">
        <v>96.313070164488806</v>
      </c>
      <c r="AJ6425">
        <v>123.42768579551201</v>
      </c>
      <c r="AK6425">
        <v>10.1393138731412</v>
      </c>
      <c r="AL6425">
        <v>81.410120416235401</v>
      </c>
      <c r="AM6425">
        <v>110.369063392558</v>
      </c>
      <c r="AN6425">
        <v>1.00000004995376</v>
      </c>
    </row>
    <row r="6426" spans="1:40" x14ac:dyDescent="0.25">
      <c r="A6426" t="str">
        <f>"20190312164151004"</f>
        <v>20190312164151004</v>
      </c>
      <c r="B6426" t="str">
        <f>"1552380110992536"</f>
        <v>1552380110992536</v>
      </c>
      <c r="C6426" t="s">
        <v>40</v>
      </c>
      <c r="D6426">
        <v>5.7960789999999998</v>
      </c>
      <c r="E6426">
        <v>0.41077710000000001</v>
      </c>
      <c r="F6426" t="s">
        <v>42</v>
      </c>
      <c r="G6426">
        <v>-213.13200000000001</v>
      </c>
      <c r="H6426">
        <v>1.011641</v>
      </c>
      <c r="I6426">
        <v>-62.147120000000001</v>
      </c>
      <c r="J6426">
        <v>-213.71459999999999</v>
      </c>
      <c r="K6426">
        <v>1.1149629999999999</v>
      </c>
      <c r="L6426">
        <v>-62.709229999999998</v>
      </c>
      <c r="M6426">
        <v>0.99744639999999996</v>
      </c>
      <c r="N6426">
        <v>0</v>
      </c>
      <c r="O6426">
        <v>6.9934380000000004E-2</v>
      </c>
      <c r="P6426">
        <v>0.90054609999999902</v>
      </c>
      <c r="Q6426">
        <v>0.14028309999999999</v>
      </c>
      <c r="R6426">
        <v>0.41150609999999999</v>
      </c>
      <c r="S6426">
        <v>2.5171510000000001</v>
      </c>
      <c r="T6426">
        <v>-0.34247860000000002</v>
      </c>
      <c r="U6426">
        <v>1.911743</v>
      </c>
      <c r="V6426">
        <v>-0.34924359999999999</v>
      </c>
      <c r="W6426">
        <v>0.1497289</v>
      </c>
      <c r="X6426">
        <v>0.92499200000000004</v>
      </c>
      <c r="Y6426">
        <v>-0.54489969999999999</v>
      </c>
      <c r="Z6426">
        <v>2.440399E-2</v>
      </c>
      <c r="AA6426">
        <v>0.83814599999999995</v>
      </c>
      <c r="AB6426">
        <v>33</v>
      </c>
      <c r="AC6426">
        <v>0.58259999999998502</v>
      </c>
      <c r="AD6426">
        <v>-0.103321999999999</v>
      </c>
      <c r="AE6426">
        <v>0.56211000000001099</v>
      </c>
      <c r="AF6426">
        <v>-0.51165127462053905</v>
      </c>
      <c r="AG6426">
        <v>-0.103321999999999</v>
      </c>
      <c r="AH6426">
        <v>0.61054326328289299</v>
      </c>
      <c r="AI6426">
        <v>97.390342765502197</v>
      </c>
      <c r="AJ6426">
        <v>129.96389074117101</v>
      </c>
      <c r="AK6426">
        <v>0.80325932228947505</v>
      </c>
      <c r="AL6426">
        <v>81.388783905635606</v>
      </c>
      <c r="AM6426">
        <v>110.684726850087</v>
      </c>
      <c r="AN6426">
        <v>1.0000000178500801</v>
      </c>
    </row>
    <row r="6427" spans="1:40" x14ac:dyDescent="0.25">
      <c r="A6427" t="str">
        <f>"20190312164151014"</f>
        <v>20190312164151014</v>
      </c>
      <c r="B6427" t="str">
        <f>"1552380111002295"</f>
        <v>1552380111002295</v>
      </c>
      <c r="C6427" t="s">
        <v>40</v>
      </c>
      <c r="D6427">
        <v>5.7097170000000004</v>
      </c>
      <c r="E6427">
        <v>0.41191820000000001</v>
      </c>
      <c r="F6427" t="s">
        <v>42</v>
      </c>
      <c r="G6427">
        <v>-212.85900000000001</v>
      </c>
      <c r="H6427">
        <v>0.9971255</v>
      </c>
      <c r="I6427">
        <v>-62.050980000000003</v>
      </c>
      <c r="J6427">
        <v>-213.55359999999999</v>
      </c>
      <c r="K6427">
        <v>1.115002</v>
      </c>
      <c r="L6427">
        <v>-62.695590000000003</v>
      </c>
      <c r="M6427">
        <v>0.99725909999999995</v>
      </c>
      <c r="N6427">
        <v>0</v>
      </c>
      <c r="O6427">
        <v>7.2550899999999904E-2</v>
      </c>
      <c r="P6427">
        <v>0.89712309999999995</v>
      </c>
      <c r="Q6427">
        <v>0.14142539999999901</v>
      </c>
      <c r="R6427">
        <v>0.41853210000000002</v>
      </c>
      <c r="S6427">
        <v>2.5043639999999998</v>
      </c>
      <c r="T6427">
        <v>-0.34495140000000002</v>
      </c>
      <c r="U6427">
        <v>1.9273070000000001</v>
      </c>
      <c r="V6427">
        <v>-0.35409079999999998</v>
      </c>
      <c r="W6427">
        <v>0.15077599999999999</v>
      </c>
      <c r="X6427">
        <v>0.92297689999999999</v>
      </c>
      <c r="Y6427">
        <v>-0.54798840000000004</v>
      </c>
      <c r="Z6427">
        <v>2.451207E-2</v>
      </c>
      <c r="AA6427">
        <v>0.8361267</v>
      </c>
      <c r="AB6427">
        <v>33</v>
      </c>
      <c r="AC6427">
        <v>0.69459999999997901</v>
      </c>
      <c r="AD6427">
        <v>-0.1178765</v>
      </c>
      <c r="AE6427">
        <v>0.64461000000000002</v>
      </c>
      <c r="AF6427">
        <v>-0.58348334318601103</v>
      </c>
      <c r="AG6427">
        <v>-0.1178765</v>
      </c>
      <c r="AH6427">
        <v>0.72827234269232199</v>
      </c>
      <c r="AI6427">
        <v>97.1992672391616</v>
      </c>
      <c r="AJ6427">
        <v>128.701302199959</v>
      </c>
      <c r="AK6427">
        <v>0.94059996074757402</v>
      </c>
      <c r="AL6427">
        <v>81.328100678864502</v>
      </c>
      <c r="AM6427">
        <v>110.988808295675</v>
      </c>
      <c r="AN6427">
        <v>1.0000000273771199</v>
      </c>
    </row>
    <row r="6428" spans="1:40" x14ac:dyDescent="0.25">
      <c r="A6428" t="str">
        <f>"20190312164151025"</f>
        <v>20190312164151025</v>
      </c>
      <c r="B6428" t="str">
        <f>"1552380111012056"</f>
        <v>1552380111012056</v>
      </c>
      <c r="C6428" t="s">
        <v>40</v>
      </c>
      <c r="D6428">
        <v>5.673063</v>
      </c>
      <c r="E6428">
        <v>0.41236279999999997</v>
      </c>
      <c r="F6428" t="s">
        <v>42</v>
      </c>
      <c r="G6428">
        <v>-212.8339</v>
      </c>
      <c r="H6428">
        <v>1.0163709999999999</v>
      </c>
      <c r="I6428">
        <v>-62.136470000000003</v>
      </c>
      <c r="J6428">
        <v>-213.4075</v>
      </c>
      <c r="K6428">
        <v>1.1150420000000001</v>
      </c>
      <c r="L6428">
        <v>-62.68271</v>
      </c>
      <c r="M6428">
        <v>0.99708149999999995</v>
      </c>
      <c r="N6428">
        <v>0</v>
      </c>
      <c r="O6428">
        <v>7.4950820000000001E-2</v>
      </c>
      <c r="P6428">
        <v>0.89385389999999998</v>
      </c>
      <c r="Q6428">
        <v>0.14240169999999999</v>
      </c>
      <c r="R6428">
        <v>0.42514360000000001</v>
      </c>
      <c r="S6428">
        <v>2.4937900000000002</v>
      </c>
      <c r="T6428">
        <v>-0.34179369999999998</v>
      </c>
      <c r="U6428">
        <v>1.937988</v>
      </c>
      <c r="V6428">
        <v>-0.35872399999999999</v>
      </c>
      <c r="W6428">
        <v>0.1516574</v>
      </c>
      <c r="X6428">
        <v>0.92104129999999995</v>
      </c>
      <c r="Y6428">
        <v>-0.54997069999999904</v>
      </c>
      <c r="Z6428">
        <v>2.4176960000000001E-2</v>
      </c>
      <c r="AA6428">
        <v>0.83483390000000002</v>
      </c>
      <c r="AB6428">
        <v>33</v>
      </c>
      <c r="AC6428">
        <v>0.573599999999999</v>
      </c>
      <c r="AD6428">
        <v>-9.8671000000000106E-2</v>
      </c>
      <c r="AE6428">
        <v>0.54624000000000394</v>
      </c>
      <c r="AF6428">
        <v>-0.49404034838491601</v>
      </c>
      <c r="AG6428">
        <v>-9.8671000000000106E-2</v>
      </c>
      <c r="AH6428">
        <v>0.60356553101430599</v>
      </c>
      <c r="AI6428">
        <v>97.209886638695806</v>
      </c>
      <c r="AJ6428">
        <v>129.30157377278101</v>
      </c>
      <c r="AK6428">
        <v>0.786195384304609</v>
      </c>
      <c r="AL6428">
        <v>81.277012245164599</v>
      </c>
      <c r="AM6428">
        <v>111.279747650497</v>
      </c>
      <c r="AN6428">
        <v>0.99999997572822397</v>
      </c>
    </row>
    <row r="6429" spans="1:40" x14ac:dyDescent="0.25">
      <c r="A6429" t="str">
        <f>"20190312164151036"</f>
        <v>20190312164151036</v>
      </c>
      <c r="B6429" t="str">
        <f>"1552380111032551"</f>
        <v>1552380111032551</v>
      </c>
      <c r="C6429" t="s">
        <v>40</v>
      </c>
      <c r="D6429">
        <v>5.5916759999999996</v>
      </c>
      <c r="E6429">
        <v>0.41308230000000001</v>
      </c>
      <c r="F6429" t="s">
        <v>42</v>
      </c>
      <c r="G6429">
        <v>-212.5669</v>
      </c>
      <c r="H6429">
        <v>1.0000530000000001</v>
      </c>
      <c r="I6429">
        <v>-62.02149</v>
      </c>
      <c r="J6429">
        <v>-213.2388</v>
      </c>
      <c r="K6429">
        <v>1.1150850000000001</v>
      </c>
      <c r="L6429">
        <v>-62.6676</v>
      </c>
      <c r="M6429">
        <v>0.99686790000000003</v>
      </c>
      <c r="N6429">
        <v>0</v>
      </c>
      <c r="O6429">
        <v>7.7735570000000004E-2</v>
      </c>
      <c r="P6429">
        <v>0.89049310000000004</v>
      </c>
      <c r="Q6429">
        <v>0.1434262</v>
      </c>
      <c r="R6429">
        <v>0.43179970000000001</v>
      </c>
      <c r="S6429">
        <v>2.4817049999999998</v>
      </c>
      <c r="T6429">
        <v>-0.33950229999999998</v>
      </c>
      <c r="U6429">
        <v>1.952423</v>
      </c>
      <c r="V6429">
        <v>-0.363068</v>
      </c>
      <c r="W6429">
        <v>0.15258679999999999</v>
      </c>
      <c r="X6429">
        <v>0.91918390000000005</v>
      </c>
      <c r="Y6429">
        <v>-0.55264309999999905</v>
      </c>
      <c r="Z6429">
        <v>2.390159E-2</v>
      </c>
      <c r="AA6429">
        <v>0.83307520000000002</v>
      </c>
      <c r="AB6429">
        <v>33</v>
      </c>
      <c r="AC6429">
        <v>0.67189999999999295</v>
      </c>
      <c r="AD6429">
        <v>-0.115032</v>
      </c>
      <c r="AE6429">
        <v>0.64610999999999996</v>
      </c>
      <c r="AF6429">
        <v>-0.58303945886806696</v>
      </c>
      <c r="AG6429">
        <v>-0.115032</v>
      </c>
      <c r="AH6429">
        <v>0.70929577750019301</v>
      </c>
      <c r="AI6429">
        <v>97.141039495390501</v>
      </c>
      <c r="AJ6429">
        <v>129.420124181087</v>
      </c>
      <c r="AK6429">
        <v>0.92534743291413202</v>
      </c>
      <c r="AL6429">
        <v>81.223135360612901</v>
      </c>
      <c r="AM6429">
        <v>111.553500099128</v>
      </c>
      <c r="AN6429">
        <v>1.00000007308872</v>
      </c>
    </row>
    <row r="6430" spans="1:40" x14ac:dyDescent="0.25">
      <c r="A6430" t="str">
        <f>"20190312164151047"</f>
        <v>20190312164151047</v>
      </c>
      <c r="B6430" t="str">
        <f>"1552380111042311"</f>
        <v>1552380111042311</v>
      </c>
      <c r="C6430" t="s">
        <v>40</v>
      </c>
      <c r="D6430">
        <v>5.6835129999999996</v>
      </c>
      <c r="E6430">
        <v>0.41309000000000001</v>
      </c>
      <c r="F6430" t="s">
        <v>42</v>
      </c>
      <c r="G6430">
        <v>-212.53989999999999</v>
      </c>
      <c r="H6430">
        <v>1.024006</v>
      </c>
      <c r="I6430">
        <v>-62.111530000000002</v>
      </c>
      <c r="J6430">
        <v>-213.08690000000001</v>
      </c>
      <c r="K6430">
        <v>1.115132</v>
      </c>
      <c r="L6430">
        <v>-62.653320000000001</v>
      </c>
      <c r="M6430">
        <v>0.99666580000000005</v>
      </c>
      <c r="N6430">
        <v>0</v>
      </c>
      <c r="O6430">
        <v>8.0282259999999994E-2</v>
      </c>
      <c r="P6430">
        <v>0.88731369999999898</v>
      </c>
      <c r="Q6430">
        <v>0.1441327</v>
      </c>
      <c r="R6430">
        <v>0.43806420000000001</v>
      </c>
      <c r="S6430">
        <v>2.4682460000000002</v>
      </c>
      <c r="T6430">
        <v>-0.32169540000000002</v>
      </c>
      <c r="U6430">
        <v>1.9643550000000001</v>
      </c>
      <c r="V6430">
        <v>-0.36723499999999998</v>
      </c>
      <c r="W6430">
        <v>0.153197</v>
      </c>
      <c r="X6430">
        <v>0.9174253</v>
      </c>
      <c r="Y6430">
        <v>-0.5554521</v>
      </c>
      <c r="Z6430">
        <v>2.2596829999999998E-2</v>
      </c>
      <c r="AA6430">
        <v>0.83124140000000002</v>
      </c>
      <c r="AB6430">
        <v>33</v>
      </c>
      <c r="AC6430">
        <v>0.54700000000002502</v>
      </c>
      <c r="AD6430">
        <v>-9.1125999999999999E-2</v>
      </c>
      <c r="AE6430">
        <v>0.541789999999991</v>
      </c>
      <c r="AF6430">
        <v>-0.48926747505753798</v>
      </c>
      <c r="AG6430">
        <v>-9.1125999999999999E-2</v>
      </c>
      <c r="AH6430">
        <v>0.58060092748702297</v>
      </c>
      <c r="AI6430">
        <v>96.8438488176905</v>
      </c>
      <c r="AJ6430">
        <v>130.12055486405899</v>
      </c>
      <c r="AK6430">
        <v>0.76471174113123797</v>
      </c>
      <c r="AL6430">
        <v>81.187757098089307</v>
      </c>
      <c r="AM6430">
        <v>111.815668840442</v>
      </c>
      <c r="AN6430">
        <v>1.0000000235570401</v>
      </c>
    </row>
    <row r="6431" spans="1:40" x14ac:dyDescent="0.25">
      <c r="A6431" t="str">
        <f>"20190312164151057"</f>
        <v>20190312164151057</v>
      </c>
      <c r="B6431" t="str">
        <f>"1552380111052070"</f>
        <v>1552380111052070</v>
      </c>
      <c r="C6431" t="s">
        <v>40</v>
      </c>
      <c r="D6431">
        <v>5.5472789999999996</v>
      </c>
      <c r="E6431">
        <v>0.41352119999999998</v>
      </c>
      <c r="F6431" t="s">
        <v>42</v>
      </c>
      <c r="G6431">
        <v>-212.27340000000001</v>
      </c>
      <c r="H6431">
        <v>1.012327</v>
      </c>
      <c r="I6431">
        <v>-61.996769999999998</v>
      </c>
      <c r="J6431">
        <v>-212.9211</v>
      </c>
      <c r="K6431">
        <v>1.115184</v>
      </c>
      <c r="L6431">
        <v>-62.637599999999999</v>
      </c>
      <c r="M6431">
        <v>0.99643709999999996</v>
      </c>
      <c r="N6431">
        <v>0</v>
      </c>
      <c r="O6431">
        <v>8.3071919999999994E-2</v>
      </c>
      <c r="P6431">
        <v>0.88410270000000002</v>
      </c>
      <c r="Q6431">
        <v>0.14492140000000001</v>
      </c>
      <c r="R6431">
        <v>0.4442528</v>
      </c>
      <c r="S6431">
        <v>2.4535520000000002</v>
      </c>
      <c r="T6431">
        <v>-0.31006499999999998</v>
      </c>
      <c r="U6431">
        <v>1.9805600000000001</v>
      </c>
      <c r="V6431">
        <v>-0.37111959999999999</v>
      </c>
      <c r="W6431">
        <v>0.15389069999999999</v>
      </c>
      <c r="X6431">
        <v>0.91574449999999996</v>
      </c>
      <c r="Y6431">
        <v>-0.55903780000000003</v>
      </c>
      <c r="Z6431">
        <v>2.174222E-2</v>
      </c>
      <c r="AA6431">
        <v>0.82885710000000001</v>
      </c>
      <c r="AB6431">
        <v>33</v>
      </c>
      <c r="AC6431">
        <v>0.64769999999998595</v>
      </c>
      <c r="AD6431">
        <v>-0.102856999999999</v>
      </c>
      <c r="AE6431">
        <v>0.64083000000000101</v>
      </c>
      <c r="AF6431">
        <v>-0.57744435366043201</v>
      </c>
      <c r="AG6431">
        <v>-0.102856999999999</v>
      </c>
      <c r="AH6431">
        <v>0.68990939743988</v>
      </c>
      <c r="AI6431">
        <v>96.5221203052417</v>
      </c>
      <c r="AJ6431">
        <v>129.928852855869</v>
      </c>
      <c r="AK6431">
        <v>0.90553659268920395</v>
      </c>
      <c r="AL6431">
        <v>81.147534254988898</v>
      </c>
      <c r="AM6431">
        <v>112.061011899132</v>
      </c>
      <c r="AN6431">
        <v>1.00000004716544</v>
      </c>
    </row>
    <row r="6432" spans="1:40" x14ac:dyDescent="0.25">
      <c r="A6432" t="str">
        <f>"20190312164151069"</f>
        <v>20190312164151069</v>
      </c>
      <c r="B6432" t="str">
        <f>"1552380111062806"</f>
        <v>1552380111062806</v>
      </c>
      <c r="C6432" t="s">
        <v>40</v>
      </c>
      <c r="D6432">
        <v>5.6051710000000003</v>
      </c>
      <c r="E6432">
        <v>0.41378419999999999</v>
      </c>
      <c r="F6432" t="s">
        <v>42</v>
      </c>
      <c r="G6432">
        <v>-212.24610000000001</v>
      </c>
      <c r="H6432">
        <v>1.031949</v>
      </c>
      <c r="I6432">
        <v>-62.086269999999899</v>
      </c>
      <c r="J6432">
        <v>-212.75280000000001</v>
      </c>
      <c r="K6432">
        <v>1.11524</v>
      </c>
      <c r="L6432">
        <v>-62.620699999999999</v>
      </c>
      <c r="M6432">
        <v>0.99619139999999995</v>
      </c>
      <c r="N6432">
        <v>0</v>
      </c>
      <c r="O6432">
        <v>8.5964589999999994E-2</v>
      </c>
      <c r="P6432">
        <v>0.88102599999999998</v>
      </c>
      <c r="Q6432">
        <v>0.145702</v>
      </c>
      <c r="R6432">
        <v>0.45007140000000001</v>
      </c>
      <c r="S6432">
        <v>2.440598</v>
      </c>
      <c r="T6432">
        <v>-0.30098269999999999</v>
      </c>
      <c r="U6432">
        <v>1.9940800000000001</v>
      </c>
      <c r="V6432">
        <v>-0.37454209999999999</v>
      </c>
      <c r="W6432">
        <v>0.15457660000000001</v>
      </c>
      <c r="X6432">
        <v>0.91423430000000006</v>
      </c>
      <c r="Y6432">
        <v>-0.56166229999999995</v>
      </c>
      <c r="Z6432">
        <v>2.0999460000000001E-2</v>
      </c>
      <c r="AA6432">
        <v>0.8271001</v>
      </c>
      <c r="AB6432">
        <v>33</v>
      </c>
      <c r="AC6432">
        <v>0.50669999999999504</v>
      </c>
      <c r="AD6432">
        <v>-8.3290999999999907E-2</v>
      </c>
      <c r="AE6432">
        <v>0.53443000000000696</v>
      </c>
      <c r="AF6432">
        <v>-0.48271388210986799</v>
      </c>
      <c r="AG6432">
        <v>-8.3290999999999907E-2</v>
      </c>
      <c r="AH6432">
        <v>0.54381484318316098</v>
      </c>
      <c r="AI6432">
        <v>96.534433968763096</v>
      </c>
      <c r="AJ6432">
        <v>131.59366410179899</v>
      </c>
      <c r="AK6432">
        <v>0.73190482053946404</v>
      </c>
      <c r="AL6432">
        <v>81.107759017559303</v>
      </c>
      <c r="AM6432">
        <v>112.277855706751</v>
      </c>
      <c r="AN6432">
        <v>1.0000000326182199</v>
      </c>
    </row>
    <row r="6433" spans="1:40" x14ac:dyDescent="0.25">
      <c r="A6433" t="str">
        <f>"20190312164151093"</f>
        <v>20190312164151093</v>
      </c>
      <c r="B6433" t="str">
        <f>"1552380111082327"</f>
        <v>1552380111082327</v>
      </c>
      <c r="C6433" t="s">
        <v>40</v>
      </c>
      <c r="D6433">
        <v>5.6858839999999997</v>
      </c>
      <c r="E6433">
        <v>0.41466029999999998</v>
      </c>
      <c r="F6433" t="s">
        <v>42</v>
      </c>
      <c r="G6433">
        <v>-211.9776</v>
      </c>
      <c r="H6433">
        <v>1.0216510000000001</v>
      </c>
      <c r="I6433">
        <v>-61.979759999999999</v>
      </c>
      <c r="J6433">
        <v>-212.4015</v>
      </c>
      <c r="K6433">
        <v>1.1153630000000001</v>
      </c>
      <c r="L6433">
        <v>-62.584229999999998</v>
      </c>
      <c r="M6433">
        <v>0.99564319999999895</v>
      </c>
      <c r="N6433">
        <v>0</v>
      </c>
      <c r="O6433">
        <v>9.2090729999999996E-2</v>
      </c>
      <c r="P6433">
        <v>0.87453219999999998</v>
      </c>
      <c r="Q6433">
        <v>0.14700729999999901</v>
      </c>
      <c r="R6433">
        <v>0.4621498</v>
      </c>
      <c r="S6433">
        <v>2.4279630000000001</v>
      </c>
      <c r="T6433">
        <v>-0.29315279999999999</v>
      </c>
      <c r="U6433">
        <v>2.0077820000000002</v>
      </c>
      <c r="V6433">
        <v>-0.38158160000000002</v>
      </c>
      <c r="W6433">
        <v>0.15567609999999901</v>
      </c>
      <c r="X6433">
        <v>0.91113140000000004</v>
      </c>
      <c r="Y6433">
        <v>-0.56159559999999997</v>
      </c>
      <c r="Z6433">
        <v>1.9872649999999999E-2</v>
      </c>
      <c r="AA6433">
        <v>0.82717319999999905</v>
      </c>
      <c r="AB6433">
        <v>33</v>
      </c>
      <c r="AC6433">
        <v>0.423900000000003</v>
      </c>
      <c r="AD6433">
        <v>-9.3711999999999795E-2</v>
      </c>
      <c r="AE6433">
        <v>0.60447000000000595</v>
      </c>
      <c r="AF6433">
        <v>-0.55393471165628405</v>
      </c>
      <c r="AG6433">
        <v>-9.3711999999999795E-2</v>
      </c>
      <c r="AH6433">
        <v>0.47019483056193601</v>
      </c>
      <c r="AI6433">
        <v>97.349199240496205</v>
      </c>
      <c r="AJ6433">
        <v>139.67449822128199</v>
      </c>
      <c r="AK6433">
        <v>0.73260411028665295</v>
      </c>
      <c r="AL6433">
        <v>81.043990040688399</v>
      </c>
      <c r="AM6433">
        <v>112.723923176553</v>
      </c>
      <c r="AN6433">
        <v>0.999999996817865</v>
      </c>
    </row>
    <row r="6434" spans="1:40" x14ac:dyDescent="0.25">
      <c r="A6434" t="str">
        <f>"20190312164151104"</f>
        <v>20190312164151104</v>
      </c>
      <c r="B6434" t="str">
        <f>"1552380111102822"</f>
        <v>1552380111102822</v>
      </c>
      <c r="C6434" t="s">
        <v>40</v>
      </c>
      <c r="D6434">
        <v>5.7592679999999996</v>
      </c>
      <c r="E6434">
        <v>0.4367354</v>
      </c>
      <c r="F6434" t="s">
        <v>42</v>
      </c>
      <c r="G6434">
        <v>-211.6788</v>
      </c>
      <c r="H6434">
        <v>1.02826</v>
      </c>
      <c r="I6434">
        <v>-61.9726</v>
      </c>
      <c r="J6434">
        <v>-212.23599999999999</v>
      </c>
      <c r="K6434">
        <v>1.1154230000000001</v>
      </c>
      <c r="L6434">
        <v>-62.566189999999999</v>
      </c>
      <c r="M6434">
        <v>0.99536570000000002</v>
      </c>
      <c r="N6434">
        <v>0</v>
      </c>
      <c r="O6434">
        <v>9.5041299999999995E-2</v>
      </c>
      <c r="P6434">
        <v>0.87153259999999899</v>
      </c>
      <c r="Q6434">
        <v>0.1471954</v>
      </c>
      <c r="R6434">
        <v>0.4677229</v>
      </c>
      <c r="S6434">
        <v>2.4039760000000001</v>
      </c>
      <c r="T6434">
        <v>-0.28971340000000001</v>
      </c>
      <c r="U6434">
        <v>2.0344850000000001</v>
      </c>
      <c r="V6434">
        <v>-0.38472879999999998</v>
      </c>
      <c r="W6434">
        <v>0.15576609999999999</v>
      </c>
      <c r="X6434">
        <v>0.90979149999999998</v>
      </c>
      <c r="Y6434">
        <v>-0.56856450000000003</v>
      </c>
      <c r="Z6434">
        <v>1.9792730000000001E-2</v>
      </c>
      <c r="AA6434">
        <v>0.82240059999999904</v>
      </c>
      <c r="AB6434">
        <v>33</v>
      </c>
      <c r="AC6434">
        <v>0.55719999999999403</v>
      </c>
      <c r="AD6434">
        <v>-8.7163000000000102E-2</v>
      </c>
      <c r="AE6434">
        <v>0.59358999999999895</v>
      </c>
      <c r="AF6434">
        <v>-0.53184364968271602</v>
      </c>
      <c r="AG6434">
        <v>-8.7163000000000102E-2</v>
      </c>
      <c r="AH6434">
        <v>0.60417364680035002</v>
      </c>
      <c r="AI6434">
        <v>96.180410734226797</v>
      </c>
      <c r="AJ6434">
        <v>131.35690655697101</v>
      </c>
      <c r="AK6434">
        <v>0.80961771952253203</v>
      </c>
      <c r="AL6434">
        <v>81.038769319576502</v>
      </c>
      <c r="AM6434">
        <v>112.922325270713</v>
      </c>
      <c r="AN6434">
        <v>0.99999995046544798</v>
      </c>
    </row>
    <row r="6435" spans="1:40" x14ac:dyDescent="0.25">
      <c r="A6435" t="str">
        <f>"20190312164151116"</f>
        <v>20190312164151116</v>
      </c>
      <c r="B6435" t="str">
        <f>"1552380111112583"</f>
        <v>1552380111112583</v>
      </c>
      <c r="C6435" t="s">
        <v>40</v>
      </c>
      <c r="D6435">
        <v>5.5824819999999997</v>
      </c>
      <c r="E6435">
        <v>0.4367354</v>
      </c>
      <c r="F6435" t="s">
        <v>42</v>
      </c>
      <c r="G6435">
        <v>-211.39400000000001</v>
      </c>
      <c r="H6435">
        <v>1.022624</v>
      </c>
      <c r="I6435">
        <v>-61.921349999999997</v>
      </c>
      <c r="J6435">
        <v>-212.0625</v>
      </c>
      <c r="K6435">
        <v>1.11548799999999</v>
      </c>
      <c r="L6435">
        <v>-62.546840000000003</v>
      </c>
      <c r="M6435">
        <v>0.99506209999999995</v>
      </c>
      <c r="N6435">
        <v>0</v>
      </c>
      <c r="O6435">
        <v>9.8166400000000001E-2</v>
      </c>
      <c r="P6435">
        <v>0.86847940000000001</v>
      </c>
      <c r="Q6435">
        <v>0.1473217</v>
      </c>
      <c r="R6435">
        <v>0.47332859999999999</v>
      </c>
      <c r="S6435">
        <v>2.4722599999999999</v>
      </c>
      <c r="T6435">
        <v>-0.27244810000000003</v>
      </c>
      <c r="U6435">
        <v>1.8931579999999999</v>
      </c>
      <c r="V6435">
        <v>-0.3877661</v>
      </c>
      <c r="W6435">
        <v>0.15579189999999901</v>
      </c>
      <c r="X6435">
        <v>0.90849669999999905</v>
      </c>
      <c r="Y6435">
        <v>-0.52548890000000004</v>
      </c>
      <c r="Z6435">
        <v>1.6108190000000001E-2</v>
      </c>
      <c r="AA6435">
        <v>0.85064789999999901</v>
      </c>
      <c r="AB6435">
        <v>33</v>
      </c>
      <c r="AC6435">
        <v>0.66849999999999399</v>
      </c>
      <c r="AD6435">
        <v>-9.2863999999999794E-2</v>
      </c>
      <c r="AE6435">
        <v>0.62549000000000599</v>
      </c>
      <c r="AF6435">
        <v>-0.55116587587303201</v>
      </c>
      <c r="AG6435">
        <v>-9.2863999999999794E-2</v>
      </c>
      <c r="AH6435">
        <v>0.71927832691127502</v>
      </c>
      <c r="AI6435">
        <v>95.851222344111505</v>
      </c>
      <c r="AJ6435">
        <v>127.46208735532601</v>
      </c>
      <c r="AK6435">
        <v>0.91091649276273901</v>
      </c>
      <c r="AL6435">
        <v>81.037272897605604</v>
      </c>
      <c r="AM6435">
        <v>113.113840860091</v>
      </c>
      <c r="AN6435">
        <v>0.999999959162854</v>
      </c>
    </row>
    <row r="6436" spans="1:40" x14ac:dyDescent="0.25">
      <c r="A6436" t="str">
        <f>"20190312164151128"</f>
        <v>20190312164151128</v>
      </c>
      <c r="B6436" t="str">
        <f>"1552380111122343"</f>
        <v>1552380111122343</v>
      </c>
      <c r="C6436" t="s">
        <v>40</v>
      </c>
      <c r="D6436">
        <v>5.6262150000000002</v>
      </c>
      <c r="E6436">
        <v>0.47300619999999999</v>
      </c>
      <c r="F6436" t="s">
        <v>42</v>
      </c>
      <c r="G6436">
        <v>-211.3665</v>
      </c>
      <c r="H6436">
        <v>1.0385070000000001</v>
      </c>
      <c r="I6436">
        <v>-62.006770000000003</v>
      </c>
      <c r="J6436">
        <v>-211.90219999999999</v>
      </c>
      <c r="K6436">
        <v>1.1155489999999999</v>
      </c>
      <c r="L6436">
        <v>-62.528199999999998</v>
      </c>
      <c r="M6436">
        <v>0.9947665</v>
      </c>
      <c r="N6436">
        <v>0</v>
      </c>
      <c r="O6436">
        <v>0.1011164</v>
      </c>
      <c r="P6436">
        <v>0.86569869999999904</v>
      </c>
      <c r="Q6436">
        <v>0.1471507</v>
      </c>
      <c r="R6436">
        <v>0.47844809999999999</v>
      </c>
      <c r="S6436">
        <v>2.4600369999999998</v>
      </c>
      <c r="T6436">
        <v>-0.27211479999999999</v>
      </c>
      <c r="U6436">
        <v>1.909027</v>
      </c>
      <c r="V6436">
        <v>-0.39045819999999998</v>
      </c>
      <c r="W6436">
        <v>0.15552629999999901</v>
      </c>
      <c r="X6436">
        <v>0.90738850000000004</v>
      </c>
      <c r="Y6436">
        <v>-0.52843769999999901</v>
      </c>
      <c r="Z6436">
        <v>1.5986609999999998E-2</v>
      </c>
      <c r="AA6436">
        <v>0.84882159999999995</v>
      </c>
      <c r="AB6436">
        <v>33</v>
      </c>
      <c r="AC6436">
        <v>0.53569999999999096</v>
      </c>
      <c r="AD6436">
        <v>-7.7041999999999805E-2</v>
      </c>
      <c r="AE6436">
        <v>0.52143000000000195</v>
      </c>
      <c r="AF6436">
        <v>-0.45970070688914899</v>
      </c>
      <c r="AG6436">
        <v>-7.7041999999999805E-2</v>
      </c>
      <c r="AH6436">
        <v>0.57952957417725104</v>
      </c>
      <c r="AI6436">
        <v>95.945965370056797</v>
      </c>
      <c r="AJ6436">
        <v>128.42253424009101</v>
      </c>
      <c r="AK6436">
        <v>0.74371683927718701</v>
      </c>
      <c r="AL6436">
        <v>81.052678472046296</v>
      </c>
      <c r="AM6436">
        <v>113.282685409325</v>
      </c>
      <c r="AN6436">
        <v>0.99999996293558902</v>
      </c>
    </row>
    <row r="6437" spans="1:40" x14ac:dyDescent="0.25">
      <c r="A6437" t="str">
        <f>"20190312164151138"</f>
        <v>20190312164151138</v>
      </c>
      <c r="B6437" t="str">
        <f>"1552380111132103"</f>
        <v>1552380111132103</v>
      </c>
      <c r="C6437" t="s">
        <v>40</v>
      </c>
      <c r="D6437">
        <v>5.6804290000000002</v>
      </c>
      <c r="E6437">
        <v>0.47675679999999998</v>
      </c>
      <c r="F6437" t="s">
        <v>42</v>
      </c>
      <c r="G6437">
        <v>-211.06989999999999</v>
      </c>
      <c r="H6437">
        <v>1.0559400000000001</v>
      </c>
      <c r="I6437">
        <v>-61.990600000000001</v>
      </c>
      <c r="J6437">
        <v>-211.7413</v>
      </c>
      <c r="K6437">
        <v>1.115607</v>
      </c>
      <c r="L6437">
        <v>-62.509279999999997</v>
      </c>
      <c r="M6437">
        <v>0.99445930000000005</v>
      </c>
      <c r="N6437">
        <v>0</v>
      </c>
      <c r="O6437">
        <v>0.1040932</v>
      </c>
      <c r="P6437">
        <v>0.86327019999999899</v>
      </c>
      <c r="Q6437">
        <v>0.14667549999999999</v>
      </c>
      <c r="R6437">
        <v>0.48296050000000001</v>
      </c>
      <c r="S6437">
        <v>2.5768589999999998</v>
      </c>
      <c r="T6437">
        <v>-0.18454180000000001</v>
      </c>
      <c r="U6437">
        <v>1.66449</v>
      </c>
      <c r="V6437">
        <v>-0.39249109999999998</v>
      </c>
      <c r="W6437">
        <v>0.1549681</v>
      </c>
      <c r="X6437">
        <v>0.90660669999999999</v>
      </c>
      <c r="Y6437">
        <v>-0.4515729</v>
      </c>
      <c r="Z6437">
        <v>8.0093089999999992E-3</v>
      </c>
      <c r="AA6437">
        <v>0.8921983</v>
      </c>
      <c r="AB6437">
        <v>33</v>
      </c>
      <c r="AC6437">
        <v>0.67140000000000499</v>
      </c>
      <c r="AD6437">
        <v>-5.9667000000000102E-2</v>
      </c>
      <c r="AE6437">
        <v>0.51868000000000303</v>
      </c>
      <c r="AF6437">
        <v>-0.44377110426508698</v>
      </c>
      <c r="AG6437">
        <v>-5.9667000000000102E-2</v>
      </c>
      <c r="AH6437">
        <v>0.71819655159912299</v>
      </c>
      <c r="AI6437">
        <v>94.042685949692796</v>
      </c>
      <c r="AJ6437">
        <v>121.71177202431799</v>
      </c>
      <c r="AK6437">
        <v>0.84634462874087302</v>
      </c>
      <c r="AL6437">
        <v>81.085054214910897</v>
      </c>
      <c r="AM6437">
        <v>113.40890732117801</v>
      </c>
      <c r="AN6437">
        <v>1.0000000420408499</v>
      </c>
    </row>
    <row r="6438" spans="1:40" x14ac:dyDescent="0.25">
      <c r="A6438" t="str">
        <f>"20190312164151148"</f>
        <v>20190312164151148</v>
      </c>
      <c r="B6438" t="str">
        <f>"1552380111142839"</f>
        <v>1552380111142839</v>
      </c>
      <c r="C6438" t="s">
        <v>40</v>
      </c>
      <c r="D6438">
        <v>5.6773759999999998</v>
      </c>
      <c r="E6438">
        <v>0.47854350000000001</v>
      </c>
      <c r="F6438" t="s">
        <v>42</v>
      </c>
      <c r="G6438">
        <v>-210.79640000000001</v>
      </c>
      <c r="H6438">
        <v>1.0523149999999999</v>
      </c>
      <c r="I6438">
        <v>-61.904879999999999</v>
      </c>
      <c r="J6438">
        <v>-211.5898</v>
      </c>
      <c r="K6438">
        <v>1.115667</v>
      </c>
      <c r="L6438">
        <v>-62.490600000000001</v>
      </c>
      <c r="M6438">
        <v>0.99415330000000002</v>
      </c>
      <c r="N6438">
        <v>0</v>
      </c>
      <c r="O6438">
        <v>0.1069745</v>
      </c>
      <c r="P6438">
        <v>0.86094959999999898</v>
      </c>
      <c r="Q6438">
        <v>0.1461961</v>
      </c>
      <c r="R6438">
        <v>0.48722969999999999</v>
      </c>
      <c r="S6438">
        <v>2.5809169999999999</v>
      </c>
      <c r="T6438">
        <v>-0.17287359999999999</v>
      </c>
      <c r="U6438">
        <v>1.650909</v>
      </c>
      <c r="V6438">
        <v>-0.39436579999999999</v>
      </c>
      <c r="W6438">
        <v>0.1544056</v>
      </c>
      <c r="X6438">
        <v>0.9058889</v>
      </c>
      <c r="Y6438">
        <v>-0.44510319999999998</v>
      </c>
      <c r="Z6438">
        <v>7.1323159999999997E-3</v>
      </c>
      <c r="AA6438">
        <v>0.89545090000000005</v>
      </c>
      <c r="AB6438">
        <v>33</v>
      </c>
      <c r="AC6438">
        <v>0.793399999999991</v>
      </c>
      <c r="AD6438">
        <v>-6.3352000000000006E-2</v>
      </c>
      <c r="AE6438">
        <v>0.58571999999999402</v>
      </c>
      <c r="AF6438">
        <v>-0.49543103180679299</v>
      </c>
      <c r="AG6438">
        <v>-6.3352000000000006E-2</v>
      </c>
      <c r="AH6438">
        <v>0.84801063386203401</v>
      </c>
      <c r="AI6438">
        <v>93.690744098134005</v>
      </c>
      <c r="AJ6438">
        <v>120.294642104902</v>
      </c>
      <c r="AK6438">
        <v>0.98416838921204597</v>
      </c>
      <c r="AL6438">
        <v>81.117676133842096</v>
      </c>
      <c r="AM6438">
        <v>113.525213107128</v>
      </c>
      <c r="AN6438">
        <v>1.0000000863320999</v>
      </c>
    </row>
    <row r="6439" spans="1:40" x14ac:dyDescent="0.25">
      <c r="A6439" t="str">
        <f>"20190312164151159"</f>
        <v>20190312164151159</v>
      </c>
      <c r="B6439" t="str">
        <f>"1552380111152598"</f>
        <v>1552380111152598</v>
      </c>
      <c r="C6439" t="s">
        <v>40</v>
      </c>
      <c r="D6439">
        <v>5.7305409999999997</v>
      </c>
      <c r="E6439">
        <v>0.47966819999999999</v>
      </c>
      <c r="F6439" t="s">
        <v>42</v>
      </c>
      <c r="G6439">
        <v>-210.77510000000001</v>
      </c>
      <c r="H6439">
        <v>1.0616840000000001</v>
      </c>
      <c r="I6439">
        <v>-61.96893</v>
      </c>
      <c r="J6439">
        <v>-211.44450000000001</v>
      </c>
      <c r="K6439">
        <v>1.1157250000000001</v>
      </c>
      <c r="L6439">
        <v>-62.472659999999998</v>
      </c>
      <c r="M6439">
        <v>0.99385140000000005</v>
      </c>
      <c r="N6439">
        <v>0</v>
      </c>
      <c r="O6439">
        <v>0.1097412</v>
      </c>
      <c r="P6439">
        <v>0.85871149999999996</v>
      </c>
      <c r="Q6439">
        <v>0.1456837</v>
      </c>
      <c r="R6439">
        <v>0.49131550000000002</v>
      </c>
      <c r="S6439">
        <v>2.578964</v>
      </c>
      <c r="T6439">
        <v>-0.17087579999999999</v>
      </c>
      <c r="U6439">
        <v>1.6514279999999999</v>
      </c>
      <c r="V6439">
        <v>-0.39615850000000002</v>
      </c>
      <c r="W6439">
        <v>0.15381239999999999</v>
      </c>
      <c r="X6439">
        <v>0.90520730000000005</v>
      </c>
      <c r="Y6439">
        <v>-0.44306479999999998</v>
      </c>
      <c r="Z6439">
        <v>6.8283769999999896E-3</v>
      </c>
      <c r="AA6439">
        <v>0.89646360000000003</v>
      </c>
      <c r="AB6439">
        <v>33</v>
      </c>
      <c r="AC6439">
        <v>0.669399999999996</v>
      </c>
      <c r="AD6439">
        <v>-5.4040999999999999E-2</v>
      </c>
      <c r="AE6439">
        <v>0.50372999999999002</v>
      </c>
      <c r="AF6439">
        <v>-0.42544787241550203</v>
      </c>
      <c r="AG6439">
        <v>-5.4040999999999999E-2</v>
      </c>
      <c r="AH6439">
        <v>0.71765575090142697</v>
      </c>
      <c r="AI6439">
        <v>93.706158236662802</v>
      </c>
      <c r="AJ6439">
        <v>120.660734901165</v>
      </c>
      <c r="AK6439">
        <v>0.83603594338148401</v>
      </c>
      <c r="AL6439">
        <v>81.152074451737803</v>
      </c>
      <c r="AM6439">
        <v>113.63630013556499</v>
      </c>
      <c r="AN6439">
        <v>1.00000003374464</v>
      </c>
    </row>
    <row r="6440" spans="1:40" x14ac:dyDescent="0.25">
      <c r="A6440" t="str">
        <f>"20190312164151169"</f>
        <v>20190312164151169</v>
      </c>
      <c r="B6440" t="str">
        <f>"1552380111162358"</f>
        <v>1552380111162358</v>
      </c>
      <c r="C6440" t="s">
        <v>40</v>
      </c>
      <c r="D6440">
        <v>5.2118250000000002</v>
      </c>
      <c r="E6440">
        <v>0.48042990000000002</v>
      </c>
      <c r="F6440" t="s">
        <v>42</v>
      </c>
      <c r="G6440">
        <v>-210.50649999999999</v>
      </c>
      <c r="H6440">
        <v>1.0531159999999999</v>
      </c>
      <c r="I6440">
        <v>-61.86956</v>
      </c>
      <c r="J6440">
        <v>-211.28270000000001</v>
      </c>
      <c r="K6440">
        <v>1.1157919999999999</v>
      </c>
      <c r="L6440">
        <v>-62.451689999999999</v>
      </c>
      <c r="M6440">
        <v>0.99349710000000002</v>
      </c>
      <c r="N6440">
        <v>0</v>
      </c>
      <c r="O6440">
        <v>0.1129032</v>
      </c>
      <c r="P6440">
        <v>0.85624549999999999</v>
      </c>
      <c r="Q6440">
        <v>0.145414299999999</v>
      </c>
      <c r="R6440">
        <v>0.4956796</v>
      </c>
      <c r="S6440">
        <v>2.5752109999999999</v>
      </c>
      <c r="T6440">
        <v>-0.1718953</v>
      </c>
      <c r="U6440">
        <v>1.6561279999999901</v>
      </c>
      <c r="V6440">
        <v>-0.39790579999999998</v>
      </c>
      <c r="W6440">
        <v>0.15345429999999999</v>
      </c>
      <c r="X6440">
        <v>0.90450140000000001</v>
      </c>
      <c r="Y6440">
        <v>-0.44196410000000003</v>
      </c>
      <c r="Z6440">
        <v>6.6522990000000004E-3</v>
      </c>
      <c r="AA6440">
        <v>0.89700809999999997</v>
      </c>
      <c r="AB6440">
        <v>33</v>
      </c>
      <c r="AC6440">
        <v>0.77620000000001699</v>
      </c>
      <c r="AD6440">
        <v>-6.2676000000000107E-2</v>
      </c>
      <c r="AE6440">
        <v>0.58212999999999904</v>
      </c>
      <c r="AF6440">
        <v>-0.48872267290061799</v>
      </c>
      <c r="AG6440">
        <v>-6.2676000000000107E-2</v>
      </c>
      <c r="AH6440">
        <v>0.83348921385613195</v>
      </c>
      <c r="AI6440">
        <v>93.711471324513695</v>
      </c>
      <c r="AJ6440">
        <v>120.385548744177</v>
      </c>
      <c r="AK6440">
        <v>0.96823674873330401</v>
      </c>
      <c r="AL6440">
        <v>81.172838418424206</v>
      </c>
      <c r="AM6440">
        <v>113.745523836478</v>
      </c>
      <c r="AN6440">
        <v>1.0000000152320401</v>
      </c>
    </row>
    <row r="6441" spans="1:40" x14ac:dyDescent="0.25">
      <c r="A6441" t="str">
        <f>"20190312164151180"</f>
        <v>20190312164151180</v>
      </c>
      <c r="B6441" t="str">
        <f>"1552380111172119"</f>
        <v>1552380111172119</v>
      </c>
      <c r="C6441" t="s">
        <v>40</v>
      </c>
      <c r="D6441">
        <v>6.2005619999999997</v>
      </c>
      <c r="E6441">
        <v>0.48113329999999999</v>
      </c>
      <c r="F6441" t="s">
        <v>42</v>
      </c>
      <c r="G6441">
        <v>-210.4829</v>
      </c>
      <c r="H6441">
        <v>1.062392</v>
      </c>
      <c r="I6441">
        <v>-61.933779999999999</v>
      </c>
      <c r="J6441">
        <v>-211.12799999999999</v>
      </c>
      <c r="K6441">
        <v>1.115861</v>
      </c>
      <c r="L6441">
        <v>-62.431460000000001</v>
      </c>
      <c r="M6441">
        <v>0.99314650000000004</v>
      </c>
      <c r="N6441">
        <v>0</v>
      </c>
      <c r="O6441">
        <v>0.1159448</v>
      </c>
      <c r="P6441">
        <v>0.85405949999999997</v>
      </c>
      <c r="Q6441">
        <v>0.14498649999999999</v>
      </c>
      <c r="R6441">
        <v>0.49956119999999998</v>
      </c>
      <c r="S6441">
        <v>2.569366</v>
      </c>
      <c r="T6441">
        <v>-0.17156399999999999</v>
      </c>
      <c r="U6441">
        <v>1.664307</v>
      </c>
      <c r="V6441">
        <v>-0.39925569999999999</v>
      </c>
      <c r="W6441">
        <v>0.1529459</v>
      </c>
      <c r="X6441">
        <v>0.90399249999999998</v>
      </c>
      <c r="Y6441">
        <v>-0.44216569999999999</v>
      </c>
      <c r="Z6441">
        <v>6.4721750000000002E-3</v>
      </c>
      <c r="AA6441">
        <v>0.89690999999999999</v>
      </c>
      <c r="AB6441">
        <v>33</v>
      </c>
      <c r="AC6441">
        <v>0.64509999999998502</v>
      </c>
      <c r="AD6441">
        <v>-5.3468999999999899E-2</v>
      </c>
      <c r="AE6441">
        <v>0.49767999999998802</v>
      </c>
      <c r="AF6441">
        <v>-0.41771966610725197</v>
      </c>
      <c r="AG6441">
        <v>-5.3468999999999899E-2</v>
      </c>
      <c r="AH6441">
        <v>0.69546281818079203</v>
      </c>
      <c r="AI6441">
        <v>93.770785900079204</v>
      </c>
      <c r="AJ6441">
        <v>120.990522683386</v>
      </c>
      <c r="AK6441">
        <v>0.81302963346099699</v>
      </c>
      <c r="AL6441">
        <v>81.202315440211606</v>
      </c>
      <c r="AM6441">
        <v>113.82904353601199</v>
      </c>
      <c r="AN6441">
        <v>1.0000000011827701</v>
      </c>
    </row>
    <row r="6442" spans="1:40" x14ac:dyDescent="0.25">
      <c r="A6442" t="str">
        <f>"20190312164151190"</f>
        <v>20190312164151190</v>
      </c>
      <c r="B6442" t="str">
        <f>"1552380111182855"</f>
        <v>1552380111182855</v>
      </c>
      <c r="C6442" t="s">
        <v>40</v>
      </c>
      <c r="D6442">
        <v>5.6712600000000002</v>
      </c>
      <c r="E6442">
        <v>0.48173850000000001</v>
      </c>
      <c r="F6442" t="s">
        <v>42</v>
      </c>
      <c r="G6442">
        <v>-210.2158</v>
      </c>
      <c r="H6442">
        <v>1.0547120000000001</v>
      </c>
      <c r="I6442">
        <v>-61.837020000000003</v>
      </c>
      <c r="J6442">
        <v>-210.9742</v>
      </c>
      <c r="K6442">
        <v>1.115931</v>
      </c>
      <c r="L6442">
        <v>-62.410609999999998</v>
      </c>
      <c r="M6442">
        <v>0.99278080000000002</v>
      </c>
      <c r="N6442">
        <v>0</v>
      </c>
      <c r="O6442">
        <v>0.11903420000000001</v>
      </c>
      <c r="P6442">
        <v>0.85180180000000005</v>
      </c>
      <c r="Q6442">
        <v>0.14418059999999999</v>
      </c>
      <c r="R6442">
        <v>0.50363249999999904</v>
      </c>
      <c r="S6442">
        <v>2.5643310000000001</v>
      </c>
      <c r="T6442">
        <v>-0.17190529999999901</v>
      </c>
      <c r="U6442">
        <v>1.671143</v>
      </c>
      <c r="V6442">
        <v>-0.40076020000000001</v>
      </c>
      <c r="W6442">
        <v>0.152054299999999</v>
      </c>
      <c r="X6442">
        <v>0.90347699999999997</v>
      </c>
      <c r="Y6442">
        <v>-0.44186189999999997</v>
      </c>
      <c r="Z6442">
        <v>6.2979330000000004E-3</v>
      </c>
      <c r="AA6442">
        <v>0.897061</v>
      </c>
      <c r="AB6442">
        <v>33</v>
      </c>
      <c r="AC6442">
        <v>0.75839999999999397</v>
      </c>
      <c r="AD6442">
        <v>-6.1218999999999898E-2</v>
      </c>
      <c r="AE6442">
        <v>0.57359000000000204</v>
      </c>
      <c r="AF6442">
        <v>-0.47724746706047999</v>
      </c>
      <c r="AG6442">
        <v>-6.1218999999999898E-2</v>
      </c>
      <c r="AH6442">
        <v>0.81790079964501605</v>
      </c>
      <c r="AI6442">
        <v>93.698919150498398</v>
      </c>
      <c r="AJ6442">
        <v>120.263684344277</v>
      </c>
      <c r="AK6442">
        <v>0.94893341644005902</v>
      </c>
      <c r="AL6442">
        <v>81.254004662139394</v>
      </c>
      <c r="AM6442">
        <v>113.920897698338</v>
      </c>
      <c r="AN6442">
        <v>0.99999996879076403</v>
      </c>
    </row>
    <row r="6443" spans="1:40" x14ac:dyDescent="0.25">
      <c r="A6443" t="str">
        <f>"20190312164151207"</f>
        <v>20190312164151207</v>
      </c>
      <c r="B6443" t="str">
        <f>"1552380111202374"</f>
        <v>1552380111202374</v>
      </c>
      <c r="C6443" t="s">
        <v>40</v>
      </c>
      <c r="D6443">
        <v>5.594627</v>
      </c>
      <c r="E6443">
        <v>0.4826047</v>
      </c>
      <c r="F6443" t="s">
        <v>42</v>
      </c>
      <c r="G6443">
        <v>-210.16579999999999</v>
      </c>
      <c r="H6443">
        <v>1.061007</v>
      </c>
      <c r="I6443">
        <v>-61.880110000000002</v>
      </c>
      <c r="J6443">
        <v>-210.74719999999999</v>
      </c>
      <c r="K6443">
        <v>1.116036</v>
      </c>
      <c r="L6443">
        <v>-62.37894</v>
      </c>
      <c r="M6443">
        <v>0.99221329999999996</v>
      </c>
      <c r="N6443">
        <v>0</v>
      </c>
      <c r="O6443">
        <v>0.12367300000000001</v>
      </c>
      <c r="P6443">
        <v>0.84872039999999904</v>
      </c>
      <c r="Q6443">
        <v>0.14339560000000001</v>
      </c>
      <c r="R6443">
        <v>0.50902990000000004</v>
      </c>
      <c r="S6443">
        <v>2.5586090000000001</v>
      </c>
      <c r="T6443">
        <v>-0.17383189999999901</v>
      </c>
      <c r="U6443">
        <v>1.679047</v>
      </c>
      <c r="V6443">
        <v>-0.4022886</v>
      </c>
      <c r="W6443">
        <v>0.1511507</v>
      </c>
      <c r="X6443">
        <v>0.90294929999999995</v>
      </c>
      <c r="Y6443">
        <v>-0.44052419999999998</v>
      </c>
      <c r="Z6443">
        <v>6.0542800000000004E-3</v>
      </c>
      <c r="AA6443">
        <v>0.89772030000000003</v>
      </c>
      <c r="AB6443">
        <v>33</v>
      </c>
      <c r="AC6443">
        <v>0.58140000000000203</v>
      </c>
      <c r="AD6443">
        <v>-5.5029000000000002E-2</v>
      </c>
      <c r="AE6443">
        <v>0.49883000000000499</v>
      </c>
      <c r="AF6443">
        <v>-0.42091641211477498</v>
      </c>
      <c r="AG6443">
        <v>-5.5029000000000002E-2</v>
      </c>
      <c r="AH6443">
        <v>0.63535570926032403</v>
      </c>
      <c r="AI6443">
        <v>94.129810957568907</v>
      </c>
      <c r="AJ6443">
        <v>123.524050507285</v>
      </c>
      <c r="AK6443">
        <v>0.76411759181310901</v>
      </c>
      <c r="AL6443">
        <v>81.306383208001094</v>
      </c>
      <c r="AM6443">
        <v>114.01427921872499</v>
      </c>
      <c r="AN6443">
        <v>1.00000004508546</v>
      </c>
    </row>
    <row r="6444" spans="1:40" x14ac:dyDescent="0.25">
      <c r="A6444" t="str">
        <f>"20190312164151218"</f>
        <v>20190312164151218</v>
      </c>
      <c r="B6444" t="str">
        <f>"1552380111212136"</f>
        <v>1552380111212136</v>
      </c>
      <c r="C6444" t="s">
        <v>40</v>
      </c>
      <c r="D6444">
        <v>5.7218410000000004</v>
      </c>
      <c r="E6444">
        <v>0.48306579999999899</v>
      </c>
      <c r="F6444" t="s">
        <v>42</v>
      </c>
      <c r="G6444">
        <v>-209.91650000000001</v>
      </c>
      <c r="H6444">
        <v>1.059042</v>
      </c>
      <c r="I6444">
        <v>-61.828980000000001</v>
      </c>
      <c r="J6444">
        <v>-210.5754</v>
      </c>
      <c r="K6444">
        <v>1.116117</v>
      </c>
      <c r="L6444">
        <v>-62.354430000000001</v>
      </c>
      <c r="M6444">
        <v>0.99176310000000001</v>
      </c>
      <c r="N6444">
        <v>0</v>
      </c>
      <c r="O6444">
        <v>0.12723209999999999</v>
      </c>
      <c r="P6444">
        <v>0.84628029999999999</v>
      </c>
      <c r="Q6444">
        <v>0.1424908</v>
      </c>
      <c r="R6444">
        <v>0.51332860000000002</v>
      </c>
      <c r="S6444">
        <v>2.5512079999999999</v>
      </c>
      <c r="T6444">
        <v>-0.1750331</v>
      </c>
      <c r="U6444">
        <v>1.6891480000000001</v>
      </c>
      <c r="V6444">
        <v>-0.40363090000000001</v>
      </c>
      <c r="W6444">
        <v>0.15014949999999999</v>
      </c>
      <c r="X6444">
        <v>0.90251709999999996</v>
      </c>
      <c r="Y6444">
        <v>-0.44097039999999998</v>
      </c>
      <c r="Z6444">
        <v>5.9026779999999997E-3</v>
      </c>
      <c r="AA6444">
        <v>0.89750219999999903</v>
      </c>
      <c r="AB6444">
        <v>33</v>
      </c>
      <c r="AC6444">
        <v>0.65889999999998805</v>
      </c>
      <c r="AD6444">
        <v>-5.7074999999999897E-2</v>
      </c>
      <c r="AE6444">
        <v>0.52545000000000597</v>
      </c>
      <c r="AF6444">
        <v>-0.435339660347343</v>
      </c>
      <c r="AG6444">
        <v>-5.7074999999999897E-2</v>
      </c>
      <c r="AH6444">
        <v>0.71711626064783796</v>
      </c>
      <c r="AI6444">
        <v>93.892086538993595</v>
      </c>
      <c r="AJ6444">
        <v>121.260675211172</v>
      </c>
      <c r="AK6444">
        <v>0.84085308275695703</v>
      </c>
      <c r="AL6444">
        <v>81.364409129556606</v>
      </c>
      <c r="AM6444">
        <v>114.09552938160201</v>
      </c>
      <c r="AN6444">
        <v>0.99999994578873297</v>
      </c>
    </row>
    <row r="6445" spans="1:40" x14ac:dyDescent="0.25">
      <c r="A6445" t="str">
        <f>"20190312164151230"</f>
        <v>20190312164151230</v>
      </c>
      <c r="B6445" t="str">
        <f>"1552380111222871"</f>
        <v>1552380111222871</v>
      </c>
      <c r="C6445" t="s">
        <v>40</v>
      </c>
      <c r="D6445">
        <v>5.7183330000000003</v>
      </c>
      <c r="E6445">
        <v>0.48343520000000001</v>
      </c>
      <c r="F6445" t="s">
        <v>42</v>
      </c>
      <c r="G6445">
        <v>-209.64760000000001</v>
      </c>
      <c r="H6445">
        <v>1.0513520000000001</v>
      </c>
      <c r="I6445">
        <v>-61.734990000000003</v>
      </c>
      <c r="J6445">
        <v>-210.4014</v>
      </c>
      <c r="K6445">
        <v>1.116206</v>
      </c>
      <c r="L6445">
        <v>-62.328490000000002</v>
      </c>
      <c r="M6445">
        <v>0.99127920000000003</v>
      </c>
      <c r="N6445">
        <v>0</v>
      </c>
      <c r="O6445">
        <v>0.1309467</v>
      </c>
      <c r="P6445">
        <v>0.84377809999999898</v>
      </c>
      <c r="Q6445">
        <v>0.1416579</v>
      </c>
      <c r="R6445">
        <v>0.5176596</v>
      </c>
      <c r="S6445">
        <v>2.5443880000000001</v>
      </c>
      <c r="T6445">
        <v>-0.17761099999999999</v>
      </c>
      <c r="U6445">
        <v>1.6987920000000001</v>
      </c>
      <c r="V6445">
        <v>-0.4048814</v>
      </c>
      <c r="W6445">
        <v>0.1492155</v>
      </c>
      <c r="X6445">
        <v>0.90211180000000002</v>
      </c>
      <c r="Y6445">
        <v>-0.44106269999999997</v>
      </c>
      <c r="Z6445">
        <v>5.7712229999999998E-3</v>
      </c>
      <c r="AA6445">
        <v>0.89745779999999997</v>
      </c>
      <c r="AB6445">
        <v>33</v>
      </c>
      <c r="AC6445">
        <v>0.75379999999998404</v>
      </c>
      <c r="AD6445">
        <v>-6.4853999999999898E-2</v>
      </c>
      <c r="AE6445">
        <v>0.59349999999999803</v>
      </c>
      <c r="AF6445">
        <v>-0.48744270730815198</v>
      </c>
      <c r="AG6445">
        <v>-6.4853999999999898E-2</v>
      </c>
      <c r="AH6445">
        <v>0.82128041732097201</v>
      </c>
      <c r="AI6445">
        <v>93.884825190361795</v>
      </c>
      <c r="AJ6445">
        <v>120.68979029072599</v>
      </c>
      <c r="AK6445">
        <v>0.95723975998639499</v>
      </c>
      <c r="AL6445">
        <v>81.418533241206802</v>
      </c>
      <c r="AM6445">
        <v>114.17126322287299</v>
      </c>
      <c r="AN6445">
        <v>0.999999956602724</v>
      </c>
    </row>
    <row r="6446" spans="1:40" x14ac:dyDescent="0.25">
      <c r="A6446" t="str">
        <f>"20190312164151243"</f>
        <v>20190312164151243</v>
      </c>
      <c r="B6446" t="str">
        <f>"1552380111232631"</f>
        <v>1552380111232631</v>
      </c>
      <c r="C6446" t="s">
        <v>40</v>
      </c>
      <c r="D6446">
        <v>5.6645450000000004</v>
      </c>
      <c r="E6446">
        <v>0.48375560000000001</v>
      </c>
      <c r="F6446" t="s">
        <v>42</v>
      </c>
      <c r="G6446">
        <v>-209.60249999999999</v>
      </c>
      <c r="H6446">
        <v>1.059539</v>
      </c>
      <c r="I6446">
        <v>-61.790289999999999</v>
      </c>
      <c r="J6446">
        <v>-210.23070000000001</v>
      </c>
      <c r="K6446">
        <v>1.116295</v>
      </c>
      <c r="L6446">
        <v>-62.302579999999999</v>
      </c>
      <c r="M6446">
        <v>0.99078540000000004</v>
      </c>
      <c r="N6446">
        <v>0</v>
      </c>
      <c r="O6446">
        <v>0.1346311</v>
      </c>
      <c r="P6446">
        <v>0.84120430000000002</v>
      </c>
      <c r="Q6446">
        <v>0.14087669999999999</v>
      </c>
      <c r="R6446">
        <v>0.52204329999999999</v>
      </c>
      <c r="S6446">
        <v>2.537048</v>
      </c>
      <c r="T6446">
        <v>-0.1799529</v>
      </c>
      <c r="U6446">
        <v>1.709198</v>
      </c>
      <c r="V6446">
        <v>-0.4062288</v>
      </c>
      <c r="W6446">
        <v>0.14832999999999999</v>
      </c>
      <c r="X6446">
        <v>0.90165200000000001</v>
      </c>
      <c r="Y6446">
        <v>-0.44145289999999998</v>
      </c>
      <c r="Z6446">
        <v>5.6377729999999996E-3</v>
      </c>
      <c r="AA6446">
        <v>0.89726669999999997</v>
      </c>
      <c r="AB6446">
        <v>33</v>
      </c>
      <c r="AC6446">
        <v>0.62820000000002096</v>
      </c>
      <c r="AD6446">
        <v>-5.6756000000000001E-2</v>
      </c>
      <c r="AE6446">
        <v>0.51229000000000702</v>
      </c>
      <c r="AF6446">
        <v>-0.42097667840282599</v>
      </c>
      <c r="AG6446">
        <v>-5.6756000000000001E-2</v>
      </c>
      <c r="AH6446">
        <v>0.68808393445277305</v>
      </c>
      <c r="AI6446">
        <v>94.0247161715875</v>
      </c>
      <c r="AJ6446">
        <v>121.458714546888</v>
      </c>
      <c r="AK6446">
        <v>0.80864213849334199</v>
      </c>
      <c r="AL6446">
        <v>81.469839809340399</v>
      </c>
      <c r="AM6446">
        <v>114.25339079936499</v>
      </c>
      <c r="AN6446">
        <v>0.99999997797671902</v>
      </c>
    </row>
    <row r="6447" spans="1:40" x14ac:dyDescent="0.25">
      <c r="A6447" t="str">
        <f>"20190312164151254"</f>
        <v>20190312164151254</v>
      </c>
      <c r="B6447" t="str">
        <f>"1552380111242391"</f>
        <v>1552380111242391</v>
      </c>
      <c r="C6447" t="s">
        <v>40</v>
      </c>
      <c r="D6447">
        <v>5.6577520000000003</v>
      </c>
      <c r="E6447">
        <v>0.48371389999999997</v>
      </c>
      <c r="F6447" t="s">
        <v>42</v>
      </c>
      <c r="G6447">
        <v>-209.3553</v>
      </c>
      <c r="H6447">
        <v>1.0534349999999999</v>
      </c>
      <c r="I6447">
        <v>-61.7072</v>
      </c>
      <c r="J6447">
        <v>-210.0591</v>
      </c>
      <c r="K6447">
        <v>1.1163879999999999</v>
      </c>
      <c r="L6447">
        <v>-62.275820000000003</v>
      </c>
      <c r="M6447">
        <v>0.9902649</v>
      </c>
      <c r="N6447">
        <v>0</v>
      </c>
      <c r="O6447">
        <v>0.13840559999999999</v>
      </c>
      <c r="P6447">
        <v>0.83850249999999904</v>
      </c>
      <c r="Q6447">
        <v>0.14022109999999999</v>
      </c>
      <c r="R6447">
        <v>0.52654679999999998</v>
      </c>
      <c r="S6447">
        <v>2.5290370000000002</v>
      </c>
      <c r="T6447">
        <v>-0.18161830000000001</v>
      </c>
      <c r="U6447">
        <v>1.7204279999999901</v>
      </c>
      <c r="V6447">
        <v>-0.4076398</v>
      </c>
      <c r="W6447">
        <v>0.1475651</v>
      </c>
      <c r="X6447">
        <v>0.90114059999999996</v>
      </c>
      <c r="Y6447">
        <v>-0.44207469999999999</v>
      </c>
      <c r="Z6447">
        <v>5.4808050000000001E-3</v>
      </c>
      <c r="AA6447">
        <v>0.89696149999999997</v>
      </c>
      <c r="AB6447">
        <v>33</v>
      </c>
      <c r="AC6447">
        <v>0.70380000000000098</v>
      </c>
      <c r="AD6447">
        <v>-6.2952999999999801E-2</v>
      </c>
      <c r="AE6447">
        <v>0.56861999999999502</v>
      </c>
      <c r="AF6447">
        <v>-0.46348196226035399</v>
      </c>
      <c r="AG6447">
        <v>-6.2952999999999801E-2</v>
      </c>
      <c r="AH6447">
        <v>0.77199652862605805</v>
      </c>
      <c r="AI6447">
        <v>93.999241711170498</v>
      </c>
      <c r="AJ6447">
        <v>120.97925487097601</v>
      </c>
      <c r="AK6447">
        <v>0.90263904732755296</v>
      </c>
      <c r="AL6447">
        <v>81.514153396733903</v>
      </c>
      <c r="AM6447">
        <v>114.34008484593799</v>
      </c>
      <c r="AN6447">
        <v>1.0000000231252</v>
      </c>
    </row>
    <row r="6448" spans="1:40" x14ac:dyDescent="0.25">
      <c r="A6448" t="str">
        <f>"20190312164151271"</f>
        <v>20190312164151271</v>
      </c>
      <c r="B6448" t="str">
        <f>"1552380111262887"</f>
        <v>1552380111262887</v>
      </c>
      <c r="C6448" t="s">
        <v>40</v>
      </c>
      <c r="D6448">
        <v>5.7311779999999999</v>
      </c>
      <c r="E6448">
        <v>0.48448580000000002</v>
      </c>
      <c r="F6448" t="s">
        <v>51</v>
      </c>
      <c r="G6448">
        <v>-195.0763</v>
      </c>
      <c r="H6448" s="1">
        <v>-9.7351689999999998E-6</v>
      </c>
      <c r="I6448">
        <v>-51.962809999999998</v>
      </c>
      <c r="J6448">
        <v>-209.82470000000001</v>
      </c>
      <c r="K6448">
        <v>1.1165179999999999</v>
      </c>
      <c r="L6448">
        <v>-62.237920000000003</v>
      </c>
      <c r="M6448">
        <v>0.98951250000000002</v>
      </c>
      <c r="N6448">
        <v>0</v>
      </c>
      <c r="O6448">
        <v>0.14368539999999999</v>
      </c>
      <c r="P6448">
        <v>0.8344279</v>
      </c>
      <c r="Q6448">
        <v>0.13917599999999999</v>
      </c>
      <c r="R6448">
        <v>0.53325459999999902</v>
      </c>
      <c r="S6448">
        <v>2.5199739999999999</v>
      </c>
      <c r="T6448">
        <v>-0.1877685</v>
      </c>
      <c r="U6448">
        <v>1.734558</v>
      </c>
      <c r="V6448">
        <v>-0.41007149999999998</v>
      </c>
      <c r="W6448">
        <v>0.14635379999999901</v>
      </c>
      <c r="X6448">
        <v>0.90023439999999999</v>
      </c>
      <c r="Y6448">
        <v>-0.44218469999999999</v>
      </c>
      <c r="Z6448">
        <v>5.3345019999999996E-3</v>
      </c>
      <c r="AA6448">
        <v>0.89690820000000004</v>
      </c>
      <c r="AB6448">
        <v>33</v>
      </c>
      <c r="AC6448">
        <v>14.7484</v>
      </c>
      <c r="AD6448">
        <v>-1.1165277351689999</v>
      </c>
      <c r="AE6448">
        <v>10.2751099999999</v>
      </c>
      <c r="AF6448">
        <v>-8.0181659661115905</v>
      </c>
      <c r="AG6448">
        <v>-1.1165277351689999</v>
      </c>
      <c r="AH6448">
        <v>16.010099641684501</v>
      </c>
      <c r="AI6448">
        <v>93.568114494390102</v>
      </c>
      <c r="AJ6448">
        <v>116.60259015526501</v>
      </c>
      <c r="AK6448">
        <v>17.940482440006399</v>
      </c>
      <c r="AL6448">
        <v>81.584317577850896</v>
      </c>
      <c r="AM6448">
        <v>114.490041378548</v>
      </c>
      <c r="AN6448">
        <v>1.0000000224150201</v>
      </c>
    </row>
    <row r="6449" spans="1:40" x14ac:dyDescent="0.25">
      <c r="A6449" t="str">
        <f>"20190312164151285"</f>
        <v>20190312164151285</v>
      </c>
      <c r="B6449" t="str">
        <f>"1552380111272647"</f>
        <v>1552380111272647</v>
      </c>
      <c r="C6449" t="s">
        <v>40</v>
      </c>
      <c r="D6449">
        <v>5.7871540000000001</v>
      </c>
      <c r="E6449">
        <v>0.4848285</v>
      </c>
      <c r="F6449" t="s">
        <v>42</v>
      </c>
      <c r="G6449">
        <v>-209.0428</v>
      </c>
      <c r="H6449">
        <v>1.0571120000000001</v>
      </c>
      <c r="I6449">
        <v>-61.692709999999998</v>
      </c>
      <c r="J6449">
        <v>-209.62190000000001</v>
      </c>
      <c r="K6449">
        <v>1.1166400000000001</v>
      </c>
      <c r="L6449">
        <v>-62.204099999999997</v>
      </c>
      <c r="M6449">
        <v>0.98882250000000005</v>
      </c>
      <c r="N6449">
        <v>0</v>
      </c>
      <c r="O6449">
        <v>0.148357399999999</v>
      </c>
      <c r="P6449">
        <v>0.8310575</v>
      </c>
      <c r="Q6449">
        <v>0.13877</v>
      </c>
      <c r="R6449">
        <v>0.53859669999999904</v>
      </c>
      <c r="S6449">
        <v>2.5089869999999999</v>
      </c>
      <c r="T6449">
        <v>-0.19061410000000001</v>
      </c>
      <c r="U6449">
        <v>1.7495419999999999</v>
      </c>
      <c r="V6449">
        <v>-0.41162490000000002</v>
      </c>
      <c r="W6449">
        <v>0.14580899999999999</v>
      </c>
      <c r="X6449">
        <v>0.89961360000000001</v>
      </c>
      <c r="Y6449">
        <v>-0.44338349999999999</v>
      </c>
      <c r="Z6449">
        <v>5.158541E-3</v>
      </c>
      <c r="AA6449">
        <v>0.89631709999999998</v>
      </c>
      <c r="AB6449">
        <v>33</v>
      </c>
      <c r="AC6449">
        <v>0.57910000000001005</v>
      </c>
      <c r="AD6449">
        <v>-5.9527999999999803E-2</v>
      </c>
      <c r="AE6449">
        <v>0.51138999999999801</v>
      </c>
      <c r="AF6449">
        <v>-0.41732875011512799</v>
      </c>
      <c r="AG6449">
        <v>-5.9527999999999803E-2</v>
      </c>
      <c r="AH6449">
        <v>0.64473925612866301</v>
      </c>
      <c r="AI6449">
        <v>94.4320532275445</v>
      </c>
      <c r="AJ6449">
        <v>122.914295094333</v>
      </c>
      <c r="AK6449">
        <v>0.77032173593245901</v>
      </c>
      <c r="AL6449">
        <v>81.615870411553601</v>
      </c>
      <c r="AM6449">
        <v>114.58681630976101</v>
      </c>
      <c r="AN6449">
        <v>0.99999997604298396</v>
      </c>
    </row>
    <row r="6450" spans="1:40" x14ac:dyDescent="0.25">
      <c r="A6450" t="str">
        <f>"20190312164151299"</f>
        <v>20190312164151299</v>
      </c>
      <c r="B6450" t="str">
        <f>"1552380111292167"</f>
        <v>1552380111292167</v>
      </c>
      <c r="C6450" t="s">
        <v>40</v>
      </c>
      <c r="D6450">
        <v>5.6429239999999998</v>
      </c>
      <c r="E6450">
        <v>0.48532029999999898</v>
      </c>
      <c r="F6450" t="s">
        <v>42</v>
      </c>
      <c r="G6450">
        <v>-208.78479999999999</v>
      </c>
      <c r="H6450">
        <v>1.0526879999999901</v>
      </c>
      <c r="I6450">
        <v>-61.613329999999998</v>
      </c>
      <c r="J6450">
        <v>-209.41970000000001</v>
      </c>
      <c r="K6450">
        <v>1.1167640000000001</v>
      </c>
      <c r="L6450">
        <v>-62.169429999999998</v>
      </c>
      <c r="M6450">
        <v>0.98809829999999998</v>
      </c>
      <c r="N6450">
        <v>0</v>
      </c>
      <c r="O6450">
        <v>0.15310470000000001</v>
      </c>
      <c r="P6450">
        <v>0.82781319999999903</v>
      </c>
      <c r="Q6450">
        <v>0.1384706</v>
      </c>
      <c r="R6450">
        <v>0.54364630000000003</v>
      </c>
      <c r="S6450">
        <v>2.4988250000000001</v>
      </c>
      <c r="T6450">
        <v>-0.19089880000000001</v>
      </c>
      <c r="U6450">
        <v>1.76355</v>
      </c>
      <c r="V6450">
        <v>-0.4128154</v>
      </c>
      <c r="W6450">
        <v>0.145375</v>
      </c>
      <c r="X6450">
        <v>0.8991382</v>
      </c>
      <c r="Y6450">
        <v>-0.44415519999999997</v>
      </c>
      <c r="Z6450">
        <v>4.8880269999999996E-3</v>
      </c>
      <c r="AA6450">
        <v>0.89593650000000002</v>
      </c>
      <c r="AB6450">
        <v>33</v>
      </c>
      <c r="AC6450">
        <v>0.63490000000001601</v>
      </c>
      <c r="AD6450">
        <v>-6.4075999999999994E-2</v>
      </c>
      <c r="AE6450">
        <v>0.55610000000000004</v>
      </c>
      <c r="AF6450">
        <v>-0.449733087475577</v>
      </c>
      <c r="AG6450">
        <v>-6.4075999999999994E-2</v>
      </c>
      <c r="AH6450">
        <v>0.70848031255941402</v>
      </c>
      <c r="AI6450">
        <v>94.366433181256298</v>
      </c>
      <c r="AJ6450">
        <v>122.406791468173</v>
      </c>
      <c r="AK6450">
        <v>0.84161151194039696</v>
      </c>
      <c r="AL6450">
        <v>81.641004574452495</v>
      </c>
      <c r="AM6450">
        <v>114.660963247919</v>
      </c>
      <c r="AN6450">
        <v>0.99999997390069895</v>
      </c>
    </row>
    <row r="6451" spans="1:40" x14ac:dyDescent="0.25">
      <c r="A6451" t="str">
        <f>"20190312164151313"</f>
        <v>20190312164151313</v>
      </c>
      <c r="B6451" t="str">
        <f>"1552380111302903"</f>
        <v>1552380111302903</v>
      </c>
      <c r="C6451" t="s">
        <v>40</v>
      </c>
      <c r="D6451">
        <v>5.7021870000000003</v>
      </c>
      <c r="E6451">
        <v>0.48532029999999898</v>
      </c>
      <c r="F6451" t="s">
        <v>42</v>
      </c>
      <c r="G6451">
        <v>-208.51580000000001</v>
      </c>
      <c r="H6451">
        <v>1.047102</v>
      </c>
      <c r="I6451">
        <v>-61.52496</v>
      </c>
      <c r="J6451">
        <v>-209.20670000000001</v>
      </c>
      <c r="K6451">
        <v>1.1169</v>
      </c>
      <c r="L6451">
        <v>-62.131410000000002</v>
      </c>
      <c r="M6451">
        <v>0.98728640000000001</v>
      </c>
      <c r="N6451">
        <v>0</v>
      </c>
      <c r="O6451">
        <v>0.158253799999999</v>
      </c>
      <c r="P6451">
        <v>0.82344989999999996</v>
      </c>
      <c r="Q6451">
        <v>0.13860059999999999</v>
      </c>
      <c r="R6451">
        <v>0.55020009999999997</v>
      </c>
      <c r="S6451">
        <v>2.4900669999999998</v>
      </c>
      <c r="T6451">
        <v>-0.1919121</v>
      </c>
      <c r="U6451">
        <v>1.775574</v>
      </c>
      <c r="V6451">
        <v>-0.41532219999999997</v>
      </c>
      <c r="W6451">
        <v>0.14532929999999999</v>
      </c>
      <c r="X6451">
        <v>0.89799050000000002</v>
      </c>
      <c r="Y6451">
        <v>-0.44384689999999999</v>
      </c>
      <c r="Z6451">
        <v>4.5681819999999996E-3</v>
      </c>
      <c r="AA6451">
        <v>0.89609099999999997</v>
      </c>
      <c r="AB6451">
        <v>33</v>
      </c>
      <c r="AC6451">
        <v>0.69089999999999896</v>
      </c>
      <c r="AD6451">
        <v>-6.9797999999999999E-2</v>
      </c>
      <c r="AE6451">
        <v>0.60644999999999505</v>
      </c>
      <c r="AF6451">
        <v>-0.48665112392035198</v>
      </c>
      <c r="AG6451">
        <v>-6.9797999999999999E-2</v>
      </c>
      <c r="AH6451">
        <v>0.77371518148794505</v>
      </c>
      <c r="AI6451">
        <v>94.366762615645399</v>
      </c>
      <c r="AJ6451">
        <v>122.16905845553801</v>
      </c>
      <c r="AK6451">
        <v>0.91669856511389103</v>
      </c>
      <c r="AL6451">
        <v>81.643651626046307</v>
      </c>
      <c r="AM6451">
        <v>114.820625104935</v>
      </c>
      <c r="AN6451">
        <v>1.00000003667078</v>
      </c>
    </row>
    <row r="6452" spans="1:40" x14ac:dyDescent="0.25">
      <c r="A6452" t="str">
        <f>"20190312164151325"</f>
        <v>20190312164151325</v>
      </c>
      <c r="B6452" t="str">
        <f>"1552380111312663"</f>
        <v>1552380111312663</v>
      </c>
      <c r="C6452" t="s">
        <v>40</v>
      </c>
      <c r="D6452">
        <v>5.6506489999999996</v>
      </c>
      <c r="E6452">
        <v>0.48961359999999898</v>
      </c>
      <c r="F6452" t="s">
        <v>42</v>
      </c>
      <c r="G6452">
        <v>-208.42060000000001</v>
      </c>
      <c r="H6452">
        <v>1.0561210000000001</v>
      </c>
      <c r="I6452">
        <v>-61.561259999999997</v>
      </c>
      <c r="J6452">
        <v>-209.0531</v>
      </c>
      <c r="K6452">
        <v>1.1169960000000001</v>
      </c>
      <c r="L6452">
        <v>-62.103270000000002</v>
      </c>
      <c r="M6452">
        <v>0.98667320000000003</v>
      </c>
      <c r="N6452">
        <v>0</v>
      </c>
      <c r="O6452">
        <v>0.16203210000000001</v>
      </c>
      <c r="P6452">
        <v>0.82054389999999999</v>
      </c>
      <c r="Q6452">
        <v>0.13858319999999999</v>
      </c>
      <c r="R6452">
        <v>0.55452900000000005</v>
      </c>
      <c r="S6452">
        <v>2.4755859999999998</v>
      </c>
      <c r="T6452">
        <v>-0.19141230000000001</v>
      </c>
      <c r="U6452">
        <v>1.7957459999999901</v>
      </c>
      <c r="V6452">
        <v>-0.41665010000000002</v>
      </c>
      <c r="W6452">
        <v>0.1451962</v>
      </c>
      <c r="X6452">
        <v>0.89739659999999999</v>
      </c>
      <c r="Y6452">
        <v>-0.44769019999999998</v>
      </c>
      <c r="Z6452">
        <v>4.4508059999999999E-3</v>
      </c>
      <c r="AA6452">
        <v>0.89417760000000002</v>
      </c>
      <c r="AB6452">
        <v>33</v>
      </c>
      <c r="AC6452">
        <v>0.63249999999999296</v>
      </c>
      <c r="AD6452">
        <v>-6.0874999999999999E-2</v>
      </c>
      <c r="AE6452">
        <v>0.54200999999999699</v>
      </c>
      <c r="AF6452">
        <v>-0.43005242521652798</v>
      </c>
      <c r="AG6452">
        <v>-6.0874999999999999E-2</v>
      </c>
      <c r="AH6452">
        <v>0.70819024850230305</v>
      </c>
      <c r="AI6452">
        <v>94.202120289206206</v>
      </c>
      <c r="AJ6452">
        <v>121.268447224772</v>
      </c>
      <c r="AK6452">
        <v>0.83077330369564195</v>
      </c>
      <c r="AL6452">
        <v>81.651358721351599</v>
      </c>
      <c r="AM6452">
        <v>114.904856974045</v>
      </c>
      <c r="AN6452">
        <v>0.99999995000800301</v>
      </c>
    </row>
    <row r="6453" spans="1:40" x14ac:dyDescent="0.25">
      <c r="A6453" t="str">
        <f>"20190312164151336"</f>
        <v>20190312164151336</v>
      </c>
      <c r="B6453" t="str">
        <f>"1552380111322423"</f>
        <v>1552380111322423</v>
      </c>
      <c r="C6453" t="s">
        <v>40</v>
      </c>
      <c r="D6453">
        <v>5.721991</v>
      </c>
      <c r="E6453">
        <v>0.4881279</v>
      </c>
      <c r="F6453" t="s">
        <v>42</v>
      </c>
      <c r="G6453">
        <v>-208.21979999999999</v>
      </c>
      <c r="H6453">
        <v>1.027139</v>
      </c>
      <c r="I6453">
        <v>-61.506529999999998</v>
      </c>
      <c r="J6453">
        <v>-208.8897</v>
      </c>
      <c r="K6453">
        <v>1.1171</v>
      </c>
      <c r="L6453">
        <v>-62.072809999999997</v>
      </c>
      <c r="M6453">
        <v>0.9859964</v>
      </c>
      <c r="N6453">
        <v>0</v>
      </c>
      <c r="O6453">
        <v>0.16609959999999999</v>
      </c>
      <c r="P6453">
        <v>0.81737419999999905</v>
      </c>
      <c r="Q6453">
        <v>0.13886809999999999</v>
      </c>
      <c r="R6453">
        <v>0.55912010000000001</v>
      </c>
      <c r="S6453">
        <v>2.4942169999999999</v>
      </c>
      <c r="T6453">
        <v>-0.26896520000000002</v>
      </c>
      <c r="U6453">
        <v>1.7864690000000001</v>
      </c>
      <c r="V6453">
        <v>-0.4180316</v>
      </c>
      <c r="W6453">
        <v>0.14535709999999999</v>
      </c>
      <c r="X6453">
        <v>0.89672790000000002</v>
      </c>
      <c r="Y6453">
        <v>-0.43813239999999998</v>
      </c>
      <c r="Z6453">
        <v>5.3738939999999997E-3</v>
      </c>
      <c r="AA6453">
        <v>0.89889439999999998</v>
      </c>
      <c r="AB6453">
        <v>33</v>
      </c>
      <c r="AC6453">
        <v>0.66990000000001204</v>
      </c>
      <c r="AD6453">
        <v>-8.9960999999999902E-2</v>
      </c>
      <c r="AE6453">
        <v>0.56627999999999101</v>
      </c>
      <c r="AF6453">
        <v>-0.44247558776259899</v>
      </c>
      <c r="AG6453">
        <v>-8.9960999999999902E-2</v>
      </c>
      <c r="AH6453">
        <v>0.74680671625240203</v>
      </c>
      <c r="AI6453">
        <v>95.916790760898095</v>
      </c>
      <c r="AJ6453">
        <v>120.646321695181</v>
      </c>
      <c r="AK6453">
        <v>0.87269576527364601</v>
      </c>
      <c r="AL6453">
        <v>81.642041533175998</v>
      </c>
      <c r="AM6453">
        <v>114.99372871727</v>
      </c>
      <c r="AN6453">
        <v>1.0000000158786899</v>
      </c>
    </row>
    <row r="6454" spans="1:40" x14ac:dyDescent="0.25">
      <c r="A6454" t="str">
        <f>"20190312164151348"</f>
        <v>20190312164151348</v>
      </c>
      <c r="B6454" t="str">
        <f>"1552380111342919"</f>
        <v>1552380111342919</v>
      </c>
      <c r="C6454" t="s">
        <v>40</v>
      </c>
      <c r="D6454">
        <v>5.79535</v>
      </c>
      <c r="E6454">
        <v>0.48757080000000003</v>
      </c>
      <c r="F6454" t="s">
        <v>51</v>
      </c>
      <c r="G6454">
        <v>-198.65289999999999</v>
      </c>
      <c r="H6454" s="1">
        <v>-9.1725209999999998E-6</v>
      </c>
      <c r="I6454">
        <v>-54.593519999999998</v>
      </c>
      <c r="J6454">
        <v>-208.72290000000001</v>
      </c>
      <c r="K6454">
        <v>1.117211</v>
      </c>
      <c r="L6454">
        <v>-62.040619999999997</v>
      </c>
      <c r="M6454">
        <v>0.98526910000000001</v>
      </c>
      <c r="N6454">
        <v>0</v>
      </c>
      <c r="O6454">
        <v>0.1703596</v>
      </c>
      <c r="P6454">
        <v>0.81378099999999998</v>
      </c>
      <c r="Q6454">
        <v>0.13956089999999999</v>
      </c>
      <c r="R6454">
        <v>0.5641661</v>
      </c>
      <c r="S6454">
        <v>2.477859</v>
      </c>
      <c r="T6454">
        <v>-0.2704009</v>
      </c>
      <c r="U6454">
        <v>1.8103940000000001</v>
      </c>
      <c r="V6454">
        <v>-0.4197766</v>
      </c>
      <c r="W6454">
        <v>0.1459114</v>
      </c>
      <c r="X6454">
        <v>0.89582220000000001</v>
      </c>
      <c r="Y6454">
        <v>-0.4427161</v>
      </c>
      <c r="Z6454">
        <v>5.2448010000000003E-3</v>
      </c>
      <c r="AA6454">
        <v>0.89664650000000001</v>
      </c>
      <c r="AB6454">
        <v>33</v>
      </c>
      <c r="AC6454">
        <v>10.07</v>
      </c>
      <c r="AD6454">
        <v>-1.117220172521</v>
      </c>
      <c r="AE6454">
        <v>7.4470999999999901</v>
      </c>
      <c r="AF6454">
        <v>-5.5781161061039803</v>
      </c>
      <c r="AG6454">
        <v>-1.117220172521</v>
      </c>
      <c r="AH6454">
        <v>11.103240063751301</v>
      </c>
      <c r="AI6454">
        <v>95.137777508403602</v>
      </c>
      <c r="AJ6454">
        <v>116.674328373221</v>
      </c>
      <c r="AK6454">
        <v>12.4757965725783</v>
      </c>
      <c r="AL6454">
        <v>81.609939866242996</v>
      </c>
      <c r="AM6454">
        <v>115.107490306977</v>
      </c>
      <c r="AN6454">
        <v>0.99999997228517901</v>
      </c>
    </row>
    <row r="6455" spans="1:40" x14ac:dyDescent="0.25">
      <c r="A6455" t="str">
        <f>"20190312164151360"</f>
        <v>20190312164151360</v>
      </c>
      <c r="B6455" t="str">
        <f>"1552380111352678"</f>
        <v>1552380111352678</v>
      </c>
      <c r="C6455" t="s">
        <v>40</v>
      </c>
      <c r="D6455">
        <v>5.8685999999999998</v>
      </c>
      <c r="E6455">
        <v>0.47507129999999997</v>
      </c>
      <c r="F6455" t="s">
        <v>42</v>
      </c>
      <c r="G6455">
        <v>-207.9359</v>
      </c>
      <c r="H6455">
        <v>1.039285</v>
      </c>
      <c r="I6455">
        <v>-61.456159999999997</v>
      </c>
      <c r="J6455">
        <v>-208.54810000000001</v>
      </c>
      <c r="K6455">
        <v>1.1173299999999999</v>
      </c>
      <c r="L6455">
        <v>-62.006349999999998</v>
      </c>
      <c r="M6455">
        <v>0.98447810000000002</v>
      </c>
      <c r="N6455">
        <v>0</v>
      </c>
      <c r="O6455">
        <v>0.17487069999999999</v>
      </c>
      <c r="P6455">
        <v>0.8101583</v>
      </c>
      <c r="Q6455">
        <v>0.14019570000000001</v>
      </c>
      <c r="R6455">
        <v>0.56920019999999905</v>
      </c>
      <c r="S6455">
        <v>2.4611510000000001</v>
      </c>
      <c r="T6455">
        <v>-0.24369499999999999</v>
      </c>
      <c r="U6455">
        <v>1.82782</v>
      </c>
      <c r="V6455">
        <v>-0.42130030000000002</v>
      </c>
      <c r="W6455">
        <v>0.14640529999999999</v>
      </c>
      <c r="X6455">
        <v>0.89502599999999999</v>
      </c>
      <c r="Y6455">
        <v>-0.44579980000000002</v>
      </c>
      <c r="Z6455">
        <v>4.502252E-3</v>
      </c>
      <c r="AA6455">
        <v>0.89512130000000001</v>
      </c>
      <c r="AB6455">
        <v>33</v>
      </c>
      <c r="AC6455">
        <v>0.61220000000000097</v>
      </c>
      <c r="AD6455">
        <v>-7.8044999999999906E-2</v>
      </c>
      <c r="AE6455">
        <v>0.55018999999999996</v>
      </c>
      <c r="AF6455">
        <v>-0.430769830553344</v>
      </c>
      <c r="AG6455">
        <v>-7.8044999999999906E-2</v>
      </c>
      <c r="AH6455">
        <v>0.69275935295584101</v>
      </c>
      <c r="AI6455">
        <v>95.464884988194896</v>
      </c>
      <c r="AJ6455">
        <v>121.874068490266</v>
      </c>
      <c r="AK6455">
        <v>0.81949325198426903</v>
      </c>
      <c r="AL6455">
        <v>81.581334505473805</v>
      </c>
      <c r="AM6455">
        <v>115.20697195780301</v>
      </c>
      <c r="AN6455">
        <v>0.99999999766208902</v>
      </c>
    </row>
    <row r="6456" spans="1:40" x14ac:dyDescent="0.25">
      <c r="A6456" t="str">
        <f>"20190312164151370"</f>
        <v>20190312164151370</v>
      </c>
      <c r="B6456" t="str">
        <f>"1552380111362439"</f>
        <v>1552380111362439</v>
      </c>
      <c r="C6456" t="s">
        <v>40</v>
      </c>
      <c r="D6456">
        <v>5.7322870000000004</v>
      </c>
      <c r="E6456">
        <v>0.47507129999999997</v>
      </c>
      <c r="F6456" t="s">
        <v>42</v>
      </c>
      <c r="G6456">
        <v>-207.68960000000001</v>
      </c>
      <c r="H6456">
        <v>1.0343789999999999</v>
      </c>
      <c r="I6456">
        <v>-61.315240000000003</v>
      </c>
      <c r="J6456">
        <v>-208.40199999999999</v>
      </c>
      <c r="K6456">
        <v>1.1174309999999901</v>
      </c>
      <c r="L6456">
        <v>-61.976649999999999</v>
      </c>
      <c r="M6456">
        <v>0.9837823</v>
      </c>
      <c r="N6456">
        <v>0</v>
      </c>
      <c r="O6456">
        <v>0.1787427</v>
      </c>
      <c r="P6456">
        <v>0.80685499999999999</v>
      </c>
      <c r="Q6456">
        <v>0.14073939999999999</v>
      </c>
      <c r="R6456">
        <v>0.57373999999999903</v>
      </c>
      <c r="S6456">
        <v>2.3906860000000001</v>
      </c>
      <c r="T6456">
        <v>-0.2309978</v>
      </c>
      <c r="U6456">
        <v>1.9247129999999999</v>
      </c>
      <c r="V6456">
        <v>-0.42286889999999999</v>
      </c>
      <c r="W6456">
        <v>0.146821799999999</v>
      </c>
      <c r="X6456">
        <v>0.8942177</v>
      </c>
      <c r="Y6456">
        <v>-0.47694409999999998</v>
      </c>
      <c r="Z6456">
        <v>5.3360229999999996E-3</v>
      </c>
      <c r="AA6456">
        <v>0.87891739999999996</v>
      </c>
      <c r="AB6456">
        <v>33</v>
      </c>
      <c r="AC6456">
        <v>0.71240000000000203</v>
      </c>
      <c r="AD6456">
        <v>-8.3051999999999598E-2</v>
      </c>
      <c r="AE6456">
        <v>0.66140999999999595</v>
      </c>
      <c r="AF6456">
        <v>-0.519612837533595</v>
      </c>
      <c r="AG6456">
        <v>-8.3051999999999598E-2</v>
      </c>
      <c r="AH6456">
        <v>0.81322430115706201</v>
      </c>
      <c r="AI6456">
        <v>94.918717760598994</v>
      </c>
      <c r="AJ6456">
        <v>122.57670215572</v>
      </c>
      <c r="AK6456">
        <v>0.96862216556617597</v>
      </c>
      <c r="AL6456">
        <v>81.557210322028993</v>
      </c>
      <c r="AM6456">
        <v>115.30911875778401</v>
      </c>
      <c r="AN6456">
        <v>1.0000000212678599</v>
      </c>
    </row>
    <row r="6457" spans="1:40" x14ac:dyDescent="0.25">
      <c r="A6457" t="str">
        <f>"20190312164151380"</f>
        <v>20190312164151380</v>
      </c>
      <c r="B6457" t="str">
        <f>"1552380111372199"</f>
        <v>1552380111372199</v>
      </c>
      <c r="C6457" t="s">
        <v>40</v>
      </c>
      <c r="D6457">
        <v>5.782591</v>
      </c>
      <c r="E6457">
        <v>0.41092770000000001</v>
      </c>
      <c r="F6457" t="s">
        <v>42</v>
      </c>
      <c r="G6457">
        <v>-207.6644</v>
      </c>
      <c r="H6457">
        <v>1.046395</v>
      </c>
      <c r="I6457">
        <v>-61.375810000000001</v>
      </c>
      <c r="J6457">
        <v>-208.24709999999999</v>
      </c>
      <c r="K6457">
        <v>1.117537</v>
      </c>
      <c r="L6457">
        <v>-61.944819999999901</v>
      </c>
      <c r="M6457">
        <v>0.98302140000000005</v>
      </c>
      <c r="N6457">
        <v>0</v>
      </c>
      <c r="O6457">
        <v>0.18288070000000001</v>
      </c>
      <c r="P6457">
        <v>0.80304940000000002</v>
      </c>
      <c r="Q6457">
        <v>0.14112359999999999</v>
      </c>
      <c r="R6457">
        <v>0.57896099999999995</v>
      </c>
      <c r="S6457">
        <v>2.379578</v>
      </c>
      <c r="T6457">
        <v>-0.2291782</v>
      </c>
      <c r="U6457">
        <v>1.9386289999999999</v>
      </c>
      <c r="V6457">
        <v>-0.4249658</v>
      </c>
      <c r="W6457">
        <v>0.14705989999999999</v>
      </c>
      <c r="X6457">
        <v>0.89318390000000003</v>
      </c>
      <c r="Y6457">
        <v>-0.47836410000000001</v>
      </c>
      <c r="Z6457">
        <v>5.0339069999999998E-3</v>
      </c>
      <c r="AA6457">
        <v>0.87814720000000002</v>
      </c>
      <c r="AB6457">
        <v>33</v>
      </c>
      <c r="AC6457">
        <v>0.58269999999998801</v>
      </c>
      <c r="AD6457">
        <v>-7.1141999999999997E-2</v>
      </c>
      <c r="AE6457">
        <v>0.56900999999999802</v>
      </c>
      <c r="AF6457">
        <v>-0.44940600097702599</v>
      </c>
      <c r="AG6457">
        <v>-7.1141999999999997E-2</v>
      </c>
      <c r="AH6457">
        <v>0.67181711329872396</v>
      </c>
      <c r="AI6457">
        <v>95.030061486201404</v>
      </c>
      <c r="AJ6457">
        <v>123.78018663697399</v>
      </c>
      <c r="AK6457">
        <v>0.81139704929164802</v>
      </c>
      <c r="AL6457">
        <v>81.543418414241202</v>
      </c>
      <c r="AM6457">
        <v>115.444524499211</v>
      </c>
      <c r="AN6457">
        <v>1.0000000122884201</v>
      </c>
    </row>
    <row r="6458" spans="1:40" x14ac:dyDescent="0.25">
      <c r="A6458" t="str">
        <f>"20190312164151391"</f>
        <v>20190312164151391</v>
      </c>
      <c r="B6458" t="str">
        <f>"1552380111381959"</f>
        <v>1552380111381959</v>
      </c>
      <c r="C6458" t="s">
        <v>40</v>
      </c>
      <c r="D6458">
        <v>5.8214940000000004</v>
      </c>
      <c r="E6458">
        <v>0.41004230000000003</v>
      </c>
      <c r="F6458" t="s">
        <v>51</v>
      </c>
      <c r="G6458">
        <v>-198.13079999999999</v>
      </c>
      <c r="H6458" s="1">
        <v>-2.7092510000000002E-6</v>
      </c>
      <c r="I6458">
        <v>-50.351990000000001</v>
      </c>
      <c r="J6458">
        <v>-208.09530000000001</v>
      </c>
      <c r="K6458">
        <v>1.117642</v>
      </c>
      <c r="L6458">
        <v>-61.912719999999901</v>
      </c>
      <c r="M6458">
        <v>0.98224270000000002</v>
      </c>
      <c r="N6458">
        <v>0</v>
      </c>
      <c r="O6458">
        <v>0.1870164</v>
      </c>
      <c r="P6458">
        <v>0.79945519999999903</v>
      </c>
      <c r="Q6458">
        <v>0.14124410000000001</v>
      </c>
      <c r="R6458">
        <v>0.58388490000000004</v>
      </c>
      <c r="S6458">
        <v>2.0676420000000002</v>
      </c>
      <c r="T6458">
        <v>-0.2284099</v>
      </c>
      <c r="U6458">
        <v>2.369415</v>
      </c>
      <c r="V6458">
        <v>-0.4267415</v>
      </c>
      <c r="W6458">
        <v>0.14704439999999999</v>
      </c>
      <c r="X6458">
        <v>0.8923394</v>
      </c>
      <c r="Y6458">
        <v>-0.61610390000000004</v>
      </c>
      <c r="Z6458">
        <v>1.0995090000000001E-2</v>
      </c>
      <c r="AA6458">
        <v>0.78758809999999901</v>
      </c>
      <c r="AB6458">
        <v>33</v>
      </c>
      <c r="AC6458">
        <v>9.9645000000000099</v>
      </c>
      <c r="AD6458">
        <v>-1.117644709251</v>
      </c>
      <c r="AE6458">
        <v>11.5607299999999</v>
      </c>
      <c r="AF6458">
        <v>-9.4423479256617906</v>
      </c>
      <c r="AG6458">
        <v>-1.117644709251</v>
      </c>
      <c r="AH6458">
        <v>11.8871988696785</v>
      </c>
      <c r="AI6458">
        <v>94.210586438078295</v>
      </c>
      <c r="AJ6458">
        <v>128.461138189846</v>
      </c>
      <c r="AK6458">
        <v>15.222107640292499</v>
      </c>
      <c r="AL6458">
        <v>81.544316019363805</v>
      </c>
      <c r="AM6458">
        <v>115.558422695725</v>
      </c>
      <c r="AN6458">
        <v>0.99999998409298396</v>
      </c>
    </row>
    <row r="6459" spans="1:40" x14ac:dyDescent="0.25">
      <c r="A6459" t="str">
        <f>"20190312164151402"</f>
        <v>20190312164151402</v>
      </c>
      <c r="B6459" t="str">
        <f>"1552380111391973"</f>
        <v>1552380111391973</v>
      </c>
      <c r="C6459" t="s">
        <v>40</v>
      </c>
      <c r="D6459">
        <v>5.8207120000000003</v>
      </c>
      <c r="E6459">
        <v>0.41038010000000003</v>
      </c>
      <c r="F6459" t="s">
        <v>51</v>
      </c>
      <c r="G6459">
        <v>-198.6377</v>
      </c>
      <c r="H6459" s="1">
        <v>-1.0478689999999999E-5</v>
      </c>
      <c r="I6459">
        <v>-50.8964</v>
      </c>
      <c r="J6459">
        <v>-207.9451</v>
      </c>
      <c r="K6459">
        <v>1.1177429999999999</v>
      </c>
      <c r="L6459">
        <v>-61.880279999999999</v>
      </c>
      <c r="M6459">
        <v>0.98144390000000004</v>
      </c>
      <c r="N6459">
        <v>0</v>
      </c>
      <c r="O6459">
        <v>0.19116269999999999</v>
      </c>
      <c r="P6459">
        <v>0.79567369999999904</v>
      </c>
      <c r="Q6459">
        <v>0.141541</v>
      </c>
      <c r="R6459">
        <v>0.58895629999999999</v>
      </c>
      <c r="S6459">
        <v>2.050751</v>
      </c>
      <c r="T6459">
        <v>-0.24234700000000001</v>
      </c>
      <c r="U6459">
        <v>2.3887330000000002</v>
      </c>
      <c r="V6459">
        <v>-0.42870170000000002</v>
      </c>
      <c r="W6459">
        <v>0.14720050000000001</v>
      </c>
      <c r="X6459">
        <v>0.89137359999999899</v>
      </c>
      <c r="Y6459">
        <v>-0.61900379999999999</v>
      </c>
      <c r="Z6459">
        <v>1.14672E-2</v>
      </c>
      <c r="AA6459">
        <v>0.78530429999999996</v>
      </c>
      <c r="AB6459">
        <v>33</v>
      </c>
      <c r="AC6459">
        <v>9.3073999999999995</v>
      </c>
      <c r="AD6459">
        <v>-1.1177534786900001</v>
      </c>
      <c r="AE6459">
        <v>10.983879999999999</v>
      </c>
      <c r="AF6459">
        <v>-8.9479107405000899</v>
      </c>
      <c r="AG6459">
        <v>-1.1177534786900001</v>
      </c>
      <c r="AH6459">
        <v>11.168342512752499</v>
      </c>
      <c r="AI6459">
        <v>94.466075588177205</v>
      </c>
      <c r="AJ6459">
        <v>128.70119103683299</v>
      </c>
      <c r="AK6459">
        <v>14.3543148196365</v>
      </c>
      <c r="AL6459">
        <v>81.535274014335101</v>
      </c>
      <c r="AM6459">
        <v>115.684996466055</v>
      </c>
      <c r="AN6459">
        <v>1.0000000147800401</v>
      </c>
    </row>
    <row r="6460" spans="1:40" x14ac:dyDescent="0.25">
      <c r="A6460" t="str">
        <f>"20190312164151414"</f>
        <v>20190312164151414</v>
      </c>
      <c r="B6460" t="str">
        <f>"1552380111402708"</f>
        <v>1552380111402708</v>
      </c>
      <c r="C6460" t="s">
        <v>40</v>
      </c>
      <c r="D6460">
        <v>5.8848330000000004</v>
      </c>
      <c r="E6460">
        <v>0.41208479999999997</v>
      </c>
      <c r="F6460" t="s">
        <v>51</v>
      </c>
      <c r="G6460">
        <v>-199.0814</v>
      </c>
      <c r="H6460" s="1">
        <v>-1.0327430000000001E-5</v>
      </c>
      <c r="I6460">
        <v>-51.440559999999998</v>
      </c>
      <c r="J6460">
        <v>-207.7833</v>
      </c>
      <c r="K6460">
        <v>1.1178520000000001</v>
      </c>
      <c r="L6460">
        <v>-61.8446</v>
      </c>
      <c r="M6460">
        <v>0.98055020000000004</v>
      </c>
      <c r="N6460">
        <v>0</v>
      </c>
      <c r="O6460">
        <v>0.1956939</v>
      </c>
      <c r="P6460">
        <v>0.79167739999999998</v>
      </c>
      <c r="Q6460">
        <v>0.1420583</v>
      </c>
      <c r="R6460">
        <v>0.594194</v>
      </c>
      <c r="S6460">
        <v>2.0387420000000001</v>
      </c>
      <c r="T6460">
        <v>-0.25709490000000002</v>
      </c>
      <c r="U6460">
        <v>2.4012449999999999</v>
      </c>
      <c r="V6460">
        <v>-0.43053580000000002</v>
      </c>
      <c r="W6460">
        <v>0.1475726</v>
      </c>
      <c r="X6460">
        <v>0.89042759999999999</v>
      </c>
      <c r="Y6460">
        <v>-0.61954330000000002</v>
      </c>
      <c r="Z6460">
        <v>1.1792810000000001E-2</v>
      </c>
      <c r="AA6460">
        <v>0.78487390000000001</v>
      </c>
      <c r="AB6460">
        <v>33</v>
      </c>
      <c r="AC6460">
        <v>8.7018999999999895</v>
      </c>
      <c r="AD6460">
        <v>-1.1178623274299999</v>
      </c>
      <c r="AE6460">
        <v>10.40404</v>
      </c>
      <c r="AF6460">
        <v>-8.4423860841245908</v>
      </c>
      <c r="AG6460">
        <v>-1.1178623274299999</v>
      </c>
      <c r="AH6460">
        <v>10.498534780642601</v>
      </c>
      <c r="AI6460">
        <v>94.743371085441296</v>
      </c>
      <c r="AJ6460">
        <v>128.804465972537</v>
      </c>
      <c r="AK6460">
        <v>13.5182369973629</v>
      </c>
      <c r="AL6460">
        <v>81.513718972724405</v>
      </c>
      <c r="AM6460">
        <v>115.804499961611</v>
      </c>
      <c r="AN6460">
        <v>1.0000000290970701</v>
      </c>
    </row>
    <row r="6461" spans="1:40" x14ac:dyDescent="0.25">
      <c r="A6461" t="str">
        <f>"20190312164151426"</f>
        <v>20190312164151426</v>
      </c>
      <c r="B6461" t="str">
        <f>"1552380111422228"</f>
        <v>1552380111422228</v>
      </c>
      <c r="C6461" t="s">
        <v>40</v>
      </c>
      <c r="D6461">
        <v>5.7799360000000002</v>
      </c>
      <c r="E6461">
        <v>0.4125009</v>
      </c>
      <c r="F6461" t="s">
        <v>42</v>
      </c>
      <c r="G6461">
        <v>-207.16650000000001</v>
      </c>
      <c r="H6461">
        <v>1.037436</v>
      </c>
      <c r="I6461">
        <v>-61.11459</v>
      </c>
      <c r="J6461">
        <v>-207.624</v>
      </c>
      <c r="K6461">
        <v>1.1179589999999999</v>
      </c>
      <c r="L6461">
        <v>-61.8084699999999</v>
      </c>
      <c r="M6461">
        <v>0.97963149999999999</v>
      </c>
      <c r="N6461">
        <v>0</v>
      </c>
      <c r="O6461">
        <v>0.200241</v>
      </c>
      <c r="P6461">
        <v>0.78757670000000002</v>
      </c>
      <c r="Q6461">
        <v>0.142543</v>
      </c>
      <c r="R6461">
        <v>0.59950360000000003</v>
      </c>
      <c r="S6461">
        <v>2.0318299999999998</v>
      </c>
      <c r="T6461">
        <v>-0.26489940000000001</v>
      </c>
      <c r="U6461">
        <v>2.40509</v>
      </c>
      <c r="V6461">
        <v>-0.43246030000000002</v>
      </c>
      <c r="W6461">
        <v>0.14791029999999999</v>
      </c>
      <c r="X6461">
        <v>0.88943839999999996</v>
      </c>
      <c r="Y6461">
        <v>-0.61777510000000002</v>
      </c>
      <c r="Z6461">
        <v>1.1642970000000001E-2</v>
      </c>
      <c r="AA6461">
        <v>0.78626870000000004</v>
      </c>
      <c r="AB6461">
        <v>33</v>
      </c>
      <c r="AC6461">
        <v>0.45750000000001001</v>
      </c>
      <c r="AD6461">
        <v>-8.05229999999999E-2</v>
      </c>
      <c r="AE6461">
        <v>0.69387999999999195</v>
      </c>
      <c r="AF6461">
        <v>-0.58273300746267498</v>
      </c>
      <c r="AG6461">
        <v>-8.05229999999999E-2</v>
      </c>
      <c r="AH6461">
        <v>0.58173049198084303</v>
      </c>
      <c r="AI6461">
        <v>95.585380683809802</v>
      </c>
      <c r="AJ6461">
        <v>135.04932734417301</v>
      </c>
      <c r="AK6461">
        <v>0.82732827633036199</v>
      </c>
      <c r="AL6461">
        <v>81.494155401232106</v>
      </c>
      <c r="AM6461">
        <v>115.929820616717</v>
      </c>
      <c r="AN6461">
        <v>1.0000000176583601</v>
      </c>
    </row>
    <row r="6462" spans="1:40" x14ac:dyDescent="0.25">
      <c r="A6462" t="str">
        <f>"20190312164151436"</f>
        <v>20190312164151436</v>
      </c>
      <c r="B6462" t="str">
        <f>"1552380111431988"</f>
        <v>1552380111431988</v>
      </c>
      <c r="C6462" t="s">
        <v>40</v>
      </c>
      <c r="D6462">
        <v>5.773002</v>
      </c>
      <c r="E6462">
        <v>0.41269869999999997</v>
      </c>
      <c r="F6462" t="s">
        <v>51</v>
      </c>
      <c r="G6462">
        <v>-199.23089999999999</v>
      </c>
      <c r="H6462" s="1">
        <v>-1.023361E-5</v>
      </c>
      <c r="I6462">
        <v>-51.755740000000003</v>
      </c>
      <c r="J6462">
        <v>-207.46549999999999</v>
      </c>
      <c r="K6462">
        <v>1.1180619999999999</v>
      </c>
      <c r="L6462">
        <v>-61.772060000000003</v>
      </c>
      <c r="M6462">
        <v>0.97868790000000006</v>
      </c>
      <c r="N6462">
        <v>0</v>
      </c>
      <c r="O6462">
        <v>0.20480219999999999</v>
      </c>
      <c r="P6462">
        <v>0.78355759999999997</v>
      </c>
      <c r="Q6462">
        <v>0.14305580000000001</v>
      </c>
      <c r="R6462">
        <v>0.604626</v>
      </c>
      <c r="S6462">
        <v>2.0179749999999999</v>
      </c>
      <c r="T6462">
        <v>-0.26879500000000001</v>
      </c>
      <c r="U6462">
        <v>2.416992</v>
      </c>
      <c r="V6462">
        <v>-0.43418630000000003</v>
      </c>
      <c r="W6462">
        <v>0.14828050000000001</v>
      </c>
      <c r="X6462">
        <v>0.88853539999999998</v>
      </c>
      <c r="Y6462">
        <v>-0.61864479999999999</v>
      </c>
      <c r="Z6462">
        <v>1.1447870000000001E-2</v>
      </c>
      <c r="AA6462">
        <v>0.78558739999999905</v>
      </c>
      <c r="AB6462">
        <v>33</v>
      </c>
      <c r="AC6462">
        <v>8.2346000000000004</v>
      </c>
      <c r="AD6462">
        <v>-1.11807223361</v>
      </c>
      <c r="AE6462">
        <v>10.016319999999901</v>
      </c>
      <c r="AF6462">
        <v>-8.0573977834909698</v>
      </c>
      <c r="AG6462">
        <v>-1.11807223361</v>
      </c>
      <c r="AH6462">
        <v>10.036985737782</v>
      </c>
      <c r="AI6462">
        <v>94.964679728042299</v>
      </c>
      <c r="AJ6462">
        <v>128.75647495173999</v>
      </c>
      <c r="AK6462">
        <v>12.9194747285412</v>
      </c>
      <c r="AL6462">
        <v>81.472707882867198</v>
      </c>
      <c r="AM6462">
        <v>116.042628285525</v>
      </c>
      <c r="AN6462">
        <v>1.0000000034205401</v>
      </c>
    </row>
    <row r="6463" spans="1:40" x14ac:dyDescent="0.25">
      <c r="A6463" t="str">
        <f>"20190312164151448"</f>
        <v>20190312164151448</v>
      </c>
      <c r="B6463" t="str">
        <f>"1552380111442724"</f>
        <v>1552380111442724</v>
      </c>
      <c r="C6463" t="s">
        <v>40</v>
      </c>
      <c r="D6463">
        <v>5.7839239999999998</v>
      </c>
      <c r="E6463">
        <v>0.41308089999999997</v>
      </c>
      <c r="F6463" t="s">
        <v>42</v>
      </c>
      <c r="G6463">
        <v>-206.88329999999999</v>
      </c>
      <c r="H6463">
        <v>1.0407690000000001</v>
      </c>
      <c r="I6463">
        <v>-61.065800000000003</v>
      </c>
      <c r="J6463">
        <v>-207.29820000000001</v>
      </c>
      <c r="K6463">
        <v>1.118177</v>
      </c>
      <c r="L6463">
        <v>-61.732149999999997</v>
      </c>
      <c r="M6463">
        <v>0.97764059999999997</v>
      </c>
      <c r="N6463">
        <v>0</v>
      </c>
      <c r="O6463">
        <v>0.20974300000000001</v>
      </c>
      <c r="P6463">
        <v>0.77918679999999996</v>
      </c>
      <c r="Q6463">
        <v>0.14366880000000001</v>
      </c>
      <c r="R6463">
        <v>0.61010439999999999</v>
      </c>
      <c r="S6463">
        <v>2.0028380000000001</v>
      </c>
      <c r="T6463">
        <v>-0.26585300000000001</v>
      </c>
      <c r="U6463">
        <v>2.4291079999999998</v>
      </c>
      <c r="V6463">
        <v>-0.43600680000000003</v>
      </c>
      <c r="W6463">
        <v>0.1487416</v>
      </c>
      <c r="X6463">
        <v>0.88756639999999998</v>
      </c>
      <c r="Y6463">
        <v>-0.61955830000000001</v>
      </c>
      <c r="Z6463">
        <v>1.0930459999999999E-2</v>
      </c>
      <c r="AA6463">
        <v>0.78487459999999998</v>
      </c>
      <c r="AB6463">
        <v>33</v>
      </c>
      <c r="AC6463">
        <v>0.41490000000001698</v>
      </c>
      <c r="AD6463">
        <v>-7.7407999999999894E-2</v>
      </c>
      <c r="AE6463">
        <v>0.666349999999994</v>
      </c>
      <c r="AF6463">
        <v>-0.55905580422442502</v>
      </c>
      <c r="AG6463">
        <v>-7.7407999999999894E-2</v>
      </c>
      <c r="AH6463">
        <v>0.54019396022450705</v>
      </c>
      <c r="AI6463">
        <v>95.6863553502033</v>
      </c>
      <c r="AJ6463">
        <v>135.98303228838799</v>
      </c>
      <c r="AK6463">
        <v>0.78124573942137798</v>
      </c>
      <c r="AL6463">
        <v>81.445992979958902</v>
      </c>
      <c r="AM6463">
        <v>116.16204853346601</v>
      </c>
      <c r="AN6463">
        <v>1.0000000538128699</v>
      </c>
    </row>
    <row r="6464" spans="1:40" x14ac:dyDescent="0.25">
      <c r="A6464" t="str">
        <f>"20190312164151460"</f>
        <v>20190312164151460</v>
      </c>
      <c r="B6464" t="str">
        <f>"1552380111452484"</f>
        <v>1552380111452484</v>
      </c>
      <c r="C6464" t="s">
        <v>40</v>
      </c>
      <c r="D6464">
        <v>5.7545510000000002</v>
      </c>
      <c r="E6464">
        <v>0.41344229999999998</v>
      </c>
      <c r="F6464" t="s">
        <v>51</v>
      </c>
      <c r="G6464">
        <v>-198.887</v>
      </c>
      <c r="H6464" s="1">
        <v>-1.0321060000000001E-5</v>
      </c>
      <c r="I6464">
        <v>-51.398429999999998</v>
      </c>
      <c r="J6464">
        <v>-207.13849999999999</v>
      </c>
      <c r="K6464">
        <v>1.1182840000000001</v>
      </c>
      <c r="L6464">
        <v>-61.693660000000001</v>
      </c>
      <c r="M6464">
        <v>0.97660950000000002</v>
      </c>
      <c r="N6464">
        <v>0</v>
      </c>
      <c r="O6464">
        <v>0.2144914</v>
      </c>
      <c r="P6464">
        <v>0.77480819999999995</v>
      </c>
      <c r="Q6464">
        <v>0.14417339999999901</v>
      </c>
      <c r="R6464">
        <v>0.61553729999999995</v>
      </c>
      <c r="S6464">
        <v>1.9872129999999999</v>
      </c>
      <c r="T6464">
        <v>-0.26418219999999998</v>
      </c>
      <c r="U6464">
        <v>2.4414370000000001</v>
      </c>
      <c r="V6464">
        <v>-0.43797170000000002</v>
      </c>
      <c r="W6464">
        <v>0.14909430000000001</v>
      </c>
      <c r="X6464">
        <v>0.88653919999999997</v>
      </c>
      <c r="Y6464">
        <v>-0.62073429999999996</v>
      </c>
      <c r="Z6464">
        <v>1.050389E-2</v>
      </c>
      <c r="AA6464">
        <v>0.7839507</v>
      </c>
      <c r="AB6464">
        <v>33</v>
      </c>
      <c r="AC6464">
        <v>8.2514999999999894</v>
      </c>
      <c r="AD6464">
        <v>-1.11829432106</v>
      </c>
      <c r="AE6464">
        <v>10.295229999999901</v>
      </c>
      <c r="AF6464">
        <v>-8.2263871361819803</v>
      </c>
      <c r="AG6464">
        <v>-1.11829432106</v>
      </c>
      <c r="AH6464">
        <v>10.1946603649883</v>
      </c>
      <c r="AI6464">
        <v>94.879358068829802</v>
      </c>
      <c r="AJ6464">
        <v>128.90113426172999</v>
      </c>
      <c r="AK6464">
        <v>13.1474380569112</v>
      </c>
      <c r="AL6464">
        <v>81.425556740312203</v>
      </c>
      <c r="AM6464">
        <v>116.290480296355</v>
      </c>
      <c r="AN6464">
        <v>1.0000000367149999</v>
      </c>
    </row>
    <row r="6465" spans="1:40" x14ac:dyDescent="0.25">
      <c r="A6465" t="str">
        <f>"20190312164151472"</f>
        <v>20190312164151472</v>
      </c>
      <c r="B6465" t="str">
        <f>"1552380111462245"</f>
        <v>1552380111462245</v>
      </c>
      <c r="C6465" t="s">
        <v>40</v>
      </c>
      <c r="D6465">
        <v>5.7611610000000004</v>
      </c>
      <c r="E6465">
        <v>0.41373739999999998</v>
      </c>
      <c r="F6465" t="s">
        <v>51</v>
      </c>
      <c r="G6465">
        <v>-198.86580000000001</v>
      </c>
      <c r="H6465" s="1">
        <v>-1.031836E-5</v>
      </c>
      <c r="I6465">
        <v>-51.400030000000001</v>
      </c>
      <c r="J6465">
        <v>-206.96299999999999</v>
      </c>
      <c r="K6465">
        <v>1.1184019999999999</v>
      </c>
      <c r="L6465">
        <v>-61.64996</v>
      </c>
      <c r="M6465">
        <v>0.97542309999999999</v>
      </c>
      <c r="N6465">
        <v>0</v>
      </c>
      <c r="O6465">
        <v>0.2198224</v>
      </c>
      <c r="P6465">
        <v>0.77023560000000002</v>
      </c>
      <c r="Q6465">
        <v>0.14444489999999999</v>
      </c>
      <c r="R6465">
        <v>0.62118660000000003</v>
      </c>
      <c r="S6465">
        <v>1.972092</v>
      </c>
      <c r="T6465">
        <v>-0.26658569999999998</v>
      </c>
      <c r="U6465">
        <v>2.4538570000000002</v>
      </c>
      <c r="V6465">
        <v>-0.43967479999999998</v>
      </c>
      <c r="W6465">
        <v>0.14920939999999999</v>
      </c>
      <c r="X6465">
        <v>0.88567640000000003</v>
      </c>
      <c r="Y6465">
        <v>-0.62131769999999997</v>
      </c>
      <c r="Z6465">
        <v>1.014724E-2</v>
      </c>
      <c r="AA6465">
        <v>0.78349299999999999</v>
      </c>
      <c r="AB6465">
        <v>32</v>
      </c>
      <c r="AC6465">
        <v>8.0971999999999795</v>
      </c>
      <c r="AD6465">
        <v>-1.1184123183600001</v>
      </c>
      <c r="AE6465">
        <v>10.249930000000001</v>
      </c>
      <c r="AF6465">
        <v>-8.1591945899181297</v>
      </c>
      <c r="AG6465">
        <v>-1.1184123183600001</v>
      </c>
      <c r="AH6465">
        <v>10.078631227779701</v>
      </c>
      <c r="AI6465">
        <v>94.929479707821599</v>
      </c>
      <c r="AJ6465">
        <v>128.99203339282201</v>
      </c>
      <c r="AK6465">
        <v>13.0154565765318</v>
      </c>
      <c r="AL6465">
        <v>81.418887338386</v>
      </c>
      <c r="AM6465">
        <v>116.401101189098</v>
      </c>
      <c r="AN6465">
        <v>1.0000000301601699</v>
      </c>
    </row>
    <row r="6466" spans="1:40" x14ac:dyDescent="0.25">
      <c r="A6466" t="str">
        <f>"20190312164151486"</f>
        <v>20190312164151486</v>
      </c>
      <c r="B6466" t="str">
        <f>"1552380111482741"</f>
        <v>1552380111482741</v>
      </c>
      <c r="C6466" t="s">
        <v>40</v>
      </c>
      <c r="D6466">
        <v>5.7563279999999999</v>
      </c>
      <c r="E6466">
        <v>0.41410059999999899</v>
      </c>
      <c r="F6466" t="s">
        <v>51</v>
      </c>
      <c r="G6466">
        <v>-198.74359999999999</v>
      </c>
      <c r="H6466" s="1">
        <v>-1.0349030000000001E-5</v>
      </c>
      <c r="I6466">
        <v>-51.282089999999997</v>
      </c>
      <c r="J6466">
        <v>-206.7818</v>
      </c>
      <c r="K6466">
        <v>1.1185210000000001</v>
      </c>
      <c r="L6466">
        <v>-61.603729999999999</v>
      </c>
      <c r="M6466">
        <v>0.97414639999999997</v>
      </c>
      <c r="N6466">
        <v>0</v>
      </c>
      <c r="O6466">
        <v>0.22541169999999999</v>
      </c>
      <c r="P6466">
        <v>0.76544019999999902</v>
      </c>
      <c r="Q6466">
        <v>0.14475839999999901</v>
      </c>
      <c r="R6466">
        <v>0.62701390000000001</v>
      </c>
      <c r="S6466">
        <v>1.955505</v>
      </c>
      <c r="T6466">
        <v>-0.26608399999999999</v>
      </c>
      <c r="U6466">
        <v>2.4666440000000001</v>
      </c>
      <c r="V6466">
        <v>-0.44138490000000002</v>
      </c>
      <c r="W6466">
        <v>0.14936450000000001</v>
      </c>
      <c r="X6466">
        <v>0.88479920000000001</v>
      </c>
      <c r="Y6466">
        <v>-0.62205889999999997</v>
      </c>
      <c r="Z6466">
        <v>9.6634310000000001E-3</v>
      </c>
      <c r="AA6466">
        <v>0.78291080000000002</v>
      </c>
      <c r="AB6466">
        <v>32</v>
      </c>
      <c r="AC6466">
        <v>8.0382000000000104</v>
      </c>
      <c r="AD6466">
        <v>-1.11853134903</v>
      </c>
      <c r="AE6466">
        <v>10.32164</v>
      </c>
      <c r="AF6466">
        <v>-8.1839997422850796</v>
      </c>
      <c r="AG6466">
        <v>-1.11853134903</v>
      </c>
      <c r="AH6466">
        <v>10.0844438213723</v>
      </c>
      <c r="AI6466">
        <v>94.922396206167903</v>
      </c>
      <c r="AJ6466">
        <v>129.060952010508</v>
      </c>
      <c r="AK6466">
        <v>13.0355272753694</v>
      </c>
      <c r="AL6466">
        <v>81.409899825082107</v>
      </c>
      <c r="AM6466">
        <v>116.51246099139399</v>
      </c>
      <c r="AN6466">
        <v>1.0000000040644399</v>
      </c>
    </row>
    <row r="6467" spans="1:40" x14ac:dyDescent="0.25">
      <c r="A6467" t="str">
        <f>"20190312164151499"</f>
        <v>20190312164151499</v>
      </c>
      <c r="B6467" t="str">
        <f>"1552380111492501"</f>
        <v>1552380111492501</v>
      </c>
      <c r="C6467" t="s">
        <v>40</v>
      </c>
      <c r="D6467">
        <v>5.6898540000000004</v>
      </c>
      <c r="E6467">
        <v>0.41397440000000002</v>
      </c>
      <c r="F6467" t="s">
        <v>51</v>
      </c>
      <c r="G6467">
        <v>-198.67179999999999</v>
      </c>
      <c r="H6467" s="1">
        <v>-1.0360410000000001E-5</v>
      </c>
      <c r="I6467">
        <v>-51.231070000000003</v>
      </c>
      <c r="J6467">
        <v>-206.6003</v>
      </c>
      <c r="K6467">
        <v>1.1186389999999999</v>
      </c>
      <c r="L6467">
        <v>-61.556609999999999</v>
      </c>
      <c r="M6467">
        <v>0.97281969999999995</v>
      </c>
      <c r="N6467">
        <v>0</v>
      </c>
      <c r="O6467">
        <v>0.23106889999999999</v>
      </c>
      <c r="P6467">
        <v>0.76062479999999999</v>
      </c>
      <c r="Q6467">
        <v>0.144779399999999</v>
      </c>
      <c r="R6467">
        <v>0.63284200000000002</v>
      </c>
      <c r="S6467">
        <v>1.9387049999999999</v>
      </c>
      <c r="T6467">
        <v>-0.26738810000000002</v>
      </c>
      <c r="U6467">
        <v>2.4796140000000002</v>
      </c>
      <c r="V6467">
        <v>-0.44304939999999998</v>
      </c>
      <c r="W6467">
        <v>0.14922829999999901</v>
      </c>
      <c r="X6467">
        <v>0.8839899</v>
      </c>
      <c r="Y6467">
        <v>-0.62279209999999996</v>
      </c>
      <c r="Z6467">
        <v>9.2353169999999998E-3</v>
      </c>
      <c r="AA6467">
        <v>0.7823329</v>
      </c>
      <c r="AB6467">
        <v>32</v>
      </c>
      <c r="AC6467">
        <v>7.9285000000000103</v>
      </c>
      <c r="AD6467">
        <v>-1.1186493604099901</v>
      </c>
      <c r="AE6467">
        <v>10.325539999999901</v>
      </c>
      <c r="AF6467">
        <v>-8.1535956391092093</v>
      </c>
      <c r="AG6467">
        <v>-1.1186493604099901</v>
      </c>
      <c r="AH6467">
        <v>10.026039244473999</v>
      </c>
      <c r="AI6467">
        <v>94.947362983074001</v>
      </c>
      <c r="AJ6467">
        <v>129.11945574692399</v>
      </c>
      <c r="AK6467">
        <v>12.9712744620326</v>
      </c>
      <c r="AL6467">
        <v>81.417791924835299</v>
      </c>
      <c r="AM6467">
        <v>116.619700402322</v>
      </c>
      <c r="AN6467">
        <v>0.99999999983162902</v>
      </c>
    </row>
    <row r="6468" spans="1:40" x14ac:dyDescent="0.25">
      <c r="A6468" t="str">
        <f>"20190312164151515"</f>
        <v>20190312164151515</v>
      </c>
      <c r="B6468" t="str">
        <f>"1552380111512021"</f>
        <v>1552380111512021</v>
      </c>
      <c r="C6468" t="s">
        <v>40</v>
      </c>
      <c r="D6468">
        <v>5.7342940000000002</v>
      </c>
      <c r="E6468">
        <v>0.41411150000000002</v>
      </c>
      <c r="F6468" t="s">
        <v>51</v>
      </c>
      <c r="G6468">
        <v>-198.3596</v>
      </c>
      <c r="H6468" s="1">
        <v>-1.0471689999999999E-5</v>
      </c>
      <c r="I6468">
        <v>-50.839230000000001</v>
      </c>
      <c r="J6468">
        <v>-206.36959999999999</v>
      </c>
      <c r="K6468">
        <v>1.1187910000000001</v>
      </c>
      <c r="L6468">
        <v>-61.494570000000003</v>
      </c>
      <c r="M6468">
        <v>0.9710432</v>
      </c>
      <c r="N6468">
        <v>0</v>
      </c>
      <c r="O6468">
        <v>0.238423</v>
      </c>
      <c r="P6468">
        <v>0.75392440000000005</v>
      </c>
      <c r="Q6468">
        <v>0.14476410000000001</v>
      </c>
      <c r="R6468">
        <v>0.64081309999999903</v>
      </c>
      <c r="S6468">
        <v>1.9181520000000001</v>
      </c>
      <c r="T6468">
        <v>-0.26038220000000001</v>
      </c>
      <c r="U6468">
        <v>2.4946290000000002</v>
      </c>
      <c r="V6468">
        <v>-0.44572349999999999</v>
      </c>
      <c r="W6468">
        <v>0.14899949999999901</v>
      </c>
      <c r="X6468">
        <v>0.8826832</v>
      </c>
      <c r="Y6468">
        <v>-0.62328939999999999</v>
      </c>
      <c r="Z6468">
        <v>8.365473E-3</v>
      </c>
      <c r="AA6468">
        <v>0.78194649999999999</v>
      </c>
      <c r="AB6468">
        <v>32</v>
      </c>
      <c r="AC6468">
        <v>8.0099999999999891</v>
      </c>
      <c r="AD6468">
        <v>-1.1188014716900001</v>
      </c>
      <c r="AE6468">
        <v>10.655339999999899</v>
      </c>
      <c r="AF6468">
        <v>-8.3789732646110906</v>
      </c>
      <c r="AG6468">
        <v>-1.1188014716900001</v>
      </c>
      <c r="AH6468">
        <v>10.2475338293902</v>
      </c>
      <c r="AI6468">
        <v>94.831187732520107</v>
      </c>
      <c r="AJ6468">
        <v>129.271408498417</v>
      </c>
      <c r="AK6468">
        <v>13.284233485098801</v>
      </c>
      <c r="AL6468">
        <v>81.431049078136795</v>
      </c>
      <c r="AM6468">
        <v>116.792145572048</v>
      </c>
      <c r="AN6468">
        <v>0.99999996050736895</v>
      </c>
    </row>
    <row r="6469" spans="1:40" x14ac:dyDescent="0.25">
      <c r="A6469" t="str">
        <f>"20190312164151526"</f>
        <v>20190312164151526</v>
      </c>
      <c r="B6469" t="str">
        <f>"1552380111522757"</f>
        <v>1552380111522757</v>
      </c>
      <c r="C6469" t="s">
        <v>40</v>
      </c>
      <c r="D6469">
        <v>5.7715339999999999</v>
      </c>
      <c r="E6469">
        <v>0.41414790000000001</v>
      </c>
      <c r="F6469" t="s">
        <v>42</v>
      </c>
      <c r="G6469">
        <v>-205.80699999999999</v>
      </c>
      <c r="H6469">
        <v>1.044511</v>
      </c>
      <c r="I6469">
        <v>-60.746749999999999</v>
      </c>
      <c r="J6469">
        <v>-206.2242</v>
      </c>
      <c r="K6469">
        <v>1.1188830000000001</v>
      </c>
      <c r="L6469">
        <v>-61.4542199999999</v>
      </c>
      <c r="M6469">
        <v>0.96987190000000001</v>
      </c>
      <c r="N6469">
        <v>0</v>
      </c>
      <c r="O6469">
        <v>0.2431422</v>
      </c>
      <c r="P6469">
        <v>0.74905529999999998</v>
      </c>
      <c r="Q6469">
        <v>0.14474210000000001</v>
      </c>
      <c r="R6469">
        <v>0.64650289999999999</v>
      </c>
      <c r="S6469">
        <v>1.8909609999999999</v>
      </c>
      <c r="T6469">
        <v>-0.24964459999999999</v>
      </c>
      <c r="U6469">
        <v>2.5132140000000001</v>
      </c>
      <c r="V6469">
        <v>-0.44814969999999998</v>
      </c>
      <c r="W6469">
        <v>0.14882419999999999</v>
      </c>
      <c r="X6469">
        <v>0.88148349999999898</v>
      </c>
      <c r="Y6469">
        <v>-0.62774909999999995</v>
      </c>
      <c r="Z6469">
        <v>7.8658689999999993E-3</v>
      </c>
      <c r="AA6469">
        <v>0.77837590000000001</v>
      </c>
      <c r="AB6469">
        <v>32</v>
      </c>
      <c r="AC6469">
        <v>0.41719999999997898</v>
      </c>
      <c r="AD6469">
        <v>-7.4372000000000105E-2</v>
      </c>
      <c r="AE6469">
        <v>0.70746999999999305</v>
      </c>
      <c r="AF6469">
        <v>-0.580027719504563</v>
      </c>
      <c r="AG6469">
        <v>-7.4372000000000105E-2</v>
      </c>
      <c r="AH6469">
        <v>0.57202245138708496</v>
      </c>
      <c r="AI6469">
        <v>95.216305170275007</v>
      </c>
      <c r="AJ6469">
        <v>135.39812562559899</v>
      </c>
      <c r="AK6469">
        <v>0.81802997174220604</v>
      </c>
      <c r="AL6469">
        <v>81.4412064313169</v>
      </c>
      <c r="AM6469">
        <v>116.94896390108499</v>
      </c>
      <c r="AN6469">
        <v>0.99999997844398902</v>
      </c>
    </row>
    <row r="6470" spans="1:40" x14ac:dyDescent="0.25">
      <c r="A6470" t="str">
        <f>"20190312164151539"</f>
        <v>20190312164151539</v>
      </c>
      <c r="B6470" t="str">
        <f>"1552380111532516"</f>
        <v>1552380111532516</v>
      </c>
      <c r="C6470" t="s">
        <v>40</v>
      </c>
      <c r="D6470">
        <v>5.8058750000000003</v>
      </c>
      <c r="E6470">
        <v>0.4142517</v>
      </c>
      <c r="F6470" t="s">
        <v>51</v>
      </c>
      <c r="G6470">
        <v>-197.70140000000001</v>
      </c>
      <c r="H6470" s="1">
        <v>-2.855877E-6</v>
      </c>
      <c r="I6470">
        <v>-49.942959999999999</v>
      </c>
      <c r="J6470">
        <v>-206.0566</v>
      </c>
      <c r="K6470">
        <v>1.118986</v>
      </c>
      <c r="L6470">
        <v>-61.407290000000003</v>
      </c>
      <c r="M6470">
        <v>0.9684855</v>
      </c>
      <c r="N6470">
        <v>0</v>
      </c>
      <c r="O6470">
        <v>0.2486063</v>
      </c>
      <c r="P6470">
        <v>0.74418439999999997</v>
      </c>
      <c r="Q6470">
        <v>0.14529710000000001</v>
      </c>
      <c r="R6470">
        <v>0.65198029999999996</v>
      </c>
      <c r="S6470">
        <v>1.871216</v>
      </c>
      <c r="T6470">
        <v>-0.24565600000000001</v>
      </c>
      <c r="U6470">
        <v>2.5273439999999998</v>
      </c>
      <c r="V6470">
        <v>-0.44972610000000002</v>
      </c>
      <c r="W6470">
        <v>0.1492348</v>
      </c>
      <c r="X6470">
        <v>0.88061080000000003</v>
      </c>
      <c r="Y6470">
        <v>-0.62941400000000003</v>
      </c>
      <c r="Z6470">
        <v>7.3680539999999997E-3</v>
      </c>
      <c r="AA6470">
        <v>0.77703520000000004</v>
      </c>
      <c r="AB6470">
        <v>32</v>
      </c>
      <c r="AC6470">
        <v>8.3551999999999893</v>
      </c>
      <c r="AD6470">
        <v>-1.118988855877</v>
      </c>
      <c r="AE6470">
        <v>11.46433</v>
      </c>
      <c r="AF6470">
        <v>-8.9711044536451201</v>
      </c>
      <c r="AG6470">
        <v>-1.118988855877</v>
      </c>
      <c r="AH6470">
        <v>10.8755883738856</v>
      </c>
      <c r="AI6470">
        <v>94.5381133315732</v>
      </c>
      <c r="AJ6470">
        <v>129.51869397862299</v>
      </c>
      <c r="AK6470">
        <v>14.142534202043899</v>
      </c>
      <c r="AL6470">
        <v>81.417415163545797</v>
      </c>
      <c r="AM6470">
        <v>117.05330631245501</v>
      </c>
      <c r="AN6470">
        <v>0.99999998581444405</v>
      </c>
    </row>
    <row r="6471" spans="1:40" x14ac:dyDescent="0.25">
      <c r="A6471" t="str">
        <f>"20190312164151550"</f>
        <v>20190312164151550</v>
      </c>
      <c r="B6471" t="str">
        <f>"1552380111542276"</f>
        <v>1552380111542276</v>
      </c>
      <c r="C6471" t="s">
        <v>40</v>
      </c>
      <c r="D6471">
        <v>5.7539150000000001</v>
      </c>
      <c r="E6471">
        <v>0.41428219999999999</v>
      </c>
      <c r="F6471" t="s">
        <v>51</v>
      </c>
      <c r="G6471">
        <v>-197.4307</v>
      </c>
      <c r="H6471" s="1">
        <v>-3.0101869999999998E-6</v>
      </c>
      <c r="I6471">
        <v>-49.580599999999997</v>
      </c>
      <c r="J6471">
        <v>-205.8912</v>
      </c>
      <c r="K6471">
        <v>1.1190910000000001</v>
      </c>
      <c r="L6471">
        <v>-61.359310000000001</v>
      </c>
      <c r="M6471">
        <v>0.96705359999999996</v>
      </c>
      <c r="N6471">
        <v>0</v>
      </c>
      <c r="O6471">
        <v>0.25411830000000002</v>
      </c>
      <c r="P6471">
        <v>0.73937519999999901</v>
      </c>
      <c r="Q6471">
        <v>0.1450881</v>
      </c>
      <c r="R6471">
        <v>0.65747519999999904</v>
      </c>
      <c r="S6471">
        <v>1.852722</v>
      </c>
      <c r="T6471">
        <v>-0.24034449999999999</v>
      </c>
      <c r="U6471">
        <v>2.540222</v>
      </c>
      <c r="V6471">
        <v>-0.45125989999999999</v>
      </c>
      <c r="W6471">
        <v>0.14888589999999999</v>
      </c>
      <c r="X6471">
        <v>0.87988500000000003</v>
      </c>
      <c r="Y6471">
        <v>-0.63061309999999904</v>
      </c>
      <c r="Z6471">
        <v>6.8148929999999998E-3</v>
      </c>
      <c r="AA6471">
        <v>0.77606739999999996</v>
      </c>
      <c r="AB6471">
        <v>32</v>
      </c>
      <c r="AC6471">
        <v>8.4604999999999908</v>
      </c>
      <c r="AD6471">
        <v>-1.1190940101869999</v>
      </c>
      <c r="AE6471">
        <v>11.77871</v>
      </c>
      <c r="AF6471">
        <v>-9.1870389105396306</v>
      </c>
      <c r="AG6471">
        <v>-1.1190940101869999</v>
      </c>
      <c r="AH6471">
        <v>11.1100782520345</v>
      </c>
      <c r="AI6471">
        <v>94.438735461488804</v>
      </c>
      <c r="AJ6471">
        <v>129.58769843532599</v>
      </c>
      <c r="AK6471">
        <v>14.459871856753599</v>
      </c>
      <c r="AL6471">
        <v>81.437632164188898</v>
      </c>
      <c r="AM6471">
        <v>117.151580200674</v>
      </c>
      <c r="AN6471">
        <v>1.0000000608959001</v>
      </c>
    </row>
    <row r="6472" spans="1:40" x14ac:dyDescent="0.25">
      <c r="A6472" t="str">
        <f>"20190312164151561"</f>
        <v>20190312164151561</v>
      </c>
      <c r="B6472" t="str">
        <f>"1552380111552036"</f>
        <v>1552380111552036</v>
      </c>
      <c r="C6472" t="s">
        <v>40</v>
      </c>
      <c r="D6472">
        <v>5.7573319999999999</v>
      </c>
      <c r="E6472">
        <v>0.41431289999999998</v>
      </c>
      <c r="F6472" t="s">
        <v>51</v>
      </c>
      <c r="G6472">
        <v>-197.31610000000001</v>
      </c>
      <c r="H6472" s="1">
        <v>-3.0819009999999999E-6</v>
      </c>
      <c r="I6472">
        <v>-49.416400000000003</v>
      </c>
      <c r="J6472">
        <v>-205.74719999999999</v>
      </c>
      <c r="K6472">
        <v>1.119178</v>
      </c>
      <c r="L6472">
        <v>-61.317050000000002</v>
      </c>
      <c r="M6472">
        <v>0.96577170000000001</v>
      </c>
      <c r="N6472">
        <v>0</v>
      </c>
      <c r="O6472">
        <v>0.25894600000000001</v>
      </c>
      <c r="P6472">
        <v>0.73489519999999997</v>
      </c>
      <c r="Q6472">
        <v>0.14520629999999901</v>
      </c>
      <c r="R6472">
        <v>0.66245330000000002</v>
      </c>
      <c r="S6472">
        <v>1.833588</v>
      </c>
      <c r="T6472">
        <v>-0.2392948</v>
      </c>
      <c r="U6472">
        <v>2.553741</v>
      </c>
      <c r="V6472">
        <v>-0.45285039999999999</v>
      </c>
      <c r="W6472">
        <v>0.1488746</v>
      </c>
      <c r="X6472">
        <v>0.87906930000000005</v>
      </c>
      <c r="Y6472">
        <v>-0.63253340000000002</v>
      </c>
      <c r="Z6472">
        <v>6.4864850000000002E-3</v>
      </c>
      <c r="AA6472">
        <v>0.77450589999999997</v>
      </c>
      <c r="AB6472">
        <v>32</v>
      </c>
      <c r="AC6472">
        <v>8.4310999999999794</v>
      </c>
      <c r="AD6472">
        <v>-1.119181081901</v>
      </c>
      <c r="AE6472">
        <v>11.900650000000001</v>
      </c>
      <c r="AF6472">
        <v>-9.2566822157582802</v>
      </c>
      <c r="AG6472">
        <v>-1.119181081901</v>
      </c>
      <c r="AH6472">
        <v>11.1597300447264</v>
      </c>
      <c r="AI6472">
        <v>94.413871943693096</v>
      </c>
      <c r="AJ6472">
        <v>129.67475194077201</v>
      </c>
      <c r="AK6472">
        <v>14.5422937189698</v>
      </c>
      <c r="AL6472">
        <v>81.438286229318905</v>
      </c>
      <c r="AM6472">
        <v>117.25514903171999</v>
      </c>
      <c r="AN6472">
        <v>0.999999982753905</v>
      </c>
    </row>
    <row r="6473" spans="1:40" x14ac:dyDescent="0.25">
      <c r="A6473" t="str">
        <f>"20190312164151571"</f>
        <v>20190312164151571</v>
      </c>
      <c r="B6473" t="str">
        <f>"1552380111562773"</f>
        <v>1552380111562773</v>
      </c>
      <c r="C6473" t="s">
        <v>40</v>
      </c>
      <c r="D6473">
        <v>5.8008499999999996</v>
      </c>
      <c r="E6473">
        <v>0.41453390000000001</v>
      </c>
      <c r="F6473" t="s">
        <v>51</v>
      </c>
      <c r="G6473">
        <v>-197.1069</v>
      </c>
      <c r="H6473" s="1">
        <v>-3.2175710000000002E-6</v>
      </c>
      <c r="I6473">
        <v>-49.108600000000003</v>
      </c>
      <c r="J6473">
        <v>-205.6052</v>
      </c>
      <c r="K6473">
        <v>1.119262</v>
      </c>
      <c r="L6473">
        <v>-61.274320000000003</v>
      </c>
      <c r="M6473">
        <v>0.96446390000000004</v>
      </c>
      <c r="N6473">
        <v>0</v>
      </c>
      <c r="O6473">
        <v>0.26377450000000002</v>
      </c>
      <c r="P6473">
        <v>0.73045899999999997</v>
      </c>
      <c r="Q6473">
        <v>0.14522789999999999</v>
      </c>
      <c r="R6473">
        <v>0.66733710000000002</v>
      </c>
      <c r="S6473">
        <v>1.8158570000000001</v>
      </c>
      <c r="T6473">
        <v>-0.23521069999999999</v>
      </c>
      <c r="U6473">
        <v>2.5657649999999999</v>
      </c>
      <c r="V6473">
        <v>-0.45434790000000003</v>
      </c>
      <c r="W6473">
        <v>0.14877179999999901</v>
      </c>
      <c r="X6473">
        <v>0.87831369999999898</v>
      </c>
      <c r="Y6473">
        <v>-0.63397680000000001</v>
      </c>
      <c r="Z6473">
        <v>6.0569919999999998E-3</v>
      </c>
      <c r="AA6473">
        <v>0.77332840000000003</v>
      </c>
      <c r="AB6473">
        <v>32</v>
      </c>
      <c r="AC6473">
        <v>8.4983000000000004</v>
      </c>
      <c r="AD6473">
        <v>-1.1192652175710001</v>
      </c>
      <c r="AE6473">
        <v>12.165719999999901</v>
      </c>
      <c r="AF6473">
        <v>-9.4391713314102699</v>
      </c>
      <c r="AG6473">
        <v>-1.1192652175710001</v>
      </c>
      <c r="AH6473">
        <v>11.3421161696604</v>
      </c>
      <c r="AI6473">
        <v>94.337646535768101</v>
      </c>
      <c r="AJ6473">
        <v>129.768010018908</v>
      </c>
      <c r="AK6473">
        <v>14.7984563133137</v>
      </c>
      <c r="AL6473">
        <v>81.444242794006598</v>
      </c>
      <c r="AM6473">
        <v>117.352331137348</v>
      </c>
      <c r="AN6473">
        <v>1.0000000091586601</v>
      </c>
    </row>
    <row r="6474" spans="1:40" x14ac:dyDescent="0.25">
      <c r="A6474" t="str">
        <f>"20190312164151583"</f>
        <v>20190312164151583</v>
      </c>
      <c r="B6474" t="str">
        <f>"1552380111572532"</f>
        <v>1552380111572532</v>
      </c>
      <c r="C6474" t="s">
        <v>40</v>
      </c>
      <c r="D6474">
        <v>5.7671409999999996</v>
      </c>
      <c r="E6474">
        <v>0.4147846</v>
      </c>
      <c r="F6474" t="s">
        <v>51</v>
      </c>
      <c r="G6474">
        <v>-196.9598</v>
      </c>
      <c r="H6474" s="1">
        <v>-3.3105260000000002E-6</v>
      </c>
      <c r="I6474">
        <v>-48.896279999999997</v>
      </c>
      <c r="J6474">
        <v>-205.4556</v>
      </c>
      <c r="K6474">
        <v>1.119353</v>
      </c>
      <c r="L6474">
        <v>-61.228580000000001</v>
      </c>
      <c r="M6474">
        <v>0.96304509999999999</v>
      </c>
      <c r="N6474">
        <v>0</v>
      </c>
      <c r="O6474">
        <v>0.26890730000000002</v>
      </c>
      <c r="P6474">
        <v>0.72576839999999998</v>
      </c>
      <c r="Q6474">
        <v>0.14537429999999901</v>
      </c>
      <c r="R6474">
        <v>0.67240339999999998</v>
      </c>
      <c r="S6474">
        <v>1.799515</v>
      </c>
      <c r="T6474">
        <v>-0.23297129999999999</v>
      </c>
      <c r="U6474">
        <v>2.5764469999999999</v>
      </c>
      <c r="V6474">
        <v>-0.45582820000000002</v>
      </c>
      <c r="W6474">
        <v>0.1487897</v>
      </c>
      <c r="X6474">
        <v>0.87754330000000003</v>
      </c>
      <c r="Y6474">
        <v>-0.63468840000000004</v>
      </c>
      <c r="Z6474">
        <v>5.6199880000000002E-3</v>
      </c>
      <c r="AA6474">
        <v>0.77274779999999998</v>
      </c>
      <c r="AB6474">
        <v>32</v>
      </c>
      <c r="AC6474">
        <v>8.4957999999999991</v>
      </c>
      <c r="AD6474">
        <v>-1.119356310526</v>
      </c>
      <c r="AE6474">
        <v>12.3323</v>
      </c>
      <c r="AF6474">
        <v>-9.5397975017394199</v>
      </c>
      <c r="AG6474">
        <v>-1.119356310526</v>
      </c>
      <c r="AH6474">
        <v>11.435533780374</v>
      </c>
      <c r="AI6474">
        <v>94.298478348527993</v>
      </c>
      <c r="AJ6474">
        <v>129.835677091929</v>
      </c>
      <c r="AK6474">
        <v>14.9342602015026</v>
      </c>
      <c r="AL6474">
        <v>81.443205431425099</v>
      </c>
      <c r="AM6474">
        <v>117.44902082394</v>
      </c>
      <c r="AN6474">
        <v>0.99999998305811</v>
      </c>
    </row>
    <row r="6475" spans="1:40" x14ac:dyDescent="0.25">
      <c r="A6475" t="str">
        <f>"20190312164151594"</f>
        <v>20190312164151594</v>
      </c>
      <c r="B6475" t="str">
        <f>"1552380111582294"</f>
        <v>1552380111582294</v>
      </c>
      <c r="C6475" t="s">
        <v>40</v>
      </c>
      <c r="D6475">
        <v>5.762721</v>
      </c>
      <c r="E6475">
        <v>0.41500599999999999</v>
      </c>
      <c r="F6475" t="s">
        <v>51</v>
      </c>
      <c r="G6475">
        <v>-196.8862</v>
      </c>
      <c r="H6475" s="1">
        <v>-3.3528229999999999E-6</v>
      </c>
      <c r="I6475">
        <v>-48.788249999999998</v>
      </c>
      <c r="J6475">
        <v>-205.29640000000001</v>
      </c>
      <c r="K6475">
        <v>1.119445</v>
      </c>
      <c r="L6475">
        <v>-61.17886</v>
      </c>
      <c r="M6475">
        <v>0.96148500000000003</v>
      </c>
      <c r="N6475">
        <v>0</v>
      </c>
      <c r="O6475">
        <v>0.27443250000000002</v>
      </c>
      <c r="P6475">
        <v>0.72111579999999997</v>
      </c>
      <c r="Q6475">
        <v>0.1453171</v>
      </c>
      <c r="R6475">
        <v>0.67740310000000004</v>
      </c>
      <c r="S6475">
        <v>1.7826229999999901</v>
      </c>
      <c r="T6475">
        <v>-0.23285069999999999</v>
      </c>
      <c r="U6475">
        <v>2.58786</v>
      </c>
      <c r="V6475">
        <v>-0.45688679999999898</v>
      </c>
      <c r="W6475">
        <v>0.14861150000000001</v>
      </c>
      <c r="X6475">
        <v>0.87702289999999905</v>
      </c>
      <c r="Y6475">
        <v>-0.6352778</v>
      </c>
      <c r="Z6475">
        <v>5.1977500000000001E-3</v>
      </c>
      <c r="AA6475">
        <v>0.77226619999999901</v>
      </c>
      <c r="AB6475">
        <v>32</v>
      </c>
      <c r="AC6475">
        <v>8.4101999999999997</v>
      </c>
      <c r="AD6475">
        <v>-1.1194483528229999</v>
      </c>
      <c r="AE6475">
        <v>12.390610000000001</v>
      </c>
      <c r="AF6475">
        <v>-9.5530915957006801</v>
      </c>
      <c r="AG6475">
        <v>-1.1194483528229999</v>
      </c>
      <c r="AH6475">
        <v>11.424169321138899</v>
      </c>
      <c r="AI6475">
        <v>94.298888078600996</v>
      </c>
      <c r="AJ6475">
        <v>129.90296158860599</v>
      </c>
      <c r="AK6475">
        <v>14.9340673739118</v>
      </c>
      <c r="AL6475">
        <v>81.453530875580995</v>
      </c>
      <c r="AM6475">
        <v>117.517348911212</v>
      </c>
      <c r="AN6475">
        <v>1.0000000465354399</v>
      </c>
    </row>
    <row r="6476" spans="1:40" x14ac:dyDescent="0.25">
      <c r="A6476" t="str">
        <f>"20190312164151605"</f>
        <v>20190312164151605</v>
      </c>
      <c r="B6476" t="str">
        <f>"1552380111592052"</f>
        <v>1552380111592052</v>
      </c>
      <c r="C6476" t="s">
        <v>40</v>
      </c>
      <c r="D6476">
        <v>5.800529</v>
      </c>
      <c r="E6476">
        <v>0.41515999999999997</v>
      </c>
      <c r="F6476" t="s">
        <v>51</v>
      </c>
      <c r="G6476">
        <v>-196.7859</v>
      </c>
      <c r="H6476" s="1">
        <v>-3.4044969999999999E-6</v>
      </c>
      <c r="I6476">
        <v>-48.650080000000003</v>
      </c>
      <c r="J6476">
        <v>-205.1533</v>
      </c>
      <c r="K6476">
        <v>1.1195269999999999</v>
      </c>
      <c r="L6476">
        <v>-61.133090000000003</v>
      </c>
      <c r="M6476">
        <v>0.96003320000000003</v>
      </c>
      <c r="N6476">
        <v>0</v>
      </c>
      <c r="O6476">
        <v>0.27946789999999999</v>
      </c>
      <c r="P6476">
        <v>0.71638559999999996</v>
      </c>
      <c r="Q6476">
        <v>0.14569089999999901</v>
      </c>
      <c r="R6476">
        <v>0.68232389999999998</v>
      </c>
      <c r="S6476">
        <v>1.7655029999999901</v>
      </c>
      <c r="T6476">
        <v>-0.23222899999999999</v>
      </c>
      <c r="U6476">
        <v>2.599091</v>
      </c>
      <c r="V6476">
        <v>-0.45835749999999997</v>
      </c>
      <c r="W6476">
        <v>0.14886089999999999</v>
      </c>
      <c r="X6476">
        <v>0.87621280000000001</v>
      </c>
      <c r="Y6476">
        <v>-0.63627599999999995</v>
      </c>
      <c r="Z6476">
        <v>4.8260239999999999E-3</v>
      </c>
      <c r="AA6476">
        <v>0.77144639999999998</v>
      </c>
      <c r="AB6476">
        <v>32</v>
      </c>
      <c r="AC6476">
        <v>8.3673999999999999</v>
      </c>
      <c r="AD6476">
        <v>-1.119530404497</v>
      </c>
      <c r="AE6476">
        <v>12.48301</v>
      </c>
      <c r="AF6476">
        <v>-9.5935709523918398</v>
      </c>
      <c r="AG6476">
        <v>-1.119530404497</v>
      </c>
      <c r="AH6476">
        <v>11.4593339723904</v>
      </c>
      <c r="AI6476">
        <v>94.284028075185205</v>
      </c>
      <c r="AJ6476">
        <v>129.93553052910701</v>
      </c>
      <c r="AK6476">
        <v>14.9868704883958</v>
      </c>
      <c r="AL6476">
        <v>81.439080331740399</v>
      </c>
      <c r="AM6476">
        <v>117.614609385298</v>
      </c>
      <c r="AN6476">
        <v>1.0000000181194499</v>
      </c>
    </row>
    <row r="6477" spans="1:40" x14ac:dyDescent="0.25">
      <c r="A6477" t="str">
        <f>"20190312164151615"</f>
        <v>20190312164151615</v>
      </c>
      <c r="B6477" t="str">
        <f>"1552380111612548"</f>
        <v>1552380111612548</v>
      </c>
      <c r="C6477" t="s">
        <v>40</v>
      </c>
      <c r="D6477">
        <v>5.7770330000000003</v>
      </c>
      <c r="E6477">
        <v>0.41564060000000003</v>
      </c>
      <c r="F6477" t="s">
        <v>51</v>
      </c>
      <c r="G6477">
        <v>-196.67529999999999</v>
      </c>
      <c r="H6477" s="1">
        <v>-3.4741139999999999E-6</v>
      </c>
      <c r="I6477">
        <v>-48.472610000000003</v>
      </c>
      <c r="J6477">
        <v>-205.00790000000001</v>
      </c>
      <c r="K6477">
        <v>1.1196140000000001</v>
      </c>
      <c r="L6477">
        <v>-61.086089999999999</v>
      </c>
      <c r="M6477">
        <v>0.95852059999999994</v>
      </c>
      <c r="N6477">
        <v>0</v>
      </c>
      <c r="O6477">
        <v>0.28461160000000002</v>
      </c>
      <c r="P6477">
        <v>0.71157130000000002</v>
      </c>
      <c r="Q6477">
        <v>0.1460465</v>
      </c>
      <c r="R6477">
        <v>0.68726750000000003</v>
      </c>
      <c r="S6477">
        <v>1.7481690000000001</v>
      </c>
      <c r="T6477">
        <v>-0.23084779999999999</v>
      </c>
      <c r="U6477">
        <v>2.6105960000000001</v>
      </c>
      <c r="V6477">
        <v>-0.45978839999999999</v>
      </c>
      <c r="W6477">
        <v>0.149091</v>
      </c>
      <c r="X6477">
        <v>0.87542359999999897</v>
      </c>
      <c r="Y6477">
        <v>-0.63726819999999995</v>
      </c>
      <c r="Z6477">
        <v>4.4312659999999997E-3</v>
      </c>
      <c r="AA6477">
        <v>0.77062929999999996</v>
      </c>
      <c r="AB6477">
        <v>32</v>
      </c>
      <c r="AC6477">
        <v>8.33260000000001</v>
      </c>
      <c r="AD6477">
        <v>-1.1196174741139999</v>
      </c>
      <c r="AE6477">
        <v>12.613479999999999</v>
      </c>
      <c r="AF6477">
        <v>-9.6668409893156007</v>
      </c>
      <c r="AG6477">
        <v>-1.1196174741139999</v>
      </c>
      <c r="AH6477">
        <v>11.515106475234999</v>
      </c>
      <c r="AI6477">
        <v>94.258861329838098</v>
      </c>
      <c r="AJ6477">
        <v>130.013193462418</v>
      </c>
      <c r="AK6477">
        <v>15.0764397367898</v>
      </c>
      <c r="AL6477">
        <v>81.425747543448594</v>
      </c>
      <c r="AM6477">
        <v>117.709272184978</v>
      </c>
      <c r="AN6477">
        <v>0.99999998924625899</v>
      </c>
    </row>
    <row r="6478" spans="1:40" x14ac:dyDescent="0.25">
      <c r="A6478" t="str">
        <f>"20190312164151629"</f>
        <v>20190312164151629</v>
      </c>
      <c r="B6478" t="str">
        <f>"1552380111622308"</f>
        <v>1552380111622308</v>
      </c>
      <c r="C6478" t="s">
        <v>40</v>
      </c>
      <c r="D6478">
        <v>5.7263789999999997</v>
      </c>
      <c r="E6478">
        <v>0.41597770000000001</v>
      </c>
      <c r="F6478" t="s">
        <v>42</v>
      </c>
      <c r="G6478">
        <v>-204.48820000000001</v>
      </c>
      <c r="H6478">
        <v>1.0503150000000001</v>
      </c>
      <c r="I6478">
        <v>-60.300139999999999</v>
      </c>
      <c r="J6478">
        <v>-204.84</v>
      </c>
      <c r="K6478">
        <v>1.1197109999999999</v>
      </c>
      <c r="L6478">
        <v>-61.030090000000001</v>
      </c>
      <c r="M6478">
        <v>0.95670469999999996</v>
      </c>
      <c r="N6478">
        <v>0</v>
      </c>
      <c r="O6478">
        <v>0.29065669999999999</v>
      </c>
      <c r="P6478">
        <v>0.70623800000000003</v>
      </c>
      <c r="Q6478">
        <v>0.1461094</v>
      </c>
      <c r="R6478">
        <v>0.69273359999999995</v>
      </c>
      <c r="S6478">
        <v>1.732605</v>
      </c>
      <c r="T6478">
        <v>-0.23102890000000001</v>
      </c>
      <c r="U6478">
        <v>2.6203310000000002</v>
      </c>
      <c r="V6478">
        <v>-0.4610554</v>
      </c>
      <c r="W6478">
        <v>0.14902309999999999</v>
      </c>
      <c r="X6478">
        <v>0.87476860000000001</v>
      </c>
      <c r="Y6478">
        <v>-0.63692029999999999</v>
      </c>
      <c r="Z6478">
        <v>3.9253140000000001E-3</v>
      </c>
      <c r="AA6478">
        <v>0.77091969999999899</v>
      </c>
      <c r="AB6478">
        <v>32</v>
      </c>
      <c r="AC6478">
        <v>0.351799999999997</v>
      </c>
      <c r="AD6478">
        <v>-6.9396000000000194E-2</v>
      </c>
      <c r="AE6478">
        <v>0.72995000000000199</v>
      </c>
      <c r="AF6478">
        <v>-0.59182279864932796</v>
      </c>
      <c r="AG6478">
        <v>-6.9396000000000194E-2</v>
      </c>
      <c r="AH6478">
        <v>0.54480211685132796</v>
      </c>
      <c r="AI6478">
        <v>94.930711980180604</v>
      </c>
      <c r="AJ6478">
        <v>137.36890050365699</v>
      </c>
      <c r="AK6478">
        <v>0.80739047327969604</v>
      </c>
      <c r="AL6478">
        <v>81.429682272955702</v>
      </c>
      <c r="AM6478">
        <v>117.791913906784</v>
      </c>
      <c r="AN6478">
        <v>1.0000000348743601</v>
      </c>
    </row>
    <row r="6479" spans="1:40" x14ac:dyDescent="0.25">
      <c r="A6479" t="str">
        <f>"20190312164151640"</f>
        <v>20190312164151640</v>
      </c>
      <c r="B6479" t="str">
        <f>"1552380111632070"</f>
        <v>1552380111632070</v>
      </c>
      <c r="C6479" t="s">
        <v>40</v>
      </c>
      <c r="D6479">
        <v>5.8536190000000001</v>
      </c>
      <c r="E6479">
        <v>0.41624499999999998</v>
      </c>
      <c r="F6479" t="s">
        <v>51</v>
      </c>
      <c r="G6479">
        <v>-196.5282</v>
      </c>
      <c r="H6479" s="1">
        <v>-3.552023E-6</v>
      </c>
      <c r="I6479">
        <v>-48.265749999999997</v>
      </c>
      <c r="J6479">
        <v>-204.68180000000001</v>
      </c>
      <c r="K6479">
        <v>1.119801</v>
      </c>
      <c r="L6479">
        <v>-60.976680000000002</v>
      </c>
      <c r="M6479">
        <v>0.95494599999999996</v>
      </c>
      <c r="N6479">
        <v>0</v>
      </c>
      <c r="O6479">
        <v>0.29638239999999999</v>
      </c>
      <c r="P6479">
        <v>0.70108970000000004</v>
      </c>
      <c r="Q6479">
        <v>0.14645910000000001</v>
      </c>
      <c r="R6479">
        <v>0.69787030000000005</v>
      </c>
      <c r="S6479">
        <v>1.713913</v>
      </c>
      <c r="T6479">
        <v>-0.23088880000000001</v>
      </c>
      <c r="U6479">
        <v>2.63205</v>
      </c>
      <c r="V6479">
        <v>-0.46226689999999998</v>
      </c>
      <c r="W6479">
        <v>0.14924760000000001</v>
      </c>
      <c r="X6479">
        <v>0.874090699999999</v>
      </c>
      <c r="Y6479">
        <v>-0.63772850000000003</v>
      </c>
      <c r="Z6479">
        <v>3.4980789999999999E-3</v>
      </c>
      <c r="AA6479">
        <v>0.77025330000000003</v>
      </c>
      <c r="AB6479">
        <v>32</v>
      </c>
      <c r="AC6479">
        <v>8.1536000000000097</v>
      </c>
      <c r="AD6479">
        <v>-1.119804552023</v>
      </c>
      <c r="AE6479">
        <v>12.710929999999999</v>
      </c>
      <c r="AF6479">
        <v>-9.6696436600660292</v>
      </c>
      <c r="AG6479">
        <v>-1.119804552023</v>
      </c>
      <c r="AH6479">
        <v>11.491715978796201</v>
      </c>
      <c r="AI6479">
        <v>94.264120543679596</v>
      </c>
      <c r="AJ6479">
        <v>130.07875664246899</v>
      </c>
      <c r="AK6479">
        <v>15.060395309709101</v>
      </c>
      <c r="AL6479">
        <v>81.416673960432007</v>
      </c>
      <c r="AM6479">
        <v>117.872331329304</v>
      </c>
      <c r="AN6479">
        <v>1.0000000423839199</v>
      </c>
    </row>
    <row r="6480" spans="1:40" x14ac:dyDescent="0.25">
      <c r="A6480" t="str">
        <f>"20190312164151651"</f>
        <v>20190312164151651</v>
      </c>
      <c r="B6480" t="str">
        <f>"1552380111642805"</f>
        <v>1552380111642805</v>
      </c>
      <c r="C6480" t="s">
        <v>40</v>
      </c>
      <c r="D6480">
        <v>5.7777000000000003</v>
      </c>
      <c r="E6480">
        <v>0.41658390000000001</v>
      </c>
      <c r="F6480" t="s">
        <v>51</v>
      </c>
      <c r="G6480">
        <v>-196.43010000000001</v>
      </c>
      <c r="H6480" s="1">
        <v>-3.610831E-6</v>
      </c>
      <c r="I6480">
        <v>-48.114179999999998</v>
      </c>
      <c r="J6480">
        <v>-204.5318</v>
      </c>
      <c r="K6480">
        <v>1.119885</v>
      </c>
      <c r="L6480">
        <v>-60.92465</v>
      </c>
      <c r="M6480">
        <v>0.95321630000000002</v>
      </c>
      <c r="N6480">
        <v>0</v>
      </c>
      <c r="O6480">
        <v>0.3018979</v>
      </c>
      <c r="P6480">
        <v>0.69599350000000004</v>
      </c>
      <c r="Q6480">
        <v>0.14679829999999999</v>
      </c>
      <c r="R6480">
        <v>0.70288209999999995</v>
      </c>
      <c r="S6480">
        <v>1.6958470000000001</v>
      </c>
      <c r="T6480">
        <v>-0.23013629999999999</v>
      </c>
      <c r="U6480">
        <v>2.6434329999999999</v>
      </c>
      <c r="V6480">
        <v>-0.46354800000000002</v>
      </c>
      <c r="W6480">
        <v>0.14946499999999999</v>
      </c>
      <c r="X6480">
        <v>0.87337480000000001</v>
      </c>
      <c r="Y6480">
        <v>-0.63852889999999995</v>
      </c>
      <c r="Z6480">
        <v>3.0785560000000001E-3</v>
      </c>
      <c r="AA6480">
        <v>0.76959169999999999</v>
      </c>
      <c r="AB6480">
        <v>32</v>
      </c>
      <c r="AC6480">
        <v>8.1016999999999904</v>
      </c>
      <c r="AD6480">
        <v>-1.119888610831</v>
      </c>
      <c r="AE6480">
        <v>12.81047</v>
      </c>
      <c r="AF6480">
        <v>-9.7133926884930109</v>
      </c>
      <c r="AG6480">
        <v>-1.119888610831</v>
      </c>
      <c r="AH6480">
        <v>11.528563493486001</v>
      </c>
      <c r="AI6480">
        <v>94.248553461926505</v>
      </c>
      <c r="AJ6480">
        <v>130.11581766379601</v>
      </c>
      <c r="AK6480">
        <v>15.1166108716497</v>
      </c>
      <c r="AL6480">
        <v>81.404076520180396</v>
      </c>
      <c r="AM6480">
        <v>117.95734882753401</v>
      </c>
      <c r="AN6480">
        <v>1.00000003790201</v>
      </c>
    </row>
    <row r="6481" spans="1:40" x14ac:dyDescent="0.25">
      <c r="A6481" t="str">
        <f>"20190312164151661"</f>
        <v>20190312164151661</v>
      </c>
      <c r="B6481" t="str">
        <f>"1552380111652564"</f>
        <v>1552380111652564</v>
      </c>
      <c r="C6481" t="s">
        <v>40</v>
      </c>
      <c r="D6481">
        <v>5.7974949999999996</v>
      </c>
      <c r="E6481">
        <v>0.41680299999999998</v>
      </c>
      <c r="F6481" t="s">
        <v>51</v>
      </c>
      <c r="G6481">
        <v>-196.30109999999999</v>
      </c>
      <c r="H6481" s="1">
        <v>-3.691066E-6</v>
      </c>
      <c r="I6481">
        <v>-47.909109999999998</v>
      </c>
      <c r="J6481">
        <v>-204.39670000000001</v>
      </c>
      <c r="K6481">
        <v>1.119958</v>
      </c>
      <c r="L6481">
        <v>-60.877139999999997</v>
      </c>
      <c r="M6481">
        <v>0.95161969999999996</v>
      </c>
      <c r="N6481">
        <v>0</v>
      </c>
      <c r="O6481">
        <v>0.30689300000000003</v>
      </c>
      <c r="P6481">
        <v>0.69168180000000001</v>
      </c>
      <c r="Q6481">
        <v>0.1466981</v>
      </c>
      <c r="R6481">
        <v>0.70714639999999995</v>
      </c>
      <c r="S6481">
        <v>1.6783140000000001</v>
      </c>
      <c r="T6481">
        <v>-0.2283559</v>
      </c>
      <c r="U6481">
        <v>2.6539920000000001</v>
      </c>
      <c r="V6481">
        <v>-0.4643564</v>
      </c>
      <c r="W6481">
        <v>0.14926789999999901</v>
      </c>
      <c r="X6481">
        <v>0.87297899999999995</v>
      </c>
      <c r="Y6481">
        <v>-0.63952849999999895</v>
      </c>
      <c r="Z6481">
        <v>2.701307E-3</v>
      </c>
      <c r="AA6481">
        <v>0.76876259999999996</v>
      </c>
      <c r="AB6481">
        <v>32</v>
      </c>
      <c r="AC6481">
        <v>8.0956000000000099</v>
      </c>
      <c r="AD6481">
        <v>-1.119961691066</v>
      </c>
      <c r="AE6481">
        <v>12.968030000000001</v>
      </c>
      <c r="AF6481">
        <v>-9.8046943866039893</v>
      </c>
      <c r="AG6481">
        <v>-1.119961691066</v>
      </c>
      <c r="AH6481">
        <v>11.6227334654968</v>
      </c>
      <c r="AI6481">
        <v>94.212400531786201</v>
      </c>
      <c r="AJ6481">
        <v>130.150277446822</v>
      </c>
      <c r="AK6481">
        <v>15.247107247413799</v>
      </c>
      <c r="AL6481">
        <v>81.415497774399896</v>
      </c>
      <c r="AM6481">
        <v>118.009476907468</v>
      </c>
      <c r="AN6481">
        <v>1.0000000533161799</v>
      </c>
    </row>
    <row r="6482" spans="1:40" x14ac:dyDescent="0.25">
      <c r="A6482" t="str">
        <f>"20190312164151674"</f>
        <v>20190312164151674</v>
      </c>
      <c r="B6482" t="str">
        <f>"1552380111662325"</f>
        <v>1552380111662325</v>
      </c>
      <c r="C6482" t="s">
        <v>40</v>
      </c>
      <c r="D6482">
        <v>5.7473229999999997</v>
      </c>
      <c r="E6482">
        <v>0.41717480000000001</v>
      </c>
      <c r="F6482" t="s">
        <v>51</v>
      </c>
      <c r="G6482">
        <v>-196.2749</v>
      </c>
      <c r="H6482" s="1">
        <v>-3.7071160000000001E-6</v>
      </c>
      <c r="I6482">
        <v>-47.86797</v>
      </c>
      <c r="J6482">
        <v>-204.23509999999999</v>
      </c>
      <c r="K6482">
        <v>1.1200399999999999</v>
      </c>
      <c r="L6482">
        <v>-60.819090000000003</v>
      </c>
      <c r="M6482">
        <v>0.94965060000000001</v>
      </c>
      <c r="N6482">
        <v>0</v>
      </c>
      <c r="O6482">
        <v>0.31293199999999999</v>
      </c>
      <c r="P6482">
        <v>0.68646669999999999</v>
      </c>
      <c r="Q6482">
        <v>0.14673520000000001</v>
      </c>
      <c r="R6482">
        <v>0.71220240000000001</v>
      </c>
      <c r="S6482">
        <v>1.662857</v>
      </c>
      <c r="T6482">
        <v>-0.22930229999999999</v>
      </c>
      <c r="U6482">
        <v>2.663513</v>
      </c>
      <c r="V6482">
        <v>-0.46525349999999999</v>
      </c>
      <c r="W6482">
        <v>0.14919379999999999</v>
      </c>
      <c r="X6482">
        <v>0.87251380000000001</v>
      </c>
      <c r="Y6482">
        <v>-0.63909930000000004</v>
      </c>
      <c r="Z6482">
        <v>2.1982030000000001E-3</v>
      </c>
      <c r="AA6482">
        <v>0.769121099999999</v>
      </c>
      <c r="AB6482">
        <v>32</v>
      </c>
      <c r="AC6482">
        <v>7.96019999999998</v>
      </c>
      <c r="AD6482">
        <v>-1.1200437071160001</v>
      </c>
      <c r="AE6482">
        <v>12.95112</v>
      </c>
      <c r="AF6482">
        <v>-9.7562401113405297</v>
      </c>
      <c r="AG6482">
        <v>-1.1200437071160001</v>
      </c>
      <c r="AH6482">
        <v>11.5509029728542</v>
      </c>
      <c r="AI6482">
        <v>94.2366224771948</v>
      </c>
      <c r="AJ6482">
        <v>130.18544213572599</v>
      </c>
      <c r="AK6482">
        <v>15.161203069158899</v>
      </c>
      <c r="AL6482">
        <v>81.419790752109805</v>
      </c>
      <c r="AM6482">
        <v>118.068028974447</v>
      </c>
      <c r="AN6482">
        <v>0.99999997020556397</v>
      </c>
    </row>
    <row r="6483" spans="1:40" x14ac:dyDescent="0.25">
      <c r="A6483" t="str">
        <f>"20190312164151687"</f>
        <v>20190312164151687</v>
      </c>
      <c r="B6483" t="str">
        <f>"1552380111682820"</f>
        <v>1552380111682820</v>
      </c>
      <c r="C6483" t="s">
        <v>40</v>
      </c>
      <c r="D6483">
        <v>5.8485969999999998</v>
      </c>
      <c r="E6483">
        <v>0.41774270000000002</v>
      </c>
      <c r="F6483" t="s">
        <v>51</v>
      </c>
      <c r="G6483">
        <v>-196.19800000000001</v>
      </c>
      <c r="H6483" s="1">
        <v>-3.7505419999999998E-6</v>
      </c>
      <c r="I6483">
        <v>-47.754449999999999</v>
      </c>
      <c r="J6483">
        <v>-204.06200000000001</v>
      </c>
      <c r="K6483">
        <v>1.1201299999999901</v>
      </c>
      <c r="L6483">
        <v>-60.755400000000002</v>
      </c>
      <c r="M6483">
        <v>0.94746810000000004</v>
      </c>
      <c r="N6483">
        <v>0</v>
      </c>
      <c r="O6483">
        <v>0.31947789999999998</v>
      </c>
      <c r="P6483">
        <v>0.68116919999999903</v>
      </c>
      <c r="Q6483">
        <v>0.14642810000000001</v>
      </c>
      <c r="R6483">
        <v>0.71733340000000001</v>
      </c>
      <c r="S6483">
        <v>1.644989</v>
      </c>
      <c r="T6483">
        <v>-0.2292428</v>
      </c>
      <c r="U6483">
        <v>2.6739809999999999</v>
      </c>
      <c r="V6483">
        <v>-0.46578619999999998</v>
      </c>
      <c r="W6483">
        <v>0.148785</v>
      </c>
      <c r="X6483">
        <v>0.87229939999999995</v>
      </c>
      <c r="Y6483">
        <v>-0.63888009999999995</v>
      </c>
      <c r="Z6483">
        <v>1.6518100000000001E-3</v>
      </c>
      <c r="AA6483">
        <v>0.76930459999999901</v>
      </c>
      <c r="AB6483">
        <v>32</v>
      </c>
      <c r="AC6483">
        <v>7.8640000000000301</v>
      </c>
      <c r="AD6483">
        <v>-1.1201337505419999</v>
      </c>
      <c r="AE6483">
        <v>13.00095</v>
      </c>
      <c r="AF6483">
        <v>-9.7537695621189506</v>
      </c>
      <c r="AG6483">
        <v>-1.1201337505419999</v>
      </c>
      <c r="AH6483">
        <v>11.5430536080318</v>
      </c>
      <c r="AI6483">
        <v>94.239082181128694</v>
      </c>
      <c r="AJ6483">
        <v>130.19748922522101</v>
      </c>
      <c r="AK6483">
        <v>15.153640054056901</v>
      </c>
      <c r="AL6483">
        <v>81.443477914207506</v>
      </c>
      <c r="AM6483">
        <v>118.10110895339101</v>
      </c>
      <c r="AN6483">
        <v>1.0000000017879001</v>
      </c>
    </row>
    <row r="6484" spans="1:40" x14ac:dyDescent="0.25">
      <c r="A6484" t="str">
        <f>"20190312164151700"</f>
        <v>20190312164151700</v>
      </c>
      <c r="B6484" t="str">
        <f>"1552380111692581"</f>
        <v>1552380111692581</v>
      </c>
      <c r="C6484" t="s">
        <v>40</v>
      </c>
      <c r="D6484">
        <v>5.6788369999999997</v>
      </c>
      <c r="E6484">
        <v>0.41774270000000002</v>
      </c>
      <c r="F6484" t="s">
        <v>51</v>
      </c>
      <c r="G6484">
        <v>-196.1968</v>
      </c>
      <c r="H6484" s="1">
        <v>-3.7342179999999998E-6</v>
      </c>
      <c r="I6484">
        <v>-47.786470000000001</v>
      </c>
      <c r="J6484">
        <v>-203.88390000000001</v>
      </c>
      <c r="K6484">
        <v>1.1202160000000001</v>
      </c>
      <c r="L6484">
        <v>-60.688780000000001</v>
      </c>
      <c r="M6484">
        <v>0.94515280000000002</v>
      </c>
      <c r="N6484">
        <v>0</v>
      </c>
      <c r="O6484">
        <v>0.32626300000000003</v>
      </c>
      <c r="P6484">
        <v>0.67578400000000005</v>
      </c>
      <c r="Q6484">
        <v>0.14634049999999901</v>
      </c>
      <c r="R6484">
        <v>0.72242689999999998</v>
      </c>
      <c r="S6484">
        <v>1.62767</v>
      </c>
      <c r="T6484">
        <v>-0.2318074</v>
      </c>
      <c r="U6484">
        <v>2.6838679999999999</v>
      </c>
      <c r="V6484">
        <v>-0.46610620000000003</v>
      </c>
      <c r="W6484">
        <v>0.1486007</v>
      </c>
      <c r="X6484">
        <v>0.87215980000000004</v>
      </c>
      <c r="Y6484">
        <v>-0.63825050000000005</v>
      </c>
      <c r="Z6484">
        <v>1.0760590000000001E-3</v>
      </c>
      <c r="AA6484">
        <v>0.76982799999999996</v>
      </c>
      <c r="AB6484">
        <v>32</v>
      </c>
      <c r="AC6484">
        <v>7.6871000000000098</v>
      </c>
      <c r="AD6484">
        <v>-1.12021973421799</v>
      </c>
      <c r="AE6484">
        <v>12.90231</v>
      </c>
      <c r="AF6484">
        <v>-9.6341950110882699</v>
      </c>
      <c r="AG6484">
        <v>-1.12021973421799</v>
      </c>
      <c r="AH6484">
        <v>11.412905061087599</v>
      </c>
      <c r="AI6484">
        <v>94.289343357118497</v>
      </c>
      <c r="AJ6484">
        <v>130.16935873709701</v>
      </c>
      <c r="AK6484">
        <v>14.9775501233682</v>
      </c>
      <c r="AL6484">
        <v>81.454155676801406</v>
      </c>
      <c r="AM6484">
        <v>118.121273678842</v>
      </c>
      <c r="AN6484">
        <v>0.99999993722748304</v>
      </c>
    </row>
    <row r="6485" spans="1:40" x14ac:dyDescent="0.25">
      <c r="A6485" t="str">
        <f>"20190312164151717"</f>
        <v>20190312164151717</v>
      </c>
      <c r="B6485" t="str">
        <f>"1552380111712100"</f>
        <v>1552380111712100</v>
      </c>
      <c r="C6485" t="s">
        <v>40</v>
      </c>
      <c r="D6485">
        <v>5.7471079999999999</v>
      </c>
      <c r="E6485">
        <v>0.43590489999999998</v>
      </c>
      <c r="F6485" t="s">
        <v>51</v>
      </c>
      <c r="G6485">
        <v>-196.09780000000001</v>
      </c>
      <c r="H6485" s="1">
        <v>-3.799699E-6</v>
      </c>
      <c r="I6485">
        <v>-47.621310000000001</v>
      </c>
      <c r="J6485">
        <v>-203.65710000000001</v>
      </c>
      <c r="K6485">
        <v>1.1203240000000001</v>
      </c>
      <c r="L6485">
        <v>-60.601590000000002</v>
      </c>
      <c r="M6485">
        <v>0.94208479999999994</v>
      </c>
      <c r="N6485">
        <v>0</v>
      </c>
      <c r="O6485">
        <v>0.33501740000000002</v>
      </c>
      <c r="P6485">
        <v>0.66852429999999996</v>
      </c>
      <c r="Q6485">
        <v>0.14547879999999999</v>
      </c>
      <c r="R6485">
        <v>0.72932249999999998</v>
      </c>
      <c r="S6485">
        <v>1.6067049999999901</v>
      </c>
      <c r="T6485">
        <v>-0.23116249999999999</v>
      </c>
      <c r="U6485">
        <v>2.6965330000000001</v>
      </c>
      <c r="V6485">
        <v>-0.46692400000000001</v>
      </c>
      <c r="W6485">
        <v>0.14760699999999999</v>
      </c>
      <c r="X6485">
        <v>0.87189110000000003</v>
      </c>
      <c r="Y6485">
        <v>-0.63714499999999996</v>
      </c>
      <c r="Z6485">
        <v>2.9142760000000001E-4</v>
      </c>
      <c r="AA6485">
        <v>0.77074390000000004</v>
      </c>
      <c r="AB6485">
        <v>32</v>
      </c>
      <c r="AC6485">
        <v>7.5593000000000004</v>
      </c>
      <c r="AD6485">
        <v>-1.120327799699</v>
      </c>
      <c r="AE6485">
        <v>12.98028</v>
      </c>
      <c r="AF6485">
        <v>-9.6435441729752593</v>
      </c>
      <c r="AG6485">
        <v>-1.120327799699</v>
      </c>
      <c r="AH6485">
        <v>11.4080350730275</v>
      </c>
      <c r="AI6485">
        <v>94.289093889084796</v>
      </c>
      <c r="AJ6485">
        <v>130.20880960062101</v>
      </c>
      <c r="AK6485">
        <v>14.9798645795724</v>
      </c>
      <c r="AL6485">
        <v>81.511725662336701</v>
      </c>
      <c r="AM6485">
        <v>118.170393355651</v>
      </c>
      <c r="AN6485">
        <v>0.99999996924210399</v>
      </c>
    </row>
    <row r="6486" spans="1:40" x14ac:dyDescent="0.25">
      <c r="A6486" t="str">
        <f>"20190312164151731"</f>
        <v>20190312164151731</v>
      </c>
      <c r="B6486" t="str">
        <f>"1552380111722836"</f>
        <v>1552380111722836</v>
      </c>
      <c r="C6486" t="s">
        <v>40</v>
      </c>
      <c r="D6486">
        <v>5.780062</v>
      </c>
      <c r="E6486">
        <v>0.43619190000000002</v>
      </c>
      <c r="F6486" t="s">
        <v>42</v>
      </c>
      <c r="G6486">
        <v>-203.17310000000001</v>
      </c>
      <c r="H6486">
        <v>1.061733</v>
      </c>
      <c r="I6486">
        <v>-59.850090000000002</v>
      </c>
      <c r="J6486">
        <v>-203.48079999999999</v>
      </c>
      <c r="K6486">
        <v>1.1204000000000001</v>
      </c>
      <c r="L6486">
        <v>-60.531519999999901</v>
      </c>
      <c r="M6486">
        <v>0.93959669999999895</v>
      </c>
      <c r="N6486">
        <v>0</v>
      </c>
      <c r="O6486">
        <v>0.34193289999999998</v>
      </c>
      <c r="P6486">
        <v>0.66304289999999999</v>
      </c>
      <c r="Q6486">
        <v>0.14511370000000001</v>
      </c>
      <c r="R6486">
        <v>0.73438159999999997</v>
      </c>
      <c r="S6486">
        <v>1.6822809999999999</v>
      </c>
      <c r="T6486">
        <v>-0.20364940000000001</v>
      </c>
      <c r="U6486">
        <v>2.6119690000000002</v>
      </c>
      <c r="V6486">
        <v>-0.46713670000000002</v>
      </c>
      <c r="W6486">
        <v>0.1471557</v>
      </c>
      <c r="X6486">
        <v>0.87185349999999995</v>
      </c>
      <c r="Y6486">
        <v>-0.60432849999999905</v>
      </c>
      <c r="Z6486">
        <v>-1.696333E-3</v>
      </c>
      <c r="AA6486">
        <v>0.79673349999999998</v>
      </c>
      <c r="AB6486">
        <v>32</v>
      </c>
      <c r="AC6486">
        <v>0.30769999999998199</v>
      </c>
      <c r="AD6486">
        <v>-5.8666999999999997E-2</v>
      </c>
      <c r="AE6486">
        <v>0.68142999999999099</v>
      </c>
      <c r="AF6486">
        <v>-0.53184635028223703</v>
      </c>
      <c r="AG6486">
        <v>-5.8666999999999997E-2</v>
      </c>
      <c r="AH6486">
        <v>0.518984599730276</v>
      </c>
      <c r="AI6486">
        <v>94.514048876022002</v>
      </c>
      <c r="AJ6486">
        <v>135.701242410194</v>
      </c>
      <c r="AK6486">
        <v>0.74541758226830901</v>
      </c>
      <c r="AL6486">
        <v>81.537869093707499</v>
      </c>
      <c r="AM6486">
        <v>118.18228309424001</v>
      </c>
      <c r="AN6486">
        <v>1.00000001099581</v>
      </c>
    </row>
    <row r="6487" spans="1:40" x14ac:dyDescent="0.25">
      <c r="A6487" t="str">
        <f>"20190312164151742"</f>
        <v>20190312164151742</v>
      </c>
      <c r="B6487" t="str">
        <f>"1552380111732596"</f>
        <v>1552380111732596</v>
      </c>
      <c r="C6487" t="s">
        <v>40</v>
      </c>
      <c r="D6487">
        <v>5.7209589999999997</v>
      </c>
      <c r="E6487">
        <v>0.43665969999999998</v>
      </c>
      <c r="F6487" t="s">
        <v>42</v>
      </c>
      <c r="G6487">
        <v>-202.95009999999999</v>
      </c>
      <c r="H6487">
        <v>1.055674</v>
      </c>
      <c r="I6487">
        <v>-59.694800000000001</v>
      </c>
      <c r="J6487">
        <v>-203.3338</v>
      </c>
      <c r="K6487">
        <v>1.1204689999999999</v>
      </c>
      <c r="L6487">
        <v>-60.472320000000003</v>
      </c>
      <c r="M6487">
        <v>0.93746399999999996</v>
      </c>
      <c r="N6487">
        <v>0</v>
      </c>
      <c r="O6487">
        <v>0.3477364</v>
      </c>
      <c r="P6487">
        <v>0.65840100000000001</v>
      </c>
      <c r="Q6487">
        <v>0.14444709999999999</v>
      </c>
      <c r="R6487">
        <v>0.73867669999999996</v>
      </c>
      <c r="S6487">
        <v>1.6632229999999999</v>
      </c>
      <c r="T6487">
        <v>-0.20289289999999999</v>
      </c>
      <c r="U6487">
        <v>2.6234739999999999</v>
      </c>
      <c r="V6487">
        <v>-0.4673735</v>
      </c>
      <c r="W6487">
        <v>0.1464152</v>
      </c>
      <c r="X6487">
        <v>0.87185119999999905</v>
      </c>
      <c r="Y6487">
        <v>-0.6051221</v>
      </c>
      <c r="Z6487">
        <v>-2.081964E-3</v>
      </c>
      <c r="AA6487">
        <v>0.79613</v>
      </c>
      <c r="AB6487">
        <v>32</v>
      </c>
      <c r="AC6487">
        <v>0.38370000000000398</v>
      </c>
      <c r="AD6487">
        <v>-6.4795000000000103E-2</v>
      </c>
      <c r="AE6487">
        <v>0.77751999999999499</v>
      </c>
      <c r="AF6487">
        <v>-0.59223474408770704</v>
      </c>
      <c r="AG6487">
        <v>-6.4795000000000103E-2</v>
      </c>
      <c r="AH6487">
        <v>0.62665308164164002</v>
      </c>
      <c r="AI6487">
        <v>94.297607773867</v>
      </c>
      <c r="AJ6487">
        <v>133.38254058068199</v>
      </c>
      <c r="AK6487">
        <v>0.86465858514248095</v>
      </c>
      <c r="AL6487">
        <v>81.580760754360199</v>
      </c>
      <c r="AM6487">
        <v>118.19443548584501</v>
      </c>
      <c r="AN6487">
        <v>0.999999957117364</v>
      </c>
    </row>
    <row r="6488" spans="1:40" x14ac:dyDescent="0.25">
      <c r="A6488" t="str">
        <f>"20190312164151754"</f>
        <v>20190312164151754</v>
      </c>
      <c r="B6488" t="str">
        <f>"1552380111742358"</f>
        <v>1552380111742358</v>
      </c>
      <c r="C6488" t="s">
        <v>40</v>
      </c>
      <c r="D6488">
        <v>5.7161730000000004</v>
      </c>
      <c r="E6488">
        <v>0.43620100000000001</v>
      </c>
      <c r="F6488" t="s">
        <v>51</v>
      </c>
      <c r="G6488">
        <v>-194.32239999999999</v>
      </c>
      <c r="H6488" s="1">
        <v>-4.2561669999999997E-6</v>
      </c>
      <c r="I6488">
        <v>-46.086190000000002</v>
      </c>
      <c r="J6488">
        <v>-203.18199999999999</v>
      </c>
      <c r="K6488">
        <v>1.1205419999999999</v>
      </c>
      <c r="L6488">
        <v>-60.41</v>
      </c>
      <c r="M6488">
        <v>0.9351971</v>
      </c>
      <c r="N6488">
        <v>0</v>
      </c>
      <c r="O6488">
        <v>0.35378700000000002</v>
      </c>
      <c r="P6488">
        <v>0.65343699999999905</v>
      </c>
      <c r="Q6488">
        <v>0.1439387</v>
      </c>
      <c r="R6488">
        <v>0.74317009999999994</v>
      </c>
      <c r="S6488">
        <v>1.648636</v>
      </c>
      <c r="T6488">
        <v>-0.2049917</v>
      </c>
      <c r="U6488">
        <v>2.631958</v>
      </c>
      <c r="V6488">
        <v>-0.46768920000000003</v>
      </c>
      <c r="W6488">
        <v>0.1458246</v>
      </c>
      <c r="X6488">
        <v>0.87178099999999903</v>
      </c>
      <c r="Y6488">
        <v>-0.60430249999999996</v>
      </c>
      <c r="Z6488">
        <v>-2.5885499999999998E-3</v>
      </c>
      <c r="AA6488">
        <v>0.79675079999999998</v>
      </c>
      <c r="AB6488">
        <v>32</v>
      </c>
      <c r="AC6488">
        <v>8.8596000000000306</v>
      </c>
      <c r="AD6488">
        <v>-1.1205462561670001</v>
      </c>
      <c r="AE6488">
        <v>14.3238099999999</v>
      </c>
      <c r="AF6488">
        <v>-10.217185862070799</v>
      </c>
      <c r="AG6488">
        <v>-1.1205462561670001</v>
      </c>
      <c r="AH6488">
        <v>13.2958070948714</v>
      </c>
      <c r="AI6488">
        <v>93.823166246203499</v>
      </c>
      <c r="AJ6488">
        <v>127.54053871598801</v>
      </c>
      <c r="AK6488">
        <v>16.805504965824198</v>
      </c>
      <c r="AL6488">
        <v>81.614967623267106</v>
      </c>
      <c r="AM6488">
        <v>118.212470697035</v>
      </c>
      <c r="AN6488">
        <v>1.00000005686139</v>
      </c>
    </row>
    <row r="6489" spans="1:40" x14ac:dyDescent="0.25">
      <c r="A6489" t="str">
        <f>"20190312164151767"</f>
        <v>20190312164151767</v>
      </c>
      <c r="B6489" t="str">
        <f>"1552380111762852"</f>
        <v>1552380111762852</v>
      </c>
      <c r="C6489" t="s">
        <v>40</v>
      </c>
      <c r="D6489">
        <v>5.725676</v>
      </c>
      <c r="E6489">
        <v>0.4360118</v>
      </c>
      <c r="F6489" t="s">
        <v>42</v>
      </c>
      <c r="G6489">
        <v>-202.6866</v>
      </c>
      <c r="H6489">
        <v>1.055491</v>
      </c>
      <c r="I6489">
        <v>-59.60445</v>
      </c>
      <c r="J6489">
        <v>-203.02430000000001</v>
      </c>
      <c r="K6489">
        <v>1.1206240000000001</v>
      </c>
      <c r="L6489">
        <v>-60.343719999999998</v>
      </c>
      <c r="M6489">
        <v>0.93276510000000001</v>
      </c>
      <c r="N6489">
        <v>0</v>
      </c>
      <c r="O6489">
        <v>0.36014930000000001</v>
      </c>
      <c r="P6489">
        <v>0.64874129999999997</v>
      </c>
      <c r="Q6489">
        <v>0.14323900000000001</v>
      </c>
      <c r="R6489">
        <v>0.74740709999999999</v>
      </c>
      <c r="S6489">
        <v>1.6277159999999999</v>
      </c>
      <c r="T6489">
        <v>-0.2137387</v>
      </c>
      <c r="U6489">
        <v>2.646973</v>
      </c>
      <c r="V6489">
        <v>-0.46738010000000002</v>
      </c>
      <c r="W6489">
        <v>0.1450612</v>
      </c>
      <c r="X6489">
        <v>0.87207400000000002</v>
      </c>
      <c r="Y6489">
        <v>-0.60543049999999998</v>
      </c>
      <c r="Z6489">
        <v>-3.1400970000000001E-3</v>
      </c>
      <c r="AA6489">
        <v>0.79589200000000004</v>
      </c>
      <c r="AB6489">
        <v>32</v>
      </c>
      <c r="AC6489">
        <v>0.33770000000001199</v>
      </c>
      <c r="AD6489">
        <v>-6.5133000000000094E-2</v>
      </c>
      <c r="AE6489">
        <v>0.73926999999999699</v>
      </c>
      <c r="AF6489">
        <v>-0.56438685132917399</v>
      </c>
      <c r="AG6489">
        <v>-6.5133000000000094E-2</v>
      </c>
      <c r="AH6489">
        <v>0.57760309127366105</v>
      </c>
      <c r="AI6489">
        <v>94.611139869195995</v>
      </c>
      <c r="AJ6489">
        <v>134.336946029214</v>
      </c>
      <c r="AK6489">
        <v>0.81018526072198405</v>
      </c>
      <c r="AL6489">
        <v>81.659176718185407</v>
      </c>
      <c r="AM6489">
        <v>118.188676602377</v>
      </c>
      <c r="AN6489">
        <v>0.99999998554872405</v>
      </c>
    </row>
    <row r="6490" spans="1:40" x14ac:dyDescent="0.25">
      <c r="A6490" t="str">
        <f>"20190312164151784"</f>
        <v>20190312164151784</v>
      </c>
      <c r="B6490" t="str">
        <f>"1552380111772613"</f>
        <v>1552380111772613</v>
      </c>
      <c r="C6490" t="s">
        <v>40</v>
      </c>
      <c r="D6490">
        <v>5.7709390000000003</v>
      </c>
      <c r="E6490">
        <v>0.43659819999999999</v>
      </c>
      <c r="F6490" t="s">
        <v>51</v>
      </c>
      <c r="G6490">
        <v>-195.07939999999999</v>
      </c>
      <c r="H6490" s="1">
        <v>-3.8239919999999999E-6</v>
      </c>
      <c r="I6490">
        <v>-47.212780000000002</v>
      </c>
      <c r="J6490">
        <v>-202.8014</v>
      </c>
      <c r="K6490">
        <v>1.120738</v>
      </c>
      <c r="L6490">
        <v>-60.248109999999997</v>
      </c>
      <c r="M6490">
        <v>0.92920639999999999</v>
      </c>
      <c r="N6490">
        <v>0</v>
      </c>
      <c r="O6490">
        <v>0.36923270000000002</v>
      </c>
      <c r="P6490">
        <v>0.64196660000000005</v>
      </c>
      <c r="Q6490">
        <v>0.1426704</v>
      </c>
      <c r="R6490">
        <v>0.75334199999999996</v>
      </c>
      <c r="S6490">
        <v>1.609604</v>
      </c>
      <c r="T6490">
        <v>-0.22703480000000001</v>
      </c>
      <c r="U6490">
        <v>2.6602779999999999</v>
      </c>
      <c r="V6490">
        <v>-0.46687200000000001</v>
      </c>
      <c r="W6490">
        <v>0.14440120000000001</v>
      </c>
      <c r="X6490">
        <v>0.87245569999999895</v>
      </c>
      <c r="Y6490">
        <v>-0.60335399999999995</v>
      </c>
      <c r="Z6490">
        <v>-4.1811299999999999E-3</v>
      </c>
      <c r="AA6490">
        <v>0.79746249999999996</v>
      </c>
      <c r="AB6490">
        <v>32</v>
      </c>
      <c r="AC6490">
        <v>7.7220000000000004</v>
      </c>
      <c r="AD6490">
        <v>-1.120741823992</v>
      </c>
      <c r="AE6490">
        <v>13.035329999999901</v>
      </c>
      <c r="AF6490">
        <v>-9.2120142030503995</v>
      </c>
      <c r="AG6490">
        <v>-1.120741823992</v>
      </c>
      <c r="AH6490">
        <v>11.9246069816169</v>
      </c>
      <c r="AI6490">
        <v>94.253646679924898</v>
      </c>
      <c r="AJ6490">
        <v>127.686854475489</v>
      </c>
      <c r="AK6490">
        <v>15.1100469747541</v>
      </c>
      <c r="AL6490">
        <v>81.697394946812395</v>
      </c>
      <c r="AM6490">
        <v>118.152305411219</v>
      </c>
      <c r="AN6490">
        <v>1.00000005970396</v>
      </c>
    </row>
    <row r="6491" spans="1:40" x14ac:dyDescent="0.25">
      <c r="A6491" t="str">
        <f>"20190312164151796"</f>
        <v>20190312164151796</v>
      </c>
      <c r="B6491" t="str">
        <f>"1552380111793108"</f>
        <v>1552380111793108</v>
      </c>
      <c r="C6491" t="s">
        <v>40</v>
      </c>
      <c r="D6491">
        <v>5.7218689999999999</v>
      </c>
      <c r="E6491">
        <v>0.43649199999999999</v>
      </c>
      <c r="F6491" t="s">
        <v>51</v>
      </c>
      <c r="G6491">
        <v>-195.2114</v>
      </c>
      <c r="H6491" s="1">
        <v>-3.7171809999999999E-6</v>
      </c>
      <c r="I6491">
        <v>-47.471730000000001</v>
      </c>
      <c r="J6491">
        <v>-202.64940000000001</v>
      </c>
      <c r="K6491">
        <v>1.120816</v>
      </c>
      <c r="L6491">
        <v>-60.181489999999997</v>
      </c>
      <c r="M6491">
        <v>0.92669460000000003</v>
      </c>
      <c r="N6491">
        <v>0</v>
      </c>
      <c r="O6491">
        <v>0.37549149999999998</v>
      </c>
      <c r="P6491">
        <v>0.63742489999999996</v>
      </c>
      <c r="Q6491">
        <v>0.1426132</v>
      </c>
      <c r="R6491">
        <v>0.75719939999999997</v>
      </c>
      <c r="S6491">
        <v>1.5881350000000001</v>
      </c>
      <c r="T6491">
        <v>-0.23450470000000001</v>
      </c>
      <c r="U6491">
        <v>2.67334</v>
      </c>
      <c r="V6491">
        <v>-0.46627109999999999</v>
      </c>
      <c r="W6491">
        <v>0.1442879</v>
      </c>
      <c r="X6491">
        <v>0.8727956</v>
      </c>
      <c r="Y6491">
        <v>-0.60439279999999995</v>
      </c>
      <c r="Z6491">
        <v>-4.8023720000000001E-3</v>
      </c>
      <c r="AA6491">
        <v>0.79667200000000005</v>
      </c>
      <c r="AB6491">
        <v>32</v>
      </c>
      <c r="AC6491">
        <v>7.4380000000000104</v>
      </c>
      <c r="AD6491">
        <v>-1.1208197171809999</v>
      </c>
      <c r="AE6491">
        <v>12.709759999999999</v>
      </c>
      <c r="AF6491">
        <v>-8.9344974711915697</v>
      </c>
      <c r="AG6491">
        <v>-1.1208197171809999</v>
      </c>
      <c r="AH6491">
        <v>11.599387418712499</v>
      </c>
      <c r="AI6491">
        <v>94.377530223579001</v>
      </c>
      <c r="AJ6491">
        <v>127.60547731212699</v>
      </c>
      <c r="AK6491">
        <v>14.684252462775801</v>
      </c>
      <c r="AL6491">
        <v>81.703954328646205</v>
      </c>
      <c r="AM6491">
        <v>118.112342709115</v>
      </c>
      <c r="AN6491">
        <v>0.99999994808048798</v>
      </c>
    </row>
    <row r="6492" spans="1:40" x14ac:dyDescent="0.25">
      <c r="A6492" t="str">
        <f>"20190312164151806"</f>
        <v>20190312164151806</v>
      </c>
      <c r="B6492" t="str">
        <f>"1552380111802868"</f>
        <v>1552380111802868</v>
      </c>
      <c r="C6492" t="s">
        <v>40</v>
      </c>
      <c r="D6492">
        <v>5.683681</v>
      </c>
      <c r="E6492">
        <v>0.43684970000000001</v>
      </c>
      <c r="F6492" t="s">
        <v>42</v>
      </c>
      <c r="G6492">
        <v>-202.18360000000001</v>
      </c>
      <c r="H6492">
        <v>1.047258</v>
      </c>
      <c r="I6492">
        <v>-59.385469999999998</v>
      </c>
      <c r="J6492">
        <v>-202.5164</v>
      </c>
      <c r="K6492">
        <v>1.120887</v>
      </c>
      <c r="L6492">
        <v>-60.121699999999997</v>
      </c>
      <c r="M6492">
        <v>0.92442290000000005</v>
      </c>
      <c r="N6492">
        <v>0</v>
      </c>
      <c r="O6492">
        <v>0.38104919999999998</v>
      </c>
      <c r="P6492">
        <v>0.63329859999999905</v>
      </c>
      <c r="Q6492">
        <v>0.14295659999999999</v>
      </c>
      <c r="R6492">
        <v>0.76058950000000003</v>
      </c>
      <c r="S6492">
        <v>1.571793</v>
      </c>
      <c r="T6492">
        <v>-0.248168</v>
      </c>
      <c r="U6492">
        <v>2.6855159999999998</v>
      </c>
      <c r="V6492">
        <v>-0.46574969999999999</v>
      </c>
      <c r="W6492">
        <v>0.1445814</v>
      </c>
      <c r="X6492">
        <v>0.87302539999999995</v>
      </c>
      <c r="Y6492">
        <v>-0.60473940000000004</v>
      </c>
      <c r="Z6492">
        <v>-5.5633840000000002E-3</v>
      </c>
      <c r="AA6492">
        <v>0.796404</v>
      </c>
      <c r="AB6492">
        <v>32</v>
      </c>
      <c r="AC6492">
        <v>0.33279999999999099</v>
      </c>
      <c r="AD6492">
        <v>-7.3629000000000097E-2</v>
      </c>
      <c r="AE6492">
        <v>0.73622999999999805</v>
      </c>
      <c r="AF6492">
        <v>-0.54928060661976796</v>
      </c>
      <c r="AG6492">
        <v>-7.3629000000000097E-2</v>
      </c>
      <c r="AH6492">
        <v>0.58341442705093904</v>
      </c>
      <c r="AI6492">
        <v>95.2499914800363</v>
      </c>
      <c r="AJ6492">
        <v>133.27391124513801</v>
      </c>
      <c r="AK6492">
        <v>0.80467559186342696</v>
      </c>
      <c r="AL6492">
        <v>81.686959889594604</v>
      </c>
      <c r="AM6492">
        <v>118.07944327235199</v>
      </c>
      <c r="AN6492">
        <v>0.99999995666060404</v>
      </c>
    </row>
    <row r="6493" spans="1:40" x14ac:dyDescent="0.25">
      <c r="A6493" t="str">
        <f>"20190312164151818"</f>
        <v>20190312164151818</v>
      </c>
      <c r="B6493" t="str">
        <f>"1552380111812629"</f>
        <v>1552380111812629</v>
      </c>
      <c r="C6493" t="s">
        <v>40</v>
      </c>
      <c r="D6493">
        <v>5.6437809999999997</v>
      </c>
      <c r="E6493">
        <v>0.43684970000000001</v>
      </c>
      <c r="F6493" t="s">
        <v>51</v>
      </c>
      <c r="G6493">
        <v>-195.5035</v>
      </c>
      <c r="H6493" s="1">
        <v>-3.496541E-6</v>
      </c>
      <c r="I6493">
        <v>-48.013509999999997</v>
      </c>
      <c r="J6493">
        <v>-202.36240000000001</v>
      </c>
      <c r="K6493">
        <v>1.1209720000000001</v>
      </c>
      <c r="L6493">
        <v>-60.051909999999999</v>
      </c>
      <c r="M6493">
        <v>0.92173839999999996</v>
      </c>
      <c r="N6493">
        <v>0</v>
      </c>
      <c r="O6493">
        <v>0.38749709999999898</v>
      </c>
      <c r="P6493">
        <v>0.62831359999999903</v>
      </c>
      <c r="Q6493">
        <v>0.1432734</v>
      </c>
      <c r="R6493">
        <v>0.76465340000000004</v>
      </c>
      <c r="S6493">
        <v>1.5595250000000001</v>
      </c>
      <c r="T6493">
        <v>-0.2492644</v>
      </c>
      <c r="U6493">
        <v>2.6926269999999999</v>
      </c>
      <c r="V6493">
        <v>-0.46534110000000001</v>
      </c>
      <c r="W6493">
        <v>0.144833399999999</v>
      </c>
      <c r="X6493">
        <v>0.87320149999999996</v>
      </c>
      <c r="Y6493">
        <v>-0.60282159999999996</v>
      </c>
      <c r="Z6493">
        <v>-6.2745939999999997E-3</v>
      </c>
      <c r="AA6493">
        <v>0.79785130000000004</v>
      </c>
      <c r="AB6493">
        <v>32</v>
      </c>
      <c r="AC6493">
        <v>6.8589000000000002</v>
      </c>
      <c r="AD6493">
        <v>-1.1209754965409999</v>
      </c>
      <c r="AE6493">
        <v>12.038399999999999</v>
      </c>
      <c r="AF6493">
        <v>-8.3845986143834796</v>
      </c>
      <c r="AG6493">
        <v>-1.1209754965409999</v>
      </c>
      <c r="AH6493">
        <v>10.916839298677299</v>
      </c>
      <c r="AI6493">
        <v>94.6556577900608</v>
      </c>
      <c r="AJ6493">
        <v>127.525801067972</v>
      </c>
      <c r="AK6493">
        <v>13.810700933019699</v>
      </c>
      <c r="AL6493">
        <v>81.672367760340805</v>
      </c>
      <c r="AM6493">
        <v>118.05376785847599</v>
      </c>
      <c r="AN6493">
        <v>0.99999995635350902</v>
      </c>
    </row>
    <row r="6494" spans="1:40" x14ac:dyDescent="0.25">
      <c r="A6494" t="str">
        <f>"20190312164151831"</f>
        <v>20190312164151831</v>
      </c>
      <c r="B6494" t="str">
        <f>"1552380111822388"</f>
        <v>1552380111822388</v>
      </c>
      <c r="C6494" t="s">
        <v>40</v>
      </c>
      <c r="D6494">
        <v>5.7313960000000002</v>
      </c>
      <c r="E6494">
        <v>0.44917590000000002</v>
      </c>
      <c r="F6494" t="s">
        <v>51</v>
      </c>
      <c r="G6494">
        <v>-195.39529999999999</v>
      </c>
      <c r="H6494" s="1">
        <v>-3.5655520000000002E-6</v>
      </c>
      <c r="I6494">
        <v>-47.838099999999997</v>
      </c>
      <c r="J6494">
        <v>-202.2038</v>
      </c>
      <c r="K6494">
        <v>1.1210629999999999</v>
      </c>
      <c r="L6494">
        <v>-59.97784</v>
      </c>
      <c r="M6494">
        <v>0.91886590000000001</v>
      </c>
      <c r="N6494">
        <v>0</v>
      </c>
      <c r="O6494">
        <v>0.39425939999999998</v>
      </c>
      <c r="P6494">
        <v>0.62290219999999996</v>
      </c>
      <c r="Q6494">
        <v>0.14404539999999999</v>
      </c>
      <c r="R6494">
        <v>0.76892389999999999</v>
      </c>
      <c r="S6494">
        <v>1.5418240000000001</v>
      </c>
      <c r="T6494">
        <v>-0.24807419999999999</v>
      </c>
      <c r="U6494">
        <v>2.7029420000000002</v>
      </c>
      <c r="V6494">
        <v>-0.46500639999999999</v>
      </c>
      <c r="W6494">
        <v>0.145533</v>
      </c>
      <c r="X6494">
        <v>0.87326360000000003</v>
      </c>
      <c r="Y6494">
        <v>-0.60223769999999999</v>
      </c>
      <c r="Z6494">
        <v>-6.8891350000000002E-3</v>
      </c>
      <c r="AA6494">
        <v>0.79828710000000003</v>
      </c>
      <c r="AB6494">
        <v>32</v>
      </c>
      <c r="AC6494">
        <v>6.8085000000000004</v>
      </c>
      <c r="AD6494">
        <v>-1.121066565552</v>
      </c>
      <c r="AE6494">
        <v>12.13974</v>
      </c>
      <c r="AF6494">
        <v>-8.4169121779858695</v>
      </c>
      <c r="AG6494">
        <v>-1.121066565552</v>
      </c>
      <c r="AH6494">
        <v>10.972475487030099</v>
      </c>
      <c r="AI6494">
        <v>94.634644405481296</v>
      </c>
      <c r="AJ6494">
        <v>127.491570843761</v>
      </c>
      <c r="AK6494">
        <v>13.8743078807485</v>
      </c>
      <c r="AL6494">
        <v>81.631855261239906</v>
      </c>
      <c r="AM6494">
        <v>118.034970634327</v>
      </c>
      <c r="AN6494">
        <v>1.0000000606074499</v>
      </c>
    </row>
    <row r="6495" spans="1:40" x14ac:dyDescent="0.25">
      <c r="A6495" t="str">
        <f>"20190312164151842"</f>
        <v>20190312164151842</v>
      </c>
      <c r="B6495" t="str">
        <f>"1552380111832149"</f>
        <v>1552380111832149</v>
      </c>
      <c r="C6495" t="s">
        <v>40</v>
      </c>
      <c r="D6495">
        <v>5.9066070000000002</v>
      </c>
      <c r="E6495">
        <v>0.44976270000000002</v>
      </c>
      <c r="F6495" t="s">
        <v>42</v>
      </c>
      <c r="G6495">
        <v>-201.69839999999999</v>
      </c>
      <c r="H6495">
        <v>1.0557730000000001</v>
      </c>
      <c r="I6495">
        <v>-59.139890000000001</v>
      </c>
      <c r="J6495">
        <v>-202.0609</v>
      </c>
      <c r="K6495">
        <v>1.1211450000000001</v>
      </c>
      <c r="L6495">
        <v>-59.910249999999998</v>
      </c>
      <c r="M6495">
        <v>0.91621280000000005</v>
      </c>
      <c r="N6495">
        <v>0</v>
      </c>
      <c r="O6495">
        <v>0.4003853</v>
      </c>
      <c r="P6495">
        <v>0.61815889999999996</v>
      </c>
      <c r="Q6495">
        <v>0.14495729999999901</v>
      </c>
      <c r="R6495">
        <v>0.77257159999999903</v>
      </c>
      <c r="S6495">
        <v>1.5964050000000001</v>
      </c>
      <c r="T6495">
        <v>-0.206232</v>
      </c>
      <c r="U6495">
        <v>2.6469119999999999</v>
      </c>
      <c r="V6495">
        <v>-0.46444600000000003</v>
      </c>
      <c r="W6495">
        <v>0.14638870000000001</v>
      </c>
      <c r="X6495">
        <v>0.87341869999999999</v>
      </c>
      <c r="Y6495">
        <v>-0.57746699999999995</v>
      </c>
      <c r="Z6495">
        <v>-7.2720759999999997E-3</v>
      </c>
      <c r="AA6495">
        <v>0.81638159999999904</v>
      </c>
      <c r="AB6495">
        <v>32</v>
      </c>
      <c r="AC6495">
        <v>0.36250000000001098</v>
      </c>
      <c r="AD6495">
        <v>-6.5372000000000194E-2</v>
      </c>
      <c r="AE6495">
        <v>0.77035999999999605</v>
      </c>
      <c r="AF6495">
        <v>-0.55745637069624299</v>
      </c>
      <c r="AG6495">
        <v>-6.5372000000000194E-2</v>
      </c>
      <c r="AH6495">
        <v>0.63689180593427497</v>
      </c>
      <c r="AI6495">
        <v>94.416504437058904</v>
      </c>
      <c r="AJ6495">
        <v>131.19489349642899</v>
      </c>
      <c r="AK6495">
        <v>0.84891829764709903</v>
      </c>
      <c r="AL6495">
        <v>81.582295841196995</v>
      </c>
      <c r="AM6495">
        <v>118.002098759915</v>
      </c>
      <c r="AN6495">
        <v>0.99999998195668904</v>
      </c>
    </row>
    <row r="6496" spans="1:40" x14ac:dyDescent="0.25">
      <c r="A6496" t="str">
        <f>"20190312164151853"</f>
        <v>20190312164151853</v>
      </c>
      <c r="B6496" t="str">
        <f>"1552380111842885"</f>
        <v>1552380111842885</v>
      </c>
      <c r="C6496" t="s">
        <v>40</v>
      </c>
      <c r="D6496">
        <v>5.8004670000000003</v>
      </c>
      <c r="E6496">
        <v>0.44807229999999998</v>
      </c>
      <c r="F6496" t="s">
        <v>51</v>
      </c>
      <c r="G6496">
        <v>-193.2372</v>
      </c>
      <c r="H6496" s="1">
        <v>-4.5364899999999998E-6</v>
      </c>
      <c r="I6496">
        <v>-45.126080000000002</v>
      </c>
      <c r="J6496">
        <v>-201.91380000000001</v>
      </c>
      <c r="K6496">
        <v>1.121227</v>
      </c>
      <c r="L6496">
        <v>-59.839320000000001</v>
      </c>
      <c r="M6496">
        <v>0.91340350000000003</v>
      </c>
      <c r="N6496">
        <v>0</v>
      </c>
      <c r="O6496">
        <v>0.40675260000000002</v>
      </c>
      <c r="P6496">
        <v>0.61294959999999998</v>
      </c>
      <c r="Q6496">
        <v>0.14623699999999901</v>
      </c>
      <c r="R6496">
        <v>0.77647129999999998</v>
      </c>
      <c r="S6496">
        <v>1.5837859999999999</v>
      </c>
      <c r="T6496">
        <v>-0.20123849999999999</v>
      </c>
      <c r="U6496">
        <v>2.6536559999999998</v>
      </c>
      <c r="V6496">
        <v>-0.46408569999999999</v>
      </c>
      <c r="W6496">
        <v>0.14760279999999901</v>
      </c>
      <c r="X6496">
        <v>0.87340589999999996</v>
      </c>
      <c r="Y6496">
        <v>-0.57559090000000002</v>
      </c>
      <c r="Z6496">
        <v>-7.6453500000000004E-3</v>
      </c>
      <c r="AA6496">
        <v>0.81770209999999999</v>
      </c>
      <c r="AB6496">
        <v>32</v>
      </c>
      <c r="AC6496">
        <v>8.6766000000000005</v>
      </c>
      <c r="AD6496">
        <v>-1.1212315364899901</v>
      </c>
      <c r="AE6496">
        <v>14.7132399999999</v>
      </c>
      <c r="AF6496">
        <v>-9.8685940505378404</v>
      </c>
      <c r="AG6496">
        <v>-1.1212315364899901</v>
      </c>
      <c r="AH6496">
        <v>13.851913509017599</v>
      </c>
      <c r="AI6496">
        <v>93.771744591631403</v>
      </c>
      <c r="AJ6496">
        <v>125.46741848145599</v>
      </c>
      <c r="AK6496">
        <v>17.044700541635599</v>
      </c>
      <c r="AL6496">
        <v>81.511969188532703</v>
      </c>
      <c r="AM6496">
        <v>117.98401812165299</v>
      </c>
      <c r="AN6496">
        <v>0.99999999483357005</v>
      </c>
    </row>
    <row r="6497" spans="1:40" x14ac:dyDescent="0.25">
      <c r="A6497" t="str">
        <f>"20190312164151866"</f>
        <v>20190312164151866</v>
      </c>
      <c r="B6497" t="str">
        <f>"1552380111862405"</f>
        <v>1552380111862405</v>
      </c>
      <c r="C6497" t="s">
        <v>40</v>
      </c>
      <c r="D6497">
        <v>6.2866309999999999</v>
      </c>
      <c r="E6497">
        <v>0.45057380000000002</v>
      </c>
      <c r="F6497" t="s">
        <v>42</v>
      </c>
      <c r="G6497">
        <v>-201.4443</v>
      </c>
      <c r="H6497">
        <v>1.057822</v>
      </c>
      <c r="I6497">
        <v>-59.033009999999997</v>
      </c>
      <c r="J6497">
        <v>-201.7646</v>
      </c>
      <c r="K6497">
        <v>1.1213169999999999</v>
      </c>
      <c r="L6497">
        <v>-59.765810000000002</v>
      </c>
      <c r="M6497">
        <v>0.91046450000000001</v>
      </c>
      <c r="N6497">
        <v>0</v>
      </c>
      <c r="O6497">
        <v>0.41328819999999999</v>
      </c>
      <c r="P6497">
        <v>0.60773569999999999</v>
      </c>
      <c r="Q6497">
        <v>0.1468585</v>
      </c>
      <c r="R6497">
        <v>0.78044209999999903</v>
      </c>
      <c r="S6497">
        <v>1.5569459999999999</v>
      </c>
      <c r="T6497">
        <v>-0.21026600000000001</v>
      </c>
      <c r="U6497">
        <v>2.6741640000000002</v>
      </c>
      <c r="V6497">
        <v>-0.46361609999999998</v>
      </c>
      <c r="W6497">
        <v>0.1481635</v>
      </c>
      <c r="X6497">
        <v>0.87356039999999902</v>
      </c>
      <c r="Y6497">
        <v>-0.57856869999999905</v>
      </c>
      <c r="Z6497">
        <v>-8.3598219999999994E-3</v>
      </c>
      <c r="AA6497">
        <v>0.81559079999999995</v>
      </c>
      <c r="AB6497">
        <v>32</v>
      </c>
      <c r="AC6497">
        <v>0.32030000000000303</v>
      </c>
      <c r="AD6497">
        <v>-6.3494999999999802E-2</v>
      </c>
      <c r="AE6497">
        <v>0.73279999999999701</v>
      </c>
      <c r="AF6497">
        <v>-0.53152784278288501</v>
      </c>
      <c r="AG6497">
        <v>-6.3494999999999802E-2</v>
      </c>
      <c r="AH6497">
        <v>0.59082861802864794</v>
      </c>
      <c r="AI6497">
        <v>94.567930438740703</v>
      </c>
      <c r="AJ6497">
        <v>131.97553509451399</v>
      </c>
      <c r="AK6497">
        <v>0.79726527489918297</v>
      </c>
      <c r="AL6497">
        <v>81.479486691790001</v>
      </c>
      <c r="AM6497">
        <v>117.955792722708</v>
      </c>
      <c r="AN6497">
        <v>1.0000000416798001</v>
      </c>
    </row>
    <row r="6498" spans="1:40" x14ac:dyDescent="0.25">
      <c r="A6498" t="str">
        <f>"20190312164151879"</f>
        <v>20190312164151879</v>
      </c>
      <c r="B6498" t="str">
        <f>"1552380111872165"</f>
        <v>1552380111872165</v>
      </c>
      <c r="C6498" t="s">
        <v>40</v>
      </c>
      <c r="D6498">
        <v>5.7322860000000002</v>
      </c>
      <c r="E6498">
        <v>0.45231139999999997</v>
      </c>
      <c r="F6498" t="s">
        <v>42</v>
      </c>
      <c r="G6498">
        <v>-201.23830000000001</v>
      </c>
      <c r="H6498">
        <v>1.043757</v>
      </c>
      <c r="I6498">
        <v>-58.861220000000003</v>
      </c>
      <c r="J6498">
        <v>-201.60659999999999</v>
      </c>
      <c r="K6498">
        <v>1.1214059999999999</v>
      </c>
      <c r="L6498">
        <v>-59.686950000000003</v>
      </c>
      <c r="M6498">
        <v>0.90727139999999995</v>
      </c>
      <c r="N6498">
        <v>0</v>
      </c>
      <c r="O6498">
        <v>0.42025069999999998</v>
      </c>
      <c r="P6498">
        <v>0.60221230000000003</v>
      </c>
      <c r="Q6498">
        <v>0.14766319999999999</v>
      </c>
      <c r="R6498">
        <v>0.78456099999999995</v>
      </c>
      <c r="S6498">
        <v>1.556381</v>
      </c>
      <c r="T6498">
        <v>-0.2293694</v>
      </c>
      <c r="U6498">
        <v>2.6751710000000002</v>
      </c>
      <c r="V6498">
        <v>-0.46300629999999998</v>
      </c>
      <c r="W6498">
        <v>0.1489076</v>
      </c>
      <c r="X6498">
        <v>0.87375720000000001</v>
      </c>
      <c r="Y6498">
        <v>-0.57252619999999999</v>
      </c>
      <c r="Z6498">
        <v>-9.9789279999999998E-3</v>
      </c>
      <c r="AA6498">
        <v>0.81982569999999999</v>
      </c>
      <c r="AB6498">
        <v>32</v>
      </c>
      <c r="AC6498">
        <v>0.36829999999997598</v>
      </c>
      <c r="AD6498">
        <v>-7.7648999999999802E-2</v>
      </c>
      <c r="AE6498">
        <v>0.82573000000000696</v>
      </c>
      <c r="AF6498">
        <v>-0.59010421236521404</v>
      </c>
      <c r="AG6498">
        <v>-7.7648999999999802E-2</v>
      </c>
      <c r="AH6498">
        <v>0.676258321680968</v>
      </c>
      <c r="AI6498">
        <v>94.944617136280598</v>
      </c>
      <c r="AJ6498">
        <v>131.10800853735199</v>
      </c>
      <c r="AK6498">
        <v>0.90087605490152101</v>
      </c>
      <c r="AL6498">
        <v>81.436374096383403</v>
      </c>
      <c r="AM6498">
        <v>117.919237255114</v>
      </c>
      <c r="AN6498">
        <v>0.99999997586464395</v>
      </c>
    </row>
    <row r="6499" spans="1:40" x14ac:dyDescent="0.25">
      <c r="A6499" t="str">
        <f>"20190312164151897"</f>
        <v>20190312164151897</v>
      </c>
      <c r="B6499" t="str">
        <f>"1552380111892366"</f>
        <v>1552380111892366</v>
      </c>
      <c r="C6499" t="s">
        <v>40</v>
      </c>
      <c r="D6499">
        <v>5.7454900000000002</v>
      </c>
      <c r="E6499">
        <v>0.45421919999999999</v>
      </c>
      <c r="F6499" t="s">
        <v>51</v>
      </c>
      <c r="G6499">
        <v>-193.79159999999999</v>
      </c>
      <c r="H6499" s="1">
        <v>-4.1145939999999998E-6</v>
      </c>
      <c r="I6499">
        <v>-46.179720000000003</v>
      </c>
      <c r="J6499">
        <v>-201.38329999999999</v>
      </c>
      <c r="K6499">
        <v>1.121534</v>
      </c>
      <c r="L6499">
        <v>-59.572330000000001</v>
      </c>
      <c r="M6499">
        <v>0.90257500000000002</v>
      </c>
      <c r="N6499">
        <v>0</v>
      </c>
      <c r="O6499">
        <v>0.4302435</v>
      </c>
      <c r="P6499">
        <v>0.59481709999999999</v>
      </c>
      <c r="Q6499">
        <v>0.1481401</v>
      </c>
      <c r="R6499">
        <v>0.79009309999999999</v>
      </c>
      <c r="S6499">
        <v>1.548767</v>
      </c>
      <c r="T6499">
        <v>-0.22223989999999999</v>
      </c>
      <c r="U6499">
        <v>2.6768489999999998</v>
      </c>
      <c r="V6499">
        <v>-0.46153939999999999</v>
      </c>
      <c r="W6499">
        <v>0.1493235</v>
      </c>
      <c r="X6499">
        <v>0.87446209999999902</v>
      </c>
      <c r="Y6499">
        <v>-0.56548259999999995</v>
      </c>
      <c r="Z6499">
        <v>-1.080446E-2</v>
      </c>
      <c r="AA6499">
        <v>0.82468940000000002</v>
      </c>
      <c r="AB6499">
        <v>32</v>
      </c>
      <c r="AC6499">
        <v>7.5917000000000003</v>
      </c>
      <c r="AD6499">
        <v>-1.121538114594</v>
      </c>
      <c r="AE6499">
        <v>13.392609999999999</v>
      </c>
      <c r="AF6499">
        <v>-8.7760747215161299</v>
      </c>
      <c r="AG6499">
        <v>-1.121538114594</v>
      </c>
      <c r="AH6499">
        <v>12.5491280834952</v>
      </c>
      <c r="AI6499">
        <v>94.188807840857393</v>
      </c>
      <c r="AJ6499">
        <v>124.966533302202</v>
      </c>
      <c r="AK6499">
        <v>15.3544114480527</v>
      </c>
      <c r="AL6499">
        <v>81.412275948664998</v>
      </c>
      <c r="AM6499">
        <v>117.82500529010299</v>
      </c>
      <c r="AN6499">
        <v>1.0000000448705</v>
      </c>
    </row>
    <row r="6500" spans="1:40" x14ac:dyDescent="0.25">
      <c r="A6500" t="str">
        <f>"20190312164151911"</f>
        <v>20190312164151911</v>
      </c>
      <c r="B6500" t="str">
        <f>"1552380111902126"</f>
        <v>1552380111902126</v>
      </c>
      <c r="C6500" t="s">
        <v>40</v>
      </c>
      <c r="D6500">
        <v>5.7757290000000001</v>
      </c>
      <c r="E6500">
        <v>0.454621</v>
      </c>
      <c r="F6500" t="s">
        <v>42</v>
      </c>
      <c r="G6500">
        <v>-200.9444</v>
      </c>
      <c r="H6500">
        <v>1.0564340000000001</v>
      </c>
      <c r="I6500">
        <v>-58.805700000000002</v>
      </c>
      <c r="J6500">
        <v>-201.21119999999999</v>
      </c>
      <c r="K6500">
        <v>1.121626</v>
      </c>
      <c r="L6500">
        <v>-59.481319999999997</v>
      </c>
      <c r="M6500">
        <v>0.89880419999999905</v>
      </c>
      <c r="N6500">
        <v>0</v>
      </c>
      <c r="O6500">
        <v>0.43806529999999999</v>
      </c>
      <c r="P6500">
        <v>0.58844529999999995</v>
      </c>
      <c r="Q6500">
        <v>0.14808550000000001</v>
      </c>
      <c r="R6500">
        <v>0.79486029999999996</v>
      </c>
      <c r="S6500">
        <v>1.5357670000000001</v>
      </c>
      <c r="T6500">
        <v>-0.2278365</v>
      </c>
      <c r="U6500">
        <v>2.6835330000000002</v>
      </c>
      <c r="V6500">
        <v>-0.46101839999999999</v>
      </c>
      <c r="W6500">
        <v>0.14920510000000001</v>
      </c>
      <c r="X6500">
        <v>0.87475700000000001</v>
      </c>
      <c r="Y6500">
        <v>-0.56221599999999905</v>
      </c>
      <c r="Z6500">
        <v>-1.18829E-2</v>
      </c>
      <c r="AA6500">
        <v>0.82690509999999995</v>
      </c>
      <c r="AB6500">
        <v>32</v>
      </c>
      <c r="AC6500">
        <v>0.26679999999998899</v>
      </c>
      <c r="AD6500">
        <v>-6.5191999999999903E-2</v>
      </c>
      <c r="AE6500">
        <v>0.675619999999994</v>
      </c>
      <c r="AF6500">
        <v>-0.48651680516707502</v>
      </c>
      <c r="AG6500">
        <v>-6.5191999999999903E-2</v>
      </c>
      <c r="AH6500">
        <v>0.53155209890834998</v>
      </c>
      <c r="AI6500">
        <v>95.169512023127297</v>
      </c>
      <c r="AJ6500">
        <v>132.467115301729</v>
      </c>
      <c r="AK6500">
        <v>0.72353039495784099</v>
      </c>
      <c r="AL6500">
        <v>81.419135962171495</v>
      </c>
      <c r="AM6500">
        <v>117.790330675017</v>
      </c>
      <c r="AN6500">
        <v>0.99999996802678404</v>
      </c>
    </row>
    <row r="6501" spans="1:40" x14ac:dyDescent="0.25">
      <c r="A6501" t="str">
        <f>"20190312164151925"</f>
        <v>20190312164151925</v>
      </c>
      <c r="B6501" t="str">
        <f>"1552380111922623"</f>
        <v>1552380111922623</v>
      </c>
      <c r="C6501" t="s">
        <v>40</v>
      </c>
      <c r="D6501">
        <v>5.7777059999999896</v>
      </c>
      <c r="E6501">
        <v>0.45571210000000001</v>
      </c>
      <c r="F6501" t="s">
        <v>42</v>
      </c>
      <c r="G6501">
        <v>-200.7364</v>
      </c>
      <c r="H6501">
        <v>1.0480689999999999</v>
      </c>
      <c r="I6501">
        <v>-58.637740000000001</v>
      </c>
      <c r="J6501">
        <v>-201.0429</v>
      </c>
      <c r="K6501">
        <v>1.1217170000000001</v>
      </c>
      <c r="L6501">
        <v>-59.390779999999999</v>
      </c>
      <c r="M6501">
        <v>0.89500550000000001</v>
      </c>
      <c r="N6501">
        <v>0</v>
      </c>
      <c r="O6501">
        <v>0.445774</v>
      </c>
      <c r="P6501">
        <v>0.58252559999999998</v>
      </c>
      <c r="Q6501">
        <v>0.147293799999999</v>
      </c>
      <c r="R6501">
        <v>0.79935500000000004</v>
      </c>
      <c r="S6501">
        <v>1.516678</v>
      </c>
      <c r="T6501">
        <v>-0.23500650000000001</v>
      </c>
      <c r="U6501">
        <v>2.6952210000000001</v>
      </c>
      <c r="V6501">
        <v>-0.46013710000000002</v>
      </c>
      <c r="W6501">
        <v>0.14836769999999999</v>
      </c>
      <c r="X6501">
        <v>0.87536329999999996</v>
      </c>
      <c r="Y6501">
        <v>-0.56108729999999996</v>
      </c>
      <c r="Z6501">
        <v>-1.297686E-2</v>
      </c>
      <c r="AA6501">
        <v>0.82765489999999997</v>
      </c>
      <c r="AB6501">
        <v>31</v>
      </c>
      <c r="AC6501">
        <v>0.306499999999999</v>
      </c>
      <c r="AD6501">
        <v>-7.3647999999999894E-2</v>
      </c>
      <c r="AE6501">
        <v>0.75304000000000504</v>
      </c>
      <c r="AF6501">
        <v>-0.53303865074166401</v>
      </c>
      <c r="AG6501">
        <v>-7.3647999999999894E-2</v>
      </c>
      <c r="AH6501">
        <v>0.60511594722539597</v>
      </c>
      <c r="AI6501">
        <v>95.218252493572095</v>
      </c>
      <c r="AJ6501">
        <v>131.37639962207001</v>
      </c>
      <c r="AK6501">
        <v>0.80976511450851096</v>
      </c>
      <c r="AL6501">
        <v>81.467655917872506</v>
      </c>
      <c r="AM6501">
        <v>117.728782423486</v>
      </c>
      <c r="AN6501">
        <v>1.00000001609329</v>
      </c>
    </row>
    <row r="6502" spans="1:40" x14ac:dyDescent="0.25">
      <c r="A6502" t="str">
        <f>"20190312164151943"</f>
        <v>20190312164151943</v>
      </c>
      <c r="B6502" t="str">
        <f>"1552380111932382"</f>
        <v>1552380111932382</v>
      </c>
      <c r="C6502" t="s">
        <v>40</v>
      </c>
      <c r="D6502">
        <v>6.1025689999999999</v>
      </c>
      <c r="E6502">
        <v>0.45624330000000002</v>
      </c>
      <c r="F6502" t="s">
        <v>42</v>
      </c>
      <c r="G6502">
        <v>-200.53030000000001</v>
      </c>
      <c r="H6502">
        <v>1.0409200000000001</v>
      </c>
      <c r="I6502">
        <v>-58.469149999999999</v>
      </c>
      <c r="J6502">
        <v>-200.8338</v>
      </c>
      <c r="K6502">
        <v>1.121823</v>
      </c>
      <c r="L6502">
        <v>-59.275669999999998</v>
      </c>
      <c r="M6502">
        <v>0.89011689999999999</v>
      </c>
      <c r="N6502">
        <v>0</v>
      </c>
      <c r="O6502">
        <v>0.45545609999999997</v>
      </c>
      <c r="P6502">
        <v>0.57507730000000001</v>
      </c>
      <c r="Q6502">
        <v>0.1460851</v>
      </c>
      <c r="R6502">
        <v>0.80495050000000001</v>
      </c>
      <c r="S6502">
        <v>1.5024869999999999</v>
      </c>
      <c r="T6502">
        <v>-0.23683000000000001</v>
      </c>
      <c r="U6502">
        <v>2.7017519999999999</v>
      </c>
      <c r="V6502">
        <v>-0.45897090000000001</v>
      </c>
      <c r="W6502">
        <v>0.14710799999999999</v>
      </c>
      <c r="X6502">
        <v>0.87618770000000001</v>
      </c>
      <c r="Y6502">
        <v>-0.5562954</v>
      </c>
      <c r="Z6502">
        <v>-1.415253E-2</v>
      </c>
      <c r="AA6502">
        <v>0.83086409999999999</v>
      </c>
      <c r="AB6502">
        <v>31</v>
      </c>
      <c r="AC6502">
        <v>0.303499999999985</v>
      </c>
      <c r="AD6502">
        <v>-8.0902999999999906E-2</v>
      </c>
      <c r="AE6502">
        <v>0.80651999999999802</v>
      </c>
      <c r="AF6502">
        <v>-0.57467382463199501</v>
      </c>
      <c r="AG6502">
        <v>-8.0902999999999906E-2</v>
      </c>
      <c r="AH6502">
        <v>0.63199464184334497</v>
      </c>
      <c r="AI6502">
        <v>95.410423749045407</v>
      </c>
      <c r="AJ6502">
        <v>132.28030195387601</v>
      </c>
      <c r="AK6502">
        <v>0.85802827893074896</v>
      </c>
      <c r="AL6502">
        <v>81.540631808337295</v>
      </c>
      <c r="AM6502">
        <v>117.646767533616</v>
      </c>
      <c r="AN6502">
        <v>0.99999996817104897</v>
      </c>
    </row>
    <row r="6503" spans="1:40" x14ac:dyDescent="0.25">
      <c r="A6503" t="str">
        <f>"20190312164151963"</f>
        <v>20190312164151963</v>
      </c>
      <c r="B6503" t="str">
        <f>"1552380111952878"</f>
        <v>1552380111952878</v>
      </c>
      <c r="C6503" t="s">
        <v>40</v>
      </c>
      <c r="D6503">
        <v>5.8355959999999998</v>
      </c>
      <c r="E6503">
        <v>0.45733210000000002</v>
      </c>
      <c r="F6503" t="s">
        <v>42</v>
      </c>
      <c r="G6503">
        <v>-200.31139999999999</v>
      </c>
      <c r="H6503">
        <v>1.0378609999999999</v>
      </c>
      <c r="I6503">
        <v>-58.317430000000002</v>
      </c>
      <c r="J6503">
        <v>-200.58430000000001</v>
      </c>
      <c r="K6503">
        <v>1.1219380000000001</v>
      </c>
      <c r="L6503">
        <v>-59.133969999999998</v>
      </c>
      <c r="M6503">
        <v>0.88402139999999996</v>
      </c>
      <c r="N6503">
        <v>0</v>
      </c>
      <c r="O6503">
        <v>0.46717589999999998</v>
      </c>
      <c r="P6503">
        <v>0.5651794</v>
      </c>
      <c r="Q6503">
        <v>0.14537610000000001</v>
      </c>
      <c r="R6503">
        <v>0.81205799999999995</v>
      </c>
      <c r="S6503">
        <v>1.4790650000000001</v>
      </c>
      <c r="T6503">
        <v>-0.23774390000000001</v>
      </c>
      <c r="U6503">
        <v>2.713409</v>
      </c>
      <c r="V6503">
        <v>-0.45825850000000001</v>
      </c>
      <c r="W6503">
        <v>0.146320799999999</v>
      </c>
      <c r="X6503">
        <v>0.87669229999999998</v>
      </c>
      <c r="Y6503">
        <v>-0.55237060000000004</v>
      </c>
      <c r="Z6503">
        <v>-1.542875E-2</v>
      </c>
      <c r="AA6503">
        <v>0.83345590000000003</v>
      </c>
      <c r="AB6503">
        <v>31</v>
      </c>
      <c r="AC6503">
        <v>0.27290000000002101</v>
      </c>
      <c r="AD6503">
        <v>-8.4076999999999694E-2</v>
      </c>
      <c r="AE6503">
        <v>0.81653999999999605</v>
      </c>
      <c r="AF6503">
        <v>-0.588806235559864</v>
      </c>
      <c r="AG6503">
        <v>-8.4076999999999694E-2</v>
      </c>
      <c r="AH6503">
        <v>0.61691249201472098</v>
      </c>
      <c r="AI6503">
        <v>95.630535169250393</v>
      </c>
      <c r="AJ6503">
        <v>133.66463193849299</v>
      </c>
      <c r="AK6503">
        <v>0.85693800695674105</v>
      </c>
      <c r="AL6503">
        <v>81.586228801763298</v>
      </c>
      <c r="AM6503">
        <v>117.596655534055</v>
      </c>
      <c r="AN6503">
        <v>1.00000000910709</v>
      </c>
    </row>
    <row r="6504" spans="1:40" x14ac:dyDescent="0.25">
      <c r="A6504" t="str">
        <f>"20190312164151975"</f>
        <v>20190312164151975</v>
      </c>
      <c r="B6504" t="str">
        <f>"1552380111972397"</f>
        <v>1552380111972397</v>
      </c>
      <c r="C6504" t="s">
        <v>40</v>
      </c>
      <c r="D6504">
        <v>5.866987</v>
      </c>
      <c r="E6504">
        <v>0.45826480000000003</v>
      </c>
      <c r="F6504" t="s">
        <v>42</v>
      </c>
      <c r="G6504">
        <v>-200.0779</v>
      </c>
      <c r="H6504">
        <v>1.0393319999999999</v>
      </c>
      <c r="I6504">
        <v>-58.183549999999997</v>
      </c>
      <c r="J6504">
        <v>-200.43610000000001</v>
      </c>
      <c r="K6504">
        <v>1.122004</v>
      </c>
      <c r="L6504">
        <v>-59.047910000000002</v>
      </c>
      <c r="M6504">
        <v>0.88027440000000001</v>
      </c>
      <c r="N6504">
        <v>0</v>
      </c>
      <c r="O6504">
        <v>0.47419749999999999</v>
      </c>
      <c r="P6504">
        <v>0.55907510000000005</v>
      </c>
      <c r="Q6504">
        <v>0.1449124</v>
      </c>
      <c r="R6504">
        <v>0.81635500000000005</v>
      </c>
      <c r="S6504">
        <v>1.45224</v>
      </c>
      <c r="T6504">
        <v>-0.23692369999999999</v>
      </c>
      <c r="U6504">
        <v>2.7259829999999998</v>
      </c>
      <c r="V6504">
        <v>-0.4579376</v>
      </c>
      <c r="W6504">
        <v>0.14581179999999999</v>
      </c>
      <c r="X6504">
        <v>0.87694479999999997</v>
      </c>
      <c r="Y6504">
        <v>-0.55372769999999905</v>
      </c>
      <c r="Z6504">
        <v>-1.594802E-2</v>
      </c>
      <c r="AA6504">
        <v>0.83254499999999998</v>
      </c>
      <c r="AB6504">
        <v>31</v>
      </c>
      <c r="AC6504">
        <v>0.35820000000001001</v>
      </c>
      <c r="AD6504">
        <v>-8.2671999999999995E-2</v>
      </c>
      <c r="AE6504">
        <v>0.86435999999999702</v>
      </c>
      <c r="AF6504">
        <v>-0.58651237913052201</v>
      </c>
      <c r="AG6504">
        <v>-8.2671999999999995E-2</v>
      </c>
      <c r="AH6504">
        <v>0.71966505323642305</v>
      </c>
      <c r="AI6504">
        <v>95.088677907481397</v>
      </c>
      <c r="AJ6504">
        <v>129.17933375523401</v>
      </c>
      <c r="AK6504">
        <v>0.93206717531899397</v>
      </c>
      <c r="AL6504">
        <v>81.615708911806095</v>
      </c>
      <c r="AM6504">
        <v>117.573410835356</v>
      </c>
      <c r="AN6504">
        <v>1.0000000543800101</v>
      </c>
    </row>
    <row r="6505" spans="1:40" x14ac:dyDescent="0.25">
      <c r="A6505" t="str">
        <f>"20190312164151988"</f>
        <v>20190312164151988</v>
      </c>
      <c r="B6505" t="str">
        <f>"1552380111982158"</f>
        <v>1552380111982158</v>
      </c>
      <c r="C6505" t="s">
        <v>40</v>
      </c>
      <c r="D6505">
        <v>5.7295480000000003</v>
      </c>
      <c r="E6505">
        <v>0.45845619999999998</v>
      </c>
      <c r="F6505" t="s">
        <v>42</v>
      </c>
      <c r="G6505">
        <v>-200.01820000000001</v>
      </c>
      <c r="H6505">
        <v>1.053669</v>
      </c>
      <c r="I6505">
        <v>-58.253450000000001</v>
      </c>
      <c r="J6505">
        <v>-200.29239999999999</v>
      </c>
      <c r="K6505">
        <v>1.122064</v>
      </c>
      <c r="L6505">
        <v>-58.962339999999998</v>
      </c>
      <c r="M6505">
        <v>0.87653110000000001</v>
      </c>
      <c r="N6505">
        <v>0</v>
      </c>
      <c r="O6505">
        <v>0.48108089999999998</v>
      </c>
      <c r="P6505">
        <v>0.55335330000000005</v>
      </c>
      <c r="Q6505">
        <v>0.144074799999999</v>
      </c>
      <c r="R6505">
        <v>0.8203918</v>
      </c>
      <c r="S6505">
        <v>1.437103</v>
      </c>
      <c r="T6505">
        <v>-0.23501839999999999</v>
      </c>
      <c r="U6505">
        <v>2.7324220000000001</v>
      </c>
      <c r="V6505">
        <v>-0.4573237</v>
      </c>
      <c r="W6505">
        <v>0.14494749999999901</v>
      </c>
      <c r="X6505">
        <v>0.87740830000000003</v>
      </c>
      <c r="Y6505">
        <v>-0.55164380000000002</v>
      </c>
      <c r="Z6505">
        <v>-1.652706E-2</v>
      </c>
      <c r="AA6505">
        <v>0.83391610000000005</v>
      </c>
      <c r="AB6505">
        <v>31</v>
      </c>
      <c r="AC6505">
        <v>0.27419999999997902</v>
      </c>
      <c r="AD6505">
        <v>-6.83949999999999E-2</v>
      </c>
      <c r="AE6505">
        <v>0.70889000000000302</v>
      </c>
      <c r="AF6505">
        <v>-0.48558213156927899</v>
      </c>
      <c r="AG6505">
        <v>-6.83949999999999E-2</v>
      </c>
      <c r="AH6505">
        <v>0.57678187645947099</v>
      </c>
      <c r="AI6505">
        <v>95.183310132819201</v>
      </c>
      <c r="AJ6505">
        <v>130.093413628685</v>
      </c>
      <c r="AK6505">
        <v>0.75706354788516494</v>
      </c>
      <c r="AL6505">
        <v>81.665761247749501</v>
      </c>
      <c r="AM6505">
        <v>117.52947542784101</v>
      </c>
      <c r="AN6505">
        <v>1.0000000346234099</v>
      </c>
    </row>
    <row r="6506" spans="1:40" x14ac:dyDescent="0.25">
      <c r="A6506" t="str">
        <f>"20190312164152002"</f>
        <v>20190312164152002</v>
      </c>
      <c r="B6506" t="str">
        <f>"1552380111992894"</f>
        <v>1552380111992894</v>
      </c>
      <c r="C6506" t="s">
        <v>40</v>
      </c>
      <c r="D6506">
        <v>5.903505</v>
      </c>
      <c r="E6506">
        <v>0.45890379999999997</v>
      </c>
      <c r="F6506" t="s">
        <v>42</v>
      </c>
      <c r="G6506">
        <v>-199.82900000000001</v>
      </c>
      <c r="H6506">
        <v>1.044082</v>
      </c>
      <c r="I6506">
        <v>-58.066679999999998</v>
      </c>
      <c r="J6506">
        <v>-200.1181</v>
      </c>
      <c r="K6506">
        <v>1.1221270000000001</v>
      </c>
      <c r="L6506">
        <v>-58.857030000000002</v>
      </c>
      <c r="M6506">
        <v>0.87187749999999997</v>
      </c>
      <c r="N6506">
        <v>0</v>
      </c>
      <c r="O6506">
        <v>0.4894637</v>
      </c>
      <c r="P6506">
        <v>0.54617340000000003</v>
      </c>
      <c r="Q6506">
        <v>0.14305570000000001</v>
      </c>
      <c r="R6506">
        <v>0.82536639999999994</v>
      </c>
      <c r="S6506">
        <v>1.4183809999999999</v>
      </c>
      <c r="T6506">
        <v>-0.23873050000000001</v>
      </c>
      <c r="U6506">
        <v>2.742035</v>
      </c>
      <c r="V6506">
        <v>-0.45671590000000001</v>
      </c>
      <c r="W6506">
        <v>0.14389440000000001</v>
      </c>
      <c r="X6506">
        <v>0.87789799999999996</v>
      </c>
      <c r="Y6506">
        <v>-0.54934380000000005</v>
      </c>
      <c r="Z6506">
        <v>-1.764392E-2</v>
      </c>
      <c r="AA6506">
        <v>0.83541019999999899</v>
      </c>
      <c r="AB6506">
        <v>31</v>
      </c>
      <c r="AC6506">
        <v>0.28909999999998998</v>
      </c>
      <c r="AD6506">
        <v>-7.80450000000001E-2</v>
      </c>
      <c r="AE6506">
        <v>0.790349999999996</v>
      </c>
      <c r="AF6506">
        <v>-0.54298439242966501</v>
      </c>
      <c r="AG6506">
        <v>-7.80450000000001E-2</v>
      </c>
      <c r="AH6506">
        <v>0.63354021919382397</v>
      </c>
      <c r="AI6506">
        <v>95.343641476547404</v>
      </c>
      <c r="AJ6506">
        <v>130.598683584214</v>
      </c>
      <c r="AK6506">
        <v>0.83803119380090596</v>
      </c>
      <c r="AL6506">
        <v>81.726738037794703</v>
      </c>
      <c r="AM6506">
        <v>117.485164533291</v>
      </c>
      <c r="AN6506">
        <v>0.99999995503408401</v>
      </c>
    </row>
    <row r="6507" spans="1:40" x14ac:dyDescent="0.25">
      <c r="A6507" t="str">
        <f>"20190312164152020"</f>
        <v>20190312164152020</v>
      </c>
      <c r="B6507" t="str">
        <f>"1552380112012413"</f>
        <v>1552380112012413</v>
      </c>
      <c r="C6507" t="s">
        <v>40</v>
      </c>
      <c r="D6507">
        <v>5.7794660000000002</v>
      </c>
      <c r="E6507">
        <v>0.45934190000000003</v>
      </c>
      <c r="F6507" t="s">
        <v>42</v>
      </c>
      <c r="G6507">
        <v>-199.6293</v>
      </c>
      <c r="H6507">
        <v>1.038054</v>
      </c>
      <c r="I6507">
        <v>-57.893680000000003</v>
      </c>
      <c r="J6507">
        <v>-199.91390000000001</v>
      </c>
      <c r="K6507">
        <v>1.12219</v>
      </c>
      <c r="L6507">
        <v>-58.730559999999997</v>
      </c>
      <c r="M6507">
        <v>0.86624000000000001</v>
      </c>
      <c r="N6507">
        <v>0</v>
      </c>
      <c r="O6507">
        <v>0.49937199999999998</v>
      </c>
      <c r="P6507">
        <v>0.53765469999999904</v>
      </c>
      <c r="Q6507">
        <v>0.14032049999999999</v>
      </c>
      <c r="R6507">
        <v>0.83140709999999995</v>
      </c>
      <c r="S6507">
        <v>1.396255</v>
      </c>
      <c r="T6507">
        <v>-0.24017869999999999</v>
      </c>
      <c r="U6507">
        <v>2.7524410000000001</v>
      </c>
      <c r="V6507">
        <v>-0.45608720000000003</v>
      </c>
      <c r="W6507">
        <v>0.141125799999999</v>
      </c>
      <c r="X6507">
        <v>0.87867399999999996</v>
      </c>
      <c r="Y6507">
        <v>-0.54645239999999995</v>
      </c>
      <c r="Z6507">
        <v>-1.878237E-2</v>
      </c>
      <c r="AA6507">
        <v>0.83727949999999995</v>
      </c>
      <c r="AB6507">
        <v>31</v>
      </c>
      <c r="AC6507">
        <v>0.28460000000001101</v>
      </c>
      <c r="AD6507">
        <v>-8.4135999999999905E-2</v>
      </c>
      <c r="AE6507">
        <v>0.83687999999999296</v>
      </c>
      <c r="AF6507">
        <v>-0.57765887119658099</v>
      </c>
      <c r="AG6507">
        <v>-8.4135999999999905E-2</v>
      </c>
      <c r="AH6507">
        <v>0.65856502130708405</v>
      </c>
      <c r="AI6507">
        <v>95.486105839451895</v>
      </c>
      <c r="AJ6507">
        <v>131.25554922324301</v>
      </c>
      <c r="AK6507">
        <v>0.88004347918572101</v>
      </c>
      <c r="AL6507">
        <v>81.887003427593001</v>
      </c>
      <c r="AM6507">
        <v>117.432158102716</v>
      </c>
      <c r="AN6507">
        <v>1.0000000118527399</v>
      </c>
    </row>
    <row r="6508" spans="1:40" x14ac:dyDescent="0.25">
      <c r="A6508" t="str">
        <f>"20190312164152032"</f>
        <v>20190312164152032</v>
      </c>
      <c r="B6508" t="str">
        <f>"1552380112022174"</f>
        <v>1552380112022174</v>
      </c>
      <c r="C6508" t="s">
        <v>40</v>
      </c>
      <c r="D6508">
        <v>5.7946819999999999</v>
      </c>
      <c r="E6508">
        <v>0.45953860000000002</v>
      </c>
      <c r="F6508" t="s">
        <v>42</v>
      </c>
      <c r="G6508">
        <v>-199.41980000000001</v>
      </c>
      <c r="H6508">
        <v>1.032942</v>
      </c>
      <c r="I6508">
        <v>-57.732439999999997</v>
      </c>
      <c r="J6508">
        <v>-199.76929999999999</v>
      </c>
      <c r="K6508">
        <v>1.1222319999999999</v>
      </c>
      <c r="L6508">
        <v>-58.638730000000002</v>
      </c>
      <c r="M6508">
        <v>0.86212180000000005</v>
      </c>
      <c r="N6508">
        <v>0</v>
      </c>
      <c r="O6508">
        <v>0.50644789999999995</v>
      </c>
      <c r="P6508">
        <v>0.5314953</v>
      </c>
      <c r="Q6508">
        <v>0.1386414</v>
      </c>
      <c r="R6508">
        <v>0.83563829999999995</v>
      </c>
      <c r="S6508">
        <v>1.3685</v>
      </c>
      <c r="T6508">
        <v>-0.2472346</v>
      </c>
      <c r="U6508">
        <v>2.7651059999999998</v>
      </c>
      <c r="V6508">
        <v>-0.45559519999999998</v>
      </c>
      <c r="W6508">
        <v>0.13942950000000001</v>
      </c>
      <c r="X6508">
        <v>0.87919990000000003</v>
      </c>
      <c r="Y6508">
        <v>-0.54786509999999999</v>
      </c>
      <c r="Z6508">
        <v>-1.9939330000000002E-2</v>
      </c>
      <c r="AA6508">
        <v>0.83632899999999999</v>
      </c>
      <c r="AB6508">
        <v>31</v>
      </c>
      <c r="AC6508">
        <v>0.349499999999977</v>
      </c>
      <c r="AD6508">
        <v>-8.92899999999998E-2</v>
      </c>
      <c r="AE6508">
        <v>0.90628999999999804</v>
      </c>
      <c r="AF6508">
        <v>-0.59934189557158202</v>
      </c>
      <c r="AG6508">
        <v>-8.92899999999998E-2</v>
      </c>
      <c r="AH6508">
        <v>0.75402622873035197</v>
      </c>
      <c r="AI6508">
        <v>95.296228916552593</v>
      </c>
      <c r="AJ6508">
        <v>128.47962612976801</v>
      </c>
      <c r="AK6508">
        <v>0.96733601478527298</v>
      </c>
      <c r="AL6508">
        <v>81.985164919069405</v>
      </c>
      <c r="AM6508">
        <v>117.392872871104</v>
      </c>
      <c r="AN6508">
        <v>1.0000000179466499</v>
      </c>
    </row>
    <row r="6509" spans="1:40" x14ac:dyDescent="0.25">
      <c r="A6509" t="str">
        <f>"20190312164152044"</f>
        <v>20190312164152044</v>
      </c>
      <c r="B6509" t="str">
        <f>"1552380112042671"</f>
        <v>1552380112042671</v>
      </c>
      <c r="C6509" t="s">
        <v>40</v>
      </c>
      <c r="D6509">
        <v>6.1596029999999997</v>
      </c>
      <c r="E6509">
        <v>0.46036880000000002</v>
      </c>
      <c r="F6509" t="s">
        <v>42</v>
      </c>
      <c r="G6509">
        <v>-199.36019999999999</v>
      </c>
      <c r="H6509">
        <v>1.0456449999999999</v>
      </c>
      <c r="I6509">
        <v>-57.797040000000003</v>
      </c>
      <c r="J6509">
        <v>-199.63399999999999</v>
      </c>
      <c r="K6509">
        <v>1.1222669999999999</v>
      </c>
      <c r="L6509">
        <v>-58.551270000000002</v>
      </c>
      <c r="M6509">
        <v>0.85817379999999999</v>
      </c>
      <c r="N6509">
        <v>0</v>
      </c>
      <c r="O6509">
        <v>0.51310869999999997</v>
      </c>
      <c r="P6509">
        <v>0.52570660000000002</v>
      </c>
      <c r="Q6509">
        <v>0.1367805</v>
      </c>
      <c r="R6509">
        <v>0.83959729999999999</v>
      </c>
      <c r="S6509">
        <v>1.3484499999999999</v>
      </c>
      <c r="T6509">
        <v>-0.25242170000000003</v>
      </c>
      <c r="U6509">
        <v>2.7742610000000001</v>
      </c>
      <c r="V6509">
        <v>-0.45508480000000001</v>
      </c>
      <c r="W6509">
        <v>0.1375585</v>
      </c>
      <c r="X6509">
        <v>0.87975879999999995</v>
      </c>
      <c r="Y6509">
        <v>-0.54736669999999998</v>
      </c>
      <c r="Z6509">
        <v>-2.102263E-2</v>
      </c>
      <c r="AA6509">
        <v>0.83662879999999995</v>
      </c>
      <c r="AB6509">
        <v>31</v>
      </c>
      <c r="AC6509">
        <v>0.27380000000002203</v>
      </c>
      <c r="AD6509">
        <v>-7.6621999999999704E-2</v>
      </c>
      <c r="AE6509">
        <v>0.75422999999999196</v>
      </c>
      <c r="AF6509">
        <v>-0.50225648339571605</v>
      </c>
      <c r="AG6509">
        <v>-7.6621999999999704E-2</v>
      </c>
      <c r="AH6509">
        <v>0.61642888665614903</v>
      </c>
      <c r="AI6509">
        <v>95.504199128326704</v>
      </c>
      <c r="AJ6509">
        <v>129.17260186717601</v>
      </c>
      <c r="AK6509">
        <v>0.79882230708785995</v>
      </c>
      <c r="AL6509">
        <v>82.093408555873495</v>
      </c>
      <c r="AM6509">
        <v>117.351784264705</v>
      </c>
      <c r="AN6509">
        <v>1.0000000311453601</v>
      </c>
    </row>
    <row r="6510" spans="1:40" x14ac:dyDescent="0.25">
      <c r="A6510" t="str">
        <f>"20190312164152057"</f>
        <v>20190312164152057</v>
      </c>
      <c r="B6510" t="str">
        <f>"1552380112052430"</f>
        <v>1552380112052430</v>
      </c>
      <c r="C6510" t="s">
        <v>40</v>
      </c>
      <c r="D6510">
        <v>5.8801750000000004</v>
      </c>
      <c r="E6510">
        <v>0.46035730000000002</v>
      </c>
      <c r="F6510" t="s">
        <v>42</v>
      </c>
      <c r="G6510">
        <v>-199.17959999999999</v>
      </c>
      <c r="H6510">
        <v>1.035771</v>
      </c>
      <c r="I6510">
        <v>-57.60416</v>
      </c>
      <c r="J6510">
        <v>-199.4898</v>
      </c>
      <c r="K6510">
        <v>1.1223030000000001</v>
      </c>
      <c r="L6510">
        <v>-58.456969999999998</v>
      </c>
      <c r="M6510">
        <v>0.85388569999999997</v>
      </c>
      <c r="N6510">
        <v>0</v>
      </c>
      <c r="O6510">
        <v>0.52021289999999998</v>
      </c>
      <c r="P6510">
        <v>0.51954219999999995</v>
      </c>
      <c r="Q6510">
        <v>0.13552049999999999</v>
      </c>
      <c r="R6510">
        <v>0.84362909999999902</v>
      </c>
      <c r="S6510">
        <v>1.333237</v>
      </c>
      <c r="T6510">
        <v>-0.25382729999999998</v>
      </c>
      <c r="U6510">
        <v>2.7796940000000001</v>
      </c>
      <c r="V6510">
        <v>-0.45437729999999998</v>
      </c>
      <c r="W6510">
        <v>0.13629450000000001</v>
      </c>
      <c r="X6510">
        <v>0.88032099999999902</v>
      </c>
      <c r="Y6510">
        <v>-0.54479669999999902</v>
      </c>
      <c r="Z6510">
        <v>-2.195648E-2</v>
      </c>
      <c r="AA6510">
        <v>0.83828069999999899</v>
      </c>
      <c r="AB6510">
        <v>31</v>
      </c>
      <c r="AC6510">
        <v>0.31020000000000802</v>
      </c>
      <c r="AD6510">
        <v>-8.6531999999999998E-2</v>
      </c>
      <c r="AE6510">
        <v>0.85280999999999796</v>
      </c>
      <c r="AF6510">
        <v>-0.56179712466507503</v>
      </c>
      <c r="AG6510">
        <v>-8.6531999999999998E-2</v>
      </c>
      <c r="AH6510">
        <v>0.70222443236097898</v>
      </c>
      <c r="AI6510">
        <v>95.496183612274905</v>
      </c>
      <c r="AJ6510">
        <v>128.66068280719199</v>
      </c>
      <c r="AK6510">
        <v>0.90345057956185204</v>
      </c>
      <c r="AL6510">
        <v>82.166518729842593</v>
      </c>
      <c r="AM6510">
        <v>117.30050111285399</v>
      </c>
      <c r="AN6510">
        <v>0.99999999226326997</v>
      </c>
    </row>
    <row r="6511" spans="1:40" x14ac:dyDescent="0.25">
      <c r="A6511" t="str">
        <f>"20190312164152075"</f>
        <v>20190312164152075</v>
      </c>
      <c r="B6511" t="str">
        <f>"1552380112072925"</f>
        <v>1552380112072925</v>
      </c>
      <c r="C6511" t="s">
        <v>40</v>
      </c>
      <c r="D6511">
        <v>5.9344229999999998</v>
      </c>
      <c r="E6511">
        <v>0.46114739999999999</v>
      </c>
      <c r="F6511" t="s">
        <v>42</v>
      </c>
      <c r="G6511">
        <v>-199.11879999999999</v>
      </c>
      <c r="H6511">
        <v>1.048826</v>
      </c>
      <c r="I6511">
        <v>-57.668230000000001</v>
      </c>
      <c r="J6511">
        <v>-199.2867</v>
      </c>
      <c r="K6511">
        <v>1.1223459999999901</v>
      </c>
      <c r="L6511">
        <v>-58.320250000000001</v>
      </c>
      <c r="M6511">
        <v>0.84764779999999995</v>
      </c>
      <c r="N6511">
        <v>0</v>
      </c>
      <c r="O6511">
        <v>0.5303158</v>
      </c>
      <c r="P6511">
        <v>0.51125350000000003</v>
      </c>
      <c r="Q6511">
        <v>0.13356270000000001</v>
      </c>
      <c r="R6511">
        <v>0.84898819999999997</v>
      </c>
      <c r="S6511">
        <v>1.311844</v>
      </c>
      <c r="T6511">
        <v>-0.25987009999999999</v>
      </c>
      <c r="U6511">
        <v>2.7899479999999999</v>
      </c>
      <c r="V6511">
        <v>-0.452766</v>
      </c>
      <c r="W6511">
        <v>0.13436119999999999</v>
      </c>
      <c r="X6511">
        <v>0.88144769999999995</v>
      </c>
      <c r="Y6511">
        <v>-0.54130789999999995</v>
      </c>
      <c r="Z6511">
        <v>-2.364198E-2</v>
      </c>
      <c r="AA6511">
        <v>0.84049200000000002</v>
      </c>
      <c r="AB6511">
        <v>31</v>
      </c>
      <c r="AC6511">
        <v>0.16790000000000299</v>
      </c>
      <c r="AD6511">
        <v>-7.3519999999999794E-2</v>
      </c>
      <c r="AE6511">
        <v>0.65202000000000004</v>
      </c>
      <c r="AF6511">
        <v>-0.45823935985645198</v>
      </c>
      <c r="AG6511">
        <v>-7.3519999999999794E-2</v>
      </c>
      <c r="AH6511">
        <v>0.48240762556528399</v>
      </c>
      <c r="AI6511">
        <v>96.305433110577994</v>
      </c>
      <c r="AJ6511">
        <v>133.528209778053</v>
      </c>
      <c r="AK6511">
        <v>0.66940691550445397</v>
      </c>
      <c r="AL6511">
        <v>82.278317306474705</v>
      </c>
      <c r="AM6511">
        <v>117.18783333898099</v>
      </c>
      <c r="AN6511">
        <v>1.0000000153283599</v>
      </c>
    </row>
    <row r="6512" spans="1:40" x14ac:dyDescent="0.25">
      <c r="A6512" t="str">
        <f>"20190312164152089"</f>
        <v>20190312164152089</v>
      </c>
      <c r="B6512" t="str">
        <f>"1552380112082685"</f>
        <v>1552380112082685</v>
      </c>
      <c r="C6512" t="s">
        <v>40</v>
      </c>
      <c r="D6512">
        <v>5.7666170000000001</v>
      </c>
      <c r="E6512">
        <v>0.4615667</v>
      </c>
      <c r="F6512" t="s">
        <v>42</v>
      </c>
      <c r="G6512">
        <v>-198.9111</v>
      </c>
      <c r="H6512">
        <v>1.04677</v>
      </c>
      <c r="I6512">
        <v>-57.503430000000002</v>
      </c>
      <c r="J6512">
        <v>-199.1386</v>
      </c>
      <c r="K6512">
        <v>1.1223730000000001</v>
      </c>
      <c r="L6512">
        <v>-58.218139999999998</v>
      </c>
      <c r="M6512">
        <v>0.8429643</v>
      </c>
      <c r="N6512">
        <v>0</v>
      </c>
      <c r="O6512">
        <v>0.53772889999999995</v>
      </c>
      <c r="P6512">
        <v>0.50495029999999996</v>
      </c>
      <c r="Q6512">
        <v>0.13315150000000001</v>
      </c>
      <c r="R6512">
        <v>0.85281649999999998</v>
      </c>
      <c r="S6512">
        <v>1.2869870000000001</v>
      </c>
      <c r="T6512">
        <v>-0.25899169999999999</v>
      </c>
      <c r="U6512">
        <v>2.799347</v>
      </c>
      <c r="V6512">
        <v>-0.4516172</v>
      </c>
      <c r="W6512">
        <v>0.133969</v>
      </c>
      <c r="X6512">
        <v>0.88209649999999995</v>
      </c>
      <c r="Y6512">
        <v>-0.5411802</v>
      </c>
      <c r="Z6512">
        <v>-2.4320060000000001E-2</v>
      </c>
      <c r="AA6512">
        <v>0.84055489999999999</v>
      </c>
      <c r="AB6512">
        <v>31</v>
      </c>
      <c r="AC6512">
        <v>0.22749999999999199</v>
      </c>
      <c r="AD6512">
        <v>-7.5603000000000004E-2</v>
      </c>
      <c r="AE6512">
        <v>0.71471000000000295</v>
      </c>
      <c r="AF6512">
        <v>-0.475373922582985</v>
      </c>
      <c r="AG6512">
        <v>-7.5603000000000004E-2</v>
      </c>
      <c r="AH6512">
        <v>0.57037402833637196</v>
      </c>
      <c r="AI6512">
        <v>95.813942906144405</v>
      </c>
      <c r="AJ6512">
        <v>129.80926025763199</v>
      </c>
      <c r="AK6512">
        <v>0.74633954208630404</v>
      </c>
      <c r="AL6512">
        <v>82.300993701399804</v>
      </c>
      <c r="AM6512">
        <v>117.111612304581</v>
      </c>
      <c r="AN6512">
        <v>1.00000001180454</v>
      </c>
    </row>
    <row r="6513" spans="1:40" x14ac:dyDescent="0.25">
      <c r="A6513" t="str">
        <f>"20190312164152103"</f>
        <v>20190312164152103</v>
      </c>
      <c r="B6513" t="str">
        <f>"1552380112092954"</f>
        <v>1552380112092954</v>
      </c>
      <c r="C6513" t="s">
        <v>40</v>
      </c>
      <c r="D6513">
        <v>5.8441000000000001</v>
      </c>
      <c r="E6513">
        <v>0.46194689999999999</v>
      </c>
      <c r="F6513" t="s">
        <v>42</v>
      </c>
      <c r="G6513">
        <v>-198.7294</v>
      </c>
      <c r="H6513">
        <v>1.039223</v>
      </c>
      <c r="I6513">
        <v>-57.312899999999999</v>
      </c>
      <c r="J6513">
        <v>-198.97290000000001</v>
      </c>
      <c r="K6513">
        <v>1.122404</v>
      </c>
      <c r="L6513">
        <v>-58.102080000000001</v>
      </c>
      <c r="M6513">
        <v>0.8376055</v>
      </c>
      <c r="N6513">
        <v>0</v>
      </c>
      <c r="O6513">
        <v>0.54603809999999997</v>
      </c>
      <c r="P6513">
        <v>0.49758000000000002</v>
      </c>
      <c r="Q6513">
        <v>0.1318317</v>
      </c>
      <c r="R6513">
        <v>0.85734159999999904</v>
      </c>
      <c r="S6513">
        <v>1.2685850000000001</v>
      </c>
      <c r="T6513">
        <v>-0.25782100000000002</v>
      </c>
      <c r="U6513">
        <v>2.8068849999999999</v>
      </c>
      <c r="V6513">
        <v>-0.45064009999999999</v>
      </c>
      <c r="W6513">
        <v>0.13266329999999901</v>
      </c>
      <c r="X6513">
        <v>0.8827933</v>
      </c>
      <c r="Y6513">
        <v>-0.53831130000000005</v>
      </c>
      <c r="Z6513">
        <v>-2.5171140000000002E-2</v>
      </c>
      <c r="AA6513">
        <v>0.84236999999999995</v>
      </c>
      <c r="AB6513">
        <v>31</v>
      </c>
      <c r="AC6513">
        <v>0.24350000000001101</v>
      </c>
      <c r="AD6513">
        <v>-8.3181000000000102E-2</v>
      </c>
      <c r="AE6513">
        <v>0.78918000000000799</v>
      </c>
      <c r="AF6513">
        <v>-0.52282627872574705</v>
      </c>
      <c r="AG6513">
        <v>-8.3181000000000102E-2</v>
      </c>
      <c r="AH6513">
        <v>0.62858539027731297</v>
      </c>
      <c r="AI6513">
        <v>95.8091832739278</v>
      </c>
      <c r="AJ6513">
        <v>129.75201119919399</v>
      </c>
      <c r="AK6513">
        <v>0.82181870832763104</v>
      </c>
      <c r="AL6513">
        <v>82.376478761959504</v>
      </c>
      <c r="AM6513">
        <v>117.04297917043699</v>
      </c>
      <c r="AN6513">
        <v>1.00000003070989</v>
      </c>
    </row>
    <row r="6514" spans="1:40" x14ac:dyDescent="0.25">
      <c r="A6514" t="str">
        <f>"20190312164152124"</f>
        <v>20190312164152124</v>
      </c>
      <c r="B6514" t="str">
        <f>"1552380112112474"</f>
        <v>1552380112112474</v>
      </c>
      <c r="C6514" t="s">
        <v>40</v>
      </c>
      <c r="D6514">
        <v>5.8837210000000004</v>
      </c>
      <c r="E6514">
        <v>0.46239409999999997</v>
      </c>
      <c r="F6514" t="s">
        <v>42</v>
      </c>
      <c r="G6514">
        <v>-198.54249999999999</v>
      </c>
      <c r="H6514">
        <v>1.032735</v>
      </c>
      <c r="I6514">
        <v>-57.129010000000001</v>
      </c>
      <c r="J6514">
        <v>-198.75450000000001</v>
      </c>
      <c r="K6514">
        <v>1.122428</v>
      </c>
      <c r="L6514">
        <v>-57.945039999999999</v>
      </c>
      <c r="M6514">
        <v>0.83031939999999904</v>
      </c>
      <c r="N6514">
        <v>0</v>
      </c>
      <c r="O6514">
        <v>0.5570543</v>
      </c>
      <c r="P6514">
        <v>0.48880839999999998</v>
      </c>
      <c r="Q6514">
        <v>0.12908330000000001</v>
      </c>
      <c r="R6514">
        <v>0.86278840000000001</v>
      </c>
      <c r="S6514">
        <v>1.245911</v>
      </c>
      <c r="T6514">
        <v>-0.25951449999999998</v>
      </c>
      <c r="U6514">
        <v>2.815979</v>
      </c>
      <c r="V6514">
        <v>-0.44825320000000002</v>
      </c>
      <c r="W6514">
        <v>0.1299835</v>
      </c>
      <c r="X6514">
        <v>0.88440569999999896</v>
      </c>
      <c r="Y6514">
        <v>-0.533883</v>
      </c>
      <c r="Z6514">
        <v>-2.664675E-2</v>
      </c>
      <c r="AA6514">
        <v>0.84513839999999996</v>
      </c>
      <c r="AB6514">
        <v>31</v>
      </c>
      <c r="AC6514">
        <v>0.21200000000001701</v>
      </c>
      <c r="AD6514">
        <v>-8.9692999999999995E-2</v>
      </c>
      <c r="AE6514">
        <v>0.81603000000000403</v>
      </c>
      <c r="AF6514">
        <v>-0.55328122440178895</v>
      </c>
      <c r="AG6514">
        <v>-8.9692999999999995E-2</v>
      </c>
      <c r="AH6514">
        <v>0.62362508819041695</v>
      </c>
      <c r="AI6514">
        <v>96.140625840518496</v>
      </c>
      <c r="AJ6514">
        <v>131.579492160662</v>
      </c>
      <c r="AK6514">
        <v>0.838494602335071</v>
      </c>
      <c r="AL6514">
        <v>82.531361468696701</v>
      </c>
      <c r="AM6514">
        <v>116.877767439255</v>
      </c>
      <c r="AN6514">
        <v>1.0000000418874799</v>
      </c>
    </row>
    <row r="6515" spans="1:40" x14ac:dyDescent="0.25">
      <c r="A6515" t="str">
        <f>"20190312164152144"</f>
        <v>20190312164152144</v>
      </c>
      <c r="B6515" t="str">
        <f>"1552380112132970"</f>
        <v>1552380112132970</v>
      </c>
      <c r="C6515" t="s">
        <v>40</v>
      </c>
      <c r="D6515">
        <v>5.837008</v>
      </c>
      <c r="E6515">
        <v>0.46256419999999998</v>
      </c>
      <c r="F6515" t="s">
        <v>42</v>
      </c>
      <c r="G6515">
        <v>-198.3331</v>
      </c>
      <c r="H6515">
        <v>1.029223</v>
      </c>
      <c r="I6515">
        <v>-56.967469999999999</v>
      </c>
      <c r="J6515">
        <v>-198.5264</v>
      </c>
      <c r="K6515">
        <v>1.122441</v>
      </c>
      <c r="L6515">
        <v>-57.776119999999999</v>
      </c>
      <c r="M6515">
        <v>0.82244059999999897</v>
      </c>
      <c r="N6515">
        <v>0</v>
      </c>
      <c r="O6515">
        <v>0.56862190000000001</v>
      </c>
      <c r="P6515">
        <v>0.4797283</v>
      </c>
      <c r="Q6515">
        <v>0.12585060000000001</v>
      </c>
      <c r="R6515">
        <v>0.86834469999999997</v>
      </c>
      <c r="S6515">
        <v>1.2185969999999999</v>
      </c>
      <c r="T6515">
        <v>-0.26952589999999998</v>
      </c>
      <c r="U6515">
        <v>2.827026</v>
      </c>
      <c r="V6515">
        <v>-0.44545010000000002</v>
      </c>
      <c r="W6515">
        <v>0.12684210000000001</v>
      </c>
      <c r="X6515">
        <v>0.88627610000000001</v>
      </c>
      <c r="Y6515">
        <v>-0.53015419999999902</v>
      </c>
      <c r="Z6515">
        <v>-2.9056680000000001E-2</v>
      </c>
      <c r="AA6515">
        <v>0.84740319999999902</v>
      </c>
      <c r="AB6515">
        <v>31</v>
      </c>
      <c r="AC6515">
        <v>0.19329999999999301</v>
      </c>
      <c r="AD6515">
        <v>-9.3217999999999995E-2</v>
      </c>
      <c r="AE6515">
        <v>0.80864999999999998</v>
      </c>
      <c r="AF6515">
        <v>-0.548331631962657</v>
      </c>
      <c r="AG6515">
        <v>-9.3217999999999995E-2</v>
      </c>
      <c r="AH6515">
        <v>0.611191646005522</v>
      </c>
      <c r="AI6515">
        <v>96.476871155725803</v>
      </c>
      <c r="AJ6515">
        <v>131.896921796269</v>
      </c>
      <c r="AK6515">
        <v>0.82638514161483501</v>
      </c>
      <c r="AL6515">
        <v>82.712852929313399</v>
      </c>
      <c r="AM6515">
        <v>116.684501472598</v>
      </c>
      <c r="AN6515">
        <v>1.00000001767681</v>
      </c>
    </row>
    <row r="6516" spans="1:40" x14ac:dyDescent="0.25">
      <c r="A6516" t="str">
        <f>"20190312164152157"</f>
        <v>20190312164152157</v>
      </c>
      <c r="B6516" t="str">
        <f>"1552380112152490"</f>
        <v>1552380112152490</v>
      </c>
      <c r="C6516" t="s">
        <v>40</v>
      </c>
      <c r="D6516">
        <v>6.0635469999999998</v>
      </c>
      <c r="E6516">
        <v>0.46331640000000002</v>
      </c>
      <c r="F6516" t="s">
        <v>42</v>
      </c>
      <c r="G6516">
        <v>-198.1215</v>
      </c>
      <c r="H6516">
        <v>1.026967</v>
      </c>
      <c r="I6516">
        <v>-56.807760000000002</v>
      </c>
      <c r="J6516">
        <v>-198.3853</v>
      </c>
      <c r="K6516">
        <v>1.1224499999999999</v>
      </c>
      <c r="L6516">
        <v>-57.669559999999997</v>
      </c>
      <c r="M6516">
        <v>0.81743940000000004</v>
      </c>
      <c r="N6516">
        <v>0</v>
      </c>
      <c r="O6516">
        <v>0.57578809999999903</v>
      </c>
      <c r="P6516">
        <v>0.47385500000000003</v>
      </c>
      <c r="Q6516">
        <v>0.1246715</v>
      </c>
      <c r="R6516">
        <v>0.87173310000000004</v>
      </c>
      <c r="S6516">
        <v>1.1872100000000001</v>
      </c>
      <c r="T6516">
        <v>-0.27995150000000002</v>
      </c>
      <c r="U6516">
        <v>2.839569</v>
      </c>
      <c r="V6516">
        <v>-0.44379279999999999</v>
      </c>
      <c r="W6516">
        <v>0.1257182</v>
      </c>
      <c r="X6516">
        <v>0.88726709999999998</v>
      </c>
      <c r="Y6516">
        <v>-0.53205069999999999</v>
      </c>
      <c r="Z6516">
        <v>-3.087152E-2</v>
      </c>
      <c r="AA6516">
        <v>0.84614959999999995</v>
      </c>
      <c r="AB6516">
        <v>31</v>
      </c>
      <c r="AC6516">
        <v>0.26380000000000298</v>
      </c>
      <c r="AD6516">
        <v>-9.5482999999999901E-2</v>
      </c>
      <c r="AE6516">
        <v>0.86180000000000201</v>
      </c>
      <c r="AF6516">
        <v>-0.54651448241547396</v>
      </c>
      <c r="AG6516">
        <v>-9.5482999999999901E-2</v>
      </c>
      <c r="AH6516">
        <v>0.70404548620438101</v>
      </c>
      <c r="AI6516">
        <v>96.114869997333599</v>
      </c>
      <c r="AJ6516">
        <v>127.82036012314499</v>
      </c>
      <c r="AK6516">
        <v>0.89636774229309302</v>
      </c>
      <c r="AL6516">
        <v>82.777767273934501</v>
      </c>
      <c r="AM6516">
        <v>116.573277514155</v>
      </c>
      <c r="AN6516">
        <v>1.00000001094274</v>
      </c>
    </row>
    <row r="6517" spans="1:40" x14ac:dyDescent="0.25">
      <c r="A6517" t="str">
        <f>"20190312164152175"</f>
        <v>20190312164152175</v>
      </c>
      <c r="B6517" t="str">
        <f>"1552380112172985"</f>
        <v>1552380112172985</v>
      </c>
      <c r="C6517" t="s">
        <v>40</v>
      </c>
      <c r="D6517">
        <v>5.7922650000000004</v>
      </c>
      <c r="E6517">
        <v>0.46334819999999999</v>
      </c>
      <c r="F6517" t="s">
        <v>42</v>
      </c>
      <c r="G6517">
        <v>-198.05520000000001</v>
      </c>
      <c r="H6517">
        <v>1.044087</v>
      </c>
      <c r="I6517">
        <v>-56.868839999999999</v>
      </c>
      <c r="J6517">
        <v>-198.1876</v>
      </c>
      <c r="K6517">
        <v>1.122457</v>
      </c>
      <c r="L6517">
        <v>-57.516170000000002</v>
      </c>
      <c r="M6517">
        <v>0.81023449999999997</v>
      </c>
      <c r="N6517">
        <v>0</v>
      </c>
      <c r="O6517">
        <v>0.58588280000000004</v>
      </c>
      <c r="P6517">
        <v>0.46654489999999998</v>
      </c>
      <c r="Q6517">
        <v>0.1223394</v>
      </c>
      <c r="R6517">
        <v>0.875995999999999</v>
      </c>
      <c r="S6517">
        <v>1.1720889999999999</v>
      </c>
      <c r="T6517">
        <v>-0.27832259999999998</v>
      </c>
      <c r="U6517">
        <v>2.8440859999999999</v>
      </c>
      <c r="V6517">
        <v>-0.44040289999999999</v>
      </c>
      <c r="W6517">
        <v>0.1235106</v>
      </c>
      <c r="X6517">
        <v>0.88926399999999906</v>
      </c>
      <c r="Y6517">
        <v>-0.52589359999999996</v>
      </c>
      <c r="Z6517">
        <v>-3.2093129999999997E-2</v>
      </c>
      <c r="AA6517">
        <v>0.8499447</v>
      </c>
      <c r="AB6517">
        <v>31</v>
      </c>
      <c r="AC6517">
        <v>0.132399999999989</v>
      </c>
      <c r="AD6517">
        <v>-7.8369999999999995E-2</v>
      </c>
      <c r="AE6517">
        <v>0.64732999999998897</v>
      </c>
      <c r="AF6517">
        <v>-0.44077555882944902</v>
      </c>
      <c r="AG6517">
        <v>-7.8369999999999995E-2</v>
      </c>
      <c r="AH6517">
        <v>0.47984739743475002</v>
      </c>
      <c r="AI6517">
        <v>96.858569971307404</v>
      </c>
      <c r="AJ6517">
        <v>132.569788160944</v>
      </c>
      <c r="AK6517">
        <v>0.656260980850086</v>
      </c>
      <c r="AL6517">
        <v>82.905247216857603</v>
      </c>
      <c r="AM6517">
        <v>116.34665013759</v>
      </c>
      <c r="AN6517">
        <v>1.00000002216838</v>
      </c>
    </row>
    <row r="6518" spans="1:40" x14ac:dyDescent="0.25">
      <c r="A6518" t="str">
        <f>"20190312164152189"</f>
        <v>20190312164152189</v>
      </c>
      <c r="B6518" t="str">
        <f>"1552380112182746"</f>
        <v>1552380112182746</v>
      </c>
      <c r="C6518" t="s">
        <v>40</v>
      </c>
      <c r="D6518">
        <v>5.902183</v>
      </c>
      <c r="E6518">
        <v>0.46334819999999999</v>
      </c>
      <c r="F6518" t="s">
        <v>42</v>
      </c>
      <c r="G6518">
        <v>-197.85740000000001</v>
      </c>
      <c r="H6518">
        <v>1.040753</v>
      </c>
      <c r="I6518">
        <v>-56.694569999999999</v>
      </c>
      <c r="J6518">
        <v>-198.04580000000001</v>
      </c>
      <c r="K6518">
        <v>1.12246</v>
      </c>
      <c r="L6518">
        <v>-57.403410000000001</v>
      </c>
      <c r="M6518">
        <v>0.8049288</v>
      </c>
      <c r="N6518">
        <v>0</v>
      </c>
      <c r="O6518">
        <v>0.59315090000000004</v>
      </c>
      <c r="P6518">
        <v>0.46059709999999998</v>
      </c>
      <c r="Q6518">
        <v>0.1213316</v>
      </c>
      <c r="R6518">
        <v>0.87927749999999905</v>
      </c>
      <c r="S6518">
        <v>1.146622</v>
      </c>
      <c r="T6518">
        <v>-0.28375660000000003</v>
      </c>
      <c r="U6518">
        <v>2.8536380000000001</v>
      </c>
      <c r="V6518">
        <v>-0.43850679999999997</v>
      </c>
      <c r="W6518">
        <v>0.12257410000000001</v>
      </c>
      <c r="X6518">
        <v>0.89032990000000001</v>
      </c>
      <c r="Y6518">
        <v>-0.52576840000000002</v>
      </c>
      <c r="Z6518">
        <v>-3.3536749999999997E-2</v>
      </c>
      <c r="AA6518">
        <v>0.84996640000000001</v>
      </c>
      <c r="AB6518">
        <v>31</v>
      </c>
      <c r="AC6518">
        <v>0.18840000000000101</v>
      </c>
      <c r="AD6518">
        <v>-8.1706999999999905E-2</v>
      </c>
      <c r="AE6518">
        <v>0.70884000000000202</v>
      </c>
      <c r="AF6518">
        <v>-0.45325121068932001</v>
      </c>
      <c r="AG6518">
        <v>-8.1706999999999905E-2</v>
      </c>
      <c r="AH6518">
        <v>0.56515880964201703</v>
      </c>
      <c r="AI6518">
        <v>96.434823070630799</v>
      </c>
      <c r="AJ6518">
        <v>128.72923329706401</v>
      </c>
      <c r="AK6518">
        <v>0.72905224363986199</v>
      </c>
      <c r="AL6518">
        <v>82.959315239854703</v>
      </c>
      <c r="AM6518">
        <v>116.221247051905</v>
      </c>
      <c r="AN6518">
        <v>0.99999997723552903</v>
      </c>
    </row>
    <row r="6519" spans="1:40" x14ac:dyDescent="0.25">
      <c r="A6519" t="str">
        <f>"20190312164152202"</f>
        <v>20190312164152202</v>
      </c>
      <c r="B6519" t="str">
        <f>"1552380112193014"</f>
        <v>1552380112193014</v>
      </c>
      <c r="C6519" t="s">
        <v>40</v>
      </c>
      <c r="D6519">
        <v>5.9103059999999896</v>
      </c>
      <c r="E6519">
        <v>0.48884359999999999</v>
      </c>
      <c r="F6519" t="s">
        <v>42</v>
      </c>
      <c r="G6519">
        <v>-197.68819999999999</v>
      </c>
      <c r="H6519">
        <v>1.031466</v>
      </c>
      <c r="I6519">
        <v>-56.4953199999999</v>
      </c>
      <c r="J6519">
        <v>-197.90819999999999</v>
      </c>
      <c r="K6519">
        <v>1.1224670000000001</v>
      </c>
      <c r="L6519">
        <v>-57.292569999999998</v>
      </c>
      <c r="M6519">
        <v>0.79968819999999996</v>
      </c>
      <c r="N6519">
        <v>0</v>
      </c>
      <c r="O6519">
        <v>0.6001976</v>
      </c>
      <c r="P6519">
        <v>0.45481660000000002</v>
      </c>
      <c r="Q6519">
        <v>0.1204867</v>
      </c>
      <c r="R6519">
        <v>0.88239719999999999</v>
      </c>
      <c r="S6519">
        <v>1.1266020000000001</v>
      </c>
      <c r="T6519">
        <v>-0.2867132</v>
      </c>
      <c r="U6519">
        <v>2.8613279999999999</v>
      </c>
      <c r="V6519">
        <v>-0.43659510000000001</v>
      </c>
      <c r="W6519">
        <v>0.1218027</v>
      </c>
      <c r="X6519">
        <v>0.89137469999999996</v>
      </c>
      <c r="Y6519">
        <v>-0.52424459999999995</v>
      </c>
      <c r="Z6519">
        <v>-3.4751560000000001E-2</v>
      </c>
      <c r="AA6519">
        <v>0.85085840000000001</v>
      </c>
      <c r="AB6519">
        <v>31</v>
      </c>
      <c r="AC6519">
        <v>0.219999999999998</v>
      </c>
      <c r="AD6519">
        <v>-9.1001000000000096E-2</v>
      </c>
      <c r="AE6519">
        <v>0.79725000000000501</v>
      </c>
      <c r="AF6519">
        <v>-0.499526390107494</v>
      </c>
      <c r="AG6519">
        <v>-9.1001000000000096E-2</v>
      </c>
      <c r="AH6519">
        <v>0.64669512019771702</v>
      </c>
      <c r="AI6519">
        <v>96.354464333004998</v>
      </c>
      <c r="AJ6519">
        <v>127.68355651252899</v>
      </c>
      <c r="AK6519">
        <v>0.82220579838770502</v>
      </c>
      <c r="AL6519">
        <v>83.003847167996199</v>
      </c>
      <c r="AM6519">
        <v>116.09560094644</v>
      </c>
      <c r="AN6519">
        <v>1.00000001743569</v>
      </c>
    </row>
    <row r="6520" spans="1:40" x14ac:dyDescent="0.25">
      <c r="A6520" t="str">
        <f>"20190312164152215"</f>
        <v>20190312164152215</v>
      </c>
      <c r="B6520" t="str">
        <f>"1552380112202772"</f>
        <v>1552380112202772</v>
      </c>
      <c r="C6520" t="s">
        <v>40</v>
      </c>
      <c r="D6520">
        <v>5.8500969999999999</v>
      </c>
      <c r="E6520">
        <v>0.48954560000000003</v>
      </c>
      <c r="F6520" t="s">
        <v>42</v>
      </c>
      <c r="G6520">
        <v>-197.4657</v>
      </c>
      <c r="H6520">
        <v>1.044378</v>
      </c>
      <c r="I6520">
        <v>-56.342559999999999</v>
      </c>
      <c r="J6520">
        <v>-197.77520000000001</v>
      </c>
      <c r="K6520">
        <v>1.1224670000000001</v>
      </c>
      <c r="L6520">
        <v>-57.183349999999997</v>
      </c>
      <c r="M6520">
        <v>0.79451499999999997</v>
      </c>
      <c r="N6520">
        <v>0</v>
      </c>
      <c r="O6520">
        <v>0.60702869999999998</v>
      </c>
      <c r="P6520">
        <v>0.44918540000000001</v>
      </c>
      <c r="Q6520">
        <v>0.1196744</v>
      </c>
      <c r="R6520">
        <v>0.88538719999999904</v>
      </c>
      <c r="S6520">
        <v>1.2882690000000001</v>
      </c>
      <c r="T6520">
        <v>-0.22738749999999999</v>
      </c>
      <c r="U6520">
        <v>2.7668759999999999</v>
      </c>
      <c r="V6520">
        <v>-0.43469540000000001</v>
      </c>
      <c r="W6520">
        <v>0.1210653</v>
      </c>
      <c r="X6520">
        <v>0.89240299999999995</v>
      </c>
      <c r="Y6520">
        <v>-0.46423779999999998</v>
      </c>
      <c r="Z6520">
        <v>-3.0597679999999999E-2</v>
      </c>
      <c r="AA6520">
        <v>0.88518189999999997</v>
      </c>
      <c r="AB6520">
        <v>31</v>
      </c>
      <c r="AC6520">
        <v>0.30950000000001399</v>
      </c>
      <c r="AD6520">
        <v>-7.8089000000000006E-2</v>
      </c>
      <c r="AE6520">
        <v>0.84078999999999804</v>
      </c>
      <c r="AF6520">
        <v>-0.47658739059212502</v>
      </c>
      <c r="AG6520">
        <v>-7.8089000000000006E-2</v>
      </c>
      <c r="AH6520">
        <v>0.75068257203967903</v>
      </c>
      <c r="AI6520">
        <v>95.018857617181496</v>
      </c>
      <c r="AJ6520">
        <v>122.410323027815</v>
      </c>
      <c r="AK6520">
        <v>0.89261288180068199</v>
      </c>
      <c r="AL6520">
        <v>83.046411997617696</v>
      </c>
      <c r="AM6520">
        <v>115.971019249741</v>
      </c>
      <c r="AN6520">
        <v>1.0000000060271199</v>
      </c>
    </row>
    <row r="6521" spans="1:40" x14ac:dyDescent="0.25">
      <c r="A6521" t="str">
        <f>"20190312164152234"</f>
        <v>20190312164152234</v>
      </c>
      <c r="B6521" t="str">
        <f>"1552380112222293"</f>
        <v>1552380112222293</v>
      </c>
      <c r="C6521" t="s">
        <v>40</v>
      </c>
      <c r="D6521">
        <v>5.9618570000000002</v>
      </c>
      <c r="E6521">
        <v>0.4905738</v>
      </c>
      <c r="F6521" t="s">
        <v>42</v>
      </c>
      <c r="G6521">
        <v>-197.38480000000001</v>
      </c>
      <c r="H6521">
        <v>1.0538270000000001</v>
      </c>
      <c r="I6521">
        <v>-56.335099999999997</v>
      </c>
      <c r="J6521">
        <v>-197.58449999999999</v>
      </c>
      <c r="K6521">
        <v>1.1224590000000001</v>
      </c>
      <c r="L6521">
        <v>-57.023069999999997</v>
      </c>
      <c r="M6521">
        <v>0.78691480000000003</v>
      </c>
      <c r="N6521">
        <v>0</v>
      </c>
      <c r="O6521">
        <v>0.61684919999999899</v>
      </c>
      <c r="P6521">
        <v>0.44191269999999999</v>
      </c>
      <c r="Q6521">
        <v>0.1189426</v>
      </c>
      <c r="R6521">
        <v>0.88913770000000003</v>
      </c>
      <c r="S6521">
        <v>1.275177</v>
      </c>
      <c r="T6521">
        <v>-0.22425290000000001</v>
      </c>
      <c r="U6521">
        <v>2.7717290000000001</v>
      </c>
      <c r="V6521">
        <v>-0.4309731</v>
      </c>
      <c r="W6521">
        <v>0.12048159999999999</v>
      </c>
      <c r="X6521">
        <v>0.89428539999999901</v>
      </c>
      <c r="Y6521">
        <v>-0.45728429999999998</v>
      </c>
      <c r="Z6521">
        <v>-3.128508E-2</v>
      </c>
      <c r="AA6521">
        <v>0.88877009999999901</v>
      </c>
      <c r="AB6521">
        <v>31</v>
      </c>
      <c r="AC6521">
        <v>0.19969999999997801</v>
      </c>
      <c r="AD6521">
        <v>-6.8631999999999999E-2</v>
      </c>
      <c r="AE6521">
        <v>0.68796999999999997</v>
      </c>
      <c r="AF6521">
        <v>-0.414439798262426</v>
      </c>
      <c r="AG6521">
        <v>-6.8631999999999999E-2</v>
      </c>
      <c r="AH6521">
        <v>0.57630712041302801</v>
      </c>
      <c r="AI6521">
        <v>95.522471784682693</v>
      </c>
      <c r="AJ6521">
        <v>125.721048708241</v>
      </c>
      <c r="AK6521">
        <v>0.71316239023560202</v>
      </c>
      <c r="AL6521">
        <v>83.080102130373803</v>
      </c>
      <c r="AM6521">
        <v>115.730299239209</v>
      </c>
      <c r="AN6521">
        <v>1.0000000027576601</v>
      </c>
    </row>
    <row r="6522" spans="1:40" x14ac:dyDescent="0.25">
      <c r="A6522" t="str">
        <f>"20190312164152256"</f>
        <v>20190312164152256</v>
      </c>
      <c r="B6522" t="str">
        <f>"1552380112252549"</f>
        <v>1552380112252549</v>
      </c>
      <c r="C6522" t="s">
        <v>40</v>
      </c>
      <c r="D6522">
        <v>6.4409330000000002</v>
      </c>
      <c r="E6522">
        <v>0.49153239999999998</v>
      </c>
      <c r="F6522" t="s">
        <v>42</v>
      </c>
      <c r="G6522">
        <v>-197.1936</v>
      </c>
      <c r="H6522">
        <v>1.054289</v>
      </c>
      <c r="I6522">
        <v>-56.1607699999999</v>
      </c>
      <c r="J6522">
        <v>-197.35470000000001</v>
      </c>
      <c r="K6522">
        <v>1.122452</v>
      </c>
      <c r="L6522">
        <v>-56.824800000000003</v>
      </c>
      <c r="M6522">
        <v>0.77747919999999904</v>
      </c>
      <c r="N6522">
        <v>0</v>
      </c>
      <c r="O6522">
        <v>0.62870000000000004</v>
      </c>
      <c r="P6522">
        <v>0.4326758</v>
      </c>
      <c r="Q6522">
        <v>0.11853320000000001</v>
      </c>
      <c r="R6522">
        <v>0.89372339999999995</v>
      </c>
      <c r="S6522">
        <v>1.259277</v>
      </c>
      <c r="T6522">
        <v>-0.21959010000000001</v>
      </c>
      <c r="U6522">
        <v>2.7775569999999998</v>
      </c>
      <c r="V6522">
        <v>-0.42670819999999998</v>
      </c>
      <c r="W6522">
        <v>0.120244</v>
      </c>
      <c r="X6522">
        <v>0.89636019999999905</v>
      </c>
      <c r="Y6522">
        <v>-0.44873380000000002</v>
      </c>
      <c r="Z6522">
        <v>-3.1948600000000001E-2</v>
      </c>
      <c r="AA6522">
        <v>0.89309419999999995</v>
      </c>
      <c r="AB6522">
        <v>31</v>
      </c>
      <c r="AC6522">
        <v>0.16110000000000399</v>
      </c>
      <c r="AD6522">
        <v>-6.8162999999999904E-2</v>
      </c>
      <c r="AE6522">
        <v>0.664030000000011</v>
      </c>
      <c r="AF6522">
        <v>-0.41095086883075199</v>
      </c>
      <c r="AG6522">
        <v>-6.8162999999999904E-2</v>
      </c>
      <c r="AH6522">
        <v>0.53745040292875301</v>
      </c>
      <c r="AI6522">
        <v>95.753100390034106</v>
      </c>
      <c r="AJ6522">
        <v>127.402624339822</v>
      </c>
      <c r="AK6522">
        <v>0.67998510775606602</v>
      </c>
      <c r="AL6522">
        <v>83.093815684814302</v>
      </c>
      <c r="AM6522">
        <v>115.456571495777</v>
      </c>
      <c r="AN6522">
        <v>1.0000000578136301</v>
      </c>
    </row>
    <row r="6523" spans="1:40" x14ac:dyDescent="0.25">
      <c r="A6523" t="str">
        <f>"20190312164152278"</f>
        <v>20190312164152278</v>
      </c>
      <c r="B6523" t="str">
        <f>"1552380112272069"</f>
        <v>1552380112272069</v>
      </c>
      <c r="C6523" t="s">
        <v>40</v>
      </c>
      <c r="D6523">
        <v>5.9055960000000001</v>
      </c>
      <c r="E6523">
        <v>0.49184850000000002</v>
      </c>
      <c r="F6523" t="s">
        <v>51</v>
      </c>
      <c r="G6523">
        <v>-190.91980000000001</v>
      </c>
      <c r="H6523" s="1">
        <v>-5.4320109999999999E-6</v>
      </c>
      <c r="I6523">
        <v>-42.317990000000002</v>
      </c>
      <c r="J6523">
        <v>-197.13380000000001</v>
      </c>
      <c r="K6523">
        <v>1.122444</v>
      </c>
      <c r="L6523">
        <v>-56.6282</v>
      </c>
      <c r="M6523">
        <v>0.76810339999999999</v>
      </c>
      <c r="N6523">
        <v>0</v>
      </c>
      <c r="O6523">
        <v>0.64012069999999999</v>
      </c>
      <c r="P6523">
        <v>0.4244657</v>
      </c>
      <c r="Q6523">
        <v>0.1179915</v>
      </c>
      <c r="R6523">
        <v>0.8977231</v>
      </c>
      <c r="S6523">
        <v>1.236191</v>
      </c>
      <c r="T6523">
        <v>-0.2156324</v>
      </c>
      <c r="U6523">
        <v>2.7868650000000001</v>
      </c>
      <c r="V6523">
        <v>-0.42169889999999999</v>
      </c>
      <c r="W6523">
        <v>0.1199055</v>
      </c>
      <c r="X6523">
        <v>0.89877289999999999</v>
      </c>
      <c r="Y6523">
        <v>-0.44282080000000001</v>
      </c>
      <c r="Z6523">
        <v>-3.2536269999999999E-2</v>
      </c>
      <c r="AA6523">
        <v>0.89601960000000003</v>
      </c>
      <c r="AB6523">
        <v>31</v>
      </c>
      <c r="AC6523">
        <v>6.2139999999999898</v>
      </c>
      <c r="AD6523">
        <v>-1.1224494320109999</v>
      </c>
      <c r="AE6523">
        <v>14.3102099999999</v>
      </c>
      <c r="AF6523">
        <v>-6.9788077703457496</v>
      </c>
      <c r="AG6523">
        <v>-1.1224494320109999</v>
      </c>
      <c r="AH6523">
        <v>13.863325485534901</v>
      </c>
      <c r="AI6523">
        <v>94.136372212051697</v>
      </c>
      <c r="AJ6523">
        <v>116.720715706927</v>
      </c>
      <c r="AK6523">
        <v>15.5613445479734</v>
      </c>
      <c r="AL6523">
        <v>83.113351309345802</v>
      </c>
      <c r="AM6523">
        <v>115.13569041386199</v>
      </c>
      <c r="AN6523">
        <v>1.0000000084829299</v>
      </c>
    </row>
    <row r="6524" spans="1:40" x14ac:dyDescent="0.25">
      <c r="A6524" t="str">
        <f>"20190312164152302"</f>
        <v>20190312164152302</v>
      </c>
      <c r="B6524" t="str">
        <f>"1552380112292565"</f>
        <v>1552380112292565</v>
      </c>
      <c r="C6524" t="s">
        <v>40</v>
      </c>
      <c r="D6524">
        <v>5.8992610000000001</v>
      </c>
      <c r="E6524">
        <v>0.49201129999999998</v>
      </c>
      <c r="F6524" t="s">
        <v>42</v>
      </c>
      <c r="G6524">
        <v>-196.69880000000001</v>
      </c>
      <c r="H6524">
        <v>1.0439240000000001</v>
      </c>
      <c r="I6524">
        <v>-55.624040000000001</v>
      </c>
      <c r="J6524">
        <v>-196.90090000000001</v>
      </c>
      <c r="K6524">
        <v>1.1224229999999999</v>
      </c>
      <c r="L6524">
        <v>-56.413910000000001</v>
      </c>
      <c r="M6524">
        <v>0.75787139999999997</v>
      </c>
      <c r="N6524">
        <v>0</v>
      </c>
      <c r="O6524">
        <v>0.65220259999999997</v>
      </c>
      <c r="P6524">
        <v>0.41565220000000003</v>
      </c>
      <c r="Q6524">
        <v>0.1175551</v>
      </c>
      <c r="R6524">
        <v>0.90189470000000005</v>
      </c>
      <c r="S6524">
        <v>1.2112270000000001</v>
      </c>
      <c r="T6524">
        <v>-0.21873719999999999</v>
      </c>
      <c r="U6524">
        <v>2.7978519999999998</v>
      </c>
      <c r="V6524">
        <v>-0.4162807</v>
      </c>
      <c r="W6524">
        <v>0.11969059999999999</v>
      </c>
      <c r="X6524">
        <v>0.90132380000000001</v>
      </c>
      <c r="Y6524">
        <v>-0.43665949999999998</v>
      </c>
      <c r="Z6524">
        <v>-3.423433E-2</v>
      </c>
      <c r="AA6524">
        <v>0.89897530000000003</v>
      </c>
      <c r="AB6524">
        <v>31</v>
      </c>
      <c r="AC6524">
        <v>0.202100000000001</v>
      </c>
      <c r="AD6524">
        <v>-7.8498999999999805E-2</v>
      </c>
      <c r="AE6524">
        <v>0.78986999999999297</v>
      </c>
      <c r="AF6524">
        <v>-0.46258294939401601</v>
      </c>
      <c r="AG6524">
        <v>-7.8498999999999805E-2</v>
      </c>
      <c r="AH6524">
        <v>0.66226967979559803</v>
      </c>
      <c r="AI6524">
        <v>95.550180564878005</v>
      </c>
      <c r="AJ6524">
        <v>124.933576945388</v>
      </c>
      <c r="AK6524">
        <v>0.81163181729625999</v>
      </c>
      <c r="AL6524">
        <v>83.125753615014403</v>
      </c>
      <c r="AM6524">
        <v>114.79007950181099</v>
      </c>
      <c r="AN6524">
        <v>1.00000002668364</v>
      </c>
    </row>
    <row r="6525" spans="1:40" x14ac:dyDescent="0.25">
      <c r="A6525" t="str">
        <f>"20190312164152325"</f>
        <v>20190312164152325</v>
      </c>
      <c r="B6525" t="str">
        <f>"1552380112312085"</f>
        <v>1552380112312085</v>
      </c>
      <c r="C6525" t="s">
        <v>40</v>
      </c>
      <c r="D6525">
        <v>5.9645820000000001</v>
      </c>
      <c r="E6525">
        <v>0.49236220000000003</v>
      </c>
      <c r="F6525" t="s">
        <v>42</v>
      </c>
      <c r="G6525">
        <v>-196.4958</v>
      </c>
      <c r="H6525">
        <v>1.0454950000000001</v>
      </c>
      <c r="I6525">
        <v>-55.45214</v>
      </c>
      <c r="J6525">
        <v>-196.68100000000001</v>
      </c>
      <c r="K6525">
        <v>1.122403</v>
      </c>
      <c r="L6525">
        <v>-56.205350000000003</v>
      </c>
      <c r="M6525">
        <v>0.7478861</v>
      </c>
      <c r="N6525">
        <v>0</v>
      </c>
      <c r="O6525">
        <v>0.66362919999999903</v>
      </c>
      <c r="P6525">
        <v>0.40733580000000003</v>
      </c>
      <c r="Q6525">
        <v>0.11723459999999999</v>
      </c>
      <c r="R6525">
        <v>0.90572269999999999</v>
      </c>
      <c r="S6525">
        <v>1.1836850000000001</v>
      </c>
      <c r="T6525">
        <v>-0.22477730000000001</v>
      </c>
      <c r="U6525">
        <v>2.81012</v>
      </c>
      <c r="V6525">
        <v>-0.41089569999999997</v>
      </c>
      <c r="W6525">
        <v>0.11959069999999999</v>
      </c>
      <c r="X6525">
        <v>0.90380470000000002</v>
      </c>
      <c r="Y6525">
        <v>-0.43192340000000001</v>
      </c>
      <c r="Z6525">
        <v>-3.6331589999999997E-2</v>
      </c>
      <c r="AA6525">
        <v>0.90117820000000004</v>
      </c>
      <c r="AB6525">
        <v>31</v>
      </c>
      <c r="AC6525">
        <v>0.18519999999997999</v>
      </c>
      <c r="AD6525">
        <v>-7.6907999999999893E-2</v>
      </c>
      <c r="AE6525">
        <v>0.75321000000000204</v>
      </c>
      <c r="AF6525">
        <v>-0.43618072396760299</v>
      </c>
      <c r="AG6525">
        <v>-7.6907999999999893E-2</v>
      </c>
      <c r="AH6525">
        <v>0.63222878337871202</v>
      </c>
      <c r="AI6525">
        <v>95.717882651046295</v>
      </c>
      <c r="AJ6525">
        <v>124.602167507473</v>
      </c>
      <c r="AK6525">
        <v>0.77193374000456105</v>
      </c>
      <c r="AL6525">
        <v>83.131519198573898</v>
      </c>
      <c r="AM6525">
        <v>114.447915129915</v>
      </c>
      <c r="AN6525">
        <v>1.00000007377353</v>
      </c>
    </row>
    <row r="6526" spans="1:40" x14ac:dyDescent="0.25">
      <c r="A6526" t="str">
        <f>"20190312164152368"</f>
        <v>20190312164152368</v>
      </c>
      <c r="B6526" t="str">
        <f>"1552380112362836"</f>
        <v>1552380112362836</v>
      </c>
      <c r="C6526" t="s">
        <v>40</v>
      </c>
      <c r="D6526">
        <v>5.7486739999999896</v>
      </c>
      <c r="E6526">
        <v>0.49306499999999998</v>
      </c>
      <c r="F6526" t="s">
        <v>42</v>
      </c>
      <c r="G6526">
        <v>-196.29810000000001</v>
      </c>
      <c r="H6526">
        <v>1.047693</v>
      </c>
      <c r="I6526">
        <v>-55.274940000000001</v>
      </c>
      <c r="J6526">
        <v>-196.273</v>
      </c>
      <c r="K6526">
        <v>1.1223730000000001</v>
      </c>
      <c r="L6526">
        <v>-55.80106</v>
      </c>
      <c r="M6526">
        <v>0.72847249999999997</v>
      </c>
      <c r="N6526">
        <v>0</v>
      </c>
      <c r="O6526">
        <v>0.68488340000000003</v>
      </c>
      <c r="P6526">
        <v>0.3936963</v>
      </c>
      <c r="Q6526">
        <v>0.1173641</v>
      </c>
      <c r="R6526">
        <v>0.91171760000000002</v>
      </c>
      <c r="S6526">
        <v>1.1602330000000001</v>
      </c>
      <c r="T6526">
        <v>-0.2264216</v>
      </c>
      <c r="U6526">
        <v>2.8197939999999999</v>
      </c>
      <c r="V6526">
        <v>-0.3983623</v>
      </c>
      <c r="W6526">
        <v>0.1202251</v>
      </c>
      <c r="X6526">
        <v>0.90931479999999998</v>
      </c>
      <c r="Y6526">
        <v>-0.41342469999999998</v>
      </c>
      <c r="Z6526">
        <v>-3.907559E-2</v>
      </c>
      <c r="AA6526">
        <v>0.90969940000000005</v>
      </c>
      <c r="AB6526">
        <v>30</v>
      </c>
      <c r="AC6526">
        <v>-2.5100000000009001E-2</v>
      </c>
      <c r="AD6526">
        <v>-7.4679999999999996E-2</v>
      </c>
      <c r="AE6526">
        <v>0.52611999999999803</v>
      </c>
      <c r="AF6526">
        <v>-0.39261454153370401</v>
      </c>
      <c r="AG6526">
        <v>-7.4679999999999996E-2</v>
      </c>
      <c r="AH6526">
        <v>0.33534971264360203</v>
      </c>
      <c r="AI6526">
        <v>98.229834117550396</v>
      </c>
      <c r="AJ6526">
        <v>139.497872312867</v>
      </c>
      <c r="AK6526">
        <v>0.52171132860411096</v>
      </c>
      <c r="AL6526">
        <v>83.0949060947882</v>
      </c>
      <c r="AM6526">
        <v>113.657775826228</v>
      </c>
      <c r="AN6526">
        <v>1.00000000111517</v>
      </c>
    </row>
    <row r="6527" spans="1:40" x14ac:dyDescent="0.25">
      <c r="A6527" t="str">
        <f>"20190312164152382"</f>
        <v>20190312164152382</v>
      </c>
      <c r="B6527" t="str">
        <f>"1552380112372597"</f>
        <v>1552380112372597</v>
      </c>
      <c r="C6527" t="s">
        <v>40</v>
      </c>
      <c r="D6527">
        <v>5.7450260000000002</v>
      </c>
      <c r="E6527">
        <v>0.49322500000000002</v>
      </c>
      <c r="F6527" t="s">
        <v>51</v>
      </c>
      <c r="G6527">
        <v>-190.71940000000001</v>
      </c>
      <c r="H6527" s="1">
        <v>-5.6585750000000003E-6</v>
      </c>
      <c r="I6527">
        <v>-41.755040000000001</v>
      </c>
      <c r="J6527">
        <v>-196.13499999999999</v>
      </c>
      <c r="K6527">
        <v>1.122357</v>
      </c>
      <c r="L6527">
        <v>-55.659030000000001</v>
      </c>
      <c r="M6527">
        <v>0.72163049999999995</v>
      </c>
      <c r="N6527">
        <v>0</v>
      </c>
      <c r="O6527">
        <v>0.69208879999999995</v>
      </c>
      <c r="P6527">
        <v>0.38799240000000002</v>
      </c>
      <c r="Q6527">
        <v>0.1172213</v>
      </c>
      <c r="R6527">
        <v>0.91417780000000004</v>
      </c>
      <c r="S6527">
        <v>1.12114</v>
      </c>
      <c r="T6527">
        <v>-0.22658030000000001</v>
      </c>
      <c r="U6527">
        <v>2.8355410000000001</v>
      </c>
      <c r="V6527">
        <v>-0.3950032</v>
      </c>
      <c r="W6527">
        <v>0.1202208</v>
      </c>
      <c r="X6527">
        <v>0.91077949999999996</v>
      </c>
      <c r="Y6527">
        <v>-0.4169524</v>
      </c>
      <c r="Z6527">
        <v>-3.9638020000000003E-2</v>
      </c>
      <c r="AA6527">
        <v>0.90806370000000003</v>
      </c>
      <c r="AB6527">
        <v>30</v>
      </c>
      <c r="AC6527">
        <v>5.41559999999998</v>
      </c>
      <c r="AD6527">
        <v>-1.1223626585749999</v>
      </c>
      <c r="AE6527">
        <v>13.90399</v>
      </c>
      <c r="AF6527">
        <v>-6.2509260975333696</v>
      </c>
      <c r="AG6527">
        <v>-1.1223626585749999</v>
      </c>
      <c r="AH6527">
        <v>13.4565006360317</v>
      </c>
      <c r="AI6527">
        <v>94.325822932785897</v>
      </c>
      <c r="AJ6527">
        <v>114.91620465384899</v>
      </c>
      <c r="AK6527">
        <v>14.8798919479178</v>
      </c>
      <c r="AL6527">
        <v>83.095153795364993</v>
      </c>
      <c r="AM6527">
        <v>113.44627866379901</v>
      </c>
      <c r="AN6527">
        <v>0.999999933191562</v>
      </c>
    </row>
    <row r="6528" spans="1:40" x14ac:dyDescent="0.25">
      <c r="A6528" t="str">
        <f>"20190312164152400"</f>
        <v>20190312164152400</v>
      </c>
      <c r="B6528" t="str">
        <f>"1552380112392117"</f>
        <v>1552380112392117</v>
      </c>
      <c r="C6528" t="s">
        <v>40</v>
      </c>
      <c r="D6528">
        <v>5.9058890000000002</v>
      </c>
      <c r="E6528">
        <v>0.49344569999999999</v>
      </c>
      <c r="F6528" t="s">
        <v>42</v>
      </c>
      <c r="G6528">
        <v>-195.7533</v>
      </c>
      <c r="H6528">
        <v>1.0439069999999999</v>
      </c>
      <c r="I6528">
        <v>-54.676690000000001</v>
      </c>
      <c r="J6528">
        <v>-195.96709999999999</v>
      </c>
      <c r="K6528">
        <v>1.1223369999999999</v>
      </c>
      <c r="L6528">
        <v>-55.4822699999999</v>
      </c>
      <c r="M6528">
        <v>0.71310689999999999</v>
      </c>
      <c r="N6528">
        <v>0</v>
      </c>
      <c r="O6528">
        <v>0.70086800000000005</v>
      </c>
      <c r="P6528">
        <v>0.38329980000000002</v>
      </c>
      <c r="Q6528">
        <v>0.1163093</v>
      </c>
      <c r="R6528">
        <v>0.91627139999999996</v>
      </c>
      <c r="S6528">
        <v>1.104263</v>
      </c>
      <c r="T6528">
        <v>-0.22696279999999999</v>
      </c>
      <c r="U6528">
        <v>2.8420719999999999</v>
      </c>
      <c r="V6528">
        <v>-0.38855679999999998</v>
      </c>
      <c r="W6528">
        <v>0.11956609999999999</v>
      </c>
      <c r="X6528">
        <v>0.91363419999999895</v>
      </c>
      <c r="Y6528">
        <v>-0.41122999999999998</v>
      </c>
      <c r="Z6528">
        <v>-4.0669749999999998E-2</v>
      </c>
      <c r="AA6528">
        <v>0.91062379999999998</v>
      </c>
      <c r="AB6528">
        <v>30</v>
      </c>
      <c r="AC6528">
        <v>0.213799999999992</v>
      </c>
      <c r="AD6528">
        <v>-7.8430000000000194E-2</v>
      </c>
      <c r="AE6528">
        <v>0.80557999999999197</v>
      </c>
      <c r="AF6528">
        <v>-0.42094737240763203</v>
      </c>
      <c r="AG6528">
        <v>-7.8430000000000194E-2</v>
      </c>
      <c r="AH6528">
        <v>0.71086697458121995</v>
      </c>
      <c r="AI6528">
        <v>95.423065087157994</v>
      </c>
      <c r="AJ6528">
        <v>120.632343479545</v>
      </c>
      <c r="AK6528">
        <v>0.82986734529510597</v>
      </c>
      <c r="AL6528">
        <v>83.132937974250098</v>
      </c>
      <c r="AM6528">
        <v>113.039421451891</v>
      </c>
      <c r="AN6528">
        <v>0.99999994525254299</v>
      </c>
    </row>
    <row r="6529" spans="1:40" x14ac:dyDescent="0.25">
      <c r="A6529" t="str">
        <f>"20190312164152423"</f>
        <v>20190312164152423</v>
      </c>
      <c r="B6529" t="str">
        <f>"1552380112412613"</f>
        <v>1552380112412613</v>
      </c>
      <c r="C6529" t="s">
        <v>40</v>
      </c>
      <c r="D6529">
        <v>5.8426970000000003</v>
      </c>
      <c r="E6529">
        <v>0.49361749999999999</v>
      </c>
      <c r="F6529" t="s">
        <v>42</v>
      </c>
      <c r="G6529">
        <v>-195.58099999999999</v>
      </c>
      <c r="H6529">
        <v>1.040384</v>
      </c>
      <c r="I6529">
        <v>-54.474379999999996</v>
      </c>
      <c r="J6529">
        <v>-195.76859999999999</v>
      </c>
      <c r="K6529">
        <v>1.122309</v>
      </c>
      <c r="L6529">
        <v>-55.267090000000003</v>
      </c>
      <c r="M6529">
        <v>0.70272570000000001</v>
      </c>
      <c r="N6529">
        <v>0</v>
      </c>
      <c r="O6529">
        <v>0.71127640000000003</v>
      </c>
      <c r="P6529">
        <v>0.37623669999999998</v>
      </c>
      <c r="Q6529">
        <v>0.1158583</v>
      </c>
      <c r="R6529">
        <v>0.91925120000000005</v>
      </c>
      <c r="S6529">
        <v>1.090546</v>
      </c>
      <c r="T6529">
        <v>-0.23151269999999999</v>
      </c>
      <c r="U6529">
        <v>2.847321</v>
      </c>
      <c r="V6529">
        <v>-0.38215519999999997</v>
      </c>
      <c r="W6529">
        <v>0.11937250000000001</v>
      </c>
      <c r="X6529">
        <v>0.91635560000000005</v>
      </c>
      <c r="Y6529">
        <v>-0.40223330000000002</v>
      </c>
      <c r="Z6529">
        <v>-4.2712920000000001E-2</v>
      </c>
      <c r="AA6529">
        <v>0.91454029999999997</v>
      </c>
      <c r="AB6529">
        <v>30</v>
      </c>
      <c r="AC6529">
        <v>0.18760000000000299</v>
      </c>
      <c r="AD6529">
        <v>-8.1924999999999998E-2</v>
      </c>
      <c r="AE6529">
        <v>0.79270999999999903</v>
      </c>
      <c r="AF6529">
        <v>-0.41943552760620001</v>
      </c>
      <c r="AG6529">
        <v>-8.1924999999999998E-2</v>
      </c>
      <c r="AH6529">
        <v>0.68879189339291702</v>
      </c>
      <c r="AI6529">
        <v>95.800623737123999</v>
      </c>
      <c r="AJ6529">
        <v>121.33906429342601</v>
      </c>
      <c r="AK6529">
        <v>0.81059986420372199</v>
      </c>
      <c r="AL6529">
        <v>83.144110751777802</v>
      </c>
      <c r="AM6529">
        <v>112.63799604672801</v>
      </c>
      <c r="AN6529">
        <v>0.99999998814732405</v>
      </c>
    </row>
    <row r="6530" spans="1:40" x14ac:dyDescent="0.25">
      <c r="A6530" t="str">
        <f>"20190312164152437"</f>
        <v>20190312164152437</v>
      </c>
      <c r="B6530" t="str">
        <f>"1552380112432132"</f>
        <v>1552380112432132</v>
      </c>
      <c r="C6530" t="s">
        <v>40</v>
      </c>
      <c r="D6530">
        <v>5.9050719999999997</v>
      </c>
      <c r="E6530">
        <v>0.49378929999999999</v>
      </c>
      <c r="F6530" t="s">
        <v>51</v>
      </c>
      <c r="G6530">
        <v>-190.62989999999999</v>
      </c>
      <c r="H6530" s="1">
        <v>-5.7386420000000003E-6</v>
      </c>
      <c r="I6530">
        <v>-41.548949999999998</v>
      </c>
      <c r="J6530">
        <v>-195.64019999999999</v>
      </c>
      <c r="K6530">
        <v>1.122288</v>
      </c>
      <c r="L6530">
        <v>-55.12509</v>
      </c>
      <c r="M6530">
        <v>0.6958529</v>
      </c>
      <c r="N6530">
        <v>0</v>
      </c>
      <c r="O6530">
        <v>0.71800149999999996</v>
      </c>
      <c r="P6530">
        <v>0.37048579999999998</v>
      </c>
      <c r="Q6530">
        <v>0.1154879</v>
      </c>
      <c r="R6530">
        <v>0.92163050000000002</v>
      </c>
      <c r="S6530">
        <v>1.069534</v>
      </c>
      <c r="T6530">
        <v>-0.23359289999999999</v>
      </c>
      <c r="U6530">
        <v>2.8552249999999999</v>
      </c>
      <c r="V6530">
        <v>-0.37907760000000001</v>
      </c>
      <c r="W6530">
        <v>0.1191301</v>
      </c>
      <c r="X6530">
        <v>0.91766449999999999</v>
      </c>
      <c r="Y6530">
        <v>-0.4001789</v>
      </c>
      <c r="Z6530">
        <v>-4.3781729999999998E-2</v>
      </c>
      <c r="AA6530">
        <v>0.91539060000000005</v>
      </c>
      <c r="AB6530">
        <v>30</v>
      </c>
      <c r="AC6530">
        <v>5.0103</v>
      </c>
      <c r="AD6530">
        <v>-1.122293738642</v>
      </c>
      <c r="AE6530">
        <v>13.576140000000001</v>
      </c>
      <c r="AF6530">
        <v>-5.8153844936992503</v>
      </c>
      <c r="AG6530">
        <v>-1.122293738642</v>
      </c>
      <c r="AH6530">
        <v>13.156726268945601</v>
      </c>
      <c r="AI6530">
        <v>94.461192833935996</v>
      </c>
      <c r="AJ6530">
        <v>113.84583481179099</v>
      </c>
      <c r="AK6530">
        <v>14.428363946106799</v>
      </c>
      <c r="AL6530">
        <v>83.158098950606501</v>
      </c>
      <c r="AM6530">
        <v>112.44500751143499</v>
      </c>
      <c r="AN6530">
        <v>0.99999997105400895</v>
      </c>
    </row>
    <row r="6531" spans="1:40" x14ac:dyDescent="0.25">
      <c r="A6531" t="str">
        <f>"20190312164152457"</f>
        <v>20190312164152457</v>
      </c>
      <c r="B6531" t="str">
        <f>"1552380112452629"</f>
        <v>1552380112452629</v>
      </c>
      <c r="C6531" t="s">
        <v>40</v>
      </c>
      <c r="D6531">
        <v>5.2762460000000004</v>
      </c>
      <c r="E6531">
        <v>0.49381839999999999</v>
      </c>
      <c r="F6531" t="s">
        <v>51</v>
      </c>
      <c r="G6531">
        <v>-190.61349999999999</v>
      </c>
      <c r="H6531" s="1">
        <v>-5.7764579999999998E-6</v>
      </c>
      <c r="I6531">
        <v>-41.461500000000001</v>
      </c>
      <c r="J6531">
        <v>-195.47149999999999</v>
      </c>
      <c r="K6531">
        <v>1.1222650000000001</v>
      </c>
      <c r="L6531">
        <v>-54.9334699999999</v>
      </c>
      <c r="M6531">
        <v>0.68658540000000001</v>
      </c>
      <c r="N6531">
        <v>0</v>
      </c>
      <c r="O6531">
        <v>0.72686870000000003</v>
      </c>
      <c r="P6531">
        <v>0.36489310000000003</v>
      </c>
      <c r="Q6531">
        <v>0.11611870000000001</v>
      </c>
      <c r="R6531">
        <v>0.92378000000000005</v>
      </c>
      <c r="S6531">
        <v>1.052673</v>
      </c>
      <c r="T6531">
        <v>-0.2350276</v>
      </c>
      <c r="U6531">
        <v>2.861389</v>
      </c>
      <c r="V6531">
        <v>-0.37280590000000002</v>
      </c>
      <c r="W6531">
        <v>0.1200087</v>
      </c>
      <c r="X6531">
        <v>0.92011609999999999</v>
      </c>
      <c r="Y6531">
        <v>-0.3938275</v>
      </c>
      <c r="Z6531">
        <v>-4.5071170000000001E-2</v>
      </c>
      <c r="AA6531">
        <v>0.91807870000000003</v>
      </c>
      <c r="AB6531">
        <v>30</v>
      </c>
      <c r="AC6531">
        <v>4.8579999999999997</v>
      </c>
      <c r="AD6531">
        <v>-1.122270776458</v>
      </c>
      <c r="AE6531">
        <v>13.471969999999899</v>
      </c>
      <c r="AF6531">
        <v>-5.6843721650413404</v>
      </c>
      <c r="AG6531">
        <v>-1.122270776458</v>
      </c>
      <c r="AH6531">
        <v>13.049371042562001</v>
      </c>
      <c r="AI6531">
        <v>94.508218759231198</v>
      </c>
      <c r="AJ6531">
        <v>113.538185414685</v>
      </c>
      <c r="AK6531">
        <v>14.2778732034167</v>
      </c>
      <c r="AL6531">
        <v>83.107395196377695</v>
      </c>
      <c r="AM6531">
        <v>112.056446299874</v>
      </c>
      <c r="AN6531">
        <v>0.99999998231485498</v>
      </c>
    </row>
    <row r="6532" spans="1:40" x14ac:dyDescent="0.25">
      <c r="A6532" t="str">
        <f>"20190312164152471"</f>
        <v>20190312164152471</v>
      </c>
      <c r="B6532" t="str">
        <f>"1552380112462390"</f>
        <v>1552380112462390</v>
      </c>
      <c r="C6532" t="s">
        <v>40</v>
      </c>
      <c r="D6532">
        <v>5.8485940000000003</v>
      </c>
      <c r="E6532">
        <v>0.49383260000000001</v>
      </c>
      <c r="F6532" t="s">
        <v>51</v>
      </c>
      <c r="G6532">
        <v>-190.49</v>
      </c>
      <c r="H6532" s="1">
        <v>-5.9108570000000003E-6</v>
      </c>
      <c r="I6532">
        <v>-41.125770000000003</v>
      </c>
      <c r="J6532">
        <v>-195.35149999999999</v>
      </c>
      <c r="K6532">
        <v>1.1222479999999999</v>
      </c>
      <c r="L6532">
        <v>-54.793610000000001</v>
      </c>
      <c r="M6532">
        <v>0.67982369999999903</v>
      </c>
      <c r="N6532">
        <v>0</v>
      </c>
      <c r="O6532">
        <v>0.73319690000000004</v>
      </c>
      <c r="P6532">
        <v>0.35943799999999998</v>
      </c>
      <c r="Q6532">
        <v>0.11648</v>
      </c>
      <c r="R6532">
        <v>0.92587079999999999</v>
      </c>
      <c r="S6532">
        <v>1.0347599999999999</v>
      </c>
      <c r="T6532">
        <v>-0.2331154</v>
      </c>
      <c r="U6532">
        <v>2.8681030000000001</v>
      </c>
      <c r="V6532">
        <v>-0.36967729999999999</v>
      </c>
      <c r="W6532">
        <v>0.1204963</v>
      </c>
      <c r="X6532">
        <v>0.92131390000000002</v>
      </c>
      <c r="Y6532">
        <v>-0.39107769999999997</v>
      </c>
      <c r="Z6532">
        <v>-4.5372309999999999E-2</v>
      </c>
      <c r="AA6532">
        <v>0.91923860000000002</v>
      </c>
      <c r="AB6532">
        <v>30</v>
      </c>
      <c r="AC6532">
        <v>4.8614999999999702</v>
      </c>
      <c r="AD6532">
        <v>-1.122253910857</v>
      </c>
      <c r="AE6532">
        <v>13.667839999999901</v>
      </c>
      <c r="AF6532">
        <v>-5.6939584859552301</v>
      </c>
      <c r="AG6532">
        <v>-1.122253910857</v>
      </c>
      <c r="AH6532">
        <v>13.2486374780412</v>
      </c>
      <c r="AI6532">
        <v>94.450024051136793</v>
      </c>
      <c r="AJ6532">
        <v>113.256916463715</v>
      </c>
      <c r="AK6532">
        <v>14.463990186140601</v>
      </c>
      <c r="AL6532">
        <v>83.079253566643601</v>
      </c>
      <c r="AM6532">
        <v>111.863129232402</v>
      </c>
      <c r="AN6532">
        <v>0.99999998339109397</v>
      </c>
    </row>
    <row r="6533" spans="1:40" x14ac:dyDescent="0.25">
      <c r="A6533" t="str">
        <f>"20190312164152490"</f>
        <v>20190312164152490</v>
      </c>
      <c r="B6533" t="str">
        <f>"1552380112482885"</f>
        <v>1552380112482885</v>
      </c>
      <c r="C6533" t="s">
        <v>40</v>
      </c>
      <c r="D6533">
        <v>5.8452840000000004</v>
      </c>
      <c r="E6533">
        <v>0.49396869999999998</v>
      </c>
      <c r="F6533" t="s">
        <v>51</v>
      </c>
      <c r="G6533">
        <v>-190.4444</v>
      </c>
      <c r="H6533" s="1">
        <v>-5.9953890000000001E-6</v>
      </c>
      <c r="I6533">
        <v>-40.926879999999997</v>
      </c>
      <c r="J6533">
        <v>-195.1859</v>
      </c>
      <c r="K6533">
        <v>1.122215</v>
      </c>
      <c r="L6533">
        <v>-54.59695</v>
      </c>
      <c r="M6533">
        <v>0.67030259999999997</v>
      </c>
      <c r="N6533">
        <v>0</v>
      </c>
      <c r="O6533">
        <v>0.74191149999999995</v>
      </c>
      <c r="P6533">
        <v>0.3535894</v>
      </c>
      <c r="Q6533">
        <v>0.11641079999999999</v>
      </c>
      <c r="R6533">
        <v>0.92812879999999998</v>
      </c>
      <c r="S6533">
        <v>1.0172270000000001</v>
      </c>
      <c r="T6533">
        <v>-0.23264090000000001</v>
      </c>
      <c r="U6533">
        <v>2.8745419999999999</v>
      </c>
      <c r="V6533">
        <v>-0.36357289999999998</v>
      </c>
      <c r="W6533">
        <v>0.1206629</v>
      </c>
      <c r="X6533">
        <v>0.92371820000000004</v>
      </c>
      <c r="Y6533">
        <v>-0.38483539999999999</v>
      </c>
      <c r="Z6533">
        <v>-4.6267900000000001E-2</v>
      </c>
      <c r="AA6533">
        <v>0.9218248</v>
      </c>
      <c r="AB6533">
        <v>30</v>
      </c>
      <c r="AC6533">
        <v>4.7415000000000003</v>
      </c>
      <c r="AD6533">
        <v>-1.1222209953890001</v>
      </c>
      <c r="AE6533">
        <v>13.670070000000001</v>
      </c>
      <c r="AF6533">
        <v>-5.6122878310300601</v>
      </c>
      <c r="AG6533">
        <v>-1.1222209953890001</v>
      </c>
      <c r="AH6533">
        <v>13.2423052466216</v>
      </c>
      <c r="AI6533">
        <v>94.461567608188602</v>
      </c>
      <c r="AJ6533">
        <v>112.967960241816</v>
      </c>
      <c r="AK6533">
        <v>14.4262192866157</v>
      </c>
      <c r="AL6533">
        <v>83.069638401740505</v>
      </c>
      <c r="AM6533">
        <v>111.484460140976</v>
      </c>
      <c r="AN6533">
        <v>1.0000000510310201</v>
      </c>
    </row>
    <row r="6534" spans="1:40" x14ac:dyDescent="0.25">
      <c r="A6534" t="str">
        <f>"20190312164152515"</f>
        <v>20190312164152515</v>
      </c>
      <c r="B6534" t="str">
        <f>"1552380112502405"</f>
        <v>1552380112502405</v>
      </c>
      <c r="C6534" t="s">
        <v>40</v>
      </c>
      <c r="D6534">
        <v>5.9007129999999997</v>
      </c>
      <c r="E6534">
        <v>0.49405270000000001</v>
      </c>
      <c r="F6534" t="s">
        <v>51</v>
      </c>
      <c r="G6534">
        <v>-190.3843</v>
      </c>
      <c r="H6534" s="1">
        <v>-6.0692729999999898E-6</v>
      </c>
      <c r="I6534">
        <v>-40.74532</v>
      </c>
      <c r="J6534">
        <v>-194.98660000000001</v>
      </c>
      <c r="K6534">
        <v>1.1221570000000001</v>
      </c>
      <c r="L6534">
        <v>-54.353299999999997</v>
      </c>
      <c r="M6534">
        <v>0.65850569999999997</v>
      </c>
      <c r="N6534">
        <v>0</v>
      </c>
      <c r="O6534">
        <v>0.75240260000000003</v>
      </c>
      <c r="P6534">
        <v>0.34471790000000002</v>
      </c>
      <c r="Q6534">
        <v>0.11557530000000001</v>
      </c>
      <c r="R6534">
        <v>0.93156430000000001</v>
      </c>
      <c r="S6534">
        <v>0.99871829999999995</v>
      </c>
      <c r="T6534">
        <v>-0.23341909999999999</v>
      </c>
      <c r="U6534">
        <v>2.8811040000000001</v>
      </c>
      <c r="V6534">
        <v>-0.35781429999999997</v>
      </c>
      <c r="W6534">
        <v>0.1200471</v>
      </c>
      <c r="X6534">
        <v>0.92604410000000004</v>
      </c>
      <c r="Y6534">
        <v>-0.37620740000000003</v>
      </c>
      <c r="Z6534">
        <v>-4.7645050000000001E-2</v>
      </c>
      <c r="AA6534">
        <v>0.92530970000000001</v>
      </c>
      <c r="AB6534">
        <v>30</v>
      </c>
      <c r="AC6534">
        <v>4.6023000000000103</v>
      </c>
      <c r="AD6534">
        <v>-1.122163069273</v>
      </c>
      <c r="AE6534">
        <v>13.6079799999999</v>
      </c>
      <c r="AF6534">
        <v>-5.4655144391955304</v>
      </c>
      <c r="AG6534">
        <v>-1.122163069273</v>
      </c>
      <c r="AH6534">
        <v>13.1905573653499</v>
      </c>
      <c r="AI6534">
        <v>94.493843551065098</v>
      </c>
      <c r="AJ6534">
        <v>112.506698092684</v>
      </c>
      <c r="AK6534">
        <v>14.322077420810199</v>
      </c>
      <c r="AL6534">
        <v>83.1051793284105</v>
      </c>
      <c r="AM6534">
        <v>111.126039931908</v>
      </c>
      <c r="AN6534">
        <v>1.0000000273238501</v>
      </c>
    </row>
    <row r="6535" spans="1:40" x14ac:dyDescent="0.25">
      <c r="A6535" t="str">
        <f>"20190312164152536"</f>
        <v>20190312164152536</v>
      </c>
      <c r="B6535" t="str">
        <f>"1552380112532662"</f>
        <v>1552380112532662</v>
      </c>
      <c r="C6535" t="s">
        <v>40</v>
      </c>
      <c r="D6535">
        <v>5.9563470000000001</v>
      </c>
      <c r="E6535">
        <v>0.49422319999999997</v>
      </c>
      <c r="F6535" t="s">
        <v>51</v>
      </c>
      <c r="G6535">
        <v>-190.38149999999999</v>
      </c>
      <c r="H6535" s="1">
        <v>-6.1103489999999996E-6</v>
      </c>
      <c r="I6535">
        <v>-40.656059999999997</v>
      </c>
      <c r="J6535">
        <v>-194.8083</v>
      </c>
      <c r="K6535">
        <v>1.122085</v>
      </c>
      <c r="L6535">
        <v>-54.128689999999999</v>
      </c>
      <c r="M6535">
        <v>0.647646099999999</v>
      </c>
      <c r="N6535">
        <v>0</v>
      </c>
      <c r="O6535">
        <v>0.76177109999999904</v>
      </c>
      <c r="P6535">
        <v>0.33653929999999999</v>
      </c>
      <c r="Q6535">
        <v>0.1144087</v>
      </c>
      <c r="R6535">
        <v>0.93469349999999995</v>
      </c>
      <c r="S6535">
        <v>0.97169490000000003</v>
      </c>
      <c r="T6535">
        <v>-0.23678279999999999</v>
      </c>
      <c r="U6535">
        <v>2.8901979999999998</v>
      </c>
      <c r="V6535">
        <v>-0.35267659999999901</v>
      </c>
      <c r="W6535">
        <v>0.11906949999999999</v>
      </c>
      <c r="X6535">
        <v>0.92813889999999999</v>
      </c>
      <c r="Y6535">
        <v>-0.3715928</v>
      </c>
      <c r="Z6535">
        <v>-4.9348820000000002E-2</v>
      </c>
      <c r="AA6535">
        <v>0.92708330000000005</v>
      </c>
      <c r="AB6535">
        <v>30</v>
      </c>
      <c r="AC6535">
        <v>4.4268000000000098</v>
      </c>
      <c r="AD6535">
        <v>-1.1220911103489899</v>
      </c>
      <c r="AE6535">
        <v>13.472630000000001</v>
      </c>
      <c r="AF6535">
        <v>-5.3206708357226802</v>
      </c>
      <c r="AG6535">
        <v>-1.1220911103489899</v>
      </c>
      <c r="AH6535">
        <v>13.050059575517601</v>
      </c>
      <c r="AI6535">
        <v>94.552301953671602</v>
      </c>
      <c r="AJ6535">
        <v>112.18133039423</v>
      </c>
      <c r="AK6535">
        <v>14.137633519319699</v>
      </c>
      <c r="AL6535">
        <v>83.161596672049399</v>
      </c>
      <c r="AM6535">
        <v>110.80591810863901</v>
      </c>
      <c r="AN6535">
        <v>1.0000000738554999</v>
      </c>
    </row>
    <row r="6536" spans="1:40" x14ac:dyDescent="0.25">
      <c r="A6536" t="str">
        <f>"20190312164152558"</f>
        <v>20190312164152558</v>
      </c>
      <c r="B6536" t="str">
        <f>"1552380112552181"</f>
        <v>1552380112552181</v>
      </c>
      <c r="C6536" t="s">
        <v>40</v>
      </c>
      <c r="D6536">
        <v>5.903003</v>
      </c>
      <c r="E6536">
        <v>0.49434220000000001</v>
      </c>
      <c r="F6536" t="s">
        <v>51</v>
      </c>
      <c r="G6536">
        <v>-190.4196</v>
      </c>
      <c r="H6536" s="1">
        <v>-6.091075E-6</v>
      </c>
      <c r="I6536">
        <v>-40.71199</v>
      </c>
      <c r="J6536">
        <v>-194.63669999999999</v>
      </c>
      <c r="K6536">
        <v>1.12201</v>
      </c>
      <c r="L6536">
        <v>-53.90598</v>
      </c>
      <c r="M6536">
        <v>0.63690210000000003</v>
      </c>
      <c r="N6536">
        <v>0</v>
      </c>
      <c r="O6536">
        <v>0.77077769999999901</v>
      </c>
      <c r="P6536">
        <v>0.32869379999999998</v>
      </c>
      <c r="Q6536">
        <v>0.11336069999999999</v>
      </c>
      <c r="R6536">
        <v>0.93760849999999996</v>
      </c>
      <c r="S6536">
        <v>0.94795229999999997</v>
      </c>
      <c r="T6536">
        <v>-0.24236679999999999</v>
      </c>
      <c r="U6536">
        <v>2.8979490000000001</v>
      </c>
      <c r="V6536">
        <v>-0.3474585</v>
      </c>
      <c r="W6536">
        <v>0.1182092</v>
      </c>
      <c r="X6536">
        <v>0.9302146</v>
      </c>
      <c r="Y6536">
        <v>-0.36620000000000003</v>
      </c>
      <c r="Z6536">
        <v>-5.1537600000000003E-2</v>
      </c>
      <c r="AA6536">
        <v>0.92910789999999999</v>
      </c>
      <c r="AB6536">
        <v>30</v>
      </c>
      <c r="AC6536">
        <v>4.2170999999999799</v>
      </c>
      <c r="AD6536">
        <v>-1.1220160910750001</v>
      </c>
      <c r="AE6536">
        <v>13.193989999999999</v>
      </c>
      <c r="AF6536">
        <v>-5.1199026000952896</v>
      </c>
      <c r="AG6536">
        <v>-1.1220160910750001</v>
      </c>
      <c r="AH6536">
        <v>12.773356167190901</v>
      </c>
      <c r="AI6536">
        <v>94.661269182765196</v>
      </c>
      <c r="AJ6536">
        <v>111.842232508603</v>
      </c>
      <c r="AK6536">
        <v>13.806916763601</v>
      </c>
      <c r="AL6536">
        <v>83.211238416926093</v>
      </c>
      <c r="AM6536">
        <v>110.481922185119</v>
      </c>
      <c r="AN6536">
        <v>1.00000001312002</v>
      </c>
    </row>
    <row r="6537" spans="1:40" x14ac:dyDescent="0.25">
      <c r="A6537" t="str">
        <f>"20190312164152570"</f>
        <v>20190312164152570</v>
      </c>
      <c r="B6537" t="str">
        <f>"1552380112562917"</f>
        <v>1552380112562917</v>
      </c>
      <c r="C6537" t="s">
        <v>40</v>
      </c>
      <c r="D6537">
        <v>5.9041439999999996</v>
      </c>
      <c r="E6537">
        <v>0.49436980000000003</v>
      </c>
      <c r="F6537" t="s">
        <v>51</v>
      </c>
      <c r="G6537">
        <v>-190.429</v>
      </c>
      <c r="H6537" s="1">
        <v>-6.1062169999999999E-6</v>
      </c>
      <c r="I6537">
        <v>-40.68309</v>
      </c>
      <c r="J6537">
        <v>-194.52799999999999</v>
      </c>
      <c r="K6537">
        <v>1.1219509999999999</v>
      </c>
      <c r="L6537">
        <v>-53.760739999999998</v>
      </c>
      <c r="M6537">
        <v>0.62993369999999904</v>
      </c>
      <c r="N6537">
        <v>0</v>
      </c>
      <c r="O6537">
        <v>0.77648409999999901</v>
      </c>
      <c r="P6537">
        <v>0.32266050000000002</v>
      </c>
      <c r="Q6537">
        <v>0.1126448</v>
      </c>
      <c r="R6537">
        <v>0.93978790000000001</v>
      </c>
      <c r="S6537">
        <v>0.92451479999999997</v>
      </c>
      <c r="T6537">
        <v>-0.24652969999999999</v>
      </c>
      <c r="U6537">
        <v>2.9053339999999999</v>
      </c>
      <c r="V6537">
        <v>-0.34507189999999999</v>
      </c>
      <c r="W6537">
        <v>0.1175756</v>
      </c>
      <c r="X6537">
        <v>0.93118279999999998</v>
      </c>
      <c r="Y6537">
        <v>-0.36532920000000002</v>
      </c>
      <c r="Z6537">
        <v>-5.3011589999999997E-2</v>
      </c>
      <c r="AA6537">
        <v>0.92936770000000002</v>
      </c>
      <c r="AB6537">
        <v>30</v>
      </c>
      <c r="AC6537">
        <v>4.0989999999999798</v>
      </c>
      <c r="AD6537">
        <v>-1.121957106217</v>
      </c>
      <c r="AE6537">
        <v>13.07765</v>
      </c>
      <c r="AF6537">
        <v>-5.0222329773842702</v>
      </c>
      <c r="AG6537">
        <v>-1.121957106217</v>
      </c>
      <c r="AH6537">
        <v>12.6535139513442</v>
      </c>
      <c r="AI6537">
        <v>94.711299322135901</v>
      </c>
      <c r="AJ6537">
        <v>111.64833642873501</v>
      </c>
      <c r="AK6537">
        <v>13.6599058248649</v>
      </c>
      <c r="AL6537">
        <v>83.2477960248751</v>
      </c>
      <c r="AM6537">
        <v>110.33338318525099</v>
      </c>
      <c r="AN6537">
        <v>1.0000000224504</v>
      </c>
    </row>
    <row r="6538" spans="1:40" x14ac:dyDescent="0.25">
      <c r="A6538" t="str">
        <f>"20190312164152592"</f>
        <v>20190312164152592</v>
      </c>
      <c r="B6538" t="str">
        <f>"1552380112582437"</f>
        <v>1552380112582437</v>
      </c>
      <c r="C6538" t="s">
        <v>40</v>
      </c>
      <c r="D6538">
        <v>5.9064500000000004</v>
      </c>
      <c r="E6538">
        <v>0.49445499999999998</v>
      </c>
      <c r="F6538" t="s">
        <v>51</v>
      </c>
      <c r="G6538">
        <v>-190.45490000000001</v>
      </c>
      <c r="H6538" s="1">
        <v>-6.1161730000000003E-6</v>
      </c>
      <c r="I6538">
        <v>-40.671619999999997</v>
      </c>
      <c r="J6538">
        <v>-194.36799999999999</v>
      </c>
      <c r="K6538">
        <v>1.1218589999999999</v>
      </c>
      <c r="L6538">
        <v>-53.543120000000002</v>
      </c>
      <c r="M6538">
        <v>0.61950459999999996</v>
      </c>
      <c r="N6538">
        <v>0</v>
      </c>
      <c r="O6538">
        <v>0.78483150000000002</v>
      </c>
      <c r="P6538">
        <v>0.31520150000000002</v>
      </c>
      <c r="Q6538">
        <v>0.11198809999999999</v>
      </c>
      <c r="R6538">
        <v>0.94239410000000001</v>
      </c>
      <c r="S6538">
        <v>0.90586849999999997</v>
      </c>
      <c r="T6538">
        <v>-0.24953020000000001</v>
      </c>
      <c r="U6538">
        <v>2.9111020000000001</v>
      </c>
      <c r="V6538">
        <v>-0.34000429999999998</v>
      </c>
      <c r="W6538">
        <v>0.1170865</v>
      </c>
      <c r="X6538">
        <v>0.93310649999999995</v>
      </c>
      <c r="Y6538">
        <v>-0.35886220000000002</v>
      </c>
      <c r="Z6538">
        <v>-5.4677679999999999E-2</v>
      </c>
      <c r="AA6538">
        <v>0.9317877</v>
      </c>
      <c r="AB6538">
        <v>30</v>
      </c>
      <c r="AC6538">
        <v>3.91309999999998</v>
      </c>
      <c r="AD6538">
        <v>-1.121865116173</v>
      </c>
      <c r="AE6538">
        <v>12.8714999999999</v>
      </c>
      <c r="AF6538">
        <v>-4.8695881392974503</v>
      </c>
      <c r="AG6538">
        <v>-1.121865116173</v>
      </c>
      <c r="AH6538">
        <v>12.441214873902901</v>
      </c>
      <c r="AI6538">
        <v>94.799881646658903</v>
      </c>
      <c r="AJ6538">
        <v>111.375760771758</v>
      </c>
      <c r="AK6538">
        <v>13.407285240640499</v>
      </c>
      <c r="AL6538">
        <v>83.276013851882595</v>
      </c>
      <c r="AM6538">
        <v>110.020672004799</v>
      </c>
      <c r="AN6538">
        <v>0.99999995642149297</v>
      </c>
    </row>
    <row r="6539" spans="1:40" x14ac:dyDescent="0.25">
      <c r="A6539" t="str">
        <f>"20190312164152614"</f>
        <v>20190312164152614</v>
      </c>
      <c r="B6539" t="str">
        <f>"1552380112602933"</f>
        <v>1552380112602933</v>
      </c>
      <c r="C6539" t="s">
        <v>40</v>
      </c>
      <c r="D6539">
        <v>5.9630589999999897</v>
      </c>
      <c r="E6539">
        <v>0.49454749999999997</v>
      </c>
      <c r="F6539" t="s">
        <v>51</v>
      </c>
      <c r="G6539">
        <v>-190.44710000000001</v>
      </c>
      <c r="H6539" s="1">
        <v>-6.1499089999999998E-6</v>
      </c>
      <c r="I6539">
        <v>-40.583640000000003</v>
      </c>
      <c r="J6539">
        <v>-194.19489999999999</v>
      </c>
      <c r="K6539">
        <v>1.1217459999999999</v>
      </c>
      <c r="L6539">
        <v>-53.300719999999998</v>
      </c>
      <c r="M6539">
        <v>0.60794349999999997</v>
      </c>
      <c r="N6539">
        <v>0</v>
      </c>
      <c r="O6539">
        <v>0.7938229</v>
      </c>
      <c r="P6539">
        <v>0.30640099999999998</v>
      </c>
      <c r="Q6539">
        <v>0.11104459999999999</v>
      </c>
      <c r="R6539">
        <v>0.9454034</v>
      </c>
      <c r="S6539">
        <v>0.88288880000000003</v>
      </c>
      <c r="T6539">
        <v>-0.25261080000000002</v>
      </c>
      <c r="U6539">
        <v>2.918091</v>
      </c>
      <c r="V6539">
        <v>-0.33503470000000002</v>
      </c>
      <c r="W6539">
        <v>0.1162909</v>
      </c>
      <c r="X6539">
        <v>0.93500170000000005</v>
      </c>
      <c r="Y6539">
        <v>-0.3525527</v>
      </c>
      <c r="Z6539">
        <v>-5.6444069999999999E-2</v>
      </c>
      <c r="AA6539">
        <v>0.93408820000000004</v>
      </c>
      <c r="AB6539">
        <v>30</v>
      </c>
      <c r="AC6539">
        <v>3.7477999999999798</v>
      </c>
      <c r="AD6539">
        <v>-1.121752149909</v>
      </c>
      <c r="AE6539">
        <v>12.7170799999999</v>
      </c>
      <c r="AF6539">
        <v>-4.72295967897794</v>
      </c>
      <c r="AG6539">
        <v>-1.121752149909</v>
      </c>
      <c r="AH6539">
        <v>12.287143438493301</v>
      </c>
      <c r="AI6539">
        <v>94.870763681170999</v>
      </c>
      <c r="AJ6539">
        <v>111.025873172963</v>
      </c>
      <c r="AK6539">
        <v>13.2113046249485</v>
      </c>
      <c r="AL6539">
        <v>83.321912229422296</v>
      </c>
      <c r="AM6539">
        <v>109.71388310267299</v>
      </c>
      <c r="AN6539">
        <v>1.00000000131489</v>
      </c>
    </row>
    <row r="6540" spans="1:40" x14ac:dyDescent="0.25">
      <c r="A6540" t="str">
        <f>"20190312164152636"</f>
        <v>20190312164152636</v>
      </c>
      <c r="B6540" t="str">
        <f>"1552380112632214"</f>
        <v>1552380112632214</v>
      </c>
      <c r="C6540" t="s">
        <v>40</v>
      </c>
      <c r="D6540">
        <v>6.1758759999999997</v>
      </c>
      <c r="E6540">
        <v>0.49468709999999999</v>
      </c>
      <c r="F6540" t="s">
        <v>51</v>
      </c>
      <c r="G6540">
        <v>-190.44810000000001</v>
      </c>
      <c r="H6540" s="1">
        <v>-6.1799239999999997E-6</v>
      </c>
      <c r="I6540">
        <v>-40.494309999999999</v>
      </c>
      <c r="J6540">
        <v>-194.0352</v>
      </c>
      <c r="K6540">
        <v>1.121632</v>
      </c>
      <c r="L6540">
        <v>-53.070369999999997</v>
      </c>
      <c r="M6540">
        <v>0.59702809999999995</v>
      </c>
      <c r="N6540">
        <v>0</v>
      </c>
      <c r="O6540">
        <v>0.80206699999999997</v>
      </c>
      <c r="P6540">
        <v>0.29848010000000003</v>
      </c>
      <c r="Q6540">
        <v>0.11043269999999999</v>
      </c>
      <c r="R6540">
        <v>0.9480054</v>
      </c>
      <c r="S6540">
        <v>0.85604859999999905</v>
      </c>
      <c r="T6540">
        <v>-0.25628859999999998</v>
      </c>
      <c r="U6540">
        <v>2.9259029999999999</v>
      </c>
      <c r="V6540">
        <v>-0.33004879999999998</v>
      </c>
      <c r="W6540">
        <v>0.115811999999999</v>
      </c>
      <c r="X6540">
        <v>0.93683260000000002</v>
      </c>
      <c r="Y6540">
        <v>-0.34834100000000001</v>
      </c>
      <c r="Z6540">
        <v>-5.8236639999999999E-2</v>
      </c>
      <c r="AA6540">
        <v>0.93555710000000003</v>
      </c>
      <c r="AB6540">
        <v>30</v>
      </c>
      <c r="AC6540">
        <v>3.5870999999999902</v>
      </c>
      <c r="AD6540">
        <v>-1.1216381799240001</v>
      </c>
      <c r="AE6540">
        <v>12.576059999999901</v>
      </c>
      <c r="AF6540">
        <v>-4.5979136843833999</v>
      </c>
      <c r="AG6540">
        <v>-1.1216381799240001</v>
      </c>
      <c r="AH6540">
        <v>12.140638802150001</v>
      </c>
      <c r="AI6540">
        <v>94.938010728426306</v>
      </c>
      <c r="AJ6540">
        <v>110.74272425594501</v>
      </c>
      <c r="AK6540">
        <v>13.0305024070438</v>
      </c>
      <c r="AL6540">
        <v>83.349537663797406</v>
      </c>
      <c r="AM6540">
        <v>109.407506385657</v>
      </c>
      <c r="AN6540">
        <v>0.99999997507409899</v>
      </c>
    </row>
    <row r="6541" spans="1:40" x14ac:dyDescent="0.25">
      <c r="A6541" t="str">
        <f>"20190312164152650"</f>
        <v>20190312164152650</v>
      </c>
      <c r="B6541" t="str">
        <f>"1552380112642950"</f>
        <v>1552380112642950</v>
      </c>
      <c r="C6541" t="s">
        <v>40</v>
      </c>
      <c r="D6541">
        <v>5.8668809999999896</v>
      </c>
      <c r="E6541">
        <v>0.49473899999999998</v>
      </c>
      <c r="F6541" t="s">
        <v>41</v>
      </c>
      <c r="G6541">
        <v>-190.4324</v>
      </c>
      <c r="H6541" s="1">
        <v>-1.29579E-7</v>
      </c>
      <c r="I6541">
        <v>-40.377020000000002</v>
      </c>
      <c r="J6541">
        <v>-193.92580000000001</v>
      </c>
      <c r="K6541">
        <v>1.1215459999999999</v>
      </c>
      <c r="L6541">
        <v>-52.908259999999999</v>
      </c>
      <c r="M6541">
        <v>0.58940029999999999</v>
      </c>
      <c r="N6541">
        <v>0</v>
      </c>
      <c r="O6541">
        <v>0.80769089999999999</v>
      </c>
      <c r="P6541">
        <v>0.29180209999999901</v>
      </c>
      <c r="Q6541">
        <v>0.11001089999999999</v>
      </c>
      <c r="R6541">
        <v>0.95013110000000001</v>
      </c>
      <c r="S6541">
        <v>0.83238219999999996</v>
      </c>
      <c r="T6541">
        <v>-0.25913979999999998</v>
      </c>
      <c r="U6541">
        <v>2.9326479999999999</v>
      </c>
      <c r="V6541">
        <v>-0.32775130000000002</v>
      </c>
      <c r="W6541">
        <v>0.1154284</v>
      </c>
      <c r="X6541">
        <v>0.93768620000000003</v>
      </c>
      <c r="Y6541">
        <v>-0.347028</v>
      </c>
      <c r="Z6541">
        <v>-5.9509880000000001E-2</v>
      </c>
      <c r="AA6541">
        <v>0.93596480000000004</v>
      </c>
      <c r="AB6541">
        <v>30</v>
      </c>
      <c r="AC6541">
        <v>3.4933999999999998</v>
      </c>
      <c r="AD6541">
        <v>-1.1215461295789999</v>
      </c>
      <c r="AE6541">
        <v>12.531239999999899</v>
      </c>
      <c r="AF6541">
        <v>-4.5312044734031804</v>
      </c>
      <c r="AG6541">
        <v>-1.1215461295789999</v>
      </c>
      <c r="AH6541">
        <v>12.0919827322197</v>
      </c>
      <c r="AI6541">
        <v>94.963878643932603</v>
      </c>
      <c r="AJ6541">
        <v>110.542380784245</v>
      </c>
      <c r="AK6541">
        <v>12.961702283915599</v>
      </c>
      <c r="AL6541">
        <v>83.371665019325803</v>
      </c>
      <c r="AM6541">
        <v>109.266152816027</v>
      </c>
      <c r="AN6541">
        <v>1.00000001992434</v>
      </c>
    </row>
    <row r="6542" spans="1:40" x14ac:dyDescent="0.25">
      <c r="A6542" t="str">
        <f>"20190312164152670"</f>
        <v>20190312164152670</v>
      </c>
      <c r="B6542" t="str">
        <f>"1552380112662469"</f>
        <v>1552380112662469</v>
      </c>
      <c r="C6542" t="s">
        <v>40</v>
      </c>
      <c r="D6542">
        <v>6.3629540000000002</v>
      </c>
      <c r="E6542">
        <v>0.49477539999999998</v>
      </c>
      <c r="F6542" t="s">
        <v>41</v>
      </c>
      <c r="G6542">
        <v>-190.43360000000001</v>
      </c>
      <c r="H6542" s="1">
        <v>-1.7511629999999999E-7</v>
      </c>
      <c r="I6542">
        <v>-40.271610000000003</v>
      </c>
      <c r="J6542">
        <v>-193.78200000000001</v>
      </c>
      <c r="K6542">
        <v>1.121418</v>
      </c>
      <c r="L6542">
        <v>-52.69061</v>
      </c>
      <c r="M6542">
        <v>0.57921049999999996</v>
      </c>
      <c r="N6542">
        <v>0</v>
      </c>
      <c r="O6542">
        <v>0.81503210000000004</v>
      </c>
      <c r="P6542">
        <v>0.28635189999999999</v>
      </c>
      <c r="Q6542">
        <v>0.1092788</v>
      </c>
      <c r="R6542">
        <v>0.95187219999999995</v>
      </c>
      <c r="S6542">
        <v>0.812011699999999</v>
      </c>
      <c r="T6542">
        <v>-0.26078089999999998</v>
      </c>
      <c r="U6542">
        <v>2.9382630000000001</v>
      </c>
      <c r="V6542">
        <v>-0.32132699999999997</v>
      </c>
      <c r="W6542">
        <v>0.114842</v>
      </c>
      <c r="X6542">
        <v>0.93997889999999995</v>
      </c>
      <c r="Y6542">
        <v>-0.34175149999999999</v>
      </c>
      <c r="Z6542">
        <v>-6.0809670000000003E-2</v>
      </c>
      <c r="AA6542">
        <v>0.93782100000000002</v>
      </c>
      <c r="AB6542">
        <v>30</v>
      </c>
      <c r="AC6542">
        <v>3.3483999999999901</v>
      </c>
      <c r="AD6542">
        <v>-1.1214181751162999</v>
      </c>
      <c r="AE6542">
        <v>12.419</v>
      </c>
      <c r="AF6542">
        <v>-4.4310114685098796</v>
      </c>
      <c r="AG6542">
        <v>-1.1214181751162999</v>
      </c>
      <c r="AH6542">
        <v>11.9717464530409</v>
      </c>
      <c r="AI6542">
        <v>95.020428751818898</v>
      </c>
      <c r="AJ6542">
        <v>110.310641739415</v>
      </c>
      <c r="AK6542">
        <v>12.814607075265499</v>
      </c>
      <c r="AL6542">
        <v>83.405488255342505</v>
      </c>
      <c r="AM6542">
        <v>108.872731956839</v>
      </c>
      <c r="AN6542">
        <v>1.0000000291691</v>
      </c>
    </row>
    <row r="6543" spans="1:40" x14ac:dyDescent="0.25">
      <c r="A6543" t="str">
        <f>"20190312164152684"</f>
        <v>20190312164152684</v>
      </c>
      <c r="B6543" t="str">
        <f>"1552380112672230"</f>
        <v>1552380112672230</v>
      </c>
      <c r="C6543" t="s">
        <v>40</v>
      </c>
      <c r="D6543">
        <v>5.9328310000000002</v>
      </c>
      <c r="E6543">
        <v>0.49481550000000002</v>
      </c>
      <c r="F6543" t="s">
        <v>41</v>
      </c>
      <c r="G6543">
        <v>-190.39670000000001</v>
      </c>
      <c r="H6543" s="1">
        <v>-2.126011E-7</v>
      </c>
      <c r="I6543">
        <v>-40.161340000000003</v>
      </c>
      <c r="J6543">
        <v>-193.6841</v>
      </c>
      <c r="K6543">
        <v>1.121327</v>
      </c>
      <c r="L6543">
        <v>-52.539090000000002</v>
      </c>
      <c r="M6543">
        <v>0.57216109999999998</v>
      </c>
      <c r="N6543">
        <v>0</v>
      </c>
      <c r="O6543">
        <v>0.81999840000000002</v>
      </c>
      <c r="P6543">
        <v>0.282203599999999</v>
      </c>
      <c r="Q6543">
        <v>0.1087185</v>
      </c>
      <c r="R6543">
        <v>0.95317439999999998</v>
      </c>
      <c r="S6543">
        <v>0.79510499999999995</v>
      </c>
      <c r="T6543">
        <v>-0.26338470000000003</v>
      </c>
      <c r="U6543">
        <v>2.9427189999999999</v>
      </c>
      <c r="V6543">
        <v>-0.31730439999999999</v>
      </c>
      <c r="W6543">
        <v>0.114356399999999</v>
      </c>
      <c r="X6543">
        <v>0.94140349999999995</v>
      </c>
      <c r="Y6543">
        <v>-0.33904329999999999</v>
      </c>
      <c r="Z6543">
        <v>-6.2023059999999998E-2</v>
      </c>
      <c r="AA6543">
        <v>0.938724</v>
      </c>
      <c r="AB6543">
        <v>30</v>
      </c>
      <c r="AC6543">
        <v>3.2873999999999901</v>
      </c>
      <c r="AD6543">
        <v>-1.1213272126011</v>
      </c>
      <c r="AE6543">
        <v>12.377750000000001</v>
      </c>
      <c r="AF6543">
        <v>-4.3535432028175096</v>
      </c>
      <c r="AG6543">
        <v>-1.1213272126011</v>
      </c>
      <c r="AH6543">
        <v>11.940528924315601</v>
      </c>
      <c r="AI6543">
        <v>95.042035331502206</v>
      </c>
      <c r="AJ6543">
        <v>110.031967200526</v>
      </c>
      <c r="AK6543">
        <v>12.7587986945847</v>
      </c>
      <c r="AL6543">
        <v>83.433495471021999</v>
      </c>
      <c r="AM6543">
        <v>108.62662679571299</v>
      </c>
      <c r="AN6543">
        <v>1.00000000914628</v>
      </c>
    </row>
    <row r="6544" spans="1:40" x14ac:dyDescent="0.25">
      <c r="A6544" t="str">
        <f>"20190312164152703"</f>
        <v>20190312164152703</v>
      </c>
      <c r="B6544" t="str">
        <f>"1552380112692725"</f>
        <v>1552380112692725</v>
      </c>
      <c r="C6544" t="s">
        <v>40</v>
      </c>
      <c r="D6544">
        <v>5.9102930000000002</v>
      </c>
      <c r="E6544">
        <v>0.4948939</v>
      </c>
      <c r="F6544" t="s">
        <v>41</v>
      </c>
      <c r="G6544">
        <v>-190.38079999999999</v>
      </c>
      <c r="H6544" s="1">
        <v>-2.348718E-7</v>
      </c>
      <c r="I6544">
        <v>-40.099580000000003</v>
      </c>
      <c r="J6544">
        <v>-193.55240000000001</v>
      </c>
      <c r="K6544">
        <v>1.121202</v>
      </c>
      <c r="L6544">
        <v>-52.330959999999997</v>
      </c>
      <c r="M6544">
        <v>0.56254479999999996</v>
      </c>
      <c r="N6544">
        <v>0</v>
      </c>
      <c r="O6544">
        <v>0.82662839999999904</v>
      </c>
      <c r="P6544">
        <v>0.27494259999999998</v>
      </c>
      <c r="Q6544">
        <v>0.107557</v>
      </c>
      <c r="R6544">
        <v>0.95542559999999999</v>
      </c>
      <c r="S6544">
        <v>0.78231809999999902</v>
      </c>
      <c r="T6544">
        <v>-0.26556619999999997</v>
      </c>
      <c r="U6544">
        <v>2.946075</v>
      </c>
      <c r="V6544">
        <v>-0.31347199999999997</v>
      </c>
      <c r="W6544">
        <v>0.11323080000000001</v>
      </c>
      <c r="X6544">
        <v>0.94282239999999995</v>
      </c>
      <c r="Y6544">
        <v>-0.33213959999999998</v>
      </c>
      <c r="Z6544">
        <v>-6.3439449999999994E-2</v>
      </c>
      <c r="AA6544">
        <v>0.94109449999999994</v>
      </c>
      <c r="AB6544">
        <v>30</v>
      </c>
      <c r="AC6544">
        <v>3.17160000000001</v>
      </c>
      <c r="AD6544">
        <v>-1.1212022348718</v>
      </c>
      <c r="AE6544">
        <v>12.23138</v>
      </c>
      <c r="AF6544">
        <v>-4.2261780418180299</v>
      </c>
      <c r="AG6544">
        <v>-1.1212022348718</v>
      </c>
      <c r="AH6544">
        <v>11.803402783338001</v>
      </c>
      <c r="AI6544">
        <v>95.110376571637801</v>
      </c>
      <c r="AJ6544">
        <v>109.69977621278299</v>
      </c>
      <c r="AK6544">
        <v>12.587215441007499</v>
      </c>
      <c r="AL6544">
        <v>83.498409153802399</v>
      </c>
      <c r="AM6544">
        <v>108.39106619882099</v>
      </c>
      <c r="AN6544">
        <v>0.99999999339719903</v>
      </c>
    </row>
    <row r="6545" spans="1:40" x14ac:dyDescent="0.25">
      <c r="A6545" t="str">
        <f>"20190312164152727"</f>
        <v>20190312164152727</v>
      </c>
      <c r="B6545" t="str">
        <f>"1552380112722981"</f>
        <v>1552380112722981</v>
      </c>
      <c r="C6545" t="s">
        <v>40</v>
      </c>
      <c r="D6545">
        <v>5.906803</v>
      </c>
      <c r="E6545">
        <v>0.49507630000000002</v>
      </c>
      <c r="F6545" t="s">
        <v>41</v>
      </c>
      <c r="G6545">
        <v>-190.39670000000001</v>
      </c>
      <c r="H6545" s="1">
        <v>-2.5094279999999999E-7</v>
      </c>
      <c r="I6545">
        <v>-40.071980000000003</v>
      </c>
      <c r="J6545">
        <v>-193.3905</v>
      </c>
      <c r="K6545">
        <v>1.1210420000000001</v>
      </c>
      <c r="L6545">
        <v>-52.0672</v>
      </c>
      <c r="M6545">
        <v>0.55048229999999998</v>
      </c>
      <c r="N6545">
        <v>0</v>
      </c>
      <c r="O6545">
        <v>0.83471390000000001</v>
      </c>
      <c r="P6545">
        <v>0.26647369999999998</v>
      </c>
      <c r="Q6545">
        <v>0.1055884</v>
      </c>
      <c r="R6545">
        <v>0.95804109999999998</v>
      </c>
      <c r="S6545">
        <v>0.75982669999999997</v>
      </c>
      <c r="T6545">
        <v>-0.26996039999999999</v>
      </c>
      <c r="U6545">
        <v>2.9516909999999998</v>
      </c>
      <c r="V6545">
        <v>-0.308139</v>
      </c>
      <c r="W6545">
        <v>0.111318</v>
      </c>
      <c r="X6545">
        <v>0.94480620000000004</v>
      </c>
      <c r="Y6545">
        <v>-0.32562439999999998</v>
      </c>
      <c r="Z6545">
        <v>-6.5553879999999995E-2</v>
      </c>
      <c r="AA6545">
        <v>0.94322399999999995</v>
      </c>
      <c r="AB6545">
        <v>30</v>
      </c>
      <c r="AC6545">
        <v>2.99379999999999</v>
      </c>
      <c r="AD6545">
        <v>-1.1210422509428</v>
      </c>
      <c r="AE6545">
        <v>11.99522</v>
      </c>
      <c r="AF6545">
        <v>-4.0711716824689397</v>
      </c>
      <c r="AG6545">
        <v>-1.1210422509428</v>
      </c>
      <c r="AH6545">
        <v>11.5668013590405</v>
      </c>
      <c r="AI6545">
        <v>95.223543145467602</v>
      </c>
      <c r="AJ6545">
        <v>109.390559429136</v>
      </c>
      <c r="AK6545">
        <v>12.313491311404601</v>
      </c>
      <c r="AL6545">
        <v>83.608702244028507</v>
      </c>
      <c r="AM6545">
        <v>108.063213801762</v>
      </c>
      <c r="AN6545">
        <v>1.0000000480017099</v>
      </c>
    </row>
    <row r="6546" spans="1:40" x14ac:dyDescent="0.25">
      <c r="A6546" t="str">
        <f>"20190312164152749"</f>
        <v>20190312164152749</v>
      </c>
      <c r="B6546" t="str">
        <f>"1552380112742501"</f>
        <v>1552380112742501</v>
      </c>
      <c r="C6546" t="s">
        <v>40</v>
      </c>
      <c r="D6546">
        <v>5.9629859999999999</v>
      </c>
      <c r="E6546">
        <v>0.49518069999999997</v>
      </c>
      <c r="F6546" t="s">
        <v>41</v>
      </c>
      <c r="G6546">
        <v>-190.4169</v>
      </c>
      <c r="H6546" s="1">
        <v>-2.5114530000000002E-7</v>
      </c>
      <c r="I6546">
        <v>-40.084020000000002</v>
      </c>
      <c r="J6546">
        <v>-193.2423</v>
      </c>
      <c r="K6546">
        <v>1.120897</v>
      </c>
      <c r="L6546">
        <v>-51.818759999999997</v>
      </c>
      <c r="M6546">
        <v>0.53922999999999999</v>
      </c>
      <c r="N6546">
        <v>0</v>
      </c>
      <c r="O6546">
        <v>0.84203050000000002</v>
      </c>
      <c r="P6546">
        <v>0.26002380000000003</v>
      </c>
      <c r="Q6546">
        <v>0.10423739999999999</v>
      </c>
      <c r="R6546">
        <v>0.95995940000000002</v>
      </c>
      <c r="S6546">
        <v>0.73394780000000004</v>
      </c>
      <c r="T6546">
        <v>-0.27669969999999999</v>
      </c>
      <c r="U6546">
        <v>2.9577330000000002</v>
      </c>
      <c r="V6546">
        <v>-0.30180119999999999</v>
      </c>
      <c r="W6546">
        <v>0.1100574</v>
      </c>
      <c r="X6546">
        <v>0.94699699999999998</v>
      </c>
      <c r="Y6546">
        <v>-0.32119409999999998</v>
      </c>
      <c r="Z6546">
        <v>-6.8137320000000001E-2</v>
      </c>
      <c r="AA6546">
        <v>0.94455900000000004</v>
      </c>
      <c r="AB6546">
        <v>30</v>
      </c>
      <c r="AC6546">
        <v>2.8254000000000001</v>
      </c>
      <c r="AD6546">
        <v>-1.1208972511452999</v>
      </c>
      <c r="AE6546">
        <v>11.734739999999899</v>
      </c>
      <c r="AF6546">
        <v>-3.91531089666428</v>
      </c>
      <c r="AG6546">
        <v>-1.1208972511452999</v>
      </c>
      <c r="AH6546">
        <v>11.308256432095501</v>
      </c>
      <c r="AI6546">
        <v>95.351087572609302</v>
      </c>
      <c r="AJ6546">
        <v>109.097629346796</v>
      </c>
      <c r="AK6546">
        <v>12.0192651022927</v>
      </c>
      <c r="AL6546">
        <v>83.681375288814195</v>
      </c>
      <c r="AM6546">
        <v>107.676709969903</v>
      </c>
      <c r="AN6546">
        <v>0.99999995681259901</v>
      </c>
    </row>
    <row r="6547" spans="1:40" x14ac:dyDescent="0.25">
      <c r="A6547" t="str">
        <f>"20190312164152771"</f>
        <v>20190312164152771</v>
      </c>
      <c r="B6547" t="str">
        <f>"1552380112762997"</f>
        <v>1552380112762997</v>
      </c>
      <c r="C6547" t="s">
        <v>40</v>
      </c>
      <c r="D6547">
        <v>5.9946830000000002</v>
      </c>
      <c r="E6547">
        <v>0.495305</v>
      </c>
      <c r="F6547" t="s">
        <v>41</v>
      </c>
      <c r="G6547">
        <v>-190.3998</v>
      </c>
      <c r="H6547" s="1">
        <v>-2.7736640000000002E-7</v>
      </c>
      <c r="I6547">
        <v>-40.012309999999999</v>
      </c>
      <c r="J6547">
        <v>-193.09289999999999</v>
      </c>
      <c r="K6547">
        <v>1.1207419999999999</v>
      </c>
      <c r="L6547">
        <v>-51.560639999999999</v>
      </c>
      <c r="M6547">
        <v>0.52766689999999905</v>
      </c>
      <c r="N6547">
        <v>0</v>
      </c>
      <c r="O6547">
        <v>0.84932830000000004</v>
      </c>
      <c r="P6547">
        <v>0.25205070000000002</v>
      </c>
      <c r="Q6547">
        <v>0.104733199999999</v>
      </c>
      <c r="R6547">
        <v>0.96202980000000005</v>
      </c>
      <c r="S6547">
        <v>0.71324160000000003</v>
      </c>
      <c r="T6547">
        <v>-0.281257599999999</v>
      </c>
      <c r="U6547">
        <v>2.962494</v>
      </c>
      <c r="V6547">
        <v>-0.2966415</v>
      </c>
      <c r="W6547">
        <v>0.11059769999999899</v>
      </c>
      <c r="X6547">
        <v>0.94856309999999999</v>
      </c>
      <c r="Y6547">
        <v>-0.31485629999999998</v>
      </c>
      <c r="Z6547">
        <v>-7.0269189999999995E-2</v>
      </c>
      <c r="AA6547">
        <v>0.9465346</v>
      </c>
      <c r="AB6547">
        <v>30</v>
      </c>
      <c r="AC6547">
        <v>2.6930999999999798</v>
      </c>
      <c r="AD6547">
        <v>-1.1207422773664</v>
      </c>
      <c r="AE6547">
        <v>11.54833</v>
      </c>
      <c r="AF6547">
        <v>-3.7730406220706301</v>
      </c>
      <c r="AG6547">
        <v>-1.1207422773664</v>
      </c>
      <c r="AH6547">
        <v>11.131128171752099</v>
      </c>
      <c r="AI6547">
        <v>95.447043932816896</v>
      </c>
      <c r="AJ6547">
        <v>108.724757524419</v>
      </c>
      <c r="AK6547">
        <v>11.806519942982501</v>
      </c>
      <c r="AL6547">
        <v>83.650228462377797</v>
      </c>
      <c r="AM6547">
        <v>107.36588429520999</v>
      </c>
      <c r="AN6547">
        <v>0.99999999272457496</v>
      </c>
    </row>
    <row r="6548" spans="1:40" x14ac:dyDescent="0.25">
      <c r="A6548" t="str">
        <f>"20190312164152793"</f>
        <v>20190312164152793</v>
      </c>
      <c r="B6548" t="str">
        <f>"1552380112782519"</f>
        <v>1552380112782519</v>
      </c>
      <c r="C6548" t="s">
        <v>40</v>
      </c>
      <c r="D6548">
        <v>5.7391839999999998</v>
      </c>
      <c r="E6548">
        <v>0.49535750000000001</v>
      </c>
      <c r="F6548" t="s">
        <v>41</v>
      </c>
      <c r="G6548">
        <v>-190.33260000000001</v>
      </c>
      <c r="H6548" s="1">
        <v>-3.9899050000000002E-7</v>
      </c>
      <c r="I6548">
        <v>-39.687080000000002</v>
      </c>
      <c r="J6548">
        <v>-192.95339999999999</v>
      </c>
      <c r="K6548">
        <v>1.1205969999999901</v>
      </c>
      <c r="L6548">
        <v>-51.31241</v>
      </c>
      <c r="M6548">
        <v>0.51668639999999999</v>
      </c>
      <c r="N6548">
        <v>0</v>
      </c>
      <c r="O6548">
        <v>0.85605620000000004</v>
      </c>
      <c r="P6548">
        <v>0.24493789999999999</v>
      </c>
      <c r="Q6548">
        <v>0.104588899999999</v>
      </c>
      <c r="R6548">
        <v>0.96388099999999999</v>
      </c>
      <c r="S6548">
        <v>0.69003300000000001</v>
      </c>
      <c r="T6548">
        <v>-0.28016200000000002</v>
      </c>
      <c r="U6548">
        <v>2.96814</v>
      </c>
      <c r="V6548">
        <v>-0.29138459999999899</v>
      </c>
      <c r="W6548">
        <v>0.1105039</v>
      </c>
      <c r="X6548">
        <v>0.95020199999999999</v>
      </c>
      <c r="Y6548">
        <v>-0.31005539999999998</v>
      </c>
      <c r="Z6548">
        <v>-7.0893709999999999E-2</v>
      </c>
      <c r="AA6548">
        <v>0.94807160000000001</v>
      </c>
      <c r="AB6548">
        <v>30</v>
      </c>
      <c r="AC6548">
        <v>2.6207999999999698</v>
      </c>
      <c r="AD6548">
        <v>-1.12059739899049</v>
      </c>
      <c r="AE6548">
        <v>11.6253299999999</v>
      </c>
      <c r="AF6548">
        <v>-3.7304940395331698</v>
      </c>
      <c r="AG6548">
        <v>-1.12059739899049</v>
      </c>
      <c r="AH6548">
        <v>11.2081108745802</v>
      </c>
      <c r="AI6548">
        <v>95.419107340849905</v>
      </c>
      <c r="AJ6548">
        <v>108.409443217397</v>
      </c>
      <c r="AK6548">
        <v>11.8656678567411</v>
      </c>
      <c r="AL6548">
        <v>83.655635800224402</v>
      </c>
      <c r="AM6548">
        <v>107.048442339459</v>
      </c>
      <c r="AN6548">
        <v>0.99999996891818399</v>
      </c>
    </row>
    <row r="6549" spans="1:40" x14ac:dyDescent="0.25">
      <c r="A6549" t="str">
        <f>"20190312164152826"</f>
        <v>20190312164152826</v>
      </c>
      <c r="B6549" t="str">
        <f>"1552380112822533"</f>
        <v>1552380112822533</v>
      </c>
      <c r="C6549" t="s">
        <v>40</v>
      </c>
      <c r="D6549">
        <v>5.8933390000000001</v>
      </c>
      <c r="E6549">
        <v>0.50090420000000002</v>
      </c>
      <c r="F6549" t="s">
        <v>41</v>
      </c>
      <c r="G6549">
        <v>-190.28229999999999</v>
      </c>
      <c r="H6549" s="1">
        <v>-4.8203179999999995E-7</v>
      </c>
      <c r="I6549">
        <v>-39.462359999999997</v>
      </c>
      <c r="J6549">
        <v>-192.7499</v>
      </c>
      <c r="K6549">
        <v>1.1203529999999999</v>
      </c>
      <c r="L6549">
        <v>-50.936770000000003</v>
      </c>
      <c r="M6549">
        <v>0.50037579999999904</v>
      </c>
      <c r="N6549">
        <v>0</v>
      </c>
      <c r="O6549">
        <v>0.86569649999999998</v>
      </c>
      <c r="P6549">
        <v>0.2364047</v>
      </c>
      <c r="Q6549">
        <v>0.1027489</v>
      </c>
      <c r="R6549">
        <v>0.96620669999999997</v>
      </c>
      <c r="S6549">
        <v>0.67005919999999997</v>
      </c>
      <c r="T6549">
        <v>-0.28110849999999998</v>
      </c>
      <c r="U6549">
        <v>2.9726560000000002</v>
      </c>
      <c r="V6549">
        <v>-0.28174139999999998</v>
      </c>
      <c r="W6549">
        <v>0.1087824</v>
      </c>
      <c r="X6549">
        <v>0.95330380000000003</v>
      </c>
      <c r="Y6549">
        <v>-0.29841430000000002</v>
      </c>
      <c r="Z6549">
        <v>-7.2542280000000001E-2</v>
      </c>
      <c r="AA6549">
        <v>0.95167570000000001</v>
      </c>
      <c r="AB6549">
        <v>30</v>
      </c>
      <c r="AC6549">
        <v>2.4676</v>
      </c>
      <c r="AD6549">
        <v>-1.1203534820318</v>
      </c>
      <c r="AE6549">
        <v>11.474410000000001</v>
      </c>
      <c r="AF6549">
        <v>-3.5731151791123601</v>
      </c>
      <c r="AG6549">
        <v>-1.1203534820318</v>
      </c>
      <c r="AH6549">
        <v>11.0683105543416</v>
      </c>
      <c r="AI6549">
        <v>95.502139674004695</v>
      </c>
      <c r="AJ6549">
        <v>107.891319555039</v>
      </c>
      <c r="AK6549">
        <v>11.684598518359699</v>
      </c>
      <c r="AL6549">
        <v>83.754868850724407</v>
      </c>
      <c r="AM6549">
        <v>106.464628071471</v>
      </c>
      <c r="AN6549">
        <v>0.99999998105907895</v>
      </c>
    </row>
    <row r="6550" spans="1:40" x14ac:dyDescent="0.25">
      <c r="A6550" t="str">
        <f>"20190312164152848"</f>
        <v>20190312164152848</v>
      </c>
      <c r="B6550" t="str">
        <f>"1552380112842054"</f>
        <v>1552380112842054</v>
      </c>
      <c r="C6550" t="s">
        <v>40</v>
      </c>
      <c r="D6550">
        <v>6.0273750000000001</v>
      </c>
      <c r="E6550">
        <v>0.50121000000000004</v>
      </c>
      <c r="F6550" t="s">
        <v>41</v>
      </c>
      <c r="G6550">
        <v>-190.20500000000001</v>
      </c>
      <c r="H6550" s="1">
        <v>-2.814537E-7</v>
      </c>
      <c r="I6550">
        <v>-39.881979999999999</v>
      </c>
      <c r="J6550">
        <v>-192.6113</v>
      </c>
      <c r="K6550">
        <v>1.1201719999999999</v>
      </c>
      <c r="L6550">
        <v>-50.671419999999998</v>
      </c>
      <c r="M6550">
        <v>0.48907719999999999</v>
      </c>
      <c r="N6550">
        <v>0</v>
      </c>
      <c r="O6550">
        <v>0.87213359999999995</v>
      </c>
      <c r="P6550">
        <v>0.231687</v>
      </c>
      <c r="Q6550">
        <v>0.1020737</v>
      </c>
      <c r="R6550">
        <v>0.96742030000000001</v>
      </c>
      <c r="S6550">
        <v>0.68363949999999996</v>
      </c>
      <c r="T6550">
        <v>-0.30096209999999901</v>
      </c>
      <c r="U6550">
        <v>2.9696660000000001</v>
      </c>
      <c r="V6550">
        <v>-0.27394760000000001</v>
      </c>
      <c r="W6550">
        <v>0.1082046</v>
      </c>
      <c r="X6550">
        <v>0.95563819999999999</v>
      </c>
      <c r="Y6550">
        <v>-0.28173049999999999</v>
      </c>
      <c r="Z6550">
        <v>-7.8849230000000006E-2</v>
      </c>
      <c r="AA6550">
        <v>0.95624830000000005</v>
      </c>
      <c r="AB6550">
        <v>30</v>
      </c>
      <c r="AC6550">
        <v>2.4062999999999799</v>
      </c>
      <c r="AD6550">
        <v>-1.1201722814536901</v>
      </c>
      <c r="AE6550">
        <v>10.789440000000001</v>
      </c>
      <c r="AF6550">
        <v>-3.14624443220564</v>
      </c>
      <c r="AG6550">
        <v>-1.1201722814536901</v>
      </c>
      <c r="AH6550">
        <v>10.480076318278799</v>
      </c>
      <c r="AI6550">
        <v>95.845129229832594</v>
      </c>
      <c r="AJ6550">
        <v>106.710386149051</v>
      </c>
      <c r="AK6550">
        <v>10.9993472353713</v>
      </c>
      <c r="AL6550">
        <v>83.788170712458296</v>
      </c>
      <c r="AM6550">
        <v>105.995720547852</v>
      </c>
      <c r="AN6550">
        <v>0.99999994615307797</v>
      </c>
    </row>
    <row r="6551" spans="1:40" x14ac:dyDescent="0.25">
      <c r="A6551" t="str">
        <f>"20190312164152871"</f>
        <v>20190312164152871</v>
      </c>
      <c r="B6551" t="str">
        <f>"1552380112862550"</f>
        <v>1552380112862550</v>
      </c>
      <c r="C6551" t="s">
        <v>40</v>
      </c>
      <c r="D6551">
        <v>5.8018199999999904</v>
      </c>
      <c r="E6551">
        <v>0.50177950000000004</v>
      </c>
      <c r="F6551" t="s">
        <v>41</v>
      </c>
      <c r="G6551">
        <v>-190.0943</v>
      </c>
      <c r="H6551" s="1">
        <v>-4.1372989999999999E-7</v>
      </c>
      <c r="I6551">
        <v>-39.50497</v>
      </c>
      <c r="J6551">
        <v>-192.4753</v>
      </c>
      <c r="K6551">
        <v>1.1199840000000001</v>
      </c>
      <c r="L6551">
        <v>-50.403260000000003</v>
      </c>
      <c r="M6551">
        <v>0.47784399999999999</v>
      </c>
      <c r="N6551">
        <v>0</v>
      </c>
      <c r="O6551">
        <v>0.87834239999999997</v>
      </c>
      <c r="P6551">
        <v>0.22783999999999999</v>
      </c>
      <c r="Q6551">
        <v>0.10282760000000001</v>
      </c>
      <c r="R6551">
        <v>0.96825380000000005</v>
      </c>
      <c r="S6551">
        <v>0.66992189999999996</v>
      </c>
      <c r="T6551">
        <v>-0.2981434</v>
      </c>
      <c r="U6551">
        <v>2.9720460000000002</v>
      </c>
      <c r="V6551">
        <v>-0.26539230000000003</v>
      </c>
      <c r="W6551">
        <v>0.10906490000000001</v>
      </c>
      <c r="X6551">
        <v>0.95795189999999997</v>
      </c>
      <c r="Y6551">
        <v>-0.27377000000000001</v>
      </c>
      <c r="Z6551">
        <v>-7.9092800000000005E-2</v>
      </c>
      <c r="AA6551">
        <v>0.95853759999999999</v>
      </c>
      <c r="AB6551">
        <v>30</v>
      </c>
      <c r="AC6551">
        <v>2.3809999999999998</v>
      </c>
      <c r="AD6551">
        <v>-1.1199844137299</v>
      </c>
      <c r="AE6551">
        <v>10.8982899999999</v>
      </c>
      <c r="AF6551">
        <v>-3.0855274460175601</v>
      </c>
      <c r="AG6551">
        <v>-1.1199844137299</v>
      </c>
      <c r="AH6551">
        <v>10.6042493559082</v>
      </c>
      <c r="AI6551">
        <v>95.790617360699699</v>
      </c>
      <c r="AJ6551">
        <v>106.22345606926299</v>
      </c>
      <c r="AK6551">
        <v>11.1006733628824</v>
      </c>
      <c r="AL6551">
        <v>83.7385862439763</v>
      </c>
      <c r="AM6551">
        <v>105.48493255437</v>
      </c>
      <c r="AN6551">
        <v>1.00000003401245</v>
      </c>
    </row>
    <row r="6552" spans="1:40" x14ac:dyDescent="0.25">
      <c r="A6552" t="str">
        <f>"20190312164152893"</f>
        <v>20190312164152893</v>
      </c>
      <c r="B6552" t="str">
        <f>"1552380112883047"</f>
        <v>1552380112883047</v>
      </c>
      <c r="C6552" t="s">
        <v>40</v>
      </c>
      <c r="D6552">
        <v>6.7591060000000001</v>
      </c>
      <c r="E6552">
        <v>0.50118850000000004</v>
      </c>
      <c r="F6552" t="s">
        <v>41</v>
      </c>
      <c r="G6552">
        <v>-190.1549</v>
      </c>
      <c r="H6552" s="1">
        <v>-2.3976059999999998E-7</v>
      </c>
      <c r="I6552">
        <v>-39.948090000000001</v>
      </c>
      <c r="J6552">
        <v>-192.34610000000001</v>
      </c>
      <c r="K6552">
        <v>1.119793</v>
      </c>
      <c r="L6552">
        <v>-50.140900000000002</v>
      </c>
      <c r="M6552">
        <v>0.46706120000000001</v>
      </c>
      <c r="N6552">
        <v>0</v>
      </c>
      <c r="O6552">
        <v>0.88412729999999995</v>
      </c>
      <c r="P6552">
        <v>0.22423019999999999</v>
      </c>
      <c r="Q6552">
        <v>0.10313070000000001</v>
      </c>
      <c r="R6552">
        <v>0.96906389999999998</v>
      </c>
      <c r="S6552">
        <v>0.66065980000000002</v>
      </c>
      <c r="T6552">
        <v>-0.31888</v>
      </c>
      <c r="U6552">
        <v>2.9767760000000001</v>
      </c>
      <c r="V6552">
        <v>-0.2571621</v>
      </c>
      <c r="W6552">
        <v>0.109455</v>
      </c>
      <c r="X6552">
        <v>0.96014960000000005</v>
      </c>
      <c r="Y6552">
        <v>-0.26527539999999999</v>
      </c>
      <c r="Z6552">
        <v>-8.544496E-2</v>
      </c>
      <c r="AA6552">
        <v>0.96037919999999999</v>
      </c>
      <c r="AB6552">
        <v>30</v>
      </c>
      <c r="AC6552">
        <v>2.1911999999999998</v>
      </c>
      <c r="AD6552">
        <v>-1.1197932397606001</v>
      </c>
      <c r="AE6552">
        <v>10.19281</v>
      </c>
      <c r="AF6552">
        <v>-2.7914076702875601</v>
      </c>
      <c r="AG6552">
        <v>-1.1197932397606001</v>
      </c>
      <c r="AH6552">
        <v>9.9215745706628802</v>
      </c>
      <c r="AI6552">
        <v>96.200655075129305</v>
      </c>
      <c r="AJ6552">
        <v>105.713800994317</v>
      </c>
      <c r="AK6552">
        <v>10.367426664451401</v>
      </c>
      <c r="AL6552">
        <v>83.716100320064896</v>
      </c>
      <c r="AM6552">
        <v>104.993919409282</v>
      </c>
      <c r="AN6552">
        <v>0.99999999854078403</v>
      </c>
    </row>
    <row r="6553" spans="1:40" x14ac:dyDescent="0.25">
      <c r="A6553" t="str">
        <f>"20190312164152916"</f>
        <v>20190312164152916</v>
      </c>
      <c r="B6553" t="str">
        <f>"1552380112912326"</f>
        <v>1552380112912326</v>
      </c>
      <c r="C6553" t="s">
        <v>40</v>
      </c>
      <c r="D6553">
        <v>5.9216579999999999</v>
      </c>
      <c r="E6553">
        <v>0.49979099999999999</v>
      </c>
      <c r="F6553" t="s">
        <v>41</v>
      </c>
      <c r="G6553">
        <v>-190.01439999999999</v>
      </c>
      <c r="H6553" s="1">
        <v>-4.4657460000000002E-7</v>
      </c>
      <c r="I6553">
        <v>-39.37885</v>
      </c>
      <c r="J6553">
        <v>-192.2148</v>
      </c>
      <c r="K6553">
        <v>1.119577</v>
      </c>
      <c r="L6553">
        <v>-49.866390000000003</v>
      </c>
      <c r="M6553">
        <v>0.45603120000000003</v>
      </c>
      <c r="N6553">
        <v>0</v>
      </c>
      <c r="O6553">
        <v>0.88987090000000002</v>
      </c>
      <c r="P6553">
        <v>0.21946180000000001</v>
      </c>
      <c r="Q6553">
        <v>0.1017725</v>
      </c>
      <c r="R6553">
        <v>0.97029829999999995</v>
      </c>
      <c r="S6553">
        <v>0.64552310000000002</v>
      </c>
      <c r="T6553">
        <v>-0.31000699999999998</v>
      </c>
      <c r="U6553">
        <v>2.9794010000000002</v>
      </c>
      <c r="V6553">
        <v>-0.24990129999999999</v>
      </c>
      <c r="W6553">
        <v>0.1081425</v>
      </c>
      <c r="X6553">
        <v>0.96221330000000005</v>
      </c>
      <c r="Y6553">
        <v>-0.25808019999999998</v>
      </c>
      <c r="Z6553">
        <v>-8.4013399999999905E-2</v>
      </c>
      <c r="AA6553">
        <v>0.96246370000000003</v>
      </c>
      <c r="AB6553">
        <v>30</v>
      </c>
      <c r="AC6553">
        <v>2.2004000000000001</v>
      </c>
      <c r="AD6553">
        <v>-1.1195774465746</v>
      </c>
      <c r="AE6553">
        <v>10.487539999999999</v>
      </c>
      <c r="AF6553">
        <v>-2.7943052167482598</v>
      </c>
      <c r="AG6553">
        <v>-1.1195774465746</v>
      </c>
      <c r="AH6553">
        <v>10.225246407412101</v>
      </c>
      <c r="AI6553">
        <v>96.029154453061693</v>
      </c>
      <c r="AJ6553">
        <v>105.28432970775501</v>
      </c>
      <c r="AK6553">
        <v>10.6591397117928</v>
      </c>
      <c r="AL6553">
        <v>83.791749790053601</v>
      </c>
      <c r="AM6553">
        <v>104.558923864519</v>
      </c>
      <c r="AN6553">
        <v>0.99999994737241304</v>
      </c>
    </row>
    <row r="6554" spans="1:40" x14ac:dyDescent="0.25">
      <c r="A6554" t="str">
        <f>"20190312164152939"</f>
        <v>20190312164152939</v>
      </c>
      <c r="B6554" t="str">
        <f>"1552380112932821"</f>
        <v>1552380112932821</v>
      </c>
      <c r="C6554" t="s">
        <v>40</v>
      </c>
      <c r="D6554">
        <v>6.1066440000000002</v>
      </c>
      <c r="E6554">
        <v>0.4994054</v>
      </c>
      <c r="F6554" t="s">
        <v>41</v>
      </c>
      <c r="G6554">
        <v>-189.9025</v>
      </c>
      <c r="H6554" s="1">
        <v>-7.1118809999999999E-7</v>
      </c>
      <c r="I6554">
        <v>-38.74973</v>
      </c>
      <c r="J6554">
        <v>-192.08680000000001</v>
      </c>
      <c r="K6554">
        <v>1.1193229999999901</v>
      </c>
      <c r="L6554">
        <v>-49.590879999999999</v>
      </c>
      <c r="M6554">
        <v>0.44526650000000001</v>
      </c>
      <c r="N6554">
        <v>0</v>
      </c>
      <c r="O6554">
        <v>0.8953101</v>
      </c>
      <c r="P6554">
        <v>0.21590429999999999</v>
      </c>
      <c r="Q6554">
        <v>0.1015467</v>
      </c>
      <c r="R6554">
        <v>0.97111979999999998</v>
      </c>
      <c r="S6554">
        <v>0.62046809999999997</v>
      </c>
      <c r="T6554">
        <v>-0.300423</v>
      </c>
      <c r="U6554">
        <v>2.9830019999999999</v>
      </c>
      <c r="V6554">
        <v>-0.24174399999999999</v>
      </c>
      <c r="W6554">
        <v>0.10797850000000001</v>
      </c>
      <c r="X6554">
        <v>0.96431350000000005</v>
      </c>
      <c r="Y6554">
        <v>-0.2543647</v>
      </c>
      <c r="Z6554">
        <v>-8.2240069999999998E-2</v>
      </c>
      <c r="AA6554">
        <v>0.9636053</v>
      </c>
      <c r="AB6554">
        <v>30</v>
      </c>
      <c r="AC6554">
        <v>2.1842999999999999</v>
      </c>
      <c r="AD6554">
        <v>-1.11932371118809</v>
      </c>
      <c r="AE6554">
        <v>10.841150000000001</v>
      </c>
      <c r="AF6554">
        <v>-2.8426802837198299</v>
      </c>
      <c r="AG6554">
        <v>-1.11932371118809</v>
      </c>
      <c r="AH6554">
        <v>10.571333061887399</v>
      </c>
      <c r="AI6554">
        <v>95.838237187065999</v>
      </c>
      <c r="AJ6554">
        <v>105.05106265884901</v>
      </c>
      <c r="AK6554">
        <v>11.0039447231996</v>
      </c>
      <c r="AL6554">
        <v>83.801202110736398</v>
      </c>
      <c r="AM6554">
        <v>104.073459878253</v>
      </c>
      <c r="AN6554">
        <v>1.0000000221402401</v>
      </c>
    </row>
    <row r="6555" spans="1:40" x14ac:dyDescent="0.25">
      <c r="A6555" t="str">
        <f>"20190312164152961"</f>
        <v>20190312164152961</v>
      </c>
      <c r="B6555" t="str">
        <f>"1552380112952342"</f>
        <v>1552380112952342</v>
      </c>
      <c r="C6555" t="s">
        <v>40</v>
      </c>
      <c r="D6555">
        <v>5.8559400000000004</v>
      </c>
      <c r="E6555">
        <v>0.49883159999999999</v>
      </c>
      <c r="F6555" t="s">
        <v>41</v>
      </c>
      <c r="G6555">
        <v>-189.81059999999999</v>
      </c>
      <c r="H6555" s="1">
        <v>-8.8082879999999997E-7</v>
      </c>
      <c r="I6555">
        <v>-38.392310000000002</v>
      </c>
      <c r="J6555">
        <v>-191.96860000000001</v>
      </c>
      <c r="K6555">
        <v>1.119059</v>
      </c>
      <c r="L6555">
        <v>-49.328890000000001</v>
      </c>
      <c r="M6555">
        <v>0.43534499999999998</v>
      </c>
      <c r="N6555">
        <v>0</v>
      </c>
      <c r="O6555">
        <v>0.90018019999999999</v>
      </c>
      <c r="P6555">
        <v>0.21332380000000001</v>
      </c>
      <c r="Q6555">
        <v>0.10394879999999999</v>
      </c>
      <c r="R6555">
        <v>0.97143579999999996</v>
      </c>
      <c r="S6555">
        <v>0.60684199999999999</v>
      </c>
      <c r="T6555">
        <v>-0.29840840000000002</v>
      </c>
      <c r="U6555">
        <v>2.9855040000000002</v>
      </c>
      <c r="V6555">
        <v>-0.23350580000000001</v>
      </c>
      <c r="W6555">
        <v>0.1104465</v>
      </c>
      <c r="X6555">
        <v>0.96606239999999999</v>
      </c>
      <c r="Y6555">
        <v>-0.2480513</v>
      </c>
      <c r="Z6555">
        <v>-8.2440289999999999E-2</v>
      </c>
      <c r="AA6555">
        <v>0.96523270000000005</v>
      </c>
      <c r="AB6555">
        <v>30</v>
      </c>
      <c r="AC6555">
        <v>2.1580000000000101</v>
      </c>
      <c r="AD6555">
        <v>-1.1190598808287999</v>
      </c>
      <c r="AE6555">
        <v>10.936579999999999</v>
      </c>
      <c r="AF6555">
        <v>-2.7906851581866698</v>
      </c>
      <c r="AG6555">
        <v>-1.1190598808287999</v>
      </c>
      <c r="AH6555">
        <v>10.677574174117</v>
      </c>
      <c r="AI6555">
        <v>95.789927509986995</v>
      </c>
      <c r="AJ6555">
        <v>104.64715197770801</v>
      </c>
      <c r="AK6555">
        <v>11.0928269125942</v>
      </c>
      <c r="AL6555">
        <v>83.658944867607801</v>
      </c>
      <c r="AM6555">
        <v>103.588272968461</v>
      </c>
      <c r="AN6555">
        <v>0.99999997434482402</v>
      </c>
    </row>
    <row r="6556" spans="1:40" x14ac:dyDescent="0.25">
      <c r="A6556" t="str">
        <f>"20190312164152984"</f>
        <v>20190312164152984</v>
      </c>
      <c r="B6556" t="str">
        <f>"1552380112972837"</f>
        <v>1552380112972837</v>
      </c>
      <c r="C6556" t="s">
        <v>40</v>
      </c>
      <c r="D6556">
        <v>5.9131619999999998</v>
      </c>
      <c r="E6556">
        <v>0.49836609999999998</v>
      </c>
      <c r="F6556" t="s">
        <v>41</v>
      </c>
      <c r="G6556">
        <v>-189.63069999999999</v>
      </c>
      <c r="H6556" s="1">
        <v>-1.240708E-6</v>
      </c>
      <c r="I6556">
        <v>-37.627780000000001</v>
      </c>
      <c r="J6556">
        <v>-191.84370000000001</v>
      </c>
      <c r="K6556">
        <v>1.118787</v>
      </c>
      <c r="L6556">
        <v>-49.044280000000001</v>
      </c>
      <c r="M6556">
        <v>0.42486649999999998</v>
      </c>
      <c r="N6556">
        <v>0</v>
      </c>
      <c r="O6556">
        <v>0.90517709999999996</v>
      </c>
      <c r="P6556">
        <v>0.21043819999999999</v>
      </c>
      <c r="Q6556">
        <v>0.1056131</v>
      </c>
      <c r="R6556">
        <v>0.97188560000000002</v>
      </c>
      <c r="S6556">
        <v>0.59693909999999994</v>
      </c>
      <c r="T6556">
        <v>-0.28573520000000002</v>
      </c>
      <c r="U6556">
        <v>2.9877009999999999</v>
      </c>
      <c r="V6556">
        <v>-0.2250289</v>
      </c>
      <c r="W6556">
        <v>0.1121653</v>
      </c>
      <c r="X6556">
        <v>0.96787449999999997</v>
      </c>
      <c r="Y6556">
        <v>-0.2399607</v>
      </c>
      <c r="Z6556">
        <v>-7.9719590000000007E-2</v>
      </c>
      <c r="AA6556">
        <v>0.96750380000000002</v>
      </c>
      <c r="AB6556">
        <v>30</v>
      </c>
      <c r="AC6556">
        <v>2.2130000000000201</v>
      </c>
      <c r="AD6556">
        <v>-1.1187882407080001</v>
      </c>
      <c r="AE6556">
        <v>11.416499999999999</v>
      </c>
      <c r="AF6556">
        <v>-2.8214206118890899</v>
      </c>
      <c r="AG6556">
        <v>-1.1187882407080001</v>
      </c>
      <c r="AH6556">
        <v>11.171588272291901</v>
      </c>
      <c r="AI6556">
        <v>95.5458711701597</v>
      </c>
      <c r="AJ6556">
        <v>104.173844151615</v>
      </c>
      <c r="AK6556">
        <v>11.576548964279</v>
      </c>
      <c r="AL6556">
        <v>83.559849620018099</v>
      </c>
      <c r="AM6556">
        <v>103.088624889092</v>
      </c>
      <c r="AN6556">
        <v>1.00000005405477</v>
      </c>
    </row>
    <row r="6557" spans="1:40" x14ac:dyDescent="0.25">
      <c r="A6557" t="str">
        <f>"20190312164153005"</f>
        <v>20190312164153005</v>
      </c>
      <c r="B6557" t="str">
        <f>"1552380112992358"</f>
        <v>1552380112992358</v>
      </c>
      <c r="C6557" t="s">
        <v>40</v>
      </c>
      <c r="D6557">
        <v>5.7319969999999998</v>
      </c>
      <c r="E6557">
        <v>0.49796049999999997</v>
      </c>
      <c r="F6557" t="s">
        <v>41</v>
      </c>
      <c r="G6557">
        <v>-189.4829</v>
      </c>
      <c r="H6557" s="1">
        <v>-1.540903E-6</v>
      </c>
      <c r="I6557">
        <v>-36.989150000000002</v>
      </c>
      <c r="J6557">
        <v>-191.7336</v>
      </c>
      <c r="K6557">
        <v>1.1185350000000001</v>
      </c>
      <c r="L6557">
        <v>-48.786769999999997</v>
      </c>
      <c r="M6557">
        <v>0.41567349999999997</v>
      </c>
      <c r="N6557">
        <v>0</v>
      </c>
      <c r="O6557">
        <v>0.90943890000000005</v>
      </c>
      <c r="P6557">
        <v>0.20845910000000001</v>
      </c>
      <c r="Q6557">
        <v>0.10527309999999999</v>
      </c>
      <c r="R6557">
        <v>0.97234889999999996</v>
      </c>
      <c r="S6557">
        <v>0.58557130000000002</v>
      </c>
      <c r="T6557">
        <v>-0.2775031</v>
      </c>
      <c r="U6557">
        <v>2.9901430000000002</v>
      </c>
      <c r="V6557">
        <v>-0.2171158</v>
      </c>
      <c r="W6557">
        <v>0.11187950000000001</v>
      </c>
      <c r="X6557">
        <v>0.96971320000000005</v>
      </c>
      <c r="Y6557">
        <v>-0.23378090000000001</v>
      </c>
      <c r="Z6557">
        <v>-7.8044569999999994E-2</v>
      </c>
      <c r="AA6557">
        <v>0.96915200000000001</v>
      </c>
      <c r="AB6557">
        <v>30</v>
      </c>
      <c r="AC6557">
        <v>2.2506999999999899</v>
      </c>
      <c r="AD6557">
        <v>-1.1185365409029999</v>
      </c>
      <c r="AE6557">
        <v>11.79762</v>
      </c>
      <c r="AF6557">
        <v>-2.83270974093743</v>
      </c>
      <c r="AG6557">
        <v>-1.1185365409029999</v>
      </c>
      <c r="AH6557">
        <v>11.565257347241101</v>
      </c>
      <c r="AI6557">
        <v>95.366530454152198</v>
      </c>
      <c r="AJ6557">
        <v>103.76266312595899</v>
      </c>
      <c r="AK6557">
        <v>11.9595378663915</v>
      </c>
      <c r="AL6557">
        <v>83.576328073845801</v>
      </c>
      <c r="AM6557">
        <v>102.62021295899299</v>
      </c>
      <c r="AN6557">
        <v>0.99999999169206499</v>
      </c>
    </row>
    <row r="6558" spans="1:40" x14ac:dyDescent="0.25">
      <c r="A6558" t="str">
        <f>"20190312164153027"</f>
        <v>20190312164153027</v>
      </c>
      <c r="B6558" t="str">
        <f>"1552380113022614"</f>
        <v>1552380113022614</v>
      </c>
      <c r="C6558" t="s">
        <v>40</v>
      </c>
      <c r="D6558">
        <v>5.7902769999999997</v>
      </c>
      <c r="E6558">
        <v>0.49738850000000001</v>
      </c>
      <c r="F6558" t="s">
        <v>41</v>
      </c>
      <c r="G6558">
        <v>-189.40110000000001</v>
      </c>
      <c r="H6558" s="1">
        <v>-1.6938429999999999E-6</v>
      </c>
      <c r="I6558">
        <v>-36.666460000000001</v>
      </c>
      <c r="J6558">
        <v>-191.6189</v>
      </c>
      <c r="K6558">
        <v>1.1182430000000001</v>
      </c>
      <c r="L6558">
        <v>-48.511290000000002</v>
      </c>
      <c r="M6558">
        <v>0.40619519999999998</v>
      </c>
      <c r="N6558">
        <v>0</v>
      </c>
      <c r="O6558">
        <v>0.91371539999999996</v>
      </c>
      <c r="P6558">
        <v>0.20483399999999999</v>
      </c>
      <c r="Q6558">
        <v>0.1037812</v>
      </c>
      <c r="R6558">
        <v>0.97327920000000001</v>
      </c>
      <c r="S6558">
        <v>0.57575989999999999</v>
      </c>
      <c r="T6558">
        <v>-0.27610079999999998</v>
      </c>
      <c r="U6558">
        <v>2.9917910000000001</v>
      </c>
      <c r="V6558">
        <v>-0.21059069999999999</v>
      </c>
      <c r="W6558">
        <v>0.1103944</v>
      </c>
      <c r="X6558">
        <v>0.97132110000000005</v>
      </c>
      <c r="Y6558">
        <v>-0.22682930000000001</v>
      </c>
      <c r="Z6558">
        <v>-7.8278609999999998E-2</v>
      </c>
      <c r="AA6558">
        <v>0.97078370000000003</v>
      </c>
      <c r="AB6558">
        <v>30</v>
      </c>
      <c r="AC6558">
        <v>2.21779999999998</v>
      </c>
      <c r="AD6558">
        <v>-1.118244693843</v>
      </c>
      <c r="AE6558">
        <v>11.84483</v>
      </c>
      <c r="AF6558">
        <v>-2.7612783472827198</v>
      </c>
      <c r="AG6558">
        <v>-1.118244693843</v>
      </c>
      <c r="AH6558">
        <v>11.624326663989599</v>
      </c>
      <c r="AI6558">
        <v>95.346981101058702</v>
      </c>
      <c r="AJ6558">
        <v>103.362554877408</v>
      </c>
      <c r="AK6558">
        <v>12.000004154066801</v>
      </c>
      <c r="AL6558">
        <v>83.661948653114493</v>
      </c>
      <c r="AM6558">
        <v>102.232886163609</v>
      </c>
      <c r="AN6558">
        <v>1.00000002289152</v>
      </c>
    </row>
    <row r="6559" spans="1:40" x14ac:dyDescent="0.25">
      <c r="A6559" t="str">
        <f>"20190312164153050"</f>
        <v>20190312164153050</v>
      </c>
      <c r="B6559" t="str">
        <f>"1552380113042134"</f>
        <v>1552380113042134</v>
      </c>
      <c r="C6559" t="s">
        <v>40</v>
      </c>
      <c r="D6559">
        <v>5.7239979999999999</v>
      </c>
      <c r="E6559">
        <v>0.4971525</v>
      </c>
      <c r="F6559" t="s">
        <v>41</v>
      </c>
      <c r="G6559">
        <v>-189.36879999999999</v>
      </c>
      <c r="H6559" s="1">
        <v>-1.7852709999999999E-6</v>
      </c>
      <c r="I6559">
        <v>-36.466679999999997</v>
      </c>
      <c r="J6559">
        <v>-191.4975</v>
      </c>
      <c r="K6559">
        <v>1.117885</v>
      </c>
      <c r="L6559">
        <v>-48.212490000000003</v>
      </c>
      <c r="M6559">
        <v>0.39637109999999998</v>
      </c>
      <c r="N6559">
        <v>0</v>
      </c>
      <c r="O6559">
        <v>0.91802379999999995</v>
      </c>
      <c r="P6559">
        <v>0.20019010000000001</v>
      </c>
      <c r="Q6559">
        <v>0.10354969999999999</v>
      </c>
      <c r="R6559">
        <v>0.97426970000000002</v>
      </c>
      <c r="S6559">
        <v>0.55935669999999904</v>
      </c>
      <c r="T6559">
        <v>-0.27799610000000002</v>
      </c>
      <c r="U6559">
        <v>2.9942929999999999</v>
      </c>
      <c r="V6559">
        <v>-0.20470679999999999</v>
      </c>
      <c r="W6559">
        <v>0.1101385</v>
      </c>
      <c r="X6559">
        <v>0.97260709999999995</v>
      </c>
      <c r="Y6559">
        <v>-0.22167690000000001</v>
      </c>
      <c r="Z6559">
        <v>-7.9416600000000004E-2</v>
      </c>
      <c r="AA6559">
        <v>0.97188090000000005</v>
      </c>
      <c r="AB6559">
        <v>30</v>
      </c>
      <c r="AC6559">
        <v>2.1286999999999998</v>
      </c>
      <c r="AD6559">
        <v>-1.1178867852709999</v>
      </c>
      <c r="AE6559">
        <v>11.745810000000001</v>
      </c>
      <c r="AF6559">
        <v>-2.6781801386338699</v>
      </c>
      <c r="AG6559">
        <v>-1.1178867852709999</v>
      </c>
      <c r="AH6559">
        <v>11.5263144088442</v>
      </c>
      <c r="AI6559">
        <v>95.396661194325702</v>
      </c>
      <c r="AJ6559">
        <v>103.08077220576099</v>
      </c>
      <c r="AK6559">
        <v>11.8860524805835</v>
      </c>
      <c r="AL6559">
        <v>83.676700244754997</v>
      </c>
      <c r="AM6559">
        <v>101.885691469587</v>
      </c>
      <c r="AN6559">
        <v>0.99999996705944905</v>
      </c>
    </row>
    <row r="6560" spans="1:40" x14ac:dyDescent="0.25">
      <c r="A6560" t="str">
        <f>"20190312164153072"</f>
        <v>20190312164153072</v>
      </c>
      <c r="B6560" t="str">
        <f>"1552380113062633"</f>
        <v>1552380113062633</v>
      </c>
      <c r="C6560" t="s">
        <v>40</v>
      </c>
      <c r="D6560">
        <v>6.5550519999999999</v>
      </c>
      <c r="E6560">
        <v>0.4970234</v>
      </c>
      <c r="F6560" t="s">
        <v>41</v>
      </c>
      <c r="G6560">
        <v>-189.30930000000001</v>
      </c>
      <c r="H6560" s="1">
        <v>-1.9218660000000001E-6</v>
      </c>
      <c r="I6560">
        <v>-36.172890000000002</v>
      </c>
      <c r="J6560">
        <v>-191.3897</v>
      </c>
      <c r="K6560">
        <v>1.1175299999999999</v>
      </c>
      <c r="L6560">
        <v>-47.940159999999999</v>
      </c>
      <c r="M6560">
        <v>0.38786399999999999</v>
      </c>
      <c r="N6560">
        <v>0</v>
      </c>
      <c r="O6560">
        <v>0.92165390000000003</v>
      </c>
      <c r="P6560">
        <v>0.19786210000000001</v>
      </c>
      <c r="Q6560">
        <v>0.10503750000000001</v>
      </c>
      <c r="R6560">
        <v>0.97458599999999995</v>
      </c>
      <c r="S6560">
        <v>0.54469299999999998</v>
      </c>
      <c r="T6560">
        <v>-0.27826329999999999</v>
      </c>
      <c r="U6560">
        <v>2.9968870000000001</v>
      </c>
      <c r="V6560">
        <v>-0.1978975</v>
      </c>
      <c r="W6560">
        <v>0.1116393</v>
      </c>
      <c r="X6560">
        <v>0.97384459999999995</v>
      </c>
      <c r="Y6560">
        <v>-0.21741279999999999</v>
      </c>
      <c r="Z6560">
        <v>-7.9989260000000006E-2</v>
      </c>
      <c r="AA6560">
        <v>0.97279669999999896</v>
      </c>
      <c r="AB6560">
        <v>31</v>
      </c>
      <c r="AC6560">
        <v>2.0803999999999898</v>
      </c>
      <c r="AD6560">
        <v>-1.11753192186599</v>
      </c>
      <c r="AE6560">
        <v>11.7672699999999</v>
      </c>
      <c r="AF6560">
        <v>-2.6238964512206699</v>
      </c>
      <c r="AG6560">
        <v>-1.11753192186599</v>
      </c>
      <c r="AH6560">
        <v>11.551904999796299</v>
      </c>
      <c r="AI6560">
        <v>95.3891694496578</v>
      </c>
      <c r="AJ6560">
        <v>102.797019327025</v>
      </c>
      <c r="AK6560">
        <v>11.898748644602801</v>
      </c>
      <c r="AL6560">
        <v>83.590177524021101</v>
      </c>
      <c r="AM6560">
        <v>101.48681188750101</v>
      </c>
      <c r="AN6560">
        <v>1.00000002937994</v>
      </c>
    </row>
    <row r="6561" spans="1:40" x14ac:dyDescent="0.25">
      <c r="A6561" t="str">
        <f>"20190312164153094"</f>
        <v>20190312164153094</v>
      </c>
      <c r="B6561" t="str">
        <f>"1552380113082150"</f>
        <v>1552380113082150</v>
      </c>
      <c r="C6561" t="s">
        <v>40</v>
      </c>
      <c r="D6561">
        <v>5.7951169999999896</v>
      </c>
      <c r="E6561">
        <v>0.49674079999999898</v>
      </c>
      <c r="F6561" t="s">
        <v>41</v>
      </c>
      <c r="G6561">
        <v>-189.19159999999999</v>
      </c>
      <c r="H6561" s="1">
        <v>-2.1519140000000001E-6</v>
      </c>
      <c r="I6561">
        <v>-35.685319999999997</v>
      </c>
      <c r="J6561">
        <v>-191.27979999999999</v>
      </c>
      <c r="K6561">
        <v>1.11714</v>
      </c>
      <c r="L6561">
        <v>-47.65643</v>
      </c>
      <c r="M6561">
        <v>0.37948009999999999</v>
      </c>
      <c r="N6561">
        <v>0</v>
      </c>
      <c r="O6561">
        <v>0.92514099999999999</v>
      </c>
      <c r="P6561">
        <v>0.19566410000000001</v>
      </c>
      <c r="Q6561">
        <v>0.1062425</v>
      </c>
      <c r="R6561">
        <v>0.97489899999999996</v>
      </c>
      <c r="S6561">
        <v>0.53782649999999999</v>
      </c>
      <c r="T6561">
        <v>-0.27343689999999998</v>
      </c>
      <c r="U6561">
        <v>2.9985050000000002</v>
      </c>
      <c r="V6561">
        <v>-0.1911052</v>
      </c>
      <c r="W6561">
        <v>0.1128585</v>
      </c>
      <c r="X6561">
        <v>0.97505989999999998</v>
      </c>
      <c r="Y6561">
        <v>-0.21077940000000001</v>
      </c>
      <c r="Z6561">
        <v>-7.9112749999999996E-2</v>
      </c>
      <c r="AA6561">
        <v>0.97432700000000005</v>
      </c>
      <c r="AB6561">
        <v>31</v>
      </c>
      <c r="AC6561">
        <v>2.0882000000000001</v>
      </c>
      <c r="AD6561">
        <v>-1.1171421519139999</v>
      </c>
      <c r="AE6561">
        <v>11.9711099999999</v>
      </c>
      <c r="AF6561">
        <v>-2.5891786011448099</v>
      </c>
      <c r="AG6561">
        <v>-1.1171421519139999</v>
      </c>
      <c r="AH6561">
        <v>11.7685803886259</v>
      </c>
      <c r="AI6561">
        <v>95.296672917112204</v>
      </c>
      <c r="AJ6561">
        <v>102.407840718887</v>
      </c>
      <c r="AK6561">
        <v>12.1017080108453</v>
      </c>
      <c r="AL6561">
        <v>83.519878186140105</v>
      </c>
      <c r="AM6561">
        <v>101.08902543088</v>
      </c>
      <c r="AN6561">
        <v>1.0000000235386399</v>
      </c>
    </row>
    <row r="6562" spans="1:40" x14ac:dyDescent="0.25">
      <c r="A6562" t="str">
        <f>"20190312164153116"</f>
        <v>20190312164153116</v>
      </c>
      <c r="B6562" t="str">
        <f>"1552380113112406"</f>
        <v>1552380113112406</v>
      </c>
      <c r="C6562" t="s">
        <v>40</v>
      </c>
      <c r="D6562">
        <v>5.7964729999999998</v>
      </c>
      <c r="E6562">
        <v>0.49639539999999999</v>
      </c>
      <c r="F6562" t="s">
        <v>41</v>
      </c>
      <c r="G6562">
        <v>-189.08609999999999</v>
      </c>
      <c r="H6562" s="1">
        <v>-2.3747630000000002E-6</v>
      </c>
      <c r="I6562">
        <v>-35.209470000000003</v>
      </c>
      <c r="J6562">
        <v>-191.17750000000001</v>
      </c>
      <c r="K6562">
        <v>1.1167480000000001</v>
      </c>
      <c r="L6562">
        <v>-47.386749999999999</v>
      </c>
      <c r="M6562">
        <v>0.37199189999999999</v>
      </c>
      <c r="N6562">
        <v>0</v>
      </c>
      <c r="O6562">
        <v>0.92818040000000002</v>
      </c>
      <c r="P6562">
        <v>0.19437209999999999</v>
      </c>
      <c r="Q6562">
        <v>0.10627639999999999</v>
      </c>
      <c r="R6562">
        <v>0.97515370000000001</v>
      </c>
      <c r="S6562">
        <v>0.52880859999999996</v>
      </c>
      <c r="T6562">
        <v>-0.26929760000000003</v>
      </c>
      <c r="U6562">
        <v>3.0004580000000001</v>
      </c>
      <c r="V6562">
        <v>-0.18439720000000001</v>
      </c>
      <c r="W6562">
        <v>0.1129172</v>
      </c>
      <c r="X6562">
        <v>0.97634390000000004</v>
      </c>
      <c r="Y6562">
        <v>-0.20581269999999999</v>
      </c>
      <c r="Z6562">
        <v>-7.8336409999999995E-2</v>
      </c>
      <c r="AA6562">
        <v>0.97545090000000001</v>
      </c>
      <c r="AB6562">
        <v>31</v>
      </c>
      <c r="AC6562">
        <v>2.0914000000000201</v>
      </c>
      <c r="AD6562">
        <v>-1.1167503747630001</v>
      </c>
      <c r="AE6562">
        <v>12.1772799999999</v>
      </c>
      <c r="AF6562">
        <v>-2.5678092909118799</v>
      </c>
      <c r="AG6562">
        <v>-1.1167503747630001</v>
      </c>
      <c r="AH6562">
        <v>11.9834231314319</v>
      </c>
      <c r="AI6562">
        <v>95.206570070783002</v>
      </c>
      <c r="AJ6562">
        <v>102.09445036506899</v>
      </c>
      <c r="AK6562">
        <v>12.306226306263101</v>
      </c>
      <c r="AL6562">
        <v>83.516493239304197</v>
      </c>
      <c r="AM6562">
        <v>100.695189678639</v>
      </c>
      <c r="AN6562">
        <v>1.0000000162454401</v>
      </c>
    </row>
    <row r="6563" spans="1:40" x14ac:dyDescent="0.25">
      <c r="A6563" t="str">
        <f>"20190312164153140"</f>
        <v>20190312164153140</v>
      </c>
      <c r="B6563" t="str">
        <f>"1552380113132901"</f>
        <v>1552380113132901</v>
      </c>
      <c r="C6563" t="s">
        <v>40</v>
      </c>
      <c r="D6563">
        <v>5.7867749999999996</v>
      </c>
      <c r="E6563">
        <v>0.49619010000000002</v>
      </c>
      <c r="F6563" t="s">
        <v>41</v>
      </c>
      <c r="G6563">
        <v>-189.0016</v>
      </c>
      <c r="H6563" s="1">
        <v>-2.5311799999999999E-6</v>
      </c>
      <c r="I6563">
        <v>-34.879800000000003</v>
      </c>
      <c r="J6563">
        <v>-191.06389999999999</v>
      </c>
      <c r="K6563">
        <v>1.116306</v>
      </c>
      <c r="L6563">
        <v>-47.080689999999997</v>
      </c>
      <c r="M6563">
        <v>0.36407240000000002</v>
      </c>
      <c r="N6563">
        <v>0</v>
      </c>
      <c r="O6563">
        <v>0.93131870000000005</v>
      </c>
      <c r="P6563">
        <v>0.19155900000000001</v>
      </c>
      <c r="Q6563">
        <v>0.1067573</v>
      </c>
      <c r="R6563">
        <v>0.97565780000000002</v>
      </c>
      <c r="S6563">
        <v>0.52220149999999999</v>
      </c>
      <c r="T6563">
        <v>-0.26801000000000003</v>
      </c>
      <c r="U6563">
        <v>3.0015559999999999</v>
      </c>
      <c r="V6563">
        <v>-0.17875089999999999</v>
      </c>
      <c r="W6563">
        <v>0.11338479999999999</v>
      </c>
      <c r="X6563">
        <v>0.97733930000000002</v>
      </c>
      <c r="Y6563">
        <v>-0.19961599999999999</v>
      </c>
      <c r="Z6563">
        <v>-7.8414460000000005E-2</v>
      </c>
      <c r="AA6563">
        <v>0.97673160000000003</v>
      </c>
      <c r="AB6563">
        <v>31</v>
      </c>
      <c r="AC6563">
        <v>2.0622999999999898</v>
      </c>
      <c r="AD6563">
        <v>-1.1163085311799901</v>
      </c>
      <c r="AE6563">
        <v>12.200889999999999</v>
      </c>
      <c r="AF6563">
        <v>-2.5011150982876602</v>
      </c>
      <c r="AG6563">
        <v>-1.1163085311799901</v>
      </c>
      <c r="AH6563">
        <v>12.0165315615168</v>
      </c>
      <c r="AI6563">
        <v>95.196672848366802</v>
      </c>
      <c r="AJ6563">
        <v>101.75764570026099</v>
      </c>
      <c r="AK6563">
        <v>12.324721183077401</v>
      </c>
      <c r="AL6563">
        <v>83.489528795761899</v>
      </c>
      <c r="AM6563">
        <v>100.364582279595</v>
      </c>
      <c r="AN6563">
        <v>1.00000005222316</v>
      </c>
    </row>
    <row r="6564" spans="1:40" x14ac:dyDescent="0.25">
      <c r="A6564" t="str">
        <f>"20190312164153165"</f>
        <v>20190312164153165</v>
      </c>
      <c r="B6564" t="str">
        <f>"1552380113152422"</f>
        <v>1552380113152422</v>
      </c>
      <c r="C6564" t="s">
        <v>40</v>
      </c>
      <c r="D6564">
        <v>5.7062489999999997</v>
      </c>
      <c r="E6564">
        <v>0.49601859999999998</v>
      </c>
      <c r="F6564" t="s">
        <v>41</v>
      </c>
      <c r="G6564">
        <v>-188.91589999999999</v>
      </c>
      <c r="H6564" s="1">
        <v>-2.7154639999999999E-6</v>
      </c>
      <c r="I6564">
        <v>-34.485660000000003</v>
      </c>
      <c r="J6564">
        <v>-190.94909999999999</v>
      </c>
      <c r="K6564">
        <v>1.115874</v>
      </c>
      <c r="L6564">
        <v>-46.765050000000002</v>
      </c>
      <c r="M6564">
        <v>0.35651250000000001</v>
      </c>
      <c r="N6564">
        <v>0</v>
      </c>
      <c r="O6564">
        <v>0.93424200000000002</v>
      </c>
      <c r="P6564">
        <v>0.18938759999999999</v>
      </c>
      <c r="Q6564">
        <v>0.10791580000000001</v>
      </c>
      <c r="R6564">
        <v>0.97595419999999999</v>
      </c>
      <c r="S6564">
        <v>0.51220699999999997</v>
      </c>
      <c r="T6564">
        <v>-0.26619579999999998</v>
      </c>
      <c r="U6564">
        <v>3.0034179999999999</v>
      </c>
      <c r="V6564">
        <v>-0.1728479</v>
      </c>
      <c r="W6564">
        <v>0.11452270000000001</v>
      </c>
      <c r="X6564">
        <v>0.97826800000000003</v>
      </c>
      <c r="Y6564">
        <v>-0.19492660000000001</v>
      </c>
      <c r="Z6564">
        <v>-7.8278909999999993E-2</v>
      </c>
      <c r="AA6564">
        <v>0.97768909999999998</v>
      </c>
      <c r="AB6564">
        <v>31</v>
      </c>
      <c r="AC6564">
        <v>2.0331999999999901</v>
      </c>
      <c r="AD6564">
        <v>-1.1158767154639999</v>
      </c>
      <c r="AE6564">
        <v>12.279389999999999</v>
      </c>
      <c r="AF6564">
        <v>-2.4586060498349398</v>
      </c>
      <c r="AG6564">
        <v>-1.1158767154639999</v>
      </c>
      <c r="AH6564">
        <v>12.100079431755001</v>
      </c>
      <c r="AI6564">
        <v>95.164014397291993</v>
      </c>
      <c r="AJ6564">
        <v>101.48552662762199</v>
      </c>
      <c r="AK6564">
        <v>12.3976548914373</v>
      </c>
      <c r="AL6564">
        <v>83.423904523149801</v>
      </c>
      <c r="AM6564">
        <v>100.020041947754</v>
      </c>
      <c r="AN6564">
        <v>1.0000000625868399</v>
      </c>
    </row>
    <row r="6565" spans="1:40" x14ac:dyDescent="0.25">
      <c r="A6565" t="str">
        <f>"20190312164153185"</f>
        <v>20190312164153185</v>
      </c>
      <c r="B6565" t="str">
        <f>"1552380113182678"</f>
        <v>1552380113182678</v>
      </c>
      <c r="C6565" t="s">
        <v>40</v>
      </c>
      <c r="D6565">
        <v>5.7236549999999999</v>
      </c>
      <c r="E6565">
        <v>0.47724040000000001</v>
      </c>
      <c r="F6565" t="s">
        <v>41</v>
      </c>
      <c r="G6565">
        <v>-188.8047</v>
      </c>
      <c r="H6565" s="1">
        <v>-2.9412349999999998E-6</v>
      </c>
      <c r="I6565">
        <v>-34.005380000000002</v>
      </c>
      <c r="J6565">
        <v>-190.85310000000001</v>
      </c>
      <c r="K6565">
        <v>1.1155660000000001</v>
      </c>
      <c r="L6565">
        <v>-46.496119999999998</v>
      </c>
      <c r="M6565">
        <v>0.35043340000000001</v>
      </c>
      <c r="N6565">
        <v>0</v>
      </c>
      <c r="O6565">
        <v>0.93654159999999997</v>
      </c>
      <c r="P6565">
        <v>0.18864420000000001</v>
      </c>
      <c r="Q6565">
        <v>0.109500399999999</v>
      </c>
      <c r="R6565">
        <v>0.97592159999999994</v>
      </c>
      <c r="S6565">
        <v>0.50503540000000002</v>
      </c>
      <c r="T6565">
        <v>-0.26279530000000001</v>
      </c>
      <c r="U6565">
        <v>3.0049739999999998</v>
      </c>
      <c r="V6565">
        <v>-0.16710050000000001</v>
      </c>
      <c r="W6565">
        <v>0.1160877</v>
      </c>
      <c r="X6565">
        <v>0.97908170000000005</v>
      </c>
      <c r="Y6565">
        <v>-0.19089159999999999</v>
      </c>
      <c r="Z6565">
        <v>-7.7588450000000003E-2</v>
      </c>
      <c r="AA6565">
        <v>0.97853990000000002</v>
      </c>
      <c r="AB6565">
        <v>31</v>
      </c>
      <c r="AC6565">
        <v>2.0484000000000102</v>
      </c>
      <c r="AD6565">
        <v>-1.1155689412350001</v>
      </c>
      <c r="AE6565">
        <v>12.490739999999899</v>
      </c>
      <c r="AF6565">
        <v>-2.4399142747656901</v>
      </c>
      <c r="AG6565">
        <v>-1.1155689412350001</v>
      </c>
      <c r="AH6565">
        <v>12.3207573434964</v>
      </c>
      <c r="AI6565">
        <v>95.0756350108703</v>
      </c>
      <c r="AJ6565">
        <v>101.201515311934</v>
      </c>
      <c r="AK6565">
        <v>12.6094701414521</v>
      </c>
      <c r="AL6565">
        <v>83.333633801206005</v>
      </c>
      <c r="AM6565">
        <v>99.685386708196404</v>
      </c>
      <c r="AN6565">
        <v>0.999999953233213</v>
      </c>
    </row>
    <row r="6566" spans="1:40" x14ac:dyDescent="0.25">
      <c r="A6566" t="str">
        <f>"20190312164153205"</f>
        <v>20190312164153205</v>
      </c>
      <c r="B6566" t="str">
        <f>"1552380113202198"</f>
        <v>1552380113202198</v>
      </c>
      <c r="C6566" t="s">
        <v>40</v>
      </c>
      <c r="D6566">
        <v>5.7201849999999999</v>
      </c>
      <c r="E6566">
        <v>0.47357630000000001</v>
      </c>
      <c r="F6566" t="s">
        <v>41</v>
      </c>
      <c r="G6566">
        <v>-189.001</v>
      </c>
      <c r="H6566" s="1">
        <v>-4.2583219999999997E-6</v>
      </c>
      <c r="I6566">
        <v>-30.854019999999998</v>
      </c>
      <c r="J6566">
        <v>-190.7636</v>
      </c>
      <c r="K6566">
        <v>1.115299</v>
      </c>
      <c r="L6566">
        <v>-46.241059999999997</v>
      </c>
      <c r="M6566">
        <v>0.34497060000000002</v>
      </c>
      <c r="N6566">
        <v>0</v>
      </c>
      <c r="O6566">
        <v>0.93856969999999995</v>
      </c>
      <c r="P6566">
        <v>0.18567320000000001</v>
      </c>
      <c r="Q6566">
        <v>0.1105167</v>
      </c>
      <c r="R6566">
        <v>0.97637669999999999</v>
      </c>
      <c r="S6566">
        <v>0.35864259999999998</v>
      </c>
      <c r="T6566">
        <v>-0.21601870000000001</v>
      </c>
      <c r="U6566">
        <v>3.028931</v>
      </c>
      <c r="V6566">
        <v>-0.16427240000000001</v>
      </c>
      <c r="W6566">
        <v>0.117033399999999</v>
      </c>
      <c r="X6566">
        <v>0.97944770000000003</v>
      </c>
      <c r="Y6566">
        <v>-0.23246600000000001</v>
      </c>
      <c r="Z6566">
        <v>-6.3444139999999996E-2</v>
      </c>
      <c r="AA6566">
        <v>0.97053310000000004</v>
      </c>
      <c r="AB6566">
        <v>31</v>
      </c>
      <c r="AC6566">
        <v>1.7626000000000199</v>
      </c>
      <c r="AD6566">
        <v>-1.1153032583219999</v>
      </c>
      <c r="AE6566">
        <v>15.387039999999899</v>
      </c>
      <c r="AF6566">
        <v>-3.6350530680295399</v>
      </c>
      <c r="AG6566">
        <v>-1.1153032583219999</v>
      </c>
      <c r="AH6566">
        <v>14.9728275235481</v>
      </c>
      <c r="AI6566">
        <v>94.140179710994502</v>
      </c>
      <c r="AJ6566">
        <v>103.64606459319999</v>
      </c>
      <c r="AK6566">
        <v>15.4480767804713</v>
      </c>
      <c r="AL6566">
        <v>83.279077732622099</v>
      </c>
      <c r="AM6566">
        <v>99.521000258755194</v>
      </c>
      <c r="AN6566">
        <v>1.0000000175763</v>
      </c>
    </row>
    <row r="6567" spans="1:40" x14ac:dyDescent="0.25">
      <c r="A6567" t="str">
        <f>"20190312164153229"</f>
        <v>20190312164153229</v>
      </c>
      <c r="B6567" t="str">
        <f>"1552380113222693"</f>
        <v>1552380113222693</v>
      </c>
      <c r="C6567" t="s">
        <v>40</v>
      </c>
      <c r="D6567">
        <v>5.6938230000000001</v>
      </c>
      <c r="E6567">
        <v>0.47323270000000001</v>
      </c>
      <c r="F6567" t="s">
        <v>41</v>
      </c>
      <c r="G6567">
        <v>-189.1087</v>
      </c>
      <c r="H6567" s="1">
        <v>-4.3731999999999999E-6</v>
      </c>
      <c r="I6567">
        <v>-30.541709999999998</v>
      </c>
      <c r="J6567">
        <v>-190.65270000000001</v>
      </c>
      <c r="K6567">
        <v>1.1149849999999999</v>
      </c>
      <c r="L6567">
        <v>-45.919649999999997</v>
      </c>
      <c r="M6567">
        <v>0.3384955</v>
      </c>
      <c r="N6567">
        <v>0</v>
      </c>
      <c r="O6567">
        <v>0.94092699999999996</v>
      </c>
      <c r="P6567">
        <v>0.18424460000000001</v>
      </c>
      <c r="Q6567">
        <v>0.1108242</v>
      </c>
      <c r="R6567">
        <v>0.97661240000000005</v>
      </c>
      <c r="S6567">
        <v>0.32003779999999998</v>
      </c>
      <c r="T6567">
        <v>-0.2156912</v>
      </c>
      <c r="U6567">
        <v>3.036133</v>
      </c>
      <c r="V6567">
        <v>-0.15885339999999901</v>
      </c>
      <c r="W6567">
        <v>0.1172716</v>
      </c>
      <c r="X6567">
        <v>0.98031270000000004</v>
      </c>
      <c r="Y6567">
        <v>-0.23821510000000001</v>
      </c>
      <c r="Z6567">
        <v>-6.3437110000000005E-2</v>
      </c>
      <c r="AA6567">
        <v>0.96913839999999996</v>
      </c>
      <c r="AB6567">
        <v>31</v>
      </c>
      <c r="AC6567">
        <v>1.54400000000001</v>
      </c>
      <c r="AD6567">
        <v>-1.1149893732</v>
      </c>
      <c r="AE6567">
        <v>15.377940000000001</v>
      </c>
      <c r="AF6567">
        <v>-3.7332866794564099</v>
      </c>
      <c r="AG6567">
        <v>-1.1149893732</v>
      </c>
      <c r="AH6567">
        <v>14.9151071046882</v>
      </c>
      <c r="AI6567">
        <v>94.147744731018406</v>
      </c>
      <c r="AJ6567">
        <v>104.05254782345</v>
      </c>
      <c r="AK6567">
        <v>15.415610616439301</v>
      </c>
      <c r="AL6567">
        <v>83.2653351974283</v>
      </c>
      <c r="AM6567">
        <v>99.204407418746399</v>
      </c>
      <c r="AN6567">
        <v>1.0000000103197</v>
      </c>
    </row>
    <row r="6568" spans="1:40" x14ac:dyDescent="0.25">
      <c r="A6568" t="str">
        <f>"20190312164153252"</f>
        <v>20190312164153252</v>
      </c>
      <c r="B6568" t="str">
        <f>"1552380113242214"</f>
        <v>1552380113242214</v>
      </c>
      <c r="C6568" t="s">
        <v>40</v>
      </c>
      <c r="D6568">
        <v>5.6469740000000002</v>
      </c>
      <c r="E6568">
        <v>0.47313529999999998</v>
      </c>
      <c r="F6568" t="s">
        <v>41</v>
      </c>
      <c r="G6568">
        <v>-189.0188</v>
      </c>
      <c r="H6568" s="1">
        <v>-3.681334E-7</v>
      </c>
      <c r="I6568">
        <v>-30.037279999999999</v>
      </c>
      <c r="J6568">
        <v>-190.54740000000001</v>
      </c>
      <c r="K6568">
        <v>1.1146929999999999</v>
      </c>
      <c r="L6568">
        <v>-45.60886</v>
      </c>
      <c r="M6568">
        <v>0.33259699999999998</v>
      </c>
      <c r="N6568">
        <v>0</v>
      </c>
      <c r="O6568">
        <v>0.94303049999999999</v>
      </c>
      <c r="P6568">
        <v>0.18276029999999999</v>
      </c>
      <c r="Q6568">
        <v>0.1108119</v>
      </c>
      <c r="R6568">
        <v>0.97689269999999995</v>
      </c>
      <c r="S6568">
        <v>0.31243900000000002</v>
      </c>
      <c r="T6568">
        <v>-0.21321329999999999</v>
      </c>
      <c r="U6568">
        <v>3.0371090000000001</v>
      </c>
      <c r="V6568">
        <v>-0.15411759999999999</v>
      </c>
      <c r="W6568">
        <v>0.117176</v>
      </c>
      <c r="X6568">
        <v>0.98107979999999995</v>
      </c>
      <c r="Y6568">
        <v>-0.23455909999999999</v>
      </c>
      <c r="Z6568">
        <v>-6.2948069999999995E-2</v>
      </c>
      <c r="AA6568">
        <v>0.97006170000000003</v>
      </c>
      <c r="AB6568">
        <v>31</v>
      </c>
      <c r="AC6568">
        <v>1.52860000000001</v>
      </c>
      <c r="AD6568">
        <v>-1.1146933681333999</v>
      </c>
      <c r="AE6568">
        <v>15.5715799999999</v>
      </c>
      <c r="AF6568">
        <v>-3.7188053949547801</v>
      </c>
      <c r="AG6568">
        <v>-1.1146933681333999</v>
      </c>
      <c r="AH6568">
        <v>15.1167098892572</v>
      </c>
      <c r="AI6568">
        <v>94.095632090008607</v>
      </c>
      <c r="AJ6568">
        <v>103.82067820160501</v>
      </c>
      <c r="AK6568">
        <v>15.60727307208</v>
      </c>
      <c r="AL6568">
        <v>83.270850710319095</v>
      </c>
      <c r="AM6568">
        <v>98.927621699939294</v>
      </c>
      <c r="AN6568">
        <v>1.0000000117868999</v>
      </c>
    </row>
    <row r="6569" spans="1:40" x14ac:dyDescent="0.25">
      <c r="A6569" t="str">
        <f>"20190312164153274"</f>
        <v>20190312164153274</v>
      </c>
      <c r="B6569" t="str">
        <f>"1552380113262710"</f>
        <v>1552380113262710</v>
      </c>
      <c r="C6569" t="s">
        <v>40</v>
      </c>
      <c r="D6569">
        <v>5.6553599999999999</v>
      </c>
      <c r="E6569">
        <v>0.4724315</v>
      </c>
      <c r="F6569" t="s">
        <v>41</v>
      </c>
      <c r="G6569">
        <v>-188.93209999999999</v>
      </c>
      <c r="H6569" s="1">
        <v>-5.3690039999999997E-7</v>
      </c>
      <c r="I6569">
        <v>-29.609169999999999</v>
      </c>
      <c r="J6569">
        <v>-190.45429999999999</v>
      </c>
      <c r="K6569">
        <v>1.11443799999999</v>
      </c>
      <c r="L6569">
        <v>-45.329410000000003</v>
      </c>
      <c r="M6569">
        <v>0.32757409999999998</v>
      </c>
      <c r="N6569">
        <v>0</v>
      </c>
      <c r="O6569">
        <v>0.94478899999999999</v>
      </c>
      <c r="P6569">
        <v>0.1817221</v>
      </c>
      <c r="Q6569">
        <v>0.1099292</v>
      </c>
      <c r="R6569">
        <v>0.97718609999999995</v>
      </c>
      <c r="S6569">
        <v>0.30667109999999997</v>
      </c>
      <c r="T6569">
        <v>-0.2116286</v>
      </c>
      <c r="U6569">
        <v>3.037598</v>
      </c>
      <c r="V6569">
        <v>-0.1498845</v>
      </c>
      <c r="W6569">
        <v>0.1162165</v>
      </c>
      <c r="X6569">
        <v>0.98184950000000004</v>
      </c>
      <c r="Y6569">
        <v>-0.23122129999999999</v>
      </c>
      <c r="Z6569">
        <v>-6.2686409999999998E-2</v>
      </c>
      <c r="AA6569">
        <v>0.97087959999999995</v>
      </c>
      <c r="AB6569">
        <v>31</v>
      </c>
      <c r="AC6569">
        <v>1.52219999999999</v>
      </c>
      <c r="AD6569">
        <v>-1.11443853690039</v>
      </c>
      <c r="AE6569">
        <v>15.720239999999899</v>
      </c>
      <c r="AF6569">
        <v>-3.6931256004214599</v>
      </c>
      <c r="AG6569">
        <v>-1.11443853690039</v>
      </c>
      <c r="AH6569">
        <v>15.2754163347062</v>
      </c>
      <c r="AI6569">
        <v>94.056240009279094</v>
      </c>
      <c r="AJ6569">
        <v>103.591543102481</v>
      </c>
      <c r="AK6569">
        <v>15.754983153009899</v>
      </c>
      <c r="AL6569">
        <v>83.326204392007</v>
      </c>
      <c r="AM6569">
        <v>98.679495345569805</v>
      </c>
      <c r="AN6569">
        <v>1.0000000394313699</v>
      </c>
    </row>
    <row r="6570" spans="1:40" x14ac:dyDescent="0.25">
      <c r="A6570" t="str">
        <f>"20190312164153296"</f>
        <v>20190312164153296</v>
      </c>
      <c r="B6570" t="str">
        <f>"1552380113292966"</f>
        <v>1552380113292966</v>
      </c>
      <c r="C6570" t="s">
        <v>40</v>
      </c>
      <c r="D6570">
        <v>5.6929299999999996</v>
      </c>
      <c r="E6570">
        <v>0.47146700000000002</v>
      </c>
      <c r="F6570" t="s">
        <v>41</v>
      </c>
      <c r="G6570">
        <v>-188.94309999999999</v>
      </c>
      <c r="H6570" s="1">
        <v>-4.368466E-7</v>
      </c>
      <c r="I6570">
        <v>-29.894590000000001</v>
      </c>
      <c r="J6570">
        <v>-190.35720000000001</v>
      </c>
      <c r="K6570">
        <v>1.1141639999999999</v>
      </c>
      <c r="L6570">
        <v>-45.033389999999997</v>
      </c>
      <c r="M6570">
        <v>0.32251049999999998</v>
      </c>
      <c r="N6570">
        <v>0</v>
      </c>
      <c r="O6570">
        <v>0.94653149999999997</v>
      </c>
      <c r="P6570">
        <v>0.180981</v>
      </c>
      <c r="Q6570">
        <v>0.108529</v>
      </c>
      <c r="R6570">
        <v>0.97748009999999996</v>
      </c>
      <c r="S6570">
        <v>0.29759219999999997</v>
      </c>
      <c r="T6570">
        <v>-0.21945319999999999</v>
      </c>
      <c r="U6570">
        <v>3.0393979999999998</v>
      </c>
      <c r="V6570">
        <v>-0.14532790000000001</v>
      </c>
      <c r="W6570">
        <v>0.1147344</v>
      </c>
      <c r="X6570">
        <v>0.98270840000000004</v>
      </c>
      <c r="Y6570">
        <v>-0.22895509999999999</v>
      </c>
      <c r="Z6570">
        <v>-6.516835E-2</v>
      </c>
      <c r="AA6570">
        <v>0.97125309999999998</v>
      </c>
      <c r="AB6570">
        <v>31</v>
      </c>
      <c r="AC6570">
        <v>1.4141000000000099</v>
      </c>
      <c r="AD6570">
        <v>-1.1141644368465999</v>
      </c>
      <c r="AE6570">
        <v>15.1388</v>
      </c>
      <c r="AF6570">
        <v>-3.5251186040742999</v>
      </c>
      <c r="AG6570">
        <v>-1.1141644368465999</v>
      </c>
      <c r="AH6570">
        <v>14.706923980832</v>
      </c>
      <c r="AI6570">
        <v>94.213431362090006</v>
      </c>
      <c r="AJ6570">
        <v>103.47899669074</v>
      </c>
      <c r="AK6570">
        <v>15.1644794352822</v>
      </c>
      <c r="AL6570">
        <v>83.411694045513897</v>
      </c>
      <c r="AM6570">
        <v>98.412218883012002</v>
      </c>
      <c r="AN6570">
        <v>0.99999999024616504</v>
      </c>
    </row>
    <row r="6571" spans="1:40" x14ac:dyDescent="0.25">
      <c r="A6571" t="str">
        <f>"20190312164153318"</f>
        <v>20190312164153318</v>
      </c>
      <c r="B6571" t="str">
        <f>"1552380113312486"</f>
        <v>1552380113312486</v>
      </c>
      <c r="C6571" t="s">
        <v>40</v>
      </c>
      <c r="D6571">
        <v>5.648873</v>
      </c>
      <c r="E6571">
        <v>0.47129500000000002</v>
      </c>
      <c r="F6571" t="s">
        <v>41</v>
      </c>
      <c r="G6571">
        <v>-189.0779</v>
      </c>
      <c r="H6571" s="1">
        <v>-4.0023910000000004E-6</v>
      </c>
      <c r="I6571">
        <v>-31.41882</v>
      </c>
      <c r="J6571">
        <v>-190.26490000000001</v>
      </c>
      <c r="K6571">
        <v>1.113907</v>
      </c>
      <c r="L6571">
        <v>-44.747990000000001</v>
      </c>
      <c r="M6571">
        <v>0.31786950000000003</v>
      </c>
      <c r="N6571">
        <v>0</v>
      </c>
      <c r="O6571">
        <v>0.948102</v>
      </c>
      <c r="P6571">
        <v>0.18099670000000001</v>
      </c>
      <c r="Q6571">
        <v>0.10644679999999999</v>
      </c>
      <c r="R6571">
        <v>0.97770610000000002</v>
      </c>
      <c r="S6571">
        <v>0.28601070000000001</v>
      </c>
      <c r="T6571">
        <v>-0.2490957</v>
      </c>
      <c r="U6571">
        <v>3.0438230000000002</v>
      </c>
      <c r="V6571">
        <v>-0.14047589999999999</v>
      </c>
      <c r="W6571">
        <v>0.112578</v>
      </c>
      <c r="X6571">
        <v>0.98366290000000001</v>
      </c>
      <c r="Y6571">
        <v>-0.22804170000000001</v>
      </c>
      <c r="Z6571">
        <v>-7.4022000000000004E-2</v>
      </c>
      <c r="AA6571">
        <v>0.97083350000000002</v>
      </c>
      <c r="AB6571">
        <v>32</v>
      </c>
      <c r="AC6571">
        <v>1.18700000000001</v>
      </c>
      <c r="AD6571">
        <v>-1.1139110023909999</v>
      </c>
      <c r="AE6571">
        <v>13.32917</v>
      </c>
      <c r="AF6571">
        <v>-3.0902234894963501</v>
      </c>
      <c r="AG6571">
        <v>-1.1139110023909999</v>
      </c>
      <c r="AH6571">
        <v>12.9255646330529</v>
      </c>
      <c r="AI6571">
        <v>94.791148428265302</v>
      </c>
      <c r="AJ6571">
        <v>103.44579565451799</v>
      </c>
      <c r="AK6571">
        <v>13.3364350566225</v>
      </c>
      <c r="AL6571">
        <v>83.536052532319005</v>
      </c>
      <c r="AM6571">
        <v>98.127398259897902</v>
      </c>
      <c r="AN6571">
        <v>0.99999999270061002</v>
      </c>
    </row>
    <row r="6572" spans="1:40" x14ac:dyDescent="0.25">
      <c r="A6572" t="str">
        <f>"20190312164153342"</f>
        <v>20190312164153342</v>
      </c>
      <c r="B6572" t="str">
        <f>"1552380113332981"</f>
        <v>1552380113332981</v>
      </c>
      <c r="C6572" t="s">
        <v>40</v>
      </c>
      <c r="D6572">
        <v>5.713095</v>
      </c>
      <c r="E6572">
        <v>0.4711091</v>
      </c>
      <c r="F6572" t="s">
        <v>41</v>
      </c>
      <c r="G6572">
        <v>-189.0341</v>
      </c>
      <c r="H6572" s="1">
        <v>-3.9451840000000003E-6</v>
      </c>
      <c r="I6572">
        <v>-31.570270000000001</v>
      </c>
      <c r="J6572">
        <v>-190.16079999999999</v>
      </c>
      <c r="K6572">
        <v>1.113656</v>
      </c>
      <c r="L6572">
        <v>-44.420720000000003</v>
      </c>
      <c r="M6572">
        <v>0.31282959999999999</v>
      </c>
      <c r="N6572">
        <v>0</v>
      </c>
      <c r="O6572">
        <v>0.94977869999999998</v>
      </c>
      <c r="P6572">
        <v>0.1806065</v>
      </c>
      <c r="Q6572">
        <v>0.1062604</v>
      </c>
      <c r="R6572">
        <v>0.97779859999999996</v>
      </c>
      <c r="S6572">
        <v>0.2842865</v>
      </c>
      <c r="T6572">
        <v>-0.2572914</v>
      </c>
      <c r="U6572">
        <v>3.043793</v>
      </c>
      <c r="V6572">
        <v>-0.13557640000000001</v>
      </c>
      <c r="W6572">
        <v>0.11229939999999999</v>
      </c>
      <c r="X6572">
        <v>0.98438199999999998</v>
      </c>
      <c r="Y6572">
        <v>-0.22343070000000001</v>
      </c>
      <c r="Z6572">
        <v>-7.6697920000000003E-2</v>
      </c>
      <c r="AA6572">
        <v>0.97169760000000005</v>
      </c>
      <c r="AB6572">
        <v>32</v>
      </c>
      <c r="AC6572">
        <v>1.12669999999999</v>
      </c>
      <c r="AD6572">
        <v>-1.1136599451839999</v>
      </c>
      <c r="AE6572">
        <v>12.85045</v>
      </c>
      <c r="AF6572">
        <v>-2.9281470528496998</v>
      </c>
      <c r="AG6572">
        <v>-1.1136599451839999</v>
      </c>
      <c r="AH6572">
        <v>12.4650091927891</v>
      </c>
      <c r="AI6572">
        <v>94.970811897809199</v>
      </c>
      <c r="AJ6572">
        <v>103.219628377779</v>
      </c>
      <c r="AK6572">
        <v>12.8526548935594</v>
      </c>
      <c r="AL6572">
        <v>83.552117175265906</v>
      </c>
      <c r="AM6572">
        <v>97.841864933425995</v>
      </c>
      <c r="AN6572">
        <v>1.0000000187006599</v>
      </c>
    </row>
    <row r="6573" spans="1:40" x14ac:dyDescent="0.25">
      <c r="A6573" t="str">
        <f>"20190312164153364"</f>
        <v>20190312164153364</v>
      </c>
      <c r="B6573" t="str">
        <f>"1552380113352502"</f>
        <v>1552380113352502</v>
      </c>
      <c r="C6573" t="s">
        <v>40</v>
      </c>
      <c r="D6573">
        <v>5.6117039999999996</v>
      </c>
      <c r="E6573">
        <v>0.47127950000000002</v>
      </c>
      <c r="F6573" t="s">
        <v>41</v>
      </c>
      <c r="G6573">
        <v>-188.91919999999999</v>
      </c>
      <c r="H6573" s="1">
        <v>-4.221241E-6</v>
      </c>
      <c r="I6573">
        <v>-30.974309999999999</v>
      </c>
      <c r="J6573">
        <v>-190.0669</v>
      </c>
      <c r="K6573">
        <v>1.1134539999999999</v>
      </c>
      <c r="L6573">
        <v>-44.121400000000001</v>
      </c>
      <c r="M6573">
        <v>0.30843229999999999</v>
      </c>
      <c r="N6573">
        <v>0</v>
      </c>
      <c r="O6573">
        <v>0.95121739999999999</v>
      </c>
      <c r="P6573">
        <v>0.18125260000000001</v>
      </c>
      <c r="Q6573">
        <v>0.10657469999999999</v>
      </c>
      <c r="R6573">
        <v>0.97764479999999998</v>
      </c>
      <c r="S6573">
        <v>0.28103640000000002</v>
      </c>
      <c r="T6573">
        <v>-0.25207829999999998</v>
      </c>
      <c r="U6573">
        <v>3.0436100000000001</v>
      </c>
      <c r="V6573">
        <v>-0.13030530000000001</v>
      </c>
      <c r="W6573">
        <v>0.1125401</v>
      </c>
      <c r="X6573">
        <v>0.98506609999999994</v>
      </c>
      <c r="Y6573">
        <v>-0.2199335</v>
      </c>
      <c r="Z6573">
        <v>-7.5370779999999998E-2</v>
      </c>
      <c r="AA6573">
        <v>0.97259890000000004</v>
      </c>
      <c r="AB6573">
        <v>32</v>
      </c>
      <c r="AC6573">
        <v>1.1477000000000099</v>
      </c>
      <c r="AD6573">
        <v>-1.113458221241</v>
      </c>
      <c r="AE6573">
        <v>13.14709</v>
      </c>
      <c r="AF6573">
        <v>-2.9424107570976501</v>
      </c>
      <c r="AG6573">
        <v>-1.113458221241</v>
      </c>
      <c r="AH6573">
        <v>12.769183947796</v>
      </c>
      <c r="AI6573">
        <v>94.856875643226601</v>
      </c>
      <c r="AJ6573">
        <v>102.976194481601</v>
      </c>
      <c r="AK6573">
        <v>13.1510314791876</v>
      </c>
      <c r="AL6573">
        <v>83.538237869775998</v>
      </c>
      <c r="AM6573">
        <v>97.535381060103603</v>
      </c>
      <c r="AN6573">
        <v>0.99999998334265405</v>
      </c>
    </row>
    <row r="6574" spans="1:40" x14ac:dyDescent="0.25">
      <c r="A6574" t="str">
        <f>"20190312164153385"</f>
        <v>20190312164153385</v>
      </c>
      <c r="B6574" t="str">
        <f>"1552380113382759"</f>
        <v>1552380113382759</v>
      </c>
      <c r="C6574" t="s">
        <v>40</v>
      </c>
      <c r="D6574">
        <v>5.6767589999999997</v>
      </c>
      <c r="E6574">
        <v>0.47151320000000002</v>
      </c>
      <c r="F6574" t="s">
        <v>41</v>
      </c>
      <c r="G6574">
        <v>-188.79159999999999</v>
      </c>
      <c r="H6574" s="1">
        <v>-4.4693109999999998E-6</v>
      </c>
      <c r="I6574">
        <v>-30.448789999999999</v>
      </c>
      <c r="J6574">
        <v>-189.976</v>
      </c>
      <c r="K6574">
        <v>1.1132879999999901</v>
      </c>
      <c r="L6574">
        <v>-43.827669999999998</v>
      </c>
      <c r="M6574">
        <v>0.30427290000000001</v>
      </c>
      <c r="N6574">
        <v>0</v>
      </c>
      <c r="O6574">
        <v>0.9525574</v>
      </c>
      <c r="P6574">
        <v>0.1818129</v>
      </c>
      <c r="Q6574">
        <v>0.1066931</v>
      </c>
      <c r="R6574">
        <v>0.97752779999999995</v>
      </c>
      <c r="S6574">
        <v>0.28382869999999999</v>
      </c>
      <c r="T6574">
        <v>-0.24781320000000001</v>
      </c>
      <c r="U6574">
        <v>3.042999</v>
      </c>
      <c r="V6574">
        <v>-0.125385199999999</v>
      </c>
      <c r="W6574">
        <v>0.11258509999999999</v>
      </c>
      <c r="X6574">
        <v>0.9856994</v>
      </c>
      <c r="Y6574">
        <v>-0.21475759999999999</v>
      </c>
      <c r="Z6574">
        <v>-7.4323539999999993E-2</v>
      </c>
      <c r="AA6574">
        <v>0.97383529999999996</v>
      </c>
      <c r="AB6574">
        <v>32</v>
      </c>
      <c r="AC6574">
        <v>1.1844000000000099</v>
      </c>
      <c r="AD6574">
        <v>-1.11329246931099</v>
      </c>
      <c r="AE6574">
        <v>13.378879999999899</v>
      </c>
      <c r="AF6574">
        <v>-2.92261886650688</v>
      </c>
      <c r="AG6574">
        <v>-1.11329246931099</v>
      </c>
      <c r="AH6574">
        <v>13.0154526018081</v>
      </c>
      <c r="AI6574">
        <v>94.770735021525397</v>
      </c>
      <c r="AJ6574">
        <v>102.65583614692601</v>
      </c>
      <c r="AK6574">
        <v>13.3859302101498</v>
      </c>
      <c r="AL6574">
        <v>83.535643697152807</v>
      </c>
      <c r="AM6574">
        <v>97.249336355440505</v>
      </c>
      <c r="AN6574">
        <v>1.0000000801407001</v>
      </c>
    </row>
    <row r="6575" spans="1:40" x14ac:dyDescent="0.25">
      <c r="A6575" t="str">
        <f>"20190312164153407"</f>
        <v>20190312164153407</v>
      </c>
      <c r="B6575" t="str">
        <f>"1552380113402278"</f>
        <v>1552380113402278</v>
      </c>
      <c r="C6575" t="s">
        <v>40</v>
      </c>
      <c r="D6575">
        <v>5.6931019999999997</v>
      </c>
      <c r="E6575">
        <v>0.47182220000000002</v>
      </c>
      <c r="F6575" t="s">
        <v>41</v>
      </c>
      <c r="G6575">
        <v>-188.68809999999999</v>
      </c>
      <c r="H6575" s="1">
        <v>-4.1951319999999999E-7</v>
      </c>
      <c r="I6575">
        <v>-30.144909999999999</v>
      </c>
      <c r="J6575">
        <v>-189.88650000000001</v>
      </c>
      <c r="K6575">
        <v>1.113151</v>
      </c>
      <c r="L6575">
        <v>-43.534390000000002</v>
      </c>
      <c r="M6575">
        <v>0.30024980000000001</v>
      </c>
      <c r="N6575">
        <v>0</v>
      </c>
      <c r="O6575">
        <v>0.95383439999999997</v>
      </c>
      <c r="P6575">
        <v>0.18240410000000001</v>
      </c>
      <c r="Q6575">
        <v>0.1066983</v>
      </c>
      <c r="R6575">
        <v>0.97741710000000004</v>
      </c>
      <c r="S6575">
        <v>0.28640749999999998</v>
      </c>
      <c r="T6575">
        <v>-0.24756929999999999</v>
      </c>
      <c r="U6575">
        <v>3.0427249999999999</v>
      </c>
      <c r="V6575">
        <v>-0.1205886</v>
      </c>
      <c r="W6575">
        <v>0.1125164</v>
      </c>
      <c r="X6575">
        <v>0.98630549999999995</v>
      </c>
      <c r="Y6575">
        <v>-0.2098071</v>
      </c>
      <c r="Z6575">
        <v>-7.4451939999999994E-2</v>
      </c>
      <c r="AA6575">
        <v>0.97490410000000005</v>
      </c>
      <c r="AB6575">
        <v>32</v>
      </c>
      <c r="AC6575">
        <v>1.1984000000000199</v>
      </c>
      <c r="AD6575">
        <v>-1.1131514195132</v>
      </c>
      <c r="AE6575">
        <v>13.389480000000001</v>
      </c>
      <c r="AF6575">
        <v>-2.8575917878452501</v>
      </c>
      <c r="AG6575">
        <v>-1.1131514195132</v>
      </c>
      <c r="AH6575">
        <v>13.0420685389629</v>
      </c>
      <c r="AI6575">
        <v>94.765900710532506</v>
      </c>
      <c r="AJ6575">
        <v>102.35853622595199</v>
      </c>
      <c r="AK6575">
        <v>13.3977792444767</v>
      </c>
      <c r="AL6575">
        <v>83.539604859820599</v>
      </c>
      <c r="AM6575">
        <v>96.970554767540307</v>
      </c>
      <c r="AN6575">
        <v>1.0000000450245801</v>
      </c>
    </row>
    <row r="6576" spans="1:40" x14ac:dyDescent="0.25">
      <c r="A6576" t="str">
        <f>"20190312164153430"</f>
        <v>20190312164153430</v>
      </c>
      <c r="B6576" t="str">
        <f>"1552380113422774"</f>
        <v>1552380113422774</v>
      </c>
      <c r="C6576" t="s">
        <v>40</v>
      </c>
      <c r="D6576">
        <v>5.6837059999999999</v>
      </c>
      <c r="E6576">
        <v>0.47153479999999998</v>
      </c>
      <c r="F6576" t="s">
        <v>41</v>
      </c>
      <c r="G6576">
        <v>-188.572</v>
      </c>
      <c r="H6576" s="1">
        <v>-5.7886659999999899E-7</v>
      </c>
      <c r="I6576">
        <v>-29.767430000000001</v>
      </c>
      <c r="J6576">
        <v>-189.79069999999999</v>
      </c>
      <c r="K6576">
        <v>1.113024</v>
      </c>
      <c r="L6576">
        <v>-43.215699999999998</v>
      </c>
      <c r="M6576">
        <v>0.29599730000000002</v>
      </c>
      <c r="N6576">
        <v>0</v>
      </c>
      <c r="O6576">
        <v>0.95516380000000001</v>
      </c>
      <c r="P6576">
        <v>0.1829279</v>
      </c>
      <c r="Q6576">
        <v>0.1065924</v>
      </c>
      <c r="R6576">
        <v>0.9773307</v>
      </c>
      <c r="S6576">
        <v>0.29046630000000001</v>
      </c>
      <c r="T6576">
        <v>-0.24596299999999999</v>
      </c>
      <c r="U6576">
        <v>3.0419619999999998</v>
      </c>
      <c r="V6576">
        <v>-0.115633</v>
      </c>
      <c r="W6576">
        <v>0.1123273</v>
      </c>
      <c r="X6576">
        <v>0.98692020000000003</v>
      </c>
      <c r="Y6576">
        <v>-0.2041335</v>
      </c>
      <c r="Z6576">
        <v>-7.4193159999999994E-2</v>
      </c>
      <c r="AA6576">
        <v>0.97612750000000004</v>
      </c>
      <c r="AB6576">
        <v>32</v>
      </c>
      <c r="AC6576">
        <v>1.2186999999999799</v>
      </c>
      <c r="AD6576">
        <v>-1.1130245788666</v>
      </c>
      <c r="AE6576">
        <v>13.448270000000001</v>
      </c>
      <c r="AF6576">
        <v>-2.7976534626126002</v>
      </c>
      <c r="AG6576">
        <v>-1.1130245788666</v>
      </c>
      <c r="AH6576">
        <v>13.1172293650484</v>
      </c>
      <c r="AI6576">
        <v>94.743857380689093</v>
      </c>
      <c r="AJ6576">
        <v>102.039697407372</v>
      </c>
      <c r="AK6576">
        <v>13.4583578056655</v>
      </c>
      <c r="AL6576">
        <v>83.550507980543102</v>
      </c>
      <c r="AM6576">
        <v>96.682620748496703</v>
      </c>
      <c r="AN6576">
        <v>0.99999994709116302</v>
      </c>
    </row>
    <row r="6577" spans="1:40" x14ac:dyDescent="0.25">
      <c r="A6577" t="str">
        <f>"20190312164153453"</f>
        <v>20190312164153453</v>
      </c>
      <c r="B6577" t="str">
        <f>"1552380113442294"</f>
        <v>1552380113442294</v>
      </c>
      <c r="C6577" t="s">
        <v>40</v>
      </c>
      <c r="D6577">
        <v>5.6602240000000004</v>
      </c>
      <c r="E6577">
        <v>0.47143160000000001</v>
      </c>
      <c r="F6577" t="s">
        <v>41</v>
      </c>
      <c r="G6577">
        <v>-188.50640000000001</v>
      </c>
      <c r="H6577" s="1">
        <v>-6.1612019999999897E-7</v>
      </c>
      <c r="I6577">
        <v>-29.709209999999999</v>
      </c>
      <c r="J6577">
        <v>-189.6969</v>
      </c>
      <c r="K6577">
        <v>1.1129290000000001</v>
      </c>
      <c r="L6577">
        <v>-42.89911</v>
      </c>
      <c r="M6577">
        <v>0.29185939999999999</v>
      </c>
      <c r="N6577">
        <v>0</v>
      </c>
      <c r="O6577">
        <v>0.95643730000000005</v>
      </c>
      <c r="P6577">
        <v>0.18373010000000001</v>
      </c>
      <c r="Q6577">
        <v>0.1058987</v>
      </c>
      <c r="R6577">
        <v>0.97725569999999895</v>
      </c>
      <c r="S6577">
        <v>0.28932190000000002</v>
      </c>
      <c r="T6577">
        <v>-0.25074580000000002</v>
      </c>
      <c r="U6577">
        <v>3.042786</v>
      </c>
      <c r="V6577">
        <v>-0.1105375</v>
      </c>
      <c r="W6577">
        <v>0.1115512</v>
      </c>
      <c r="X6577">
        <v>0.98759189999999997</v>
      </c>
      <c r="Y6577">
        <v>-0.200294</v>
      </c>
      <c r="Z6577">
        <v>-7.5795109999999999E-2</v>
      </c>
      <c r="AA6577">
        <v>0.97679959999999999</v>
      </c>
      <c r="AB6577">
        <v>32</v>
      </c>
      <c r="AC6577">
        <v>1.1904999999999799</v>
      </c>
      <c r="AD6577">
        <v>-1.1129296161202</v>
      </c>
      <c r="AE6577">
        <v>13.1899</v>
      </c>
      <c r="AF6577">
        <v>-2.6920087434971798</v>
      </c>
      <c r="AG6577">
        <v>-1.1129296161202</v>
      </c>
      <c r="AH6577">
        <v>12.8721642663232</v>
      </c>
      <c r="AI6577">
        <v>94.837373088394202</v>
      </c>
      <c r="AJ6577">
        <v>101.812255021391</v>
      </c>
      <c r="AK6577">
        <v>13.197656470173399</v>
      </c>
      <c r="AL6577">
        <v>83.595256724629095</v>
      </c>
      <c r="AM6577">
        <v>96.386324478069</v>
      </c>
      <c r="AN6577">
        <v>0.999999985036649</v>
      </c>
    </row>
    <row r="6578" spans="1:40" x14ac:dyDescent="0.25">
      <c r="A6578" t="str">
        <f>"20190312164153474"</f>
        <v>20190312164153474</v>
      </c>
      <c r="B6578" t="str">
        <f>"1552380113462789"</f>
        <v>1552380113462789</v>
      </c>
      <c r="C6578" t="s">
        <v>40</v>
      </c>
      <c r="D6578">
        <v>5.7224640000000004</v>
      </c>
      <c r="E6578">
        <v>0.47132000000000002</v>
      </c>
      <c r="F6578" t="s">
        <v>41</v>
      </c>
      <c r="G6578">
        <v>-188.47819999999999</v>
      </c>
      <c r="H6578" s="1">
        <v>-4.9807099999999999E-7</v>
      </c>
      <c r="I6578">
        <v>-30.078199999999999</v>
      </c>
      <c r="J6578">
        <v>-189.61009999999999</v>
      </c>
      <c r="K6578">
        <v>1.1128610000000001</v>
      </c>
      <c r="L6578">
        <v>-42.602049999999998</v>
      </c>
      <c r="M6578">
        <v>0.28802840000000002</v>
      </c>
      <c r="N6578">
        <v>0</v>
      </c>
      <c r="O6578">
        <v>0.95759899999999998</v>
      </c>
      <c r="P6578">
        <v>0.18430250000000001</v>
      </c>
      <c r="Q6578">
        <v>0.1052482</v>
      </c>
      <c r="R6578">
        <v>0.97721820000000004</v>
      </c>
      <c r="S6578">
        <v>0.28935240000000001</v>
      </c>
      <c r="T6578">
        <v>-0.2642428</v>
      </c>
      <c r="U6578">
        <v>3.0440670000000001</v>
      </c>
      <c r="V6578">
        <v>-0.10599980000000001</v>
      </c>
      <c r="W6578">
        <v>0.1108171</v>
      </c>
      <c r="X6578">
        <v>0.98817189999999999</v>
      </c>
      <c r="Y6578">
        <v>-0.19643060000000001</v>
      </c>
      <c r="Z6578">
        <v>-7.9995670000000005E-2</v>
      </c>
      <c r="AA6578">
        <v>0.97724909999999998</v>
      </c>
      <c r="AB6578">
        <v>32</v>
      </c>
      <c r="AC6578">
        <v>1.1318999999999999</v>
      </c>
      <c r="AD6578">
        <v>-1.1128614980709901</v>
      </c>
      <c r="AE6578">
        <v>12.523849999999999</v>
      </c>
      <c r="AF6578">
        <v>-2.5037639146077999</v>
      </c>
      <c r="AG6578">
        <v>-1.1128614980709901</v>
      </c>
      <c r="AH6578">
        <v>12.223381662330199</v>
      </c>
      <c r="AI6578">
        <v>95.096826014090098</v>
      </c>
      <c r="AJ6578">
        <v>101.57599730995101</v>
      </c>
      <c r="AK6578">
        <v>12.526705621070899</v>
      </c>
      <c r="AL6578">
        <v>83.637580356609902</v>
      </c>
      <c r="AM6578">
        <v>96.122625307157193</v>
      </c>
      <c r="AN6578">
        <v>1.0000000456010201</v>
      </c>
    </row>
    <row r="6579" spans="1:40" x14ac:dyDescent="0.25">
      <c r="A6579" t="str">
        <f>"20190312164153496"</f>
        <v>20190312164153496</v>
      </c>
      <c r="B6579" t="str">
        <f>"1552380113492070"</f>
        <v>1552380113492070</v>
      </c>
      <c r="C6579" t="s">
        <v>40</v>
      </c>
      <c r="D6579">
        <v>5.8328110000000004</v>
      </c>
      <c r="E6579">
        <v>0.47124549999999998</v>
      </c>
      <c r="F6579" t="s">
        <v>41</v>
      </c>
      <c r="G6579">
        <v>-188.41220000000001</v>
      </c>
      <c r="H6579" s="1">
        <v>-5.336806E-7</v>
      </c>
      <c r="I6579">
        <v>-30.02516</v>
      </c>
      <c r="J6579">
        <v>-189.52099999999999</v>
      </c>
      <c r="K6579">
        <v>1.1128039999999999</v>
      </c>
      <c r="L6579">
        <v>-42.2926</v>
      </c>
      <c r="M6579">
        <v>0.28406979999999998</v>
      </c>
      <c r="N6579">
        <v>0</v>
      </c>
      <c r="O6579">
        <v>0.95878180000000002</v>
      </c>
      <c r="P6579">
        <v>0.18364749999999999</v>
      </c>
      <c r="Q6579">
        <v>0.1046883</v>
      </c>
      <c r="R6579">
        <v>0.97740159999999998</v>
      </c>
      <c r="S6579">
        <v>0.28996280000000002</v>
      </c>
      <c r="T6579">
        <v>-0.26936939999999998</v>
      </c>
      <c r="U6579">
        <v>3.0442499999999999</v>
      </c>
      <c r="V6579">
        <v>-0.1025769</v>
      </c>
      <c r="W6579">
        <v>0.1101569</v>
      </c>
      <c r="X6579">
        <v>0.98860680000000001</v>
      </c>
      <c r="Y6579">
        <v>-0.1922024</v>
      </c>
      <c r="Z6579">
        <v>-8.1722009999999998E-2</v>
      </c>
      <c r="AA6579">
        <v>0.97794669999999895</v>
      </c>
      <c r="AB6579">
        <v>33</v>
      </c>
      <c r="AC6579">
        <v>1.10879999999997</v>
      </c>
      <c r="AD6579">
        <v>-1.1128045336806001</v>
      </c>
      <c r="AE6579">
        <v>12.267440000000001</v>
      </c>
      <c r="AF6579">
        <v>-2.4021562071778302</v>
      </c>
      <c r="AG6579">
        <v>-1.1128045336806001</v>
      </c>
      <c r="AH6579">
        <v>11.9792526672717</v>
      </c>
      <c r="AI6579">
        <v>95.204205854734596</v>
      </c>
      <c r="AJ6579">
        <v>101.338929073223</v>
      </c>
      <c r="AK6579">
        <v>12.2682999164594</v>
      </c>
      <c r="AL6579">
        <v>83.675639655976894</v>
      </c>
      <c r="AM6579">
        <v>95.923757927591296</v>
      </c>
      <c r="AN6579">
        <v>0.99999998401872903</v>
      </c>
    </row>
    <row r="6580" spans="1:40" x14ac:dyDescent="0.25">
      <c r="A6580" t="str">
        <f>"20190312164153511"</f>
        <v>20190312164153511</v>
      </c>
      <c r="B6580" t="str">
        <f>"1552380113502806"</f>
        <v>1552380113502806</v>
      </c>
      <c r="C6580" t="s">
        <v>40</v>
      </c>
      <c r="D6580">
        <v>5.7161339999999896</v>
      </c>
      <c r="E6580">
        <v>0.47126180000000001</v>
      </c>
      <c r="F6580" t="s">
        <v>41</v>
      </c>
      <c r="G6580">
        <v>-188.346</v>
      </c>
      <c r="H6580" s="1">
        <v>-6.1217160000000004E-7</v>
      </c>
      <c r="I6580">
        <v>-29.846209999999999</v>
      </c>
      <c r="J6580">
        <v>-189.459</v>
      </c>
      <c r="K6580">
        <v>1.1127739999999999</v>
      </c>
      <c r="L6580">
        <v>-42.073819999999998</v>
      </c>
      <c r="M6580">
        <v>0.28128570000000003</v>
      </c>
      <c r="N6580">
        <v>0</v>
      </c>
      <c r="O6580">
        <v>0.95960299999999998</v>
      </c>
      <c r="P6580">
        <v>0.18200359999999999</v>
      </c>
      <c r="Q6580">
        <v>0.1048356</v>
      </c>
      <c r="R6580">
        <v>0.97769329999999999</v>
      </c>
      <c r="S6580">
        <v>0.28741460000000002</v>
      </c>
      <c r="T6580">
        <v>-0.27220440000000001</v>
      </c>
      <c r="U6580">
        <v>3.0445250000000001</v>
      </c>
      <c r="V6580">
        <v>-0.1013604</v>
      </c>
      <c r="W6580">
        <v>0.1102195</v>
      </c>
      <c r="X6580">
        <v>0.98872530000000003</v>
      </c>
      <c r="Y6580">
        <v>-0.1901804</v>
      </c>
      <c r="Z6580">
        <v>-8.2697140000000002E-2</v>
      </c>
      <c r="AA6580">
        <v>0.97826000000000002</v>
      </c>
      <c r="AB6580">
        <v>33</v>
      </c>
      <c r="AC6580">
        <v>1.11300000000002</v>
      </c>
      <c r="AD6580">
        <v>-1.1127746121716</v>
      </c>
      <c r="AE6580">
        <v>12.22761</v>
      </c>
      <c r="AF6580">
        <v>-2.3521414629081301</v>
      </c>
      <c r="AG6580">
        <v>-1.1127746121716</v>
      </c>
      <c r="AH6580">
        <v>11.9488197451691</v>
      </c>
      <c r="AI6580">
        <v>95.220893982556504</v>
      </c>
      <c r="AJ6580">
        <v>101.136362941532</v>
      </c>
      <c r="AK6580">
        <v>12.228864628475099</v>
      </c>
      <c r="AL6580">
        <v>83.672031028427895</v>
      </c>
      <c r="AM6580">
        <v>95.853299788068895</v>
      </c>
      <c r="AN6580">
        <v>0.99999999386424998</v>
      </c>
    </row>
    <row r="6581" spans="1:40" x14ac:dyDescent="0.25">
      <c r="A6581" t="str">
        <f>"20190312164153531"</f>
        <v>20190312164153531</v>
      </c>
      <c r="B6581" t="str">
        <f>"1552380113522326"</f>
        <v>1552380113522326</v>
      </c>
      <c r="C6581" t="s">
        <v>40</v>
      </c>
      <c r="D6581">
        <v>5.8879299999999999</v>
      </c>
      <c r="E6581">
        <v>0.47081689999999998</v>
      </c>
      <c r="F6581" t="s">
        <v>41</v>
      </c>
      <c r="G6581">
        <v>-188.29480000000001</v>
      </c>
      <c r="H6581" s="1">
        <v>-7.2065309999999995E-7</v>
      </c>
      <c r="I6581">
        <v>-29.567530000000001</v>
      </c>
      <c r="J6581">
        <v>-189.38419999999999</v>
      </c>
      <c r="K6581">
        <v>1.1127479999999901</v>
      </c>
      <c r="L6581">
        <v>-41.807400000000001</v>
      </c>
      <c r="M6581">
        <v>0.27790209999999999</v>
      </c>
      <c r="N6581">
        <v>0</v>
      </c>
      <c r="O6581">
        <v>0.96058909999999997</v>
      </c>
      <c r="P6581">
        <v>0.1804819</v>
      </c>
      <c r="Q6581">
        <v>0.1044567</v>
      </c>
      <c r="R6581">
        <v>0.97801590000000005</v>
      </c>
      <c r="S6581">
        <v>0.28343200000000002</v>
      </c>
      <c r="T6581">
        <v>-0.27091229999999999</v>
      </c>
      <c r="U6581">
        <v>3.0447389999999999</v>
      </c>
      <c r="V6581">
        <v>-9.941643E-2</v>
      </c>
      <c r="W6581">
        <v>0.1097422</v>
      </c>
      <c r="X6581">
        <v>0.98897579999999996</v>
      </c>
      <c r="Y6581">
        <v>-0.18799260000000001</v>
      </c>
      <c r="Z6581">
        <v>-8.2454810000000003E-2</v>
      </c>
      <c r="AA6581">
        <v>0.9787032</v>
      </c>
      <c r="AB6581">
        <v>33</v>
      </c>
      <c r="AC6581">
        <v>1.0893999999999799</v>
      </c>
      <c r="AD6581">
        <v>-1.1127487206530999</v>
      </c>
      <c r="AE6581">
        <v>12.23987</v>
      </c>
      <c r="AF6581">
        <v>-2.33591127063921</v>
      </c>
      <c r="AG6581">
        <v>-1.1127487206530999</v>
      </c>
      <c r="AH6581">
        <v>11.9623759925604</v>
      </c>
      <c r="AI6581">
        <v>95.216436579992603</v>
      </c>
      <c r="AJ6581">
        <v>101.049194972046</v>
      </c>
      <c r="AK6581">
        <v>12.2390003908408</v>
      </c>
      <c r="AL6581">
        <v>83.6995456003025</v>
      </c>
      <c r="AM6581">
        <v>95.740353267063099</v>
      </c>
      <c r="AN6581">
        <v>1.0000000550002099</v>
      </c>
    </row>
    <row r="6582" spans="1:40" x14ac:dyDescent="0.25">
      <c r="A6582" t="str">
        <f>"20190312164153554"</f>
        <v>20190312164153554</v>
      </c>
      <c r="B6582" t="str">
        <f>"1552380113542822"</f>
        <v>1552380113542822</v>
      </c>
      <c r="C6582" t="s">
        <v>40</v>
      </c>
      <c r="D6582">
        <v>5.7619509999999998</v>
      </c>
      <c r="E6582">
        <v>0.44008829999999999</v>
      </c>
      <c r="F6582" t="s">
        <v>41</v>
      </c>
      <c r="G6582">
        <v>-188.2595</v>
      </c>
      <c r="H6582" s="1">
        <v>-7.8764939999999898E-7</v>
      </c>
      <c r="I6582">
        <v>-29.398250000000001</v>
      </c>
      <c r="J6582">
        <v>-189.292</v>
      </c>
      <c r="K6582">
        <v>1.11273</v>
      </c>
      <c r="L6582">
        <v>-41.474179999999997</v>
      </c>
      <c r="M6582">
        <v>0.27367439999999998</v>
      </c>
      <c r="N6582">
        <v>0</v>
      </c>
      <c r="O6582">
        <v>0.96180310000000002</v>
      </c>
      <c r="P6582">
        <v>0.177284</v>
      </c>
      <c r="Q6582">
        <v>0.1037352</v>
      </c>
      <c r="R6582">
        <v>0.97867740000000003</v>
      </c>
      <c r="S6582">
        <v>0.27604679999999998</v>
      </c>
      <c r="T6582">
        <v>-0.27310869999999998</v>
      </c>
      <c r="U6582">
        <v>3.0456539999999999</v>
      </c>
      <c r="V6582">
        <v>-9.8310430000000004E-2</v>
      </c>
      <c r="W6582">
        <v>0.1088848</v>
      </c>
      <c r="X6582">
        <v>0.98918099999999998</v>
      </c>
      <c r="Y6582">
        <v>-0.18605859999999999</v>
      </c>
      <c r="Z6582">
        <v>-8.3279279999999997E-2</v>
      </c>
      <c r="AA6582">
        <v>0.97900299999999996</v>
      </c>
      <c r="AB6582">
        <v>33</v>
      </c>
      <c r="AC6582">
        <v>1.03249999999999</v>
      </c>
      <c r="AD6582">
        <v>-1.1127307876493999</v>
      </c>
      <c r="AE6582">
        <v>12.0759299999999</v>
      </c>
      <c r="AF6582">
        <v>-2.2925303800963102</v>
      </c>
      <c r="AG6582">
        <v>-1.1127307876493999</v>
      </c>
      <c r="AH6582">
        <v>11.7980111810904</v>
      </c>
      <c r="AI6582">
        <v>95.289559770115204</v>
      </c>
      <c r="AJ6582">
        <v>100.99639349397199</v>
      </c>
      <c r="AK6582">
        <v>12.070084224171</v>
      </c>
      <c r="AL6582">
        <v>83.748966481008196</v>
      </c>
      <c r="AM6582">
        <v>95.675741783818097</v>
      </c>
      <c r="AN6582">
        <v>0.99999994553941096</v>
      </c>
    </row>
    <row r="6583" spans="1:40" x14ac:dyDescent="0.25">
      <c r="A6583" t="str">
        <f>"20190312164153577"</f>
        <v>20190312164153577</v>
      </c>
      <c r="B6583" t="str">
        <f>"1552380113572102"</f>
        <v>1552380113572102</v>
      </c>
      <c r="C6583" t="s">
        <v>40</v>
      </c>
      <c r="D6583">
        <v>5.7324129999999904</v>
      </c>
      <c r="E6583">
        <v>0.43721300000000002</v>
      </c>
      <c r="F6583" t="s">
        <v>41</v>
      </c>
      <c r="G6583">
        <v>-189.11439999999999</v>
      </c>
      <c r="H6583" s="1">
        <v>-3.352091E-6</v>
      </c>
      <c r="I6583">
        <v>-22.919599999999999</v>
      </c>
      <c r="J6583">
        <v>-189.202</v>
      </c>
      <c r="K6583">
        <v>1.112722</v>
      </c>
      <c r="L6583">
        <v>-41.143340000000002</v>
      </c>
      <c r="M6583">
        <v>0.26947520000000003</v>
      </c>
      <c r="N6583">
        <v>0</v>
      </c>
      <c r="O6583">
        <v>0.96298899999999998</v>
      </c>
      <c r="P6583">
        <v>0.1729588</v>
      </c>
      <c r="Q6583">
        <v>0.1032937</v>
      </c>
      <c r="R6583">
        <v>0.97949770000000003</v>
      </c>
      <c r="S6583">
        <v>2.9479979999999999E-2</v>
      </c>
      <c r="T6583">
        <v>-0.1846873</v>
      </c>
      <c r="U6583">
        <v>3.0796199999999998</v>
      </c>
      <c r="V6583">
        <v>-9.8373349999999998E-2</v>
      </c>
      <c r="W6583">
        <v>0.1082999</v>
      </c>
      <c r="X6583">
        <v>0.98923899999999998</v>
      </c>
      <c r="Y6583">
        <v>-0.2602564</v>
      </c>
      <c r="Z6583">
        <v>-5.5512110000000003E-2</v>
      </c>
      <c r="AA6583">
        <v>0.96394250000000004</v>
      </c>
      <c r="AB6583">
        <v>33</v>
      </c>
      <c r="AC6583">
        <v>8.7600000000008907E-2</v>
      </c>
      <c r="AD6583">
        <v>-1.1127253520909901</v>
      </c>
      <c r="AE6583">
        <v>18.223739999999999</v>
      </c>
      <c r="AF6583">
        <v>-4.8086460885176496</v>
      </c>
      <c r="AG6583">
        <v>-1.1127253520909901</v>
      </c>
      <c r="AH6583">
        <v>17.5079056497895</v>
      </c>
      <c r="AI6583">
        <v>93.507044946324498</v>
      </c>
      <c r="AJ6583">
        <v>105.357909679248</v>
      </c>
      <c r="AK6583">
        <v>18.190326966707701</v>
      </c>
      <c r="AL6583">
        <v>83.782678431538201</v>
      </c>
      <c r="AM6583">
        <v>95.679019786081994</v>
      </c>
      <c r="AN6583">
        <v>0.99999999172561604</v>
      </c>
    </row>
    <row r="6584" spans="1:40" x14ac:dyDescent="0.25">
      <c r="A6584" t="str">
        <f>"20190312164153596"</f>
        <v>20190312164153596</v>
      </c>
      <c r="B6584" t="str">
        <f>"1552380113592598"</f>
        <v>1552380113592598</v>
      </c>
      <c r="C6584" t="s">
        <v>40</v>
      </c>
      <c r="D6584">
        <v>5.6903439999999996</v>
      </c>
      <c r="E6584">
        <v>0.43761460000000002</v>
      </c>
      <c r="F6584" t="s">
        <v>41</v>
      </c>
      <c r="G6584">
        <v>-189.24369999999999</v>
      </c>
      <c r="H6584" s="1">
        <v>-2.6957799999999898E-6</v>
      </c>
      <c r="I6584">
        <v>-24.396000000000001</v>
      </c>
      <c r="J6584">
        <v>-189.12710000000001</v>
      </c>
      <c r="K6584">
        <v>1.1127229999999999</v>
      </c>
      <c r="L6584">
        <v>-40.863680000000002</v>
      </c>
      <c r="M6584">
        <v>0.26591209999999998</v>
      </c>
      <c r="N6584">
        <v>0</v>
      </c>
      <c r="O6584">
        <v>0.96397969999999999</v>
      </c>
      <c r="P6584">
        <v>0.16886389999999901</v>
      </c>
      <c r="Q6584">
        <v>0.104187</v>
      </c>
      <c r="R6584">
        <v>0.98011740000000003</v>
      </c>
      <c r="S6584">
        <v>-7.6904299999999998E-3</v>
      </c>
      <c r="T6584">
        <v>-0.20502329999999999</v>
      </c>
      <c r="U6584">
        <v>3.0857540000000001</v>
      </c>
      <c r="V6584">
        <v>-9.8835270000000003E-2</v>
      </c>
      <c r="W6584">
        <v>0.1090687</v>
      </c>
      <c r="X6584">
        <v>0.98910849999999995</v>
      </c>
      <c r="Y6584">
        <v>-0.2683025</v>
      </c>
      <c r="Z6584">
        <v>-6.1502029999999999E-2</v>
      </c>
      <c r="AA6584">
        <v>0.96136949999999999</v>
      </c>
      <c r="AB6584">
        <v>33</v>
      </c>
      <c r="AC6584">
        <v>-0.116599999999976</v>
      </c>
      <c r="AD6584">
        <v>-1.11272569577999</v>
      </c>
      <c r="AE6584">
        <v>16.467679999999898</v>
      </c>
      <c r="AF6584">
        <v>-4.4710190214370797</v>
      </c>
      <c r="AG6584">
        <v>-1.11272569577999</v>
      </c>
      <c r="AH6584">
        <v>15.7717661644246</v>
      </c>
      <c r="AI6584">
        <v>93.883113300014898</v>
      </c>
      <c r="AJ6584">
        <v>105.827102853073</v>
      </c>
      <c r="AK6584">
        <v>16.430970072073901</v>
      </c>
      <c r="AL6584">
        <v>83.738367052008002</v>
      </c>
      <c r="AM6584">
        <v>95.706258353146694</v>
      </c>
      <c r="AN6584">
        <v>1.00000000834395</v>
      </c>
    </row>
    <row r="6585" spans="1:40" x14ac:dyDescent="0.25">
      <c r="A6585" t="str">
        <f>"20190312164153620"</f>
        <v>20190312164153620</v>
      </c>
      <c r="B6585" t="str">
        <f>"1552380113612476"</f>
        <v>1552380113612476</v>
      </c>
      <c r="C6585" t="s">
        <v>40</v>
      </c>
      <c r="D6585">
        <v>5.6958549999999999</v>
      </c>
      <c r="E6585">
        <v>0.43810110000000002</v>
      </c>
      <c r="F6585" t="s">
        <v>41</v>
      </c>
      <c r="G6585">
        <v>-189.21870000000001</v>
      </c>
      <c r="H6585" s="1">
        <v>-2.5252520000000001E-6</v>
      </c>
      <c r="I6585">
        <v>-24.803840000000001</v>
      </c>
      <c r="J6585">
        <v>-189.03980000000001</v>
      </c>
      <c r="K6585">
        <v>1.112733</v>
      </c>
      <c r="L6585">
        <v>-40.532139999999998</v>
      </c>
      <c r="M6585">
        <v>0.26165680000000002</v>
      </c>
      <c r="N6585">
        <v>0</v>
      </c>
      <c r="O6585">
        <v>0.96514420000000001</v>
      </c>
      <c r="P6585">
        <v>0.16419979999999901</v>
      </c>
      <c r="Q6585">
        <v>0.1055804</v>
      </c>
      <c r="R6585">
        <v>0.98076050000000004</v>
      </c>
      <c r="S6585">
        <v>-1.7608639999999998E-2</v>
      </c>
      <c r="T6585">
        <v>-0.21386160000000001</v>
      </c>
      <c r="U6585">
        <v>3.0866389999999999</v>
      </c>
      <c r="V6585">
        <v>-9.915873E-2</v>
      </c>
      <c r="W6585">
        <v>0.1103186</v>
      </c>
      <c r="X6585">
        <v>0.98893750000000002</v>
      </c>
      <c r="Y6585">
        <v>-0.26713890000000001</v>
      </c>
      <c r="Z6585">
        <v>-6.4253610000000003E-2</v>
      </c>
      <c r="AA6585">
        <v>0.96151350000000002</v>
      </c>
      <c r="AB6585">
        <v>33</v>
      </c>
      <c r="AC6585">
        <v>-0.17889999999999801</v>
      </c>
      <c r="AD6585">
        <v>-1.1127355252519999</v>
      </c>
      <c r="AE6585">
        <v>15.728300000000001</v>
      </c>
      <c r="AF6585">
        <v>-4.2667970407795996</v>
      </c>
      <c r="AG6585">
        <v>-1.1127355252519999</v>
      </c>
      <c r="AH6585">
        <v>15.0581530976294</v>
      </c>
      <c r="AI6585">
        <v>94.066704162553805</v>
      </c>
      <c r="AJ6585">
        <v>105.820322210588</v>
      </c>
      <c r="AK6585">
        <v>15.6904975079827</v>
      </c>
      <c r="AL6585">
        <v>83.666318300555204</v>
      </c>
      <c r="AM6585">
        <v>95.725792801143598</v>
      </c>
      <c r="AN6585">
        <v>1.0000000130737099</v>
      </c>
    </row>
    <row r="6586" spans="1:40" x14ac:dyDescent="0.25">
      <c r="A6586" t="str">
        <f>"20190312164153642"</f>
        <v>20190312164153642</v>
      </c>
      <c r="B6586" t="str">
        <f>"1552380113632972"</f>
        <v>1552380113632972</v>
      </c>
      <c r="C6586" t="s">
        <v>40</v>
      </c>
      <c r="D6586">
        <v>5.7093879999999997</v>
      </c>
      <c r="E6586">
        <v>0.43874859999999999</v>
      </c>
      <c r="F6586" t="s">
        <v>41</v>
      </c>
      <c r="G6586">
        <v>-189.18719999999999</v>
      </c>
      <c r="H6586" s="1">
        <v>-2.5448319999999998E-6</v>
      </c>
      <c r="I6586">
        <v>-24.77122</v>
      </c>
      <c r="J6586">
        <v>-188.95509999999999</v>
      </c>
      <c r="K6586">
        <v>1.1127590000000001</v>
      </c>
      <c r="L6586">
        <v>-40.20438</v>
      </c>
      <c r="M6586">
        <v>0.25740210000000002</v>
      </c>
      <c r="N6586">
        <v>0</v>
      </c>
      <c r="O6586">
        <v>0.96628829999999999</v>
      </c>
      <c r="P6586">
        <v>0.1590926</v>
      </c>
      <c r="Q6586">
        <v>0.1053082</v>
      </c>
      <c r="R6586">
        <v>0.98163120000000004</v>
      </c>
      <c r="S6586">
        <v>-2.886963E-2</v>
      </c>
      <c r="T6586">
        <v>-0.21795629999999999</v>
      </c>
      <c r="U6586">
        <v>3.0871580000000001</v>
      </c>
      <c r="V6586">
        <v>-9.9968219999999997E-2</v>
      </c>
      <c r="W6586">
        <v>0.109907199999999</v>
      </c>
      <c r="X6586">
        <v>0.98890180000000005</v>
      </c>
      <c r="Y6586">
        <v>-0.26639829999999998</v>
      </c>
      <c r="Z6586">
        <v>-6.559342E-2</v>
      </c>
      <c r="AA6586">
        <v>0.96162859999999994</v>
      </c>
      <c r="AB6586">
        <v>33</v>
      </c>
      <c r="AC6586">
        <v>-0.232100000000002</v>
      </c>
      <c r="AD6586">
        <v>-1.1127615448320001</v>
      </c>
      <c r="AE6586">
        <v>15.433160000000001</v>
      </c>
      <c r="AF6586">
        <v>-4.1751680033059797</v>
      </c>
      <c r="AG6586">
        <v>-1.1127615448320001</v>
      </c>
      <c r="AH6586">
        <v>14.7765682078628</v>
      </c>
      <c r="AI6586">
        <v>94.144896102547904</v>
      </c>
      <c r="AJ6586">
        <v>105.777813693741</v>
      </c>
      <c r="AK6586">
        <v>15.395364046137701</v>
      </c>
      <c r="AL6586">
        <v>83.690033938675896</v>
      </c>
      <c r="AM6586">
        <v>95.772428359618402</v>
      </c>
      <c r="AN6586">
        <v>1.0000000038325201</v>
      </c>
    </row>
    <row r="6587" spans="1:40" x14ac:dyDescent="0.25">
      <c r="A6587" t="str">
        <f>"20190312164153664"</f>
        <v>20190312164153664</v>
      </c>
      <c r="B6587" t="str">
        <f>"1552380113652492"</f>
        <v>1552380113652492</v>
      </c>
      <c r="C6587" t="s">
        <v>40</v>
      </c>
      <c r="D6587">
        <v>5.7483250000000004</v>
      </c>
      <c r="E6587">
        <v>0.43944529999999898</v>
      </c>
      <c r="F6587" t="s">
        <v>41</v>
      </c>
      <c r="G6587">
        <v>-189.16239999999999</v>
      </c>
      <c r="H6587" s="1">
        <v>-2.613268E-6</v>
      </c>
      <c r="I6587">
        <v>-24.621970000000001</v>
      </c>
      <c r="J6587">
        <v>-188.87450000000001</v>
      </c>
      <c r="K6587">
        <v>1.1127880000000001</v>
      </c>
      <c r="L6587">
        <v>-39.887180000000001</v>
      </c>
      <c r="M6587">
        <v>0.25324069999999999</v>
      </c>
      <c r="N6587">
        <v>0</v>
      </c>
      <c r="O6587">
        <v>0.96738780000000002</v>
      </c>
      <c r="P6587">
        <v>0.1544307</v>
      </c>
      <c r="Q6587">
        <v>0.1040097</v>
      </c>
      <c r="R6587">
        <v>0.98251370000000005</v>
      </c>
      <c r="S6587">
        <v>-4.1061399999999998E-2</v>
      </c>
      <c r="T6587">
        <v>-0.22040609999999999</v>
      </c>
      <c r="U6587">
        <v>3.0864259999999999</v>
      </c>
      <c r="V6587">
        <v>-0.1004442</v>
      </c>
      <c r="W6587">
        <v>0.1084866</v>
      </c>
      <c r="X6587">
        <v>0.98901039999999996</v>
      </c>
      <c r="Y6587">
        <v>-0.26604899999999998</v>
      </c>
      <c r="Z6587">
        <v>-6.6461389999999995E-2</v>
      </c>
      <c r="AA6587">
        <v>0.96166560000000001</v>
      </c>
      <c r="AB6587">
        <v>34</v>
      </c>
      <c r="AC6587">
        <v>-0.28789999999997901</v>
      </c>
      <c r="AD6587">
        <v>-1.1127906132680001</v>
      </c>
      <c r="AE6587">
        <v>15.26521</v>
      </c>
      <c r="AF6587">
        <v>-4.1224466815190199</v>
      </c>
      <c r="AG6587">
        <v>-1.1127906132680001</v>
      </c>
      <c r="AH6587">
        <v>14.617042975959899</v>
      </c>
      <c r="AI6587">
        <v>94.1906519800078</v>
      </c>
      <c r="AJ6587">
        <v>105.75005158888899</v>
      </c>
      <c r="AK6587">
        <v>15.2279616151343</v>
      </c>
      <c r="AL6587">
        <v>83.771917807966602</v>
      </c>
      <c r="AM6587">
        <v>95.799093270852893</v>
      </c>
      <c r="AN6587">
        <v>0.99999997550067898</v>
      </c>
    </row>
    <row r="6588" spans="1:40" x14ac:dyDescent="0.25">
      <c r="A6588" t="str">
        <f>"20190312164153679"</f>
        <v>20190312164153679</v>
      </c>
      <c r="B6588" t="str">
        <f>"1552380113672988"</f>
        <v>1552380113672988</v>
      </c>
      <c r="C6588" t="s">
        <v>40</v>
      </c>
      <c r="D6588">
        <v>5.7354120000000002</v>
      </c>
      <c r="E6588">
        <v>0.44008190000000003</v>
      </c>
      <c r="F6588" t="s">
        <v>41</v>
      </c>
      <c r="G6588">
        <v>-189.1294</v>
      </c>
      <c r="H6588" s="1">
        <v>-2.7322849999999999E-6</v>
      </c>
      <c r="I6588">
        <v>-24.358170000000001</v>
      </c>
      <c r="J6588">
        <v>-188.81729999999999</v>
      </c>
      <c r="K6588">
        <v>1.112832</v>
      </c>
      <c r="L6588">
        <v>-39.65851</v>
      </c>
      <c r="M6588">
        <v>0.25020750000000003</v>
      </c>
      <c r="N6588">
        <v>0</v>
      </c>
      <c r="O6588">
        <v>0.96817719999999896</v>
      </c>
      <c r="P6588">
        <v>0.1509836</v>
      </c>
      <c r="Q6588">
        <v>0.1034529</v>
      </c>
      <c r="R6588">
        <v>0.98310799999999998</v>
      </c>
      <c r="S6588">
        <v>-5.0628659999999999E-2</v>
      </c>
      <c r="T6588">
        <v>-0.22104950000000001</v>
      </c>
      <c r="U6588">
        <v>3.0847470000000001</v>
      </c>
      <c r="V6588">
        <v>-0.1008357</v>
      </c>
      <c r="W6588">
        <v>0.1078438</v>
      </c>
      <c r="X6588">
        <v>0.9890409</v>
      </c>
      <c r="Y6588">
        <v>-0.26601629999999998</v>
      </c>
      <c r="Z6588">
        <v>-6.6773460000000007E-2</v>
      </c>
      <c r="AA6588">
        <v>0.96165310000000004</v>
      </c>
      <c r="AB6588">
        <v>34</v>
      </c>
      <c r="AC6588">
        <v>-0.31210000000001498</v>
      </c>
      <c r="AD6588">
        <v>-1.1128347322849901</v>
      </c>
      <c r="AE6588">
        <v>15.300339999999901</v>
      </c>
      <c r="AF6588">
        <v>-4.1087615732974099</v>
      </c>
      <c r="AG6588">
        <v>-1.1128347322849901</v>
      </c>
      <c r="AH6588">
        <v>14.6580556141635</v>
      </c>
      <c r="AI6588">
        <v>94.181003145747596</v>
      </c>
      <c r="AJ6588">
        <v>105.658577842677</v>
      </c>
      <c r="AK6588">
        <v>15.263646916628201</v>
      </c>
      <c r="AL6588">
        <v>83.808965125740599</v>
      </c>
      <c r="AM6588">
        <v>95.821363082689203</v>
      </c>
      <c r="AN6588">
        <v>1.0000000127328601</v>
      </c>
    </row>
    <row r="6589" spans="1:40" x14ac:dyDescent="0.25">
      <c r="A6589" t="str">
        <f>"20190312164153696"</f>
        <v>20190312164153696</v>
      </c>
      <c r="B6589" t="str">
        <f>"1552380113692508"</f>
        <v>1552380113692508</v>
      </c>
      <c r="C6589" t="s">
        <v>40</v>
      </c>
      <c r="D6589">
        <v>5.860932</v>
      </c>
      <c r="E6589">
        <v>0.44088040000000001</v>
      </c>
      <c r="F6589" t="s">
        <v>41</v>
      </c>
      <c r="G6589">
        <v>-189.0993</v>
      </c>
      <c r="H6589" s="1">
        <v>-2.750011E-6</v>
      </c>
      <c r="I6589">
        <v>-24.329270000000001</v>
      </c>
      <c r="J6589">
        <v>-188.7552</v>
      </c>
      <c r="K6589">
        <v>1.1128769999999999</v>
      </c>
      <c r="L6589">
        <v>-39.406619999999997</v>
      </c>
      <c r="M6589">
        <v>0.24681539999999999</v>
      </c>
      <c r="N6589">
        <v>0</v>
      </c>
      <c r="O6589">
        <v>0.96904780000000001</v>
      </c>
      <c r="P6589">
        <v>0.1474877</v>
      </c>
      <c r="Q6589">
        <v>0.1025715</v>
      </c>
      <c r="R6589">
        <v>0.98373089999999996</v>
      </c>
      <c r="S6589">
        <v>-5.6747440000000003E-2</v>
      </c>
      <c r="T6589">
        <v>-0.22387270000000001</v>
      </c>
      <c r="U6589">
        <v>3.0838320000000001</v>
      </c>
      <c r="V6589">
        <v>-0.10091840000000001</v>
      </c>
      <c r="W6589">
        <v>0.10687580000000001</v>
      </c>
      <c r="X6589">
        <v>0.9891375</v>
      </c>
      <c r="Y6589">
        <v>-0.26455099999999998</v>
      </c>
      <c r="Z6589">
        <v>-6.7749500000000004E-2</v>
      </c>
      <c r="AA6589">
        <v>0.96198899999999998</v>
      </c>
      <c r="AB6589">
        <v>34</v>
      </c>
      <c r="AC6589">
        <v>-0.34409999999999702</v>
      </c>
      <c r="AD6589">
        <v>-1.1128797500109999</v>
      </c>
      <c r="AE6589">
        <v>15.077349999999999</v>
      </c>
      <c r="AF6589">
        <v>-4.03286923428991</v>
      </c>
      <c r="AG6589">
        <v>-1.1128797500109999</v>
      </c>
      <c r="AH6589">
        <v>14.447281299987001</v>
      </c>
      <c r="AI6589">
        <v>94.243226588908598</v>
      </c>
      <c r="AJ6589">
        <v>105.596746993621</v>
      </c>
      <c r="AK6589">
        <v>15.040826857584101</v>
      </c>
      <c r="AL6589">
        <v>83.864749644507697</v>
      </c>
      <c r="AM6589">
        <v>95.825539552410703</v>
      </c>
      <c r="AN6589">
        <v>0.99999997699522403</v>
      </c>
    </row>
    <row r="6590" spans="1:40" x14ac:dyDescent="0.25">
      <c r="A6590" t="str">
        <f>"20190312164153721"</f>
        <v>20190312164153721</v>
      </c>
      <c r="B6590" t="str">
        <f>"1552380113712536"</f>
        <v>1552380113712536</v>
      </c>
      <c r="C6590" t="s">
        <v>40</v>
      </c>
      <c r="D6590">
        <v>5.7580169999999997</v>
      </c>
      <c r="E6590">
        <v>0.44120470000000001</v>
      </c>
      <c r="F6590" t="s">
        <v>41</v>
      </c>
      <c r="G6590">
        <v>-189.0531</v>
      </c>
      <c r="H6590" s="1">
        <v>-2.727197E-6</v>
      </c>
      <c r="I6590">
        <v>-24.401579999999999</v>
      </c>
      <c r="J6590">
        <v>-188.6704</v>
      </c>
      <c r="K6590">
        <v>1.112978</v>
      </c>
      <c r="L6590">
        <v>-39.055480000000003</v>
      </c>
      <c r="M6590">
        <v>0.24197109999999999</v>
      </c>
      <c r="N6590">
        <v>0</v>
      </c>
      <c r="O6590">
        <v>0.9702693</v>
      </c>
      <c r="P6590">
        <v>0.1429706</v>
      </c>
      <c r="Q6590">
        <v>0.10191550000000001</v>
      </c>
      <c r="R6590">
        <v>0.9844657</v>
      </c>
      <c r="S6590">
        <v>-6.1203E-2</v>
      </c>
      <c r="T6590">
        <v>-0.22863049999999999</v>
      </c>
      <c r="U6590">
        <v>3.0826419999999999</v>
      </c>
      <c r="V6590">
        <v>-0.10055550000000001</v>
      </c>
      <c r="W6590">
        <v>0.1061082</v>
      </c>
      <c r="X6590">
        <v>0.9892571</v>
      </c>
      <c r="Y6590">
        <v>-0.26112610000000003</v>
      </c>
      <c r="Z6590">
        <v>-6.9377069999999999E-2</v>
      </c>
      <c r="AA6590">
        <v>0.96280840000000001</v>
      </c>
      <c r="AB6590">
        <v>34</v>
      </c>
      <c r="AC6590">
        <v>-0.38269999999999899</v>
      </c>
      <c r="AD6590">
        <v>-1.112980727197</v>
      </c>
      <c r="AE6590">
        <v>14.653899999999901</v>
      </c>
      <c r="AF6590">
        <v>-3.8947443436777398</v>
      </c>
      <c r="AG6590">
        <v>-1.112980727197</v>
      </c>
      <c r="AH6590">
        <v>14.044857342714501</v>
      </c>
      <c r="AI6590">
        <v>94.366800227899205</v>
      </c>
      <c r="AJ6590">
        <v>105.499093435601</v>
      </c>
      <c r="AK6590">
        <v>14.617310880559501</v>
      </c>
      <c r="AL6590">
        <v>83.908981452947998</v>
      </c>
      <c r="AM6590">
        <v>95.804037372094001</v>
      </c>
      <c r="AN6590">
        <v>0.99999998429394898</v>
      </c>
    </row>
    <row r="6591" spans="1:40" x14ac:dyDescent="0.25">
      <c r="A6591" t="str">
        <f>"20190312164153743"</f>
        <v>20190312164153743</v>
      </c>
      <c r="B6591" t="str">
        <f>"1552380113732056"</f>
        <v>1552380113732056</v>
      </c>
      <c r="C6591" t="s">
        <v>40</v>
      </c>
      <c r="D6591">
        <v>5.9755330000000004</v>
      </c>
      <c r="E6591">
        <v>0.44217840000000003</v>
      </c>
      <c r="F6591" t="s">
        <v>41</v>
      </c>
      <c r="G6591">
        <v>-189.0223</v>
      </c>
      <c r="H6591" s="1">
        <v>-2.816675E-6</v>
      </c>
      <c r="I6591">
        <v>-24.205729999999999</v>
      </c>
      <c r="J6591">
        <v>-188.5924</v>
      </c>
      <c r="K6591">
        <v>1.1131089999999999</v>
      </c>
      <c r="L6591">
        <v>-38.725369999999998</v>
      </c>
      <c r="M6591">
        <v>0.23727210000000001</v>
      </c>
      <c r="N6591">
        <v>0</v>
      </c>
      <c r="O6591">
        <v>0.97142949999999995</v>
      </c>
      <c r="P6591">
        <v>0.13911870000000001</v>
      </c>
      <c r="Q6591">
        <v>0.10169789999999999</v>
      </c>
      <c r="R6591">
        <v>0.98503989999999997</v>
      </c>
      <c r="S6591">
        <v>-7.3043819999999995E-2</v>
      </c>
      <c r="T6591">
        <v>-0.23098289999999999</v>
      </c>
      <c r="U6591">
        <v>3.0818479999999999</v>
      </c>
      <c r="V6591">
        <v>-9.9672940000000002E-2</v>
      </c>
      <c r="W6591">
        <v>0.1057966</v>
      </c>
      <c r="X6591">
        <v>0.98937980000000003</v>
      </c>
      <c r="Y6591">
        <v>-0.26015480000000002</v>
      </c>
      <c r="Z6591">
        <v>-7.0241330000000005E-2</v>
      </c>
      <c r="AA6591">
        <v>0.96300859999999999</v>
      </c>
      <c r="AB6591">
        <v>34</v>
      </c>
      <c r="AC6591">
        <v>-0.429900000000003</v>
      </c>
      <c r="AD6591">
        <v>-1.11311181667499</v>
      </c>
      <c r="AE6591">
        <v>14.519640000000001</v>
      </c>
      <c r="AF6591">
        <v>-3.84022477733554</v>
      </c>
      <c r="AG6591">
        <v>-1.11311181667499</v>
      </c>
      <c r="AH6591">
        <v>13.9212447155035</v>
      </c>
      <c r="AI6591">
        <v>94.407579461673606</v>
      </c>
      <c r="AJ6591">
        <v>105.42170774280601</v>
      </c>
      <c r="AK6591">
        <v>14.4840394464327</v>
      </c>
      <c r="AL6591">
        <v>83.926935988539498</v>
      </c>
      <c r="AM6591">
        <v>95.752730747917099</v>
      </c>
      <c r="AN6591">
        <v>1.0000000020939199</v>
      </c>
    </row>
    <row r="6592" spans="1:40" x14ac:dyDescent="0.25">
      <c r="A6592" t="str">
        <f>"20190312164153766"</f>
        <v>20190312164153766</v>
      </c>
      <c r="B6592" t="str">
        <f>"1552380113762312"</f>
        <v>1552380113762312</v>
      </c>
      <c r="C6592" t="s">
        <v>40</v>
      </c>
      <c r="D6592">
        <v>5.7261329999999999</v>
      </c>
      <c r="E6592">
        <v>0.44336310000000001</v>
      </c>
      <c r="F6592" t="s">
        <v>41</v>
      </c>
      <c r="G6592">
        <v>-188.96879999999999</v>
      </c>
      <c r="H6592" s="1">
        <v>-3.0129180000000001E-6</v>
      </c>
      <c r="I6592">
        <v>-23.770440000000001</v>
      </c>
      <c r="J6592">
        <v>-188.51589999999999</v>
      </c>
      <c r="K6592">
        <v>1.11324</v>
      </c>
      <c r="L6592">
        <v>-38.394069999999999</v>
      </c>
      <c r="M6592">
        <v>0.2324283</v>
      </c>
      <c r="N6592">
        <v>0</v>
      </c>
      <c r="O6592">
        <v>0.97260009999999997</v>
      </c>
      <c r="P6592">
        <v>0.1351714</v>
      </c>
      <c r="Q6592">
        <v>0.1023046</v>
      </c>
      <c r="R6592">
        <v>0.98552649999999997</v>
      </c>
      <c r="S6592">
        <v>-7.7514650000000004E-2</v>
      </c>
      <c r="T6592">
        <v>-0.2292604</v>
      </c>
      <c r="U6592">
        <v>3.0801699999999999</v>
      </c>
      <c r="V6592">
        <v>-9.8733260000000003E-2</v>
      </c>
      <c r="W6592">
        <v>0.1063177</v>
      </c>
      <c r="X6592">
        <v>0.98941809999999997</v>
      </c>
      <c r="Y6592">
        <v>-0.25675229999999999</v>
      </c>
      <c r="Z6592">
        <v>-6.9920880000000005E-2</v>
      </c>
      <c r="AA6592">
        <v>0.96394469999999999</v>
      </c>
      <c r="AB6592">
        <v>34</v>
      </c>
      <c r="AC6592">
        <v>-0.45289999999999903</v>
      </c>
      <c r="AD6592">
        <v>-1.113243012918</v>
      </c>
      <c r="AE6592">
        <v>14.62363</v>
      </c>
      <c r="AF6592">
        <v>-3.8173848426822601</v>
      </c>
      <c r="AG6592">
        <v>-1.113243012918</v>
      </c>
      <c r="AH6592">
        <v>14.0365945415236</v>
      </c>
      <c r="AI6592">
        <v>94.376336205088904</v>
      </c>
      <c r="AJ6592">
        <v>105.21416457830701</v>
      </c>
      <c r="AK6592">
        <v>14.5889589541571</v>
      </c>
      <c r="AL6592">
        <v>83.896909450704399</v>
      </c>
      <c r="AM6592">
        <v>95.698635630076794</v>
      </c>
      <c r="AN6592">
        <v>0.99999994328556197</v>
      </c>
    </row>
    <row r="6593" spans="1:40" x14ac:dyDescent="0.25">
      <c r="A6593" t="str">
        <f>"20190312164153788"</f>
        <v>20190312164153788</v>
      </c>
      <c r="B6593" t="str">
        <f>"1552380113782808"</f>
        <v>1552380113782808</v>
      </c>
      <c r="C6593" t="s">
        <v>40</v>
      </c>
      <c r="D6593">
        <v>5.9831120000000002</v>
      </c>
      <c r="E6593">
        <v>0.44419019999999998</v>
      </c>
      <c r="F6593" t="s">
        <v>41</v>
      </c>
      <c r="G6593">
        <v>-188.91220000000001</v>
      </c>
      <c r="H6593" s="1">
        <v>-3.3026520000000001E-6</v>
      </c>
      <c r="I6593">
        <v>-23.11842</v>
      </c>
      <c r="J6593">
        <v>-188.4391</v>
      </c>
      <c r="K6593">
        <v>1.113381</v>
      </c>
      <c r="L6593">
        <v>-38.052979999999998</v>
      </c>
      <c r="M6593">
        <v>0.2273019</v>
      </c>
      <c r="N6593">
        <v>0</v>
      </c>
      <c r="O6593">
        <v>0.97381130000000005</v>
      </c>
      <c r="P6593">
        <v>0.1302876</v>
      </c>
      <c r="Q6593">
        <v>0.10269589999999899</v>
      </c>
      <c r="R6593">
        <v>0.9861434</v>
      </c>
      <c r="S6593">
        <v>-7.9864500000000005E-2</v>
      </c>
      <c r="T6593">
        <v>-0.2243377</v>
      </c>
      <c r="U6593">
        <v>3.0783079999999998</v>
      </c>
      <c r="V6593">
        <v>-9.8455970000000004E-2</v>
      </c>
      <c r="W6593">
        <v>0.1066183</v>
      </c>
      <c r="X6593">
        <v>0.9894134</v>
      </c>
      <c r="Y6593">
        <v>-0.25241229999999998</v>
      </c>
      <c r="Z6593">
        <v>-6.864141E-2</v>
      </c>
      <c r="AA6593">
        <v>0.96518210000000004</v>
      </c>
      <c r="AB6593">
        <v>34</v>
      </c>
      <c r="AC6593">
        <v>-0.47310000000001601</v>
      </c>
      <c r="AD6593">
        <v>-1.1133843026520001</v>
      </c>
      <c r="AE6593">
        <v>14.9345599999999</v>
      </c>
      <c r="AF6593">
        <v>-3.8341248955431801</v>
      </c>
      <c r="AG6593">
        <v>-1.1133843026520001</v>
      </c>
      <c r="AH6593">
        <v>14.3563797464584</v>
      </c>
      <c r="AI6593">
        <v>94.285005551326805</v>
      </c>
      <c r="AJ6593">
        <v>104.952865496355</v>
      </c>
      <c r="AK6593">
        <v>14.901200547087999</v>
      </c>
      <c r="AL6593">
        <v>83.879587975259298</v>
      </c>
      <c r="AM6593">
        <v>95.682762864868906</v>
      </c>
      <c r="AN6593">
        <v>0.99999995801154395</v>
      </c>
    </row>
    <row r="6594" spans="1:40" x14ac:dyDescent="0.25">
      <c r="A6594" t="str">
        <f>"20190312164153809"</f>
        <v>20190312164153809</v>
      </c>
      <c r="B6594" t="str">
        <f>"1552380113802836"</f>
        <v>1552380113802836</v>
      </c>
      <c r="C6594" t="s">
        <v>40</v>
      </c>
      <c r="D6594">
        <v>6.0892369999999998</v>
      </c>
      <c r="E6594">
        <v>0.44512000000000002</v>
      </c>
      <c r="F6594" t="s">
        <v>41</v>
      </c>
      <c r="G6594">
        <v>-188.8784</v>
      </c>
      <c r="H6594" s="1">
        <v>-3.5088799999999999E-6</v>
      </c>
      <c r="I6594">
        <v>-22.651689999999999</v>
      </c>
      <c r="J6594">
        <v>-188.36920000000001</v>
      </c>
      <c r="K6594">
        <v>1.11351</v>
      </c>
      <c r="L6594">
        <v>-37.73489</v>
      </c>
      <c r="M6594">
        <v>0.22239139999999999</v>
      </c>
      <c r="N6594">
        <v>0</v>
      </c>
      <c r="O6594">
        <v>0.9749447</v>
      </c>
      <c r="P6594">
        <v>0.12549679999999999</v>
      </c>
      <c r="Q6594">
        <v>0.1025817</v>
      </c>
      <c r="R6594">
        <v>0.9867764</v>
      </c>
      <c r="S6594">
        <v>-8.7768550000000001E-2</v>
      </c>
      <c r="T6594">
        <v>-0.2224344</v>
      </c>
      <c r="U6594">
        <v>3.0769039999999999</v>
      </c>
      <c r="V6594">
        <v>-9.831268E-2</v>
      </c>
      <c r="W6594">
        <v>0.1064258</v>
      </c>
      <c r="X6594">
        <v>0.98944840000000001</v>
      </c>
      <c r="Y6594">
        <v>-0.25002560000000001</v>
      </c>
      <c r="Z6594">
        <v>-6.8235219999999999E-2</v>
      </c>
      <c r="AA6594">
        <v>0.96583180000000002</v>
      </c>
      <c r="AB6594">
        <v>34</v>
      </c>
      <c r="AC6594">
        <v>-0.50919999999999199</v>
      </c>
      <c r="AD6594">
        <v>-1.1135135088799999</v>
      </c>
      <c r="AE6594">
        <v>15.0832</v>
      </c>
      <c r="AF6594">
        <v>-3.83001357230349</v>
      </c>
      <c r="AG6594">
        <v>-1.1135135088799999</v>
      </c>
      <c r="AH6594">
        <v>14.5132174963003</v>
      </c>
      <c r="AI6594">
        <v>94.242680584205701</v>
      </c>
      <c r="AJ6594">
        <v>104.783230697766</v>
      </c>
      <c r="AK6594">
        <v>15.0513254696523</v>
      </c>
      <c r="AL6594">
        <v>83.890680692315499</v>
      </c>
      <c r="AM6594">
        <v>95.674346933053499</v>
      </c>
      <c r="AN6594">
        <v>0.99999998510849097</v>
      </c>
    </row>
    <row r="6595" spans="1:40" x14ac:dyDescent="0.25">
      <c r="A6595" t="str">
        <f>"20190312164153832"</f>
        <v>20190312164153832</v>
      </c>
      <c r="B6595" t="str">
        <f>"1552380113822356"</f>
        <v>1552380113822356</v>
      </c>
      <c r="C6595" t="s">
        <v>40</v>
      </c>
      <c r="D6595">
        <v>5.7632440000000003</v>
      </c>
      <c r="E6595">
        <v>0.44597540000000002</v>
      </c>
      <c r="F6595" t="s">
        <v>41</v>
      </c>
      <c r="G6595">
        <v>-188.8587</v>
      </c>
      <c r="H6595" s="1">
        <v>-3.7700220000000001E-6</v>
      </c>
      <c r="I6595">
        <v>-22.051120000000001</v>
      </c>
      <c r="J6595">
        <v>-188.29580000000001</v>
      </c>
      <c r="K6595">
        <v>1.1136509999999999</v>
      </c>
      <c r="L6595">
        <v>-37.391779999999997</v>
      </c>
      <c r="M6595">
        <v>0.21695619999999999</v>
      </c>
      <c r="N6595">
        <v>0</v>
      </c>
      <c r="O6595">
        <v>0.97616879999999995</v>
      </c>
      <c r="P6595">
        <v>0.1204271</v>
      </c>
      <c r="Q6595">
        <v>0.1026637</v>
      </c>
      <c r="R6595">
        <v>0.98739929999999998</v>
      </c>
      <c r="S6595">
        <v>-9.5962519999999996E-2</v>
      </c>
      <c r="T6595">
        <v>-0.21832570000000001</v>
      </c>
      <c r="U6595">
        <v>3.0751040000000001</v>
      </c>
      <c r="V6595">
        <v>-9.7920049999999995E-2</v>
      </c>
      <c r="W6595">
        <v>0.1064339</v>
      </c>
      <c r="X6595">
        <v>0.98948650000000005</v>
      </c>
      <c r="Y6595">
        <v>-0.24722079999999999</v>
      </c>
      <c r="Z6595">
        <v>-6.7172800000000005E-2</v>
      </c>
      <c r="AA6595">
        <v>0.96662800000000004</v>
      </c>
      <c r="AB6595">
        <v>35</v>
      </c>
      <c r="AC6595">
        <v>-0.56289999999998397</v>
      </c>
      <c r="AD6595">
        <v>-1.1136547700220001</v>
      </c>
      <c r="AE6595">
        <v>15.3406599999999</v>
      </c>
      <c r="AF6595">
        <v>-3.8574824698255199</v>
      </c>
      <c r="AG6595">
        <v>-1.1136547700220001</v>
      </c>
      <c r="AH6595">
        <v>14.775368894528</v>
      </c>
      <c r="AI6595">
        <v>94.171079921848602</v>
      </c>
      <c r="AJ6595">
        <v>104.63190502045001</v>
      </c>
      <c r="AK6595">
        <v>15.3111699070055</v>
      </c>
      <c r="AL6595">
        <v>83.890214174622699</v>
      </c>
      <c r="AM6595">
        <v>95.651616167918405</v>
      </c>
      <c r="AN6595">
        <v>1.00000002247173</v>
      </c>
    </row>
    <row r="6596" spans="1:40" x14ac:dyDescent="0.25">
      <c r="A6596" t="str">
        <f>"20190312164153853"</f>
        <v>20190312164153853</v>
      </c>
      <c r="B6596" t="str">
        <f>"1552380113842852"</f>
        <v>1552380113842852</v>
      </c>
      <c r="C6596" t="s">
        <v>40</v>
      </c>
      <c r="D6596">
        <v>6.2245239999999997</v>
      </c>
      <c r="E6596">
        <v>0.44682369999999999</v>
      </c>
      <c r="F6596" t="s">
        <v>41</v>
      </c>
      <c r="G6596">
        <v>-188.84129999999999</v>
      </c>
      <c r="H6596" s="1">
        <v>-4.0491209999999999E-6</v>
      </c>
      <c r="I6596">
        <v>-21.407730000000001</v>
      </c>
      <c r="J6596">
        <v>-188.22669999999999</v>
      </c>
      <c r="K6596">
        <v>1.113791</v>
      </c>
      <c r="L6596">
        <v>-37.059359999999998</v>
      </c>
      <c r="M6596">
        <v>0.21155869999999999</v>
      </c>
      <c r="N6596">
        <v>0</v>
      </c>
      <c r="O6596">
        <v>0.97735289999999997</v>
      </c>
      <c r="P6596">
        <v>0.1161658</v>
      </c>
      <c r="Q6596">
        <v>0.10247920000000001</v>
      </c>
      <c r="R6596">
        <v>0.9879289</v>
      </c>
      <c r="S6596">
        <v>-0.1048737</v>
      </c>
      <c r="T6596">
        <v>-0.21412800000000001</v>
      </c>
      <c r="U6596">
        <v>3.073334</v>
      </c>
      <c r="V6596">
        <v>-9.6760380000000007E-2</v>
      </c>
      <c r="W6596">
        <v>0.106194</v>
      </c>
      <c r="X6596">
        <v>0.98962629999999996</v>
      </c>
      <c r="Y6596">
        <v>-0.24468609999999999</v>
      </c>
      <c r="Z6596">
        <v>-6.6067730000000005E-2</v>
      </c>
      <c r="AA6596">
        <v>0.96734880000000001</v>
      </c>
      <c r="AB6596">
        <v>35</v>
      </c>
      <c r="AC6596">
        <v>-0.61459999999999504</v>
      </c>
      <c r="AD6596">
        <v>-1.113795049121</v>
      </c>
      <c r="AE6596">
        <v>15.6516299999999</v>
      </c>
      <c r="AF6596">
        <v>-3.8922868805894799</v>
      </c>
      <c r="AG6596">
        <v>-1.113795049121</v>
      </c>
      <c r="AH6596">
        <v>15.091022825973401</v>
      </c>
      <c r="AI6596">
        <v>94.087769181210703</v>
      </c>
      <c r="AJ6596">
        <v>104.462567241404</v>
      </c>
      <c r="AK6596">
        <v>15.6246410040777</v>
      </c>
      <c r="AL6596">
        <v>83.904037486373596</v>
      </c>
      <c r="AM6596">
        <v>95.584325619288407</v>
      </c>
      <c r="AN6596">
        <v>0.999999975212716</v>
      </c>
    </row>
    <row r="6597" spans="1:40" x14ac:dyDescent="0.25">
      <c r="A6597" t="str">
        <f>"20190312164153875"</f>
        <v>20190312164153875</v>
      </c>
      <c r="B6597" t="str">
        <f>"1552380113872133"</f>
        <v>1552380113872133</v>
      </c>
      <c r="C6597" t="s">
        <v>40</v>
      </c>
      <c r="D6597">
        <v>5.8125819999999999</v>
      </c>
      <c r="E6597">
        <v>0.44784220000000002</v>
      </c>
      <c r="F6597" t="s">
        <v>41</v>
      </c>
      <c r="G6597">
        <v>-188.8142</v>
      </c>
      <c r="H6597" s="1">
        <v>-4.3051950000000004E-6</v>
      </c>
      <c r="I6597">
        <v>-20.822019999999998</v>
      </c>
      <c r="J6597">
        <v>-188.16130000000001</v>
      </c>
      <c r="K6597">
        <v>1.1139129999999999</v>
      </c>
      <c r="L6597">
        <v>-36.735720000000001</v>
      </c>
      <c r="M6597">
        <v>0.20619009999999999</v>
      </c>
      <c r="N6597">
        <v>0</v>
      </c>
      <c r="O6597">
        <v>0.97849969999999997</v>
      </c>
      <c r="P6597">
        <v>0.11161260000000001</v>
      </c>
      <c r="Q6597">
        <v>0.1023168</v>
      </c>
      <c r="R6597">
        <v>0.98847050000000003</v>
      </c>
      <c r="S6597">
        <v>-0.1111298</v>
      </c>
      <c r="T6597">
        <v>-0.21069289999999999</v>
      </c>
      <c r="U6597">
        <v>3.071564</v>
      </c>
      <c r="V6597">
        <v>-9.5924480000000006E-2</v>
      </c>
      <c r="W6597">
        <v>0.1059792</v>
      </c>
      <c r="X6597">
        <v>0.98973069999999996</v>
      </c>
      <c r="Y6597">
        <v>-0.2413516</v>
      </c>
      <c r="Z6597">
        <v>-6.5193929999999997E-2</v>
      </c>
      <c r="AA6597">
        <v>0.96824540000000003</v>
      </c>
      <c r="AB6597">
        <v>35</v>
      </c>
      <c r="AC6597">
        <v>-0.65289999999998805</v>
      </c>
      <c r="AD6597">
        <v>-1.113917305195</v>
      </c>
      <c r="AE6597">
        <v>15.9137</v>
      </c>
      <c r="AF6597">
        <v>-3.9010751332391802</v>
      </c>
      <c r="AG6597">
        <v>-1.113917305195</v>
      </c>
      <c r="AH6597">
        <v>15.3619727011306</v>
      </c>
      <c r="AI6597">
        <v>94.020173693167607</v>
      </c>
      <c r="AJ6597">
        <v>104.248707401868</v>
      </c>
      <c r="AK6597">
        <v>15.8886564639139</v>
      </c>
      <c r="AL6597">
        <v>83.916414479377394</v>
      </c>
      <c r="AM6597">
        <v>95.535804032534799</v>
      </c>
      <c r="AN6597">
        <v>0.99999997760920001</v>
      </c>
    </row>
    <row r="6598" spans="1:40" x14ac:dyDescent="0.25">
      <c r="A6598" t="str">
        <f>"20190312164153899"</f>
        <v>20190312164153899</v>
      </c>
      <c r="B6598" t="str">
        <f>"1552380113892629"</f>
        <v>1552380113892629</v>
      </c>
      <c r="C6598" t="s">
        <v>40</v>
      </c>
      <c r="D6598">
        <v>5.835134</v>
      </c>
      <c r="E6598">
        <v>0.46237929999999999</v>
      </c>
      <c r="F6598" t="s">
        <v>41</v>
      </c>
      <c r="G6598">
        <v>-188.77350000000001</v>
      </c>
      <c r="H6598" s="1">
        <v>-4.3506060000000001E-6</v>
      </c>
      <c r="I6598">
        <v>-20.732990000000001</v>
      </c>
      <c r="J6598">
        <v>-188.08940000000001</v>
      </c>
      <c r="K6598">
        <v>1.1140490000000001</v>
      </c>
      <c r="L6598">
        <v>-36.369019999999999</v>
      </c>
      <c r="M6598">
        <v>0.1999939</v>
      </c>
      <c r="N6598">
        <v>0</v>
      </c>
      <c r="O6598">
        <v>0.97978509999999996</v>
      </c>
      <c r="P6598">
        <v>0.10655679999999999</v>
      </c>
      <c r="Q6598">
        <v>0.1013564</v>
      </c>
      <c r="R6598">
        <v>0.98912719999999998</v>
      </c>
      <c r="S6598">
        <v>-0.1174622</v>
      </c>
      <c r="T6598">
        <v>-0.21372250000000001</v>
      </c>
      <c r="U6598">
        <v>3.0703740000000002</v>
      </c>
      <c r="V6598">
        <v>-9.4767970000000007E-2</v>
      </c>
      <c r="W6598">
        <v>0.1049697</v>
      </c>
      <c r="X6598">
        <v>0.98994970000000004</v>
      </c>
      <c r="Y6598">
        <v>-0.2372136</v>
      </c>
      <c r="Z6598">
        <v>-6.6319119999999995E-2</v>
      </c>
      <c r="AA6598">
        <v>0.96919109999999997</v>
      </c>
      <c r="AB6598">
        <v>35</v>
      </c>
      <c r="AC6598">
        <v>-0.68410000000000004</v>
      </c>
      <c r="AD6598">
        <v>-1.114053350606</v>
      </c>
      <c r="AE6598">
        <v>15.6360299999999</v>
      </c>
      <c r="AF6598">
        <v>-3.7782828430703099</v>
      </c>
      <c r="AG6598">
        <v>-1.114053350606</v>
      </c>
      <c r="AH6598">
        <v>15.106770487441899</v>
      </c>
      <c r="AI6598">
        <v>94.092064432859502</v>
      </c>
      <c r="AJ6598">
        <v>104.04191981374601</v>
      </c>
      <c r="AK6598">
        <v>15.611888119970599</v>
      </c>
      <c r="AL6598">
        <v>83.974579193195694</v>
      </c>
      <c r="AM6598">
        <v>95.468266346437801</v>
      </c>
      <c r="AN6598">
        <v>1.0000000072930499</v>
      </c>
    </row>
    <row r="6599" spans="1:40" x14ac:dyDescent="0.25">
      <c r="A6599" t="str">
        <f>"20190312164153920"</f>
        <v>20190312164153920</v>
      </c>
      <c r="B6599" t="str">
        <f>"1552380113912149"</f>
        <v>1552380113912149</v>
      </c>
      <c r="C6599" t="s">
        <v>40</v>
      </c>
      <c r="D6599">
        <v>5.8751350000000002</v>
      </c>
      <c r="E6599">
        <v>0.46205350000000001</v>
      </c>
      <c r="F6599" t="s">
        <v>41</v>
      </c>
      <c r="G6599">
        <v>-188.18520000000001</v>
      </c>
      <c r="H6599" s="1">
        <v>-1.9916929999999999E-6</v>
      </c>
      <c r="I6599">
        <v>-16.474920000000001</v>
      </c>
      <c r="J6599">
        <v>-188.02529999999999</v>
      </c>
      <c r="K6599">
        <v>1.1141559999999999</v>
      </c>
      <c r="L6599">
        <v>-36.029690000000002</v>
      </c>
      <c r="M6599">
        <v>0.19416739999999999</v>
      </c>
      <c r="N6599">
        <v>0</v>
      </c>
      <c r="O6599">
        <v>0.98095650000000001</v>
      </c>
      <c r="P6599">
        <v>0.10193679999999999</v>
      </c>
      <c r="Q6599">
        <v>0.1002865</v>
      </c>
      <c r="R6599">
        <v>0.98972300000000002</v>
      </c>
      <c r="S6599">
        <v>-1.4694209999999999E-2</v>
      </c>
      <c r="T6599">
        <v>-0.1709126</v>
      </c>
      <c r="U6599">
        <v>3.052063</v>
      </c>
      <c r="V6599">
        <v>-9.354585E-2</v>
      </c>
      <c r="W6599">
        <v>0.10386280000000001</v>
      </c>
      <c r="X6599">
        <v>0.99018260000000002</v>
      </c>
      <c r="Y6599">
        <v>-0.19888</v>
      </c>
      <c r="Z6599">
        <v>-5.375709E-2</v>
      </c>
      <c r="AA6599">
        <v>0.97854830000000004</v>
      </c>
      <c r="AB6599">
        <v>35</v>
      </c>
      <c r="AC6599">
        <v>-0.159900000000021</v>
      </c>
      <c r="AD6599">
        <v>-1.114157991693</v>
      </c>
      <c r="AE6599">
        <v>19.554770000000001</v>
      </c>
      <c r="AF6599">
        <v>-3.9410071641768001</v>
      </c>
      <c r="AG6599">
        <v>-1.114157991693</v>
      </c>
      <c r="AH6599">
        <v>19.0895888029719</v>
      </c>
      <c r="AI6599">
        <v>93.271427851068296</v>
      </c>
      <c r="AJ6599">
        <v>101.664721064928</v>
      </c>
      <c r="AK6599">
        <v>19.523966967937099</v>
      </c>
      <c r="AL6599">
        <v>84.038348100724804</v>
      </c>
      <c r="AM6599">
        <v>95.396905093994405</v>
      </c>
      <c r="AN6599">
        <v>0.99999994430940897</v>
      </c>
    </row>
    <row r="6600" spans="1:40" x14ac:dyDescent="0.25">
      <c r="A6600" t="str">
        <f>"20190312164153943"</f>
        <v>20190312164153943</v>
      </c>
      <c r="B6600" t="str">
        <f>"1552380113932644"</f>
        <v>1552380113932644</v>
      </c>
      <c r="C6600" t="s">
        <v>40</v>
      </c>
      <c r="D6600">
        <v>5.7750579999999996</v>
      </c>
      <c r="E6600">
        <v>0.46251199999999998</v>
      </c>
      <c r="F6600" t="s">
        <v>41</v>
      </c>
      <c r="G6600">
        <v>-188.2064</v>
      </c>
      <c r="H6600" s="1">
        <v>-6.2743109999999997E-7</v>
      </c>
      <c r="I6600">
        <v>-19.910530000000001</v>
      </c>
      <c r="J6600">
        <v>-187.96080000000001</v>
      </c>
      <c r="K6600">
        <v>1.11426</v>
      </c>
      <c r="L6600">
        <v>-35.676909999999999</v>
      </c>
      <c r="M6600">
        <v>0.18804670000000001</v>
      </c>
      <c r="N6600">
        <v>0</v>
      </c>
      <c r="O6600">
        <v>0.98214829999999997</v>
      </c>
      <c r="P6600">
        <v>9.7116980000000006E-2</v>
      </c>
      <c r="Q6600">
        <v>9.9642220000000004E-2</v>
      </c>
      <c r="R6600">
        <v>0.9902725</v>
      </c>
      <c r="S6600">
        <v>-3.4347530000000001E-2</v>
      </c>
      <c r="T6600">
        <v>-0.21123700000000001</v>
      </c>
      <c r="U6600">
        <v>3.0560909999999999</v>
      </c>
      <c r="V6600">
        <v>-9.2225080000000001E-2</v>
      </c>
      <c r="W6600">
        <v>0.1031851</v>
      </c>
      <c r="X6600">
        <v>0.99037739999999996</v>
      </c>
      <c r="Y6600">
        <v>-0.1990451</v>
      </c>
      <c r="Z6600">
        <v>-6.6418900000000003E-2</v>
      </c>
      <c r="AA6600">
        <v>0.97773690000000002</v>
      </c>
      <c r="AB6600">
        <v>35</v>
      </c>
      <c r="AC6600">
        <v>-0.24559999999999599</v>
      </c>
      <c r="AD6600">
        <v>-1.1142606274311</v>
      </c>
      <c r="AE6600">
        <v>15.76638</v>
      </c>
      <c r="AF6600">
        <v>-3.1901385454021298</v>
      </c>
      <c r="AG6600">
        <v>-1.1142606274311</v>
      </c>
      <c r="AH6600">
        <v>15.362206761148199</v>
      </c>
      <c r="AI6600">
        <v>94.062182791541801</v>
      </c>
      <c r="AJ6600">
        <v>101.731390722901</v>
      </c>
      <c r="AK6600">
        <v>15.729461442051001</v>
      </c>
      <c r="AL6600">
        <v>84.077387616467405</v>
      </c>
      <c r="AM6600">
        <v>95.320106285055104</v>
      </c>
      <c r="AN6600">
        <v>1.00000001233688</v>
      </c>
    </row>
    <row r="6601" spans="1:40" x14ac:dyDescent="0.25">
      <c r="A6601" t="str">
        <f>"20190312164153967"</f>
        <v>20190312164153967</v>
      </c>
      <c r="B6601" t="str">
        <f>"1552380113962900"</f>
        <v>1552380113962900</v>
      </c>
      <c r="C6601" t="s">
        <v>40</v>
      </c>
      <c r="D6601">
        <v>5.8736639999999998</v>
      </c>
      <c r="E6601">
        <v>0.46297339999999998</v>
      </c>
      <c r="F6601" t="s">
        <v>41</v>
      </c>
      <c r="G6601">
        <v>-188.19649999999999</v>
      </c>
      <c r="H6601" s="1">
        <v>-5.4501819999999897E-7</v>
      </c>
      <c r="I6601">
        <v>-20.160440000000001</v>
      </c>
      <c r="J6601">
        <v>-187.89750000000001</v>
      </c>
      <c r="K6601">
        <v>1.114347</v>
      </c>
      <c r="L6601">
        <v>-35.318210000000001</v>
      </c>
      <c r="M6601">
        <v>0.18177550000000001</v>
      </c>
      <c r="N6601">
        <v>0</v>
      </c>
      <c r="O6601">
        <v>0.98332839999999999</v>
      </c>
      <c r="P6601">
        <v>9.2091919999999994E-2</v>
      </c>
      <c r="Q6601">
        <v>9.9374160000000003E-2</v>
      </c>
      <c r="R6601">
        <v>0.99077939999999998</v>
      </c>
      <c r="S6601">
        <v>-4.6432500000000002E-2</v>
      </c>
      <c r="T6601">
        <v>-0.21946470000000001</v>
      </c>
      <c r="U6601">
        <v>3.0561219999999998</v>
      </c>
      <c r="V6601">
        <v>-9.0956519999999999E-2</v>
      </c>
      <c r="W6601">
        <v>0.1028896</v>
      </c>
      <c r="X6601">
        <v>0.9905254</v>
      </c>
      <c r="Y6601">
        <v>-0.19665350000000001</v>
      </c>
      <c r="Z6601">
        <v>-6.9134329999999994E-2</v>
      </c>
      <c r="AA6601">
        <v>0.97803260000000003</v>
      </c>
      <c r="AB6601">
        <v>36</v>
      </c>
      <c r="AC6601">
        <v>-0.29899999999997801</v>
      </c>
      <c r="AD6601">
        <v>-1.1143475450182001</v>
      </c>
      <c r="AE6601">
        <v>15.157769999999999</v>
      </c>
      <c r="AF6601">
        <v>-3.03297545361576</v>
      </c>
      <c r="AG6601">
        <v>-1.1143475450182001</v>
      </c>
      <c r="AH6601">
        <v>14.7710830232486</v>
      </c>
      <c r="AI6601">
        <v>94.226440771811397</v>
      </c>
      <c r="AJ6601">
        <v>101.60337795751801</v>
      </c>
      <c r="AK6601">
        <v>15.1203705058119</v>
      </c>
      <c r="AL6601">
        <v>84.094408824987696</v>
      </c>
      <c r="AM6601">
        <v>95.246559658194798</v>
      </c>
      <c r="AN6601">
        <v>0.99999996318191398</v>
      </c>
    </row>
    <row r="6602" spans="1:40" x14ac:dyDescent="0.25">
      <c r="A6602" t="str">
        <f>"20190312164153990"</f>
        <v>20190312164153990</v>
      </c>
      <c r="B6602" t="str">
        <f>"1552380113982422"</f>
        <v>1552380113982422</v>
      </c>
      <c r="C6602" t="s">
        <v>40</v>
      </c>
      <c r="D6602">
        <v>5.8726640000000003</v>
      </c>
      <c r="E6602">
        <v>0.46206259999999999</v>
      </c>
      <c r="F6602" t="s">
        <v>41</v>
      </c>
      <c r="G6602">
        <v>-188.20359999999999</v>
      </c>
      <c r="H6602" s="1">
        <v>-8.5475709999999997E-7</v>
      </c>
      <c r="I6602">
        <v>-19.24474</v>
      </c>
      <c r="J6602">
        <v>-187.83609999999999</v>
      </c>
      <c r="K6602">
        <v>1.114433</v>
      </c>
      <c r="L6602">
        <v>-34.956539999999997</v>
      </c>
      <c r="M6602">
        <v>0.1754212</v>
      </c>
      <c r="N6602">
        <v>0</v>
      </c>
      <c r="O6602">
        <v>0.98448190000000002</v>
      </c>
      <c r="P6602">
        <v>8.7405399999999994E-2</v>
      </c>
      <c r="Q6602">
        <v>9.9371050000000002E-2</v>
      </c>
      <c r="R6602">
        <v>0.99120410000000003</v>
      </c>
      <c r="S6602">
        <v>-5.8166500000000003E-2</v>
      </c>
      <c r="T6602">
        <v>-0.21176819999999999</v>
      </c>
      <c r="U6602">
        <v>3.0545650000000002</v>
      </c>
      <c r="V6602">
        <v>-8.9266120000000004E-2</v>
      </c>
      <c r="W6602">
        <v>0.10287159999999999</v>
      </c>
      <c r="X6602">
        <v>0.99068109999999998</v>
      </c>
      <c r="Y6602">
        <v>-0.19408790000000001</v>
      </c>
      <c r="Z6602">
        <v>-6.6890270000000002E-2</v>
      </c>
      <c r="AA6602">
        <v>0.97870100000000004</v>
      </c>
      <c r="AB6602">
        <v>36</v>
      </c>
      <c r="AC6602">
        <v>-0.36750000000000599</v>
      </c>
      <c r="AD6602">
        <v>-1.1144338547571</v>
      </c>
      <c r="AE6602">
        <v>15.7118</v>
      </c>
      <c r="AF6602">
        <v>-3.1024156357626098</v>
      </c>
      <c r="AG6602">
        <v>-1.1144338547571</v>
      </c>
      <c r="AH6602">
        <v>15.3266244508621</v>
      </c>
      <c r="AI6602">
        <v>94.076400602020499</v>
      </c>
      <c r="AJ6602">
        <v>101.443194216869</v>
      </c>
      <c r="AK6602">
        <v>15.6771286481746</v>
      </c>
      <c r="AL6602">
        <v>84.095446011617796</v>
      </c>
      <c r="AM6602">
        <v>95.148778085844398</v>
      </c>
      <c r="AN6602">
        <v>1.0000000240818101</v>
      </c>
    </row>
    <row r="6603" spans="1:40" x14ac:dyDescent="0.25">
      <c r="A6603" t="str">
        <f>"20190312164154011"</f>
        <v>20190312164154011</v>
      </c>
      <c r="B6603" t="str">
        <f>"1552380114002448"</f>
        <v>1552380114002448</v>
      </c>
      <c r="C6603" t="s">
        <v>40</v>
      </c>
      <c r="D6603">
        <v>6.1427870000000002</v>
      </c>
      <c r="E6603">
        <v>0.46167619999999998</v>
      </c>
      <c r="F6603" t="s">
        <v>41</v>
      </c>
      <c r="G6603">
        <v>-188.2799</v>
      </c>
      <c r="H6603" s="1">
        <v>-1.417601E-6</v>
      </c>
      <c r="I6603">
        <v>-17.773989999999898</v>
      </c>
      <c r="J6603">
        <v>-187.7816</v>
      </c>
      <c r="K6603">
        <v>1.114506</v>
      </c>
      <c r="L6603">
        <v>-34.623779999999996</v>
      </c>
      <c r="M6603">
        <v>0.16955880000000001</v>
      </c>
      <c r="N6603">
        <v>0</v>
      </c>
      <c r="O6603">
        <v>0.98550859999999996</v>
      </c>
      <c r="P6603">
        <v>8.3307729999999997E-2</v>
      </c>
      <c r="Q6603">
        <v>0.1001799</v>
      </c>
      <c r="R6603">
        <v>0.99147560000000001</v>
      </c>
      <c r="S6603">
        <v>-7.8872680000000001E-2</v>
      </c>
      <c r="T6603">
        <v>-0.1980412</v>
      </c>
      <c r="U6603">
        <v>3.053436</v>
      </c>
      <c r="V6603">
        <v>-8.7481009999999998E-2</v>
      </c>
      <c r="W6603">
        <v>0.1036769</v>
      </c>
      <c r="X6603">
        <v>0.99075639999999998</v>
      </c>
      <c r="Y6603">
        <v>-0.1948975</v>
      </c>
      <c r="Z6603">
        <v>-6.2685500000000005E-2</v>
      </c>
      <c r="AA6603">
        <v>0.97881839999999998</v>
      </c>
      <c r="AB6603">
        <v>36</v>
      </c>
      <c r="AC6603">
        <v>-0.49830000000000002</v>
      </c>
      <c r="AD6603">
        <v>-1.1145074176009999</v>
      </c>
      <c r="AE6603">
        <v>16.849789999999999</v>
      </c>
      <c r="AF6603">
        <v>-3.3335753526660601</v>
      </c>
      <c r="AG6603">
        <v>-1.1145074176009999</v>
      </c>
      <c r="AH6603">
        <v>16.449405519451702</v>
      </c>
      <c r="AI6603">
        <v>93.799079605462495</v>
      </c>
      <c r="AJ6603">
        <v>101.456197545734</v>
      </c>
      <c r="AK6603">
        <v>16.820754839161001</v>
      </c>
      <c r="AL6603">
        <v>84.049057745753203</v>
      </c>
      <c r="AM6603">
        <v>95.045970250161105</v>
      </c>
      <c r="AN6603">
        <v>1.00000003542259</v>
      </c>
    </row>
    <row r="6604" spans="1:40" x14ac:dyDescent="0.25">
      <c r="A6604" t="str">
        <f>"20190312164154033"</f>
        <v>20190312164154033</v>
      </c>
      <c r="B6604" t="str">
        <f>"1552380114022943"</f>
        <v>1552380114022943</v>
      </c>
      <c r="C6604" t="s">
        <v>40</v>
      </c>
      <c r="D6604">
        <v>5.8102539999999996</v>
      </c>
      <c r="E6604">
        <v>0.46106279999999999</v>
      </c>
      <c r="F6604" t="s">
        <v>41</v>
      </c>
      <c r="G6604">
        <v>-188.33510000000001</v>
      </c>
      <c r="H6604" s="1">
        <v>-1.9113790000000001E-6</v>
      </c>
      <c r="I6604">
        <v>-16.60014</v>
      </c>
      <c r="J6604">
        <v>-187.72620000000001</v>
      </c>
      <c r="K6604">
        <v>1.114581</v>
      </c>
      <c r="L6604">
        <v>-34.272129999999997</v>
      </c>
      <c r="M6604">
        <v>0.16335559999999999</v>
      </c>
      <c r="N6604">
        <v>0</v>
      </c>
      <c r="O6604">
        <v>0.98655579999999998</v>
      </c>
      <c r="P6604">
        <v>7.8786809999999999E-2</v>
      </c>
      <c r="Q6604">
        <v>0.1015484</v>
      </c>
      <c r="R6604">
        <v>0.99170590000000003</v>
      </c>
      <c r="S6604">
        <v>-9.375E-2</v>
      </c>
      <c r="T6604">
        <v>-0.18876850000000001</v>
      </c>
      <c r="U6604">
        <v>3.0527340000000001</v>
      </c>
      <c r="V6604">
        <v>-8.5779069999999999E-2</v>
      </c>
      <c r="W6604">
        <v>0.1050451</v>
      </c>
      <c r="X6604">
        <v>0.990761</v>
      </c>
      <c r="Y6604">
        <v>-0.19350500000000001</v>
      </c>
      <c r="Z6604">
        <v>-5.9876680000000002E-2</v>
      </c>
      <c r="AA6604">
        <v>0.97927050000000004</v>
      </c>
      <c r="AB6604">
        <v>36</v>
      </c>
      <c r="AC6604">
        <v>-0.60890000000000499</v>
      </c>
      <c r="AD6604">
        <v>-1.114582911379</v>
      </c>
      <c r="AE6604">
        <v>17.671989999999901</v>
      </c>
      <c r="AF6604">
        <v>-3.4737698454942501</v>
      </c>
      <c r="AG6604">
        <v>-1.114582911379</v>
      </c>
      <c r="AH6604">
        <v>17.2665298261686</v>
      </c>
      <c r="AI6604">
        <v>93.621056259044806</v>
      </c>
      <c r="AJ6604">
        <v>101.37521140827801</v>
      </c>
      <c r="AK6604">
        <v>17.647731419187402</v>
      </c>
      <c r="AL6604">
        <v>83.9702346705092</v>
      </c>
      <c r="AM6604">
        <v>94.948270428849099</v>
      </c>
      <c r="AN6604">
        <v>0.99999994050253505</v>
      </c>
    </row>
    <row r="6605" spans="1:40" x14ac:dyDescent="0.25">
      <c r="A6605" t="str">
        <f>"20190312164154055"</f>
        <v>20190312164154055</v>
      </c>
      <c r="B6605" t="str">
        <f>"1552380114052224"</f>
        <v>1552380114052224</v>
      </c>
      <c r="C6605" t="s">
        <v>40</v>
      </c>
      <c r="D6605">
        <v>5.8719039999999998</v>
      </c>
      <c r="E6605">
        <v>0.46091880000000002</v>
      </c>
      <c r="F6605" t="s">
        <v>41</v>
      </c>
      <c r="G6605">
        <v>-188.40369999999999</v>
      </c>
      <c r="H6605" s="1">
        <v>-2.2149160000000002E-6</v>
      </c>
      <c r="I6605">
        <v>-15.864229999999999</v>
      </c>
      <c r="J6605">
        <v>-187.67259999999999</v>
      </c>
      <c r="K6605">
        <v>1.114644</v>
      </c>
      <c r="L6605">
        <v>-33.91742</v>
      </c>
      <c r="M6605">
        <v>0.15709579999999901</v>
      </c>
      <c r="N6605">
        <v>0</v>
      </c>
      <c r="O6605">
        <v>0.98757200000000001</v>
      </c>
      <c r="P6605">
        <v>7.4296799999999996E-2</v>
      </c>
      <c r="Q6605">
        <v>0.1028057</v>
      </c>
      <c r="R6605">
        <v>0.99192290000000005</v>
      </c>
      <c r="S6605">
        <v>-0.1123657</v>
      </c>
      <c r="T6605">
        <v>-0.1848534</v>
      </c>
      <c r="U6605">
        <v>3.0529480000000002</v>
      </c>
      <c r="V6605">
        <v>-8.3995529999999999E-2</v>
      </c>
      <c r="W6605">
        <v>0.10630920000000001</v>
      </c>
      <c r="X6605">
        <v>0.99077899999999997</v>
      </c>
      <c r="Y6605">
        <v>-0.19324839999999999</v>
      </c>
      <c r="Z6605">
        <v>-5.8722770000000001E-2</v>
      </c>
      <c r="AA6605">
        <v>0.97939100000000001</v>
      </c>
      <c r="AB6605">
        <v>36</v>
      </c>
      <c r="AC6605">
        <v>-0.73109999999999697</v>
      </c>
      <c r="AD6605">
        <v>-1.1146462149159999</v>
      </c>
      <c r="AE6605">
        <v>18.053190000000001</v>
      </c>
      <c r="AF6605">
        <v>-3.5446436920839801</v>
      </c>
      <c r="AG6605">
        <v>-1.1146462149159999</v>
      </c>
      <c r="AH6605">
        <v>17.6470087873174</v>
      </c>
      <c r="AI6605">
        <v>93.543605677700896</v>
      </c>
      <c r="AJ6605">
        <v>101.357508269232</v>
      </c>
      <c r="AK6605">
        <v>18.033963907802299</v>
      </c>
      <c r="AL6605">
        <v>83.897399348887305</v>
      </c>
      <c r="AM6605">
        <v>94.845792227615405</v>
      </c>
      <c r="AN6605">
        <v>0.99999996095280896</v>
      </c>
    </row>
    <row r="6606" spans="1:40" x14ac:dyDescent="0.25">
      <c r="A6606" t="str">
        <f>"20190312164154076"</f>
        <v>20190312164154076</v>
      </c>
      <c r="B6606" t="str">
        <f>"1552380114072720"</f>
        <v>1552380114072720</v>
      </c>
      <c r="C6606" t="s">
        <v>40</v>
      </c>
      <c r="D6606">
        <v>5.8265729999999998</v>
      </c>
      <c r="E6606">
        <v>0.46117380000000002</v>
      </c>
      <c r="F6606" t="s">
        <v>41</v>
      </c>
      <c r="G6606">
        <v>-188.44220000000001</v>
      </c>
      <c r="H6606" s="1">
        <v>-2.3941410000000002E-6</v>
      </c>
      <c r="I6606">
        <v>-15.430529999999999</v>
      </c>
      <c r="J6606">
        <v>-187.62360000000001</v>
      </c>
      <c r="K6606">
        <v>1.1147069999999999</v>
      </c>
      <c r="L6606">
        <v>-33.579279999999997</v>
      </c>
      <c r="M6606">
        <v>0.15112809999999999</v>
      </c>
      <c r="N6606">
        <v>0</v>
      </c>
      <c r="O6606">
        <v>0.98850280000000001</v>
      </c>
      <c r="P6606">
        <v>7.0423890000000003E-2</v>
      </c>
      <c r="Q6606">
        <v>0.10381310000000001</v>
      </c>
      <c r="R6606">
        <v>0.99210050000000005</v>
      </c>
      <c r="S6606">
        <v>-0.12710569999999999</v>
      </c>
      <c r="T6606">
        <v>-0.18407950000000001</v>
      </c>
      <c r="U6606">
        <v>3.0530400000000002</v>
      </c>
      <c r="V6606">
        <v>-8.1892889999999996E-2</v>
      </c>
      <c r="W6606">
        <v>0.1073318</v>
      </c>
      <c r="X6606">
        <v>0.99084479999999997</v>
      </c>
      <c r="Y6606">
        <v>-0.19204299999999999</v>
      </c>
      <c r="Z6606">
        <v>-5.8561599999999998E-2</v>
      </c>
      <c r="AA6606">
        <v>0.97963769999999994</v>
      </c>
      <c r="AB6606">
        <v>36</v>
      </c>
      <c r="AC6606">
        <v>-0.81860000000000299</v>
      </c>
      <c r="AD6606">
        <v>-1.11470939414099</v>
      </c>
      <c r="AE6606">
        <v>18.14875</v>
      </c>
      <c r="AF6606">
        <v>-3.5386918480953198</v>
      </c>
      <c r="AG6606">
        <v>-1.11470939414099</v>
      </c>
      <c r="AH6606">
        <v>17.749752186280901</v>
      </c>
      <c r="AI6606">
        <v>93.524357854994705</v>
      </c>
      <c r="AJ6606">
        <v>101.27498354311101</v>
      </c>
      <c r="AK6606">
        <v>18.1333565481834</v>
      </c>
      <c r="AL6606">
        <v>83.838471688401896</v>
      </c>
      <c r="AM6606">
        <v>94.724732543968003</v>
      </c>
      <c r="AN6606">
        <v>0.999999989205415</v>
      </c>
    </row>
    <row r="6607" spans="1:40" x14ac:dyDescent="0.25">
      <c r="A6607" t="str">
        <f>"20190312164154099"</f>
        <v>20190312164154099</v>
      </c>
      <c r="B6607" t="str">
        <f>"1552380114092240"</f>
        <v>1552380114092240</v>
      </c>
      <c r="C6607" t="s">
        <v>40</v>
      </c>
      <c r="D6607">
        <v>5.8795769999999896</v>
      </c>
      <c r="E6607">
        <v>0.4611616</v>
      </c>
      <c r="F6607" t="s">
        <v>41</v>
      </c>
      <c r="G6607">
        <v>-188.4727</v>
      </c>
      <c r="H6607" s="1">
        <v>-2.7656779999999999E-6</v>
      </c>
      <c r="I6607">
        <v>-14.55185</v>
      </c>
      <c r="J6607">
        <v>-187.57220000000001</v>
      </c>
      <c r="K6607">
        <v>1.1147629999999999</v>
      </c>
      <c r="L6607">
        <v>-33.207889999999999</v>
      </c>
      <c r="M6607">
        <v>0.1445736</v>
      </c>
      <c r="N6607">
        <v>0</v>
      </c>
      <c r="O6607">
        <v>0.98948270000000005</v>
      </c>
      <c r="P6607">
        <v>6.5765980000000002E-2</v>
      </c>
      <c r="Q6607">
        <v>0.1049113</v>
      </c>
      <c r="R6607">
        <v>0.99230459999999998</v>
      </c>
      <c r="S6607">
        <v>-0.13621520000000001</v>
      </c>
      <c r="T6607">
        <v>-0.17881559999999999</v>
      </c>
      <c r="U6607">
        <v>3.0522770000000001</v>
      </c>
      <c r="V6607">
        <v>-7.9992679999999997E-2</v>
      </c>
      <c r="W6607">
        <v>0.1084435</v>
      </c>
      <c r="X6607">
        <v>0.99087899999999995</v>
      </c>
      <c r="Y6607">
        <v>-0.18847059999999999</v>
      </c>
      <c r="Z6607">
        <v>-5.7009440000000002E-2</v>
      </c>
      <c r="AA6607">
        <v>0.98042269999999998</v>
      </c>
      <c r="AB6607">
        <v>36</v>
      </c>
      <c r="AC6607">
        <v>-0.90049999999999297</v>
      </c>
      <c r="AD6607">
        <v>-1.1147657656779999</v>
      </c>
      <c r="AE6607">
        <v>18.656040000000001</v>
      </c>
      <c r="AF6607">
        <v>-3.5755036928247499</v>
      </c>
      <c r="AG6607">
        <v>-1.1147657656779999</v>
      </c>
      <c r="AH6607">
        <v>18.2647834397361</v>
      </c>
      <c r="AI6607">
        <v>93.4277346595902</v>
      </c>
      <c r="AJ6607">
        <v>101.07612150573</v>
      </c>
      <c r="AK6607">
        <v>18.644818139906601</v>
      </c>
      <c r="AL6607">
        <v>83.774402109145001</v>
      </c>
      <c r="AM6607">
        <v>94.615422380804802</v>
      </c>
      <c r="AN6607">
        <v>1.0000000070934101</v>
      </c>
    </row>
    <row r="6608" spans="1:40" x14ac:dyDescent="0.25">
      <c r="A6608" t="str">
        <f>"20190312164154122"</f>
        <v>20190312164154122</v>
      </c>
      <c r="B6608" t="str">
        <f>"1552380114112271"</f>
        <v>1552380114112271</v>
      </c>
      <c r="C6608" t="s">
        <v>40</v>
      </c>
      <c r="D6608">
        <v>6.0285289999999998</v>
      </c>
      <c r="E6608">
        <v>0.46124850000000001</v>
      </c>
      <c r="F6608" t="s">
        <v>41</v>
      </c>
      <c r="G6608">
        <v>-188.5076</v>
      </c>
      <c r="H6608" s="1">
        <v>-2.8684890000000001E-6</v>
      </c>
      <c r="I6608">
        <v>-14.297790000000001</v>
      </c>
      <c r="J6608">
        <v>-187.5239</v>
      </c>
      <c r="K6608">
        <v>1.114814</v>
      </c>
      <c r="L6608">
        <v>-32.841340000000002</v>
      </c>
      <c r="M6608">
        <v>0.13810549999999999</v>
      </c>
      <c r="N6608">
        <v>0</v>
      </c>
      <c r="O6608">
        <v>0.99040620000000001</v>
      </c>
      <c r="P6608">
        <v>6.1679539999999998E-2</v>
      </c>
      <c r="Q6608">
        <v>0.10652059999999999</v>
      </c>
      <c r="R6608">
        <v>0.99239560000000004</v>
      </c>
      <c r="S6608">
        <v>-0.1509857</v>
      </c>
      <c r="T6608">
        <v>-0.17993609999999999</v>
      </c>
      <c r="U6608">
        <v>3.0523069999999999</v>
      </c>
      <c r="V6608">
        <v>-7.7613630000000003E-2</v>
      </c>
      <c r="W6608">
        <v>0.1100764</v>
      </c>
      <c r="X6608">
        <v>0.99088810000000005</v>
      </c>
      <c r="Y6608">
        <v>-0.18678620000000001</v>
      </c>
      <c r="Z6608">
        <v>-5.7449279999999998E-2</v>
      </c>
      <c r="AA6608">
        <v>0.98071940000000002</v>
      </c>
      <c r="AB6608">
        <v>37</v>
      </c>
      <c r="AC6608">
        <v>-0.98369999999999802</v>
      </c>
      <c r="AD6608">
        <v>-1.1148168684890001</v>
      </c>
      <c r="AE6608">
        <v>18.54355</v>
      </c>
      <c r="AF6608">
        <v>-3.52257264932814</v>
      </c>
      <c r="AG6608">
        <v>-1.1148168684890001</v>
      </c>
      <c r="AH6608">
        <v>18.164529569125602</v>
      </c>
      <c r="AI6608">
        <v>93.447948854572005</v>
      </c>
      <c r="AJ6608">
        <v>100.97490976083699</v>
      </c>
      <c r="AK6608">
        <v>18.536490206824499</v>
      </c>
      <c r="AL6608">
        <v>83.680280022182302</v>
      </c>
      <c r="AM6608">
        <v>94.478681829140399</v>
      </c>
      <c r="AN6608">
        <v>0.99999995806017195</v>
      </c>
    </row>
    <row r="6609" spans="1:40" x14ac:dyDescent="0.25">
      <c r="A6609" t="str">
        <f>"20190312164154144"</f>
        <v>20190312164154144</v>
      </c>
      <c r="B6609" t="str">
        <f>"1552380114132763"</f>
        <v>1552380114132763</v>
      </c>
      <c r="C6609" t="s">
        <v>40</v>
      </c>
      <c r="D6609">
        <v>5.8742720000000004</v>
      </c>
      <c r="E6609">
        <v>0.46151399999999998</v>
      </c>
      <c r="F6609" t="s">
        <v>41</v>
      </c>
      <c r="G6609">
        <v>-188.5788</v>
      </c>
      <c r="H6609" s="1">
        <v>-3.3853489999999999E-6</v>
      </c>
      <c r="I6609">
        <v>-13.063510000000001</v>
      </c>
      <c r="J6609">
        <v>-187.47900000000001</v>
      </c>
      <c r="K6609">
        <v>1.1148640000000001</v>
      </c>
      <c r="L6609">
        <v>-32.482149999999997</v>
      </c>
      <c r="M6609">
        <v>0.1317699</v>
      </c>
      <c r="N6609">
        <v>0</v>
      </c>
      <c r="O6609">
        <v>0.99126899999999996</v>
      </c>
      <c r="P6609">
        <v>5.8055740000000002E-2</v>
      </c>
      <c r="Q6609">
        <v>0.10768610000000001</v>
      </c>
      <c r="R6609">
        <v>0.99248840000000005</v>
      </c>
      <c r="S6609">
        <v>-0.16276550000000001</v>
      </c>
      <c r="T6609">
        <v>-0.1720082</v>
      </c>
      <c r="U6609">
        <v>3.0515750000000001</v>
      </c>
      <c r="V6609">
        <v>-7.4910089999999999E-2</v>
      </c>
      <c r="W6609">
        <v>0.1112744</v>
      </c>
      <c r="X6609">
        <v>0.99096240000000002</v>
      </c>
      <c r="Y6609">
        <v>-0.1842992</v>
      </c>
      <c r="Z6609">
        <v>-5.501996E-2</v>
      </c>
      <c r="AA6609">
        <v>0.98132900000000001</v>
      </c>
      <c r="AB6609">
        <v>37</v>
      </c>
      <c r="AC6609">
        <v>-1.0997999999999799</v>
      </c>
      <c r="AD6609">
        <v>-1.1148673853490001</v>
      </c>
      <c r="AE6609">
        <v>19.41864</v>
      </c>
      <c r="AF6609">
        <v>-3.6370807990786602</v>
      </c>
      <c r="AG6609">
        <v>-1.1148673853490001</v>
      </c>
      <c r="AH6609">
        <v>19.041825598469199</v>
      </c>
      <c r="AI6609">
        <v>93.291380647371895</v>
      </c>
      <c r="AJ6609">
        <v>100.813523798882</v>
      </c>
      <c r="AK6609">
        <v>19.418094864029701</v>
      </c>
      <c r="AL6609">
        <v>83.611215622935802</v>
      </c>
      <c r="AM6609">
        <v>94.322953661584606</v>
      </c>
      <c r="AN6609">
        <v>0.99999999594646405</v>
      </c>
    </row>
    <row r="6610" spans="1:40" x14ac:dyDescent="0.25">
      <c r="A6610" t="str">
        <f>"20190312164154167"</f>
        <v>20190312164154167</v>
      </c>
      <c r="B6610" t="str">
        <f>"1552380114163021"</f>
        <v>1552380114163021</v>
      </c>
      <c r="C6610" t="s">
        <v>40</v>
      </c>
      <c r="D6610">
        <v>5.9241359999999998</v>
      </c>
      <c r="E6610">
        <v>0.46184799999999998</v>
      </c>
      <c r="F6610" t="s">
        <v>41</v>
      </c>
      <c r="G6610">
        <v>-188.62790000000001</v>
      </c>
      <c r="H6610" s="1">
        <v>-3.7633029999999999E-6</v>
      </c>
      <c r="I6610">
        <v>-12.16222</v>
      </c>
      <c r="J6610">
        <v>-187.43340000000001</v>
      </c>
      <c r="K6610">
        <v>1.114905</v>
      </c>
      <c r="L6610">
        <v>-32.097470000000001</v>
      </c>
      <c r="M6610">
        <v>0.1249881</v>
      </c>
      <c r="N6610">
        <v>0</v>
      </c>
      <c r="O6610">
        <v>0.99214690000000005</v>
      </c>
      <c r="P6610">
        <v>5.4458319999999998E-2</v>
      </c>
      <c r="Q6610">
        <v>0.10848430000000001</v>
      </c>
      <c r="R6610">
        <v>0.99260539999999997</v>
      </c>
      <c r="S6610">
        <v>-0.1725006</v>
      </c>
      <c r="T6610">
        <v>-0.16739329999999999</v>
      </c>
      <c r="U6610">
        <v>3.050964</v>
      </c>
      <c r="V6610">
        <v>-7.1739789999999998E-2</v>
      </c>
      <c r="W6610">
        <v>0.11211550000000001</v>
      </c>
      <c r="X6610">
        <v>0.99110220000000004</v>
      </c>
      <c r="Y6610">
        <v>-0.1807136</v>
      </c>
      <c r="Z6610">
        <v>-5.3644629999999999E-2</v>
      </c>
      <c r="AA6610">
        <v>0.98207169999999999</v>
      </c>
      <c r="AB6610">
        <v>37</v>
      </c>
      <c r="AC6610">
        <v>-1.1944999999999999</v>
      </c>
      <c r="AD6610">
        <v>-1.1149087633029999</v>
      </c>
      <c r="AE6610">
        <v>19.93525</v>
      </c>
      <c r="AF6610">
        <v>-3.6654063172228</v>
      </c>
      <c r="AG6610">
        <v>-1.1149087633029999</v>
      </c>
      <c r="AH6610">
        <v>19.568631788592199</v>
      </c>
      <c r="AI6610">
        <v>93.205236566364405</v>
      </c>
      <c r="AJ6610">
        <v>100.609155116699</v>
      </c>
      <c r="AK6610">
        <v>19.940149826376199</v>
      </c>
      <c r="AL6610">
        <v>83.562720885654102</v>
      </c>
      <c r="AM6610">
        <v>94.140068491344906</v>
      </c>
      <c r="AN6610">
        <v>1.00000002682716</v>
      </c>
    </row>
    <row r="6611" spans="1:40" x14ac:dyDescent="0.25">
      <c r="A6611" t="str">
        <f>"20190312164154191"</f>
        <v>20190312164154191</v>
      </c>
      <c r="B6611" t="str">
        <f>"1552380114182540"</f>
        <v>1552380114182540</v>
      </c>
      <c r="C6611" t="s">
        <v>40</v>
      </c>
      <c r="D6611">
        <v>6.029344</v>
      </c>
      <c r="E6611">
        <v>0.46210800000000002</v>
      </c>
      <c r="F6611" t="s">
        <v>41</v>
      </c>
      <c r="G6611">
        <v>-188.6463</v>
      </c>
      <c r="H6611" s="1">
        <v>-3.9281349999999996E-6</v>
      </c>
      <c r="I6611">
        <v>-11.77036</v>
      </c>
      <c r="J6611">
        <v>-187.39080000000001</v>
      </c>
      <c r="K6611">
        <v>1.1149469999999999</v>
      </c>
      <c r="L6611">
        <v>-31.717649999999999</v>
      </c>
      <c r="M6611">
        <v>0.1182956</v>
      </c>
      <c r="N6611">
        <v>0</v>
      </c>
      <c r="O6611">
        <v>0.99296709999999999</v>
      </c>
      <c r="P6611">
        <v>5.0953890000000002E-2</v>
      </c>
      <c r="Q6611">
        <v>0.1091703</v>
      </c>
      <c r="R6611">
        <v>0.9927163</v>
      </c>
      <c r="S6611">
        <v>-0.18203739999999999</v>
      </c>
      <c r="T6611">
        <v>-0.167322</v>
      </c>
      <c r="U6611">
        <v>3.0506289999999998</v>
      </c>
      <c r="V6611">
        <v>-6.8570190000000003E-2</v>
      </c>
      <c r="W6611">
        <v>0.11284520000000001</v>
      </c>
      <c r="X6611">
        <v>0.99124369999999995</v>
      </c>
      <c r="Y6611">
        <v>-0.17714679999999999</v>
      </c>
      <c r="Z6611">
        <v>-5.370801E-2</v>
      </c>
      <c r="AA6611">
        <v>0.98271790000000003</v>
      </c>
      <c r="AB6611">
        <v>37</v>
      </c>
      <c r="AC6611">
        <v>-1.2554999999999801</v>
      </c>
      <c r="AD6611">
        <v>-1.1149509281350001</v>
      </c>
      <c r="AE6611">
        <v>19.947289999999999</v>
      </c>
      <c r="AF6611">
        <v>-3.5951994591710701</v>
      </c>
      <c r="AG6611">
        <v>-1.1149509281350001</v>
      </c>
      <c r="AH6611">
        <v>19.597717359746198</v>
      </c>
      <c r="AI6611">
        <v>93.202820795360495</v>
      </c>
      <c r="AJ6611">
        <v>100.39531975728001</v>
      </c>
      <c r="AK6611">
        <v>19.955928954470501</v>
      </c>
      <c r="AL6611">
        <v>83.520644910518101</v>
      </c>
      <c r="AM6611">
        <v>93.957183898264802</v>
      </c>
      <c r="AN6611">
        <v>0.99999999145468299</v>
      </c>
    </row>
    <row r="6612" spans="1:40" x14ac:dyDescent="0.25">
      <c r="A6612" t="str">
        <f>"20190312164154212"</f>
        <v>20190312164154212</v>
      </c>
      <c r="B6612" t="str">
        <f>"1552380114203036"</f>
        <v>1552380114203036</v>
      </c>
      <c r="C6612" t="s">
        <v>40</v>
      </c>
      <c r="D6612">
        <v>5.9649519999999896</v>
      </c>
      <c r="E6612">
        <v>0.46247460000000001</v>
      </c>
      <c r="F6612" t="s">
        <v>41</v>
      </c>
      <c r="G6612">
        <v>-188.6635</v>
      </c>
      <c r="H6612" s="1">
        <v>-4.1024209999999998E-6</v>
      </c>
      <c r="I6612">
        <v>-11.35698</v>
      </c>
      <c r="J6612">
        <v>-187.35400000000001</v>
      </c>
      <c r="K6612">
        <v>1.1149910000000001</v>
      </c>
      <c r="L6612">
        <v>-31.36862</v>
      </c>
      <c r="M6612">
        <v>0.1121505</v>
      </c>
      <c r="N6612">
        <v>0</v>
      </c>
      <c r="O6612">
        <v>0.99367989999999995</v>
      </c>
      <c r="P6612">
        <v>4.8298340000000002E-2</v>
      </c>
      <c r="Q6612">
        <v>0.11038729999999999</v>
      </c>
      <c r="R6612">
        <v>0.9927144</v>
      </c>
      <c r="S6612">
        <v>-0.19065860000000001</v>
      </c>
      <c r="T6612">
        <v>-0.1670275</v>
      </c>
      <c r="U6612">
        <v>3.0501710000000002</v>
      </c>
      <c r="V6612">
        <v>-6.5103699999999903E-2</v>
      </c>
      <c r="W6612">
        <v>0.1141115</v>
      </c>
      <c r="X6612">
        <v>0.99133249999999995</v>
      </c>
      <c r="Y6612">
        <v>-0.17383370000000001</v>
      </c>
      <c r="Z6612">
        <v>-5.3691719999999998E-2</v>
      </c>
      <c r="AA6612">
        <v>0.98331029999999997</v>
      </c>
      <c r="AB6612">
        <v>37</v>
      </c>
      <c r="AC6612">
        <v>-1.3094999999999799</v>
      </c>
      <c r="AD6612">
        <v>-1.1149951024210001</v>
      </c>
      <c r="AE6612">
        <v>20.01164</v>
      </c>
      <c r="AF6612">
        <v>-3.5346529241062798</v>
      </c>
      <c r="AG6612">
        <v>-1.1149951024210001</v>
      </c>
      <c r="AH6612">
        <v>19.677698238491502</v>
      </c>
      <c r="AI6612">
        <v>93.192095141060406</v>
      </c>
      <c r="AJ6612">
        <v>100.183291559529</v>
      </c>
      <c r="AK6612">
        <v>20.0237057843309</v>
      </c>
      <c r="AL6612">
        <v>83.447619776124697</v>
      </c>
      <c r="AM6612">
        <v>93.757385561606895</v>
      </c>
      <c r="AN6612">
        <v>1.0000000258710899</v>
      </c>
    </row>
    <row r="6613" spans="1:40" x14ac:dyDescent="0.25">
      <c r="A6613" t="str">
        <f>"20190312164154235"</f>
        <v>20190312164154235</v>
      </c>
      <c r="B6613" t="str">
        <f>"1552380114222556"</f>
        <v>1552380114222556</v>
      </c>
      <c r="C6613" t="s">
        <v>40</v>
      </c>
      <c r="D6613">
        <v>5.8854670000000002</v>
      </c>
      <c r="E6613">
        <v>0.46256419999999998</v>
      </c>
      <c r="F6613" t="s">
        <v>41</v>
      </c>
      <c r="G6613">
        <v>-188.66239999999999</v>
      </c>
      <c r="H6613" s="1">
        <v>-4.2451939999999999E-6</v>
      </c>
      <c r="I6613">
        <v>-11.02464</v>
      </c>
      <c r="J6613">
        <v>-187.31710000000001</v>
      </c>
      <c r="K6613">
        <v>1.1150450000000001</v>
      </c>
      <c r="L6613">
        <v>-30.997440000000001</v>
      </c>
      <c r="M6613">
        <v>0.1056212</v>
      </c>
      <c r="N6613">
        <v>0</v>
      </c>
      <c r="O6613">
        <v>0.99439509999999998</v>
      </c>
      <c r="P6613">
        <v>4.5775030000000001E-2</v>
      </c>
      <c r="Q6613">
        <v>0.1120331</v>
      </c>
      <c r="R6613">
        <v>0.99264960000000002</v>
      </c>
      <c r="S6613">
        <v>-0.19616700000000001</v>
      </c>
      <c r="T6613">
        <v>-0.1671695</v>
      </c>
      <c r="U6613">
        <v>3.0501399999999999</v>
      </c>
      <c r="V6613">
        <v>-6.1128870000000002E-2</v>
      </c>
      <c r="W6613">
        <v>0.1158144</v>
      </c>
      <c r="X6613">
        <v>0.99138809999999999</v>
      </c>
      <c r="Y6613">
        <v>-0.16913249999999999</v>
      </c>
      <c r="Z6613">
        <v>-5.3815780000000001E-2</v>
      </c>
      <c r="AA6613">
        <v>0.98412299999999997</v>
      </c>
      <c r="AB6613">
        <v>37</v>
      </c>
      <c r="AC6613">
        <v>-1.34529999999998</v>
      </c>
      <c r="AD6613">
        <v>-1.1150492451939999</v>
      </c>
      <c r="AE6613">
        <v>19.972799999999999</v>
      </c>
      <c r="AF6613">
        <v>-3.4366865776246498</v>
      </c>
      <c r="AG6613">
        <v>-1.1150492451939999</v>
      </c>
      <c r="AH6613">
        <v>19.657991076672801</v>
      </c>
      <c r="AI6613">
        <v>93.198076461502197</v>
      </c>
      <c r="AJ6613">
        <v>99.916454994551103</v>
      </c>
      <c r="AK6613">
        <v>19.987265011066</v>
      </c>
      <c r="AL6613">
        <v>83.349399652144797</v>
      </c>
      <c r="AM6613">
        <v>93.5283837712837</v>
      </c>
      <c r="AN6613">
        <v>1.00000003940822</v>
      </c>
    </row>
    <row r="6614" spans="1:40" x14ac:dyDescent="0.25">
      <c r="A6614" t="str">
        <f>"20190312164154256"</f>
        <v>20190312164154256</v>
      </c>
      <c r="B6614" t="str">
        <f>"1552380114252812"</f>
        <v>1552380114252812</v>
      </c>
      <c r="C6614" t="s">
        <v>40</v>
      </c>
      <c r="D6614">
        <v>6.0407710000000003</v>
      </c>
      <c r="E6614">
        <v>0.4630708</v>
      </c>
      <c r="F6614" t="s">
        <v>41</v>
      </c>
      <c r="G6614">
        <v>-188.6643</v>
      </c>
      <c r="H6614" s="1">
        <v>-4.3285089999999998E-6</v>
      </c>
      <c r="I6614">
        <v>-10.829639999999999</v>
      </c>
      <c r="J6614">
        <v>-187.28399999999999</v>
      </c>
      <c r="K6614">
        <v>1.1150819999999999</v>
      </c>
      <c r="L6614">
        <v>-30.640809999999998</v>
      </c>
      <c r="M6614">
        <v>9.9353200000000003E-2</v>
      </c>
      <c r="N6614">
        <v>0</v>
      </c>
      <c r="O6614">
        <v>0.99504090000000001</v>
      </c>
      <c r="P6614">
        <v>4.261591E-2</v>
      </c>
      <c r="Q6614">
        <v>0.11252040000000001</v>
      </c>
      <c r="R6614">
        <v>0.99273509999999998</v>
      </c>
      <c r="S6614">
        <v>-0.20378109999999999</v>
      </c>
      <c r="T6614">
        <v>-0.1686667</v>
      </c>
      <c r="U6614">
        <v>3.050659</v>
      </c>
      <c r="V6614">
        <v>-5.8048889999999999E-2</v>
      </c>
      <c r="W6614">
        <v>0.1163453</v>
      </c>
      <c r="X6614">
        <v>0.99151100000000003</v>
      </c>
      <c r="Y6614">
        <v>-0.1653541</v>
      </c>
      <c r="Z6614">
        <v>-5.4353859999999997E-2</v>
      </c>
      <c r="AA6614">
        <v>0.98473529999999998</v>
      </c>
      <c r="AB6614">
        <v>37</v>
      </c>
      <c r="AC6614">
        <v>-1.3802999999999701</v>
      </c>
      <c r="AD6614">
        <v>-1.11508632850899</v>
      </c>
      <c r="AE6614">
        <v>19.811170000000001</v>
      </c>
      <c r="AF6614">
        <v>-3.3312929337469002</v>
      </c>
      <c r="AG6614">
        <v>-1.11508632850899</v>
      </c>
      <c r="AH6614">
        <v>19.514483047956801</v>
      </c>
      <c r="AI6614">
        <v>93.223872577112104</v>
      </c>
      <c r="AJ6614">
        <v>99.687508242033601</v>
      </c>
      <c r="AK6614">
        <v>19.828161255130301</v>
      </c>
      <c r="AL6614">
        <v>83.318773912684307</v>
      </c>
      <c r="AM6614">
        <v>93.3506074660894</v>
      </c>
      <c r="AN6614">
        <v>0.99999998279166002</v>
      </c>
    </row>
    <row r="6615" spans="1:40" x14ac:dyDescent="0.25">
      <c r="A6615" t="str">
        <f>"20190312164154282"</f>
        <v>20190312164154282</v>
      </c>
      <c r="B6615" t="str">
        <f>"1552380114272334"</f>
        <v>1552380114272334</v>
      </c>
      <c r="C6615" t="s">
        <v>40</v>
      </c>
      <c r="D6615">
        <v>5.9073969999999996</v>
      </c>
      <c r="E6615">
        <v>0.4634394</v>
      </c>
      <c r="F6615" t="s">
        <v>41</v>
      </c>
      <c r="G6615">
        <v>-188.64850000000001</v>
      </c>
      <c r="H6615" s="1">
        <v>-4.3443790000000003E-6</v>
      </c>
      <c r="I6615">
        <v>-10.79917</v>
      </c>
      <c r="J6615">
        <v>-187.24879999999999</v>
      </c>
      <c r="K6615">
        <v>1.115124</v>
      </c>
      <c r="L6615">
        <v>-30.231020000000001</v>
      </c>
      <c r="M6615">
        <v>9.2162049999999995E-2</v>
      </c>
      <c r="N6615">
        <v>0</v>
      </c>
      <c r="O6615">
        <v>0.99573270000000003</v>
      </c>
      <c r="P6615">
        <v>4.0050410000000002E-2</v>
      </c>
      <c r="Q6615">
        <v>0.11296539999999999</v>
      </c>
      <c r="R6615">
        <v>0.99279139999999999</v>
      </c>
      <c r="S6615">
        <v>-0.20977779999999999</v>
      </c>
      <c r="T6615">
        <v>-0.17142950000000001</v>
      </c>
      <c r="U6615">
        <v>3.0503849999999999</v>
      </c>
      <c r="V6615">
        <v>-5.3461830000000002E-2</v>
      </c>
      <c r="W6615">
        <v>0.1168587</v>
      </c>
      <c r="X6615">
        <v>0.99170860000000005</v>
      </c>
      <c r="Y6615">
        <v>-0.16015639999999901</v>
      </c>
      <c r="Z6615">
        <v>-5.5324949999999998E-2</v>
      </c>
      <c r="AA6615">
        <v>0.98553999999999997</v>
      </c>
      <c r="AB6615">
        <v>37</v>
      </c>
      <c r="AC6615">
        <v>-1.3997000000000199</v>
      </c>
      <c r="AD6615">
        <v>-1.1151283443790001</v>
      </c>
      <c r="AE6615">
        <v>19.431850000000001</v>
      </c>
      <c r="AF6615">
        <v>-3.1742425561095802</v>
      </c>
      <c r="AG6615">
        <v>-1.1151283443790001</v>
      </c>
      <c r="AH6615">
        <v>19.157382001710499</v>
      </c>
      <c r="AI6615">
        <v>93.286649484182703</v>
      </c>
      <c r="AJ6615">
        <v>99.408029936057801</v>
      </c>
      <c r="AK6615">
        <v>19.450568428426902</v>
      </c>
      <c r="AL6615">
        <v>83.289156581306003</v>
      </c>
      <c r="AM6615">
        <v>93.085760338680402</v>
      </c>
      <c r="AN6615">
        <v>1.0000000351732901</v>
      </c>
    </row>
    <row r="6616" spans="1:40" x14ac:dyDescent="0.25">
      <c r="A6616" t="str">
        <f>"20190312164154301"</f>
        <v>20190312164154301</v>
      </c>
      <c r="B6616" t="str">
        <f>"1552380114292829"</f>
        <v>1552380114292829</v>
      </c>
      <c r="C6616" t="s">
        <v>40</v>
      </c>
      <c r="D6616">
        <v>5.975098</v>
      </c>
      <c r="E6616">
        <v>0.4636477</v>
      </c>
      <c r="F6616" t="s">
        <v>41</v>
      </c>
      <c r="G6616">
        <v>-188.65520000000001</v>
      </c>
      <c r="H6616" s="1">
        <v>-3.6064129999999998E-7</v>
      </c>
      <c r="I6616">
        <v>-10.343629999999999</v>
      </c>
      <c r="J6616">
        <v>-187.221</v>
      </c>
      <c r="K6616">
        <v>1.115156</v>
      </c>
      <c r="L6616">
        <v>-29.880549999999999</v>
      </c>
      <c r="M6616">
        <v>8.6022070000000006E-2</v>
      </c>
      <c r="N6616">
        <v>0</v>
      </c>
      <c r="O6616">
        <v>0.99628190000000005</v>
      </c>
      <c r="P6616">
        <v>3.8429739999999997E-2</v>
      </c>
      <c r="Q6616">
        <v>0.1136465</v>
      </c>
      <c r="R6616">
        <v>0.99277780000000004</v>
      </c>
      <c r="S6616">
        <v>-0.21568300000000001</v>
      </c>
      <c r="T6616">
        <v>-0.17101529999999901</v>
      </c>
      <c r="U6616">
        <v>3.0499269999999998</v>
      </c>
      <c r="V6616">
        <v>-4.8980139999999998E-2</v>
      </c>
      <c r="W6616">
        <v>0.117609199999999</v>
      </c>
      <c r="X6616">
        <v>0.99185129999999999</v>
      </c>
      <c r="Y6616">
        <v>-0.1559796</v>
      </c>
      <c r="Z6616">
        <v>-5.5261020000000001E-2</v>
      </c>
      <c r="AA6616">
        <v>0.98621329999999996</v>
      </c>
      <c r="AB6616">
        <v>38</v>
      </c>
      <c r="AC6616">
        <v>-1.4342000000000299</v>
      </c>
      <c r="AD6616">
        <v>-1.1151563606413</v>
      </c>
      <c r="AE6616">
        <v>19.536919999999999</v>
      </c>
      <c r="AF6616">
        <v>-3.0994647855450301</v>
      </c>
      <c r="AG6616">
        <v>-1.1151563606413</v>
      </c>
      <c r="AH6616">
        <v>19.278650914791601</v>
      </c>
      <c r="AI6616">
        <v>93.268653106406902</v>
      </c>
      <c r="AJ6616">
        <v>99.133392794589895</v>
      </c>
      <c r="AK6616">
        <v>19.558032538062399</v>
      </c>
      <c r="AL6616">
        <v>83.245857214298297</v>
      </c>
      <c r="AM6616">
        <v>92.827114717717095</v>
      </c>
      <c r="AN6616">
        <v>0.99999998967537396</v>
      </c>
    </row>
    <row r="6617" spans="1:40" x14ac:dyDescent="0.25">
      <c r="A6617" t="str">
        <f>"20190312164154323"</f>
        <v>20190312164154323</v>
      </c>
      <c r="B6617" t="str">
        <f>"1552380114312348"</f>
        <v>1552380114312348</v>
      </c>
      <c r="C6617" t="s">
        <v>40</v>
      </c>
      <c r="D6617">
        <v>5.8585390000000004</v>
      </c>
      <c r="E6617">
        <v>0.4638311</v>
      </c>
      <c r="F6617" t="s">
        <v>41</v>
      </c>
      <c r="G6617">
        <v>-188.6611</v>
      </c>
      <c r="H6617" s="1">
        <v>-5.2518329999999995E-7</v>
      </c>
      <c r="I6617">
        <v>-9.8554560000000002</v>
      </c>
      <c r="J6617">
        <v>-187.19460000000001</v>
      </c>
      <c r="K6617">
        <v>1.115191</v>
      </c>
      <c r="L6617">
        <v>-29.519169999999999</v>
      </c>
      <c r="M6617">
        <v>7.9702480000000006E-2</v>
      </c>
      <c r="N6617">
        <v>0</v>
      </c>
      <c r="O6617">
        <v>0.99680729999999995</v>
      </c>
      <c r="P6617">
        <v>3.6357460000000001E-2</v>
      </c>
      <c r="Q6617">
        <v>0.1139974</v>
      </c>
      <c r="R6617">
        <v>0.99281560000000002</v>
      </c>
      <c r="S6617">
        <v>-0.21932979999999999</v>
      </c>
      <c r="T6617">
        <v>-0.16983399999999901</v>
      </c>
      <c r="U6617">
        <v>3.049744</v>
      </c>
      <c r="V6617">
        <v>-4.4771989999999998E-2</v>
      </c>
      <c r="W6617">
        <v>0.1180283</v>
      </c>
      <c r="X6617">
        <v>0.9920004</v>
      </c>
      <c r="Y6617">
        <v>-0.15089269999999999</v>
      </c>
      <c r="Z6617">
        <v>-5.4947200000000002E-2</v>
      </c>
      <c r="AA6617">
        <v>0.98702190000000001</v>
      </c>
      <c r="AB6617">
        <v>38</v>
      </c>
      <c r="AC6617">
        <v>-1.4664999999999899</v>
      </c>
      <c r="AD6617">
        <v>-1.1151915251833</v>
      </c>
      <c r="AE6617">
        <v>19.663713999999999</v>
      </c>
      <c r="AF6617">
        <v>-3.0194411273460902</v>
      </c>
      <c r="AG6617">
        <v>-1.1151915251833</v>
      </c>
      <c r="AH6617">
        <v>19.422147786599801</v>
      </c>
      <c r="AI6617">
        <v>93.247309357713903</v>
      </c>
      <c r="AJ6617">
        <v>98.836682146059204</v>
      </c>
      <c r="AK6617">
        <v>19.687064319087099</v>
      </c>
      <c r="AL6617">
        <v>83.221676219174597</v>
      </c>
      <c r="AM6617">
        <v>92.584178795463401</v>
      </c>
      <c r="AN6617">
        <v>1.0000000021447999</v>
      </c>
    </row>
    <row r="6618" spans="1:40" x14ac:dyDescent="0.25">
      <c r="A6618" t="str">
        <f>"20190312164154344"</f>
        <v>20190312164154344</v>
      </c>
      <c r="B6618" t="str">
        <f>"1552380114342604"</f>
        <v>1552380114342604</v>
      </c>
      <c r="C6618" t="s">
        <v>40</v>
      </c>
      <c r="D6618">
        <v>5.8399809999999999</v>
      </c>
      <c r="E6618">
        <v>0.46426269999999997</v>
      </c>
      <c r="F6618" t="s">
        <v>41</v>
      </c>
      <c r="G6618">
        <v>-188.64859999999999</v>
      </c>
      <c r="H6618" s="1">
        <v>-5.6654559999999897E-7</v>
      </c>
      <c r="I6618">
        <v>-9.7437380000000005</v>
      </c>
      <c r="J6618">
        <v>-187.1703</v>
      </c>
      <c r="K6618">
        <v>1.115221</v>
      </c>
      <c r="L6618">
        <v>-29.156099999999999</v>
      </c>
      <c r="M6618">
        <v>7.3376189999999994E-2</v>
      </c>
      <c r="N6618">
        <v>0</v>
      </c>
      <c r="O6618">
        <v>0.99729290000000004</v>
      </c>
      <c r="P6618">
        <v>3.4916099999999999E-2</v>
      </c>
      <c r="Q6618">
        <v>0.11372060000000001</v>
      </c>
      <c r="R6618">
        <v>0.99289910000000003</v>
      </c>
      <c r="S6618">
        <v>-0.22422790000000001</v>
      </c>
      <c r="T6618">
        <v>-0.1719801</v>
      </c>
      <c r="U6618">
        <v>3.0496829999999999</v>
      </c>
      <c r="V6618">
        <v>-3.9923449999999999E-2</v>
      </c>
      <c r="W6618">
        <v>0.1178332</v>
      </c>
      <c r="X6618">
        <v>0.99223050000000002</v>
      </c>
      <c r="Y6618">
        <v>-0.1461942</v>
      </c>
      <c r="Z6618">
        <v>-5.5698079999999997E-2</v>
      </c>
      <c r="AA6618">
        <v>0.98768670000000003</v>
      </c>
      <c r="AB6618">
        <v>38</v>
      </c>
      <c r="AC6618">
        <v>-1.47829999999999</v>
      </c>
      <c r="AD6618">
        <v>-1.1152215665456</v>
      </c>
      <c r="AE6618">
        <v>19.412362000000002</v>
      </c>
      <c r="AF6618">
        <v>-2.8892556152284001</v>
      </c>
      <c r="AG6618">
        <v>-1.1152215665456</v>
      </c>
      <c r="AH6618">
        <v>19.188593563580401</v>
      </c>
      <c r="AI6618">
        <v>93.289236083158102</v>
      </c>
      <c r="AJ6618">
        <v>98.562787794398901</v>
      </c>
      <c r="AK6618">
        <v>19.436914366763499</v>
      </c>
      <c r="AL6618">
        <v>83.232932858342906</v>
      </c>
      <c r="AM6618">
        <v>92.304113785515497</v>
      </c>
      <c r="AN6618">
        <v>0.99999995500619498</v>
      </c>
    </row>
    <row r="6619" spans="1:40" x14ac:dyDescent="0.25">
      <c r="A6619" t="str">
        <f>"20190312164154369"</f>
        <v>20190312164154369</v>
      </c>
      <c r="B6619" t="str">
        <f>"1552380114363100"</f>
        <v>1552380114363100</v>
      </c>
      <c r="C6619" t="s">
        <v>40</v>
      </c>
      <c r="D6619">
        <v>5.7997480000000001</v>
      </c>
      <c r="E6619">
        <v>0.46427370000000001</v>
      </c>
      <c r="F6619" t="s">
        <v>41</v>
      </c>
      <c r="G6619">
        <v>-188.61179999999999</v>
      </c>
      <c r="H6619" s="1">
        <v>-5.8824839999999996E-7</v>
      </c>
      <c r="I6619">
        <v>-9.7087450000000004</v>
      </c>
      <c r="J6619">
        <v>-187.14519999999999</v>
      </c>
      <c r="K6619">
        <v>1.115235</v>
      </c>
      <c r="L6619">
        <v>-28.739719999999998</v>
      </c>
      <c r="M6619">
        <v>6.6172439999999999E-2</v>
      </c>
      <c r="N6619">
        <v>0</v>
      </c>
      <c r="O6619">
        <v>0.99779680000000004</v>
      </c>
      <c r="P6619">
        <v>3.2563929999999998E-2</v>
      </c>
      <c r="Q6619">
        <v>0.1133943</v>
      </c>
      <c r="R6619">
        <v>0.99301629999999996</v>
      </c>
      <c r="S6619">
        <v>-0.22602839999999999</v>
      </c>
      <c r="T6619">
        <v>-0.174872</v>
      </c>
      <c r="U6619">
        <v>3.0494379999999999</v>
      </c>
      <c r="V6619">
        <v>-3.5109889999999998E-2</v>
      </c>
      <c r="W6619">
        <v>0.1175908</v>
      </c>
      <c r="X6619">
        <v>0.99244129999999997</v>
      </c>
      <c r="Y6619">
        <v>-0.139629</v>
      </c>
      <c r="Z6619">
        <v>-5.670526E-2</v>
      </c>
      <c r="AA6619">
        <v>0.98857890000000004</v>
      </c>
      <c r="AB6619">
        <v>38</v>
      </c>
      <c r="AC6619">
        <v>-1.4665999999999899</v>
      </c>
      <c r="AD6619">
        <v>-1.1152355882484</v>
      </c>
      <c r="AE6619">
        <v>19.030975000000002</v>
      </c>
      <c r="AF6619">
        <v>-2.7134625641912402</v>
      </c>
      <c r="AG6619">
        <v>-1.1152355882484</v>
      </c>
      <c r="AH6619">
        <v>18.8279373577098</v>
      </c>
      <c r="AI6619">
        <v>93.355255990355204</v>
      </c>
      <c r="AJ6619">
        <v>98.200940108291604</v>
      </c>
      <c r="AK6619">
        <v>19.0551267287942</v>
      </c>
      <c r="AL6619">
        <v>83.246919010412796</v>
      </c>
      <c r="AM6619">
        <v>92.026124786924797</v>
      </c>
      <c r="AN6619">
        <v>1.0000000172830701</v>
      </c>
    </row>
    <row r="6620" spans="1:40" x14ac:dyDescent="0.25">
      <c r="A6620" t="str">
        <f>"20190312164154393"</f>
        <v>20190312164154393</v>
      </c>
      <c r="B6620" t="str">
        <f>"1552380114382620"</f>
        <v>1552380114382620</v>
      </c>
      <c r="C6620" t="s">
        <v>40</v>
      </c>
      <c r="D6620">
        <v>5.7980769999999904</v>
      </c>
      <c r="E6620">
        <v>0.46481329999999998</v>
      </c>
      <c r="F6620" t="s">
        <v>41</v>
      </c>
      <c r="G6620">
        <v>-188.6104</v>
      </c>
      <c r="H6620" s="1">
        <v>-6.0521299999999998E-7</v>
      </c>
      <c r="I6620">
        <v>-9.6599869999999992</v>
      </c>
      <c r="J6620">
        <v>-187.12379999999999</v>
      </c>
      <c r="K6620">
        <v>1.1152299999999999</v>
      </c>
      <c r="L6620">
        <v>-28.340389999999999</v>
      </c>
      <c r="M6620">
        <v>5.9354400000000002E-2</v>
      </c>
      <c r="N6620">
        <v>0</v>
      </c>
      <c r="O6620">
        <v>0.99822549999999999</v>
      </c>
      <c r="P6620">
        <v>3.0357430000000001E-2</v>
      </c>
      <c r="Q6620">
        <v>0.11271920000000001</v>
      </c>
      <c r="R6620">
        <v>0.99316300000000002</v>
      </c>
      <c r="S6620">
        <v>-0.2341461</v>
      </c>
      <c r="T6620">
        <v>-0.178226</v>
      </c>
      <c r="U6620">
        <v>3.0491329999999999</v>
      </c>
      <c r="V6620">
        <v>-3.052653E-2</v>
      </c>
      <c r="W6620">
        <v>0.1169979</v>
      </c>
      <c r="X6620">
        <v>0.99266290000000001</v>
      </c>
      <c r="Y6620">
        <v>-0.13548260000000001</v>
      </c>
      <c r="Z6620">
        <v>-5.7843440000000003E-2</v>
      </c>
      <c r="AA6620">
        <v>0.98908980000000002</v>
      </c>
      <c r="AB6620">
        <v>38</v>
      </c>
      <c r="AC6620">
        <v>-1.4866000000000099</v>
      </c>
      <c r="AD6620">
        <v>-1.1152306052130001</v>
      </c>
      <c r="AE6620">
        <v>18.680402999999998</v>
      </c>
      <c r="AF6620">
        <v>-2.5836054097051901</v>
      </c>
      <c r="AG6620">
        <v>-1.1152306052130001</v>
      </c>
      <c r="AH6620">
        <v>18.493731184113098</v>
      </c>
      <c r="AI6620">
        <v>93.417826944259801</v>
      </c>
      <c r="AJ6620">
        <v>97.952846088761504</v>
      </c>
      <c r="AK6620">
        <v>18.706599084977999</v>
      </c>
      <c r="AL6620">
        <v>83.281125720244901</v>
      </c>
      <c r="AM6620">
        <v>91.761413961718702</v>
      </c>
      <c r="AN6620">
        <v>1.0000000053373299</v>
      </c>
    </row>
    <row r="6621" spans="1:40" x14ac:dyDescent="0.25">
      <c r="A6621" t="str">
        <f>"20190312164154412"</f>
        <v>20190312164154412</v>
      </c>
      <c r="B6621" t="str">
        <f>"1552380114403116"</f>
        <v>1552380114403116</v>
      </c>
      <c r="C6621" t="s">
        <v>40</v>
      </c>
      <c r="D6621">
        <v>5.7272569999999998</v>
      </c>
      <c r="E6621">
        <v>0.47731689999999999</v>
      </c>
      <c r="F6621" t="s">
        <v>41</v>
      </c>
      <c r="G6621">
        <v>-188.5882</v>
      </c>
      <c r="H6621" s="1">
        <v>-6.5402380000000005E-7</v>
      </c>
      <c r="I6621">
        <v>-9.5338840000000005</v>
      </c>
      <c r="J6621">
        <v>-187.10749999999999</v>
      </c>
      <c r="K6621">
        <v>1.115194</v>
      </c>
      <c r="L6621">
        <v>-27.994230000000002</v>
      </c>
      <c r="M6621">
        <v>5.355791E-2</v>
      </c>
      <c r="N6621">
        <v>0</v>
      </c>
      <c r="O6621">
        <v>0.99855329999999998</v>
      </c>
      <c r="P6621">
        <v>2.9033280000000002E-2</v>
      </c>
      <c r="Q6621">
        <v>0.1121886</v>
      </c>
      <c r="R6621">
        <v>0.99326270000000005</v>
      </c>
      <c r="S6621">
        <v>-0.23736570000000001</v>
      </c>
      <c r="T6621">
        <v>-0.18077280000000001</v>
      </c>
      <c r="U6621">
        <v>3.0484309999999999</v>
      </c>
      <c r="V6621">
        <v>-2.6070670000000001E-2</v>
      </c>
      <c r="W6621">
        <v>0.1165456</v>
      </c>
      <c r="X6621">
        <v>0.99284309999999998</v>
      </c>
      <c r="Y6621">
        <v>-0.1307808</v>
      </c>
      <c r="Z6621">
        <v>-5.8725939999999997E-2</v>
      </c>
      <c r="AA6621">
        <v>0.98967050000000001</v>
      </c>
      <c r="AB6621">
        <v>38</v>
      </c>
      <c r="AC6621">
        <v>-1.4807000000000099</v>
      </c>
      <c r="AD6621">
        <v>-1.1151946540238</v>
      </c>
      <c r="AE6621">
        <v>18.460346000000001</v>
      </c>
      <c r="AF6621">
        <v>-2.4583693917672802</v>
      </c>
      <c r="AG6621">
        <v>-1.1151946540238</v>
      </c>
      <c r="AH6621">
        <v>18.288231525050001</v>
      </c>
      <c r="AI6621">
        <v>93.458477369259796</v>
      </c>
      <c r="AJ6621">
        <v>97.656009496861401</v>
      </c>
      <c r="AK6621">
        <v>18.486390980842501</v>
      </c>
      <c r="AL6621">
        <v>83.307219002023501</v>
      </c>
      <c r="AM6621">
        <v>91.504161316056397</v>
      </c>
      <c r="AN6621">
        <v>0.99999998896560904</v>
      </c>
    </row>
    <row r="6622" spans="1:40" x14ac:dyDescent="0.25">
      <c r="A6622" t="str">
        <f>"20190312164154435"</f>
        <v>20190312164154435</v>
      </c>
      <c r="B6622" t="str">
        <f>"1552380114422641"</f>
        <v>1552380114422641</v>
      </c>
      <c r="C6622" t="s">
        <v>40</v>
      </c>
      <c r="D6622">
        <v>5.7252739999999998</v>
      </c>
      <c r="E6622">
        <v>0.4779698</v>
      </c>
      <c r="F6622" t="s">
        <v>41</v>
      </c>
      <c r="G6622">
        <v>-187.7664</v>
      </c>
      <c r="H6622" s="1">
        <v>-2.9781319999999999E-6</v>
      </c>
      <c r="I6622">
        <v>-14.34869</v>
      </c>
      <c r="J6622">
        <v>-187.0916</v>
      </c>
      <c r="K6622">
        <v>1.1151169999999999</v>
      </c>
      <c r="L6622">
        <v>-27.615480000000002</v>
      </c>
      <c r="M6622">
        <v>4.7373459999999999E-2</v>
      </c>
      <c r="N6622">
        <v>0</v>
      </c>
      <c r="O6622">
        <v>0.99886569999999997</v>
      </c>
      <c r="P6622">
        <v>2.7934090000000002E-2</v>
      </c>
      <c r="Q6622">
        <v>0.11191139999999999</v>
      </c>
      <c r="R6622">
        <v>0.99332549999999997</v>
      </c>
      <c r="S6622">
        <v>-0.1474152</v>
      </c>
      <c r="T6622">
        <v>-0.249498</v>
      </c>
      <c r="U6622">
        <v>3.0528559999999998</v>
      </c>
      <c r="V6622">
        <v>-2.0996190000000001E-2</v>
      </c>
      <c r="W6622">
        <v>0.11635570000000001</v>
      </c>
      <c r="X6622">
        <v>0.99298569999999997</v>
      </c>
      <c r="Y6622">
        <v>-9.5336790000000005E-2</v>
      </c>
      <c r="Z6622">
        <v>-8.1084840000000005E-2</v>
      </c>
      <c r="AA6622">
        <v>0.99213709999999999</v>
      </c>
      <c r="AB6622">
        <v>38</v>
      </c>
      <c r="AC6622">
        <v>-0.67480000000000395</v>
      </c>
      <c r="AD6622">
        <v>-1.11511997813199</v>
      </c>
      <c r="AE6622">
        <v>13.26679</v>
      </c>
      <c r="AF6622">
        <v>-1.2934288635946001</v>
      </c>
      <c r="AG6622">
        <v>-1.11511997813199</v>
      </c>
      <c r="AH6622">
        <v>13.1274205968719</v>
      </c>
      <c r="AI6622">
        <v>94.832096360709798</v>
      </c>
      <c r="AJ6622">
        <v>95.627121493493405</v>
      </c>
      <c r="AK6622">
        <v>13.238036951073401</v>
      </c>
      <c r="AL6622">
        <v>83.318174377113394</v>
      </c>
      <c r="AM6622">
        <v>91.211310332925095</v>
      </c>
      <c r="AN6622">
        <v>1.00000004466074</v>
      </c>
    </row>
    <row r="6623" spans="1:40" x14ac:dyDescent="0.25">
      <c r="A6623" t="str">
        <f>"20190312164154457"</f>
        <v>20190312164154457</v>
      </c>
      <c r="B6623" t="str">
        <f>"1552380114452895"</f>
        <v>1552380114452895</v>
      </c>
      <c r="C6623" t="s">
        <v>40</v>
      </c>
      <c r="D6623">
        <v>5.6697449999999998</v>
      </c>
      <c r="E6623">
        <v>0.47820649999999998</v>
      </c>
      <c r="F6623" t="s">
        <v>41</v>
      </c>
      <c r="G6623">
        <v>-187.74850000000001</v>
      </c>
      <c r="H6623" s="1">
        <v>-3.2202589999999998E-6</v>
      </c>
      <c r="I6623">
        <v>-13.791689999999999</v>
      </c>
      <c r="J6623">
        <v>-187.07740000000001</v>
      </c>
      <c r="K6623">
        <v>1.1150089999999999</v>
      </c>
      <c r="L6623">
        <v>-27.222750000000001</v>
      </c>
      <c r="M6623">
        <v>4.1168620000000003E-2</v>
      </c>
      <c r="N6623">
        <v>0</v>
      </c>
      <c r="O6623">
        <v>0.99914069999999999</v>
      </c>
      <c r="P6623">
        <v>2.65378E-2</v>
      </c>
      <c r="Q6623">
        <v>0.11202529999999999</v>
      </c>
      <c r="R6623">
        <v>0.99335090000000004</v>
      </c>
      <c r="S6623">
        <v>-0.1450195</v>
      </c>
      <c r="T6623">
        <v>-0.24619269999999999</v>
      </c>
      <c r="U6623">
        <v>3.051971</v>
      </c>
      <c r="V6623">
        <v>-1.6192959999999999E-2</v>
      </c>
      <c r="W6623">
        <v>0.116550399999999</v>
      </c>
      <c r="X6623">
        <v>0.99305279999999996</v>
      </c>
      <c r="Y6623">
        <v>-8.8392689999999996E-2</v>
      </c>
      <c r="Z6623">
        <v>-8.0101030000000004E-2</v>
      </c>
      <c r="AA6623">
        <v>0.99285979999999996</v>
      </c>
      <c r="AB6623">
        <v>39</v>
      </c>
      <c r="AC6623">
        <v>-0.67109999999999503</v>
      </c>
      <c r="AD6623">
        <v>-1.11501222025899</v>
      </c>
      <c r="AE6623">
        <v>13.43106</v>
      </c>
      <c r="AF6623">
        <v>-1.21512196550344</v>
      </c>
      <c r="AG6623">
        <v>-1.11501222025899</v>
      </c>
      <c r="AH6623">
        <v>13.3006063803934</v>
      </c>
      <c r="AI6623">
        <v>94.772215381585497</v>
      </c>
      <c r="AJ6623">
        <v>95.219959722683399</v>
      </c>
      <c r="AK6623">
        <v>13.402458868750101</v>
      </c>
      <c r="AL6623">
        <v>83.306942409003696</v>
      </c>
      <c r="AM6623">
        <v>90.934196095079699</v>
      </c>
      <c r="AN6623">
        <v>1.0000000356407801</v>
      </c>
    </row>
    <row r="6624" spans="1:40" x14ac:dyDescent="0.25">
      <c r="A6624" t="str">
        <f>"20190312164154480"</f>
        <v>20190312164154480</v>
      </c>
      <c r="B6624" t="str">
        <f>"1552380114472412"</f>
        <v>1552380114472412</v>
      </c>
      <c r="C6624" t="s">
        <v>40</v>
      </c>
      <c r="D6624">
        <v>5.6239319999999999</v>
      </c>
      <c r="E6624">
        <v>0.47911629999999999</v>
      </c>
      <c r="F6624" t="s">
        <v>41</v>
      </c>
      <c r="G6624">
        <v>-187.75020000000001</v>
      </c>
      <c r="H6624" s="1">
        <v>-3.4643079999999998E-6</v>
      </c>
      <c r="I6624">
        <v>-13.22209</v>
      </c>
      <c r="J6624">
        <v>-187.066</v>
      </c>
      <c r="K6624">
        <v>1.114876</v>
      </c>
      <c r="L6624">
        <v>-26.843350000000001</v>
      </c>
      <c r="M6624">
        <v>3.54236E-2</v>
      </c>
      <c r="N6624">
        <v>0</v>
      </c>
      <c r="O6624">
        <v>0.9993609</v>
      </c>
      <c r="P6624">
        <v>2.5701709999999999E-2</v>
      </c>
      <c r="Q6624">
        <v>0.1122625</v>
      </c>
      <c r="R6624">
        <v>0.99334619999999996</v>
      </c>
      <c r="S6624">
        <v>-0.14662169999999999</v>
      </c>
      <c r="T6624">
        <v>-0.2430129</v>
      </c>
      <c r="U6624">
        <v>3.0513919999999999</v>
      </c>
      <c r="V6624">
        <v>-1.128238E-2</v>
      </c>
      <c r="W6624">
        <v>0.1168677</v>
      </c>
      <c r="X6624">
        <v>0.99308339999999995</v>
      </c>
      <c r="Y6624">
        <v>-8.3197670000000001E-2</v>
      </c>
      <c r="Z6624">
        <v>-7.9130889999999995E-2</v>
      </c>
      <c r="AA6624">
        <v>0.99338630000000006</v>
      </c>
      <c r="AB6624">
        <v>39</v>
      </c>
      <c r="AC6624">
        <v>-0.684200000000032</v>
      </c>
      <c r="AD6624">
        <v>-1.114879464308</v>
      </c>
      <c r="AE6624">
        <v>13.621259999999999</v>
      </c>
      <c r="AF6624">
        <v>-1.15854839837749</v>
      </c>
      <c r="AG6624">
        <v>-1.114879464308</v>
      </c>
      <c r="AH6624">
        <v>13.4982741155717</v>
      </c>
      <c r="AI6624">
        <v>94.704365356132499</v>
      </c>
      <c r="AJ6624">
        <v>94.905638289546403</v>
      </c>
      <c r="AK6624">
        <v>13.5936968743029</v>
      </c>
      <c r="AL6624">
        <v>83.288637093322194</v>
      </c>
      <c r="AM6624">
        <v>90.650907010452499</v>
      </c>
      <c r="AN6624">
        <v>0.99999999537865703</v>
      </c>
    </row>
    <row r="6625" spans="1:40" x14ac:dyDescent="0.25">
      <c r="A6625" t="str">
        <f>"20190312164154502"</f>
        <v>20190312164154502</v>
      </c>
      <c r="B6625" t="str">
        <f>"1552380114492908"</f>
        <v>1552380114492908</v>
      </c>
      <c r="C6625" t="s">
        <v>40</v>
      </c>
      <c r="D6625">
        <v>5.8444260000000003</v>
      </c>
      <c r="E6625">
        <v>0.47959819999999997</v>
      </c>
      <c r="F6625" t="s">
        <v>41</v>
      </c>
      <c r="G6625">
        <v>-187.72620000000001</v>
      </c>
      <c r="H6625" s="1">
        <v>-3.670331E-6</v>
      </c>
      <c r="I6625">
        <v>-12.75177</v>
      </c>
      <c r="J6625">
        <v>-187.05600000000001</v>
      </c>
      <c r="K6625">
        <v>1.114722</v>
      </c>
      <c r="L6625">
        <v>-26.441099999999999</v>
      </c>
      <c r="M6625">
        <v>2.9594599999999999E-2</v>
      </c>
      <c r="N6625">
        <v>0</v>
      </c>
      <c r="O6625">
        <v>0.99955050000000001</v>
      </c>
      <c r="P6625">
        <v>2.50043E-2</v>
      </c>
      <c r="Q6625">
        <v>0.1128948</v>
      </c>
      <c r="R6625">
        <v>0.99329230000000002</v>
      </c>
      <c r="S6625">
        <v>-0.1429443</v>
      </c>
      <c r="T6625">
        <v>-0.24139189999999999</v>
      </c>
      <c r="U6625">
        <v>3.0510860000000002</v>
      </c>
      <c r="V6625">
        <v>-6.1476209999999998E-3</v>
      </c>
      <c r="W6625">
        <v>0.1175823</v>
      </c>
      <c r="X6625">
        <v>0.99304409999999999</v>
      </c>
      <c r="Y6625">
        <v>-7.6195780000000005E-2</v>
      </c>
      <c r="Z6625">
        <v>-7.8660859999999999E-2</v>
      </c>
      <c r="AA6625">
        <v>0.99398520000000001</v>
      </c>
      <c r="AB6625">
        <v>39</v>
      </c>
      <c r="AC6625">
        <v>-0.670200000000022</v>
      </c>
      <c r="AD6625">
        <v>-1.114725670331</v>
      </c>
      <c r="AE6625">
        <v>13.689329999999901</v>
      </c>
      <c r="AF6625">
        <v>-1.06797663190437</v>
      </c>
      <c r="AG6625">
        <v>-1.114725670331</v>
      </c>
      <c r="AH6625">
        <v>13.5737086761584</v>
      </c>
      <c r="AI6625">
        <v>94.680416200420893</v>
      </c>
      <c r="AJ6625">
        <v>94.498752337752606</v>
      </c>
      <c r="AK6625">
        <v>13.661213512408301</v>
      </c>
      <c r="AL6625">
        <v>83.247409224886795</v>
      </c>
      <c r="AM6625">
        <v>90.354695463906097</v>
      </c>
      <c r="AN6625">
        <v>0.99999998753102903</v>
      </c>
    </row>
    <row r="6626" spans="1:40" x14ac:dyDescent="0.25">
      <c r="A6626" t="str">
        <f>"20190312164154525"</f>
        <v>20190312164154525</v>
      </c>
      <c r="B6626" t="str">
        <f>"1552380114512428"</f>
        <v>1552380114512428</v>
      </c>
      <c r="C6626" t="s">
        <v>40</v>
      </c>
      <c r="D6626">
        <v>5.7059430000000004</v>
      </c>
      <c r="E6626">
        <v>0.4792091</v>
      </c>
      <c r="F6626" t="s">
        <v>41</v>
      </c>
      <c r="G6626">
        <v>-187.73849999999999</v>
      </c>
      <c r="H6626" s="1">
        <v>-4.0997739999999998E-6</v>
      </c>
      <c r="I6626">
        <v>-11.74563</v>
      </c>
      <c r="J6626">
        <v>-187.04859999999999</v>
      </c>
      <c r="K6626">
        <v>1.114582</v>
      </c>
      <c r="L6626">
        <v>-26.062809999999999</v>
      </c>
      <c r="M6626">
        <v>2.432264E-2</v>
      </c>
      <c r="N6626">
        <v>0</v>
      </c>
      <c r="O6626">
        <v>0.99969260000000004</v>
      </c>
      <c r="P6626">
        <v>2.4228360000000001E-2</v>
      </c>
      <c r="Q6626">
        <v>0.1135085</v>
      </c>
      <c r="R6626">
        <v>0.9932415</v>
      </c>
      <c r="S6626">
        <v>-0.1416473</v>
      </c>
      <c r="T6626">
        <v>-0.2313663</v>
      </c>
      <c r="U6626">
        <v>3.0501100000000001</v>
      </c>
      <c r="V6626">
        <v>-1.6504130000000001E-3</v>
      </c>
      <c r="W6626">
        <v>0.1182684</v>
      </c>
      <c r="X6626">
        <v>0.99298030000000004</v>
      </c>
      <c r="Y6626">
        <v>-7.054067E-2</v>
      </c>
      <c r="Z6626">
        <v>-7.5469519999999998E-2</v>
      </c>
      <c r="AA6626">
        <v>0.99464989999999998</v>
      </c>
      <c r="AB6626">
        <v>39</v>
      </c>
      <c r="AC6626">
        <v>-0.68989999999999396</v>
      </c>
      <c r="AD6626">
        <v>-1.114586099774</v>
      </c>
      <c r="AE6626">
        <v>14.31718</v>
      </c>
      <c r="AF6626">
        <v>-1.0316933875486101</v>
      </c>
      <c r="AG6626">
        <v>-1.114586099774</v>
      </c>
      <c r="AH6626">
        <v>14.2102415196451</v>
      </c>
      <c r="AI6626">
        <v>94.473110280015604</v>
      </c>
      <c r="AJ6626">
        <v>94.152508141416604</v>
      </c>
      <c r="AK6626">
        <v>14.291174110840799</v>
      </c>
      <c r="AL6626">
        <v>83.207822505036404</v>
      </c>
      <c r="AM6626">
        <v>90.0952300990037</v>
      </c>
      <c r="AN6626">
        <v>1.00000000724486</v>
      </c>
    </row>
    <row r="6627" spans="1:40" x14ac:dyDescent="0.25">
      <c r="A6627" t="str">
        <f>"20190312164154546"</f>
        <v>20190312164154546</v>
      </c>
      <c r="B6627" t="str">
        <f>"1552380114542684"</f>
        <v>1552380114542684</v>
      </c>
      <c r="C6627" t="s">
        <v>40</v>
      </c>
      <c r="D6627">
        <v>5.6648620000000003</v>
      </c>
      <c r="E6627">
        <v>0.47977399999999998</v>
      </c>
      <c r="F6627" t="s">
        <v>41</v>
      </c>
      <c r="G6627">
        <v>-187.75450000000001</v>
      </c>
      <c r="H6627" s="1">
        <v>-4.2545760000000001E-6</v>
      </c>
      <c r="I6627">
        <v>-11.37815</v>
      </c>
      <c r="J6627">
        <v>-187.0429</v>
      </c>
      <c r="K6627">
        <v>1.11443799999999</v>
      </c>
      <c r="L6627">
        <v>-25.681950000000001</v>
      </c>
      <c r="M6627">
        <v>1.922422E-2</v>
      </c>
      <c r="N6627">
        <v>0</v>
      </c>
      <c r="O6627">
        <v>0.99980360000000001</v>
      </c>
      <c r="P6627">
        <v>2.3416780000000002E-2</v>
      </c>
      <c r="Q6627">
        <v>0.1138482</v>
      </c>
      <c r="R6627">
        <v>0.99322220000000006</v>
      </c>
      <c r="S6627">
        <v>-0.14665220000000001</v>
      </c>
      <c r="T6627">
        <v>-0.2315333</v>
      </c>
      <c r="U6627">
        <v>3.050446</v>
      </c>
      <c r="V6627">
        <v>2.6405339999999999E-3</v>
      </c>
      <c r="W6627">
        <v>0.1186779</v>
      </c>
      <c r="X6627">
        <v>0.99292930000000001</v>
      </c>
      <c r="Y6627">
        <v>-6.7076339999999998E-2</v>
      </c>
      <c r="Z6627">
        <v>-7.5534160000000003E-2</v>
      </c>
      <c r="AA6627">
        <v>0.99488460000000001</v>
      </c>
      <c r="AB6627">
        <v>39</v>
      </c>
      <c r="AC6627">
        <v>-0.71160000000000401</v>
      </c>
      <c r="AD6627">
        <v>-1.11444225457599</v>
      </c>
      <c r="AE6627">
        <v>14.303800000000001</v>
      </c>
      <c r="AF6627">
        <v>-0.98051373121881702</v>
      </c>
      <c r="AG6627">
        <v>-1.11444225457599</v>
      </c>
      <c r="AH6627">
        <v>14.201481606751299</v>
      </c>
      <c r="AI6627">
        <v>94.476400918078099</v>
      </c>
      <c r="AJ6627">
        <v>93.9496079849268</v>
      </c>
      <c r="AK6627">
        <v>14.278846891216</v>
      </c>
      <c r="AL6627">
        <v>83.184193458708194</v>
      </c>
      <c r="AM6627">
        <v>89.847631551194894</v>
      </c>
      <c r="AN6627">
        <v>1.00000000558335</v>
      </c>
    </row>
    <row r="6628" spans="1:40" x14ac:dyDescent="0.25">
      <c r="A6628" t="str">
        <f>"20190312164154570"</f>
        <v>20190312164154570</v>
      </c>
      <c r="B6628" t="str">
        <f>"1552380114562204"</f>
        <v>1552380114562204</v>
      </c>
      <c r="C6628" t="s">
        <v>40</v>
      </c>
      <c r="D6628">
        <v>5.7035049999999998</v>
      </c>
      <c r="E6628">
        <v>0.47992069999999998</v>
      </c>
      <c r="F6628" t="s">
        <v>41</v>
      </c>
      <c r="G6628">
        <v>-187.7234</v>
      </c>
      <c r="H6628" s="1">
        <v>-4.263709E-6</v>
      </c>
      <c r="I6628">
        <v>-11.369719999999999</v>
      </c>
      <c r="J6628">
        <v>-187.03870000000001</v>
      </c>
      <c r="K6628">
        <v>1.114285</v>
      </c>
      <c r="L6628">
        <v>-25.262789999999999</v>
      </c>
      <c r="M6628">
        <v>1.385752E-2</v>
      </c>
      <c r="N6628">
        <v>0</v>
      </c>
      <c r="O6628">
        <v>0.99989240000000001</v>
      </c>
      <c r="P6628">
        <v>2.3072140000000001E-2</v>
      </c>
      <c r="Q6628">
        <v>0.1144285</v>
      </c>
      <c r="R6628">
        <v>0.99316349999999998</v>
      </c>
      <c r="S6628">
        <v>-0.1450806</v>
      </c>
      <c r="T6628">
        <v>-0.2375796</v>
      </c>
      <c r="U6628">
        <v>3.0511170000000001</v>
      </c>
      <c r="V6628">
        <v>7.6663460000000001E-3</v>
      </c>
      <c r="W6628">
        <v>0.1193379</v>
      </c>
      <c r="X6628">
        <v>0.99282409999999999</v>
      </c>
      <c r="Y6628">
        <v>-6.1190880000000003E-2</v>
      </c>
      <c r="Z6628">
        <v>-7.7503970000000005E-2</v>
      </c>
      <c r="AA6628">
        <v>0.99511249999999996</v>
      </c>
      <c r="AB6628">
        <v>39</v>
      </c>
      <c r="AC6628">
        <v>-0.68469999999999198</v>
      </c>
      <c r="AD6628">
        <v>-1.1142892637090001</v>
      </c>
      <c r="AE6628">
        <v>13.89307</v>
      </c>
      <c r="AF6628">
        <v>-0.87156695479383595</v>
      </c>
      <c r="AG6628">
        <v>-1.1142892637090001</v>
      </c>
      <c r="AH6628">
        <v>13.793730413432099</v>
      </c>
      <c r="AI6628">
        <v>94.609303625697095</v>
      </c>
      <c r="AJ6628">
        <v>93.615469376695501</v>
      </c>
      <c r="AK6628">
        <v>13.8660833777368</v>
      </c>
      <c r="AL6628">
        <v>83.146107543304296</v>
      </c>
      <c r="AM6628">
        <v>89.557584732035295</v>
      </c>
      <c r="AN6628">
        <v>1.0000000003891001</v>
      </c>
    </row>
    <row r="6629" spans="1:40" x14ac:dyDescent="0.25">
      <c r="A6629" t="str">
        <f>"20190312164154593"</f>
        <v>20190312164154593</v>
      </c>
      <c r="B6629" t="str">
        <f>"1552380114582700"</f>
        <v>1552380114582700</v>
      </c>
      <c r="C6629" t="s">
        <v>40</v>
      </c>
      <c r="D6629">
        <v>5.5689019999999996</v>
      </c>
      <c r="E6629">
        <v>0.48040280000000002</v>
      </c>
      <c r="F6629" t="s">
        <v>41</v>
      </c>
      <c r="G6629">
        <v>-187.7192</v>
      </c>
      <c r="H6629" s="1">
        <v>-4.4285320000000001E-6</v>
      </c>
      <c r="I6629">
        <v>-10.987270000000001</v>
      </c>
      <c r="J6629">
        <v>-187.03659999999999</v>
      </c>
      <c r="K6629">
        <v>1.114133</v>
      </c>
      <c r="L6629">
        <v>-24.861540000000002</v>
      </c>
      <c r="M6629">
        <v>8.9497989999999996E-3</v>
      </c>
      <c r="N6629">
        <v>0</v>
      </c>
      <c r="O6629">
        <v>0.99994830000000001</v>
      </c>
      <c r="P6629">
        <v>2.3008560000000001E-2</v>
      </c>
      <c r="Q6629">
        <v>0.1150504</v>
      </c>
      <c r="R6629">
        <v>0.99309309999999995</v>
      </c>
      <c r="S6629">
        <v>-0.14546199999999901</v>
      </c>
      <c r="T6629">
        <v>-0.2381865</v>
      </c>
      <c r="U6629">
        <v>3.0514830000000002</v>
      </c>
      <c r="V6629">
        <v>1.251535E-2</v>
      </c>
      <c r="W6629">
        <v>0.1200338</v>
      </c>
      <c r="X6629">
        <v>0.99269090000000004</v>
      </c>
      <c r="Y6629">
        <v>-5.6409059999999997E-2</v>
      </c>
      <c r="Z6629">
        <v>-7.7708769999999996E-2</v>
      </c>
      <c r="AA6629">
        <v>0.99537900000000001</v>
      </c>
      <c r="AB6629">
        <v>39</v>
      </c>
      <c r="AC6629">
        <v>-0.68260000000000698</v>
      </c>
      <c r="AD6629">
        <v>-1.114137428532</v>
      </c>
      <c r="AE6629">
        <v>13.8742699999999</v>
      </c>
      <c r="AF6629">
        <v>-0.80158948457849899</v>
      </c>
      <c r="AG6629">
        <v>-1.114137428532</v>
      </c>
      <c r="AH6629">
        <v>13.7789663032273</v>
      </c>
      <c r="AI6629">
        <v>94.614986967346198</v>
      </c>
      <c r="AJ6629">
        <v>93.329421602080302</v>
      </c>
      <c r="AK6629">
        <v>13.8471571196732</v>
      </c>
      <c r="AL6629">
        <v>83.105946619703701</v>
      </c>
      <c r="AM6629">
        <v>89.2776817588787</v>
      </c>
      <c r="AN6629">
        <v>0.99999998503543597</v>
      </c>
    </row>
    <row r="6630" spans="1:40" x14ac:dyDescent="0.25">
      <c r="A6630" t="str">
        <f>"20190312164154615"</f>
        <v>20190312164154615</v>
      </c>
      <c r="B6630" t="str">
        <f>"1552380114602221"</f>
        <v>1552380114602221</v>
      </c>
      <c r="C6630" t="s">
        <v>40</v>
      </c>
      <c r="D6630">
        <v>5.6152490000000004</v>
      </c>
      <c r="E6630">
        <v>0.48069489999999998</v>
      </c>
      <c r="F6630" t="s">
        <v>41</v>
      </c>
      <c r="G6630">
        <v>-187.71199999999999</v>
      </c>
      <c r="H6630" s="1">
        <v>-5.9981569999999899E-7</v>
      </c>
      <c r="I6630">
        <v>-10.37829</v>
      </c>
      <c r="J6630">
        <v>-187.03630000000001</v>
      </c>
      <c r="K6630">
        <v>1.1139779999999999</v>
      </c>
      <c r="L6630">
        <v>-24.467320000000001</v>
      </c>
      <c r="M6630">
        <v>4.3272479999999997E-3</v>
      </c>
      <c r="N6630">
        <v>0</v>
      </c>
      <c r="O6630">
        <v>0.99997879999999995</v>
      </c>
      <c r="P6630">
        <v>2.2881889999999998E-2</v>
      </c>
      <c r="Q6630">
        <v>0.11490359999999999</v>
      </c>
      <c r="R6630">
        <v>0.99311309999999997</v>
      </c>
      <c r="S6630">
        <v>-0.1422882</v>
      </c>
      <c r="T6630">
        <v>-0.23472799999999999</v>
      </c>
      <c r="U6630">
        <v>3.051361</v>
      </c>
      <c r="V6630">
        <v>1.7026409999999999E-2</v>
      </c>
      <c r="W6630">
        <v>0.1199543</v>
      </c>
      <c r="X6630">
        <v>0.9926334</v>
      </c>
      <c r="Y6630">
        <v>-5.076572E-2</v>
      </c>
      <c r="Z6630">
        <v>-7.6607149999999999E-2</v>
      </c>
      <c r="AA6630">
        <v>0.99576810000000004</v>
      </c>
      <c r="AB6630">
        <v>40</v>
      </c>
      <c r="AC6630">
        <v>-0.67570000000000596</v>
      </c>
      <c r="AD6630">
        <v>-1.1139785998156999</v>
      </c>
      <c r="AE6630">
        <v>14.089029999999999</v>
      </c>
      <c r="AF6630">
        <v>-0.73209485733364599</v>
      </c>
      <c r="AG6630">
        <v>-1.1139785998156999</v>
      </c>
      <c r="AH6630">
        <v>13.998660865993299</v>
      </c>
      <c r="AI6630">
        <v>94.543684344006607</v>
      </c>
      <c r="AJ6630">
        <v>92.993698286863804</v>
      </c>
      <c r="AK6630">
        <v>14.061984825837101</v>
      </c>
      <c r="AL6630">
        <v>83.110534887470394</v>
      </c>
      <c r="AM6630">
        <v>89.017315177608495</v>
      </c>
      <c r="AN6630">
        <v>0.99999999976076803</v>
      </c>
    </row>
    <row r="6631" spans="1:40" x14ac:dyDescent="0.25">
      <c r="A6631" t="str">
        <f>"20190312164154636"</f>
        <v>20190312164154636</v>
      </c>
      <c r="B6631" t="str">
        <f>"1552380114632476"</f>
        <v>1552380114632476</v>
      </c>
      <c r="C6631" t="s">
        <v>40</v>
      </c>
      <c r="D6631">
        <v>5.6826439999999998</v>
      </c>
      <c r="E6631">
        <v>0.48099979999999998</v>
      </c>
      <c r="F6631" t="s">
        <v>41</v>
      </c>
      <c r="G6631">
        <v>-187.70179999999999</v>
      </c>
      <c r="H6631" s="1">
        <v>-7.7835949999999998E-7</v>
      </c>
      <c r="I6631">
        <v>-9.8615510000000004</v>
      </c>
      <c r="J6631">
        <v>-187.03749999999999</v>
      </c>
      <c r="K6631">
        <v>1.113836</v>
      </c>
      <c r="L6631">
        <v>-24.099119999999999</v>
      </c>
      <c r="M6631">
        <v>1.7675859999999999E-4</v>
      </c>
      <c r="N6631">
        <v>0</v>
      </c>
      <c r="O6631">
        <v>0.99998810000000005</v>
      </c>
      <c r="P6631">
        <v>2.2586599999999998E-2</v>
      </c>
      <c r="Q6631">
        <v>0.1147256</v>
      </c>
      <c r="R6631">
        <v>0.99314040000000003</v>
      </c>
      <c r="S6631">
        <v>-0.139022799999999</v>
      </c>
      <c r="T6631">
        <v>-0.23269400000000001</v>
      </c>
      <c r="U6631">
        <v>3.0509339999999998</v>
      </c>
      <c r="V6631">
        <v>2.0896649999999999E-2</v>
      </c>
      <c r="W6631">
        <v>0.1198336</v>
      </c>
      <c r="X6631">
        <v>0.99257399999999996</v>
      </c>
      <c r="Y6631">
        <v>-4.5565099999999997E-2</v>
      </c>
      <c r="Z6631">
        <v>-7.597023E-2</v>
      </c>
      <c r="AA6631">
        <v>0.99606839999999996</v>
      </c>
      <c r="AB6631">
        <v>40</v>
      </c>
      <c r="AC6631">
        <v>-0.664299999999997</v>
      </c>
      <c r="AD6631">
        <v>-1.1138367783595</v>
      </c>
      <c r="AE6631">
        <v>14.237569000000001</v>
      </c>
      <c r="AF6631">
        <v>-0.66276910994833804</v>
      </c>
      <c r="AG6631">
        <v>-1.1138367783595</v>
      </c>
      <c r="AH6631">
        <v>14.15103119175</v>
      </c>
      <c r="AI6631">
        <v>94.495601172789804</v>
      </c>
      <c r="AJ6631">
        <v>92.681510827708607</v>
      </c>
      <c r="AK6631">
        <v>14.210263159132801</v>
      </c>
      <c r="AL6631">
        <v>83.117500415353803</v>
      </c>
      <c r="AM6631">
        <v>88.793930722498004</v>
      </c>
      <c r="AN6631">
        <v>0.99999995357309002</v>
      </c>
    </row>
    <row r="6632" spans="1:40" x14ac:dyDescent="0.25">
      <c r="A6632" t="str">
        <f>"20190312164154658"</f>
        <v>20190312164154658</v>
      </c>
      <c r="B6632" t="str">
        <f>"1552380114652972"</f>
        <v>1552380114652972</v>
      </c>
      <c r="C6632" t="s">
        <v>40</v>
      </c>
      <c r="D6632">
        <v>5.7259289999999998</v>
      </c>
      <c r="E6632">
        <v>0.48138340000000002</v>
      </c>
      <c r="F6632" t="s">
        <v>41</v>
      </c>
      <c r="G6632">
        <v>-187.68340000000001</v>
      </c>
      <c r="H6632" s="1">
        <v>-8.3149969999999997E-7</v>
      </c>
      <c r="I6632">
        <v>-9.7197849999999999</v>
      </c>
      <c r="J6632">
        <v>-187.04060000000001</v>
      </c>
      <c r="K6632">
        <v>1.1136760000000001</v>
      </c>
      <c r="L6632">
        <v>-23.692409999999999</v>
      </c>
      <c r="M6632">
        <v>-4.2383120000000002E-3</v>
      </c>
      <c r="N6632">
        <v>0</v>
      </c>
      <c r="O6632">
        <v>0.99997910000000001</v>
      </c>
      <c r="P6632">
        <v>2.1837780000000001E-2</v>
      </c>
      <c r="Q6632">
        <v>0.1136165</v>
      </c>
      <c r="R6632">
        <v>0.99328459999999996</v>
      </c>
      <c r="S6632">
        <v>-0.13705439999999999</v>
      </c>
      <c r="T6632">
        <v>-0.23634469999999999</v>
      </c>
      <c r="U6632">
        <v>3.0511469999999998</v>
      </c>
      <c r="V6632">
        <v>2.4591399999999999E-2</v>
      </c>
      <c r="W6632">
        <v>0.1187797</v>
      </c>
      <c r="X6632">
        <v>0.9926161</v>
      </c>
      <c r="Y6632">
        <v>-4.0505470000000002E-2</v>
      </c>
      <c r="Z6632">
        <v>-7.7158180000000007E-2</v>
      </c>
      <c r="AA6632">
        <v>0.99619570000000002</v>
      </c>
      <c r="AB6632">
        <v>40</v>
      </c>
      <c r="AC6632">
        <v>-0.64279999999999404</v>
      </c>
      <c r="AD6632">
        <v>-1.1136768314996901</v>
      </c>
      <c r="AE6632">
        <v>13.972625000000001</v>
      </c>
      <c r="AF6632">
        <v>-0.57989701081203104</v>
      </c>
      <c r="AG6632">
        <v>-1.1136768314996901</v>
      </c>
      <c r="AH6632">
        <v>13.8871882797004</v>
      </c>
      <c r="AI6632">
        <v>94.581021941845506</v>
      </c>
      <c r="AJ6632">
        <v>92.391150668331093</v>
      </c>
      <c r="AK6632">
        <v>13.943835732825301</v>
      </c>
      <c r="AL6632">
        <v>83.178319420506895</v>
      </c>
      <c r="AM6632">
        <v>88.5808256830734</v>
      </c>
      <c r="AN6632">
        <v>1.0000000380326199</v>
      </c>
    </row>
    <row r="6633" spans="1:40" x14ac:dyDescent="0.25">
      <c r="A6633" t="str">
        <f>"20190312164154682"</f>
        <v>20190312164154682</v>
      </c>
      <c r="B6633" t="str">
        <f>"1552380114672492"</f>
        <v>1552380114672492</v>
      </c>
      <c r="C6633" t="s">
        <v>40</v>
      </c>
      <c r="D6633">
        <v>5.7144919999999999</v>
      </c>
      <c r="E6633">
        <v>0.48178759999999998</v>
      </c>
      <c r="F6633" t="s">
        <v>42</v>
      </c>
      <c r="G6633">
        <v>-187.08850000000001</v>
      </c>
      <c r="H6633">
        <v>1.0295589999999999</v>
      </c>
      <c r="I6633">
        <v>-22.620419999999999</v>
      </c>
      <c r="J6633">
        <v>-187.04560000000001</v>
      </c>
      <c r="K6633">
        <v>1.113515</v>
      </c>
      <c r="L6633">
        <v>-23.269439999999999</v>
      </c>
      <c r="M6633">
        <v>-8.6412650000000004E-3</v>
      </c>
      <c r="N6633">
        <v>0</v>
      </c>
      <c r="O6633">
        <v>0.99995060000000002</v>
      </c>
      <c r="P6633">
        <v>2.0943799999999999E-2</v>
      </c>
      <c r="Q6633">
        <v>0.1127186</v>
      </c>
      <c r="R6633">
        <v>0.99340620000000002</v>
      </c>
      <c r="S6633">
        <v>-0.13650509999999999</v>
      </c>
      <c r="T6633">
        <v>-0.23939920000000001</v>
      </c>
      <c r="U6633">
        <v>3.050659</v>
      </c>
      <c r="V6633">
        <v>2.8126140000000001E-2</v>
      </c>
      <c r="W6633">
        <v>0.1179341</v>
      </c>
      <c r="X6633">
        <v>0.99262300000000003</v>
      </c>
      <c r="Y6633">
        <v>-3.5930219999999999E-2</v>
      </c>
      <c r="Z6633">
        <v>-7.8165579999999998E-2</v>
      </c>
      <c r="AA6633">
        <v>0.99629270000000003</v>
      </c>
      <c r="AB6633">
        <v>40</v>
      </c>
      <c r="AC6633">
        <v>-4.2900000000002998E-2</v>
      </c>
      <c r="AD6633">
        <v>-8.3955999999999906E-2</v>
      </c>
      <c r="AE6633">
        <v>0.64901999999999604</v>
      </c>
      <c r="AF6633">
        <v>-3.6678879959727698E-2</v>
      </c>
      <c r="AG6633">
        <v>-8.3955999999999906E-2</v>
      </c>
      <c r="AH6633">
        <v>0.63872486155867203</v>
      </c>
      <c r="AI6633">
        <v>97.4760317559318</v>
      </c>
      <c r="AJ6633">
        <v>93.286610013595194</v>
      </c>
      <c r="AK6633">
        <v>0.64526227144026105</v>
      </c>
      <c r="AL6633">
        <v>83.2271112636151</v>
      </c>
      <c r="AM6633">
        <v>88.376948710769398</v>
      </c>
      <c r="AN6633">
        <v>0.99999997591155398</v>
      </c>
    </row>
    <row r="6634" spans="1:40" x14ac:dyDescent="0.25">
      <c r="A6634" t="str">
        <f>"20190312164154703"</f>
        <v>20190312164154703</v>
      </c>
      <c r="B6634" t="str">
        <f>"1552380114692992"</f>
        <v>1552380114692992</v>
      </c>
      <c r="C6634" t="s">
        <v>40</v>
      </c>
      <c r="D6634">
        <v>5.7299470000000001</v>
      </c>
      <c r="E6634">
        <v>0.48203200000000002</v>
      </c>
      <c r="F6634" t="s">
        <v>42</v>
      </c>
      <c r="G6634">
        <v>-187.0907</v>
      </c>
      <c r="H6634">
        <v>1.033911</v>
      </c>
      <c r="I6634">
        <v>-22.258870000000002</v>
      </c>
      <c r="J6634">
        <v>-187.05170000000001</v>
      </c>
      <c r="K6634">
        <v>1.1133900000000001</v>
      </c>
      <c r="L6634">
        <v>-22.88278</v>
      </c>
      <c r="M6634">
        <v>-1.2543489999999999E-2</v>
      </c>
      <c r="N6634">
        <v>0</v>
      </c>
      <c r="O6634">
        <v>0.99990919999999905</v>
      </c>
      <c r="P6634">
        <v>2.0284460000000001E-2</v>
      </c>
      <c r="Q6634">
        <v>0.1117596</v>
      </c>
      <c r="R6634">
        <v>0.99352819999999997</v>
      </c>
      <c r="S6634">
        <v>-0.13652039999999999</v>
      </c>
      <c r="T6634">
        <v>-0.2403325</v>
      </c>
      <c r="U6634">
        <v>3.050049</v>
      </c>
      <c r="V6634">
        <v>3.1391490000000001E-2</v>
      </c>
      <c r="W6634">
        <v>0.117024</v>
      </c>
      <c r="X6634">
        <v>0.99263290000000004</v>
      </c>
      <c r="Y6634">
        <v>-3.2042750000000002E-2</v>
      </c>
      <c r="Z6634">
        <v>-7.8484360000000003E-2</v>
      </c>
      <c r="AA6634">
        <v>0.99640019999999996</v>
      </c>
      <c r="AB6634">
        <v>40</v>
      </c>
      <c r="AC6634">
        <v>-3.8999999999987198E-2</v>
      </c>
      <c r="AD6634">
        <v>-7.94789999999998E-2</v>
      </c>
      <c r="AE6634">
        <v>0.62390999999999797</v>
      </c>
      <c r="AF6634">
        <v>-3.0674976604887001E-2</v>
      </c>
      <c r="AG6634">
        <v>-7.94789999999998E-2</v>
      </c>
      <c r="AH6634">
        <v>0.61441823881386204</v>
      </c>
      <c r="AI6634">
        <v>97.361584697222895</v>
      </c>
      <c r="AJ6634">
        <v>92.858132326729702</v>
      </c>
      <c r="AK6634">
        <v>0.62029641125661705</v>
      </c>
      <c r="AL6634">
        <v>83.279620313590399</v>
      </c>
      <c r="AM6634">
        <v>88.188654988530999</v>
      </c>
      <c r="AN6634">
        <v>1.0000000581914099</v>
      </c>
    </row>
    <row r="6635" spans="1:40" x14ac:dyDescent="0.25">
      <c r="A6635" t="str">
        <f>"20190312164154725"</f>
        <v>20190312164154725</v>
      </c>
      <c r="B6635" t="str">
        <f>"1552380114712508"</f>
        <v>1552380114712508</v>
      </c>
      <c r="C6635" t="s">
        <v>40</v>
      </c>
      <c r="D6635">
        <v>5.5722300000000002</v>
      </c>
      <c r="E6635">
        <v>0.4822825</v>
      </c>
      <c r="F6635" t="s">
        <v>42</v>
      </c>
      <c r="G6635">
        <v>-187.09610000000001</v>
      </c>
      <c r="H6635">
        <v>1.034157</v>
      </c>
      <c r="I6635">
        <v>-21.899139999999999</v>
      </c>
      <c r="J6635">
        <v>-187.05930000000001</v>
      </c>
      <c r="K6635">
        <v>1.113272</v>
      </c>
      <c r="L6635">
        <v>-22.491759999999999</v>
      </c>
      <c r="M6635">
        <v>-1.637303E-2</v>
      </c>
      <c r="N6635">
        <v>0</v>
      </c>
      <c r="O6635">
        <v>0.99985369999999996</v>
      </c>
      <c r="P6635">
        <v>2.026354E-2</v>
      </c>
      <c r="Q6635">
        <v>0.1110182</v>
      </c>
      <c r="R6635">
        <v>0.99361180000000004</v>
      </c>
      <c r="S6635">
        <v>-0.13786319999999999</v>
      </c>
      <c r="T6635">
        <v>-0.24569859999999999</v>
      </c>
      <c r="U6635">
        <v>3.0499879999999999</v>
      </c>
      <c r="V6635">
        <v>3.5217749999999999E-2</v>
      </c>
      <c r="W6635">
        <v>0.1163377</v>
      </c>
      <c r="X6635">
        <v>0.9925851</v>
      </c>
      <c r="Y6635">
        <v>-2.8646990000000001E-2</v>
      </c>
      <c r="Z6635">
        <v>-8.0223870000000003E-2</v>
      </c>
      <c r="AA6635">
        <v>0.9963651</v>
      </c>
      <c r="AB6635">
        <v>40</v>
      </c>
      <c r="AC6635">
        <v>-3.67999999999995E-2</v>
      </c>
      <c r="AD6635">
        <v>-7.9115000000000005E-2</v>
      </c>
      <c r="AE6635">
        <v>0.59262000000000004</v>
      </c>
      <c r="AF6635">
        <v>-2.66193656465392E-2</v>
      </c>
      <c r="AG6635">
        <v>-7.9115000000000005E-2</v>
      </c>
      <c r="AH6635">
        <v>0.582796192355304</v>
      </c>
      <c r="AI6635">
        <v>97.722732316434005</v>
      </c>
      <c r="AJ6635">
        <v>92.615181820720906</v>
      </c>
      <c r="AK6635">
        <v>0.58874372665554997</v>
      </c>
      <c r="AL6635">
        <v>83.319212222124506</v>
      </c>
      <c r="AM6635">
        <v>87.9679502173244</v>
      </c>
      <c r="AN6635">
        <v>0.99999996554918003</v>
      </c>
    </row>
    <row r="6636" spans="1:40" x14ac:dyDescent="0.25">
      <c r="A6636" t="str">
        <f>"20190312164154747"</f>
        <v>20190312164154747</v>
      </c>
      <c r="B6636" t="str">
        <f>"1552380114742764"</f>
        <v>1552380114742764</v>
      </c>
      <c r="C6636" t="s">
        <v>40</v>
      </c>
      <c r="D6636">
        <v>5.4934399999999997</v>
      </c>
      <c r="E6636">
        <v>0.4826705</v>
      </c>
      <c r="F6636" t="s">
        <v>42</v>
      </c>
      <c r="G6636">
        <v>-187.1019</v>
      </c>
      <c r="H6636">
        <v>1.0355219999999901</v>
      </c>
      <c r="I6636">
        <v>-21.537500000000001</v>
      </c>
      <c r="J6636">
        <v>-187.0685</v>
      </c>
      <c r="K6636">
        <v>1.1131599999999999</v>
      </c>
      <c r="L6636">
        <v>-22.092189999999999</v>
      </c>
      <c r="M6636">
        <v>-2.016679E-2</v>
      </c>
      <c r="N6636">
        <v>0</v>
      </c>
      <c r="O6636">
        <v>0.99978429999999996</v>
      </c>
      <c r="P6636">
        <v>2.0447389999999999E-2</v>
      </c>
      <c r="Q6636">
        <v>0.1115703</v>
      </c>
      <c r="R6636">
        <v>0.99354620000000005</v>
      </c>
      <c r="S6636">
        <v>-0.13676450000000001</v>
      </c>
      <c r="T6636">
        <v>-0.24858949999999999</v>
      </c>
      <c r="U6636">
        <v>3.0498660000000002</v>
      </c>
      <c r="V6636">
        <v>3.9195439999999998E-2</v>
      </c>
      <c r="W6636">
        <v>0.1169444</v>
      </c>
      <c r="X6636">
        <v>0.99236469999999999</v>
      </c>
      <c r="Y6636">
        <v>-2.449407E-2</v>
      </c>
      <c r="Z6636">
        <v>-8.1161549999999999E-2</v>
      </c>
      <c r="AA6636">
        <v>0.99639990000000001</v>
      </c>
      <c r="AB6636">
        <v>40</v>
      </c>
      <c r="AC6636">
        <v>-3.3400000000000298E-2</v>
      </c>
      <c r="AD6636">
        <v>-7.7638000000000096E-2</v>
      </c>
      <c r="AE6636">
        <v>0.55468999999999702</v>
      </c>
      <c r="AF6636">
        <v>-2.1781579692123298E-2</v>
      </c>
      <c r="AG6636">
        <v>-7.7638000000000096E-2</v>
      </c>
      <c r="AH6636">
        <v>0.54461987650710098</v>
      </c>
      <c r="AI6636">
        <v>98.106712201846506</v>
      </c>
      <c r="AJ6636">
        <v>92.290272315750201</v>
      </c>
      <c r="AK6636">
        <v>0.55055690545528002</v>
      </c>
      <c r="AL6636">
        <v>83.284212105330099</v>
      </c>
      <c r="AM6636">
        <v>87.738163612354896</v>
      </c>
      <c r="AN6636">
        <v>0.99999998650712096</v>
      </c>
    </row>
    <row r="6637" spans="1:40" x14ac:dyDescent="0.25">
      <c r="A6637" t="str">
        <f>"20190312164154771"</f>
        <v>20190312164154771</v>
      </c>
      <c r="B6637" t="str">
        <f>"1552380114762284"</f>
        <v>1552380114762284</v>
      </c>
      <c r="C6637" t="s">
        <v>40</v>
      </c>
      <c r="D6637">
        <v>5.594697</v>
      </c>
      <c r="E6637">
        <v>0.48267559999999898</v>
      </c>
      <c r="F6637" t="s">
        <v>42</v>
      </c>
      <c r="G6637">
        <v>-187.10849999999999</v>
      </c>
      <c r="H6637">
        <v>1.0391779999999999</v>
      </c>
      <c r="I6637">
        <v>-21.172899999999998</v>
      </c>
      <c r="J6637">
        <v>-187.0797</v>
      </c>
      <c r="K6637">
        <v>1.1130359999999999</v>
      </c>
      <c r="L6637">
        <v>-21.673400000000001</v>
      </c>
      <c r="M6637">
        <v>-2.401126E-2</v>
      </c>
      <c r="N6637">
        <v>0</v>
      </c>
      <c r="O6637">
        <v>0.99969920000000001</v>
      </c>
      <c r="P6637">
        <v>2.2212929999999999E-2</v>
      </c>
      <c r="Q6637">
        <v>0.1121011</v>
      </c>
      <c r="R6637">
        <v>0.99344849999999996</v>
      </c>
      <c r="S6637">
        <v>-0.1329651</v>
      </c>
      <c r="T6637">
        <v>-0.24548439999999999</v>
      </c>
      <c r="U6637">
        <v>3.0498050000000001</v>
      </c>
      <c r="V6637">
        <v>4.4805530000000003E-2</v>
      </c>
      <c r="W6637">
        <v>0.11754340000000001</v>
      </c>
      <c r="X6637">
        <v>0.99205639999999995</v>
      </c>
      <c r="Y6637">
        <v>-1.941503E-2</v>
      </c>
      <c r="Z6637">
        <v>-8.0152370000000001E-2</v>
      </c>
      <c r="AA6637">
        <v>0.99659350000000002</v>
      </c>
      <c r="AB6637">
        <v>41</v>
      </c>
      <c r="AC6637">
        <v>-2.8799999999989698E-2</v>
      </c>
      <c r="AD6637">
        <v>-7.3857999999999896E-2</v>
      </c>
      <c r="AE6637">
        <v>0.50050000000000205</v>
      </c>
      <c r="AF6637">
        <v>-1.6417574268653201E-2</v>
      </c>
      <c r="AG6637">
        <v>-7.3857999999999896E-2</v>
      </c>
      <c r="AH6637">
        <v>0.49040323531560498</v>
      </c>
      <c r="AI6637">
        <v>98.560033118031598</v>
      </c>
      <c r="AJ6637">
        <v>91.917415032595102</v>
      </c>
      <c r="AK6637">
        <v>0.496205475702233</v>
      </c>
      <c r="AL6637">
        <v>83.249653296457595</v>
      </c>
      <c r="AM6637">
        <v>87.414033731989093</v>
      </c>
      <c r="AN6637">
        <v>0.99999994359154798</v>
      </c>
    </row>
    <row r="6638" spans="1:40" x14ac:dyDescent="0.25">
      <c r="A6638" t="str">
        <f>"20190312164154807"</f>
        <v>20190312164154807</v>
      </c>
      <c r="B6638" t="str">
        <f>"1552380114802300"</f>
        <v>1552380114802300</v>
      </c>
      <c r="C6638" t="s">
        <v>40</v>
      </c>
      <c r="D6638">
        <v>5.6638519999999897</v>
      </c>
      <c r="E6638">
        <v>0.48278729999999997</v>
      </c>
      <c r="F6638" t="s">
        <v>42</v>
      </c>
      <c r="G6638">
        <v>-187.11600000000001</v>
      </c>
      <c r="H6638">
        <v>1.0433699999999999</v>
      </c>
      <c r="I6638">
        <v>-20.806370000000001</v>
      </c>
      <c r="J6638">
        <v>-187.1002</v>
      </c>
      <c r="K6638">
        <v>1.1128209999999901</v>
      </c>
      <c r="L6638">
        <v>-21.01709</v>
      </c>
      <c r="M6638">
        <v>-2.9738770000000001E-2</v>
      </c>
      <c r="N6638">
        <v>0</v>
      </c>
      <c r="O6638">
        <v>0.99954509999999996</v>
      </c>
      <c r="P6638">
        <v>2.2127290000000001E-2</v>
      </c>
      <c r="Q6638">
        <v>0.1121433</v>
      </c>
      <c r="R6638">
        <v>0.99344560000000004</v>
      </c>
      <c r="S6638">
        <v>-0.1280975</v>
      </c>
      <c r="T6638">
        <v>-0.2451363</v>
      </c>
      <c r="U6638">
        <v>3.0502929999999999</v>
      </c>
      <c r="V6638">
        <v>5.0465709999999997E-2</v>
      </c>
      <c r="W6638">
        <v>0.11764570000000001</v>
      </c>
      <c r="X6638">
        <v>0.99177249999999995</v>
      </c>
      <c r="Y6638">
        <v>-1.209208E-2</v>
      </c>
      <c r="Z6638">
        <v>-8.0015610000000001E-2</v>
      </c>
      <c r="AA6638">
        <v>0.9967203</v>
      </c>
      <c r="AB6638">
        <v>41</v>
      </c>
      <c r="AC6638">
        <v>-1.5799999999984399E-2</v>
      </c>
      <c r="AD6638">
        <v>-6.9450999999999694E-2</v>
      </c>
      <c r="AE6638">
        <v>0.21071999999999799</v>
      </c>
      <c r="AF6638">
        <v>-8.5976472633025394E-3</v>
      </c>
      <c r="AG6638">
        <v>-6.9450999999999694E-2</v>
      </c>
      <c r="AH6638">
        <v>0.19051674910847499</v>
      </c>
      <c r="AI6638">
        <v>110.01008055049699</v>
      </c>
      <c r="AJ6638">
        <v>92.583893050686996</v>
      </c>
      <c r="AK6638">
        <v>0.20296303266931601</v>
      </c>
      <c r="AL6638">
        <v>83.243751336024204</v>
      </c>
      <c r="AM6638">
        <v>87.087053218274093</v>
      </c>
      <c r="AN6638">
        <v>0.99999999518527105</v>
      </c>
    </row>
    <row r="6639" spans="1:40" x14ac:dyDescent="0.25">
      <c r="A6639" t="str">
        <f>"20190312164154826"</f>
        <v>20190312164154826</v>
      </c>
      <c r="B6639" t="str">
        <f>"1552380114822797"</f>
        <v>1552380114822797</v>
      </c>
      <c r="C6639" t="s">
        <v>40</v>
      </c>
      <c r="D6639">
        <v>5.6398529999999996</v>
      </c>
      <c r="E6639">
        <v>0.48283090000000001</v>
      </c>
      <c r="F6639" t="s">
        <v>42</v>
      </c>
      <c r="G6639">
        <v>-187.13929999999999</v>
      </c>
      <c r="H6639">
        <v>1.0365789999999999</v>
      </c>
      <c r="I6639">
        <v>-20.08268</v>
      </c>
      <c r="J6639">
        <v>-187.11279999999999</v>
      </c>
      <c r="K6639">
        <v>1.1126940000000001</v>
      </c>
      <c r="L6639">
        <v>-20.659700000000001</v>
      </c>
      <c r="M6639">
        <v>-3.2697230000000001E-2</v>
      </c>
      <c r="N6639">
        <v>0</v>
      </c>
      <c r="O6639">
        <v>0.99945269999999997</v>
      </c>
      <c r="P6639">
        <v>2.298735E-2</v>
      </c>
      <c r="Q6639">
        <v>0.1114035</v>
      </c>
      <c r="R6639">
        <v>0.99350939999999999</v>
      </c>
      <c r="S6639">
        <v>-0.12815860000000001</v>
      </c>
      <c r="T6639">
        <v>-0.24898890000000001</v>
      </c>
      <c r="U6639">
        <v>3.050751</v>
      </c>
      <c r="V6639">
        <v>5.4306380000000001E-2</v>
      </c>
      <c r="W6639">
        <v>0.11694010000000001</v>
      </c>
      <c r="X6639">
        <v>0.99165309999999995</v>
      </c>
      <c r="Y6639">
        <v>-9.1417519999999995E-3</v>
      </c>
      <c r="Z6639">
        <v>-8.1242780000000001E-2</v>
      </c>
      <c r="AA6639">
        <v>0.99665239999999999</v>
      </c>
      <c r="AB6639">
        <v>41</v>
      </c>
      <c r="AC6639">
        <v>-2.6499999999998601E-2</v>
      </c>
      <c r="AD6639">
        <v>-7.6114999999999905E-2</v>
      </c>
      <c r="AE6639">
        <v>0.57702000000000098</v>
      </c>
      <c r="AF6639">
        <v>-7.4886065038324897E-3</v>
      </c>
      <c r="AG6639">
        <v>-7.6114999999999905E-2</v>
      </c>
      <c r="AH6639">
        <v>0.56772019232373805</v>
      </c>
      <c r="AI6639">
        <v>97.635528328126</v>
      </c>
      <c r="AJ6639">
        <v>90.755725568004095</v>
      </c>
      <c r="AK6639">
        <v>0.57284883627748795</v>
      </c>
      <c r="AL6639">
        <v>83.284460407395997</v>
      </c>
      <c r="AM6639">
        <v>86.865414498431605</v>
      </c>
      <c r="AN6639">
        <v>1.00000002031816</v>
      </c>
    </row>
    <row r="6640" spans="1:40" x14ac:dyDescent="0.25">
      <c r="A6640" t="str">
        <f>"20190312164154848"</f>
        <v>20190312164154848</v>
      </c>
      <c r="B6640" t="str">
        <f>"1552380114842316"</f>
        <v>1552380114842316</v>
      </c>
      <c r="C6640" t="s">
        <v>40</v>
      </c>
      <c r="D6640">
        <v>5.6346129999999999</v>
      </c>
      <c r="E6640">
        <v>0.48296169999999999</v>
      </c>
      <c r="F6640" t="s">
        <v>42</v>
      </c>
      <c r="G6640">
        <v>-187.1516</v>
      </c>
      <c r="H6640">
        <v>1.034559</v>
      </c>
      <c r="I6640">
        <v>-19.71733</v>
      </c>
      <c r="J6640">
        <v>-187.1283</v>
      </c>
      <c r="K6640">
        <v>1.112549</v>
      </c>
      <c r="L6640">
        <v>-20.254999999999999</v>
      </c>
      <c r="M6640">
        <v>-3.59055E-2</v>
      </c>
      <c r="N6640">
        <v>0</v>
      </c>
      <c r="O6640">
        <v>0.99934239999999996</v>
      </c>
      <c r="P6640">
        <v>2.2238899999999999E-2</v>
      </c>
      <c r="Q6640">
        <v>0.11083850000000001</v>
      </c>
      <c r="R6640">
        <v>0.99358959999999996</v>
      </c>
      <c r="S6640">
        <v>-0.12576289999999901</v>
      </c>
      <c r="T6640">
        <v>-0.25298199999999998</v>
      </c>
      <c r="U6640">
        <v>3.0508730000000002</v>
      </c>
      <c r="V6640">
        <v>5.6791750000000002E-2</v>
      </c>
      <c r="W6640">
        <v>0.1163936</v>
      </c>
      <c r="X6640">
        <v>0.99157819999999997</v>
      </c>
      <c r="Y6640">
        <v>-5.1443579999999999E-3</v>
      </c>
      <c r="Z6640">
        <v>-8.2522509999999993E-2</v>
      </c>
      <c r="AA6640">
        <v>0.99657600000000002</v>
      </c>
      <c r="AB6640">
        <v>41</v>
      </c>
      <c r="AC6640">
        <v>-2.3300000000006E-2</v>
      </c>
      <c r="AD6640">
        <v>-7.7990000000000004E-2</v>
      </c>
      <c r="AE6640">
        <v>0.53766999999999798</v>
      </c>
      <c r="AF6640">
        <v>-3.8975673971625002E-3</v>
      </c>
      <c r="AG6640">
        <v>-7.7990000000000004E-2</v>
      </c>
      <c r="AH6640">
        <v>0.52709069125877905</v>
      </c>
      <c r="AI6640">
        <v>98.416370079580702</v>
      </c>
      <c r="AJ6640">
        <v>90.423665406923504</v>
      </c>
      <c r="AK6640">
        <v>0.53284353045080002</v>
      </c>
      <c r="AL6640">
        <v>83.315988046518498</v>
      </c>
      <c r="AM6640">
        <v>86.722016886684202</v>
      </c>
      <c r="AN6640">
        <v>1.00000004985213</v>
      </c>
    </row>
    <row r="6641" spans="1:40" x14ac:dyDescent="0.25">
      <c r="A6641" t="str">
        <f>"20190312164154871"</f>
        <v>20190312164154871</v>
      </c>
      <c r="B6641" t="str">
        <f>"1552380114862812"</f>
        <v>1552380114862812</v>
      </c>
      <c r="C6641" t="s">
        <v>40</v>
      </c>
      <c r="D6641">
        <v>5.6066799999999999</v>
      </c>
      <c r="E6641">
        <v>0.48314380000000001</v>
      </c>
      <c r="F6641" t="s">
        <v>42</v>
      </c>
      <c r="G6641">
        <v>-187.16579999999999</v>
      </c>
      <c r="H6641">
        <v>1.036686</v>
      </c>
      <c r="I6641">
        <v>-19.348289999999999</v>
      </c>
      <c r="J6641">
        <v>-187.14570000000001</v>
      </c>
      <c r="K6641">
        <v>1.1123780000000001</v>
      </c>
      <c r="L6641">
        <v>-19.831910000000001</v>
      </c>
      <c r="M6641">
        <v>-3.9070220000000003E-2</v>
      </c>
      <c r="N6641">
        <v>0</v>
      </c>
      <c r="O6641">
        <v>0.99922359999999999</v>
      </c>
      <c r="P6641">
        <v>2.060768E-2</v>
      </c>
      <c r="Q6641">
        <v>0.1101743</v>
      </c>
      <c r="R6641">
        <v>0.99369859999999999</v>
      </c>
      <c r="S6641">
        <v>-0.1266632</v>
      </c>
      <c r="T6641">
        <v>-0.25528790000000001</v>
      </c>
      <c r="U6641">
        <v>3.050659</v>
      </c>
      <c r="V6641">
        <v>5.8359590000000003E-2</v>
      </c>
      <c r="W6641">
        <v>0.1157358</v>
      </c>
      <c r="X6641">
        <v>0.99156409999999995</v>
      </c>
      <c r="Y6641">
        <v>-2.2713E-3</v>
      </c>
      <c r="Z6641">
        <v>-8.3260390000000004E-2</v>
      </c>
      <c r="AA6641">
        <v>0.9965252</v>
      </c>
      <c r="AB6641">
        <v>41</v>
      </c>
      <c r="AC6641">
        <v>-2.0099999999985099E-2</v>
      </c>
      <c r="AD6641">
        <v>-7.5691999999999995E-2</v>
      </c>
      <c r="AE6641">
        <v>0.48362000000000099</v>
      </c>
      <c r="AF6641">
        <v>-1.16088216453834E-3</v>
      </c>
      <c r="AG6641">
        <v>-7.5691999999999995E-2</v>
      </c>
      <c r="AH6641">
        <v>0.47248218558630301</v>
      </c>
      <c r="AI6641">
        <v>99.101464522445795</v>
      </c>
      <c r="AJ6641">
        <v>90.1407746508267</v>
      </c>
      <c r="AK6641">
        <v>0.47850814225863503</v>
      </c>
      <c r="AL6641">
        <v>83.353933264246095</v>
      </c>
      <c r="AM6641">
        <v>86.631679953388002</v>
      </c>
      <c r="AN6641">
        <v>0.99999999077770896</v>
      </c>
    </row>
    <row r="6642" spans="1:40" x14ac:dyDescent="0.25">
      <c r="A6642" t="str">
        <f>"20190312164154894"</f>
        <v>20190312164154894</v>
      </c>
      <c r="B6642" t="str">
        <f>"1552380114882338"</f>
        <v>1552380114882338</v>
      </c>
      <c r="C6642" t="s">
        <v>40</v>
      </c>
      <c r="D6642">
        <v>5.6957449999999996</v>
      </c>
      <c r="E6642">
        <v>0.4833131</v>
      </c>
      <c r="F6642" t="s">
        <v>42</v>
      </c>
      <c r="G6642">
        <v>-187.18180000000001</v>
      </c>
      <c r="H6642">
        <v>1.0403340000000001</v>
      </c>
      <c r="I6642">
        <v>-18.97664</v>
      </c>
      <c r="J6642">
        <v>-187.16399999999999</v>
      </c>
      <c r="K6642">
        <v>1.112201</v>
      </c>
      <c r="L6642">
        <v>-19.41412</v>
      </c>
      <c r="M6642">
        <v>-4.1983470000000002E-2</v>
      </c>
      <c r="N6642">
        <v>0</v>
      </c>
      <c r="O6642">
        <v>0.99910540000000003</v>
      </c>
      <c r="P6642">
        <v>2.024989E-2</v>
      </c>
      <c r="Q6642">
        <v>0.1096116</v>
      </c>
      <c r="R6642">
        <v>0.99376819999999999</v>
      </c>
      <c r="S6642">
        <v>-0.12886049999999999</v>
      </c>
      <c r="T6642">
        <v>-0.25694919999999999</v>
      </c>
      <c r="U6642">
        <v>3.0501710000000002</v>
      </c>
      <c r="V6642">
        <v>6.095188E-2</v>
      </c>
      <c r="W6642">
        <v>0.11518440000000001</v>
      </c>
      <c r="X6642">
        <v>0.99147240000000003</v>
      </c>
      <c r="Y6642" s="1">
        <v>-7.6916549999999896E-5</v>
      </c>
      <c r="Z6642">
        <v>-8.3795770000000006E-2</v>
      </c>
      <c r="AA6642">
        <v>0.99648300000000001</v>
      </c>
      <c r="AB6642">
        <v>41</v>
      </c>
      <c r="AC6642">
        <v>-1.7799999999994001E-2</v>
      </c>
      <c r="AD6642">
        <v>-7.1866999999999903E-2</v>
      </c>
      <c r="AE6642">
        <v>0.43747999999999998</v>
      </c>
      <c r="AF6642">
        <v>5.6756861380903904E-4</v>
      </c>
      <c r="AG6642">
        <v>-7.1866999999999903E-2</v>
      </c>
      <c r="AH6642">
        <v>0.42635487614991502</v>
      </c>
      <c r="AI6642">
        <v>99.567910776806798</v>
      </c>
      <c r="AJ6642">
        <v>89.923727231081202</v>
      </c>
      <c r="AK6642">
        <v>0.43236982808695201</v>
      </c>
      <c r="AL6642">
        <v>83.385739255523404</v>
      </c>
      <c r="AM6642">
        <v>86.482104851479704</v>
      </c>
      <c r="AN6642">
        <v>1.00000004882032</v>
      </c>
    </row>
    <row r="6643" spans="1:40" x14ac:dyDescent="0.25">
      <c r="A6643" t="str">
        <f>"20190312164154914"</f>
        <v>20190312164154914</v>
      </c>
      <c r="B6643" t="str">
        <f>"1552380114902828"</f>
        <v>1552380114902828</v>
      </c>
      <c r="C6643" t="s">
        <v>40</v>
      </c>
      <c r="D6643">
        <v>5.6952569999999998</v>
      </c>
      <c r="E6643">
        <v>0.48346040000000001</v>
      </c>
      <c r="F6643" t="s">
        <v>42</v>
      </c>
      <c r="G6643">
        <v>-187.19810000000001</v>
      </c>
      <c r="H6643">
        <v>1.0435299999999901</v>
      </c>
      <c r="I6643">
        <v>-18.60397</v>
      </c>
      <c r="J6643">
        <v>-187.18199999999999</v>
      </c>
      <c r="K6643">
        <v>1.1120139999999901</v>
      </c>
      <c r="L6643">
        <v>-19.024049999999999</v>
      </c>
      <c r="M6643">
        <v>-4.4485660000000003E-2</v>
      </c>
      <c r="N6643">
        <v>0</v>
      </c>
      <c r="O6643">
        <v>0.99899700000000002</v>
      </c>
      <c r="P6643">
        <v>1.994021E-2</v>
      </c>
      <c r="Q6643">
        <v>0.1093223</v>
      </c>
      <c r="R6643">
        <v>0.99380630000000003</v>
      </c>
      <c r="S6643">
        <v>-0.12910460000000001</v>
      </c>
      <c r="T6643">
        <v>-0.25856649999999998</v>
      </c>
      <c r="U6643">
        <v>3.049957</v>
      </c>
      <c r="V6643">
        <v>6.3182260000000004E-2</v>
      </c>
      <c r="W6643">
        <v>0.1148993</v>
      </c>
      <c r="X6643">
        <v>0.99136579999999996</v>
      </c>
      <c r="Y6643">
        <v>2.3469350000000001E-3</v>
      </c>
      <c r="Z6643">
        <v>-8.4311380000000005E-2</v>
      </c>
      <c r="AA6643">
        <v>0.99643669999999995</v>
      </c>
      <c r="AB6643">
        <v>41</v>
      </c>
      <c r="AC6643">
        <v>-1.60999999999944E-2</v>
      </c>
      <c r="AD6643">
        <v>-6.8483999999999906E-2</v>
      </c>
      <c r="AE6643">
        <v>0.42007999999999801</v>
      </c>
      <c r="AF6643">
        <v>2.5364057620826299E-3</v>
      </c>
      <c r="AG6643">
        <v>-6.8483999999999906E-2</v>
      </c>
      <c r="AH6643">
        <v>0.40951249097931203</v>
      </c>
      <c r="AI6643">
        <v>99.493711718431499</v>
      </c>
      <c r="AJ6643">
        <v>89.645130514423499</v>
      </c>
      <c r="AK6643">
        <v>0.41520714333724001</v>
      </c>
      <c r="AL6643">
        <v>83.402183125371593</v>
      </c>
      <c r="AM6643">
        <v>86.353326530048903</v>
      </c>
      <c r="AN6643">
        <v>0.99999999826441799</v>
      </c>
    </row>
    <row r="6644" spans="1:40" x14ac:dyDescent="0.25">
      <c r="A6644" t="str">
        <f>"20190312164154936"</f>
        <v>20190312164154936</v>
      </c>
      <c r="B6644" t="str">
        <f>"1552380114933085"</f>
        <v>1552380114933085</v>
      </c>
      <c r="C6644" t="s">
        <v>40</v>
      </c>
      <c r="D6644">
        <v>5.7959709999999998</v>
      </c>
      <c r="E6644">
        <v>0.48363289999999998</v>
      </c>
      <c r="F6644" t="s">
        <v>42</v>
      </c>
      <c r="G6644">
        <v>-187.2157</v>
      </c>
      <c r="H6644">
        <v>1.0446200000000001</v>
      </c>
      <c r="I6644">
        <v>-18.231839999999998</v>
      </c>
      <c r="J6644">
        <v>-187.2021</v>
      </c>
      <c r="K6644">
        <v>1.111801</v>
      </c>
      <c r="L6644">
        <v>-18.609529999999999</v>
      </c>
      <c r="M6644">
        <v>-4.6902850000000003E-2</v>
      </c>
      <c r="N6644">
        <v>0</v>
      </c>
      <c r="O6644">
        <v>0.99888639999999995</v>
      </c>
      <c r="P6644">
        <v>1.9834000000000001E-2</v>
      </c>
      <c r="Q6644">
        <v>0.1093123</v>
      </c>
      <c r="R6644">
        <v>0.99380959999999996</v>
      </c>
      <c r="S6644">
        <v>-0.1297913</v>
      </c>
      <c r="T6644">
        <v>-0.25945030000000002</v>
      </c>
      <c r="U6644">
        <v>3.0498349999999999</v>
      </c>
      <c r="V6644">
        <v>6.5536280000000002E-2</v>
      </c>
      <c r="W6644">
        <v>0.1148884</v>
      </c>
      <c r="X6644">
        <v>0.99121420000000005</v>
      </c>
      <c r="Y6644">
        <v>4.5420590000000002E-3</v>
      </c>
      <c r="Z6644">
        <v>-8.4586110000000006E-2</v>
      </c>
      <c r="AA6644">
        <v>0.99640580000000001</v>
      </c>
      <c r="AB6644">
        <v>42</v>
      </c>
      <c r="AC6644">
        <v>-1.35999999999967E-2</v>
      </c>
      <c r="AD6644">
        <v>-6.7180999999999894E-2</v>
      </c>
      <c r="AE6644">
        <v>0.37769000000000102</v>
      </c>
      <c r="AF6644">
        <v>4.0034357837783396E-3</v>
      </c>
      <c r="AG6644">
        <v>-6.7180999999999894E-2</v>
      </c>
      <c r="AH6644">
        <v>0.36633671433960202</v>
      </c>
      <c r="AI6644">
        <v>100.39116654295</v>
      </c>
      <c r="AJ6644">
        <v>89.373879728124507</v>
      </c>
      <c r="AK6644">
        <v>0.37246731740141997</v>
      </c>
      <c r="AL6644">
        <v>83.402811621184497</v>
      </c>
      <c r="AM6644">
        <v>86.2172707081547</v>
      </c>
      <c r="AN6644">
        <v>0.99999996936621804</v>
      </c>
    </row>
    <row r="6645" spans="1:40" x14ac:dyDescent="0.25">
      <c r="A6645" t="str">
        <f>"20190312164154960"</f>
        <v>20190312164154960</v>
      </c>
      <c r="B6645" t="str">
        <f>"1552380114952604"</f>
        <v>1552380114952604</v>
      </c>
      <c r="C6645" t="s">
        <v>40</v>
      </c>
      <c r="D6645">
        <v>5.6596789999999997</v>
      </c>
      <c r="E6645">
        <v>0.48375380000000001</v>
      </c>
      <c r="F6645" t="s">
        <v>42</v>
      </c>
      <c r="G6645">
        <v>-187.2336</v>
      </c>
      <c r="H6645">
        <v>1.0481670000000001</v>
      </c>
      <c r="I6645">
        <v>-17.85652</v>
      </c>
      <c r="J6645">
        <v>-187.22399999999999</v>
      </c>
      <c r="K6645">
        <v>1.1115619999999999</v>
      </c>
      <c r="L6645">
        <v>-18.17398</v>
      </c>
      <c r="M6645">
        <v>-4.914251E-2</v>
      </c>
      <c r="N6645">
        <v>0</v>
      </c>
      <c r="O6645">
        <v>0.99877859999999996</v>
      </c>
      <c r="P6645">
        <v>1.97495E-2</v>
      </c>
      <c r="Q6645">
        <v>0.1097021</v>
      </c>
      <c r="R6645">
        <v>0.99376830000000005</v>
      </c>
      <c r="S6645">
        <v>-0.12823490000000001</v>
      </c>
      <c r="T6645">
        <v>-0.2577393</v>
      </c>
      <c r="U6645">
        <v>3.0495909999999999</v>
      </c>
      <c r="V6645">
        <v>6.7738530000000005E-2</v>
      </c>
      <c r="W6645">
        <v>0.1152782</v>
      </c>
      <c r="X6645">
        <v>0.99102089999999998</v>
      </c>
      <c r="Y6645">
        <v>7.2865569999999999E-3</v>
      </c>
      <c r="Z6645">
        <v>-8.4025569999999994E-2</v>
      </c>
      <c r="AA6645">
        <v>0.99643700000000002</v>
      </c>
      <c r="AB6645">
        <v>42</v>
      </c>
      <c r="AC6645">
        <v>-9.5999999999776195E-3</v>
      </c>
      <c r="AD6645">
        <v>-6.3395000000000007E-2</v>
      </c>
      <c r="AE6645">
        <v>0.31746000000000002</v>
      </c>
      <c r="AF6645">
        <v>5.7822140626377604E-3</v>
      </c>
      <c r="AG6645">
        <v>-6.3395000000000007E-2</v>
      </c>
      <c r="AH6645">
        <v>0.30538136829555301</v>
      </c>
      <c r="AI6645">
        <v>101.72557975946999</v>
      </c>
      <c r="AJ6645">
        <v>88.915268206501906</v>
      </c>
      <c r="AK6645">
        <v>0.31194573266279901</v>
      </c>
      <c r="AL6645">
        <v>83.3803285337506</v>
      </c>
      <c r="AM6645">
        <v>86.089785283401994</v>
      </c>
      <c r="AN6645">
        <v>0.99999999803930495</v>
      </c>
    </row>
    <row r="6646" spans="1:40" x14ac:dyDescent="0.25">
      <c r="A6646" t="str">
        <f>"20190312164154984"</f>
        <v>20190312164154984</v>
      </c>
      <c r="B6646" t="str">
        <f>"1552380114973101"</f>
        <v>1552380114973101</v>
      </c>
      <c r="C6646" t="s">
        <v>40</v>
      </c>
      <c r="D6646">
        <v>5.7962369999999996</v>
      </c>
      <c r="E6646">
        <v>0.4838983</v>
      </c>
      <c r="F6646" t="s">
        <v>42</v>
      </c>
      <c r="G6646">
        <v>-187.26779999999999</v>
      </c>
      <c r="H6646">
        <v>1.0235350000000001</v>
      </c>
      <c r="I6646">
        <v>-17.12303</v>
      </c>
      <c r="J6646">
        <v>-187.2475</v>
      </c>
      <c r="K6646">
        <v>1.1113170000000001</v>
      </c>
      <c r="L6646">
        <v>-17.723879999999902</v>
      </c>
      <c r="M6646">
        <v>-5.114954E-2</v>
      </c>
      <c r="N6646">
        <v>0</v>
      </c>
      <c r="O6646">
        <v>0.99867760000000005</v>
      </c>
      <c r="P6646">
        <v>1.9344960000000001E-2</v>
      </c>
      <c r="Q6646">
        <v>0.1094311</v>
      </c>
      <c r="R6646">
        <v>0.99380610000000003</v>
      </c>
      <c r="S6646">
        <v>-0.12750239999999999</v>
      </c>
      <c r="T6646">
        <v>-0.2554324</v>
      </c>
      <c r="U6646">
        <v>3.0495299999999999</v>
      </c>
      <c r="V6646">
        <v>6.940296E-2</v>
      </c>
      <c r="W6646">
        <v>0.1150111</v>
      </c>
      <c r="X6646">
        <v>0.99093679999999995</v>
      </c>
      <c r="Y6646">
        <v>9.5314949999999992E-3</v>
      </c>
      <c r="Z6646">
        <v>-8.3267439999999998E-2</v>
      </c>
      <c r="AA6646">
        <v>0.99648170000000003</v>
      </c>
      <c r="AB6646">
        <v>42</v>
      </c>
      <c r="AC6646">
        <v>-2.02999999999917E-2</v>
      </c>
      <c r="AD6646">
        <v>-8.7781999999999999E-2</v>
      </c>
      <c r="AE6646">
        <v>0.600849999999997</v>
      </c>
      <c r="AF6646">
        <v>1.02418319409605E-2</v>
      </c>
      <c r="AG6646">
        <v>-8.7781999999999999E-2</v>
      </c>
      <c r="AH6646">
        <v>0.58855395954746204</v>
      </c>
      <c r="AI6646">
        <v>98.481786113765196</v>
      </c>
      <c r="AJ6646">
        <v>89.003057386307802</v>
      </c>
      <c r="AK6646">
        <v>0.59515236531875004</v>
      </c>
      <c r="AL6646">
        <v>83.395734937581807</v>
      </c>
      <c r="AM6646">
        <v>85.993676068971496</v>
      </c>
      <c r="AN6646">
        <v>1.0000000327870999</v>
      </c>
    </row>
    <row r="6647" spans="1:40" x14ac:dyDescent="0.25">
      <c r="A6647" t="str">
        <f>"20190312164155006"</f>
        <v>20190312164155006</v>
      </c>
      <c r="B6647" t="str">
        <f>"1552380115002380"</f>
        <v>1552380115002380</v>
      </c>
      <c r="C6647" t="s">
        <v>40</v>
      </c>
      <c r="D6647">
        <v>5.6801690000000002</v>
      </c>
      <c r="E6647">
        <v>0.48412270000000002</v>
      </c>
      <c r="F6647" t="s">
        <v>42</v>
      </c>
      <c r="G6647">
        <v>-187.28870000000001</v>
      </c>
      <c r="H6647">
        <v>1.0293330000000001</v>
      </c>
      <c r="I6647">
        <v>-16.744529999999902</v>
      </c>
      <c r="J6647">
        <v>-187.2698</v>
      </c>
      <c r="K6647">
        <v>1.1110949999999999</v>
      </c>
      <c r="L6647">
        <v>-17.310269999999999</v>
      </c>
      <c r="M6647">
        <v>-5.276906E-2</v>
      </c>
      <c r="N6647">
        <v>0</v>
      </c>
      <c r="O6647">
        <v>0.99859319999999896</v>
      </c>
      <c r="P6647">
        <v>1.88586E-2</v>
      </c>
      <c r="Q6647">
        <v>0.10864840000000001</v>
      </c>
      <c r="R6647">
        <v>0.99390129999999999</v>
      </c>
      <c r="S6647">
        <v>-0.127944899999999</v>
      </c>
      <c r="T6647">
        <v>-0.25526399999999999</v>
      </c>
      <c r="U6647">
        <v>3.0492859999999999</v>
      </c>
      <c r="V6647">
        <v>7.0597750000000001E-2</v>
      </c>
      <c r="W6647">
        <v>0.11423800000000001</v>
      </c>
      <c r="X6647">
        <v>0.99094179999999998</v>
      </c>
      <c r="Y6647">
        <v>1.1005269999999999E-2</v>
      </c>
      <c r="Z6647">
        <v>-8.320814E-2</v>
      </c>
      <c r="AA6647">
        <v>0.99647140000000001</v>
      </c>
      <c r="AB6647">
        <v>42</v>
      </c>
      <c r="AC6647">
        <v>-1.8900000000002099E-2</v>
      </c>
      <c r="AD6647">
        <v>-8.1762000000000098E-2</v>
      </c>
      <c r="AE6647">
        <v>0.56574000000000502</v>
      </c>
      <c r="AF6647">
        <v>1.0755900506338401E-2</v>
      </c>
      <c r="AG6647">
        <v>-8.1762000000000098E-2</v>
      </c>
      <c r="AH6647">
        <v>0.55438280308405097</v>
      </c>
      <c r="AI6647">
        <v>98.388113665435199</v>
      </c>
      <c r="AJ6647">
        <v>88.888510984644796</v>
      </c>
      <c r="AK6647">
        <v>0.56048283327416104</v>
      </c>
      <c r="AL6647">
        <v>83.440324027251094</v>
      </c>
      <c r="AM6647">
        <v>85.924957052698502</v>
      </c>
      <c r="AN6647">
        <v>1.0000000069681501</v>
      </c>
    </row>
    <row r="6648" spans="1:40" x14ac:dyDescent="0.25">
      <c r="A6648" t="str">
        <f>"20190312164155029"</f>
        <v>20190312164155029</v>
      </c>
      <c r="B6648" t="str">
        <f>"1552380115022407"</f>
        <v>1552380115022407</v>
      </c>
      <c r="C6648" t="s">
        <v>40</v>
      </c>
      <c r="D6648">
        <v>5.7563829999999996</v>
      </c>
      <c r="E6648">
        <v>0.4842592</v>
      </c>
      <c r="F6648" t="s">
        <v>42</v>
      </c>
      <c r="G6648">
        <v>-187.30889999999999</v>
      </c>
      <c r="H6648">
        <v>1.0318609999999999</v>
      </c>
      <c r="I6648">
        <v>-16.366520000000001</v>
      </c>
      <c r="J6648">
        <v>-187.29249999999999</v>
      </c>
      <c r="K6648">
        <v>1.110878</v>
      </c>
      <c r="L6648">
        <v>-16.897739999999999</v>
      </c>
      <c r="M6648">
        <v>-5.4165049999999999E-2</v>
      </c>
      <c r="N6648">
        <v>0</v>
      </c>
      <c r="O6648">
        <v>0.99851820000000002</v>
      </c>
      <c r="P6648">
        <v>1.8353189999999998E-2</v>
      </c>
      <c r="Q6648">
        <v>0.1079089</v>
      </c>
      <c r="R6648">
        <v>0.99399139999999997</v>
      </c>
      <c r="S6648">
        <v>-0.12678529999999999</v>
      </c>
      <c r="T6648">
        <v>-0.25596010000000002</v>
      </c>
      <c r="U6648">
        <v>3.0487980000000001</v>
      </c>
      <c r="V6648">
        <v>7.1548719999999996E-2</v>
      </c>
      <c r="W6648">
        <v>0.1135099</v>
      </c>
      <c r="X6648">
        <v>0.99095730000000004</v>
      </c>
      <c r="Y6648">
        <v>1.2775679999999999E-2</v>
      </c>
      <c r="Z6648">
        <v>-8.3437140000000007E-2</v>
      </c>
      <c r="AA6648">
        <v>0.99643119999999996</v>
      </c>
      <c r="AB6648">
        <v>42</v>
      </c>
      <c r="AC6648">
        <v>-1.6400000000004401E-2</v>
      </c>
      <c r="AD6648">
        <v>-7.9016999999999796E-2</v>
      </c>
      <c r="AE6648">
        <v>0.53121999999999703</v>
      </c>
      <c r="AF6648">
        <v>1.21299060171487E-2</v>
      </c>
      <c r="AG6648">
        <v>-7.9016999999999796E-2</v>
      </c>
      <c r="AH6648">
        <v>0.51983776844123797</v>
      </c>
      <c r="AI6648">
        <v>98.640664838274702</v>
      </c>
      <c r="AJ6648">
        <v>88.663301575324198</v>
      </c>
      <c r="AK6648">
        <v>0.52594878686707802</v>
      </c>
      <c r="AL6648">
        <v>83.482314462221296</v>
      </c>
      <c r="AM6648">
        <v>85.8703182023295</v>
      </c>
      <c r="AN6648">
        <v>1.0000000435774601</v>
      </c>
    </row>
    <row r="6649" spans="1:40" x14ac:dyDescent="0.25">
      <c r="A6649" t="str">
        <f>"20190312164155050"</f>
        <v>20190312164155050</v>
      </c>
      <c r="B6649" t="str">
        <f>"1552380115042903"</f>
        <v>1552380115042903</v>
      </c>
      <c r="C6649" t="s">
        <v>40</v>
      </c>
      <c r="D6649">
        <v>5.6817289999999998</v>
      </c>
      <c r="E6649">
        <v>0.48437659999999899</v>
      </c>
      <c r="F6649" t="s">
        <v>42</v>
      </c>
      <c r="G6649">
        <v>-187.3304</v>
      </c>
      <c r="H6649">
        <v>1.0340419999999999</v>
      </c>
      <c r="I6649">
        <v>-15.98765</v>
      </c>
      <c r="J6649">
        <v>-187.3159</v>
      </c>
      <c r="K6649">
        <v>1.1106689999999999</v>
      </c>
      <c r="L6649">
        <v>-16.48068</v>
      </c>
      <c r="M6649">
        <v>-5.5347449999999999E-2</v>
      </c>
      <c r="N6649">
        <v>0</v>
      </c>
      <c r="O6649">
        <v>0.99845309999999998</v>
      </c>
      <c r="P6649">
        <v>1.7861140000000001E-2</v>
      </c>
      <c r="Q6649">
        <v>0.10759440000000001</v>
      </c>
      <c r="R6649">
        <v>0.99403439999999998</v>
      </c>
      <c r="S6649">
        <v>-0.12689210000000001</v>
      </c>
      <c r="T6649">
        <v>-0.25737179999999998</v>
      </c>
      <c r="U6649">
        <v>3.0484309999999999</v>
      </c>
      <c r="V6649">
        <v>7.229729E-2</v>
      </c>
      <c r="W6649">
        <v>0.11320479999999999</v>
      </c>
      <c r="X6649">
        <v>0.99093779999999998</v>
      </c>
      <c r="Y6649">
        <v>1.3921569999999999E-2</v>
      </c>
      <c r="Z6649">
        <v>-8.3895209999999998E-2</v>
      </c>
      <c r="AA6649">
        <v>0.99637730000000002</v>
      </c>
      <c r="AB6649">
        <v>42</v>
      </c>
      <c r="AC6649">
        <v>-1.4499999999998099E-2</v>
      </c>
      <c r="AD6649">
        <v>-7.6627000000000195E-2</v>
      </c>
      <c r="AE6649">
        <v>0.49302999999999902</v>
      </c>
      <c r="AF6649">
        <v>1.2508670392833E-2</v>
      </c>
      <c r="AG6649">
        <v>-7.6627000000000195E-2</v>
      </c>
      <c r="AH6649">
        <v>0.481456981238508</v>
      </c>
      <c r="AI6649">
        <v>99.040146989069996</v>
      </c>
      <c r="AJ6649">
        <v>88.511740702580298</v>
      </c>
      <c r="AK6649">
        <v>0.48767713576432298</v>
      </c>
      <c r="AL6649">
        <v>83.4999083590113</v>
      </c>
      <c r="AM6649">
        <v>85.827181901139198</v>
      </c>
      <c r="AN6649">
        <v>0.99999997417661102</v>
      </c>
    </row>
    <row r="6650" spans="1:40" x14ac:dyDescent="0.25">
      <c r="A6650" t="str">
        <f>"20190312164155072"</f>
        <v>20190312164155072</v>
      </c>
      <c r="B6650" t="str">
        <f>"1552380115062422"</f>
        <v>1552380115062422</v>
      </c>
      <c r="C6650" t="s">
        <v>40</v>
      </c>
      <c r="D6650">
        <v>5.8547690000000001</v>
      </c>
      <c r="E6650">
        <v>0.48454340000000001</v>
      </c>
      <c r="F6650" t="s">
        <v>42</v>
      </c>
      <c r="G6650">
        <v>-187.35220000000001</v>
      </c>
      <c r="H6650">
        <v>1.036958</v>
      </c>
      <c r="I6650">
        <v>-15.60732</v>
      </c>
      <c r="J6650">
        <v>-187.3399</v>
      </c>
      <c r="K6650">
        <v>1.1104419999999999</v>
      </c>
      <c r="L6650">
        <v>-16.059229999999999</v>
      </c>
      <c r="M6650">
        <v>-5.6312870000000001E-2</v>
      </c>
      <c r="N6650">
        <v>0</v>
      </c>
      <c r="O6650">
        <v>0.99839880000000003</v>
      </c>
      <c r="P6650">
        <v>1.7358680000000001E-2</v>
      </c>
      <c r="Q6650">
        <v>0.1078892</v>
      </c>
      <c r="R6650">
        <v>0.99401130000000004</v>
      </c>
      <c r="S6650">
        <v>-0.12751769999999901</v>
      </c>
      <c r="T6650">
        <v>-0.25725019999999998</v>
      </c>
      <c r="U6650">
        <v>3.0481259999999999</v>
      </c>
      <c r="V6650">
        <v>7.2816030000000004E-2</v>
      </c>
      <c r="W6650">
        <v>0.113507</v>
      </c>
      <c r="X6650">
        <v>0.99086529999999995</v>
      </c>
      <c r="Y6650">
        <v>1.468001E-2</v>
      </c>
      <c r="Z6650">
        <v>-8.385658E-2</v>
      </c>
      <c r="AA6650">
        <v>0.99636970000000002</v>
      </c>
      <c r="AB6650">
        <v>42</v>
      </c>
      <c r="AC6650">
        <v>-1.23000000000104E-2</v>
      </c>
      <c r="AD6650">
        <v>-7.3483999999999799E-2</v>
      </c>
      <c r="AE6650">
        <v>0.45190999999999798</v>
      </c>
      <c r="AF6650">
        <v>1.28292624052054E-2</v>
      </c>
      <c r="AG6650">
        <v>-7.3483999999999799E-2</v>
      </c>
      <c r="AH6650">
        <v>0.44025331155311298</v>
      </c>
      <c r="AI6650">
        <v>99.472105953600803</v>
      </c>
      <c r="AJ6650">
        <v>88.330836791643705</v>
      </c>
      <c r="AK6650">
        <v>0.44652823713998602</v>
      </c>
      <c r="AL6650">
        <v>83.482481598924906</v>
      </c>
      <c r="AM6650">
        <v>85.797042026637698</v>
      </c>
      <c r="AN6650">
        <v>1.00000002800902</v>
      </c>
    </row>
    <row r="6651" spans="1:40" x14ac:dyDescent="0.25">
      <c r="A6651" t="str">
        <f>"20190312164155094"</f>
        <v>20190312164155094</v>
      </c>
      <c r="B6651" t="str">
        <f>"1552380115082919"</f>
        <v>1552380115082919</v>
      </c>
      <c r="C6651" t="s">
        <v>40</v>
      </c>
      <c r="D6651">
        <v>5.847696</v>
      </c>
      <c r="E6651">
        <v>0.48468709999999998</v>
      </c>
      <c r="F6651" t="s">
        <v>42</v>
      </c>
      <c r="G6651">
        <v>-187.37440000000001</v>
      </c>
      <c r="H6651">
        <v>1.0404690000000001</v>
      </c>
      <c r="I6651">
        <v>-15.225709999999999</v>
      </c>
      <c r="J6651">
        <v>-187.36429999999999</v>
      </c>
      <c r="K6651">
        <v>1.1102110000000001</v>
      </c>
      <c r="L6651">
        <v>-15.6355</v>
      </c>
      <c r="M6651">
        <v>-5.7062799999999997E-2</v>
      </c>
      <c r="N6651">
        <v>0</v>
      </c>
      <c r="O6651">
        <v>0.99835600000000002</v>
      </c>
      <c r="P6651">
        <v>1.6833910000000001E-2</v>
      </c>
      <c r="Q6651">
        <v>0.1076883</v>
      </c>
      <c r="R6651">
        <v>0.99404219999999999</v>
      </c>
      <c r="S6651">
        <v>-0.1267548</v>
      </c>
      <c r="T6651">
        <v>-0.25586619999999999</v>
      </c>
      <c r="U6651">
        <v>3.0480649999999998</v>
      </c>
      <c r="V6651">
        <v>7.310548E-2</v>
      </c>
      <c r="W6651">
        <v>0.1133137</v>
      </c>
      <c r="X6651">
        <v>0.99086609999999997</v>
      </c>
      <c r="Y6651">
        <v>1.567764E-2</v>
      </c>
      <c r="Z6651">
        <v>-8.3404710000000007E-2</v>
      </c>
      <c r="AA6651">
        <v>0.99639239999999996</v>
      </c>
      <c r="AB6651">
        <v>42</v>
      </c>
      <c r="AC6651">
        <v>-1.01000000000226E-2</v>
      </c>
      <c r="AD6651">
        <v>-6.9741999999999901E-2</v>
      </c>
      <c r="AE6651">
        <v>0.40978999999999899</v>
      </c>
      <c r="AF6651">
        <v>1.2926383974553601E-2</v>
      </c>
      <c r="AG6651">
        <v>-6.9741999999999901E-2</v>
      </c>
      <c r="AH6651">
        <v>0.39817273382267299</v>
      </c>
      <c r="AI6651">
        <v>99.929742843273701</v>
      </c>
      <c r="AJ6651">
        <v>88.140587844708705</v>
      </c>
      <c r="AK6651">
        <v>0.40444105123797502</v>
      </c>
      <c r="AL6651">
        <v>83.493628719768907</v>
      </c>
      <c r="AM6651">
        <v>85.780398526366596</v>
      </c>
      <c r="AN6651">
        <v>1.00000001697146</v>
      </c>
    </row>
    <row r="6652" spans="1:40" x14ac:dyDescent="0.25">
      <c r="A6652" t="str">
        <f>"20190312164155116"</f>
        <v>20190312164155116</v>
      </c>
      <c r="B6652" t="str">
        <f>"1552380115112199"</f>
        <v>1552380115112199</v>
      </c>
      <c r="C6652" t="s">
        <v>40</v>
      </c>
      <c r="D6652">
        <v>5.6984069999999996</v>
      </c>
      <c r="E6652">
        <v>0.48491840000000003</v>
      </c>
      <c r="F6652" t="s">
        <v>42</v>
      </c>
      <c r="G6652">
        <v>-187.39709999999999</v>
      </c>
      <c r="H6652">
        <v>1.0436840000000001</v>
      </c>
      <c r="I6652">
        <v>-14.842309999999999</v>
      </c>
      <c r="J6652">
        <v>-187.38800000000001</v>
      </c>
      <c r="K6652">
        <v>1.1099870000000001</v>
      </c>
      <c r="L6652">
        <v>-15.226229999999999</v>
      </c>
      <c r="M6652">
        <v>-5.7594630000000001E-2</v>
      </c>
      <c r="N6652">
        <v>0</v>
      </c>
      <c r="O6652">
        <v>0.99832520000000002</v>
      </c>
      <c r="P6652">
        <v>1.6191029999999999E-2</v>
      </c>
      <c r="Q6652">
        <v>0.107295</v>
      </c>
      <c r="R6652">
        <v>0.99409539999999996</v>
      </c>
      <c r="S6652">
        <v>-0.1266632</v>
      </c>
      <c r="T6652">
        <v>-0.25560759999999999</v>
      </c>
      <c r="U6652">
        <v>3.0478209999999999</v>
      </c>
      <c r="V6652">
        <v>7.3059219999999994E-2</v>
      </c>
      <c r="W6652">
        <v>0.1129286</v>
      </c>
      <c r="X6652">
        <v>0.9909135</v>
      </c>
      <c r="Y6652">
        <v>1.62366E-2</v>
      </c>
      <c r="Z6652">
        <v>-8.332349E-2</v>
      </c>
      <c r="AA6652">
        <v>0.99639029999999995</v>
      </c>
      <c r="AB6652">
        <v>43</v>
      </c>
      <c r="AC6652">
        <v>-9.0999999999894499E-3</v>
      </c>
      <c r="AD6652">
        <v>-6.6303000000000001E-2</v>
      </c>
      <c r="AE6652">
        <v>0.38391999999999799</v>
      </c>
      <c r="AF6652">
        <v>1.26500834465566E-2</v>
      </c>
      <c r="AG6652">
        <v>-6.6303000000000001E-2</v>
      </c>
      <c r="AH6652">
        <v>0.37269724543766602</v>
      </c>
      <c r="AI6652">
        <v>100.08172346921999</v>
      </c>
      <c r="AJ6652">
        <v>88.056013943730903</v>
      </c>
      <c r="AK6652">
        <v>0.37876027930213202</v>
      </c>
      <c r="AL6652">
        <v>83.515836026515203</v>
      </c>
      <c r="AM6652">
        <v>85.783259977217796</v>
      </c>
      <c r="AN6652">
        <v>1.0000000414036001</v>
      </c>
    </row>
    <row r="6653" spans="1:40" x14ac:dyDescent="0.25">
      <c r="A6653" t="str">
        <f>"20190312164155138"</f>
        <v>20190312164155138</v>
      </c>
      <c r="B6653" t="str">
        <f>"1552380115132695"</f>
        <v>1552380115132695</v>
      </c>
      <c r="C6653" t="s">
        <v>40</v>
      </c>
      <c r="D6653">
        <v>5.7169879999999997</v>
      </c>
      <c r="E6653">
        <v>0.48509200000000002</v>
      </c>
      <c r="F6653" t="s">
        <v>42</v>
      </c>
      <c r="G6653">
        <v>-187.41990000000001</v>
      </c>
      <c r="H6653">
        <v>1.045553</v>
      </c>
      <c r="I6653">
        <v>-14.45857</v>
      </c>
      <c r="J6653">
        <v>-187.4128</v>
      </c>
      <c r="K6653">
        <v>1.109758</v>
      </c>
      <c r="L6653">
        <v>-14.80212</v>
      </c>
      <c r="M6653">
        <v>-5.7974539999999998E-2</v>
      </c>
      <c r="N6653">
        <v>0</v>
      </c>
      <c r="O6653">
        <v>0.99830289999999999</v>
      </c>
      <c r="P6653">
        <v>1.6012479999999999E-2</v>
      </c>
      <c r="Q6653">
        <v>0.1067124</v>
      </c>
      <c r="R6653">
        <v>0.99416099999999996</v>
      </c>
      <c r="S6653">
        <v>-0.12680050000000001</v>
      </c>
      <c r="T6653">
        <v>-0.25578060000000002</v>
      </c>
      <c r="U6653">
        <v>3.047485</v>
      </c>
      <c r="V6653">
        <v>7.3325219999999997E-2</v>
      </c>
      <c r="W6653">
        <v>0.1123576</v>
      </c>
      <c r="X6653">
        <v>0.99095869999999997</v>
      </c>
      <c r="Y6653">
        <v>1.6567950000000001E-2</v>
      </c>
      <c r="Z6653">
        <v>-8.3385539999999994E-2</v>
      </c>
      <c r="AA6653">
        <v>0.99637960000000003</v>
      </c>
      <c r="AB6653">
        <v>43</v>
      </c>
      <c r="AC6653">
        <v>-7.1000000000083201E-3</v>
      </c>
      <c r="AD6653">
        <v>-6.4204999999999998E-2</v>
      </c>
      <c r="AE6653">
        <v>0.34354999999999802</v>
      </c>
      <c r="AF6653">
        <v>1.2396608788244E-2</v>
      </c>
      <c r="AG6653">
        <v>-6.4204999999999998E-2</v>
      </c>
      <c r="AH6653">
        <v>0.331800038774407</v>
      </c>
      <c r="AI6653">
        <v>100.94422080272101</v>
      </c>
      <c r="AJ6653">
        <v>87.860328305448803</v>
      </c>
      <c r="AK6653">
        <v>0.33818223440202499</v>
      </c>
      <c r="AL6653">
        <v>83.548761082061802</v>
      </c>
      <c r="AM6653">
        <v>85.768155334945007</v>
      </c>
      <c r="AN6653">
        <v>0.99999998163574899</v>
      </c>
    </row>
    <row r="6654" spans="1:40" x14ac:dyDescent="0.25">
      <c r="A6654" t="str">
        <f>"20190312164155161"</f>
        <v>20190312164155161</v>
      </c>
      <c r="B6654" t="str">
        <f>"1552380115152215"</f>
        <v>1552380115152215</v>
      </c>
      <c r="C6654" t="s">
        <v>40</v>
      </c>
      <c r="D6654">
        <v>5.669244</v>
      </c>
      <c r="E6654">
        <v>0.48527189999999998</v>
      </c>
      <c r="F6654" t="s">
        <v>42</v>
      </c>
      <c r="G6654">
        <v>-187.45820000000001</v>
      </c>
      <c r="H6654">
        <v>1.017555</v>
      </c>
      <c r="I6654">
        <v>-13.70637</v>
      </c>
      <c r="J6654">
        <v>-187.4393</v>
      </c>
      <c r="K6654">
        <v>1.109542</v>
      </c>
      <c r="L6654">
        <v>-14.348940000000001</v>
      </c>
      <c r="M6654">
        <v>-5.818972E-2</v>
      </c>
      <c r="N6654">
        <v>0</v>
      </c>
      <c r="O6654">
        <v>0.99829009999999996</v>
      </c>
      <c r="P6654">
        <v>1.5914310000000001E-2</v>
      </c>
      <c r="Q6654">
        <v>0.10816779999999999</v>
      </c>
      <c r="R6654">
        <v>0.99400529999999998</v>
      </c>
      <c r="S6654">
        <v>-0.12664790000000001</v>
      </c>
      <c r="T6654">
        <v>-0.25639590000000001</v>
      </c>
      <c r="U6654">
        <v>3.04718</v>
      </c>
      <c r="V6654">
        <v>7.3489369999999998E-2</v>
      </c>
      <c r="W6654">
        <v>0.11382440000000001</v>
      </c>
      <c r="X6654">
        <v>0.99077919999999997</v>
      </c>
      <c r="Y6654">
        <v>1.682987E-2</v>
      </c>
      <c r="Z6654">
        <v>-8.3591410000000005E-2</v>
      </c>
      <c r="AA6654">
        <v>0.99635799999999997</v>
      </c>
      <c r="AB6654">
        <v>43</v>
      </c>
      <c r="AC6654">
        <v>-1.8900000000002099E-2</v>
      </c>
      <c r="AD6654">
        <v>-9.1986999999999999E-2</v>
      </c>
      <c r="AE6654">
        <v>0.64256999999999698</v>
      </c>
      <c r="AF6654">
        <v>1.8151900163406402E-2</v>
      </c>
      <c r="AG6654">
        <v>-9.1986999999999999E-2</v>
      </c>
      <c r="AH6654">
        <v>0.62968773272491996</v>
      </c>
      <c r="AI6654">
        <v>98.307777643969402</v>
      </c>
      <c r="AJ6654">
        <v>88.348801673734002</v>
      </c>
      <c r="AK6654">
        <v>0.63662998703547802</v>
      </c>
      <c r="AL6654">
        <v>83.464177449437202</v>
      </c>
      <c r="AM6654">
        <v>85.757950627890196</v>
      </c>
      <c r="AN6654">
        <v>1.0000000523454899</v>
      </c>
    </row>
    <row r="6655" spans="1:40" x14ac:dyDescent="0.25">
      <c r="A6655" t="str">
        <f>"20190312164155187"</f>
        <v>20190312164155187</v>
      </c>
      <c r="B6655" t="str">
        <f>"1552380115182471"</f>
        <v>1552380115182471</v>
      </c>
      <c r="C6655" t="s">
        <v>40</v>
      </c>
      <c r="D6655">
        <v>5.910323</v>
      </c>
      <c r="E6655">
        <v>0.48552030000000002</v>
      </c>
      <c r="F6655" t="s">
        <v>42</v>
      </c>
      <c r="G6655">
        <v>-187.48159999999999</v>
      </c>
      <c r="H6655">
        <v>1.0245919999999999</v>
      </c>
      <c r="I6655">
        <v>-13.317970000000001</v>
      </c>
      <c r="J6655">
        <v>-187.4667</v>
      </c>
      <c r="K6655">
        <v>1.1093550000000001</v>
      </c>
      <c r="L6655">
        <v>-13.879490000000001</v>
      </c>
      <c r="M6655">
        <v>-5.8256960000000003E-2</v>
      </c>
      <c r="N6655">
        <v>0</v>
      </c>
      <c r="O6655">
        <v>0.99828589999999995</v>
      </c>
      <c r="P6655">
        <v>1.5702270000000001E-2</v>
      </c>
      <c r="Q6655">
        <v>0.11009819999999999</v>
      </c>
      <c r="R6655">
        <v>0.99379660000000003</v>
      </c>
      <c r="S6655">
        <v>-0.12559509999999999</v>
      </c>
      <c r="T6655">
        <v>-0.25108039999999998</v>
      </c>
      <c r="U6655">
        <v>3.0474239999999999</v>
      </c>
      <c r="V6655">
        <v>7.3386510000000002E-2</v>
      </c>
      <c r="W6655">
        <v>0.1157685</v>
      </c>
      <c r="X6655">
        <v>0.99056149999999998</v>
      </c>
      <c r="Y6655">
        <v>1.7238259999999998E-2</v>
      </c>
      <c r="Z6655">
        <v>-8.1863469999999994E-2</v>
      </c>
      <c r="AA6655">
        <v>0.99649449999999995</v>
      </c>
      <c r="AB6655">
        <v>43</v>
      </c>
      <c r="AC6655">
        <v>-1.4899999999983E-2</v>
      </c>
      <c r="AD6655">
        <v>-8.4762999999999894E-2</v>
      </c>
      <c r="AE6655">
        <v>0.56151999999999702</v>
      </c>
      <c r="AF6655">
        <v>1.74411215785416E-2</v>
      </c>
      <c r="AG6655">
        <v>-8.4762999999999894E-2</v>
      </c>
      <c r="AH6655">
        <v>0.54893470780814801</v>
      </c>
      <c r="AI6655">
        <v>98.773563267988905</v>
      </c>
      <c r="AJ6655">
        <v>88.180172287269201</v>
      </c>
      <c r="AK6655">
        <v>0.55571420022106199</v>
      </c>
      <c r="AL6655">
        <v>83.352047110494595</v>
      </c>
      <c r="AM6655">
        <v>85.762938815203398</v>
      </c>
      <c r="AN6655">
        <v>1.00000000536224</v>
      </c>
    </row>
    <row r="6656" spans="1:40" x14ac:dyDescent="0.25">
      <c r="A6656" t="str">
        <f>"20190312164155230"</f>
        <v>20190312164155230</v>
      </c>
      <c r="B6656" t="str">
        <f>"1552380115222487"</f>
        <v>1552380115222487</v>
      </c>
      <c r="C6656" t="s">
        <v>40</v>
      </c>
      <c r="D6656">
        <v>5.7320000000000002</v>
      </c>
      <c r="E6656">
        <v>0.48582730000000002</v>
      </c>
      <c r="F6656" t="s">
        <v>42</v>
      </c>
      <c r="G6656">
        <v>-187.5051</v>
      </c>
      <c r="H6656">
        <v>1.033164</v>
      </c>
      <c r="I6656">
        <v>-12.92783</v>
      </c>
      <c r="J6656">
        <v>-187.51599999999999</v>
      </c>
      <c r="K6656">
        <v>1.1090070000000001</v>
      </c>
      <c r="L6656">
        <v>-13.0322</v>
      </c>
      <c r="M6656">
        <v>-5.7957649999999999E-2</v>
      </c>
      <c r="N6656">
        <v>0</v>
      </c>
      <c r="O6656">
        <v>0.99830280000000005</v>
      </c>
      <c r="P6656">
        <v>1.552745E-2</v>
      </c>
      <c r="Q6656">
        <v>0.1106003</v>
      </c>
      <c r="R6656">
        <v>0.99374370000000001</v>
      </c>
      <c r="S6656">
        <v>-0.1233673</v>
      </c>
      <c r="T6656">
        <v>-0.24399460000000001</v>
      </c>
      <c r="U6656">
        <v>3.0476990000000002</v>
      </c>
      <c r="V6656">
        <v>7.3012809999999997E-2</v>
      </c>
      <c r="W6656">
        <v>0.11629979999999999</v>
      </c>
      <c r="X6656">
        <v>0.99052689999999999</v>
      </c>
      <c r="Y6656">
        <v>1.7661860000000001E-2</v>
      </c>
      <c r="Z6656">
        <v>-7.9563919999999996E-2</v>
      </c>
      <c r="AA6656">
        <v>0.99667329999999998</v>
      </c>
      <c r="AB6656">
        <v>43</v>
      </c>
      <c r="AC6656">
        <v>1.08999999999923E-2</v>
      </c>
      <c r="AD6656">
        <v>-7.5843000000000105E-2</v>
      </c>
      <c r="AE6656">
        <v>0.10436999999999901</v>
      </c>
      <c r="AF6656">
        <v>1.11214392241275E-2</v>
      </c>
      <c r="AG6656">
        <v>-7.5843000000000105E-2</v>
      </c>
      <c r="AH6656">
        <v>6.8027878931601796E-2</v>
      </c>
      <c r="AI6656">
        <v>137.73343063725099</v>
      </c>
      <c r="AJ6656">
        <v>80.715218788318793</v>
      </c>
      <c r="AK6656">
        <v>0.102487264434897</v>
      </c>
      <c r="AL6656">
        <v>83.321398984027795</v>
      </c>
      <c r="AM6656">
        <v>85.7842901463369</v>
      </c>
      <c r="AN6656">
        <v>1.00000002676387</v>
      </c>
    </row>
    <row r="6657" spans="1:40" x14ac:dyDescent="0.25">
      <c r="A6657" t="str">
        <f>"20190312164155251"</f>
        <v>20190312164155251</v>
      </c>
      <c r="B6657" t="str">
        <f>"1552380115242983"</f>
        <v>1552380115242983</v>
      </c>
      <c r="C6657" t="s">
        <v>40</v>
      </c>
      <c r="D6657">
        <v>5.9038130000000004</v>
      </c>
      <c r="E6657">
        <v>0.48591400000000001</v>
      </c>
      <c r="F6657" t="s">
        <v>42</v>
      </c>
      <c r="G6657">
        <v>-187.55080000000001</v>
      </c>
      <c r="H6657">
        <v>1.0390200000000001</v>
      </c>
      <c r="I6657">
        <v>-12.14995</v>
      </c>
      <c r="J6657">
        <v>-187.53960000000001</v>
      </c>
      <c r="K6657">
        <v>1.108827</v>
      </c>
      <c r="L6657">
        <v>-12.622159999999999</v>
      </c>
      <c r="M6657">
        <v>-5.7583929999999998E-2</v>
      </c>
      <c r="N6657">
        <v>0</v>
      </c>
      <c r="O6657">
        <v>0.99832399999999999</v>
      </c>
      <c r="P6657">
        <v>1.5707749999999999E-2</v>
      </c>
      <c r="Q6657">
        <v>0.11007210000000001</v>
      </c>
      <c r="R6657">
        <v>0.99379949999999995</v>
      </c>
      <c r="S6657">
        <v>-0.1207733</v>
      </c>
      <c r="T6657">
        <v>-0.24173700000000001</v>
      </c>
      <c r="U6657">
        <v>3.0476679999999998</v>
      </c>
      <c r="V6657">
        <v>7.2878819999999997E-2</v>
      </c>
      <c r="W6657">
        <v>0.1158073</v>
      </c>
      <c r="X6657">
        <v>0.99059439999999999</v>
      </c>
      <c r="Y6657">
        <v>1.813184E-2</v>
      </c>
      <c r="Z6657">
        <v>-7.8836690000000001E-2</v>
      </c>
      <c r="AA6657">
        <v>0.99672260000000001</v>
      </c>
      <c r="AB6657">
        <v>43</v>
      </c>
      <c r="AC6657">
        <v>-1.12000000000023E-2</v>
      </c>
      <c r="AD6657">
        <v>-6.9806999999999897E-2</v>
      </c>
      <c r="AE6657">
        <v>0.47221000000000002</v>
      </c>
      <c r="AF6657">
        <v>1.5668520536490801E-2</v>
      </c>
      <c r="AG6657">
        <v>-6.9806999999999897E-2</v>
      </c>
      <c r="AH6657">
        <v>0.46198099351305499</v>
      </c>
      <c r="AI6657">
        <v>98.587732760354498</v>
      </c>
      <c r="AJ6657">
        <v>88.057504254257495</v>
      </c>
      <c r="AK6657">
        <v>0.46748792300134501</v>
      </c>
      <c r="AL6657">
        <v>83.349808672303297</v>
      </c>
      <c r="AM6657">
        <v>85.792284529151004</v>
      </c>
      <c r="AN6657">
        <v>0.99999995922462004</v>
      </c>
    </row>
    <row r="6658" spans="1:40" x14ac:dyDescent="0.25">
      <c r="A6658" t="str">
        <f>"20190312164155274"</f>
        <v>20190312164155274</v>
      </c>
      <c r="B6658" t="str">
        <f>"1552380115262503"</f>
        <v>1552380115262503</v>
      </c>
      <c r="C6658" t="s">
        <v>40</v>
      </c>
      <c r="D6658">
        <v>5.901993</v>
      </c>
      <c r="E6658">
        <v>0.49491039999999997</v>
      </c>
      <c r="F6658" t="s">
        <v>42</v>
      </c>
      <c r="G6658">
        <v>-187.57329999999999</v>
      </c>
      <c r="H6658">
        <v>1.0401210000000001</v>
      </c>
      <c r="I6658">
        <v>-11.760479999999999</v>
      </c>
      <c r="J6658">
        <v>-187.56479999999999</v>
      </c>
      <c r="K6658">
        <v>1.10863</v>
      </c>
      <c r="L6658">
        <v>-12.17972</v>
      </c>
      <c r="M6658">
        <v>-5.6995820000000003E-2</v>
      </c>
      <c r="N6658">
        <v>0</v>
      </c>
      <c r="O6658">
        <v>0.9983571</v>
      </c>
      <c r="P6658">
        <v>1.585224E-2</v>
      </c>
      <c r="Q6658">
        <v>0.11011020000000001</v>
      </c>
      <c r="R6658">
        <v>0.99379300000000004</v>
      </c>
      <c r="S6658">
        <v>-0.1198273</v>
      </c>
      <c r="T6658">
        <v>-0.24294260000000001</v>
      </c>
      <c r="U6658">
        <v>3.0475159999999999</v>
      </c>
      <c r="V6658">
        <v>7.2501549999999998E-2</v>
      </c>
      <c r="W6658">
        <v>0.1159266</v>
      </c>
      <c r="X6658">
        <v>0.99060820000000005</v>
      </c>
      <c r="Y6658">
        <v>1.785109E-2</v>
      </c>
      <c r="Z6658">
        <v>-7.9236020000000004E-2</v>
      </c>
      <c r="AA6658">
        <v>0.99669609999999997</v>
      </c>
      <c r="AB6658">
        <v>43</v>
      </c>
      <c r="AC6658">
        <v>-8.4999999999979502E-3</v>
      </c>
      <c r="AD6658">
        <v>-6.8509000000000098E-2</v>
      </c>
      <c r="AE6658">
        <v>0.419239999999998</v>
      </c>
      <c r="AF6658">
        <v>1.50085412159315E-2</v>
      </c>
      <c r="AG6658">
        <v>-6.8509000000000098E-2</v>
      </c>
      <c r="AH6658">
        <v>0.40814838652225899</v>
      </c>
      <c r="AI6658">
        <v>99.522135905241399</v>
      </c>
      <c r="AJ6658">
        <v>87.894053207990595</v>
      </c>
      <c r="AK6658">
        <v>0.41413022687453499</v>
      </c>
      <c r="AL6658">
        <v>83.342927399337896</v>
      </c>
      <c r="AM6658">
        <v>85.814046985697701</v>
      </c>
      <c r="AN6658">
        <v>1.0000000286235999</v>
      </c>
    </row>
    <row r="6659" spans="1:40" x14ac:dyDescent="0.25">
      <c r="A6659" t="str">
        <f>"20190312164155297"</f>
        <v>20190312164155297</v>
      </c>
      <c r="B6659" t="str">
        <f>"1552380115292759"</f>
        <v>1552380115292759</v>
      </c>
      <c r="C6659" t="s">
        <v>40</v>
      </c>
      <c r="D6659">
        <v>5.7112339999999904</v>
      </c>
      <c r="E6659">
        <v>0.49492209999999998</v>
      </c>
      <c r="F6659" t="s">
        <v>42</v>
      </c>
      <c r="G6659">
        <v>-187.57679999999999</v>
      </c>
      <c r="H6659">
        <v>1.050071</v>
      </c>
      <c r="I6659">
        <v>-11.36321</v>
      </c>
      <c r="J6659">
        <v>-187.5899</v>
      </c>
      <c r="K6659">
        <v>1.108422</v>
      </c>
      <c r="L6659">
        <v>-11.729710000000001</v>
      </c>
      <c r="M6659">
        <v>-5.6186819999999998E-2</v>
      </c>
      <c r="N6659">
        <v>0</v>
      </c>
      <c r="O6659">
        <v>0.99840180000000001</v>
      </c>
      <c r="P6659">
        <v>1.619464E-2</v>
      </c>
      <c r="Q6659">
        <v>0.10980860000000001</v>
      </c>
      <c r="R6659">
        <v>0.99382079999999995</v>
      </c>
      <c r="S6659">
        <v>-4.4784549999999999E-2</v>
      </c>
      <c r="T6659">
        <v>-0.2182945</v>
      </c>
      <c r="U6659">
        <v>3.0436399999999999</v>
      </c>
      <c r="V6659">
        <v>7.2110369999999993E-2</v>
      </c>
      <c r="W6659">
        <v>0.11576839999999999</v>
      </c>
      <c r="X6659">
        <v>0.99065519999999996</v>
      </c>
      <c r="Y6659">
        <v>4.1529950000000003E-2</v>
      </c>
      <c r="Z6659">
        <v>-7.1333740000000007E-2</v>
      </c>
      <c r="AA6659">
        <v>0.99658760000000002</v>
      </c>
      <c r="AB6659">
        <v>44</v>
      </c>
      <c r="AC6659">
        <v>1.3100000000008501E-2</v>
      </c>
      <c r="AD6659">
        <v>-5.8351E-2</v>
      </c>
      <c r="AE6659">
        <v>0.36649999999999999</v>
      </c>
      <c r="AF6659">
        <v>3.2840759283214803E-2</v>
      </c>
      <c r="AG6659">
        <v>-5.8351E-2</v>
      </c>
      <c r="AH6659">
        <v>0.35616821272563498</v>
      </c>
      <c r="AI6659">
        <v>99.265489611164398</v>
      </c>
      <c r="AJ6659">
        <v>84.731895277419696</v>
      </c>
      <c r="AK6659">
        <v>0.36240743704768402</v>
      </c>
      <c r="AL6659">
        <v>83.352052686742098</v>
      </c>
      <c r="AM6659">
        <v>85.836749371437705</v>
      </c>
      <c r="AN6659">
        <v>0.99999997659356799</v>
      </c>
    </row>
    <row r="6660" spans="1:40" x14ac:dyDescent="0.25">
      <c r="A6660" t="str">
        <f>"20190312164155318"</f>
        <v>20190312164155318</v>
      </c>
      <c r="B6660" t="str">
        <f>"1552380115312279"</f>
        <v>1552380115312279</v>
      </c>
      <c r="C6660" t="s">
        <v>40</v>
      </c>
      <c r="D6660">
        <v>5.8391630000000001</v>
      </c>
      <c r="E6660">
        <v>0.49478119999999998</v>
      </c>
      <c r="F6660" t="s">
        <v>42</v>
      </c>
      <c r="G6660">
        <v>-187.60059999999999</v>
      </c>
      <c r="H6660">
        <v>1.052713</v>
      </c>
      <c r="I6660">
        <v>-10.970179999999999</v>
      </c>
      <c r="J6660">
        <v>-187.61199999999999</v>
      </c>
      <c r="K6660">
        <v>1.1082320000000001</v>
      </c>
      <c r="L6660">
        <v>-11.32687</v>
      </c>
      <c r="M6660">
        <v>-5.5259999999999997E-2</v>
      </c>
      <c r="N6660">
        <v>0</v>
      </c>
      <c r="O6660">
        <v>0.99845209999999995</v>
      </c>
      <c r="P6660">
        <v>1.6462620000000001E-2</v>
      </c>
      <c r="Q6660">
        <v>0.1079104</v>
      </c>
      <c r="R6660">
        <v>0.99402429999999997</v>
      </c>
      <c r="S6660">
        <v>-4.3624879999999998E-2</v>
      </c>
      <c r="T6660">
        <v>-0.2231754</v>
      </c>
      <c r="U6660">
        <v>3.0440369999999999</v>
      </c>
      <c r="V6660">
        <v>7.1531360000000002E-2</v>
      </c>
      <c r="W6660">
        <v>0.11405510000000001</v>
      </c>
      <c r="X6660">
        <v>0.99089590000000005</v>
      </c>
      <c r="Y6660">
        <v>4.0985670000000002E-2</v>
      </c>
      <c r="Z6660">
        <v>-7.291752E-2</v>
      </c>
      <c r="AA6660">
        <v>0.99649549999999998</v>
      </c>
      <c r="AB6660">
        <v>44</v>
      </c>
      <c r="AC6660">
        <v>1.14000000000089E-2</v>
      </c>
      <c r="AD6660">
        <v>-5.5518999999999798E-2</v>
      </c>
      <c r="AE6660">
        <v>0.35668999999999801</v>
      </c>
      <c r="AF6660">
        <v>3.0358903516438902E-2</v>
      </c>
      <c r="AG6660">
        <v>-5.5518999999999798E-2</v>
      </c>
      <c r="AH6660">
        <v>0.34711399554750899</v>
      </c>
      <c r="AI6660">
        <v>99.053196201710406</v>
      </c>
      <c r="AJ6660">
        <v>85.001578479089105</v>
      </c>
      <c r="AK6660">
        <v>0.35283444884063803</v>
      </c>
      <c r="AL6660">
        <v>83.4508722779632</v>
      </c>
      <c r="AM6660">
        <v>85.871061783877096</v>
      </c>
      <c r="AN6660">
        <v>0.99999999296813402</v>
      </c>
    </row>
    <row r="6661" spans="1:40" x14ac:dyDescent="0.25">
      <c r="A6661" t="str">
        <f>"20190312164155339"</f>
        <v>20190312164155339</v>
      </c>
      <c r="B6661" t="str">
        <f>"1552380115332775"</f>
        <v>1552380115332775</v>
      </c>
      <c r="C6661" t="s">
        <v>40</v>
      </c>
      <c r="D6661">
        <v>5.841717</v>
      </c>
      <c r="E6661">
        <v>0.49460219999999999</v>
      </c>
      <c r="F6661" t="s">
        <v>42</v>
      </c>
      <c r="G6661">
        <v>-187.62280000000001</v>
      </c>
      <c r="H6661">
        <v>1.051877</v>
      </c>
      <c r="I6661">
        <v>-10.579689999999999</v>
      </c>
      <c r="J6661">
        <v>-187.63470000000001</v>
      </c>
      <c r="K6661">
        <v>1.108023</v>
      </c>
      <c r="L6661">
        <v>-10.90152</v>
      </c>
      <c r="M6661">
        <v>-5.4061770000000002E-2</v>
      </c>
      <c r="N6661">
        <v>0</v>
      </c>
      <c r="O6661">
        <v>0.99851579999999995</v>
      </c>
      <c r="P6661">
        <v>1.666103E-2</v>
      </c>
      <c r="Q6661">
        <v>0.1055113</v>
      </c>
      <c r="R6661">
        <v>0.99427860000000001</v>
      </c>
      <c r="S6661">
        <v>-4.3731689999999997E-2</v>
      </c>
      <c r="T6661">
        <v>-0.2295933</v>
      </c>
      <c r="U6661">
        <v>3.0436709999999998</v>
      </c>
      <c r="V6661">
        <v>7.0618760000000003E-2</v>
      </c>
      <c r="W6661">
        <v>0.111898499999999</v>
      </c>
      <c r="X6661">
        <v>0.99120719999999995</v>
      </c>
      <c r="Y6661">
        <v>3.9752269999999999E-2</v>
      </c>
      <c r="Z6661">
        <v>-7.5020950000000003E-2</v>
      </c>
      <c r="AA6661">
        <v>0.99638930000000003</v>
      </c>
      <c r="AB6661">
        <v>44</v>
      </c>
      <c r="AC6661">
        <v>1.18999999999971E-2</v>
      </c>
      <c r="AD6661">
        <v>-5.6146000000000001E-2</v>
      </c>
      <c r="AE6661">
        <v>0.32183</v>
      </c>
      <c r="AF6661">
        <v>2.8417933321045901E-2</v>
      </c>
      <c r="AG6661">
        <v>-5.6146000000000001E-2</v>
      </c>
      <c r="AH6661">
        <v>0.31125560793554402</v>
      </c>
      <c r="AI6661">
        <v>100.18390108622999</v>
      </c>
      <c r="AJ6661">
        <v>84.783303925919398</v>
      </c>
      <c r="AK6661">
        <v>0.317553154167242</v>
      </c>
      <c r="AL6661">
        <v>83.5752326186673</v>
      </c>
      <c r="AM6661">
        <v>85.924836157299893</v>
      </c>
      <c r="AN6661">
        <v>0.99999999844901299</v>
      </c>
    </row>
    <row r="6662" spans="1:40" x14ac:dyDescent="0.25">
      <c r="A6662" t="str">
        <f>"20190312164155363"</f>
        <v>20190312164155363</v>
      </c>
      <c r="B6662" t="str">
        <f>"1552380115352297"</f>
        <v>1552380115352297</v>
      </c>
      <c r="C6662" t="s">
        <v>40</v>
      </c>
      <c r="D6662">
        <v>5.7107989999999997</v>
      </c>
      <c r="E6662">
        <v>0.4946178</v>
      </c>
      <c r="F6662" t="s">
        <v>42</v>
      </c>
      <c r="G6662">
        <v>-187.6507</v>
      </c>
      <c r="H6662">
        <v>1.022734</v>
      </c>
      <c r="I6662">
        <v>-9.8127179999999896</v>
      </c>
      <c r="J6662">
        <v>-187.65870000000001</v>
      </c>
      <c r="K6662">
        <v>1.1077999999999999</v>
      </c>
      <c r="L6662">
        <v>-10.43521</v>
      </c>
      <c r="M6662">
        <v>-5.2496800000000003E-2</v>
      </c>
      <c r="N6662">
        <v>0</v>
      </c>
      <c r="O6662">
        <v>0.99859699999999996</v>
      </c>
      <c r="P6662">
        <v>1.747485E-2</v>
      </c>
      <c r="Q6662">
        <v>0.1037556</v>
      </c>
      <c r="R6662">
        <v>0.99444929999999998</v>
      </c>
      <c r="S6662">
        <v>-4.4921879999999997E-2</v>
      </c>
      <c r="T6662">
        <v>-0.2383856</v>
      </c>
      <c r="U6662">
        <v>3.043304</v>
      </c>
      <c r="V6662">
        <v>6.995672E-2</v>
      </c>
      <c r="W6662">
        <v>0.11044039999999999</v>
      </c>
      <c r="X6662">
        <v>0.99141760000000001</v>
      </c>
      <c r="Y6662">
        <v>3.7798270000000002E-2</v>
      </c>
      <c r="Z6662">
        <v>-7.7898519999999999E-2</v>
      </c>
      <c r="AA6662">
        <v>0.99624449999999998</v>
      </c>
      <c r="AB6662">
        <v>44</v>
      </c>
      <c r="AC6662">
        <v>8.0000000000097701E-3</v>
      </c>
      <c r="AD6662">
        <v>-8.5065999999999795E-2</v>
      </c>
      <c r="AE6662">
        <v>0.62249200000000204</v>
      </c>
      <c r="AF6662">
        <v>3.9923177941617899E-2</v>
      </c>
      <c r="AG6662">
        <v>-8.5065999999999795E-2</v>
      </c>
      <c r="AH6662">
        <v>0.60982739230535599</v>
      </c>
      <c r="AI6662">
        <v>97.924310886962004</v>
      </c>
      <c r="AJ6662">
        <v>86.254398946538501</v>
      </c>
      <c r="AK6662">
        <v>0.61702474253380502</v>
      </c>
      <c r="AL6662">
        <v>83.659296311544097</v>
      </c>
      <c r="AM6662">
        <v>85.963767198735894</v>
      </c>
      <c r="AN6662">
        <v>0.99999994110753698</v>
      </c>
    </row>
    <row r="6663" spans="1:40" x14ac:dyDescent="0.25">
      <c r="A6663" t="str">
        <f>"20190312164155385"</f>
        <v>20190312164155385</v>
      </c>
      <c r="B6663" t="str">
        <f>"1552380115372791"</f>
        <v>1552380115372791</v>
      </c>
      <c r="C6663" t="s">
        <v>40</v>
      </c>
      <c r="D6663">
        <v>5.6497609999999998</v>
      </c>
      <c r="E6663">
        <v>0.4947145</v>
      </c>
      <c r="F6663" t="s">
        <v>42</v>
      </c>
      <c r="G6663">
        <v>-187.6728</v>
      </c>
      <c r="H6663">
        <v>1.0261100000000001</v>
      </c>
      <c r="I6663">
        <v>-9.4186809999999994</v>
      </c>
      <c r="J6663">
        <v>-187.68029999999999</v>
      </c>
      <c r="K6663">
        <v>1.107602</v>
      </c>
      <c r="L6663">
        <v>-10.00244</v>
      </c>
      <c r="M6663">
        <v>-5.0858510000000003E-2</v>
      </c>
      <c r="N6663">
        <v>0</v>
      </c>
      <c r="O6663">
        <v>0.99867950000000005</v>
      </c>
      <c r="P6663">
        <v>1.784295E-2</v>
      </c>
      <c r="Q6663">
        <v>0.1028245</v>
      </c>
      <c r="R6663">
        <v>0.99453939999999996</v>
      </c>
      <c r="S6663">
        <v>-4.2343140000000001E-2</v>
      </c>
      <c r="T6663">
        <v>-0.2445127</v>
      </c>
      <c r="U6663">
        <v>3.042999</v>
      </c>
      <c r="V6663">
        <v>6.876285E-2</v>
      </c>
      <c r="W6663">
        <v>0.1097939</v>
      </c>
      <c r="X6663">
        <v>0.99157300000000004</v>
      </c>
      <c r="Y6663">
        <v>3.7003840000000003E-2</v>
      </c>
      <c r="Z6663">
        <v>-7.9907850000000002E-2</v>
      </c>
      <c r="AA6663">
        <v>0.99611519999999998</v>
      </c>
      <c r="AB6663">
        <v>44</v>
      </c>
      <c r="AC6663">
        <v>7.4999999999931797E-3</v>
      </c>
      <c r="AD6663">
        <v>-8.1491999999999898E-2</v>
      </c>
      <c r="AE6663">
        <v>0.58375900000000003</v>
      </c>
      <c r="AF6663">
        <v>3.64695935237868E-2</v>
      </c>
      <c r="AG6663">
        <v>-8.1491999999999898E-2</v>
      </c>
      <c r="AH6663">
        <v>0.57148686771729196</v>
      </c>
      <c r="AI6663">
        <v>98.099208530752406</v>
      </c>
      <c r="AJ6663">
        <v>86.348605146407294</v>
      </c>
      <c r="AK6663">
        <v>0.57841872141996897</v>
      </c>
      <c r="AL6663">
        <v>83.696565192239504</v>
      </c>
      <c r="AM6663">
        <v>86.033046817659098</v>
      </c>
      <c r="AN6663">
        <v>1.00000002217316</v>
      </c>
    </row>
    <row r="6664" spans="1:40" x14ac:dyDescent="0.25">
      <c r="A6664" t="str">
        <f>"20190312164155407"</f>
        <v>20190312164155407</v>
      </c>
      <c r="B6664" t="str">
        <f>"1552380115403047"</f>
        <v>1552380115403047</v>
      </c>
      <c r="C6664" t="s">
        <v>40</v>
      </c>
      <c r="D6664">
        <v>5.715916</v>
      </c>
      <c r="E6664">
        <v>0.49489090000000002</v>
      </c>
      <c r="F6664" t="s">
        <v>42</v>
      </c>
      <c r="G6664">
        <v>-187.69309999999999</v>
      </c>
      <c r="H6664">
        <v>1.02794599999999</v>
      </c>
      <c r="I6664">
        <v>-9.0248690000000007</v>
      </c>
      <c r="J6664">
        <v>-187.7012</v>
      </c>
      <c r="K6664">
        <v>1.1074219999999999</v>
      </c>
      <c r="L6664">
        <v>-9.5645140000000008</v>
      </c>
      <c r="M6664">
        <v>-4.9029299999999998E-2</v>
      </c>
      <c r="N6664">
        <v>0</v>
      </c>
      <c r="O6664">
        <v>0.99876869999999995</v>
      </c>
      <c r="P6664">
        <v>1.8743989999999999E-2</v>
      </c>
      <c r="Q6664">
        <v>0.1025109</v>
      </c>
      <c r="R6664">
        <v>0.99455530000000003</v>
      </c>
      <c r="S6664">
        <v>-3.9901730000000003E-2</v>
      </c>
      <c r="T6664">
        <v>-0.24795010000000001</v>
      </c>
      <c r="U6664">
        <v>3.0428160000000002</v>
      </c>
      <c r="V6664">
        <v>6.7904729999999996E-2</v>
      </c>
      <c r="W6664">
        <v>0.10976030000000001</v>
      </c>
      <c r="X6664">
        <v>0.99163590000000001</v>
      </c>
      <c r="Y6664">
        <v>3.5973100000000001E-2</v>
      </c>
      <c r="Z6664">
        <v>-8.1041799999999997E-2</v>
      </c>
      <c r="AA6664">
        <v>0.99606130000000004</v>
      </c>
      <c r="AB6664">
        <v>44</v>
      </c>
      <c r="AC6664">
        <v>8.1000000000130898E-3</v>
      </c>
      <c r="AD6664">
        <v>-7.9476000000000102E-2</v>
      </c>
      <c r="AE6664">
        <v>0.53964499999999804</v>
      </c>
      <c r="AF6664">
        <v>3.3816131247701997E-2</v>
      </c>
      <c r="AG6664">
        <v>-7.9476000000000102E-2</v>
      </c>
      <c r="AH6664">
        <v>0.52716722519433401</v>
      </c>
      <c r="AI6664">
        <v>98.556051863267399</v>
      </c>
      <c r="AJ6664">
        <v>86.3296833895389</v>
      </c>
      <c r="AK6664">
        <v>0.53419588975174204</v>
      </c>
      <c r="AL6664">
        <v>83.698502319787806</v>
      </c>
      <c r="AM6664">
        <v>86.082644665278494</v>
      </c>
      <c r="AN6664">
        <v>1.0000000669906299</v>
      </c>
    </row>
    <row r="6665" spans="1:40" x14ac:dyDescent="0.25">
      <c r="A6665" t="str">
        <f>"20190312164155432"</f>
        <v>20190312164155432</v>
      </c>
      <c r="B6665" t="str">
        <f>"1552380115422567"</f>
        <v>1552380115422567</v>
      </c>
      <c r="C6665" t="s">
        <v>40</v>
      </c>
      <c r="D6665">
        <v>5.9599949999999904</v>
      </c>
      <c r="E6665">
        <v>0.49501469999999997</v>
      </c>
      <c r="F6665" t="s">
        <v>42</v>
      </c>
      <c r="G6665">
        <v>-187.71209999999999</v>
      </c>
      <c r="H6665">
        <v>1.030673</v>
      </c>
      <c r="I6665">
        <v>-8.6301839999999999</v>
      </c>
      <c r="J6665">
        <v>-187.72309999999999</v>
      </c>
      <c r="K6665">
        <v>1.1072420000000001</v>
      </c>
      <c r="L6665">
        <v>-9.0850829999999991</v>
      </c>
      <c r="M6665">
        <v>-4.6850099999999999E-2</v>
      </c>
      <c r="N6665">
        <v>0</v>
      </c>
      <c r="O6665">
        <v>0.9988707</v>
      </c>
      <c r="P6665">
        <v>1.967609E-2</v>
      </c>
      <c r="Q6665">
        <v>0.10225679999999999</v>
      </c>
      <c r="R6665">
        <v>0.99456339999999999</v>
      </c>
      <c r="S6665">
        <v>-3.5736080000000003E-2</v>
      </c>
      <c r="T6665">
        <v>-0.24990770000000001</v>
      </c>
      <c r="U6665">
        <v>3.0428470000000001</v>
      </c>
      <c r="V6665">
        <v>6.6729629999999998E-2</v>
      </c>
      <c r="W6665">
        <v>0.1097982</v>
      </c>
      <c r="X6665">
        <v>0.99171140000000002</v>
      </c>
      <c r="Y6665">
        <v>3.5157000000000001E-2</v>
      </c>
      <c r="Z6665">
        <v>-8.1691250000000007E-2</v>
      </c>
      <c r="AA6665">
        <v>0.99603739999999996</v>
      </c>
      <c r="AB6665">
        <v>44</v>
      </c>
      <c r="AC6665">
        <v>1.09999999999956E-2</v>
      </c>
      <c r="AD6665">
        <v>-7.6569000000000095E-2</v>
      </c>
      <c r="AE6665">
        <v>0.454899000000001</v>
      </c>
      <c r="AF6665">
        <v>3.1411228713901999E-2</v>
      </c>
      <c r="AG6665">
        <v>-7.6569000000000095E-2</v>
      </c>
      <c r="AH6665">
        <v>0.44138608455139999</v>
      </c>
      <c r="AI6665">
        <v>99.817044361511904</v>
      </c>
      <c r="AJ6665">
        <v>85.929409923036104</v>
      </c>
      <c r="AK6665">
        <v>0.44907811423619098</v>
      </c>
      <c r="AL6665">
        <v>83.6963171470737</v>
      </c>
      <c r="AM6665">
        <v>86.150521568737204</v>
      </c>
      <c r="AN6665">
        <v>0.99999999456656796</v>
      </c>
    </row>
    <row r="6666" spans="1:40" x14ac:dyDescent="0.25">
      <c r="A6666" t="str">
        <f>"20190312164155452"</f>
        <v>20190312164155452</v>
      </c>
      <c r="B6666" t="str">
        <f>"1552380115443064"</f>
        <v>1552380115443064</v>
      </c>
      <c r="C6666" t="s">
        <v>40</v>
      </c>
      <c r="D6666">
        <v>5.8432950000000003</v>
      </c>
      <c r="E6666">
        <v>0.49517460000000002</v>
      </c>
      <c r="F6666" t="s">
        <v>42</v>
      </c>
      <c r="G6666">
        <v>-187.7321</v>
      </c>
      <c r="H6666">
        <v>1.0372399999999999</v>
      </c>
      <c r="I6666">
        <v>-8.23325</v>
      </c>
      <c r="J6666">
        <v>-187.74090000000001</v>
      </c>
      <c r="K6666">
        <v>1.107102</v>
      </c>
      <c r="L6666">
        <v>-8.6757200000000001</v>
      </c>
      <c r="M6666">
        <v>-4.4867589999999999E-2</v>
      </c>
      <c r="N6666">
        <v>0</v>
      </c>
      <c r="O6666">
        <v>0.99895970000000001</v>
      </c>
      <c r="P6666">
        <v>2.03868E-2</v>
      </c>
      <c r="Q6666">
        <v>0.1015766</v>
      </c>
      <c r="R6666">
        <v>0.99461880000000003</v>
      </c>
      <c r="S6666">
        <v>-3.1982419999999998E-2</v>
      </c>
      <c r="T6666">
        <v>-0.25001420000000002</v>
      </c>
      <c r="U6666">
        <v>3.0427249999999999</v>
      </c>
      <c r="V6666">
        <v>6.5514939999999994E-2</v>
      </c>
      <c r="W6666">
        <v>0.10935259999999999</v>
      </c>
      <c r="X6666">
        <v>0.99184159999999999</v>
      </c>
      <c r="Y6666">
        <v>3.440182E-2</v>
      </c>
      <c r="Z6666">
        <v>-8.1741880000000003E-2</v>
      </c>
      <c r="AA6666">
        <v>0.99605969999999999</v>
      </c>
      <c r="AB6666">
        <v>44</v>
      </c>
      <c r="AC6666">
        <v>8.8000000000079091E-3</v>
      </c>
      <c r="AD6666">
        <v>-6.9861999999999994E-2</v>
      </c>
      <c r="AE6666">
        <v>0.44246999999999997</v>
      </c>
      <c r="AF6666">
        <v>2.7947906034167101E-2</v>
      </c>
      <c r="AG6666">
        <v>-6.9861999999999994E-2</v>
      </c>
      <c r="AH6666">
        <v>0.43089183916233398</v>
      </c>
      <c r="AI6666">
        <v>99.1904453482571</v>
      </c>
      <c r="AJ6666">
        <v>86.288959154770595</v>
      </c>
      <c r="AK6666">
        <v>0.437412347279307</v>
      </c>
      <c r="AL6666">
        <v>83.722002715190698</v>
      </c>
      <c r="AM6666">
        <v>86.220883965663404</v>
      </c>
      <c r="AN6666">
        <v>0.99999997899026105</v>
      </c>
    </row>
    <row r="6667" spans="1:40" x14ac:dyDescent="0.25">
      <c r="A6667" t="str">
        <f>"20190312164155475"</f>
        <v>20190312164155475</v>
      </c>
      <c r="B6667" t="str">
        <f>"1552380115462583"</f>
        <v>1552380115462583</v>
      </c>
      <c r="C6667" t="s">
        <v>40</v>
      </c>
      <c r="D6667">
        <v>5.7848610000000003</v>
      </c>
      <c r="E6667">
        <v>0.49525780000000003</v>
      </c>
      <c r="F6667" t="s">
        <v>42</v>
      </c>
      <c r="G6667">
        <v>-187.74879999999999</v>
      </c>
      <c r="H6667">
        <v>1.0378860000000001</v>
      </c>
      <c r="I6667">
        <v>-7.8387270000000004</v>
      </c>
      <c r="J6667">
        <v>-187.7593</v>
      </c>
      <c r="K6667">
        <v>1.106954</v>
      </c>
      <c r="L6667">
        <v>-8.2320250000000001</v>
      </c>
      <c r="M6667">
        <v>-4.2627829999999999E-2</v>
      </c>
      <c r="N6667">
        <v>0</v>
      </c>
      <c r="O6667">
        <v>0.99905569999999999</v>
      </c>
      <c r="P6667">
        <v>2.115423E-2</v>
      </c>
      <c r="Q6667">
        <v>0.1013901</v>
      </c>
      <c r="R6667">
        <v>0.9946218</v>
      </c>
      <c r="S6667">
        <v>-2.8854370000000001E-2</v>
      </c>
      <c r="T6667">
        <v>-0.25158229999999998</v>
      </c>
      <c r="U6667">
        <v>3.0425110000000002</v>
      </c>
      <c r="V6667">
        <v>6.4099069999999994E-2</v>
      </c>
      <c r="W6667">
        <v>0.109401</v>
      </c>
      <c r="X6667">
        <v>0.99192880000000005</v>
      </c>
      <c r="Y6667">
        <v>3.318488E-2</v>
      </c>
      <c r="Z6667">
        <v>-8.2271049999999998E-2</v>
      </c>
      <c r="AA6667">
        <v>0.99605730000000003</v>
      </c>
      <c r="AB6667">
        <v>44</v>
      </c>
      <c r="AC6667">
        <v>1.05000000000075E-2</v>
      </c>
      <c r="AD6667">
        <v>-6.9067999999999893E-2</v>
      </c>
      <c r="AE6667">
        <v>0.39329799999999898</v>
      </c>
      <c r="AF6667">
        <v>2.6441616010921799E-2</v>
      </c>
      <c r="AG6667">
        <v>-6.9067999999999893E-2</v>
      </c>
      <c r="AH6667">
        <v>0.38075874140859001</v>
      </c>
      <c r="AI6667">
        <v>100.25723618198199</v>
      </c>
      <c r="AJ6667">
        <v>86.027498556260795</v>
      </c>
      <c r="AK6667">
        <v>0.387874679297737</v>
      </c>
      <c r="AL6667">
        <v>83.719213037427295</v>
      </c>
      <c r="AM6667">
        <v>86.3026510609116</v>
      </c>
      <c r="AN6667">
        <v>1.00000000692265</v>
      </c>
    </row>
    <row r="6668" spans="1:40" x14ac:dyDescent="0.25">
      <c r="A6668" t="str">
        <f>"20190312164155494"</f>
        <v>20190312164155494</v>
      </c>
      <c r="B6668" t="str">
        <f>"1552380115483082"</f>
        <v>1552380115483082</v>
      </c>
      <c r="C6668" t="s">
        <v>40</v>
      </c>
      <c r="D6668">
        <v>5.8431470000000001</v>
      </c>
      <c r="E6668">
        <v>0.49521029999999999</v>
      </c>
      <c r="F6668" t="s">
        <v>42</v>
      </c>
      <c r="G6668">
        <v>-187.76609999999999</v>
      </c>
      <c r="H6668">
        <v>1.041501</v>
      </c>
      <c r="I6668">
        <v>-7.4421580000000001</v>
      </c>
      <c r="J6668">
        <v>-187.77440000000001</v>
      </c>
      <c r="K6668">
        <v>1.106846</v>
      </c>
      <c r="L6668">
        <v>-7.8442689999999997</v>
      </c>
      <c r="M6668">
        <v>-4.0612710000000003E-2</v>
      </c>
      <c r="N6668">
        <v>0</v>
      </c>
      <c r="O6668">
        <v>0.99913790000000002</v>
      </c>
      <c r="P6668">
        <v>2.1657099999999999E-2</v>
      </c>
      <c r="Q6668">
        <v>0.10205980000000001</v>
      </c>
      <c r="R6668">
        <v>0.9945425</v>
      </c>
      <c r="S6668">
        <v>-2.633667E-2</v>
      </c>
      <c r="T6668">
        <v>-0.25211169999999999</v>
      </c>
      <c r="U6668">
        <v>3.0424799999999999</v>
      </c>
      <c r="V6668">
        <v>6.2632480000000004E-2</v>
      </c>
      <c r="W6668">
        <v>0.11025839999999899</v>
      </c>
      <c r="X6668">
        <v>0.99192760000000002</v>
      </c>
      <c r="Y6668">
        <v>3.1993300000000002E-2</v>
      </c>
      <c r="Z6668">
        <v>-8.2456100000000004E-2</v>
      </c>
      <c r="AA6668">
        <v>0.99608110000000005</v>
      </c>
      <c r="AB6668">
        <v>44</v>
      </c>
      <c r="AC6668">
        <v>8.3000000000197308E-3</v>
      </c>
      <c r="AD6668">
        <v>-6.5344999999999903E-2</v>
      </c>
      <c r="AE6668">
        <v>0.402111</v>
      </c>
      <c r="AF6668">
        <v>2.3991285791635099E-2</v>
      </c>
      <c r="AG6668">
        <v>-6.5344999999999903E-2</v>
      </c>
      <c r="AH6668">
        <v>0.39111794133906802</v>
      </c>
      <c r="AI6668">
        <v>99.467465826678406</v>
      </c>
      <c r="AJ6668">
        <v>86.489858630876</v>
      </c>
      <c r="AK6668">
        <v>0.39726413739003202</v>
      </c>
      <c r="AL6668">
        <v>83.669788930724494</v>
      </c>
      <c r="AM6668">
        <v>86.387015545686495</v>
      </c>
      <c r="AN6668">
        <v>1.00000005298163</v>
      </c>
    </row>
    <row r="6669" spans="1:40" x14ac:dyDescent="0.25">
      <c r="A6669" t="str">
        <f>"20190312164155518"</f>
        <v>20190312164155518</v>
      </c>
      <c r="B6669" t="str">
        <f>"1552380115512954"</f>
        <v>1552380115512954</v>
      </c>
      <c r="C6669" t="s">
        <v>40</v>
      </c>
      <c r="D6669">
        <v>5.6405529999999997</v>
      </c>
      <c r="E6669">
        <v>0.49533529999999998</v>
      </c>
      <c r="F6669" t="s">
        <v>42</v>
      </c>
      <c r="G6669">
        <v>-187.7809</v>
      </c>
      <c r="H6669">
        <v>1.041194</v>
      </c>
      <c r="I6669">
        <v>-7.0472799999999998</v>
      </c>
      <c r="J6669">
        <v>-187.79179999999999</v>
      </c>
      <c r="K6669">
        <v>1.1067389999999999</v>
      </c>
      <c r="L6669">
        <v>-7.3753659999999996</v>
      </c>
      <c r="M6669">
        <v>-3.8137129999999998E-2</v>
      </c>
      <c r="N6669">
        <v>0</v>
      </c>
      <c r="O6669">
        <v>0.99923360000000006</v>
      </c>
      <c r="P6669">
        <v>2.3174779999999999E-2</v>
      </c>
      <c r="Q6669">
        <v>0.1028081</v>
      </c>
      <c r="R6669">
        <v>0.99443119999999996</v>
      </c>
      <c r="S6669">
        <v>-2.5268550000000001E-2</v>
      </c>
      <c r="T6669">
        <v>-0.25058540000000001</v>
      </c>
      <c r="U6669">
        <v>3.0427249999999999</v>
      </c>
      <c r="V6669">
        <v>6.1722859999999997E-2</v>
      </c>
      <c r="W6669">
        <v>0.111209</v>
      </c>
      <c r="X6669">
        <v>0.99187840000000005</v>
      </c>
      <c r="Y6669">
        <v>2.9866980000000001E-2</v>
      </c>
      <c r="Z6669">
        <v>-8.1968589999999994E-2</v>
      </c>
      <c r="AA6669">
        <v>0.9961873</v>
      </c>
      <c r="AB6669">
        <v>44</v>
      </c>
      <c r="AC6669">
        <v>1.08999999999923E-2</v>
      </c>
      <c r="AD6669">
        <v>-6.5544999999999895E-2</v>
      </c>
      <c r="AE6669">
        <v>0.32808599999999899</v>
      </c>
      <c r="AF6669">
        <v>2.2507485961060301E-2</v>
      </c>
      <c r="AG6669">
        <v>-6.5544999999999895E-2</v>
      </c>
      <c r="AH6669">
        <v>0.31487803003951798</v>
      </c>
      <c r="AI6669">
        <v>101.729673287046</v>
      </c>
      <c r="AJ6669">
        <v>85.911450756391702</v>
      </c>
      <c r="AK6669">
        <v>0.32241418664639199</v>
      </c>
      <c r="AL6669">
        <v>83.614985918010603</v>
      </c>
      <c r="AM6669">
        <v>86.439175260901393</v>
      </c>
      <c r="AN6669">
        <v>0.99999995675706899</v>
      </c>
    </row>
    <row r="6670" spans="1:40" x14ac:dyDescent="0.25">
      <c r="A6670" t="str">
        <f>"20190312164155541"</f>
        <v>20190312164155541</v>
      </c>
      <c r="B6670" t="str">
        <f>"1552380115532475"</f>
        <v>1552380115532475</v>
      </c>
      <c r="C6670" t="s">
        <v>40</v>
      </c>
      <c r="D6670">
        <v>8.7939489999999996</v>
      </c>
      <c r="E6670">
        <v>0.49537629999999999</v>
      </c>
      <c r="F6670" t="s">
        <v>42</v>
      </c>
      <c r="G6670">
        <v>-187.79910000000001</v>
      </c>
      <c r="H6670">
        <v>1.0160480000000001</v>
      </c>
      <c r="I6670">
        <v>-6.2685559999999896</v>
      </c>
      <c r="J6670">
        <v>-187.80709999999999</v>
      </c>
      <c r="K6670">
        <v>1.1066609999999999</v>
      </c>
      <c r="L6670">
        <v>-6.9297789999999901</v>
      </c>
      <c r="M6670">
        <v>-3.577019E-2</v>
      </c>
      <c r="N6670">
        <v>0</v>
      </c>
      <c r="O6670">
        <v>0.99931950000000003</v>
      </c>
      <c r="P6670">
        <v>2.4859470000000002E-2</v>
      </c>
      <c r="Q6670">
        <v>0.1026876</v>
      </c>
      <c r="R6670">
        <v>0.99440289999999998</v>
      </c>
      <c r="S6670">
        <v>-2.0339969999999999E-2</v>
      </c>
      <c r="T6670">
        <v>-0.2493012</v>
      </c>
      <c r="U6670">
        <v>3.0430600000000001</v>
      </c>
      <c r="V6670">
        <v>6.1077600000000003E-2</v>
      </c>
      <c r="W6670">
        <v>0.1112583</v>
      </c>
      <c r="X6670">
        <v>0.99191280000000004</v>
      </c>
      <c r="Y6670">
        <v>2.9113469999999999E-2</v>
      </c>
      <c r="Z6670">
        <v>-8.1554470000000004E-2</v>
      </c>
      <c r="AA6670">
        <v>0.99624360000000001</v>
      </c>
      <c r="AB6670">
        <v>44</v>
      </c>
      <c r="AC6670">
        <v>7.9999999999813502E-3</v>
      </c>
      <c r="AD6670">
        <v>-9.0612999999999999E-2</v>
      </c>
      <c r="AE6670">
        <v>0.66122299999999901</v>
      </c>
      <c r="AF6670">
        <v>3.10646165427584E-2</v>
      </c>
      <c r="AG6670">
        <v>-9.0612999999999999E-2</v>
      </c>
      <c r="AH6670">
        <v>0.64833989010148696</v>
      </c>
      <c r="AI6670">
        <v>97.947210922284896</v>
      </c>
      <c r="AJ6670">
        <v>87.256822744162804</v>
      </c>
      <c r="AK6670">
        <v>0.65537801249870797</v>
      </c>
      <c r="AL6670">
        <v>83.612143506969701</v>
      </c>
      <c r="AM6670">
        <v>86.476428263729105</v>
      </c>
      <c r="AN6670">
        <v>0.99999994267224301</v>
      </c>
    </row>
    <row r="6671" spans="1:40" x14ac:dyDescent="0.25">
      <c r="A6671" t="str">
        <f>"20190312164155563"</f>
        <v>20190312164155563</v>
      </c>
      <c r="B6671" t="str">
        <f>"1552380115552973"</f>
        <v>1552380115552973</v>
      </c>
      <c r="C6671" t="s">
        <v>40</v>
      </c>
      <c r="D6671">
        <v>5.7888070000000003</v>
      </c>
      <c r="E6671">
        <v>0.49547770000000002</v>
      </c>
      <c r="F6671" t="s">
        <v>42</v>
      </c>
      <c r="G6671">
        <v>-187.81209999999999</v>
      </c>
      <c r="H6671">
        <v>1.019655</v>
      </c>
      <c r="I6671">
        <v>-5.8707820000000002</v>
      </c>
      <c r="J6671">
        <v>-187.82149999999999</v>
      </c>
      <c r="K6671">
        <v>1.1065940000000001</v>
      </c>
      <c r="L6671">
        <v>-6.4801330000000004</v>
      </c>
      <c r="M6671">
        <v>-3.3383650000000001E-2</v>
      </c>
      <c r="N6671">
        <v>0</v>
      </c>
      <c r="O6671">
        <v>0.99940059999999997</v>
      </c>
      <c r="P6671">
        <v>2.675456E-2</v>
      </c>
      <c r="Q6671">
        <v>0.1019602</v>
      </c>
      <c r="R6671">
        <v>0.9944286</v>
      </c>
      <c r="S6671">
        <v>-1.4694209999999999E-2</v>
      </c>
      <c r="T6671">
        <v>-0.24996840000000001</v>
      </c>
      <c r="U6671">
        <v>3.0430600000000001</v>
      </c>
      <c r="V6671">
        <v>6.0616000000000003E-2</v>
      </c>
      <c r="W6671">
        <v>0.1106835</v>
      </c>
      <c r="X6671">
        <v>0.99200549999999998</v>
      </c>
      <c r="Y6671">
        <v>2.8574809999999999E-2</v>
      </c>
      <c r="Z6671">
        <v>-8.1782469999999996E-2</v>
      </c>
      <c r="AA6671">
        <v>0.99624049999999997</v>
      </c>
      <c r="AB6671">
        <v>44</v>
      </c>
      <c r="AC6671">
        <v>9.3999999999994002E-3</v>
      </c>
      <c r="AD6671">
        <v>-8.69390000000001E-2</v>
      </c>
      <c r="AE6671">
        <v>0.60935099999999998</v>
      </c>
      <c r="AF6671">
        <v>2.91448410927178E-2</v>
      </c>
      <c r="AG6671">
        <v>-8.69390000000001E-2</v>
      </c>
      <c r="AH6671">
        <v>0.59655683454542496</v>
      </c>
      <c r="AI6671">
        <v>98.281867838079407</v>
      </c>
      <c r="AJ6671">
        <v>87.203033094289907</v>
      </c>
      <c r="AK6671">
        <v>0.60356264656303704</v>
      </c>
      <c r="AL6671">
        <v>83.645282317943199</v>
      </c>
      <c r="AM6671">
        <v>86.503317644570402</v>
      </c>
      <c r="AN6671">
        <v>1.00000002432924</v>
      </c>
    </row>
    <row r="6672" spans="1:40" x14ac:dyDescent="0.25">
      <c r="A6672" t="str">
        <f>"20190312164155585"</f>
        <v>20190312164155585</v>
      </c>
      <c r="B6672" t="str">
        <f>"1552380115572490"</f>
        <v>1552380115572490</v>
      </c>
      <c r="C6672" t="s">
        <v>40</v>
      </c>
      <c r="D6672">
        <v>5.6703900000000003</v>
      </c>
      <c r="E6672">
        <v>0.49560510000000002</v>
      </c>
      <c r="F6672" t="s">
        <v>42</v>
      </c>
      <c r="G6672">
        <v>-187.8237</v>
      </c>
      <c r="H6672">
        <v>1.022961</v>
      </c>
      <c r="I6672">
        <v>-5.472753</v>
      </c>
      <c r="J6672">
        <v>-187.834</v>
      </c>
      <c r="K6672">
        <v>1.1065499999999999</v>
      </c>
      <c r="L6672">
        <v>-6.0609739999999999</v>
      </c>
      <c r="M6672">
        <v>-3.1176300000000001E-2</v>
      </c>
      <c r="N6672">
        <v>0</v>
      </c>
      <c r="O6672">
        <v>0.99947079999999999</v>
      </c>
      <c r="P6672">
        <v>2.817478E-2</v>
      </c>
      <c r="Q6672">
        <v>0.1015375</v>
      </c>
      <c r="R6672">
        <v>0.99443269999999995</v>
      </c>
      <c r="S6672">
        <v>-6.8359379999999997E-3</v>
      </c>
      <c r="T6672">
        <v>-0.2525598</v>
      </c>
      <c r="U6672">
        <v>3.0428769999999998</v>
      </c>
      <c r="V6672">
        <v>5.9852669999999997E-2</v>
      </c>
      <c r="W6672">
        <v>0.11038679999999999</v>
      </c>
      <c r="X6672">
        <v>0.99208490000000005</v>
      </c>
      <c r="Y6672">
        <v>2.893979E-2</v>
      </c>
      <c r="Z6672">
        <v>-8.2638229999999993E-2</v>
      </c>
      <c r="AA6672">
        <v>0.99615929999999997</v>
      </c>
      <c r="AB6672">
        <v>44</v>
      </c>
      <c r="AC6672">
        <v>1.03000000000008E-2</v>
      </c>
      <c r="AD6672">
        <v>-8.3588999999999899E-2</v>
      </c>
      <c r="AE6672">
        <v>0.58822099999999899</v>
      </c>
      <c r="AF6672">
        <v>2.8067718117454999E-2</v>
      </c>
      <c r="AG6672">
        <v>-8.3588999999999899E-2</v>
      </c>
      <c r="AH6672">
        <v>0.57598615065709302</v>
      </c>
      <c r="AI6672">
        <v>98.247653383342197</v>
      </c>
      <c r="AJ6672">
        <v>87.2101921466367</v>
      </c>
      <c r="AK6672">
        <v>0.58269628750327196</v>
      </c>
      <c r="AL6672">
        <v>83.662386749282803</v>
      </c>
      <c r="AM6672">
        <v>86.547519408702101</v>
      </c>
      <c r="AN6672">
        <v>1.0000000182641799</v>
      </c>
    </row>
    <row r="6673" spans="1:40" x14ac:dyDescent="0.25">
      <c r="A6673" t="str">
        <f>"20190312164155609"</f>
        <v>20190312164155609</v>
      </c>
      <c r="B6673" t="str">
        <f>"1552380115602746"</f>
        <v>1552380115602746</v>
      </c>
      <c r="C6673" t="s">
        <v>40</v>
      </c>
      <c r="D6673">
        <v>5.7474230000000004</v>
      </c>
      <c r="E6673">
        <v>0.49577589999999999</v>
      </c>
      <c r="F6673" t="s">
        <v>42</v>
      </c>
      <c r="G6673">
        <v>-187.83420000000001</v>
      </c>
      <c r="H6673">
        <v>1.0241549999999999</v>
      </c>
      <c r="I6673">
        <v>-5.0754140000000003</v>
      </c>
      <c r="J6673">
        <v>-187.8475</v>
      </c>
      <c r="K6673">
        <v>1.106525</v>
      </c>
      <c r="L6673">
        <v>-5.5701599999999996</v>
      </c>
      <c r="M6673">
        <v>-2.8635480000000001E-2</v>
      </c>
      <c r="N6673">
        <v>0</v>
      </c>
      <c r="O6673">
        <v>0.99954560000000003</v>
      </c>
      <c r="P6673">
        <v>3.0353479999999999E-2</v>
      </c>
      <c r="Q6673">
        <v>0.10197970000000001</v>
      </c>
      <c r="R6673">
        <v>0.99432330000000002</v>
      </c>
      <c r="S6673">
        <v>-8.3923339999999905E-4</v>
      </c>
      <c r="T6673">
        <v>-0.25433460000000002</v>
      </c>
      <c r="U6673">
        <v>3.042786</v>
      </c>
      <c r="V6673">
        <v>5.9514209999999998E-2</v>
      </c>
      <c r="W6673">
        <v>0.1109522</v>
      </c>
      <c r="X6673">
        <v>0.99204219999999999</v>
      </c>
      <c r="Y6673">
        <v>2.836199E-2</v>
      </c>
      <c r="Z6673">
        <v>-8.3227689999999993E-2</v>
      </c>
      <c r="AA6673">
        <v>0.99612690000000004</v>
      </c>
      <c r="AB6673">
        <v>44</v>
      </c>
      <c r="AC6673">
        <v>1.3299999999986699E-2</v>
      </c>
      <c r="AD6673">
        <v>-8.2369999999999999E-2</v>
      </c>
      <c r="AE6673">
        <v>0.49474599999999902</v>
      </c>
      <c r="AF6673">
        <v>2.6722288932074598E-2</v>
      </c>
      <c r="AG6673">
        <v>-8.2369999999999999E-2</v>
      </c>
      <c r="AH6673">
        <v>0.48084347588339799</v>
      </c>
      <c r="AI6673">
        <v>99.705906197404801</v>
      </c>
      <c r="AJ6673">
        <v>86.8191289829021</v>
      </c>
      <c r="AK6673">
        <v>0.48857890450304697</v>
      </c>
      <c r="AL6673">
        <v>83.629791561774695</v>
      </c>
      <c r="AM6673">
        <v>86.566848554007905</v>
      </c>
      <c r="AN6673">
        <v>1.0000000292288</v>
      </c>
    </row>
    <row r="6674" spans="1:40" x14ac:dyDescent="0.25">
      <c r="A6674" t="str">
        <f>"20190312164155633"</f>
        <v>20190312164155633</v>
      </c>
      <c r="B6674" t="str">
        <f>"1552380115622266"</f>
        <v>1552380115622266</v>
      </c>
      <c r="C6674" t="s">
        <v>40</v>
      </c>
      <c r="D6674">
        <v>5.7864820000000003</v>
      </c>
      <c r="E6674">
        <v>0.49579529999999999</v>
      </c>
      <c r="F6674" t="s">
        <v>42</v>
      </c>
      <c r="G6674">
        <v>-187.84549999999999</v>
      </c>
      <c r="H6674">
        <v>1.0316459999999901</v>
      </c>
      <c r="I6674">
        <v>-4.6746939999999997</v>
      </c>
      <c r="J6674">
        <v>-187.85900000000001</v>
      </c>
      <c r="K6674">
        <v>1.106528</v>
      </c>
      <c r="L6674">
        <v>-5.1159970000000001</v>
      </c>
      <c r="M6674">
        <v>-2.6344119999999999E-2</v>
      </c>
      <c r="N6674">
        <v>0</v>
      </c>
      <c r="O6674">
        <v>0.99960769999999999</v>
      </c>
      <c r="P6674">
        <v>3.2202359999999999E-2</v>
      </c>
      <c r="Q6674">
        <v>0.10250280000000001</v>
      </c>
      <c r="R6674">
        <v>0.99421130000000002</v>
      </c>
      <c r="S6674">
        <v>6.7138669999999897E-3</v>
      </c>
      <c r="T6674">
        <v>-0.25443470000000001</v>
      </c>
      <c r="U6674">
        <v>3.0430299999999999</v>
      </c>
      <c r="V6674">
        <v>5.9088189999999999E-2</v>
      </c>
      <c r="W6674">
        <v>0.11157250000000001</v>
      </c>
      <c r="X6674">
        <v>0.99199809999999999</v>
      </c>
      <c r="Y6674">
        <v>2.854311E-2</v>
      </c>
      <c r="Z6674">
        <v>-8.3261150000000006E-2</v>
      </c>
      <c r="AA6674">
        <v>0.99611890000000003</v>
      </c>
      <c r="AB6674">
        <v>44</v>
      </c>
      <c r="AC6674">
        <v>1.35000000000218E-2</v>
      </c>
      <c r="AD6674">
        <v>-7.4882000000000101E-2</v>
      </c>
      <c r="AE6674">
        <v>0.441302999999999</v>
      </c>
      <c r="AF6674">
        <v>2.4419145380192301E-2</v>
      </c>
      <c r="AG6674">
        <v>-7.4882000000000101E-2</v>
      </c>
      <c r="AH6674">
        <v>0.42846895544568497</v>
      </c>
      <c r="AI6674">
        <v>99.8975190085593</v>
      </c>
      <c r="AJ6674">
        <v>86.738148466829699</v>
      </c>
      <c r="AK6674">
        <v>0.435648085460978</v>
      </c>
      <c r="AL6674">
        <v>83.594028971197702</v>
      </c>
      <c r="AM6674">
        <v>86.591214719638302</v>
      </c>
      <c r="AN6674">
        <v>1.0000000336786601</v>
      </c>
    </row>
    <row r="6675" spans="1:40" x14ac:dyDescent="0.25">
      <c r="A6675" t="str">
        <f>"20190312164155652"</f>
        <v>20190312164155652</v>
      </c>
      <c r="B6675" t="str">
        <f>"1552380115642762"</f>
        <v>1552380115642762</v>
      </c>
      <c r="C6675" t="s">
        <v>40</v>
      </c>
      <c r="D6675">
        <v>5.7948649999999997</v>
      </c>
      <c r="E6675">
        <v>0.49584489999999998</v>
      </c>
      <c r="F6675" t="s">
        <v>42</v>
      </c>
      <c r="G6675">
        <v>-187.8554</v>
      </c>
      <c r="H6675">
        <v>1.0366489999999999</v>
      </c>
      <c r="I6675">
        <v>-4.2747909999999996</v>
      </c>
      <c r="J6675">
        <v>-187.86850000000001</v>
      </c>
      <c r="K6675">
        <v>1.106554</v>
      </c>
      <c r="L6675">
        <v>-4.7053830000000003</v>
      </c>
      <c r="M6675">
        <v>-2.4337290000000001E-2</v>
      </c>
      <c r="N6675">
        <v>0</v>
      </c>
      <c r="O6675">
        <v>0.99965789999999999</v>
      </c>
      <c r="P6675">
        <v>3.3721290000000001E-2</v>
      </c>
      <c r="Q6675">
        <v>0.10257380000000001</v>
      </c>
      <c r="R6675">
        <v>0.99415370000000003</v>
      </c>
      <c r="S6675">
        <v>1.2527470000000001E-2</v>
      </c>
      <c r="T6675">
        <v>-0.25273950000000001</v>
      </c>
      <c r="U6675">
        <v>3.0431210000000002</v>
      </c>
      <c r="V6675">
        <v>5.8608479999999998E-2</v>
      </c>
      <c r="W6675">
        <v>0.1117213</v>
      </c>
      <c r="X6675">
        <v>0.99200980000000005</v>
      </c>
      <c r="Y6675">
        <v>2.8439470000000001E-2</v>
      </c>
      <c r="Z6675">
        <v>-8.2713930000000005E-2</v>
      </c>
      <c r="AA6675">
        <v>0.99616749999999998</v>
      </c>
      <c r="AB6675">
        <v>44</v>
      </c>
      <c r="AC6675">
        <v>1.3100000000008501E-2</v>
      </c>
      <c r="AD6675">
        <v>-6.9905000000000106E-2</v>
      </c>
      <c r="AE6675">
        <v>0.43059199999999898</v>
      </c>
      <c r="AF6675">
        <v>2.2971167487968201E-2</v>
      </c>
      <c r="AG6675">
        <v>-6.9905000000000106E-2</v>
      </c>
      <c r="AH6675">
        <v>0.419109647489398</v>
      </c>
      <c r="AI6675">
        <v>99.455488918440295</v>
      </c>
      <c r="AJ6675">
        <v>86.862789041048799</v>
      </c>
      <c r="AK6675">
        <v>0.42552001149117302</v>
      </c>
      <c r="AL6675">
        <v>83.585449653039205</v>
      </c>
      <c r="AM6675">
        <v>86.618864407175593</v>
      </c>
      <c r="AN6675">
        <v>1.00000002304882</v>
      </c>
    </row>
    <row r="6676" spans="1:40" x14ac:dyDescent="0.25">
      <c r="A6676" t="str">
        <f>"20190312164155674"</f>
        <v>20190312164155674</v>
      </c>
      <c r="B6676" t="str">
        <f>"1552380115662286"</f>
        <v>1552380115662286</v>
      </c>
      <c r="C6676" t="s">
        <v>40</v>
      </c>
      <c r="D6676">
        <v>5.7083349999999999</v>
      </c>
      <c r="E6676">
        <v>0.49572250000000001</v>
      </c>
      <c r="F6676" t="s">
        <v>42</v>
      </c>
      <c r="G6676">
        <v>-187.86359999999999</v>
      </c>
      <c r="H6676">
        <v>1.037722</v>
      </c>
      <c r="I6676">
        <v>-3.8764470000000002</v>
      </c>
      <c r="J6676">
        <v>-187.87780000000001</v>
      </c>
      <c r="K6676">
        <v>1.1065860000000001</v>
      </c>
      <c r="L6676">
        <v>-4.2722470000000001</v>
      </c>
      <c r="M6676">
        <v>-2.2294999999999999E-2</v>
      </c>
      <c r="N6676">
        <v>0</v>
      </c>
      <c r="O6676">
        <v>0.99970479999999995</v>
      </c>
      <c r="P6676">
        <v>3.5263740000000002E-2</v>
      </c>
      <c r="Q6676">
        <v>0.10175919999999999</v>
      </c>
      <c r="R6676">
        <v>0.99418379999999995</v>
      </c>
      <c r="S6676">
        <v>1.7654420000000001E-2</v>
      </c>
      <c r="T6676">
        <v>-0.25262580000000001</v>
      </c>
      <c r="U6676">
        <v>3.0431210000000002</v>
      </c>
      <c r="V6676">
        <v>5.8108960000000001E-2</v>
      </c>
      <c r="W6676">
        <v>0.1109806</v>
      </c>
      <c r="X6676">
        <v>0.99212230000000001</v>
      </c>
      <c r="Y6676">
        <v>2.8075659999999999E-2</v>
      </c>
      <c r="Z6676">
        <v>-8.2682969999999995E-2</v>
      </c>
      <c r="AA6676">
        <v>0.99618039999999997</v>
      </c>
      <c r="AB6676">
        <v>44</v>
      </c>
      <c r="AC6676">
        <v>1.42000000000166E-2</v>
      </c>
      <c r="AD6676">
        <v>-6.8863999999999995E-2</v>
      </c>
      <c r="AE6676">
        <v>0.39579999999999899</v>
      </c>
      <c r="AF6676">
        <v>2.2345676507908301E-2</v>
      </c>
      <c r="AG6676">
        <v>-6.8863999999999995E-2</v>
      </c>
      <c r="AH6676">
        <v>0.38378230119075601</v>
      </c>
      <c r="AI6676">
        <v>100.155776484867</v>
      </c>
      <c r="AJ6676">
        <v>86.667722627078902</v>
      </c>
      <c r="AK6676">
        <v>0.390551449186747</v>
      </c>
      <c r="AL6676">
        <v>83.628154072381506</v>
      </c>
      <c r="AM6676">
        <v>86.647995086325906</v>
      </c>
      <c r="AN6676">
        <v>1.00000000148296</v>
      </c>
    </row>
    <row r="6677" spans="1:40" x14ac:dyDescent="0.25">
      <c r="A6677" t="str">
        <f>"20190312164155696"</f>
        <v>20190312164155696</v>
      </c>
      <c r="B6677" t="str">
        <f>"1552380115692538"</f>
        <v>1552380115692538</v>
      </c>
      <c r="C6677" t="s">
        <v>40</v>
      </c>
      <c r="D6677">
        <v>5.6970140000000002</v>
      </c>
      <c r="E6677">
        <v>0.48538379999999998</v>
      </c>
      <c r="F6677" t="s">
        <v>42</v>
      </c>
      <c r="G6677">
        <v>-187.87209999999999</v>
      </c>
      <c r="H6677">
        <v>1.039944</v>
      </c>
      <c r="I6677">
        <v>-3.4765890000000002</v>
      </c>
      <c r="J6677">
        <v>-187.8862</v>
      </c>
      <c r="K6677">
        <v>1.10663</v>
      </c>
      <c r="L6677">
        <v>-3.8392940000000002</v>
      </c>
      <c r="M6677">
        <v>-2.0331869999999998E-2</v>
      </c>
      <c r="N6677">
        <v>0</v>
      </c>
      <c r="O6677">
        <v>0.99974609999999997</v>
      </c>
      <c r="P6677">
        <v>3.6222450000000003E-2</v>
      </c>
      <c r="Q6677">
        <v>0.1017414</v>
      </c>
      <c r="R6677">
        <v>0.99415120000000001</v>
      </c>
      <c r="S6677">
        <v>2.1301270000000001E-2</v>
      </c>
      <c r="T6677">
        <v>-0.2548299</v>
      </c>
      <c r="U6677">
        <v>3.0428769999999998</v>
      </c>
      <c r="V6677">
        <v>5.710469E-2</v>
      </c>
      <c r="W6677">
        <v>0.111032199999999</v>
      </c>
      <c r="X6677">
        <v>0.99217480000000002</v>
      </c>
      <c r="Y6677">
        <v>2.730668E-2</v>
      </c>
      <c r="Z6677">
        <v>-8.341179E-2</v>
      </c>
      <c r="AA6677">
        <v>0.99614100000000005</v>
      </c>
      <c r="AB6677">
        <v>44</v>
      </c>
      <c r="AC6677">
        <v>1.41000000000133E-2</v>
      </c>
      <c r="AD6677">
        <v>-6.6685999999999995E-2</v>
      </c>
      <c r="AE6677">
        <v>0.362705</v>
      </c>
      <c r="AF6677">
        <v>2.07708354846807E-2</v>
      </c>
      <c r="AG6677">
        <v>-6.6685999999999995E-2</v>
      </c>
      <c r="AH6677">
        <v>0.35051263313995301</v>
      </c>
      <c r="AI6677">
        <v>100.753521309916</v>
      </c>
      <c r="AJ6677">
        <v>86.608706762384998</v>
      </c>
      <c r="AK6677">
        <v>0.35740391183286602</v>
      </c>
      <c r="AL6677">
        <v>83.625178987346501</v>
      </c>
      <c r="AM6677">
        <v>86.705971446858101</v>
      </c>
      <c r="AN6677">
        <v>0.99999996440593697</v>
      </c>
    </row>
    <row r="6678" spans="1:40" x14ac:dyDescent="0.25">
      <c r="A6678" t="str">
        <f>"20190312164155719"</f>
        <v>20190312164155719</v>
      </c>
      <c r="B6678" t="str">
        <f>"1552380115712566"</f>
        <v>1552380115712566</v>
      </c>
      <c r="C6678" t="s">
        <v>40</v>
      </c>
      <c r="D6678">
        <v>5.826524</v>
      </c>
      <c r="E6678">
        <v>0.48421930000000002</v>
      </c>
      <c r="F6678" t="s">
        <v>41</v>
      </c>
      <c r="G6678">
        <v>-188.17959999999999</v>
      </c>
      <c r="H6678" s="1">
        <v>-1.925132E-6</v>
      </c>
      <c r="I6678">
        <v>13.36759</v>
      </c>
      <c r="J6678">
        <v>-187.89400000000001</v>
      </c>
      <c r="K6678">
        <v>1.106689</v>
      </c>
      <c r="L6678">
        <v>-3.3896790000000001</v>
      </c>
      <c r="M6678">
        <v>-1.8370629999999999E-2</v>
      </c>
      <c r="N6678">
        <v>0</v>
      </c>
      <c r="O6678">
        <v>0.99978359999999999</v>
      </c>
      <c r="P6678">
        <v>3.7504719999999998E-2</v>
      </c>
      <c r="Q6678">
        <v>0.1015452</v>
      </c>
      <c r="R6678">
        <v>0.99412370000000005</v>
      </c>
      <c r="S6678">
        <v>-5.1834110000000003E-2</v>
      </c>
      <c r="T6678">
        <v>-0.19548370000000001</v>
      </c>
      <c r="U6678">
        <v>3.0395509999999999</v>
      </c>
      <c r="V6678">
        <v>5.6422920000000001E-2</v>
      </c>
      <c r="W6678">
        <v>0.1108958</v>
      </c>
      <c r="X6678">
        <v>0.99222909999999997</v>
      </c>
      <c r="Y6678">
        <v>1.356115E-3</v>
      </c>
      <c r="Z6678">
        <v>-6.4159859999999999E-2</v>
      </c>
      <c r="AA6678">
        <v>0.99793869999999896</v>
      </c>
      <c r="AB6678">
        <v>44</v>
      </c>
      <c r="AC6678">
        <v>-0.28559999999998797</v>
      </c>
      <c r="AD6678">
        <v>-1.1066909251320001</v>
      </c>
      <c r="AE6678">
        <v>16.757269000000001</v>
      </c>
      <c r="AF6678">
        <v>2.2207622259757899E-2</v>
      </c>
      <c r="AG6678">
        <v>-1.1066909251320001</v>
      </c>
      <c r="AH6678">
        <v>16.6869271418254</v>
      </c>
      <c r="AI6678">
        <v>93.794343956248397</v>
      </c>
      <c r="AJ6678">
        <v>89.923748556789803</v>
      </c>
      <c r="AK6678">
        <v>16.7235999539228</v>
      </c>
      <c r="AL6678">
        <v>83.633042958375995</v>
      </c>
      <c r="AM6678">
        <v>86.745391362342005</v>
      </c>
      <c r="AN6678">
        <v>1.0000000056228799</v>
      </c>
    </row>
    <row r="6679" spans="1:40" x14ac:dyDescent="0.25">
      <c r="A6679" t="str">
        <f>"20190312164155741"</f>
        <v>20190312164155741</v>
      </c>
      <c r="B6679" t="str">
        <f>"1552380115733062"</f>
        <v>1552380115733062</v>
      </c>
      <c r="C6679" t="s">
        <v>40</v>
      </c>
      <c r="D6679">
        <v>5.6438870000000003</v>
      </c>
      <c r="E6679">
        <v>0.48363240000000002</v>
      </c>
      <c r="F6679" t="s">
        <v>42</v>
      </c>
      <c r="G6679">
        <v>-187.91470000000001</v>
      </c>
      <c r="H6679">
        <v>1.034235</v>
      </c>
      <c r="I6679">
        <v>-2.2815240000000001</v>
      </c>
      <c r="J6679">
        <v>-187.90100000000001</v>
      </c>
      <c r="K6679">
        <v>1.106735</v>
      </c>
      <c r="L6679">
        <v>-2.9410099999999999</v>
      </c>
      <c r="M6679">
        <v>-1.6480939999999999E-2</v>
      </c>
      <c r="N6679">
        <v>0</v>
      </c>
      <c r="O6679">
        <v>0.99981620000000004</v>
      </c>
      <c r="P6679">
        <v>3.8458630000000001E-2</v>
      </c>
      <c r="Q6679">
        <v>0.10156419999999999</v>
      </c>
      <c r="R6679">
        <v>0.99408529999999995</v>
      </c>
      <c r="S6679">
        <v>-5.7235719999999997E-2</v>
      </c>
      <c r="T6679">
        <v>-0.1987236</v>
      </c>
      <c r="U6679">
        <v>3.0401919999999998</v>
      </c>
      <c r="V6679">
        <v>5.5485760000000002E-2</v>
      </c>
      <c r="W6679">
        <v>0.11096540000000001</v>
      </c>
      <c r="X6679">
        <v>0.9922742</v>
      </c>
      <c r="Y6679">
        <v>-2.3015869999999999E-3</v>
      </c>
      <c r="Z6679">
        <v>-6.5207180000000003E-2</v>
      </c>
      <c r="AA6679">
        <v>0.99786909999999895</v>
      </c>
      <c r="AB6679">
        <v>45</v>
      </c>
      <c r="AC6679">
        <v>-1.37000000000284E-2</v>
      </c>
      <c r="AD6679">
        <v>-7.2499999999999995E-2</v>
      </c>
      <c r="AE6679">
        <v>0.65948599999999902</v>
      </c>
      <c r="AF6679">
        <v>-2.7949051707213501E-3</v>
      </c>
      <c r="AG6679">
        <v>-7.2499999999999995E-2</v>
      </c>
      <c r="AH6679">
        <v>0.65174890198727597</v>
      </c>
      <c r="AI6679">
        <v>96.347380913312705</v>
      </c>
      <c r="AJ6679">
        <v>90.245700895432805</v>
      </c>
      <c r="AK6679">
        <v>0.65577487961687997</v>
      </c>
      <c r="AL6679">
        <v>83.629030619372898</v>
      </c>
      <c r="AM6679">
        <v>86.799480821975905</v>
      </c>
      <c r="AN6679">
        <v>1.0000000387727801</v>
      </c>
    </row>
    <row r="6680" spans="1:40" x14ac:dyDescent="0.25">
      <c r="A6680" t="str">
        <f>"20190312164155764"</f>
        <v>20190312164155764</v>
      </c>
      <c r="B6680" t="str">
        <f>"1552380115752581"</f>
        <v>1552380115752581</v>
      </c>
      <c r="C6680" t="s">
        <v>40</v>
      </c>
      <c r="D6680">
        <v>5.6662350000000004</v>
      </c>
      <c r="E6680">
        <v>0.48313089999999997</v>
      </c>
      <c r="F6680" t="s">
        <v>42</v>
      </c>
      <c r="G6680">
        <v>-187.92160000000001</v>
      </c>
      <c r="H6680">
        <v>1.0350649999999999</v>
      </c>
      <c r="I6680">
        <v>-1.880803</v>
      </c>
      <c r="J6680">
        <v>-187.90710000000001</v>
      </c>
      <c r="K6680">
        <v>1.106781</v>
      </c>
      <c r="L6680">
        <v>-2.4960629999999999</v>
      </c>
      <c r="M6680">
        <v>-1.465515E-2</v>
      </c>
      <c r="N6680">
        <v>0</v>
      </c>
      <c r="O6680">
        <v>0.99984430000000002</v>
      </c>
      <c r="P6680">
        <v>3.8987689999999998E-2</v>
      </c>
      <c r="Q6680">
        <v>0.10193439999999999</v>
      </c>
      <c r="R6680">
        <v>0.99402679999999999</v>
      </c>
      <c r="S6680">
        <v>-5.9295649999999998E-2</v>
      </c>
      <c r="T6680">
        <v>-0.205567</v>
      </c>
      <c r="U6680">
        <v>3.0411380000000001</v>
      </c>
      <c r="V6680">
        <v>5.4190960000000003E-2</v>
      </c>
      <c r="W6680">
        <v>0.1113801</v>
      </c>
      <c r="X6680">
        <v>0.9922993</v>
      </c>
      <c r="Y6680">
        <v>-4.7946150000000003E-3</v>
      </c>
      <c r="Z6680">
        <v>-6.7423930000000007E-2</v>
      </c>
      <c r="AA6680">
        <v>0.99771290000000001</v>
      </c>
      <c r="AB6680">
        <v>45</v>
      </c>
      <c r="AC6680">
        <v>-1.4499999999998099E-2</v>
      </c>
      <c r="AD6680">
        <v>-7.1716000000000099E-2</v>
      </c>
      <c r="AE6680">
        <v>0.61526000000000003</v>
      </c>
      <c r="AF6680">
        <v>-5.4078454029171004E-3</v>
      </c>
      <c r="AG6680">
        <v>-7.1716000000000099E-2</v>
      </c>
      <c r="AH6680">
        <v>0.60716167046454195</v>
      </c>
      <c r="AI6680">
        <v>96.736117983515996</v>
      </c>
      <c r="AJ6680">
        <v>90.510306463473199</v>
      </c>
      <c r="AK6680">
        <v>0.61140634894413304</v>
      </c>
      <c r="AL6680">
        <v>83.6051218845151</v>
      </c>
      <c r="AM6680">
        <v>86.874096260594897</v>
      </c>
      <c r="AN6680">
        <v>1.0000000438011001</v>
      </c>
    </row>
    <row r="6681" spans="1:40" x14ac:dyDescent="0.25">
      <c r="A6681" t="str">
        <f>"20190312164155785"</f>
        <v>20190312164155785</v>
      </c>
      <c r="B6681" t="str">
        <f>"1552380115782837"</f>
        <v>1552380115782837</v>
      </c>
      <c r="C6681" t="s">
        <v>40</v>
      </c>
      <c r="D6681">
        <v>5.7047100000000004</v>
      </c>
      <c r="E6681">
        <v>0.4833846</v>
      </c>
      <c r="F6681" t="s">
        <v>42</v>
      </c>
      <c r="G6681">
        <v>-187.92760000000001</v>
      </c>
      <c r="H6681">
        <v>1.0363370000000001</v>
      </c>
      <c r="I6681">
        <v>-1.4793719999999999</v>
      </c>
      <c r="J6681">
        <v>-187.91229999999999</v>
      </c>
      <c r="K6681">
        <v>1.1068229999999999</v>
      </c>
      <c r="L6681">
        <v>-2.0570369999999998</v>
      </c>
      <c r="M6681">
        <v>-1.28877E-2</v>
      </c>
      <c r="N6681">
        <v>0</v>
      </c>
      <c r="O6681">
        <v>0.99986839999999999</v>
      </c>
      <c r="P6681">
        <v>3.947262E-2</v>
      </c>
      <c r="Q6681">
        <v>0.1018202</v>
      </c>
      <c r="R6681">
        <v>0.9940194</v>
      </c>
      <c r="S6681">
        <v>-6.1538700000000002E-2</v>
      </c>
      <c r="T6681">
        <v>-0.21076800000000001</v>
      </c>
      <c r="U6681">
        <v>3.0420530000000001</v>
      </c>
      <c r="V6681">
        <v>5.2909999999999999E-2</v>
      </c>
      <c r="W6681">
        <v>0.11130520000000001</v>
      </c>
      <c r="X6681">
        <v>0.99237679999999995</v>
      </c>
      <c r="Y6681">
        <v>-7.289472E-3</v>
      </c>
      <c r="Z6681">
        <v>-6.9102529999999995E-2</v>
      </c>
      <c r="AA6681">
        <v>0.99758290000000005</v>
      </c>
      <c r="AB6681">
        <v>45</v>
      </c>
      <c r="AC6681">
        <v>-1.53000000000247E-2</v>
      </c>
      <c r="AD6681">
        <v>-7.0485999999999799E-2</v>
      </c>
      <c r="AE6681">
        <v>0.57766499999999898</v>
      </c>
      <c r="AF6681">
        <v>-7.73846054833834E-3</v>
      </c>
      <c r="AG6681">
        <v>-7.0485999999999799E-2</v>
      </c>
      <c r="AH6681">
        <v>0.56934343210668203</v>
      </c>
      <c r="AI6681">
        <v>97.056791156838898</v>
      </c>
      <c r="AJ6681">
        <v>90.778710711302097</v>
      </c>
      <c r="AK6681">
        <v>0.57374219267077997</v>
      </c>
      <c r="AL6681">
        <v>83.609440000510205</v>
      </c>
      <c r="AM6681">
        <v>86.948082548853094</v>
      </c>
      <c r="AN6681">
        <v>1.00000001441263</v>
      </c>
    </row>
    <row r="6682" spans="1:40" x14ac:dyDescent="0.25">
      <c r="A6682" t="str">
        <f>"20190312164155809"</f>
        <v>20190312164155809</v>
      </c>
      <c r="B6682" t="str">
        <f>"1552380115802357"</f>
        <v>1552380115802357</v>
      </c>
      <c r="C6682" t="s">
        <v>40</v>
      </c>
      <c r="D6682">
        <v>5.7949299999999999</v>
      </c>
      <c r="E6682">
        <v>0.48351509999999998</v>
      </c>
      <c r="F6682" t="s">
        <v>42</v>
      </c>
      <c r="G6682">
        <v>-187.93100000000001</v>
      </c>
      <c r="H6682">
        <v>1.0382610000000001</v>
      </c>
      <c r="I6682">
        <v>-1.068972</v>
      </c>
      <c r="J6682">
        <v>-187.9171</v>
      </c>
      <c r="K6682">
        <v>1.10686</v>
      </c>
      <c r="L6682">
        <v>-1.5823969999999901</v>
      </c>
      <c r="M6682">
        <v>-1.100332E-2</v>
      </c>
      <c r="N6682">
        <v>0</v>
      </c>
      <c r="O6682">
        <v>0.99989070000000002</v>
      </c>
      <c r="P6682">
        <v>3.947647E-2</v>
      </c>
      <c r="Q6682">
        <v>0.1019505</v>
      </c>
      <c r="R6682">
        <v>0.9940059</v>
      </c>
      <c r="S6682">
        <v>-5.7403559999999999E-2</v>
      </c>
      <c r="T6682">
        <v>-0.21107339999999999</v>
      </c>
      <c r="U6682">
        <v>3.0419619999999998</v>
      </c>
      <c r="V6682">
        <v>5.1034070000000001E-2</v>
      </c>
      <c r="W6682">
        <v>0.1114763</v>
      </c>
      <c r="X6682">
        <v>0.9924558</v>
      </c>
      <c r="Y6682">
        <v>-7.8189350000000008E-3</v>
      </c>
      <c r="Z6682">
        <v>-6.9207379999999999E-2</v>
      </c>
      <c r="AA6682">
        <v>0.9975716</v>
      </c>
      <c r="AB6682">
        <v>45</v>
      </c>
      <c r="AC6682">
        <v>-1.3899999999978201E-2</v>
      </c>
      <c r="AD6682">
        <v>-6.8598999999999799E-2</v>
      </c>
      <c r="AE6682">
        <v>0.51342499999999902</v>
      </c>
      <c r="AF6682">
        <v>-8.1049220727034306E-3</v>
      </c>
      <c r="AG6682">
        <v>-6.8598999999999799E-2</v>
      </c>
      <c r="AH6682">
        <v>0.50454641357982699</v>
      </c>
      <c r="AI6682">
        <v>97.741570624375598</v>
      </c>
      <c r="AJ6682">
        <v>90.920307583753996</v>
      </c>
      <c r="AK6682">
        <v>0.50925297840962103</v>
      </c>
      <c r="AL6682">
        <v>83.599575069913996</v>
      </c>
      <c r="AM6682">
        <v>87.056328719910496</v>
      </c>
      <c r="AN6682">
        <v>0.99999997835804699</v>
      </c>
    </row>
    <row r="6683" spans="1:40" x14ac:dyDescent="0.25">
      <c r="A6683" t="str">
        <f>"20190312164155853"</f>
        <v>20190312164155853</v>
      </c>
      <c r="B6683" t="str">
        <f>"1552380115842879"</f>
        <v>1552380115842879</v>
      </c>
      <c r="C6683" t="s">
        <v>40</v>
      </c>
      <c r="D6683">
        <v>5.6746129999999999</v>
      </c>
      <c r="E6683">
        <v>0.48358240000000002</v>
      </c>
      <c r="F6683" t="s">
        <v>41</v>
      </c>
      <c r="G6683">
        <v>-188.21549999999999</v>
      </c>
      <c r="H6683" s="1">
        <v>-2.4009530000000002E-6</v>
      </c>
      <c r="I6683">
        <v>14.491580000000001</v>
      </c>
      <c r="J6683">
        <v>-187.9237</v>
      </c>
      <c r="K6683">
        <v>1.106924</v>
      </c>
      <c r="L6683">
        <v>-0.69787600000000005</v>
      </c>
      <c r="M6683">
        <v>-7.5294669999999998E-3</v>
      </c>
      <c r="N6683">
        <v>0</v>
      </c>
      <c r="O6683">
        <v>0.99992250000000005</v>
      </c>
      <c r="P6683">
        <v>3.949395E-2</v>
      </c>
      <c r="Q6683">
        <v>0.105780399999999</v>
      </c>
      <c r="R6683">
        <v>0.99360490000000001</v>
      </c>
      <c r="S6683">
        <v>-5.6457519999999997E-2</v>
      </c>
      <c r="T6683">
        <v>-0.20946049999999999</v>
      </c>
      <c r="U6683">
        <v>3.0418090000000002</v>
      </c>
      <c r="V6683">
        <v>4.7605559999999998E-2</v>
      </c>
      <c r="W6683">
        <v>0.1153687</v>
      </c>
      <c r="X6683">
        <v>0.99218130000000004</v>
      </c>
      <c r="Y6683">
        <v>-1.098442E-2</v>
      </c>
      <c r="Z6683">
        <v>-6.8686949999999997E-2</v>
      </c>
      <c r="AA6683">
        <v>0.99757779999999996</v>
      </c>
      <c r="AB6683">
        <v>45</v>
      </c>
      <c r="AC6683">
        <v>-0.29179999999999401</v>
      </c>
      <c r="AD6683">
        <v>-1.106926400953</v>
      </c>
      <c r="AE6683">
        <v>15.189456</v>
      </c>
      <c r="AF6683">
        <v>-0.17648070510198399</v>
      </c>
      <c r="AG6683">
        <v>-1.106926400953</v>
      </c>
      <c r="AH6683">
        <v>15.111001961507</v>
      </c>
      <c r="AI6683">
        <v>94.189320597659005</v>
      </c>
      <c r="AJ6683">
        <v>90.669124383498598</v>
      </c>
      <c r="AK6683">
        <v>15.152518331190601</v>
      </c>
      <c r="AL6683">
        <v>83.375108311645803</v>
      </c>
      <c r="AM6683">
        <v>87.253014701618397</v>
      </c>
      <c r="AN6683">
        <v>0.99999997917614603</v>
      </c>
    </row>
    <row r="6684" spans="1:40" x14ac:dyDescent="0.25">
      <c r="A6684" t="str">
        <f>"20190312164155875"</f>
        <v>20190312164155875</v>
      </c>
      <c r="B6684" t="str">
        <f>"1552380115873136"</f>
        <v>1552380115873136</v>
      </c>
      <c r="C6684" t="s">
        <v>40</v>
      </c>
      <c r="D6684">
        <v>5.6630770000000004</v>
      </c>
      <c r="E6684">
        <v>0.48359649999999998</v>
      </c>
      <c r="F6684" t="s">
        <v>41</v>
      </c>
      <c r="G6684">
        <v>-188.2295</v>
      </c>
      <c r="H6684" s="1">
        <v>-3.1709349999999999E-6</v>
      </c>
      <c r="I6684">
        <v>16.292210000000001</v>
      </c>
      <c r="J6684">
        <v>-187.92590000000001</v>
      </c>
      <c r="K6684">
        <v>1.1069580000000001</v>
      </c>
      <c r="L6684">
        <v>-0.26223750000000001</v>
      </c>
      <c r="M6684">
        <v>-5.8267049999999997E-3</v>
      </c>
      <c r="N6684">
        <v>0</v>
      </c>
      <c r="O6684">
        <v>0.99993370000000004</v>
      </c>
      <c r="P6684">
        <v>3.9462740000000003E-2</v>
      </c>
      <c r="Q6684">
        <v>0.10848430000000001</v>
      </c>
      <c r="R6684">
        <v>0.99331460000000005</v>
      </c>
      <c r="S6684">
        <v>-5.4748539999999998E-2</v>
      </c>
      <c r="T6684">
        <v>-0.19822980000000001</v>
      </c>
      <c r="U6684">
        <v>3.0426030000000002</v>
      </c>
      <c r="V6684">
        <v>4.589058E-2</v>
      </c>
      <c r="W6684">
        <v>0.11809890000000001</v>
      </c>
      <c r="X6684">
        <v>0.99194090000000001</v>
      </c>
      <c r="Y6684">
        <v>-1.2126659999999999E-2</v>
      </c>
      <c r="Z6684">
        <v>-6.5004290000000006E-2</v>
      </c>
      <c r="AA6684">
        <v>0.99781129999999996</v>
      </c>
      <c r="AB6684">
        <v>45</v>
      </c>
      <c r="AC6684">
        <v>-0.30359999999998799</v>
      </c>
      <c r="AD6684">
        <v>-1.10696117093499</v>
      </c>
      <c r="AE6684">
        <v>16.554447499999998</v>
      </c>
      <c r="AF6684">
        <v>-0.20621048355392199</v>
      </c>
      <c r="AG6684">
        <v>-1.10696117093499</v>
      </c>
      <c r="AH6684">
        <v>16.4822628970187</v>
      </c>
      <c r="AI6684">
        <v>93.841957879709497</v>
      </c>
      <c r="AJ6684">
        <v>90.7167932023509</v>
      </c>
      <c r="AK6684">
        <v>16.520680252457101</v>
      </c>
      <c r="AL6684">
        <v>83.217602784093103</v>
      </c>
      <c r="AM6684">
        <v>87.351189875648203</v>
      </c>
      <c r="AN6684">
        <v>1.00000002230337</v>
      </c>
    </row>
    <row r="6685" spans="1:40" x14ac:dyDescent="0.25">
      <c r="A6685" t="str">
        <f>"20190312164155897"</f>
        <v>20190312164155897</v>
      </c>
      <c r="B6685" t="str">
        <f>"1552380115892655"</f>
        <v>1552380115892655</v>
      </c>
      <c r="C6685" t="s">
        <v>40</v>
      </c>
      <c r="D6685">
        <v>5.7281339999999998</v>
      </c>
      <c r="E6685">
        <v>0.48359439999999998</v>
      </c>
      <c r="F6685" t="s">
        <v>41</v>
      </c>
      <c r="G6685">
        <v>-188.23670000000001</v>
      </c>
      <c r="H6685" s="1">
        <v>-3.63887E-6</v>
      </c>
      <c r="I6685">
        <v>17.385950000000001</v>
      </c>
      <c r="J6685">
        <v>-187.9273</v>
      </c>
      <c r="K6685">
        <v>1.1069929999999999</v>
      </c>
      <c r="L6685">
        <v>0.18090819999999999</v>
      </c>
      <c r="M6685">
        <v>-4.1081850000000003E-3</v>
      </c>
      <c r="N6685">
        <v>0</v>
      </c>
      <c r="O6685">
        <v>0.99994209999999994</v>
      </c>
      <c r="P6685">
        <v>3.9810079999999998E-2</v>
      </c>
      <c r="Q6685">
        <v>0.11116330000000001</v>
      </c>
      <c r="R6685">
        <v>0.99300449999999996</v>
      </c>
      <c r="S6685">
        <v>-5.3588869999999997E-2</v>
      </c>
      <c r="T6685">
        <v>-0.1908801</v>
      </c>
      <c r="U6685">
        <v>3.0431819999999998</v>
      </c>
      <c r="V6685">
        <v>4.4537790000000001E-2</v>
      </c>
      <c r="W6685">
        <v>0.1208002</v>
      </c>
      <c r="X6685">
        <v>0.99167720000000004</v>
      </c>
      <c r="Y6685">
        <v>-1.346433E-2</v>
      </c>
      <c r="Z6685">
        <v>-6.2592350000000005E-2</v>
      </c>
      <c r="AA6685">
        <v>0.99794830000000001</v>
      </c>
      <c r="AB6685">
        <v>45</v>
      </c>
      <c r="AC6685">
        <v>-0.30940000000001</v>
      </c>
      <c r="AD6685">
        <v>-1.1069966388700001</v>
      </c>
      <c r="AE6685">
        <v>17.2050418</v>
      </c>
      <c r="AF6685">
        <v>-0.23772856345926699</v>
      </c>
      <c r="AG6685">
        <v>-1.1069966388700001</v>
      </c>
      <c r="AH6685">
        <v>17.135253852323199</v>
      </c>
      <c r="AI6685">
        <v>93.696014055928501</v>
      </c>
      <c r="AJ6685">
        <v>90.794850760244401</v>
      </c>
      <c r="AK6685">
        <v>17.172620097466499</v>
      </c>
      <c r="AL6685">
        <v>83.061713270908299</v>
      </c>
      <c r="AM6685">
        <v>87.428484038860802</v>
      </c>
      <c r="AN6685">
        <v>0.99999998602898199</v>
      </c>
    </row>
    <row r="6686" spans="1:40" x14ac:dyDescent="0.25">
      <c r="A6686" t="str">
        <f>"20190312164155920"</f>
        <v>20190312164155920</v>
      </c>
      <c r="B6686" t="str">
        <f>"1552380115912176"</f>
        <v>1552380115912176</v>
      </c>
      <c r="C6686" t="s">
        <v>40</v>
      </c>
      <c r="D6686">
        <v>5.746448</v>
      </c>
      <c r="E6686">
        <v>0.48364740000000001</v>
      </c>
      <c r="F6686" t="s">
        <v>41</v>
      </c>
      <c r="G6686">
        <v>-188.2407</v>
      </c>
      <c r="H6686" s="1">
        <v>-4.2057269999999999E-6</v>
      </c>
      <c r="I6686">
        <v>18.70898</v>
      </c>
      <c r="J6686">
        <v>-187.92789999999999</v>
      </c>
      <c r="K6686">
        <v>1.1070409999999999</v>
      </c>
      <c r="L6686">
        <v>0.64590449999999999</v>
      </c>
      <c r="M6686">
        <v>-2.3425809999999998E-3</v>
      </c>
      <c r="N6686">
        <v>0</v>
      </c>
      <c r="O6686">
        <v>0.99994760000000005</v>
      </c>
      <c r="P6686">
        <v>4.0137739999999998E-2</v>
      </c>
      <c r="Q6686">
        <v>0.114103</v>
      </c>
      <c r="R6686">
        <v>0.99265780000000003</v>
      </c>
      <c r="S6686">
        <v>-5.1483149999999998E-2</v>
      </c>
      <c r="T6686">
        <v>-0.1818429</v>
      </c>
      <c r="U6686">
        <v>3.0435490000000001</v>
      </c>
      <c r="V6686">
        <v>4.311682E-2</v>
      </c>
      <c r="W6686">
        <v>0.12376330000000001</v>
      </c>
      <c r="X6686">
        <v>0.99137459999999999</v>
      </c>
      <c r="Y6686">
        <v>-1.4540580000000001E-2</v>
      </c>
      <c r="Z6686">
        <v>-5.963301E-2</v>
      </c>
      <c r="AA6686">
        <v>0.99811450000000002</v>
      </c>
      <c r="AB6686">
        <v>45</v>
      </c>
      <c r="AC6686">
        <v>-0.31280000000001001</v>
      </c>
      <c r="AD6686">
        <v>-1.1070452057269999</v>
      </c>
      <c r="AE6686">
        <v>18.0630755</v>
      </c>
      <c r="AF6686">
        <v>-0.26947094284448297</v>
      </c>
      <c r="AG6686">
        <v>-1.1070452057269999</v>
      </c>
      <c r="AH6686">
        <v>17.996181951521098</v>
      </c>
      <c r="AI6686">
        <v>93.519752573428093</v>
      </c>
      <c r="AJ6686">
        <v>90.857870519491399</v>
      </c>
      <c r="AK6686">
        <v>18.032213633073798</v>
      </c>
      <c r="AL6686">
        <v>82.890656512523293</v>
      </c>
      <c r="AM6686">
        <v>87.509663913653597</v>
      </c>
      <c r="AN6686">
        <v>1.00000000605948</v>
      </c>
    </row>
    <row r="6687" spans="1:40" x14ac:dyDescent="0.25">
      <c r="A6687" t="str">
        <f>"20190312164155943"</f>
        <v>20190312164155943</v>
      </c>
      <c r="B6687" t="str">
        <f>"1552380115932671"</f>
        <v>1552380115932671</v>
      </c>
      <c r="C6687" t="s">
        <v>40</v>
      </c>
      <c r="D6687">
        <v>5.8531309999999896</v>
      </c>
      <c r="E6687">
        <v>0.4836667</v>
      </c>
      <c r="F6687" t="s">
        <v>41</v>
      </c>
      <c r="G6687">
        <v>-188.24469999999999</v>
      </c>
      <c r="H6687" s="1">
        <v>-6.056815E-7</v>
      </c>
      <c r="I6687">
        <v>20.055479999999999</v>
      </c>
      <c r="J6687">
        <v>-187.92779999999999</v>
      </c>
      <c r="K6687">
        <v>1.1071029999999999</v>
      </c>
      <c r="L6687">
        <v>1.104034</v>
      </c>
      <c r="M6687">
        <v>-6.5883330000000005E-4</v>
      </c>
      <c r="N6687">
        <v>0</v>
      </c>
      <c r="O6687">
        <v>0.99995000000000001</v>
      </c>
      <c r="P6687">
        <v>4.0033979999999997E-2</v>
      </c>
      <c r="Q6687">
        <v>0.11672490000000001</v>
      </c>
      <c r="R6687">
        <v>0.99235709999999999</v>
      </c>
      <c r="S6687">
        <v>-4.9682619999999997E-2</v>
      </c>
      <c r="T6687">
        <v>-0.17362629999999901</v>
      </c>
      <c r="U6687">
        <v>3.0441590000000001</v>
      </c>
      <c r="V6687">
        <v>4.134057E-2</v>
      </c>
      <c r="W6687">
        <v>0.126410199999999</v>
      </c>
      <c r="X6687">
        <v>0.9911162</v>
      </c>
      <c r="Y6687">
        <v>-1.5633210000000002E-2</v>
      </c>
      <c r="Z6687">
        <v>-5.6936069999999998E-2</v>
      </c>
      <c r="AA6687">
        <v>0.99825540000000001</v>
      </c>
      <c r="AB6687">
        <v>45</v>
      </c>
      <c r="AC6687">
        <v>-0.31690000000000401</v>
      </c>
      <c r="AD6687">
        <v>-1.1071036056815</v>
      </c>
      <c r="AE6687">
        <v>18.951446000000001</v>
      </c>
      <c r="AF6687">
        <v>-0.30337843072256998</v>
      </c>
      <c r="AG6687">
        <v>-1.1071036056815</v>
      </c>
      <c r="AH6687">
        <v>18.887213239284801</v>
      </c>
      <c r="AI6687">
        <v>93.354211662554206</v>
      </c>
      <c r="AJ6687">
        <v>90.9202421109364</v>
      </c>
      <c r="AK6687">
        <v>18.922064919351602</v>
      </c>
      <c r="AL6687">
        <v>82.737799303563094</v>
      </c>
      <c r="AM6687">
        <v>87.611513212689701</v>
      </c>
      <c r="AN6687">
        <v>0.99999995164720101</v>
      </c>
    </row>
    <row r="6688" spans="1:40" x14ac:dyDescent="0.25">
      <c r="A6688" t="str">
        <f>"20190312164155963"</f>
        <v>20190312164155963</v>
      </c>
      <c r="B6688" t="str">
        <f>"1552380115952192"</f>
        <v>1552380115952192</v>
      </c>
      <c r="C6688" t="s">
        <v>40</v>
      </c>
      <c r="D6688">
        <v>5.7366890000000001</v>
      </c>
      <c r="E6688">
        <v>0.48369839999999997</v>
      </c>
      <c r="F6688" t="s">
        <v>41</v>
      </c>
      <c r="G6688">
        <v>-188.25489999999999</v>
      </c>
      <c r="H6688" s="1">
        <v>-1.066698E-6</v>
      </c>
      <c r="I6688">
        <v>21.39771</v>
      </c>
      <c r="J6688">
        <v>-187.9271</v>
      </c>
      <c r="K6688">
        <v>1.1071679999999999</v>
      </c>
      <c r="L6688">
        <v>1.5256959999999999</v>
      </c>
      <c r="M6688">
        <v>8.4169529999999896E-4</v>
      </c>
      <c r="N6688">
        <v>0</v>
      </c>
      <c r="O6688">
        <v>0.9999498</v>
      </c>
      <c r="P6688">
        <v>3.9869229999999999E-2</v>
      </c>
      <c r="Q6688">
        <v>0.11912209999999999</v>
      </c>
      <c r="R6688">
        <v>0.99207880000000004</v>
      </c>
      <c r="S6688">
        <v>-4.9072270000000001E-2</v>
      </c>
      <c r="T6688">
        <v>-0.16609660000000001</v>
      </c>
      <c r="U6688">
        <v>3.0446170000000001</v>
      </c>
      <c r="V6688">
        <v>3.968327E-2</v>
      </c>
      <c r="W6688">
        <v>0.12882979999999999</v>
      </c>
      <c r="X6688">
        <v>0.99087239999999999</v>
      </c>
      <c r="Y6688">
        <v>-1.693333E-2</v>
      </c>
      <c r="Z6688">
        <v>-5.4465729999999997E-2</v>
      </c>
      <c r="AA6688">
        <v>0.99837209999999998</v>
      </c>
      <c r="AB6688">
        <v>45</v>
      </c>
      <c r="AC6688">
        <v>-0.32779999999999598</v>
      </c>
      <c r="AD6688">
        <v>-1.1071690666980001</v>
      </c>
      <c r="AE6688">
        <v>19.872014</v>
      </c>
      <c r="AF6688">
        <v>-0.34346103041512499</v>
      </c>
      <c r="AG6688">
        <v>-1.1071690666980001</v>
      </c>
      <c r="AH6688">
        <v>19.810253567377899</v>
      </c>
      <c r="AI6688">
        <v>93.198378414549197</v>
      </c>
      <c r="AJ6688">
        <v>90.993268258790707</v>
      </c>
      <c r="AK6688">
        <v>19.844141080567699</v>
      </c>
      <c r="AL6688">
        <v>82.598023796210498</v>
      </c>
      <c r="AM6688">
        <v>87.706597273739206</v>
      </c>
      <c r="AN6688">
        <v>0.99999999618384605</v>
      </c>
    </row>
    <row r="6689" spans="1:40" x14ac:dyDescent="0.25">
      <c r="A6689" t="str">
        <f>"20190312164155989"</f>
        <v>20190312164155989</v>
      </c>
      <c r="B6689" t="str">
        <f>"1552380115982447"</f>
        <v>1552380115982447</v>
      </c>
      <c r="C6689" t="s">
        <v>40</v>
      </c>
      <c r="D6689">
        <v>5.6945410000000001</v>
      </c>
      <c r="E6689">
        <v>0.48358590000000001</v>
      </c>
      <c r="F6689" t="s">
        <v>41</v>
      </c>
      <c r="G6689">
        <v>-188.2697</v>
      </c>
      <c r="H6689" s="1">
        <v>-1.6370339999999901E-6</v>
      </c>
      <c r="I6689">
        <v>22.73329</v>
      </c>
      <c r="J6689">
        <v>-187.9255</v>
      </c>
      <c r="K6689">
        <v>1.1072580000000001</v>
      </c>
      <c r="L6689">
        <v>2.0322269999999998</v>
      </c>
      <c r="M6689">
        <v>2.5548020000000001E-3</v>
      </c>
      <c r="N6689">
        <v>0</v>
      </c>
      <c r="O6689">
        <v>0.99994669999999997</v>
      </c>
      <c r="P6689">
        <v>4.0641450000000003E-2</v>
      </c>
      <c r="Q6689">
        <v>0.1215548</v>
      </c>
      <c r="R6689">
        <v>0.99175230000000003</v>
      </c>
      <c r="S6689">
        <v>-4.9194340000000003E-2</v>
      </c>
      <c r="T6689">
        <v>-0.15896879999999999</v>
      </c>
      <c r="U6689">
        <v>3.045013</v>
      </c>
      <c r="V6689">
        <v>3.8745179999999997E-2</v>
      </c>
      <c r="W6689">
        <v>0.1312845</v>
      </c>
      <c r="X6689">
        <v>0.99058729999999995</v>
      </c>
      <c r="Y6689">
        <v>-1.868618E-2</v>
      </c>
      <c r="Z6689">
        <v>-5.2127090000000001E-2</v>
      </c>
      <c r="AA6689">
        <v>0.99846559999999995</v>
      </c>
      <c r="AB6689">
        <v>45</v>
      </c>
      <c r="AC6689">
        <v>-0.34420000000000001</v>
      </c>
      <c r="AD6689">
        <v>-1.107259637034</v>
      </c>
      <c r="AE6689">
        <v>20.701063000000001</v>
      </c>
      <c r="AF6689">
        <v>-0.39595613374021499</v>
      </c>
      <c r="AG6689">
        <v>-1.107259637034</v>
      </c>
      <c r="AH6689">
        <v>20.641078796407498</v>
      </c>
      <c r="AI6689">
        <v>93.070039123334993</v>
      </c>
      <c r="AJ6689">
        <v>91.098965485301207</v>
      </c>
      <c r="AK6689">
        <v>20.674548097676901</v>
      </c>
      <c r="AL6689">
        <v>82.456175073850304</v>
      </c>
      <c r="AM6689">
        <v>87.7601123395646</v>
      </c>
      <c r="AN6689">
        <v>1.00000000391738</v>
      </c>
    </row>
    <row r="6690" spans="1:40" x14ac:dyDescent="0.25">
      <c r="A6690" t="str">
        <f>"20190312164156010"</f>
        <v>20190312164156010</v>
      </c>
      <c r="B6690" t="str">
        <f>"1552380116002944"</f>
        <v>1552380116002944</v>
      </c>
      <c r="C6690" t="s">
        <v>40</v>
      </c>
      <c r="D6690">
        <v>5.7286060000000001</v>
      </c>
      <c r="E6690">
        <v>0.4833306</v>
      </c>
      <c r="F6690" t="s">
        <v>41</v>
      </c>
      <c r="G6690">
        <v>-188.27860000000001</v>
      </c>
      <c r="H6690" s="1">
        <v>-2.200341E-6</v>
      </c>
      <c r="I6690">
        <v>24.050049999999999</v>
      </c>
      <c r="J6690">
        <v>-187.92359999999999</v>
      </c>
      <c r="K6690">
        <v>1.1073409999999999</v>
      </c>
      <c r="L6690">
        <v>2.4557500000000001</v>
      </c>
      <c r="M6690">
        <v>3.8897799999999998E-3</v>
      </c>
      <c r="N6690">
        <v>0</v>
      </c>
      <c r="O6690">
        <v>0.99994229999999995</v>
      </c>
      <c r="P6690">
        <v>4.1443050000000002E-2</v>
      </c>
      <c r="Q6690">
        <v>0.1236835</v>
      </c>
      <c r="R6690">
        <v>0.99145589999999995</v>
      </c>
      <c r="S6690">
        <v>-4.8843379999999999E-2</v>
      </c>
      <c r="T6690">
        <v>-0.15316689999999999</v>
      </c>
      <c r="U6690">
        <v>3.045715</v>
      </c>
      <c r="V6690">
        <v>3.8209279999999998E-2</v>
      </c>
      <c r="W6690">
        <v>0.1334303</v>
      </c>
      <c r="X6690">
        <v>0.99032129999999996</v>
      </c>
      <c r="Y6690">
        <v>-1.9903810000000001E-2</v>
      </c>
      <c r="Z6690">
        <v>-5.0217070000000003E-2</v>
      </c>
      <c r="AA6690">
        <v>0.99853999999999998</v>
      </c>
      <c r="AB6690">
        <v>45</v>
      </c>
      <c r="AC6690">
        <v>-0.35500000000001802</v>
      </c>
      <c r="AD6690">
        <v>-1.107343200341</v>
      </c>
      <c r="AE6690">
        <v>21.5943</v>
      </c>
      <c r="AF6690">
        <v>-0.437847558012742</v>
      </c>
      <c r="AG6690">
        <v>-1.107343200341</v>
      </c>
      <c r="AH6690">
        <v>21.536139995824101</v>
      </c>
      <c r="AI6690">
        <v>92.942829754107294</v>
      </c>
      <c r="AJ6690">
        <v>91.164710181255501</v>
      </c>
      <c r="AK6690">
        <v>21.5690344097072</v>
      </c>
      <c r="AL6690">
        <v>82.332137971976493</v>
      </c>
      <c r="AM6690">
        <v>87.790469480294902</v>
      </c>
      <c r="AN6690">
        <v>0.99999993563494705</v>
      </c>
    </row>
    <row r="6691" spans="1:40" x14ac:dyDescent="0.25">
      <c r="A6691" t="str">
        <f>"20190312164156034"</f>
        <v>20190312164156034</v>
      </c>
      <c r="B6691" t="str">
        <f>"1552380116022969"</f>
        <v>1552380116022969</v>
      </c>
      <c r="C6691" t="s">
        <v>40</v>
      </c>
      <c r="D6691">
        <v>5.6922800000000002</v>
      </c>
      <c r="E6691">
        <v>0.47951369999999999</v>
      </c>
      <c r="F6691" t="s">
        <v>41</v>
      </c>
      <c r="G6691">
        <v>-188.28720000000001</v>
      </c>
      <c r="H6691" s="1">
        <v>-2.7307730000000001E-6</v>
      </c>
      <c r="I6691">
        <v>25.290030000000002</v>
      </c>
      <c r="J6691">
        <v>-187.92070000000001</v>
      </c>
      <c r="K6691">
        <v>1.1074539999999999</v>
      </c>
      <c r="L6691">
        <v>2.9459529999999998</v>
      </c>
      <c r="M6691">
        <v>5.306486E-3</v>
      </c>
      <c r="N6691">
        <v>0</v>
      </c>
      <c r="O6691">
        <v>0.99993569999999998</v>
      </c>
      <c r="P6691">
        <v>4.247621E-2</v>
      </c>
      <c r="Q6691">
        <v>0.1254826</v>
      </c>
      <c r="R6691">
        <v>0.99118609999999896</v>
      </c>
      <c r="S6691">
        <v>-4.8507689999999999E-2</v>
      </c>
      <c r="T6691">
        <v>-0.1477309</v>
      </c>
      <c r="U6691">
        <v>3.0463260000000001</v>
      </c>
      <c r="V6691">
        <v>3.7812640000000002E-2</v>
      </c>
      <c r="W6691">
        <v>0.13524949999999999</v>
      </c>
      <c r="X6691">
        <v>0.99008980000000002</v>
      </c>
      <c r="Y6691">
        <v>-2.1208500000000002E-2</v>
      </c>
      <c r="Z6691">
        <v>-4.8428350000000002E-2</v>
      </c>
      <c r="AA6691">
        <v>0.99860150000000003</v>
      </c>
      <c r="AB6691">
        <v>45</v>
      </c>
      <c r="AC6691">
        <v>-0.36650000000000199</v>
      </c>
      <c r="AD6691">
        <v>-1.1074567307729899</v>
      </c>
      <c r="AE6691">
        <v>22.344076999999999</v>
      </c>
      <c r="AF6691">
        <v>-0.483880959418381</v>
      </c>
      <c r="AG6691">
        <v>-1.1074567307729899</v>
      </c>
      <c r="AH6691">
        <v>22.2870824547796</v>
      </c>
      <c r="AI6691">
        <v>92.844048178565203</v>
      </c>
      <c r="AJ6691">
        <v>91.243768977925001</v>
      </c>
      <c r="AK6691">
        <v>22.319826288292798</v>
      </c>
      <c r="AL6691">
        <v>82.226952629927794</v>
      </c>
      <c r="AM6691">
        <v>87.812872854439604</v>
      </c>
      <c r="AN6691">
        <v>1.00000001752902</v>
      </c>
    </row>
    <row r="6692" spans="1:40" x14ac:dyDescent="0.25">
      <c r="A6692" t="str">
        <f>"20190312164156056"</f>
        <v>20190312164156056</v>
      </c>
      <c r="B6692" t="str">
        <f>"1552380116052250"</f>
        <v>1552380116052250</v>
      </c>
      <c r="C6692" t="s">
        <v>40</v>
      </c>
      <c r="D6692">
        <v>5.7066140000000001</v>
      </c>
      <c r="E6692">
        <v>0.4801975</v>
      </c>
      <c r="F6692" t="s">
        <v>41</v>
      </c>
      <c r="G6692">
        <v>-188.4023</v>
      </c>
      <c r="H6692" s="1">
        <v>-1.182781E-6</v>
      </c>
      <c r="I6692">
        <v>21.729220000000002</v>
      </c>
      <c r="J6692">
        <v>-187.9177</v>
      </c>
      <c r="K6692">
        <v>1.107569</v>
      </c>
      <c r="L6692">
        <v>3.386749</v>
      </c>
      <c r="M6692">
        <v>6.4527059999999999E-3</v>
      </c>
      <c r="N6692">
        <v>0</v>
      </c>
      <c r="O6692">
        <v>0.99992879999999995</v>
      </c>
      <c r="P6692">
        <v>4.3731899999999997E-2</v>
      </c>
      <c r="Q6692">
        <v>0.1271881</v>
      </c>
      <c r="R6692">
        <v>0.99091399999999996</v>
      </c>
      <c r="S6692">
        <v>-7.8262330000000005E-2</v>
      </c>
      <c r="T6692">
        <v>-0.1799936</v>
      </c>
      <c r="U6692">
        <v>3.052826</v>
      </c>
      <c r="V6692">
        <v>3.7905319999999999E-2</v>
      </c>
      <c r="W6692">
        <v>0.13697089999999901</v>
      </c>
      <c r="X6692">
        <v>0.9898496</v>
      </c>
      <c r="Y6692">
        <v>-3.2033600000000002E-2</v>
      </c>
      <c r="Z6692">
        <v>-5.8830889999999997E-2</v>
      </c>
      <c r="AA6692">
        <v>0.99775389999999997</v>
      </c>
      <c r="AB6692">
        <v>45</v>
      </c>
      <c r="AC6692">
        <v>-0.48459999999999998</v>
      </c>
      <c r="AD6692">
        <v>-1.1075701827810001</v>
      </c>
      <c r="AE6692">
        <v>18.342471</v>
      </c>
      <c r="AF6692">
        <v>-0.60076553147205503</v>
      </c>
      <c r="AG6692">
        <v>-1.1075701827810001</v>
      </c>
      <c r="AH6692">
        <v>18.272385744204801</v>
      </c>
      <c r="AI6692">
        <v>93.466838114728901</v>
      </c>
      <c r="AJ6692">
        <v>91.883111213533198</v>
      </c>
      <c r="AK6692">
        <v>18.3157776716853</v>
      </c>
      <c r="AL6692">
        <v>82.127397314839001</v>
      </c>
      <c r="AM6692">
        <v>87.806985845166807</v>
      </c>
      <c r="AN6692">
        <v>1.00000003567563</v>
      </c>
    </row>
    <row r="6693" spans="1:40" x14ac:dyDescent="0.25">
      <c r="A6693" t="str">
        <f>"20190312164156078"</f>
        <v>20190312164156078</v>
      </c>
      <c r="B6693" t="str">
        <f>"1552380116072746"</f>
        <v>1552380116072746</v>
      </c>
      <c r="C6693" t="s">
        <v>40</v>
      </c>
      <c r="D6693">
        <v>5.6590629999999997</v>
      </c>
      <c r="E6693">
        <v>0.48012959999999899</v>
      </c>
      <c r="F6693" t="s">
        <v>41</v>
      </c>
      <c r="G6693">
        <v>-188.37809999999999</v>
      </c>
      <c r="H6693" s="1">
        <v>-2.272177E-6</v>
      </c>
      <c r="I6693">
        <v>24.258649999999999</v>
      </c>
      <c r="J6693">
        <v>-187.91419999999999</v>
      </c>
      <c r="K6693">
        <v>1.1076889999999999</v>
      </c>
      <c r="L6693">
        <v>3.828217</v>
      </c>
      <c r="M6693">
        <v>7.485149E-3</v>
      </c>
      <c r="N6693">
        <v>0</v>
      </c>
      <c r="O6693">
        <v>0.99992159999999997</v>
      </c>
      <c r="P6693">
        <v>4.3803099999999998E-2</v>
      </c>
      <c r="Q6693">
        <v>0.12945129999999999</v>
      </c>
      <c r="R6693">
        <v>0.99061779999999999</v>
      </c>
      <c r="S6693">
        <v>-6.7306519999999995E-2</v>
      </c>
      <c r="T6693">
        <v>-0.16191630000000001</v>
      </c>
      <c r="U6693">
        <v>3.0512700000000001</v>
      </c>
      <c r="V6693">
        <v>3.69267E-2</v>
      </c>
      <c r="W6693">
        <v>0.1392543</v>
      </c>
      <c r="X6693">
        <v>0.98956789999999994</v>
      </c>
      <c r="Y6693">
        <v>-2.950529E-2</v>
      </c>
      <c r="Z6693">
        <v>-5.2970469999999999E-2</v>
      </c>
      <c r="AA6693">
        <v>0.99816009999999999</v>
      </c>
      <c r="AB6693">
        <v>45</v>
      </c>
      <c r="AC6693">
        <v>-0.46389999999999498</v>
      </c>
      <c r="AD6693">
        <v>-1.107691272177</v>
      </c>
      <c r="AE6693">
        <v>20.430432999999901</v>
      </c>
      <c r="AF6693">
        <v>-0.61501260867000196</v>
      </c>
      <c r="AG6693">
        <v>-1.107691272177</v>
      </c>
      <c r="AH6693">
        <v>20.366550221300098</v>
      </c>
      <c r="AI6693">
        <v>93.111706966854896</v>
      </c>
      <c r="AJ6693">
        <v>91.729645992174198</v>
      </c>
      <c r="AK6693">
        <v>20.4059204247203</v>
      </c>
      <c r="AL6693">
        <v>81.995301768155599</v>
      </c>
      <c r="AM6693">
        <v>87.862943174112004</v>
      </c>
      <c r="AN6693">
        <v>0.99999998497589404</v>
      </c>
    </row>
    <row r="6694" spans="1:40" x14ac:dyDescent="0.25">
      <c r="A6694" t="str">
        <f>"20190312164156101"</f>
        <v>20190312164156101</v>
      </c>
      <c r="B6694" t="str">
        <f>"1552380116092268"</f>
        <v>1552380116092268</v>
      </c>
      <c r="C6694" t="s">
        <v>40</v>
      </c>
      <c r="D6694">
        <v>5.8401889999999996</v>
      </c>
      <c r="E6694">
        <v>0.48008620000000002</v>
      </c>
      <c r="F6694" t="s">
        <v>41</v>
      </c>
      <c r="G6694">
        <v>-188.38919999999999</v>
      </c>
      <c r="H6694" s="1">
        <v>-2.8235600000000001E-6</v>
      </c>
      <c r="I6694">
        <v>25.548500000000001</v>
      </c>
      <c r="J6694">
        <v>-187.91030000000001</v>
      </c>
      <c r="K6694">
        <v>1.107809</v>
      </c>
      <c r="L6694">
        <v>4.2752990000000004</v>
      </c>
      <c r="M6694">
        <v>8.4195239999999994E-3</v>
      </c>
      <c r="N6694">
        <v>0</v>
      </c>
      <c r="O6694">
        <v>0.99991410000000003</v>
      </c>
      <c r="P6694">
        <v>4.3366830000000002E-2</v>
      </c>
      <c r="Q6694">
        <v>0.1318125</v>
      </c>
      <c r="R6694">
        <v>0.99032560000000003</v>
      </c>
      <c r="S6694">
        <v>-6.6726679999999997E-2</v>
      </c>
      <c r="T6694">
        <v>-0.15563060000000001</v>
      </c>
      <c r="U6694">
        <v>3.0516969999999999</v>
      </c>
      <c r="V6694">
        <v>3.5538220000000002E-2</v>
      </c>
      <c r="W6694">
        <v>0.14163709999999999</v>
      </c>
      <c r="X6694">
        <v>0.98928050000000001</v>
      </c>
      <c r="Y6694">
        <v>-3.0249020000000001E-2</v>
      </c>
      <c r="Z6694">
        <v>-5.0911430000000001E-2</v>
      </c>
      <c r="AA6694">
        <v>0.99824500000000005</v>
      </c>
      <c r="AB6694">
        <v>45</v>
      </c>
      <c r="AC6694">
        <v>-0.47889999999998101</v>
      </c>
      <c r="AD6694">
        <v>-1.1078118235600001</v>
      </c>
      <c r="AE6694">
        <v>21.273201</v>
      </c>
      <c r="AF6694">
        <v>-0.65622360610925601</v>
      </c>
      <c r="AG6694">
        <v>-1.1078118235600001</v>
      </c>
      <c r="AH6694">
        <v>21.2109227957265</v>
      </c>
      <c r="AI6694">
        <v>92.988321179594394</v>
      </c>
      <c r="AJ6694">
        <v>91.772051798802806</v>
      </c>
      <c r="AK6694">
        <v>21.249967583596501</v>
      </c>
      <c r="AL6694">
        <v>81.857410504177096</v>
      </c>
      <c r="AM6694">
        <v>87.942631230350699</v>
      </c>
      <c r="AN6694">
        <v>0.99999997042871303</v>
      </c>
    </row>
    <row r="6695" spans="1:40" x14ac:dyDescent="0.25">
      <c r="A6695" t="str">
        <f>"20190312164156122"</f>
        <v>20190312164156122</v>
      </c>
      <c r="B6695" t="str">
        <f>"1552380116112763"</f>
        <v>1552380116112763</v>
      </c>
      <c r="C6695" t="s">
        <v>40</v>
      </c>
      <c r="D6695">
        <v>5.7579079999999996</v>
      </c>
      <c r="E6695">
        <v>0.48031400000000002</v>
      </c>
      <c r="F6695" t="s">
        <v>41</v>
      </c>
      <c r="G6695">
        <v>-188.4032</v>
      </c>
      <c r="H6695" s="1">
        <v>-3.390806E-6</v>
      </c>
      <c r="I6695">
        <v>26.876560000000001</v>
      </c>
      <c r="J6695">
        <v>-187.9059</v>
      </c>
      <c r="K6695">
        <v>1.1079190000000001</v>
      </c>
      <c r="L6695">
        <v>4.7315670000000001</v>
      </c>
      <c r="M6695">
        <v>9.286496E-3</v>
      </c>
      <c r="N6695">
        <v>0</v>
      </c>
      <c r="O6695">
        <v>0.99990619999999997</v>
      </c>
      <c r="P6695">
        <v>4.2621329999999999E-2</v>
      </c>
      <c r="Q6695">
        <v>0.13361999999999999</v>
      </c>
      <c r="R6695">
        <v>0.99011570000000004</v>
      </c>
      <c r="S6695">
        <v>-6.6558839999999994E-2</v>
      </c>
      <c r="T6695">
        <v>-0.1496015</v>
      </c>
      <c r="U6695">
        <v>3.0521240000000001</v>
      </c>
      <c r="V6695">
        <v>3.3907409999999999E-2</v>
      </c>
      <c r="W6695">
        <v>0.14346589999999901</v>
      </c>
      <c r="X6695">
        <v>0.98907420000000001</v>
      </c>
      <c r="Y6695">
        <v>-3.105989E-2</v>
      </c>
      <c r="Z6695">
        <v>-4.8935970000000002E-2</v>
      </c>
      <c r="AA6695">
        <v>0.99831890000000001</v>
      </c>
      <c r="AB6695">
        <v>45</v>
      </c>
      <c r="AC6695">
        <v>-0.49729999999999502</v>
      </c>
      <c r="AD6695">
        <v>-1.1079223908059901</v>
      </c>
      <c r="AE6695">
        <v>22.144992999999999</v>
      </c>
      <c r="AF6695">
        <v>-0.70118415872460904</v>
      </c>
      <c r="AG6695">
        <v>-1.1079223908059901</v>
      </c>
      <c r="AH6695">
        <v>22.084169920713901</v>
      </c>
      <c r="AI6695">
        <v>92.870572426892096</v>
      </c>
      <c r="AJ6695">
        <v>91.818560589159006</v>
      </c>
      <c r="AK6695">
        <v>22.1230583856631</v>
      </c>
      <c r="AL6695">
        <v>81.751546856728595</v>
      </c>
      <c r="AM6695">
        <v>88.036556864596207</v>
      </c>
      <c r="AN6695">
        <v>0.99999997501067805</v>
      </c>
    </row>
    <row r="6696" spans="1:40" x14ac:dyDescent="0.25">
      <c r="A6696" t="str">
        <f>"20190312164156144"</f>
        <v>20190312164156144</v>
      </c>
      <c r="B6696" t="str">
        <f>"1552380116132282"</f>
        <v>1552380116132282</v>
      </c>
      <c r="C6696" t="s">
        <v>40</v>
      </c>
      <c r="D6696">
        <v>5.6676390000000003</v>
      </c>
      <c r="E6696">
        <v>0.47974119999999998</v>
      </c>
      <c r="F6696" t="s">
        <v>41</v>
      </c>
      <c r="G6696">
        <v>-188.40010000000001</v>
      </c>
      <c r="H6696" s="1">
        <v>-3.6910950000000002E-6</v>
      </c>
      <c r="I6696">
        <v>27.575279999999999</v>
      </c>
      <c r="J6696">
        <v>-187.90119999999999</v>
      </c>
      <c r="K6696">
        <v>1.108015</v>
      </c>
      <c r="L6696">
        <v>5.1890260000000001</v>
      </c>
      <c r="M6696">
        <v>1.009138E-2</v>
      </c>
      <c r="N6696">
        <v>0</v>
      </c>
      <c r="O6696">
        <v>0.99989839999999997</v>
      </c>
      <c r="P6696">
        <v>4.1415609999999999E-2</v>
      </c>
      <c r="Q6696">
        <v>0.13572979999999901</v>
      </c>
      <c r="R6696">
        <v>0.98987990000000003</v>
      </c>
      <c r="S6696">
        <v>-6.6040039999999994E-2</v>
      </c>
      <c r="T6696">
        <v>-0.14805950000000001</v>
      </c>
      <c r="U6696">
        <v>3.052765</v>
      </c>
      <c r="V6696">
        <v>3.1883790000000002E-2</v>
      </c>
      <c r="W6696">
        <v>0.145594899999999</v>
      </c>
      <c r="X6696">
        <v>0.9888304</v>
      </c>
      <c r="Y6696">
        <v>-3.1690870000000003E-2</v>
      </c>
      <c r="Z6696">
        <v>-4.842167E-2</v>
      </c>
      <c r="AA6696">
        <v>0.99832410000000005</v>
      </c>
      <c r="AB6696">
        <v>45</v>
      </c>
      <c r="AC6696">
        <v>-0.49890000000001999</v>
      </c>
      <c r="AD6696">
        <v>-1.1080186910950001</v>
      </c>
      <c r="AE6696">
        <v>22.386254000000001</v>
      </c>
      <c r="AF6696">
        <v>-0.72302385153058102</v>
      </c>
      <c r="AG6696">
        <v>-1.1080186910950001</v>
      </c>
      <c r="AH6696">
        <v>22.325413414156401</v>
      </c>
      <c r="AI6696">
        <v>92.839793424505601</v>
      </c>
      <c r="AJ6696">
        <v>91.854914865961305</v>
      </c>
      <c r="AK6696">
        <v>22.364582558650401</v>
      </c>
      <c r="AL6696">
        <v>81.628270005614098</v>
      </c>
      <c r="AM6696">
        <v>88.153198057607895</v>
      </c>
      <c r="AN6696">
        <v>1.00000000546746</v>
      </c>
    </row>
    <row r="6697" spans="1:40" x14ac:dyDescent="0.25">
      <c r="A6697" t="str">
        <f>"20190312164156167"</f>
        <v>20190312164156167</v>
      </c>
      <c r="B6697" t="str">
        <f>"1552380116162539"</f>
        <v>1552380116162539</v>
      </c>
      <c r="C6697" t="s">
        <v>40</v>
      </c>
      <c r="D6697">
        <v>5.7827029999999997</v>
      </c>
      <c r="E6697">
        <v>0.48018490000000003</v>
      </c>
      <c r="F6697" t="s">
        <v>41</v>
      </c>
      <c r="G6697">
        <v>-188.45500000000001</v>
      </c>
      <c r="H6697" s="1">
        <v>-3.9308690000000001E-6</v>
      </c>
      <c r="I6697">
        <v>28.156890000000001</v>
      </c>
      <c r="J6697">
        <v>-187.89619999999999</v>
      </c>
      <c r="K6697">
        <v>1.10809</v>
      </c>
      <c r="L6697">
        <v>5.6344599999999998</v>
      </c>
      <c r="M6697">
        <v>1.0830879999999999E-2</v>
      </c>
      <c r="N6697">
        <v>0</v>
      </c>
      <c r="O6697">
        <v>0.99989059999999996</v>
      </c>
      <c r="P6697">
        <v>3.9326880000000002E-2</v>
      </c>
      <c r="Q6697">
        <v>0.13796900000000001</v>
      </c>
      <c r="R6697">
        <v>0.98965550000000002</v>
      </c>
      <c r="S6697">
        <v>-7.3638919999999997E-2</v>
      </c>
      <c r="T6697">
        <v>-0.1473293</v>
      </c>
      <c r="U6697">
        <v>3.0539550000000002</v>
      </c>
      <c r="V6697">
        <v>2.9047469999999999E-2</v>
      </c>
      <c r="W6697">
        <v>0.14785079999999901</v>
      </c>
      <c r="X6697">
        <v>0.98858299999999999</v>
      </c>
      <c r="Y6697">
        <v>-3.4904520000000001E-2</v>
      </c>
      <c r="Z6697">
        <v>-4.81602E-2</v>
      </c>
      <c r="AA6697">
        <v>0.99822960000000005</v>
      </c>
      <c r="AB6697">
        <v>45</v>
      </c>
      <c r="AC6697">
        <v>-0.55880000000001895</v>
      </c>
      <c r="AD6697">
        <v>-1.1080939308689901</v>
      </c>
      <c r="AE6697">
        <v>22.52243</v>
      </c>
      <c r="AF6697">
        <v>-0.80078016052370204</v>
      </c>
      <c r="AG6697">
        <v>-1.1080939308689901</v>
      </c>
      <c r="AH6697">
        <v>22.460721265653898</v>
      </c>
      <c r="AI6697">
        <v>92.822592231206201</v>
      </c>
      <c r="AJ6697">
        <v>92.041871135472903</v>
      </c>
      <c r="AK6697">
        <v>22.502291456616401</v>
      </c>
      <c r="AL6697">
        <v>81.497602086994206</v>
      </c>
      <c r="AM6697">
        <v>88.316966078098901</v>
      </c>
      <c r="AN6697">
        <v>0.99999998123152001</v>
      </c>
    </row>
    <row r="6698" spans="1:40" x14ac:dyDescent="0.25">
      <c r="A6698" t="str">
        <f>"20190312164156188"</f>
        <v>20190312164156188</v>
      </c>
      <c r="B6698" t="str">
        <f>"1552380116183034"</f>
        <v>1552380116183034</v>
      </c>
      <c r="C6698" t="s">
        <v>40</v>
      </c>
      <c r="D6698">
        <v>5.6944869999999996</v>
      </c>
      <c r="E6698">
        <v>0.48046470000000002</v>
      </c>
      <c r="F6698" t="s">
        <v>41</v>
      </c>
      <c r="G6698">
        <v>-188.49350000000001</v>
      </c>
      <c r="H6698" s="1">
        <v>-4.2115360000000002E-7</v>
      </c>
      <c r="I6698">
        <v>29.707789999999999</v>
      </c>
      <c r="J6698">
        <v>-187.89089999999999</v>
      </c>
      <c r="K6698">
        <v>1.108158</v>
      </c>
      <c r="L6698">
        <v>6.0797119999999998</v>
      </c>
      <c r="M6698">
        <v>1.154094E-2</v>
      </c>
      <c r="N6698">
        <v>0</v>
      </c>
      <c r="O6698">
        <v>0.99988259999999995</v>
      </c>
      <c r="P6698">
        <v>3.6810549999999997E-2</v>
      </c>
      <c r="Q6698">
        <v>0.1406579</v>
      </c>
      <c r="R6698">
        <v>0.98937370000000002</v>
      </c>
      <c r="S6698">
        <v>-7.5775149999999999E-2</v>
      </c>
      <c r="T6698">
        <v>-0.1405729</v>
      </c>
      <c r="U6698">
        <v>3.0539550000000002</v>
      </c>
      <c r="V6698">
        <v>2.5818170000000001E-2</v>
      </c>
      <c r="W6698">
        <v>0.15054879999999901</v>
      </c>
      <c r="X6698">
        <v>0.98826539999999996</v>
      </c>
      <c r="Y6698">
        <v>-3.6314619999999999E-2</v>
      </c>
      <c r="Z6698">
        <v>-4.5954290000000002E-2</v>
      </c>
      <c r="AA6698">
        <v>0.99828329999999998</v>
      </c>
      <c r="AB6698">
        <v>45</v>
      </c>
      <c r="AC6698">
        <v>-0.60260000000002301</v>
      </c>
      <c r="AD6698">
        <v>-1.1081584211536</v>
      </c>
      <c r="AE6698">
        <v>23.628077999999999</v>
      </c>
      <c r="AF6698">
        <v>-0.87334417339783299</v>
      </c>
      <c r="AG6698">
        <v>-1.1081584211536</v>
      </c>
      <c r="AH6698">
        <v>23.567743020159899</v>
      </c>
      <c r="AI6698">
        <v>92.6902286375839</v>
      </c>
      <c r="AJ6698">
        <v>92.122224833460095</v>
      </c>
      <c r="AK6698">
        <v>23.6099397753548</v>
      </c>
      <c r="AL6698">
        <v>81.341268435760099</v>
      </c>
      <c r="AM6698">
        <v>88.503503433144104</v>
      </c>
      <c r="AN6698">
        <v>1.0000000099603701</v>
      </c>
    </row>
    <row r="6699" spans="1:40" x14ac:dyDescent="0.25">
      <c r="A6699" t="str">
        <f>"20190312164156211"</f>
        <v>20190312164156211</v>
      </c>
      <c r="B6699" t="str">
        <f>"1552380116202555"</f>
        <v>1552380116202555</v>
      </c>
      <c r="C6699" t="s">
        <v>40</v>
      </c>
      <c r="D6699">
        <v>5.7710910000000002</v>
      </c>
      <c r="E6699">
        <v>0.48056910000000003</v>
      </c>
      <c r="F6699" t="s">
        <v>41</v>
      </c>
      <c r="G6699">
        <v>-188.54519999999999</v>
      </c>
      <c r="H6699" s="1">
        <v>-7.7985519999999995E-7</v>
      </c>
      <c r="I6699">
        <v>30.802250000000001</v>
      </c>
      <c r="J6699">
        <v>-187.8853</v>
      </c>
      <c r="K6699">
        <v>1.1082259999999999</v>
      </c>
      <c r="L6699">
        <v>6.534637</v>
      </c>
      <c r="M6699">
        <v>1.224912E-2</v>
      </c>
      <c r="N6699">
        <v>0</v>
      </c>
      <c r="O6699">
        <v>0.99987440000000005</v>
      </c>
      <c r="P6699">
        <v>3.3527189999999998E-2</v>
      </c>
      <c r="Q6699">
        <v>0.1446539</v>
      </c>
      <c r="R6699">
        <v>0.98891410000000002</v>
      </c>
      <c r="S6699">
        <v>-8.0841060000000006E-2</v>
      </c>
      <c r="T6699">
        <v>-0.13692279999999901</v>
      </c>
      <c r="U6699">
        <v>3.0546880000000001</v>
      </c>
      <c r="V6699">
        <v>2.1831610000000001E-2</v>
      </c>
      <c r="W6699">
        <v>0.1545398</v>
      </c>
      <c r="X6699">
        <v>0.98774530000000005</v>
      </c>
      <c r="Y6699">
        <v>-3.86723E-2</v>
      </c>
      <c r="Z6699">
        <v>-4.4749280000000002E-2</v>
      </c>
      <c r="AA6699">
        <v>0.99824950000000001</v>
      </c>
      <c r="AB6699">
        <v>45</v>
      </c>
      <c r="AC6699">
        <v>-0.65989999999999305</v>
      </c>
      <c r="AD6699">
        <v>-1.1082267798551999</v>
      </c>
      <c r="AE6699">
        <v>24.267613000000001</v>
      </c>
      <c r="AF6699">
        <v>-0.95513200105815199</v>
      </c>
      <c r="AG6699">
        <v>-1.1082267798551999</v>
      </c>
      <c r="AH6699">
        <v>24.207262450355699</v>
      </c>
      <c r="AI6699">
        <v>92.619178739346495</v>
      </c>
      <c r="AJ6699">
        <v>92.259514488010296</v>
      </c>
      <c r="AK6699">
        <v>24.251432928291699</v>
      </c>
      <c r="AL6699">
        <v>81.109892615151495</v>
      </c>
      <c r="AM6699">
        <v>88.733827958362795</v>
      </c>
      <c r="AN6699">
        <v>0.99999997332566004</v>
      </c>
    </row>
    <row r="6700" spans="1:40" x14ac:dyDescent="0.25">
      <c r="A6700" t="str">
        <f>"20190312164156236"</f>
        <v>20190312164156236</v>
      </c>
      <c r="B6700" t="str">
        <f>"1552380116232811"</f>
        <v>1552380116232811</v>
      </c>
      <c r="C6700" t="s">
        <v>40</v>
      </c>
      <c r="D6700">
        <v>5.793418</v>
      </c>
      <c r="E6700">
        <v>0.48098950000000001</v>
      </c>
      <c r="F6700" t="s">
        <v>41</v>
      </c>
      <c r="G6700">
        <v>-188.64529999999999</v>
      </c>
      <c r="H6700" s="1">
        <v>-1.4931809999999899E-6</v>
      </c>
      <c r="I6700">
        <v>32.553269999999998</v>
      </c>
      <c r="J6700">
        <v>-187.87860000000001</v>
      </c>
      <c r="K6700">
        <v>1.10829</v>
      </c>
      <c r="L6700">
        <v>7.0355829999999999</v>
      </c>
      <c r="M6700">
        <v>1.3019040000000001E-2</v>
      </c>
      <c r="N6700">
        <v>0</v>
      </c>
      <c r="O6700">
        <v>0.99986489999999995</v>
      </c>
      <c r="P6700">
        <v>3.0022099999999999E-2</v>
      </c>
      <c r="Q6700">
        <v>0.1489984</v>
      </c>
      <c r="R6700">
        <v>0.98838159999999997</v>
      </c>
      <c r="S6700">
        <v>-8.9263919999999997E-2</v>
      </c>
      <c r="T6700">
        <v>-0.13015309999999999</v>
      </c>
      <c r="U6700">
        <v>3.0556950000000001</v>
      </c>
      <c r="V6700">
        <v>1.7564400000000001E-2</v>
      </c>
      <c r="W6700">
        <v>0.15886310000000001</v>
      </c>
      <c r="X6700">
        <v>0.98714440000000003</v>
      </c>
      <c r="Y6700">
        <v>-4.2185109999999998E-2</v>
      </c>
      <c r="Z6700">
        <v>-4.2521610000000001E-2</v>
      </c>
      <c r="AA6700">
        <v>0.99820450000000005</v>
      </c>
      <c r="AB6700">
        <v>46</v>
      </c>
      <c r="AC6700">
        <v>-0.76669999999998595</v>
      </c>
      <c r="AD6700">
        <v>-1.108291493181</v>
      </c>
      <c r="AE6700">
        <v>25.517686999999999</v>
      </c>
      <c r="AF6700">
        <v>-1.09680043022511</v>
      </c>
      <c r="AG6700">
        <v>-1.108291493181</v>
      </c>
      <c r="AH6700">
        <v>25.457563019781698</v>
      </c>
      <c r="AI6700">
        <v>92.490482386580297</v>
      </c>
      <c r="AJ6700">
        <v>92.466975988301797</v>
      </c>
      <c r="AK6700">
        <v>25.5052699676705</v>
      </c>
      <c r="AL6700">
        <v>80.859087623717102</v>
      </c>
      <c r="AM6700">
        <v>88.980635653636597</v>
      </c>
      <c r="AN6700">
        <v>1.0000000295701601</v>
      </c>
    </row>
    <row r="6701" spans="1:40" x14ac:dyDescent="0.25">
      <c r="A6701" t="str">
        <f>"20190312164156259"</f>
        <v>20190312164156259</v>
      </c>
      <c r="B6701" t="str">
        <f>"1552380116252331"</f>
        <v>1552380116252331</v>
      </c>
      <c r="C6701" t="s">
        <v>40</v>
      </c>
      <c r="D6701">
        <v>5.6760529999999996</v>
      </c>
      <c r="E6701">
        <v>0.48097450000000003</v>
      </c>
      <c r="F6701" t="s">
        <v>41</v>
      </c>
      <c r="G6701">
        <v>-188.7561</v>
      </c>
      <c r="H6701" s="1">
        <v>-2.5154250000000001E-6</v>
      </c>
      <c r="I6701">
        <v>34.981960000000001</v>
      </c>
      <c r="J6701">
        <v>-187.87190000000001</v>
      </c>
      <c r="K6701">
        <v>1.108336</v>
      </c>
      <c r="L6701">
        <v>7.5104679999999897</v>
      </c>
      <c r="M6701">
        <v>1.374594E-2</v>
      </c>
      <c r="N6701">
        <v>0</v>
      </c>
      <c r="O6701">
        <v>0.99985559999999996</v>
      </c>
      <c r="P6701">
        <v>2.703011E-2</v>
      </c>
      <c r="Q6701">
        <v>0.15248129999999999</v>
      </c>
      <c r="R6701">
        <v>0.9879367</v>
      </c>
      <c r="S6701">
        <v>-9.5977779999999999E-2</v>
      </c>
      <c r="T6701">
        <v>-0.1212125</v>
      </c>
      <c r="U6701">
        <v>3.0564580000000001</v>
      </c>
      <c r="V6701">
        <v>1.3852430000000001E-2</v>
      </c>
      <c r="W6701">
        <v>0.1623144</v>
      </c>
      <c r="X6701">
        <v>0.98664180000000001</v>
      </c>
      <c r="Y6701">
        <v>-4.509846E-2</v>
      </c>
      <c r="Z6701">
        <v>-3.9591170000000002E-2</v>
      </c>
      <c r="AA6701">
        <v>0.99819769999999997</v>
      </c>
      <c r="AB6701">
        <v>46</v>
      </c>
      <c r="AC6701">
        <v>-0.88419999999999199</v>
      </c>
      <c r="AD6701">
        <v>-1.1083385154250001</v>
      </c>
      <c r="AE6701">
        <v>27.471491999999898</v>
      </c>
      <c r="AF6701">
        <v>-1.2597084495598201</v>
      </c>
      <c r="AG6701">
        <v>-1.1083385154250001</v>
      </c>
      <c r="AH6701">
        <v>27.412168243646999</v>
      </c>
      <c r="AI6701">
        <v>92.312903898801906</v>
      </c>
      <c r="AJ6701">
        <v>92.631139356725299</v>
      </c>
      <c r="AK6701">
        <v>27.4634711473382</v>
      </c>
      <c r="AL6701">
        <v>80.658741627668704</v>
      </c>
      <c r="AM6701">
        <v>89.195621318238494</v>
      </c>
      <c r="AN6701">
        <v>0.99999994788575097</v>
      </c>
    </row>
    <row r="6702" spans="1:40" x14ac:dyDescent="0.25">
      <c r="A6702" t="str">
        <f>"20190312164156279"</f>
        <v>20190312164156279</v>
      </c>
      <c r="B6702" t="str">
        <f>"1552380116272826"</f>
        <v>1552380116272826</v>
      </c>
      <c r="C6702" t="s">
        <v>40</v>
      </c>
      <c r="D6702">
        <v>5.7225489999999999</v>
      </c>
      <c r="E6702">
        <v>0.48095729999999998</v>
      </c>
      <c r="F6702" t="s">
        <v>41</v>
      </c>
      <c r="G6702">
        <v>-188.9127</v>
      </c>
      <c r="H6702" s="1">
        <v>-3.7549720000000001E-6</v>
      </c>
      <c r="I6702">
        <v>37.936129999999999</v>
      </c>
      <c r="J6702">
        <v>-187.8656</v>
      </c>
      <c r="K6702">
        <v>1.1083689999999999</v>
      </c>
      <c r="L6702">
        <v>7.9350889999999996</v>
      </c>
      <c r="M6702">
        <v>1.439489E-2</v>
      </c>
      <c r="N6702">
        <v>0</v>
      </c>
      <c r="O6702">
        <v>0.99984689999999998</v>
      </c>
      <c r="P6702">
        <v>2.3574189999999998E-2</v>
      </c>
      <c r="Q6702">
        <v>0.1556372</v>
      </c>
      <c r="R6702">
        <v>0.98753299999999999</v>
      </c>
      <c r="S6702">
        <v>-0.10456849999999999</v>
      </c>
      <c r="T6702">
        <v>-0.1113478</v>
      </c>
      <c r="U6702">
        <v>3.0566710000000001</v>
      </c>
      <c r="V6702">
        <v>9.7560730000000005E-3</v>
      </c>
      <c r="W6702">
        <v>0.1654359</v>
      </c>
      <c r="X6702">
        <v>0.9861723</v>
      </c>
      <c r="Y6702">
        <v>-4.8550940000000001E-2</v>
      </c>
      <c r="Z6702">
        <v>-3.63659E-2</v>
      </c>
      <c r="AA6702">
        <v>0.99815849999999995</v>
      </c>
      <c r="AB6702">
        <v>46</v>
      </c>
      <c r="AC6702">
        <v>-1.0470999999999999</v>
      </c>
      <c r="AD6702">
        <v>-1.1083727549719999</v>
      </c>
      <c r="AE6702">
        <v>30.001040999999901</v>
      </c>
      <c r="AF6702">
        <v>-1.4768612462933599</v>
      </c>
      <c r="AG6702">
        <v>-1.1083727549719999</v>
      </c>
      <c r="AH6702">
        <v>29.942040596224601</v>
      </c>
      <c r="AI6702">
        <v>92.117393927040794</v>
      </c>
      <c r="AJ6702">
        <v>92.823768639329202</v>
      </c>
      <c r="AK6702">
        <v>29.9989233868606</v>
      </c>
      <c r="AL6702">
        <v>80.477442397407401</v>
      </c>
      <c r="AM6702">
        <v>89.433198871072705</v>
      </c>
      <c r="AN6702">
        <v>1.0000000116282399</v>
      </c>
    </row>
    <row r="6703" spans="1:40" x14ac:dyDescent="0.25">
      <c r="A6703" t="str">
        <f>"20190312164156302"</f>
        <v>20190312164156302</v>
      </c>
      <c r="B6703" t="str">
        <f>"1552380116292347"</f>
        <v>1552380116292347</v>
      </c>
      <c r="C6703" t="s">
        <v>40</v>
      </c>
      <c r="D6703">
        <v>5.7140250000000004</v>
      </c>
      <c r="E6703">
        <v>0.48106949999999998</v>
      </c>
      <c r="F6703" t="s">
        <v>41</v>
      </c>
      <c r="G6703">
        <v>-189.09739999999999</v>
      </c>
      <c r="H6703" s="1">
        <v>-7.1214690000000001E-7</v>
      </c>
      <c r="I6703">
        <v>40.91957</v>
      </c>
      <c r="J6703">
        <v>-187.8586</v>
      </c>
      <c r="K6703">
        <v>1.108395</v>
      </c>
      <c r="L6703">
        <v>8.3869319999999998</v>
      </c>
      <c r="M6703">
        <v>1.508411E-2</v>
      </c>
      <c r="N6703">
        <v>0</v>
      </c>
      <c r="O6703">
        <v>0.99983719999999998</v>
      </c>
      <c r="P6703">
        <v>2.0217820000000001E-2</v>
      </c>
      <c r="Q6703">
        <v>0.15945619999999999</v>
      </c>
      <c r="R6703">
        <v>0.98699800000000004</v>
      </c>
      <c r="S6703">
        <v>-0.114151</v>
      </c>
      <c r="T6703">
        <v>-0.10271669999999999</v>
      </c>
      <c r="U6703">
        <v>3.0567929999999999</v>
      </c>
      <c r="V6703">
        <v>5.7245400000000002E-3</v>
      </c>
      <c r="W6703">
        <v>0.1692138</v>
      </c>
      <c r="X6703">
        <v>0.98556270000000001</v>
      </c>
      <c r="Y6703">
        <v>-5.2366459999999997E-2</v>
      </c>
      <c r="Z6703">
        <v>-3.354335E-2</v>
      </c>
      <c r="AA6703">
        <v>0.99806439999999996</v>
      </c>
      <c r="AB6703">
        <v>46</v>
      </c>
      <c r="AC6703">
        <v>-1.2387999999999899</v>
      </c>
      <c r="AD6703">
        <v>-1.1083957121468999</v>
      </c>
      <c r="AE6703">
        <v>32.532637999999999</v>
      </c>
      <c r="AF6703">
        <v>-1.72740675243876</v>
      </c>
      <c r="AG6703">
        <v>-1.1083957121468999</v>
      </c>
      <c r="AH6703">
        <v>32.472610149226</v>
      </c>
      <c r="AI6703">
        <v>91.952174136778794</v>
      </c>
      <c r="AJ6703">
        <v>93.045025216880603</v>
      </c>
      <c r="AK6703">
        <v>32.537407472733499</v>
      </c>
      <c r="AL6703">
        <v>80.257888703114503</v>
      </c>
      <c r="AM6703">
        <v>89.667207075524203</v>
      </c>
      <c r="AN6703">
        <v>0.99999995804996999</v>
      </c>
    </row>
    <row r="6704" spans="1:40" x14ac:dyDescent="0.25">
      <c r="A6704" t="str">
        <f>"20190312164156323"</f>
        <v>20190312164156323</v>
      </c>
      <c r="B6704" t="str">
        <f>"1552380116312842"</f>
        <v>1552380116312842</v>
      </c>
      <c r="C6704" t="s">
        <v>40</v>
      </c>
      <c r="D6704">
        <v>5.7839289999999997</v>
      </c>
      <c r="E6704">
        <v>0.48135660000000002</v>
      </c>
      <c r="F6704" t="s">
        <v>41</v>
      </c>
      <c r="G6704">
        <v>-189.3176</v>
      </c>
      <c r="H6704" s="1">
        <v>-2.3734049999999999E-6</v>
      </c>
      <c r="I6704">
        <v>44.883069999999996</v>
      </c>
      <c r="J6704">
        <v>-187.85149999999999</v>
      </c>
      <c r="K6704">
        <v>1.1084240000000001</v>
      </c>
      <c r="L6704">
        <v>8.8292850000000005</v>
      </c>
      <c r="M6704">
        <v>1.5756969999999999E-2</v>
      </c>
      <c r="N6704">
        <v>0</v>
      </c>
      <c r="O6704">
        <v>0.99982729999999997</v>
      </c>
      <c r="P6704">
        <v>1.7011450000000001E-2</v>
      </c>
      <c r="Q6704">
        <v>0.16273290000000001</v>
      </c>
      <c r="R6704">
        <v>0.9865235</v>
      </c>
      <c r="S6704">
        <v>-0.1222076</v>
      </c>
      <c r="T6704">
        <v>-9.2842099999999997E-2</v>
      </c>
      <c r="U6704">
        <v>3.057007</v>
      </c>
      <c r="V6704">
        <v>1.8596439999999999E-3</v>
      </c>
      <c r="W6704">
        <v>0.17244849999999901</v>
      </c>
      <c r="X6704">
        <v>0.98501680000000003</v>
      </c>
      <c r="Y6704">
        <v>-5.5666180000000003E-2</v>
      </c>
      <c r="Z6704">
        <v>-3.031499E-2</v>
      </c>
      <c r="AA6704">
        <v>0.99798909999999996</v>
      </c>
      <c r="AB6704">
        <v>46</v>
      </c>
      <c r="AC6704">
        <v>-1.46610000000001</v>
      </c>
      <c r="AD6704">
        <v>-1.1084263734049999</v>
      </c>
      <c r="AE6704">
        <v>36.053784999999998</v>
      </c>
      <c r="AF6704">
        <v>-2.0321264131132102</v>
      </c>
      <c r="AG6704">
        <v>-1.1084263734049999</v>
      </c>
      <c r="AH6704">
        <v>35.992243329008502</v>
      </c>
      <c r="AI6704">
        <v>91.761135022337498</v>
      </c>
      <c r="AJ6704">
        <v>93.231495829137302</v>
      </c>
      <c r="AK6704">
        <v>36.066601262645896</v>
      </c>
      <c r="AL6704">
        <v>80.069789559780403</v>
      </c>
      <c r="AM6704">
        <v>89.891829635793101</v>
      </c>
      <c r="AN6704">
        <v>1.00000001985514</v>
      </c>
    </row>
    <row r="6705" spans="1:40" x14ac:dyDescent="0.25">
      <c r="A6705" t="str">
        <f>"20190312164156345"</f>
        <v>20190312164156345</v>
      </c>
      <c r="B6705" t="str">
        <f>"1552380116332365"</f>
        <v>1552380116332365</v>
      </c>
      <c r="C6705" t="s">
        <v>40</v>
      </c>
      <c r="D6705">
        <v>5.671576</v>
      </c>
      <c r="E6705">
        <v>0.4834928</v>
      </c>
      <c r="F6705" t="s">
        <v>41</v>
      </c>
      <c r="G6705">
        <v>-189.56399999999999</v>
      </c>
      <c r="H6705" s="1">
        <v>-4.246111E-6</v>
      </c>
      <c r="I6705">
        <v>49.350299999999997</v>
      </c>
      <c r="J6705">
        <v>-187.8441</v>
      </c>
      <c r="K6705">
        <v>1.108436</v>
      </c>
      <c r="L6705">
        <v>9.2718509999999998</v>
      </c>
      <c r="M6705">
        <v>1.6426799999999998E-2</v>
      </c>
      <c r="N6705">
        <v>0</v>
      </c>
      <c r="O6705">
        <v>0.99981690000000001</v>
      </c>
      <c r="P6705">
        <v>1.5893060000000001E-2</v>
      </c>
      <c r="Q6705">
        <v>0.1636801</v>
      </c>
      <c r="R6705">
        <v>0.98638550000000003</v>
      </c>
      <c r="S6705">
        <v>-0.12919620000000001</v>
      </c>
      <c r="T6705">
        <v>-8.3622569999999993E-2</v>
      </c>
      <c r="U6705">
        <v>3.057007</v>
      </c>
      <c r="V6705" s="1">
        <v>7.7011060000000003E-5</v>
      </c>
      <c r="W6705">
        <v>0.17335349999999999</v>
      </c>
      <c r="X6705">
        <v>0.98485959999999995</v>
      </c>
      <c r="Y6705">
        <v>-5.8616109999999999E-2</v>
      </c>
      <c r="Z6705">
        <v>-2.7302949999999999E-2</v>
      </c>
      <c r="AA6705">
        <v>0.99790719999999999</v>
      </c>
      <c r="AB6705">
        <v>46</v>
      </c>
      <c r="AC6705">
        <v>-1.71990000000002</v>
      </c>
      <c r="AD6705">
        <v>-1.1084402461109999</v>
      </c>
      <c r="AE6705">
        <v>40.078448999999999</v>
      </c>
      <c r="AF6705">
        <v>-2.3762460488509101</v>
      </c>
      <c r="AG6705">
        <v>-1.1084402461109999</v>
      </c>
      <c r="AH6705">
        <v>40.014236425494701</v>
      </c>
      <c r="AI6705">
        <v>91.583963923716595</v>
      </c>
      <c r="AJ6705">
        <v>93.398519452117796</v>
      </c>
      <c r="AK6705">
        <v>40.1000536381096</v>
      </c>
      <c r="AL6705">
        <v>80.017143156906101</v>
      </c>
      <c r="AM6705">
        <v>89.995519758648996</v>
      </c>
      <c r="AN6705">
        <v>0.99999993680255395</v>
      </c>
    </row>
    <row r="6706" spans="1:40" x14ac:dyDescent="0.25">
      <c r="A6706" t="str">
        <f>"20190312164156366"</f>
        <v>20190312164156366</v>
      </c>
      <c r="B6706" t="str">
        <f>"1552380116362618"</f>
        <v>1552380116362618</v>
      </c>
      <c r="C6706" t="s">
        <v>40</v>
      </c>
      <c r="D6706">
        <v>5.5428089999999903</v>
      </c>
      <c r="E6706">
        <v>0.48364190000000001</v>
      </c>
      <c r="F6706" t="s">
        <v>41</v>
      </c>
      <c r="G6706">
        <v>-188.8424</v>
      </c>
      <c r="H6706" s="1">
        <v>-2.5736050000000002E-6</v>
      </c>
      <c r="I6706">
        <v>35.153239999999997</v>
      </c>
      <c r="J6706">
        <v>-187.8364</v>
      </c>
      <c r="K6706">
        <v>1.108455</v>
      </c>
      <c r="L6706">
        <v>9.7122189999999993</v>
      </c>
      <c r="M6706">
        <v>1.7086509999999999E-2</v>
      </c>
      <c r="N6706">
        <v>0</v>
      </c>
      <c r="O6706">
        <v>0.99980630000000004</v>
      </c>
      <c r="P6706">
        <v>1.2850230000000001E-2</v>
      </c>
      <c r="Q6706">
        <v>0.16574369999999999</v>
      </c>
      <c r="R6706">
        <v>0.98608510000000005</v>
      </c>
      <c r="S6706">
        <v>-0.1182251</v>
      </c>
      <c r="T6706">
        <v>-0.13127059999999999</v>
      </c>
      <c r="U6706">
        <v>3.0650940000000002</v>
      </c>
      <c r="V6706">
        <v>-3.6136200000000001E-3</v>
      </c>
      <c r="W6706">
        <v>0.1753796</v>
      </c>
      <c r="X6706">
        <v>0.98449430000000004</v>
      </c>
      <c r="Y6706">
        <v>-5.5576569999999999E-2</v>
      </c>
      <c r="Z6706">
        <v>-4.27301E-2</v>
      </c>
      <c r="AA6706">
        <v>0.99753959999999997</v>
      </c>
      <c r="AB6706">
        <v>46</v>
      </c>
      <c r="AC6706">
        <v>-1.006</v>
      </c>
      <c r="AD6706">
        <v>-1.108457573605</v>
      </c>
      <c r="AE6706">
        <v>25.441020999999999</v>
      </c>
      <c r="AF6706">
        <v>-1.4378468941337801</v>
      </c>
      <c r="AG6706">
        <v>-1.108457573605</v>
      </c>
      <c r="AH6706">
        <v>25.372027789998899</v>
      </c>
      <c r="AI6706">
        <v>92.497555063653607</v>
      </c>
      <c r="AJ6706">
        <v>93.243514349764695</v>
      </c>
      <c r="AK6706">
        <v>25.436899890905099</v>
      </c>
      <c r="AL6706">
        <v>79.899251222426997</v>
      </c>
      <c r="AM6706">
        <v>90.210305173878595</v>
      </c>
      <c r="AN6706">
        <v>1.00000004453907</v>
      </c>
    </row>
    <row r="6707" spans="1:40" x14ac:dyDescent="0.25">
      <c r="A6707" t="str">
        <f>"20190312164156389"</f>
        <v>20190312164156389</v>
      </c>
      <c r="B6707" t="str">
        <f>"1552380116383114"</f>
        <v>1552380116383114</v>
      </c>
      <c r="C6707" t="s">
        <v>40</v>
      </c>
      <c r="D6707">
        <v>5.6105879999999999</v>
      </c>
      <c r="E6707">
        <v>0.48400480000000001</v>
      </c>
      <c r="F6707" t="s">
        <v>41</v>
      </c>
      <c r="G6707">
        <v>-189.18340000000001</v>
      </c>
      <c r="H6707" s="1">
        <v>-1.5484070000000001E-6</v>
      </c>
      <c r="I6707">
        <v>42.90448</v>
      </c>
      <c r="J6707">
        <v>-187.8278</v>
      </c>
      <c r="K6707">
        <v>1.1084750000000001</v>
      </c>
      <c r="L6707">
        <v>10.193569999999999</v>
      </c>
      <c r="M6707">
        <v>1.779209E-2</v>
      </c>
      <c r="N6707">
        <v>0</v>
      </c>
      <c r="O6707">
        <v>0.99979439999999997</v>
      </c>
      <c r="P6707">
        <v>9.9156030000000003E-3</v>
      </c>
      <c r="Q6707">
        <v>0.16791400000000001</v>
      </c>
      <c r="R6707">
        <v>0.98575179999999996</v>
      </c>
      <c r="S6707">
        <v>-0.12422179999999999</v>
      </c>
      <c r="T6707">
        <v>-0.1022264</v>
      </c>
      <c r="U6707">
        <v>3.0611269999999999</v>
      </c>
      <c r="V6707">
        <v>-7.2405109999999998E-3</v>
      </c>
      <c r="W6707">
        <v>0.1775128</v>
      </c>
      <c r="X6707">
        <v>0.98409190000000002</v>
      </c>
      <c r="Y6707">
        <v>-5.8296399999999998E-2</v>
      </c>
      <c r="Z6707">
        <v>-3.3326410000000001E-2</v>
      </c>
      <c r="AA6707">
        <v>0.99774289999999999</v>
      </c>
      <c r="AB6707">
        <v>46</v>
      </c>
      <c r="AC6707">
        <v>-1.3555999999999999</v>
      </c>
      <c r="AD6707">
        <v>-1.1084765484070001</v>
      </c>
      <c r="AE6707">
        <v>32.710909999999998</v>
      </c>
      <c r="AF6707">
        <v>-1.9351899521235101</v>
      </c>
      <c r="AG6707">
        <v>-1.1084765484070001</v>
      </c>
      <c r="AH6707">
        <v>32.644189420981299</v>
      </c>
      <c r="AI6707">
        <v>91.941400891028593</v>
      </c>
      <c r="AJ6707">
        <v>93.392597780615404</v>
      </c>
      <c r="AK6707">
        <v>32.720280918141199</v>
      </c>
      <c r="AL6707">
        <v>79.775079616397207</v>
      </c>
      <c r="AM6707">
        <v>90.421549284441596</v>
      </c>
      <c r="AN6707">
        <v>1.00000004340449</v>
      </c>
    </row>
    <row r="6708" spans="1:40" x14ac:dyDescent="0.25">
      <c r="A6708" t="str">
        <f>"20190312164156413"</f>
        <v>20190312164156413</v>
      </c>
      <c r="B6708" t="str">
        <f>"1552380116402634"</f>
        <v>1552380116402634</v>
      </c>
      <c r="C6708" t="s">
        <v>40</v>
      </c>
      <c r="D6708">
        <v>5.6111259999999996</v>
      </c>
      <c r="E6708">
        <v>0.48458259999999997</v>
      </c>
      <c r="F6708" t="s">
        <v>41</v>
      </c>
      <c r="G6708">
        <v>-189.36240000000001</v>
      </c>
      <c r="H6708" s="1">
        <v>-3.0127380000000002E-6</v>
      </c>
      <c r="I6708">
        <v>46.391919999999999</v>
      </c>
      <c r="J6708">
        <v>-187.81880000000001</v>
      </c>
      <c r="K6708">
        <v>1.1085</v>
      </c>
      <c r="L6708">
        <v>10.671659999999999</v>
      </c>
      <c r="M6708">
        <v>1.84631E-2</v>
      </c>
      <c r="N6708">
        <v>0</v>
      </c>
      <c r="O6708">
        <v>0.99978259999999997</v>
      </c>
      <c r="P6708">
        <v>7.5988289999999997E-3</v>
      </c>
      <c r="Q6708">
        <v>0.1701647</v>
      </c>
      <c r="R6708">
        <v>0.98538630000000005</v>
      </c>
      <c r="S6708">
        <v>-0.12976070000000001</v>
      </c>
      <c r="T6708">
        <v>-9.3723890000000004E-2</v>
      </c>
      <c r="U6708">
        <v>3.060638</v>
      </c>
      <c r="V6708">
        <v>-1.0217449999999999E-2</v>
      </c>
      <c r="W6708">
        <v>0.17972959999999999</v>
      </c>
      <c r="X6708">
        <v>0.98366299999999995</v>
      </c>
      <c r="Y6708">
        <v>-6.077896E-2</v>
      </c>
      <c r="Z6708">
        <v>-3.0558149999999999E-2</v>
      </c>
      <c r="AA6708">
        <v>0.99768330000000005</v>
      </c>
      <c r="AB6708">
        <v>46</v>
      </c>
      <c r="AC6708">
        <v>-1.5435999999999901</v>
      </c>
      <c r="AD6708">
        <v>-1.108503012738</v>
      </c>
      <c r="AE6708">
        <v>35.720260000000003</v>
      </c>
      <c r="AF6708">
        <v>-2.20075907487317</v>
      </c>
      <c r="AG6708">
        <v>-1.108503012738</v>
      </c>
      <c r="AH6708">
        <v>35.651399916437001</v>
      </c>
      <c r="AI6708">
        <v>91.777533001355394</v>
      </c>
      <c r="AJ6708">
        <v>93.532383242000293</v>
      </c>
      <c r="AK6708">
        <v>35.736458070668</v>
      </c>
      <c r="AL6708">
        <v>79.645989949001702</v>
      </c>
      <c r="AM6708">
        <v>90.5951181549664</v>
      </c>
      <c r="AN6708">
        <v>1.00000001148483</v>
      </c>
    </row>
    <row r="6709" spans="1:40" x14ac:dyDescent="0.25">
      <c r="A6709" t="str">
        <f>"20190312164156435"</f>
        <v>20190312164156435</v>
      </c>
      <c r="B6709" t="str">
        <f>"1552380116423130"</f>
        <v>1552380116423130</v>
      </c>
      <c r="C6709" t="s">
        <v>40</v>
      </c>
      <c r="D6709">
        <v>5.5466899999999999</v>
      </c>
      <c r="E6709">
        <v>0.48520439999999998</v>
      </c>
      <c r="F6709" t="s">
        <v>41</v>
      </c>
      <c r="G6709">
        <v>-189.39580000000001</v>
      </c>
      <c r="H6709" s="1">
        <v>-3.29921E-6</v>
      </c>
      <c r="I6709">
        <v>47.073459999999997</v>
      </c>
      <c r="J6709">
        <v>-187.8098</v>
      </c>
      <c r="K6709">
        <v>1.108544</v>
      </c>
      <c r="L6709">
        <v>11.139709999999999</v>
      </c>
      <c r="M6709">
        <v>1.9069920000000001E-2</v>
      </c>
      <c r="N6709">
        <v>0</v>
      </c>
      <c r="O6709">
        <v>0.99977150000000004</v>
      </c>
      <c r="P6709">
        <v>5.445208E-3</v>
      </c>
      <c r="Q6709">
        <v>0.17220969999999999</v>
      </c>
      <c r="R6709">
        <v>0.98504530000000001</v>
      </c>
      <c r="S6709">
        <v>-0.13262939999999901</v>
      </c>
      <c r="T6709">
        <v>-9.3231919999999996E-2</v>
      </c>
      <c r="U6709">
        <v>3.0616150000000002</v>
      </c>
      <c r="V6709">
        <v>-1.297426E-2</v>
      </c>
      <c r="W6709">
        <v>0.1817453</v>
      </c>
      <c r="X6709">
        <v>0.98326000000000002</v>
      </c>
      <c r="Y6709">
        <v>-6.2304560000000002E-2</v>
      </c>
      <c r="Z6709">
        <v>-3.0385659999999998E-2</v>
      </c>
      <c r="AA6709">
        <v>0.99759450000000005</v>
      </c>
      <c r="AB6709">
        <v>46</v>
      </c>
      <c r="AC6709">
        <v>-1.5860000000000101</v>
      </c>
      <c r="AD6709">
        <v>-1.1085472992100001</v>
      </c>
      <c r="AE6709">
        <v>35.933750000000003</v>
      </c>
      <c r="AF6709">
        <v>-2.26884218999743</v>
      </c>
      <c r="AG6709">
        <v>-1.1085472992100001</v>
      </c>
      <c r="AH6709">
        <v>35.862903999713303</v>
      </c>
      <c r="AI6709">
        <v>91.766958407150796</v>
      </c>
      <c r="AJ6709">
        <v>93.619954131821103</v>
      </c>
      <c r="AK6709">
        <v>35.951695443891801</v>
      </c>
      <c r="AL6709">
        <v>79.528564416615694</v>
      </c>
      <c r="AM6709">
        <v>90.755982346078298</v>
      </c>
      <c r="AN6709">
        <v>0.99999995654731699</v>
      </c>
    </row>
    <row r="6710" spans="1:40" x14ac:dyDescent="0.25">
      <c r="A6710" t="str">
        <f>"20190312164156458"</f>
        <v>20190312164156458</v>
      </c>
      <c r="B6710" t="str">
        <f>"1552380116452410"</f>
        <v>1552380116452410</v>
      </c>
      <c r="C6710" t="s">
        <v>40</v>
      </c>
      <c r="D6710">
        <v>5.6023399999999999</v>
      </c>
      <c r="E6710">
        <v>0.48586770000000001</v>
      </c>
      <c r="F6710" t="s">
        <v>41</v>
      </c>
      <c r="G6710">
        <v>-189.4881</v>
      </c>
      <c r="H6710" s="1">
        <v>-4.3178130000000001E-6</v>
      </c>
      <c r="I6710">
        <v>49.48603</v>
      </c>
      <c r="J6710">
        <v>-187.80090000000001</v>
      </c>
      <c r="K6710">
        <v>1.108608</v>
      </c>
      <c r="L6710">
        <v>11.59079</v>
      </c>
      <c r="M6710">
        <v>1.9583650000000001E-2</v>
      </c>
      <c r="N6710">
        <v>0</v>
      </c>
      <c r="O6710">
        <v>0.99976180000000003</v>
      </c>
      <c r="P6710">
        <v>4.3156089999999998E-3</v>
      </c>
      <c r="Q6710">
        <v>0.1745003</v>
      </c>
      <c r="R6710">
        <v>0.98464770000000001</v>
      </c>
      <c r="S6710">
        <v>-0.1340027</v>
      </c>
      <c r="T6710">
        <v>-8.8512179999999996E-2</v>
      </c>
      <c r="U6710">
        <v>3.0617679999999998</v>
      </c>
      <c r="V6710">
        <v>-1.46207E-2</v>
      </c>
      <c r="W6710">
        <v>0.1840068</v>
      </c>
      <c r="X6710">
        <v>0.98281620000000003</v>
      </c>
      <c r="Y6710">
        <v>-6.3263829999999993E-2</v>
      </c>
      <c r="Z6710">
        <v>-2.884573E-2</v>
      </c>
      <c r="AA6710">
        <v>0.99757989999999996</v>
      </c>
      <c r="AB6710">
        <v>46</v>
      </c>
      <c r="AC6710">
        <v>-1.68719999999998</v>
      </c>
      <c r="AD6710">
        <v>-1.1086123178129901</v>
      </c>
      <c r="AE6710">
        <v>37.895240000000001</v>
      </c>
      <c r="AF6710">
        <v>-2.42696499226897</v>
      </c>
      <c r="AG6710">
        <v>-1.1086123178129901</v>
      </c>
      <c r="AH6710">
        <v>37.822622893904402</v>
      </c>
      <c r="AI6710">
        <v>91.675462170400607</v>
      </c>
      <c r="AJ6710">
        <v>93.671465966934505</v>
      </c>
      <c r="AK6710">
        <v>37.916618822350301</v>
      </c>
      <c r="AL6710">
        <v>79.396767544631302</v>
      </c>
      <c r="AM6710">
        <v>90.852288164972506</v>
      </c>
      <c r="AN6710">
        <v>0.99999997514858396</v>
      </c>
    </row>
    <row r="6711" spans="1:40" x14ac:dyDescent="0.25">
      <c r="A6711" t="str">
        <f>"20190312164156479"</f>
        <v>20190312164156479</v>
      </c>
      <c r="B6711" t="str">
        <f>"1552380116472906"</f>
        <v>1552380116472906</v>
      </c>
      <c r="C6711" t="s">
        <v>40</v>
      </c>
      <c r="D6711">
        <v>5.5966839999999998</v>
      </c>
      <c r="E6711">
        <v>0.48633690000000002</v>
      </c>
      <c r="F6711" t="s">
        <v>41</v>
      </c>
      <c r="G6711">
        <v>-189.6337</v>
      </c>
      <c r="H6711" s="1">
        <v>-1.861635E-6</v>
      </c>
      <c r="I6711">
        <v>53.820819999999998</v>
      </c>
      <c r="J6711">
        <v>-187.7919</v>
      </c>
      <c r="K6711">
        <v>1.1086860000000001</v>
      </c>
      <c r="L6711">
        <v>12.03586</v>
      </c>
      <c r="M6711">
        <v>1.9999389999999999E-2</v>
      </c>
      <c r="N6711">
        <v>0</v>
      </c>
      <c r="O6711">
        <v>0.99975380000000003</v>
      </c>
      <c r="P6711">
        <v>3.421791E-3</v>
      </c>
      <c r="Q6711">
        <v>0.1758545</v>
      </c>
      <c r="R6711">
        <v>0.98441020000000001</v>
      </c>
      <c r="S6711">
        <v>-0.13287349999999901</v>
      </c>
      <c r="T6711">
        <v>-8.0372570000000004E-2</v>
      </c>
      <c r="U6711">
        <v>3.0616150000000002</v>
      </c>
      <c r="V6711">
        <v>-1.5949000000000001E-2</v>
      </c>
      <c r="W6711">
        <v>0.185333</v>
      </c>
      <c r="X6711">
        <v>0.98254629999999998</v>
      </c>
      <c r="Y6711">
        <v>-6.3316960000000005E-2</v>
      </c>
      <c r="Z6711">
        <v>-2.6196130000000001E-2</v>
      </c>
      <c r="AA6711">
        <v>0.99764960000000003</v>
      </c>
      <c r="AB6711">
        <v>46</v>
      </c>
      <c r="AC6711">
        <v>-1.8418000000000001</v>
      </c>
      <c r="AD6711">
        <v>-1.108687861635</v>
      </c>
      <c r="AE6711">
        <v>41.784959999999998</v>
      </c>
      <c r="AF6711">
        <v>-2.6752641388457099</v>
      </c>
      <c r="AG6711">
        <v>-1.108687861635</v>
      </c>
      <c r="AH6711">
        <v>41.710457709101597</v>
      </c>
      <c r="AI6711">
        <v>91.519475391664997</v>
      </c>
      <c r="AJ6711">
        <v>93.669863152172695</v>
      </c>
      <c r="AK6711">
        <v>41.810865923703197</v>
      </c>
      <c r="AL6711">
        <v>79.319451947734095</v>
      </c>
      <c r="AM6711">
        <v>90.929961408208698</v>
      </c>
      <c r="AN6711">
        <v>0.99999996156684401</v>
      </c>
    </row>
    <row r="6712" spans="1:40" x14ac:dyDescent="0.25">
      <c r="A6712" t="str">
        <f>"20190312164156502"</f>
        <v>20190312164156502</v>
      </c>
      <c r="B6712" t="str">
        <f>"1552380116492427"</f>
        <v>1552380116492427</v>
      </c>
      <c r="C6712" t="s">
        <v>40</v>
      </c>
      <c r="D6712">
        <v>5.6149649999999998</v>
      </c>
      <c r="E6712">
        <v>0.4869541</v>
      </c>
      <c r="F6712" t="s">
        <v>41</v>
      </c>
      <c r="G6712">
        <v>-189.6807</v>
      </c>
      <c r="H6712" s="1">
        <v>-2.6438590000000001E-6</v>
      </c>
      <c r="I6712">
        <v>55.663629999999998</v>
      </c>
      <c r="J6712">
        <v>-187.78229999999999</v>
      </c>
      <c r="K6712">
        <v>1.1087750000000001</v>
      </c>
      <c r="L6712">
        <v>12.511049999999999</v>
      </c>
      <c r="M6712">
        <v>2.0331950000000001E-2</v>
      </c>
      <c r="N6712">
        <v>0</v>
      </c>
      <c r="O6712">
        <v>0.99974730000000001</v>
      </c>
      <c r="P6712">
        <v>2.5167660000000001E-3</v>
      </c>
      <c r="Q6712">
        <v>0.17665359999999999</v>
      </c>
      <c r="R6712">
        <v>0.98426990000000003</v>
      </c>
      <c r="S6712">
        <v>-0.13255310000000001</v>
      </c>
      <c r="T6712">
        <v>-7.7809329999999996E-2</v>
      </c>
      <c r="U6712">
        <v>3.0618590000000001</v>
      </c>
      <c r="V6712">
        <v>-1.7218919999999999E-2</v>
      </c>
      <c r="W6712">
        <v>0.1861042</v>
      </c>
      <c r="X6712">
        <v>0.98237909999999995</v>
      </c>
      <c r="Y6712">
        <v>-6.3542189999999998E-2</v>
      </c>
      <c r="Z6712">
        <v>-2.5358829999999999E-2</v>
      </c>
      <c r="AA6712">
        <v>0.99765689999999996</v>
      </c>
      <c r="AB6712">
        <v>46</v>
      </c>
      <c r="AC6712">
        <v>-1.8984000000000001</v>
      </c>
      <c r="AD6712">
        <v>-1.108777643859</v>
      </c>
      <c r="AE6712">
        <v>43.15258</v>
      </c>
      <c r="AF6712">
        <v>-2.7735963827280301</v>
      </c>
      <c r="AG6712">
        <v>-1.108777643859</v>
      </c>
      <c r="AH6712">
        <v>43.076674647461303</v>
      </c>
      <c r="AI6712">
        <v>91.471401045181906</v>
      </c>
      <c r="AJ6712">
        <v>93.6840425920591</v>
      </c>
      <c r="AK6712">
        <v>43.180112591805901</v>
      </c>
      <c r="AL6712">
        <v>79.274483318746803</v>
      </c>
      <c r="AM6712">
        <v>91.004164715989404</v>
      </c>
      <c r="AN6712">
        <v>0.99999998029020798</v>
      </c>
    </row>
    <row r="6713" spans="1:40" x14ac:dyDescent="0.25">
      <c r="A6713" t="str">
        <f>"20190312164156524"</f>
        <v>20190312164156524</v>
      </c>
      <c r="B6713" t="str">
        <f>"1552380116512922"</f>
        <v>1552380116512922</v>
      </c>
      <c r="C6713" t="s">
        <v>40</v>
      </c>
      <c r="D6713">
        <v>5.5985870000000002</v>
      </c>
      <c r="E6713">
        <v>0.48726599999999998</v>
      </c>
      <c r="F6713" t="s">
        <v>41</v>
      </c>
      <c r="G6713">
        <v>-189.63800000000001</v>
      </c>
      <c r="H6713" s="1">
        <v>-2.9215470000000001E-6</v>
      </c>
      <c r="I6713">
        <v>56.293289999999999</v>
      </c>
      <c r="J6713">
        <v>-187.77269999999999</v>
      </c>
      <c r="K6713">
        <v>1.108862</v>
      </c>
      <c r="L6713">
        <v>12.97711</v>
      </c>
      <c r="M6713">
        <v>2.0568030000000001E-2</v>
      </c>
      <c r="N6713">
        <v>0</v>
      </c>
      <c r="O6713">
        <v>0.99974269999999998</v>
      </c>
      <c r="P6713">
        <v>2.0410409999999999E-3</v>
      </c>
      <c r="Q6713">
        <v>0.177674</v>
      </c>
      <c r="R6713">
        <v>0.9840873</v>
      </c>
      <c r="S6713">
        <v>-0.1297913</v>
      </c>
      <c r="T6713">
        <v>-7.7549580000000007E-2</v>
      </c>
      <c r="U6713">
        <v>3.062195</v>
      </c>
      <c r="V6713">
        <v>-1.7963079999999999E-2</v>
      </c>
      <c r="W6713">
        <v>0.18709970000000001</v>
      </c>
      <c r="X6713">
        <v>0.98217670000000001</v>
      </c>
      <c r="Y6713">
        <v>-6.2875050000000002E-2</v>
      </c>
      <c r="Z6713">
        <v>-2.5272300000000001E-2</v>
      </c>
      <c r="AA6713">
        <v>0.99770139999999996</v>
      </c>
      <c r="AB6713">
        <v>46</v>
      </c>
      <c r="AC6713">
        <v>-1.86530000000001</v>
      </c>
      <c r="AD6713">
        <v>-1.1088649215469999</v>
      </c>
      <c r="AE6713">
        <v>43.316179999999903</v>
      </c>
      <c r="AF6713">
        <v>-2.7540731448821001</v>
      </c>
      <c r="AG6713">
        <v>-1.1088649215469999</v>
      </c>
      <c r="AH6713">
        <v>43.2403645095334</v>
      </c>
      <c r="AI6713">
        <v>91.466013682362103</v>
      </c>
      <c r="AJ6713">
        <v>93.644370476322905</v>
      </c>
      <c r="AK6713">
        <v>43.342169110681503</v>
      </c>
      <c r="AL6713">
        <v>79.2164260511869</v>
      </c>
      <c r="AM6713">
        <v>91.047768635675993</v>
      </c>
      <c r="AN6713">
        <v>1.0000000200030299</v>
      </c>
    </row>
    <row r="6714" spans="1:40" x14ac:dyDescent="0.25">
      <c r="A6714" t="str">
        <f>"20190312164156545"</f>
        <v>20190312164156545</v>
      </c>
      <c r="B6714" t="str">
        <f>"1552380116532446"</f>
        <v>1552380116532446</v>
      </c>
      <c r="C6714" t="s">
        <v>40</v>
      </c>
      <c r="D6714">
        <v>5.5380669999999999</v>
      </c>
      <c r="E6714">
        <v>0.48772589999999999</v>
      </c>
      <c r="F6714" t="s">
        <v>41</v>
      </c>
      <c r="G6714">
        <v>-189.67830000000001</v>
      </c>
      <c r="H6714" s="1">
        <v>-3.8492140000000003E-6</v>
      </c>
      <c r="I6714">
        <v>58.472369999999998</v>
      </c>
      <c r="J6714">
        <v>-187.7637</v>
      </c>
      <c r="K6714">
        <v>1.1089359999999999</v>
      </c>
      <c r="L6714">
        <v>13.413729999999999</v>
      </c>
      <c r="M6714">
        <v>2.072421E-2</v>
      </c>
      <c r="N6714">
        <v>0</v>
      </c>
      <c r="O6714">
        <v>0.99973959999999995</v>
      </c>
      <c r="P6714">
        <v>1.8577489999999999E-3</v>
      </c>
      <c r="Q6714">
        <v>0.17860299999999901</v>
      </c>
      <c r="R6714">
        <v>0.9839194</v>
      </c>
      <c r="S6714">
        <v>-0.1282654</v>
      </c>
      <c r="T6714">
        <v>-7.4637060000000005E-2</v>
      </c>
      <c r="U6714">
        <v>3.0622560000000001</v>
      </c>
      <c r="V6714">
        <v>-1.8330289999999999E-2</v>
      </c>
      <c r="W6714">
        <v>0.18800790000000001</v>
      </c>
      <c r="X6714">
        <v>0.98199650000000005</v>
      </c>
      <c r="Y6714">
        <v>-6.2534859999999998E-2</v>
      </c>
      <c r="Z6714">
        <v>-2.4323640000000001E-2</v>
      </c>
      <c r="AA6714">
        <v>0.99774629999999997</v>
      </c>
      <c r="AB6714">
        <v>46</v>
      </c>
      <c r="AC6714">
        <v>-1.9146000000000001</v>
      </c>
      <c r="AD6714">
        <v>-1.1089398492139999</v>
      </c>
      <c r="AE6714">
        <v>45.058639999999997</v>
      </c>
      <c r="AF6714">
        <v>-2.8463151703329799</v>
      </c>
      <c r="AG6714">
        <v>-1.1089398492139999</v>
      </c>
      <c r="AH6714">
        <v>44.982084826563899</v>
      </c>
      <c r="AI6714">
        <v>91.409404733252401</v>
      </c>
      <c r="AJ6714">
        <v>93.620657250131103</v>
      </c>
      <c r="AK6714">
        <v>45.085687451587397</v>
      </c>
      <c r="AL6714">
        <v>79.163450233612807</v>
      </c>
      <c r="AM6714">
        <v>91.069378861838501</v>
      </c>
      <c r="AN6714">
        <v>1.00000004800307</v>
      </c>
    </row>
    <row r="6715" spans="1:40" x14ac:dyDescent="0.25">
      <c r="A6715" t="str">
        <f>"20190312164156568"</f>
        <v>20190312164156568</v>
      </c>
      <c r="B6715" t="str">
        <f>"1552380116562698"</f>
        <v>1552380116562698</v>
      </c>
      <c r="C6715" t="s">
        <v>40</v>
      </c>
      <c r="D6715">
        <v>5.5431879999999998</v>
      </c>
      <c r="E6715">
        <v>0.48822399999999999</v>
      </c>
      <c r="F6715" t="s">
        <v>41</v>
      </c>
      <c r="G6715">
        <v>-189.68469999999999</v>
      </c>
      <c r="H6715" s="1">
        <v>-4.6488249999999998E-7</v>
      </c>
      <c r="I6715">
        <v>60.58605</v>
      </c>
      <c r="J6715">
        <v>-187.75389999999999</v>
      </c>
      <c r="K6715">
        <v>1.109008</v>
      </c>
      <c r="L6715">
        <v>13.88519</v>
      </c>
      <c r="M6715">
        <v>2.0832280000000002E-2</v>
      </c>
      <c r="N6715">
        <v>0</v>
      </c>
      <c r="O6715">
        <v>0.9997376</v>
      </c>
      <c r="P6715">
        <v>1.868946E-3</v>
      </c>
      <c r="Q6715">
        <v>0.1797414</v>
      </c>
      <c r="R6715">
        <v>0.98371209999999998</v>
      </c>
      <c r="S6715">
        <v>-0.1247101</v>
      </c>
      <c r="T6715">
        <v>-7.1990250000000006E-2</v>
      </c>
      <c r="U6715">
        <v>3.0623469999999999</v>
      </c>
      <c r="V6715">
        <v>-1.8451760000000001E-2</v>
      </c>
      <c r="W6715">
        <v>0.18912380000000001</v>
      </c>
      <c r="X6715">
        <v>0.98177990000000004</v>
      </c>
      <c r="Y6715">
        <v>-6.1485890000000001E-2</v>
      </c>
      <c r="Z6715">
        <v>-2.34621E-2</v>
      </c>
      <c r="AA6715">
        <v>0.99783219999999995</v>
      </c>
      <c r="AB6715">
        <v>46</v>
      </c>
      <c r="AC6715">
        <v>-1.9308000000000001</v>
      </c>
      <c r="AD6715">
        <v>-1.1090084648825</v>
      </c>
      <c r="AE6715">
        <v>46.700859999999999</v>
      </c>
      <c r="AF6715">
        <v>-2.9016769558276301</v>
      </c>
      <c r="AG6715">
        <v>-1.1090084648825</v>
      </c>
      <c r="AH6715">
        <v>46.624251846777497</v>
      </c>
      <c r="AI6715">
        <v>91.359955225145001</v>
      </c>
      <c r="AJ6715">
        <v>93.561230195908607</v>
      </c>
      <c r="AK6715">
        <v>46.727620196227598</v>
      </c>
      <c r="AL6715">
        <v>79.098345690101198</v>
      </c>
      <c r="AM6715">
        <v>91.076701124877701</v>
      </c>
      <c r="AN6715">
        <v>1.00000002560877</v>
      </c>
    </row>
    <row r="6716" spans="1:40" x14ac:dyDescent="0.25">
      <c r="A6716" t="str">
        <f>"20190312164156591"</f>
        <v>20190312164156591</v>
      </c>
      <c r="B6716" t="str">
        <f>"1552380116583195"</f>
        <v>1552380116583195</v>
      </c>
      <c r="C6716" t="s">
        <v>40</v>
      </c>
      <c r="D6716">
        <v>5.5469470000000003</v>
      </c>
      <c r="E6716">
        <v>0.48848960000000002</v>
      </c>
      <c r="F6716" t="s">
        <v>41</v>
      </c>
      <c r="G6716">
        <v>-189.667</v>
      </c>
      <c r="H6716" s="1">
        <v>-1.409707E-6</v>
      </c>
      <c r="I6716">
        <v>62.781140000000001</v>
      </c>
      <c r="J6716">
        <v>-187.7441</v>
      </c>
      <c r="K6716">
        <v>1.1090679999999999</v>
      </c>
      <c r="L6716">
        <v>14.35486</v>
      </c>
      <c r="M6716">
        <v>2.0887610000000001E-2</v>
      </c>
      <c r="N6716">
        <v>0</v>
      </c>
      <c r="O6716">
        <v>0.99973650000000003</v>
      </c>
      <c r="P6716">
        <v>1.80038299999999E-3</v>
      </c>
      <c r="Q6716">
        <v>0.1813932</v>
      </c>
      <c r="R6716">
        <v>0.98340899999999998</v>
      </c>
      <c r="S6716">
        <v>-0.1198273</v>
      </c>
      <c r="T6716">
        <v>-6.9462659999999996E-2</v>
      </c>
      <c r="U6716">
        <v>3.062592</v>
      </c>
      <c r="V6716">
        <v>-1.8594659999999999E-2</v>
      </c>
      <c r="W6716">
        <v>0.19075300000000001</v>
      </c>
      <c r="X6716">
        <v>0.9814619</v>
      </c>
      <c r="Y6716">
        <v>-5.9950219999999999E-2</v>
      </c>
      <c r="Z6716">
        <v>-2.2638700000000001E-2</v>
      </c>
      <c r="AA6716">
        <v>0.99794459999999996</v>
      </c>
      <c r="AB6716">
        <v>46</v>
      </c>
      <c r="AC6716">
        <v>-1.9228999999999901</v>
      </c>
      <c r="AD6716">
        <v>-1.109069409707</v>
      </c>
      <c r="AE6716">
        <v>48.426279999999998</v>
      </c>
      <c r="AF6716">
        <v>-2.9324998279715002</v>
      </c>
      <c r="AG6716">
        <v>-1.109069409707</v>
      </c>
      <c r="AH6716">
        <v>48.350226938498501</v>
      </c>
      <c r="AI6716">
        <v>91.311624871227394</v>
      </c>
      <c r="AJ6716">
        <v>93.470806725850494</v>
      </c>
      <c r="AK6716">
        <v>48.451770196772998</v>
      </c>
      <c r="AL6716">
        <v>79.003267937142496</v>
      </c>
      <c r="AM6716">
        <v>91.085389146162498</v>
      </c>
      <c r="AN6716">
        <v>0.99999996477056197</v>
      </c>
    </row>
    <row r="6717" spans="1:40" x14ac:dyDescent="0.25">
      <c r="A6717" t="str">
        <f>"20190312164156613"</f>
        <v>20190312164156613</v>
      </c>
      <c r="B6717" t="str">
        <f>"1552380116602714"</f>
        <v>1552380116602714</v>
      </c>
      <c r="C6717" t="s">
        <v>40</v>
      </c>
      <c r="D6717">
        <v>5.4893450000000001</v>
      </c>
      <c r="E6717">
        <v>0.4887184</v>
      </c>
      <c r="F6717" t="s">
        <v>41</v>
      </c>
      <c r="G6717">
        <v>-189.7336</v>
      </c>
      <c r="H6717" s="1">
        <v>-2.9388519999999999E-6</v>
      </c>
      <c r="I6717">
        <v>66.373149999999995</v>
      </c>
      <c r="J6717">
        <v>-187.73439999999999</v>
      </c>
      <c r="K6717">
        <v>1.1091150000000001</v>
      </c>
      <c r="L6717">
        <v>14.820740000000001</v>
      </c>
      <c r="M6717">
        <v>2.090415E-2</v>
      </c>
      <c r="N6717">
        <v>0</v>
      </c>
      <c r="O6717">
        <v>0.99973639999999997</v>
      </c>
      <c r="P6717">
        <v>1.5062470000000001E-3</v>
      </c>
      <c r="Q6717">
        <v>0.1830331</v>
      </c>
      <c r="R6717">
        <v>0.98310560000000002</v>
      </c>
      <c r="S6717">
        <v>-0.1171417</v>
      </c>
      <c r="T6717">
        <v>-6.5302730000000003E-2</v>
      </c>
      <c r="U6717">
        <v>3.0628660000000001</v>
      </c>
      <c r="V6717">
        <v>-1.892224E-2</v>
      </c>
      <c r="W6717">
        <v>0.19237319999999999</v>
      </c>
      <c r="X6717">
        <v>0.98113939999999999</v>
      </c>
      <c r="Y6717">
        <v>-5.9090660000000003E-2</v>
      </c>
      <c r="Z6717">
        <v>-2.1282559999999999E-2</v>
      </c>
      <c r="AA6717">
        <v>0.99802570000000002</v>
      </c>
      <c r="AB6717">
        <v>47</v>
      </c>
      <c r="AC6717">
        <v>-1.9992000000000001</v>
      </c>
      <c r="AD6717">
        <v>-1.1091179388519901</v>
      </c>
      <c r="AE6717">
        <v>51.552410000000002</v>
      </c>
      <c r="AF6717">
        <v>-3.0750497868814501</v>
      </c>
      <c r="AG6717">
        <v>-1.1091179388519901</v>
      </c>
      <c r="AH6717">
        <v>51.475559886402102</v>
      </c>
      <c r="AI6717">
        <v>91.232136401432896</v>
      </c>
      <c r="AJ6717">
        <v>93.418675576637298</v>
      </c>
      <c r="AK6717">
        <v>51.579252993937899</v>
      </c>
      <c r="AL6717">
        <v>78.908686181008505</v>
      </c>
      <c r="AM6717">
        <v>91.104868587354105</v>
      </c>
      <c r="AN6717">
        <v>1.0000000107386</v>
      </c>
    </row>
    <row r="6718" spans="1:40" x14ac:dyDescent="0.25">
      <c r="A6718" t="str">
        <f>"20190312164156635"</f>
        <v>20190312164156635</v>
      </c>
      <c r="B6718" t="str">
        <f>"1552380116632970"</f>
        <v>1552380116632970</v>
      </c>
      <c r="C6718" t="s">
        <v>40</v>
      </c>
      <c r="D6718">
        <v>5.4080130000000004</v>
      </c>
      <c r="E6718">
        <v>0.49823269999999997</v>
      </c>
      <c r="F6718" t="s">
        <v>41</v>
      </c>
      <c r="G6718">
        <v>-189.8115</v>
      </c>
      <c r="H6718" s="1">
        <v>-1.62241299999999E-7</v>
      </c>
      <c r="I6718">
        <v>69.933009999999996</v>
      </c>
      <c r="J6718">
        <v>-187.7244</v>
      </c>
      <c r="K6718">
        <v>1.109181</v>
      </c>
      <c r="L6718">
        <v>15.29651</v>
      </c>
      <c r="M6718">
        <v>2.0896350000000001E-2</v>
      </c>
      <c r="N6718">
        <v>0</v>
      </c>
      <c r="O6718">
        <v>0.99973670000000003</v>
      </c>
      <c r="P6718">
        <v>1.356772E-3</v>
      </c>
      <c r="Q6718">
        <v>0.18600340000000001</v>
      </c>
      <c r="R6718">
        <v>0.98254819999999998</v>
      </c>
      <c r="S6718">
        <v>-0.115448</v>
      </c>
      <c r="T6718">
        <v>-6.1645869999999998E-2</v>
      </c>
      <c r="U6718">
        <v>3.063202</v>
      </c>
      <c r="V6718">
        <v>-1.9072789999999999E-2</v>
      </c>
      <c r="W6718">
        <v>0.1953212</v>
      </c>
      <c r="X6718">
        <v>0.98055389999999998</v>
      </c>
      <c r="Y6718">
        <v>-5.8528570000000002E-2</v>
      </c>
      <c r="Z6718">
        <v>-2.0089610000000001E-2</v>
      </c>
      <c r="AA6718">
        <v>0.99808359999999996</v>
      </c>
      <c r="AB6718">
        <v>47</v>
      </c>
      <c r="AC6718">
        <v>-2.0870999999999902</v>
      </c>
      <c r="AD6718">
        <v>-1.1091811622412999</v>
      </c>
      <c r="AE6718">
        <v>54.636499999999998</v>
      </c>
      <c r="AF6718">
        <v>-3.2270709197941998</v>
      </c>
      <c r="AG6718">
        <v>-1.1091811622412999</v>
      </c>
      <c r="AH6718">
        <v>54.558501485238402</v>
      </c>
      <c r="AI6718">
        <v>91.162638468134801</v>
      </c>
      <c r="AJ6718">
        <v>93.385033751230296</v>
      </c>
      <c r="AK6718">
        <v>54.665110938209999</v>
      </c>
      <c r="AL6718">
        <v>78.736512723923298</v>
      </c>
      <c r="AM6718">
        <v>91.1143217984731</v>
      </c>
      <c r="AN6718">
        <v>1.00000004664651</v>
      </c>
    </row>
    <row r="6719" spans="1:40" x14ac:dyDescent="0.25">
      <c r="A6719" t="str">
        <f>"20190312164156768"</f>
        <v>20190312164156768</v>
      </c>
      <c r="B6719" t="str">
        <f>"1552380116762778"</f>
        <v>1552380116762778</v>
      </c>
      <c r="C6719" t="s">
        <v>40</v>
      </c>
      <c r="D6719">
        <v>5.1748219999999998</v>
      </c>
      <c r="E6719">
        <v>0.52794680000000005</v>
      </c>
      <c r="F6719" t="s">
        <v>41</v>
      </c>
      <c r="G6719">
        <v>-187.96789999999999</v>
      </c>
      <c r="H6719" s="1">
        <v>-1.03486E-6</v>
      </c>
      <c r="I6719">
        <v>31.100190000000001</v>
      </c>
      <c r="J6719">
        <v>-187.66650000000001</v>
      </c>
      <c r="K6719">
        <v>1.109367</v>
      </c>
      <c r="L6719">
        <v>18.074580000000001</v>
      </c>
      <c r="M6719">
        <v>2.0704279999999999E-2</v>
      </c>
      <c r="N6719">
        <v>0</v>
      </c>
      <c r="O6719">
        <v>0.99974130000000005</v>
      </c>
      <c r="P6719">
        <v>4.1131689999999999E-3</v>
      </c>
      <c r="Q6719">
        <v>0.1938095</v>
      </c>
      <c r="R6719">
        <v>0.98103059999999997</v>
      </c>
      <c r="S6719">
        <v>-4.7668460000000003E-2</v>
      </c>
      <c r="T6719">
        <v>-0.2171862</v>
      </c>
      <c r="U6719">
        <v>3.0944820000000002</v>
      </c>
      <c r="V6719">
        <v>-1.618437E-2</v>
      </c>
      <c r="W6719">
        <v>0.2030342</v>
      </c>
      <c r="X6719">
        <v>0.97903790000000002</v>
      </c>
      <c r="Y6719">
        <v>-3.6064190000000003E-2</v>
      </c>
      <c r="Z6719">
        <v>-6.9963360000000002E-2</v>
      </c>
      <c r="AA6719">
        <v>0.99689749999999999</v>
      </c>
      <c r="AB6719">
        <v>47</v>
      </c>
      <c r="AC6719">
        <v>-0.30139999999997202</v>
      </c>
      <c r="AD6719">
        <v>-1.1093680348599999</v>
      </c>
      <c r="AE6719">
        <v>13.02561</v>
      </c>
      <c r="AF6719">
        <v>-0.56692317253214697</v>
      </c>
      <c r="AG6719">
        <v>-1.1093680348599999</v>
      </c>
      <c r="AH6719">
        <v>12.9228894365299</v>
      </c>
      <c r="AI6719">
        <v>94.901846877551506</v>
      </c>
      <c r="AJ6719">
        <v>92.511937546521906</v>
      </c>
      <c r="AK6719">
        <v>12.982802883395401</v>
      </c>
      <c r="AL6719">
        <v>78.285553042874298</v>
      </c>
      <c r="AM6719">
        <v>90.947064093638005</v>
      </c>
      <c r="AN6719">
        <v>1.0000000149191699</v>
      </c>
    </row>
    <row r="6720" spans="1:40" x14ac:dyDescent="0.25">
      <c r="A6720" t="str">
        <f>"20190312164156791"</f>
        <v>20190312164156791</v>
      </c>
      <c r="B6720" t="str">
        <f>"1552380116782312"</f>
        <v>1552380116782312</v>
      </c>
      <c r="C6720" t="s">
        <v>40</v>
      </c>
      <c r="D6720">
        <v>5.2313669999999997</v>
      </c>
      <c r="E6720">
        <v>0.51811169999999995</v>
      </c>
      <c r="F6720" t="s">
        <v>41</v>
      </c>
      <c r="G6720">
        <v>-186.41650000000001</v>
      </c>
      <c r="H6720" s="1">
        <v>-4.0897449999999998E-6</v>
      </c>
      <c r="I6720">
        <v>37.684350000000002</v>
      </c>
      <c r="J6720">
        <v>-187.6566</v>
      </c>
      <c r="K6720">
        <v>1.1093820000000001</v>
      </c>
      <c r="L6720">
        <v>18.553100000000001</v>
      </c>
      <c r="M6720">
        <v>2.0661430000000001E-2</v>
      </c>
      <c r="N6720">
        <v>0</v>
      </c>
      <c r="O6720">
        <v>0.99974229999999997</v>
      </c>
      <c r="P6720">
        <v>5.3923779999999998E-3</v>
      </c>
      <c r="Q6720">
        <v>0.19358719999999999</v>
      </c>
      <c r="R6720">
        <v>0.9810683</v>
      </c>
      <c r="S6720">
        <v>0.19708249999999999</v>
      </c>
      <c r="T6720">
        <v>-0.1749068</v>
      </c>
      <c r="U6720">
        <v>3.091736</v>
      </c>
      <c r="V6720">
        <v>-1.487233E-2</v>
      </c>
      <c r="W6720">
        <v>0.20280219999999999</v>
      </c>
      <c r="X6720">
        <v>0.97910680000000005</v>
      </c>
      <c r="Y6720">
        <v>4.2880550000000003E-2</v>
      </c>
      <c r="Z6720">
        <v>-5.6381019999999997E-2</v>
      </c>
      <c r="AA6720">
        <v>0.99748809999999999</v>
      </c>
      <c r="AB6720">
        <v>47</v>
      </c>
      <c r="AC6720">
        <v>1.24009999999998</v>
      </c>
      <c r="AD6720">
        <v>-1.1093860897450001</v>
      </c>
      <c r="AE6720">
        <v>19.131250000000001</v>
      </c>
      <c r="AF6720">
        <v>0.84172024066677997</v>
      </c>
      <c r="AG6720">
        <v>-1.1093860897450001</v>
      </c>
      <c r="AH6720">
        <v>19.088868883014801</v>
      </c>
      <c r="AI6720">
        <v>93.322890719178602</v>
      </c>
      <c r="AJ6720">
        <v>87.475188433339099</v>
      </c>
      <c r="AK6720">
        <v>19.139596278202902</v>
      </c>
      <c r="AL6720">
        <v>78.299128168841705</v>
      </c>
      <c r="AM6720">
        <v>90.870238276197497</v>
      </c>
      <c r="AN6720">
        <v>1.00000002216535</v>
      </c>
    </row>
    <row r="6721" spans="1:40" x14ac:dyDescent="0.25">
      <c r="A6721" t="str">
        <f>"20190312164156813"</f>
        <v>20190312164156813</v>
      </c>
      <c r="B6721" t="str">
        <f>"1552380116802794"</f>
        <v>1552380116802794</v>
      </c>
      <c r="C6721" t="s">
        <v>40</v>
      </c>
      <c r="D6721">
        <v>5.2079430000000002</v>
      </c>
      <c r="E6721">
        <v>0.51233669999999998</v>
      </c>
      <c r="F6721" t="s">
        <v>41</v>
      </c>
      <c r="G6721">
        <v>-186.87360000000001</v>
      </c>
      <c r="H6721" s="1">
        <v>-4.3197039999999996E-6</v>
      </c>
      <c r="I6721">
        <v>38.409390000000002</v>
      </c>
      <c r="J6721">
        <v>-187.64689999999999</v>
      </c>
      <c r="K6721">
        <v>1.109386</v>
      </c>
      <c r="L6721">
        <v>19.025120000000001</v>
      </c>
      <c r="M6721">
        <v>2.0617190000000001E-2</v>
      </c>
      <c r="N6721">
        <v>0</v>
      </c>
      <c r="O6721">
        <v>0.9997433</v>
      </c>
      <c r="P6721">
        <v>6.2584099999999998E-3</v>
      </c>
      <c r="Q6721">
        <v>0.1931003</v>
      </c>
      <c r="R6721">
        <v>0.981159</v>
      </c>
      <c r="S6721">
        <v>0.1219025</v>
      </c>
      <c r="T6721">
        <v>-0.172713899999999</v>
      </c>
      <c r="U6721">
        <v>3.0913089999999999</v>
      </c>
      <c r="V6721">
        <v>-1.397178E-2</v>
      </c>
      <c r="W6721">
        <v>0.20230809999999999</v>
      </c>
      <c r="X6721">
        <v>0.97922220000000004</v>
      </c>
      <c r="Y6721">
        <v>1.8731580000000001E-2</v>
      </c>
      <c r="Z6721">
        <v>-5.573956E-2</v>
      </c>
      <c r="AA6721">
        <v>0.99826959999999998</v>
      </c>
      <c r="AB6721">
        <v>47</v>
      </c>
      <c r="AC6721">
        <v>0.77329999999997701</v>
      </c>
      <c r="AD6721">
        <v>-1.109390319704</v>
      </c>
      <c r="AE6721">
        <v>19.384270000000001</v>
      </c>
      <c r="AF6721">
        <v>0.37225144841225399</v>
      </c>
      <c r="AG6721">
        <v>-1.109390319704</v>
      </c>
      <c r="AH6721">
        <v>19.3328702857815</v>
      </c>
      <c r="AI6721">
        <v>93.283630921831303</v>
      </c>
      <c r="AJ6721">
        <v>88.896914873498403</v>
      </c>
      <c r="AK6721">
        <v>19.3682521542123</v>
      </c>
      <c r="AL6721">
        <v>78.328036390028203</v>
      </c>
      <c r="AM6721">
        <v>90.817454617170497</v>
      </c>
      <c r="AN6721">
        <v>0.99999994746740795</v>
      </c>
    </row>
    <row r="6722" spans="1:40" x14ac:dyDescent="0.25">
      <c r="A6722" t="str">
        <f>"20190312164156837"</f>
        <v>20190312164156837</v>
      </c>
      <c r="B6722" t="str">
        <f>"1552380116833051"</f>
        <v>1552380116833051</v>
      </c>
      <c r="C6722" t="s">
        <v>40</v>
      </c>
      <c r="D6722">
        <v>5.1646210000000004</v>
      </c>
      <c r="E6722">
        <v>0.50953400000000004</v>
      </c>
      <c r="F6722" t="s">
        <v>41</v>
      </c>
      <c r="G6722">
        <v>-187.13509999999999</v>
      </c>
      <c r="H6722" s="1">
        <v>-4.6330719999999998E-6</v>
      </c>
      <c r="I6722">
        <v>39.247990000000001</v>
      </c>
      <c r="J6722">
        <v>-187.63659999999999</v>
      </c>
      <c r="K6722">
        <v>1.1093900000000001</v>
      </c>
      <c r="L6722">
        <v>19.523769999999999</v>
      </c>
      <c r="M6722">
        <v>2.0568489999999998E-2</v>
      </c>
      <c r="N6722">
        <v>0</v>
      </c>
      <c r="O6722">
        <v>0.99974439999999998</v>
      </c>
      <c r="P6722">
        <v>6.8023739999999999E-3</v>
      </c>
      <c r="Q6722">
        <v>0.1923453</v>
      </c>
      <c r="R6722">
        <v>0.98130379999999995</v>
      </c>
      <c r="S6722">
        <v>7.8201290000000007E-2</v>
      </c>
      <c r="T6722">
        <v>-0.16953850000000001</v>
      </c>
      <c r="U6722">
        <v>3.0904850000000001</v>
      </c>
      <c r="V6722">
        <v>-1.338839E-2</v>
      </c>
      <c r="W6722">
        <v>0.20154639999999999</v>
      </c>
      <c r="X6722">
        <v>0.97938749999999997</v>
      </c>
      <c r="Y6722">
        <v>4.6896869999999997E-3</v>
      </c>
      <c r="Z6722">
        <v>-5.4749470000000001E-2</v>
      </c>
      <c r="AA6722">
        <v>0.99848910000000002</v>
      </c>
      <c r="AB6722">
        <v>47</v>
      </c>
      <c r="AC6722">
        <v>0.50149999999999295</v>
      </c>
      <c r="AD6722">
        <v>-1.1093946330719999</v>
      </c>
      <c r="AE6722">
        <v>19.724219999999999</v>
      </c>
      <c r="AF6722">
        <v>9.5377074516872398E-2</v>
      </c>
      <c r="AG6722">
        <v>-1.1093946330719999</v>
      </c>
      <c r="AH6722">
        <v>19.668181696030899</v>
      </c>
      <c r="AI6722">
        <v>93.228341267921707</v>
      </c>
      <c r="AJ6722">
        <v>89.722157285224796</v>
      </c>
      <c r="AK6722">
        <v>19.6996757452075</v>
      </c>
      <c r="AL6722">
        <v>78.372597568307</v>
      </c>
      <c r="AM6722">
        <v>90.783194050772806</v>
      </c>
      <c r="AN6722">
        <v>1.0000000377480001</v>
      </c>
    </row>
    <row r="6723" spans="1:40" x14ac:dyDescent="0.25">
      <c r="A6723" t="str">
        <f>"20190312164156859"</f>
        <v>20190312164156859</v>
      </c>
      <c r="B6723" t="str">
        <f>"1552380116852570"</f>
        <v>1552380116852570</v>
      </c>
      <c r="C6723" t="s">
        <v>40</v>
      </c>
      <c r="D6723">
        <v>5.2006730000000001</v>
      </c>
      <c r="E6723">
        <v>0.50872879999999998</v>
      </c>
      <c r="F6723" t="s">
        <v>41</v>
      </c>
      <c r="G6723">
        <v>-187.21629999999999</v>
      </c>
      <c r="H6723" s="1">
        <v>-1.480282E-6</v>
      </c>
      <c r="I6723">
        <v>41.821429999999999</v>
      </c>
      <c r="J6723">
        <v>-187.62710000000001</v>
      </c>
      <c r="K6723">
        <v>1.1093900000000001</v>
      </c>
      <c r="L6723">
        <v>19.985959999999999</v>
      </c>
      <c r="M6723">
        <v>2.0521939999999999E-2</v>
      </c>
      <c r="N6723">
        <v>0</v>
      </c>
      <c r="O6723">
        <v>0.99974540000000001</v>
      </c>
      <c r="P6723">
        <v>7.3536360000000002E-3</v>
      </c>
      <c r="Q6723">
        <v>0.19104589999999999</v>
      </c>
      <c r="R6723">
        <v>0.98155360000000003</v>
      </c>
      <c r="S6723">
        <v>5.8181759999999999E-2</v>
      </c>
      <c r="T6723">
        <v>-0.15358229999999901</v>
      </c>
      <c r="U6723">
        <v>3.0868530000000001</v>
      </c>
      <c r="V6723">
        <v>-1.2801109999999999E-2</v>
      </c>
      <c r="W6723">
        <v>0.20024359999999999</v>
      </c>
      <c r="X6723">
        <v>0.97966249999999999</v>
      </c>
      <c r="Y6723">
        <v>-1.701536E-3</v>
      </c>
      <c r="Z6723">
        <v>-4.9672099999999997E-2</v>
      </c>
      <c r="AA6723">
        <v>0.99876419999999999</v>
      </c>
      <c r="AB6723">
        <v>47</v>
      </c>
      <c r="AC6723">
        <v>0.41080000000002298</v>
      </c>
      <c r="AD6723">
        <v>-1.109391480282</v>
      </c>
      <c r="AE6723">
        <v>21.835470000000001</v>
      </c>
      <c r="AF6723">
        <v>-3.7316149354198601E-2</v>
      </c>
      <c r="AG6723">
        <v>-1.109391480282</v>
      </c>
      <c r="AH6723">
        <v>21.783092302059401</v>
      </c>
      <c r="AI6723">
        <v>92.915494498966297</v>
      </c>
      <c r="AJ6723">
        <v>90.098152077976593</v>
      </c>
      <c r="AK6723">
        <v>21.811356037430699</v>
      </c>
      <c r="AL6723">
        <v>78.448795437634999</v>
      </c>
      <c r="AM6723">
        <v>90.748633163588806</v>
      </c>
      <c r="AN6723">
        <v>0.99999999083222102</v>
      </c>
    </row>
    <row r="6724" spans="1:40" x14ac:dyDescent="0.25">
      <c r="A6724" t="str">
        <f>"20190312164156892"</f>
        <v>20190312164156892</v>
      </c>
      <c r="B6724" t="str">
        <f>"1552380116882827"</f>
        <v>1552380116882827</v>
      </c>
      <c r="C6724" t="s">
        <v>40</v>
      </c>
      <c r="D6724">
        <v>5.1869230000000002</v>
      </c>
      <c r="E6724">
        <v>0.50832179999999905</v>
      </c>
      <c r="F6724" t="s">
        <v>41</v>
      </c>
      <c r="G6724">
        <v>-187.2261</v>
      </c>
      <c r="H6724" s="1">
        <v>-1.8859020000000001E-6</v>
      </c>
      <c r="I6724">
        <v>42.881869999999999</v>
      </c>
      <c r="J6724">
        <v>-187.61250000000001</v>
      </c>
      <c r="K6724">
        <v>1.1094200000000001</v>
      </c>
      <c r="L6724">
        <v>20.697479999999999</v>
      </c>
      <c r="M6724">
        <v>2.0446869999999999E-2</v>
      </c>
      <c r="N6724">
        <v>0</v>
      </c>
      <c r="O6724">
        <v>0.9997452</v>
      </c>
      <c r="P6724">
        <v>7.2156219999999997E-3</v>
      </c>
      <c r="Q6724">
        <v>0.18863940000000001</v>
      </c>
      <c r="R6724">
        <v>0.98201989999999995</v>
      </c>
      <c r="S6724">
        <v>5.4031370000000002E-2</v>
      </c>
      <c r="T6724">
        <v>-0.1494837</v>
      </c>
      <c r="U6724">
        <v>3.085083</v>
      </c>
      <c r="V6724">
        <v>-1.2869169999999999E-2</v>
      </c>
      <c r="W6724">
        <v>0.19802210000000001</v>
      </c>
      <c r="X6724">
        <v>0.98011309999999996</v>
      </c>
      <c r="Y6724">
        <v>-2.9577729999999999E-3</v>
      </c>
      <c r="Z6724">
        <v>-4.8377950000000003E-2</v>
      </c>
      <c r="AA6724">
        <v>0.99882470000000001</v>
      </c>
      <c r="AB6724">
        <v>47</v>
      </c>
      <c r="AC6724">
        <v>0.38640000000000801</v>
      </c>
      <c r="AD6724">
        <v>-1.109421885902</v>
      </c>
      <c r="AE6724">
        <v>22.18439</v>
      </c>
      <c r="AF6724">
        <v>-6.7135023040625894E-2</v>
      </c>
      <c r="AG6724">
        <v>-1.109421885902</v>
      </c>
      <c r="AH6724">
        <v>22.1323185567115</v>
      </c>
      <c r="AI6724">
        <v>92.869637903283206</v>
      </c>
      <c r="AJ6724">
        <v>90.173797502069803</v>
      </c>
      <c r="AK6724">
        <v>22.160208679703199</v>
      </c>
      <c r="AL6724">
        <v>78.578679724708707</v>
      </c>
      <c r="AM6724">
        <v>90.752267016028796</v>
      </c>
      <c r="AN6724">
        <v>1.00000002820825</v>
      </c>
    </row>
    <row r="6725" spans="1:40" x14ac:dyDescent="0.25">
      <c r="A6725" t="str">
        <f>"20190312164156914"</f>
        <v>20190312164156914</v>
      </c>
      <c r="B6725" t="str">
        <f>"1552380116902350"</f>
        <v>1552380116902350</v>
      </c>
      <c r="C6725" t="s">
        <v>40</v>
      </c>
      <c r="D6725">
        <v>5.1522360000000003</v>
      </c>
      <c r="E6725">
        <v>0.50822889999999998</v>
      </c>
      <c r="F6725" t="s">
        <v>41</v>
      </c>
      <c r="G6725">
        <v>-187.2132</v>
      </c>
      <c r="H6725" s="1">
        <v>-2.7911950000000001E-6</v>
      </c>
      <c r="I6725">
        <v>44.986829999999998</v>
      </c>
      <c r="J6725">
        <v>-187.6036</v>
      </c>
      <c r="K6725">
        <v>1.109453</v>
      </c>
      <c r="L6725">
        <v>21.139130000000002</v>
      </c>
      <c r="M6725">
        <v>2.038827E-2</v>
      </c>
      <c r="N6725">
        <v>0</v>
      </c>
      <c r="O6725">
        <v>0.9997433</v>
      </c>
      <c r="P6725">
        <v>7.4488409999999899E-3</v>
      </c>
      <c r="Q6725">
        <v>0.18693509999999999</v>
      </c>
      <c r="R6725">
        <v>0.98234399999999999</v>
      </c>
      <c r="S6725">
        <v>5.0659179999999998E-2</v>
      </c>
      <c r="T6725">
        <v>-0.14075309999999999</v>
      </c>
      <c r="U6725">
        <v>3.081604</v>
      </c>
      <c r="V6725">
        <v>-1.2569439999999999E-2</v>
      </c>
      <c r="W6725">
        <v>0.1966347</v>
      </c>
      <c r="X6725">
        <v>0.9803963</v>
      </c>
      <c r="Y6725">
        <v>-3.9700350000000002E-3</v>
      </c>
      <c r="Z6725">
        <v>-4.561026E-2</v>
      </c>
      <c r="AA6725">
        <v>0.99895140000000004</v>
      </c>
      <c r="AB6725">
        <v>47</v>
      </c>
      <c r="AC6725">
        <v>0.39039999999999903</v>
      </c>
      <c r="AD6725">
        <v>-1.109455791195</v>
      </c>
      <c r="AE6725">
        <v>23.8477</v>
      </c>
      <c r="AF6725">
        <v>-9.5711148913003405E-2</v>
      </c>
      <c r="AG6725">
        <v>-1.109455791195</v>
      </c>
      <c r="AH6725">
        <v>23.799206491505199</v>
      </c>
      <c r="AI6725">
        <v>92.669023183514994</v>
      </c>
      <c r="AJ6725">
        <v>90.230420090823202</v>
      </c>
      <c r="AK6725">
        <v>23.825244645164599</v>
      </c>
      <c r="AL6725">
        <v>78.659766519810802</v>
      </c>
      <c r="AM6725">
        <v>90.734536031761294</v>
      </c>
      <c r="AN6725">
        <v>1.0000000505598401</v>
      </c>
    </row>
    <row r="6726" spans="1:40" x14ac:dyDescent="0.25">
      <c r="A6726" t="str">
        <f>"20190312164156935"</f>
        <v>20190312164156935</v>
      </c>
      <c r="B6726" t="str">
        <f>"1552380116932603"</f>
        <v>1552380116932603</v>
      </c>
      <c r="C6726" t="s">
        <v>40</v>
      </c>
      <c r="D6726">
        <v>5.2876810000000001</v>
      </c>
      <c r="E6726">
        <v>0.50797840000000005</v>
      </c>
      <c r="F6726" t="s">
        <v>41</v>
      </c>
      <c r="G6726">
        <v>-187.21029999999999</v>
      </c>
      <c r="H6726" s="1">
        <v>-2.9268699999999999E-6</v>
      </c>
      <c r="I6726">
        <v>45.301859999999998</v>
      </c>
      <c r="J6726">
        <v>-187.5942</v>
      </c>
      <c r="K6726">
        <v>1.109507</v>
      </c>
      <c r="L6726">
        <v>21.600950000000001</v>
      </c>
      <c r="M6726">
        <v>2.0312239999999999E-2</v>
      </c>
      <c r="N6726">
        <v>0</v>
      </c>
      <c r="O6726">
        <v>0.99974070000000004</v>
      </c>
      <c r="P6726">
        <v>6.9482739999999999E-3</v>
      </c>
      <c r="Q6726">
        <v>0.184914</v>
      </c>
      <c r="R6726">
        <v>0.9827302</v>
      </c>
      <c r="S6726">
        <v>5.0140379999999998E-2</v>
      </c>
      <c r="T6726">
        <v>-0.1414417</v>
      </c>
      <c r="U6726">
        <v>3.080444</v>
      </c>
      <c r="V6726">
        <v>-1.2986019999999999E-2</v>
      </c>
      <c r="W6726">
        <v>0.1950229</v>
      </c>
      <c r="X6726">
        <v>0.98071269999999999</v>
      </c>
      <c r="Y6726">
        <v>-4.056268E-3</v>
      </c>
      <c r="Z6726">
        <v>-4.585028E-2</v>
      </c>
      <c r="AA6726">
        <v>0.9989401</v>
      </c>
      <c r="AB6726">
        <v>47</v>
      </c>
      <c r="AC6726">
        <v>0.38390000000001101</v>
      </c>
      <c r="AD6726">
        <v>-1.1095099268699999</v>
      </c>
      <c r="AE6726">
        <v>23.70091</v>
      </c>
      <c r="AF6726">
        <v>-9.7409875666491397E-2</v>
      </c>
      <c r="AG6726">
        <v>-1.1095099268699999</v>
      </c>
      <c r="AH6726">
        <v>23.651999243725001</v>
      </c>
      <c r="AI6726">
        <v>92.685740417735602</v>
      </c>
      <c r="AJ6726">
        <v>90.235969194228502</v>
      </c>
      <c r="AK6726">
        <v>23.678208741094998</v>
      </c>
      <c r="AL6726">
        <v>78.753938469378198</v>
      </c>
      <c r="AM6726">
        <v>90.7586326327732</v>
      </c>
      <c r="AN6726">
        <v>0.99999998409057</v>
      </c>
    </row>
    <row r="6727" spans="1:40" x14ac:dyDescent="0.25">
      <c r="A6727" t="str">
        <f>"20190312164156958"</f>
        <v>20190312164156958</v>
      </c>
      <c r="B6727" t="str">
        <f>"1552380116953099"</f>
        <v>1552380116953099</v>
      </c>
      <c r="C6727" t="s">
        <v>40</v>
      </c>
      <c r="D6727">
        <v>5.1411309999999997</v>
      </c>
      <c r="E6727">
        <v>0.50785919999999996</v>
      </c>
      <c r="F6727" t="s">
        <v>41</v>
      </c>
      <c r="G6727">
        <v>-187.22499999999999</v>
      </c>
      <c r="H6727" s="1">
        <v>-3.1564049999999999E-6</v>
      </c>
      <c r="I6727">
        <v>45.84301</v>
      </c>
      <c r="J6727">
        <v>-187.58439999999999</v>
      </c>
      <c r="K6727">
        <v>1.109542</v>
      </c>
      <c r="L6727">
        <v>22.088439999999999</v>
      </c>
      <c r="M6727">
        <v>2.022183E-2</v>
      </c>
      <c r="N6727">
        <v>0</v>
      </c>
      <c r="O6727">
        <v>0.99973829999999997</v>
      </c>
      <c r="P6727">
        <v>7.1783649999999999E-3</v>
      </c>
      <c r="Q6727">
        <v>0.1838245</v>
      </c>
      <c r="R6727">
        <v>0.9829329</v>
      </c>
      <c r="S6727">
        <v>4.6890260000000003E-2</v>
      </c>
      <c r="T6727">
        <v>-0.14091589999999901</v>
      </c>
      <c r="U6727">
        <v>3.0789179999999998</v>
      </c>
      <c r="V6727">
        <v>-1.2657649999999999E-2</v>
      </c>
      <c r="W6727">
        <v>0.1943269</v>
      </c>
      <c r="X6727">
        <v>0.98085520000000004</v>
      </c>
      <c r="Y6727">
        <v>-5.0119819999999999E-3</v>
      </c>
      <c r="Z6727">
        <v>-4.5703170000000001E-2</v>
      </c>
      <c r="AA6727">
        <v>0.99894249999999996</v>
      </c>
      <c r="AB6727">
        <v>47</v>
      </c>
      <c r="AC6727">
        <v>0.359399999999993</v>
      </c>
      <c r="AD6727">
        <v>-1.1095451564049901</v>
      </c>
      <c r="AE6727">
        <v>23.754570000000001</v>
      </c>
      <c r="AF6727">
        <v>-0.120798370883572</v>
      </c>
      <c r="AG6727">
        <v>-1.1095451564049901</v>
      </c>
      <c r="AH6727">
        <v>23.7052741705843</v>
      </c>
      <c r="AI6727">
        <v>92.679786241502399</v>
      </c>
      <c r="AJ6727">
        <v>90.291967807056693</v>
      </c>
      <c r="AK6727">
        <v>23.731534004422901</v>
      </c>
      <c r="AL6727">
        <v>78.794594820205802</v>
      </c>
      <c r="AM6727">
        <v>90.739344267841503</v>
      </c>
      <c r="AN6727">
        <v>1.00000004176708</v>
      </c>
    </row>
    <row r="6728" spans="1:40" x14ac:dyDescent="0.25">
      <c r="A6728" t="str">
        <f>"20190312164156981"</f>
        <v>20190312164156981</v>
      </c>
      <c r="B6728" t="str">
        <f>"1552380116972619"</f>
        <v>1552380116972619</v>
      </c>
      <c r="C6728" t="s">
        <v>40</v>
      </c>
      <c r="D6728">
        <v>5.0722129999999996</v>
      </c>
      <c r="E6728">
        <v>0.50782749999999999</v>
      </c>
      <c r="F6728" t="s">
        <v>41</v>
      </c>
      <c r="G6728">
        <v>-187.227</v>
      </c>
      <c r="H6728" s="1">
        <v>-3.1746040000000002E-6</v>
      </c>
      <c r="I6728">
        <v>45.886249999999997</v>
      </c>
      <c r="J6728">
        <v>-187.57480000000001</v>
      </c>
      <c r="K6728">
        <v>1.1095619999999999</v>
      </c>
      <c r="L6728">
        <v>22.565799999999999</v>
      </c>
      <c r="M6728">
        <v>2.0126310000000001E-2</v>
      </c>
      <c r="N6728">
        <v>0</v>
      </c>
      <c r="O6728">
        <v>0.99973679999999998</v>
      </c>
      <c r="P6728">
        <v>7.0972569999999896E-3</v>
      </c>
      <c r="Q6728">
        <v>0.18283740000000001</v>
      </c>
      <c r="R6728">
        <v>0.98311749999999998</v>
      </c>
      <c r="S6728">
        <v>4.6234129999999998E-2</v>
      </c>
      <c r="T6728">
        <v>-0.14353540000000001</v>
      </c>
      <c r="U6728">
        <v>3.0785830000000001</v>
      </c>
      <c r="V6728">
        <v>-1.264346E-2</v>
      </c>
      <c r="W6728">
        <v>0.1936524</v>
      </c>
      <c r="X6728">
        <v>0.98098870000000005</v>
      </c>
      <c r="Y6728">
        <v>-5.1282869999999996E-3</v>
      </c>
      <c r="Z6728">
        <v>-4.6556199999999902E-2</v>
      </c>
      <c r="AA6728">
        <v>0.99890250000000003</v>
      </c>
      <c r="AB6728">
        <v>47</v>
      </c>
      <c r="AC6728">
        <v>0.34780000000000599</v>
      </c>
      <c r="AD6728">
        <v>-1.1095651746040001</v>
      </c>
      <c r="AE6728">
        <v>23.320450000000001</v>
      </c>
      <c r="AF6728">
        <v>-0.121378810940889</v>
      </c>
      <c r="AG6728">
        <v>-1.1095651746040001</v>
      </c>
      <c r="AH6728">
        <v>23.270059829501498</v>
      </c>
      <c r="AI6728">
        <v>92.729878008025295</v>
      </c>
      <c r="AJ6728">
        <v>90.298857440395196</v>
      </c>
      <c r="AK6728">
        <v>23.2968142062604</v>
      </c>
      <c r="AL6728">
        <v>78.833988355150396</v>
      </c>
      <c r="AM6728">
        <v>90.738415018163906</v>
      </c>
      <c r="AN6728">
        <v>0.99999996931710999</v>
      </c>
    </row>
    <row r="6729" spans="1:40" x14ac:dyDescent="0.25">
      <c r="A6729" t="str">
        <f>"20190312164157004"</f>
        <v>20190312164157004</v>
      </c>
      <c r="B6729" t="str">
        <f>"1552380116993115"</f>
        <v>1552380116993115</v>
      </c>
      <c r="C6729" t="s">
        <v>40</v>
      </c>
      <c r="D6729">
        <v>5.0744920000000002</v>
      </c>
      <c r="E6729">
        <v>0.507664</v>
      </c>
      <c r="F6729" t="s">
        <v>41</v>
      </c>
      <c r="G6729">
        <v>-187.23519999999999</v>
      </c>
      <c r="H6729" s="1">
        <v>-3.1020480000000002E-6</v>
      </c>
      <c r="I6729">
        <v>45.720509999999997</v>
      </c>
      <c r="J6729">
        <v>-187.5651</v>
      </c>
      <c r="K6729">
        <v>1.1095809999999999</v>
      </c>
      <c r="L6729">
        <v>23.047149999999998</v>
      </c>
      <c r="M6729">
        <v>2.0026289999999999E-2</v>
      </c>
      <c r="N6729">
        <v>0</v>
      </c>
      <c r="O6729">
        <v>0.99973579999999995</v>
      </c>
      <c r="P6729">
        <v>7.198561E-3</v>
      </c>
      <c r="Q6729">
        <v>0.1818882</v>
      </c>
      <c r="R6729">
        <v>0.98329290000000003</v>
      </c>
      <c r="S6729">
        <v>4.5150759999999998E-2</v>
      </c>
      <c r="T6729">
        <v>-0.14752750000000001</v>
      </c>
      <c r="U6729">
        <v>3.0786440000000002</v>
      </c>
      <c r="V6729">
        <v>-1.244731E-2</v>
      </c>
      <c r="W6729">
        <v>0.1929698</v>
      </c>
      <c r="X6729">
        <v>0.98112569999999999</v>
      </c>
      <c r="Y6729">
        <v>-5.3809349999999999E-3</v>
      </c>
      <c r="Z6729">
        <v>-4.7847399999999998E-2</v>
      </c>
      <c r="AA6729">
        <v>0.99884019999999996</v>
      </c>
      <c r="AB6729">
        <v>47</v>
      </c>
      <c r="AC6729">
        <v>0.32990000000000902</v>
      </c>
      <c r="AD6729">
        <v>-1.109584102048</v>
      </c>
      <c r="AE6729">
        <v>22.673359999999999</v>
      </c>
      <c r="AF6729">
        <v>-0.123961536601971</v>
      </c>
      <c r="AG6729">
        <v>-1.109584102048</v>
      </c>
      <c r="AH6729">
        <v>22.621255118116</v>
      </c>
      <c r="AI6729">
        <v>92.808094477865694</v>
      </c>
      <c r="AJ6729">
        <v>90.313970278842504</v>
      </c>
      <c r="AK6729">
        <v>22.648790838827601</v>
      </c>
      <c r="AL6729">
        <v>78.873850239019305</v>
      </c>
      <c r="AM6729">
        <v>90.726859025324998</v>
      </c>
      <c r="AN6729">
        <v>0.99999995921938201</v>
      </c>
    </row>
    <row r="6730" spans="1:40" x14ac:dyDescent="0.25">
      <c r="A6730" t="str">
        <f>"20190312164157025"</f>
        <v>20190312164157025</v>
      </c>
      <c r="B6730" t="str">
        <f>"1552380117012634"</f>
        <v>1552380117012634</v>
      </c>
      <c r="C6730" t="s">
        <v>40</v>
      </c>
      <c r="D6730">
        <v>5.1366009999999998</v>
      </c>
      <c r="E6730">
        <v>0.50762959999999901</v>
      </c>
      <c r="F6730" t="s">
        <v>41</v>
      </c>
      <c r="G6730">
        <v>-187.24520000000001</v>
      </c>
      <c r="H6730" s="1">
        <v>-3.1137329999999998E-6</v>
      </c>
      <c r="I6730">
        <v>45.751890000000003</v>
      </c>
      <c r="J6730">
        <v>-187.5564</v>
      </c>
      <c r="K6730">
        <v>1.109599</v>
      </c>
      <c r="L6730">
        <v>23.49173</v>
      </c>
      <c r="M6730">
        <v>1.99282E-2</v>
      </c>
      <c r="N6730">
        <v>0</v>
      </c>
      <c r="O6730">
        <v>0.99973529999999999</v>
      </c>
      <c r="P6730">
        <v>7.6861680000000002E-3</v>
      </c>
      <c r="Q6730">
        <v>0.18074419999999999</v>
      </c>
      <c r="R6730">
        <v>0.98350009999999999</v>
      </c>
      <c r="S6730">
        <v>4.3380740000000001E-2</v>
      </c>
      <c r="T6730">
        <v>-0.15044630000000001</v>
      </c>
      <c r="U6730">
        <v>3.0784910000000001</v>
      </c>
      <c r="V6730">
        <v>-1.187266E-2</v>
      </c>
      <c r="W6730">
        <v>0.1920433</v>
      </c>
      <c r="X6730">
        <v>0.98131469999999998</v>
      </c>
      <c r="Y6730">
        <v>-5.8569629999999998E-3</v>
      </c>
      <c r="Z6730">
        <v>-4.8794520000000001E-2</v>
      </c>
      <c r="AA6730">
        <v>0.99879169999999995</v>
      </c>
      <c r="AB6730">
        <v>47</v>
      </c>
      <c r="AC6730">
        <v>0.31119999999998499</v>
      </c>
      <c r="AD6730">
        <v>-1.1096021137330001</v>
      </c>
      <c r="AE6730">
        <v>22.260159999999999</v>
      </c>
      <c r="AF6730">
        <v>-0.132167717216054</v>
      </c>
      <c r="AG6730">
        <v>-1.1096021137330001</v>
      </c>
      <c r="AH6730">
        <v>22.206774017501498</v>
      </c>
      <c r="AI6730">
        <v>92.860458913319803</v>
      </c>
      <c r="AJ6730">
        <v>90.341002388103206</v>
      </c>
      <c r="AK6730">
        <v>22.234871203149702</v>
      </c>
      <c r="AL6730">
        <v>78.927947802302498</v>
      </c>
      <c r="AM6730">
        <v>90.6931722523438</v>
      </c>
      <c r="AN6730">
        <v>1.0000000647832199</v>
      </c>
    </row>
    <row r="6731" spans="1:40" x14ac:dyDescent="0.25">
      <c r="A6731" t="str">
        <f>"20190312164157049"</f>
        <v>20190312164157049</v>
      </c>
      <c r="B6731" t="str">
        <f>"1552380117042892"</f>
        <v>1552380117042892</v>
      </c>
      <c r="C6731" t="s">
        <v>40</v>
      </c>
      <c r="D6731">
        <v>5.0622290000000003</v>
      </c>
      <c r="E6731">
        <v>0.50752829999999904</v>
      </c>
      <c r="F6731" t="s">
        <v>41</v>
      </c>
      <c r="G6731">
        <v>-187.23779999999999</v>
      </c>
      <c r="H6731" s="1">
        <v>-3.1018289999999998E-6</v>
      </c>
      <c r="I6731">
        <v>45.721080000000001</v>
      </c>
      <c r="J6731">
        <v>-187.5462</v>
      </c>
      <c r="K6731">
        <v>1.1096250000000001</v>
      </c>
      <c r="L6731">
        <v>24.00845</v>
      </c>
      <c r="M6731">
        <v>1.9790209999999999E-2</v>
      </c>
      <c r="N6731">
        <v>0</v>
      </c>
      <c r="O6731">
        <v>0.99973540000000005</v>
      </c>
      <c r="P6731">
        <v>8.7494540000000003E-3</v>
      </c>
      <c r="Q6731">
        <v>0.1797782</v>
      </c>
      <c r="R6731">
        <v>0.98366830000000005</v>
      </c>
      <c r="S6731">
        <v>4.4113159999999998E-2</v>
      </c>
      <c r="T6731">
        <v>-0.1536525</v>
      </c>
      <c r="U6731">
        <v>3.078217</v>
      </c>
      <c r="V6731">
        <v>-1.068476E-2</v>
      </c>
      <c r="W6731">
        <v>0.19130059999999999</v>
      </c>
      <c r="X6731">
        <v>0.98147329999999999</v>
      </c>
      <c r="Y6731">
        <v>-5.4808749999999996E-3</v>
      </c>
      <c r="Z6731">
        <v>-4.9836459999999999E-2</v>
      </c>
      <c r="AA6731">
        <v>0.99874229999999997</v>
      </c>
      <c r="AB6731">
        <v>47</v>
      </c>
      <c r="AC6731">
        <v>0.308400000000006</v>
      </c>
      <c r="AD6731">
        <v>-1.109628101829</v>
      </c>
      <c r="AE6731">
        <v>21.712629999999901</v>
      </c>
      <c r="AF6731">
        <v>-0.121071311234134</v>
      </c>
      <c r="AG6731">
        <v>-1.109628101829</v>
      </c>
      <c r="AH6731">
        <v>21.657927339808399</v>
      </c>
      <c r="AI6731">
        <v>92.932897221526403</v>
      </c>
      <c r="AJ6731">
        <v>90.320289323509598</v>
      </c>
      <c r="AK6731">
        <v>21.6866721615648</v>
      </c>
      <c r="AL6731">
        <v>78.9713041071916</v>
      </c>
      <c r="AM6731">
        <v>90.623722999128603</v>
      </c>
      <c r="AN6731">
        <v>0.99999996113475298</v>
      </c>
    </row>
    <row r="6732" spans="1:40" x14ac:dyDescent="0.25">
      <c r="A6732" t="str">
        <f>"20190312164157072"</f>
        <v>20190312164157072</v>
      </c>
      <c r="B6732" t="str">
        <f>"1552380117062411"</f>
        <v>1552380117062411</v>
      </c>
      <c r="C6732" t="s">
        <v>40</v>
      </c>
      <c r="D6732">
        <v>5.2705299999999999</v>
      </c>
      <c r="E6732">
        <v>0.50748279999999901</v>
      </c>
      <c r="F6732" t="s">
        <v>41</v>
      </c>
      <c r="G6732">
        <v>-187.21770000000001</v>
      </c>
      <c r="H6732" s="1">
        <v>-3.181155E-6</v>
      </c>
      <c r="I6732">
        <v>45.8977</v>
      </c>
      <c r="J6732">
        <v>-187.53720000000001</v>
      </c>
      <c r="K6732">
        <v>1.10964</v>
      </c>
      <c r="L6732">
        <v>24.469329999999999</v>
      </c>
      <c r="M6732">
        <v>1.963177E-2</v>
      </c>
      <c r="N6732">
        <v>0</v>
      </c>
      <c r="O6732">
        <v>0.99973639999999997</v>
      </c>
      <c r="P6732">
        <v>9.8767339999999999E-3</v>
      </c>
      <c r="Q6732">
        <v>0.179091</v>
      </c>
      <c r="R6732">
        <v>0.98378290000000002</v>
      </c>
      <c r="S6732">
        <v>4.6188350000000003E-2</v>
      </c>
      <c r="T6732">
        <v>-0.15602820000000001</v>
      </c>
      <c r="U6732">
        <v>3.0779109999999998</v>
      </c>
      <c r="V6732">
        <v>-9.4113319999999997E-3</v>
      </c>
      <c r="W6732">
        <v>0.1907886</v>
      </c>
      <c r="X6732">
        <v>0.98158599999999996</v>
      </c>
      <c r="Y6732">
        <v>-4.6483669999999996E-3</v>
      </c>
      <c r="Z6732">
        <v>-5.061011E-2</v>
      </c>
      <c r="AA6732">
        <v>0.99870769999999998</v>
      </c>
      <c r="AB6732">
        <v>47</v>
      </c>
      <c r="AC6732">
        <v>0.319500000000005</v>
      </c>
      <c r="AD6732">
        <v>-1.109643181155</v>
      </c>
      <c r="AE6732">
        <v>21.428370000000001</v>
      </c>
      <c r="AF6732">
        <v>-0.100997456735546</v>
      </c>
      <c r="AG6732">
        <v>-1.109643181155</v>
      </c>
      <c r="AH6732">
        <v>21.373211566283501</v>
      </c>
      <c r="AI6732">
        <v>92.971950753755607</v>
      </c>
      <c r="AJ6732">
        <v>90.270744755570405</v>
      </c>
      <c r="AK6732">
        <v>21.4022354237324</v>
      </c>
      <c r="AL6732">
        <v>79.001190095668093</v>
      </c>
      <c r="AM6732">
        <v>90.549328414182298</v>
      </c>
      <c r="AN6732">
        <v>0.99999996922798595</v>
      </c>
    </row>
    <row r="6733" spans="1:40" x14ac:dyDescent="0.25">
      <c r="A6733" t="str">
        <f>"20190312164157093"</f>
        <v>20190312164157093</v>
      </c>
      <c r="B6733" t="str">
        <f>"1552380117082907"</f>
        <v>1552380117082907</v>
      </c>
      <c r="C6733" t="s">
        <v>40</v>
      </c>
      <c r="D6733">
        <v>5.2649780000000002</v>
      </c>
      <c r="E6733">
        <v>0.50749599999999995</v>
      </c>
      <c r="F6733" t="s">
        <v>41</v>
      </c>
      <c r="G6733">
        <v>-187.19489999999999</v>
      </c>
      <c r="H6733" s="1">
        <v>-3.3752279999999998E-6</v>
      </c>
      <c r="I6733">
        <v>46.340629999999997</v>
      </c>
      <c r="J6733">
        <v>-187.52850000000001</v>
      </c>
      <c r="K6733">
        <v>1.109664</v>
      </c>
      <c r="L6733">
        <v>24.922820000000002</v>
      </c>
      <c r="M6733">
        <v>1.9436930000000002E-2</v>
      </c>
      <c r="N6733">
        <v>0</v>
      </c>
      <c r="O6733">
        <v>0.99973840000000003</v>
      </c>
      <c r="P6733">
        <v>1.13854E-2</v>
      </c>
      <c r="Q6733">
        <v>0.17874619999999999</v>
      </c>
      <c r="R6733">
        <v>0.98382930000000002</v>
      </c>
      <c r="S6733">
        <v>4.8172E-2</v>
      </c>
      <c r="T6733">
        <v>-0.15613199999999999</v>
      </c>
      <c r="U6733">
        <v>3.0773929999999998</v>
      </c>
      <c r="V6733">
        <v>-7.7200589999999996E-3</v>
      </c>
      <c r="W6733">
        <v>0.1905953</v>
      </c>
      <c r="X6733">
        <v>0.98163840000000002</v>
      </c>
      <c r="Y6733">
        <v>-3.8074210000000001E-3</v>
      </c>
      <c r="Z6733">
        <v>-5.0652349999999999E-2</v>
      </c>
      <c r="AA6733">
        <v>0.99870910000000002</v>
      </c>
      <c r="AB6733">
        <v>47</v>
      </c>
      <c r="AC6733">
        <v>0.33360000000001799</v>
      </c>
      <c r="AD6733">
        <v>-1.109667375228</v>
      </c>
      <c r="AE6733">
        <v>21.417809999999999</v>
      </c>
      <c r="AF6733">
        <v>-8.2568173655751295E-2</v>
      </c>
      <c r="AG6733">
        <v>-1.109667375228</v>
      </c>
      <c r="AH6733">
        <v>21.3629167404569</v>
      </c>
      <c r="AI6733">
        <v>92.973456054952905</v>
      </c>
      <c r="AJ6733">
        <v>90.221448427354503</v>
      </c>
      <c r="AK6733">
        <v>21.391876749052201</v>
      </c>
      <c r="AL6733">
        <v>79.012473389133305</v>
      </c>
      <c r="AM6733">
        <v>90.450591255760401</v>
      </c>
      <c r="AN6733">
        <v>1.0000000580238</v>
      </c>
    </row>
    <row r="6734" spans="1:40" x14ac:dyDescent="0.25">
      <c r="A6734" t="str">
        <f>"20190312164157115"</f>
        <v>20190312164157115</v>
      </c>
      <c r="B6734" t="str">
        <f>"1552380117102430"</f>
        <v>1552380117102430</v>
      </c>
      <c r="C6734" t="s">
        <v>40</v>
      </c>
      <c r="D6734">
        <v>5.254848</v>
      </c>
      <c r="E6734">
        <v>0.50752739999999996</v>
      </c>
      <c r="F6734" t="s">
        <v>41</v>
      </c>
      <c r="G6734">
        <v>-187.14879999999999</v>
      </c>
      <c r="H6734" s="1">
        <v>-3.71078E-6</v>
      </c>
      <c r="I6734">
        <v>47.103760000000001</v>
      </c>
      <c r="J6734">
        <v>-187.51990000000001</v>
      </c>
      <c r="K6734">
        <v>1.10968</v>
      </c>
      <c r="L6734">
        <v>25.379940000000001</v>
      </c>
      <c r="M6734">
        <v>1.920405E-2</v>
      </c>
      <c r="N6734">
        <v>0</v>
      </c>
      <c r="O6734">
        <v>0.99974130000000005</v>
      </c>
      <c r="P6734">
        <v>1.217468E-2</v>
      </c>
      <c r="Q6734">
        <v>0.17852409999999999</v>
      </c>
      <c r="R6734">
        <v>0.98386019999999996</v>
      </c>
      <c r="S6734">
        <v>5.2673339999999999E-2</v>
      </c>
      <c r="T6734">
        <v>-0.1539191</v>
      </c>
      <c r="U6734">
        <v>3.07666</v>
      </c>
      <c r="V6734">
        <v>-6.7114560000000002E-3</v>
      </c>
      <c r="W6734">
        <v>0.1905068</v>
      </c>
      <c r="X6734">
        <v>0.9816629</v>
      </c>
      <c r="Y6734">
        <v>-2.1094040000000001E-3</v>
      </c>
      <c r="Z6734">
        <v>-4.9947970000000001E-2</v>
      </c>
      <c r="AA6734">
        <v>0.99874960000000002</v>
      </c>
      <c r="AB6734">
        <v>47</v>
      </c>
      <c r="AC6734">
        <v>0.37110000000001198</v>
      </c>
      <c r="AD6734">
        <v>-1.1096837107799999</v>
      </c>
      <c r="AE6734">
        <v>21.72382</v>
      </c>
      <c r="AF6734">
        <v>-4.6064597406674603E-2</v>
      </c>
      <c r="AG6734">
        <v>-1.1096837107799999</v>
      </c>
      <c r="AH6734">
        <v>21.6704119911109</v>
      </c>
      <c r="AI6734">
        <v>92.931396234772905</v>
      </c>
      <c r="AJ6734">
        <v>90.121792933248003</v>
      </c>
      <c r="AK6734">
        <v>21.698854249696801</v>
      </c>
      <c r="AL6734">
        <v>79.017637694352899</v>
      </c>
      <c r="AM6734">
        <v>90.391715029645894</v>
      </c>
      <c r="AN6734">
        <v>0.99999996686214399</v>
      </c>
    </row>
    <row r="6735" spans="1:40" x14ac:dyDescent="0.25">
      <c r="A6735" t="str">
        <f>"20190312164157136"</f>
        <v>20190312164157136</v>
      </c>
      <c r="B6735" t="str">
        <f>"1552380117132682"</f>
        <v>1552380117132682</v>
      </c>
      <c r="C6735" t="s">
        <v>40</v>
      </c>
      <c r="D6735">
        <v>5.1018949999999998</v>
      </c>
      <c r="E6735">
        <v>0.50742979999999904</v>
      </c>
      <c r="F6735" t="s">
        <v>41</v>
      </c>
      <c r="G6735">
        <v>-187.1139</v>
      </c>
      <c r="H6735" s="1">
        <v>-4.050983E-6</v>
      </c>
      <c r="I6735">
        <v>47.882350000000002</v>
      </c>
      <c r="J6735">
        <v>-187.5112</v>
      </c>
      <c r="K6735">
        <v>1.109704</v>
      </c>
      <c r="L6735">
        <v>25.84113</v>
      </c>
      <c r="M6735">
        <v>1.894063E-2</v>
      </c>
      <c r="N6735">
        <v>0</v>
      </c>
      <c r="O6735">
        <v>0.99974479999999999</v>
      </c>
      <c r="P6735">
        <v>1.281475E-2</v>
      </c>
      <c r="Q6735">
        <v>0.1780052</v>
      </c>
      <c r="R6735">
        <v>0.98394610000000005</v>
      </c>
      <c r="S6735">
        <v>5.5496219999999999E-2</v>
      </c>
      <c r="T6735">
        <v>-0.15169240000000001</v>
      </c>
      <c r="U6735">
        <v>3.07605</v>
      </c>
      <c r="V6735">
        <v>-5.824409E-3</v>
      </c>
      <c r="W6735">
        <v>0.1901061</v>
      </c>
      <c r="X6735">
        <v>0.98174629999999996</v>
      </c>
      <c r="Y6735">
        <v>-9.2564480000000005E-4</v>
      </c>
      <c r="Z6735">
        <v>-4.9236920000000003E-2</v>
      </c>
      <c r="AA6735">
        <v>0.99878670000000003</v>
      </c>
      <c r="AB6735">
        <v>47</v>
      </c>
      <c r="AC6735">
        <v>0.39730000000000099</v>
      </c>
      <c r="AD6735">
        <v>-1.109708050983</v>
      </c>
      <c r="AE6735">
        <v>22.041219999999999</v>
      </c>
      <c r="AF6735">
        <v>-2.0226267508073902E-2</v>
      </c>
      <c r="AG6735">
        <v>-1.109708050983</v>
      </c>
      <c r="AH6735">
        <v>21.989070996662502</v>
      </c>
      <c r="AI6735">
        <v>92.889056372389504</v>
      </c>
      <c r="AJ6735">
        <v>90.0527025192129</v>
      </c>
      <c r="AK6735">
        <v>22.017063935878902</v>
      </c>
      <c r="AL6735">
        <v>79.0410241440226</v>
      </c>
      <c r="AM6735">
        <v>90.339914842256405</v>
      </c>
      <c r="AN6735">
        <v>1.0000000252805401</v>
      </c>
    </row>
    <row r="6736" spans="1:40" x14ac:dyDescent="0.25">
      <c r="A6736" t="str">
        <f>"20190312164157160"</f>
        <v>20190312164157160</v>
      </c>
      <c r="B6736" t="str">
        <f>"1552380117153181"</f>
        <v>1552380117153181</v>
      </c>
      <c r="C6736" t="s">
        <v>40</v>
      </c>
      <c r="D6736">
        <v>5.1356630000000001</v>
      </c>
      <c r="E6736">
        <v>0.50742520000000002</v>
      </c>
      <c r="F6736" t="s">
        <v>41</v>
      </c>
      <c r="G6736">
        <v>-187.0899</v>
      </c>
      <c r="H6736" s="1">
        <v>-4.3089140000000003E-6</v>
      </c>
      <c r="I6736">
        <v>48.473689999999998</v>
      </c>
      <c r="J6736">
        <v>-187.50239999999999</v>
      </c>
      <c r="K6736">
        <v>1.1097250000000001</v>
      </c>
      <c r="L6736">
        <v>26.321439999999999</v>
      </c>
      <c r="M6736">
        <v>1.8645499999999999E-2</v>
      </c>
      <c r="N6736">
        <v>0</v>
      </c>
      <c r="O6736">
        <v>0.999749</v>
      </c>
      <c r="P6736">
        <v>1.336503E-2</v>
      </c>
      <c r="Q6736">
        <v>0.17674790000000001</v>
      </c>
      <c r="R6736">
        <v>0.98416539999999997</v>
      </c>
      <c r="S6736">
        <v>5.725098E-2</v>
      </c>
      <c r="T6736">
        <v>-0.15079489999999901</v>
      </c>
      <c r="U6736">
        <v>3.0754700000000001</v>
      </c>
      <c r="V6736">
        <v>-4.9983450000000004E-3</v>
      </c>
      <c r="W6736">
        <v>0.18895709999999999</v>
      </c>
      <c r="X6736">
        <v>0.98197259999999997</v>
      </c>
      <c r="Y6736" s="1">
        <v>-5.7128749999999997E-5</v>
      </c>
      <c r="Z6736">
        <v>-4.895567E-2</v>
      </c>
      <c r="AA6736">
        <v>0.99880089999999999</v>
      </c>
      <c r="AB6736">
        <v>47</v>
      </c>
      <c r="AC6736">
        <v>0.41249999999999398</v>
      </c>
      <c r="AD6736">
        <v>-1.1097293089139999</v>
      </c>
      <c r="AE6736">
        <v>22.152249999999999</v>
      </c>
      <c r="AF6736">
        <v>-6.4175454041431803E-4</v>
      </c>
      <c r="AG6736">
        <v>-1.1097293089139999</v>
      </c>
      <c r="AH6736">
        <v>22.100646485670101</v>
      </c>
      <c r="AI6736">
        <v>92.874551631150993</v>
      </c>
      <c r="AJ6736">
        <v>90.001663744391493</v>
      </c>
      <c r="AK6736">
        <v>22.128490111968102</v>
      </c>
      <c r="AL6736">
        <v>79.108071749855199</v>
      </c>
      <c r="AM6736">
        <v>90.291639094372798</v>
      </c>
      <c r="AN6736">
        <v>0.99999997812195396</v>
      </c>
    </row>
    <row r="6737" spans="1:40" x14ac:dyDescent="0.25">
      <c r="A6737" t="str">
        <f>"20190312164157193"</f>
        <v>20190312164157193</v>
      </c>
      <c r="B6737" t="str">
        <f>"1552380117182460"</f>
        <v>1552380117182460</v>
      </c>
      <c r="C6737" t="s">
        <v>40</v>
      </c>
      <c r="D6737">
        <v>5.2073460000000003</v>
      </c>
      <c r="E6737">
        <v>0.5073685</v>
      </c>
      <c r="F6737" t="s">
        <v>41</v>
      </c>
      <c r="G6737">
        <v>-187.07980000000001</v>
      </c>
      <c r="H6737" s="1">
        <v>-4.2503720000000001E-6</v>
      </c>
      <c r="I6737">
        <v>48.333019999999998</v>
      </c>
      <c r="J6737">
        <v>-187.48949999999999</v>
      </c>
      <c r="K6737">
        <v>1.1097779999999999</v>
      </c>
      <c r="L6737">
        <v>27.034030000000001</v>
      </c>
      <c r="M6737">
        <v>1.8186919999999999E-2</v>
      </c>
      <c r="N6737">
        <v>0</v>
      </c>
      <c r="O6737">
        <v>0.99975579999999997</v>
      </c>
      <c r="P6737">
        <v>1.423811E-2</v>
      </c>
      <c r="Q6737">
        <v>0.17563489999999901</v>
      </c>
      <c r="R6737">
        <v>0.98435240000000002</v>
      </c>
      <c r="S6737">
        <v>5.9051510000000001E-2</v>
      </c>
      <c r="T6737">
        <v>-0.1550443</v>
      </c>
      <c r="U6737">
        <v>3.0753170000000001</v>
      </c>
      <c r="V6737">
        <v>-3.7006169999999998E-3</v>
      </c>
      <c r="W6737">
        <v>0.18797700000000001</v>
      </c>
      <c r="X6737">
        <v>0.98216650000000005</v>
      </c>
      <c r="Y6737">
        <v>9.8570689999999991E-4</v>
      </c>
      <c r="Z6737">
        <v>-5.033464E-2</v>
      </c>
      <c r="AA6737">
        <v>0.99873190000000001</v>
      </c>
      <c r="AB6737">
        <v>47</v>
      </c>
      <c r="AC6737">
        <v>0.40969999999998602</v>
      </c>
      <c r="AD6737">
        <v>-1.1097822503720001</v>
      </c>
      <c r="AE6737">
        <v>21.29899</v>
      </c>
      <c r="AF6737">
        <v>2.2178485651007201E-2</v>
      </c>
      <c r="AG6737">
        <v>-1.1097822503720001</v>
      </c>
      <c r="AH6737">
        <v>21.245260537328601</v>
      </c>
      <c r="AI6737">
        <v>92.990222877481102</v>
      </c>
      <c r="AJ6737">
        <v>89.940187452163499</v>
      </c>
      <c r="AK6737">
        <v>21.274238031653201</v>
      </c>
      <c r="AL6737">
        <v>79.165252728957299</v>
      </c>
      <c r="AM6737">
        <v>90.2158786034245</v>
      </c>
      <c r="AN6737">
        <v>1.0000000404087099</v>
      </c>
    </row>
    <row r="6738" spans="1:40" x14ac:dyDescent="0.25">
      <c r="A6738" t="str">
        <f>"20190312164157215"</f>
        <v>20190312164157215</v>
      </c>
      <c r="B6738" t="str">
        <f>"1552380117202958"</f>
        <v>1552380117202958</v>
      </c>
      <c r="C6738" t="s">
        <v>40</v>
      </c>
      <c r="D6738">
        <v>5.11381</v>
      </c>
      <c r="E6738">
        <v>0.50734099999999904</v>
      </c>
      <c r="F6738" t="s">
        <v>41</v>
      </c>
      <c r="G6738">
        <v>-187.04820000000001</v>
      </c>
      <c r="H6738" s="1">
        <v>-4.54946E-6</v>
      </c>
      <c r="I6738">
        <v>49.017159999999997</v>
      </c>
      <c r="J6738">
        <v>-187.4813</v>
      </c>
      <c r="K6738">
        <v>1.1095790000000001</v>
      </c>
      <c r="L6738">
        <v>27.497990000000001</v>
      </c>
      <c r="M6738">
        <v>1.7897759999999999E-2</v>
      </c>
      <c r="N6738">
        <v>0</v>
      </c>
      <c r="O6738">
        <v>0.99977050000000001</v>
      </c>
      <c r="P6738">
        <v>1.4677030000000001E-2</v>
      </c>
      <c r="Q6738">
        <v>0.1757155</v>
      </c>
      <c r="R6738">
        <v>0.98433159999999997</v>
      </c>
      <c r="S6738">
        <v>6.17218E-2</v>
      </c>
      <c r="T6738">
        <v>-0.15521070000000001</v>
      </c>
      <c r="U6738">
        <v>3.0744929999999999</v>
      </c>
      <c r="V6738">
        <v>-2.9942979999999998E-3</v>
      </c>
      <c r="W6738">
        <v>0.18729409999999999</v>
      </c>
      <c r="X6738">
        <v>0.98229929999999999</v>
      </c>
      <c r="Y6738">
        <v>2.1472629999999999E-3</v>
      </c>
      <c r="Z6738">
        <v>-5.0401910000000001E-2</v>
      </c>
      <c r="AA6738">
        <v>0.99872669999999997</v>
      </c>
      <c r="AB6738">
        <v>47</v>
      </c>
      <c r="AC6738">
        <v>0.43309999999999599</v>
      </c>
      <c r="AD6738">
        <v>-1.1095835494599999</v>
      </c>
      <c r="AE6738">
        <v>21.5191699999999</v>
      </c>
      <c r="AF6738">
        <v>4.77321267333215E-2</v>
      </c>
      <c r="AG6738">
        <v>-1.1095835494599999</v>
      </c>
      <c r="AH6738">
        <v>21.466425057863098</v>
      </c>
      <c r="AI6738">
        <v>92.9589355985905</v>
      </c>
      <c r="AJ6738">
        <v>89.872598958868593</v>
      </c>
      <c r="AK6738">
        <v>21.495135700293002</v>
      </c>
      <c r="AL6738">
        <v>79.205086875962905</v>
      </c>
      <c r="AM6738">
        <v>90.174651561530496</v>
      </c>
      <c r="AN6738">
        <v>0.99999998024790604</v>
      </c>
    </row>
    <row r="6739" spans="1:40" x14ac:dyDescent="0.25">
      <c r="A6739" t="str">
        <f>"20190312164157239"</f>
        <v>20190312164157239</v>
      </c>
      <c r="B6739" t="str">
        <f>"1552380117233212"</f>
        <v>1552380117233212</v>
      </c>
      <c r="C6739" t="s">
        <v>40</v>
      </c>
      <c r="D6739">
        <v>5.1077820000000003</v>
      </c>
      <c r="E6739">
        <v>0.52266859999999904</v>
      </c>
      <c r="F6739" t="s">
        <v>41</v>
      </c>
      <c r="G6739">
        <v>-187.03059999999999</v>
      </c>
      <c r="H6739" s="1">
        <v>-4.7727250000000001E-6</v>
      </c>
      <c r="I6739">
        <v>49.530290000000001</v>
      </c>
      <c r="J6739">
        <v>-187.4725</v>
      </c>
      <c r="K6739">
        <v>1.1092390000000001</v>
      </c>
      <c r="L6739">
        <v>27.997250000000001</v>
      </c>
      <c r="M6739">
        <v>1.7601720000000001E-2</v>
      </c>
      <c r="N6739">
        <v>0</v>
      </c>
      <c r="O6739">
        <v>0.9997916</v>
      </c>
      <c r="P6739">
        <v>1.49697999999999E-2</v>
      </c>
      <c r="Q6739">
        <v>0.17686160000000001</v>
      </c>
      <c r="R6739">
        <v>0.98412189999999999</v>
      </c>
      <c r="S6739">
        <v>6.2896729999999998E-2</v>
      </c>
      <c r="T6739">
        <v>-0.1548351</v>
      </c>
      <c r="U6739">
        <v>3.0744630000000002</v>
      </c>
      <c r="V6739">
        <v>-2.4182969999999998E-3</v>
      </c>
      <c r="W6739">
        <v>0.1870243</v>
      </c>
      <c r="X6739">
        <v>0.98235229999999996</v>
      </c>
      <c r="Y6739">
        <v>2.8254920000000002E-3</v>
      </c>
      <c r="Z6739">
        <v>-5.0280909999999998E-2</v>
      </c>
      <c r="AA6739">
        <v>0.99873109999999998</v>
      </c>
      <c r="AB6739">
        <v>47</v>
      </c>
      <c r="AC6739">
        <v>0.44190000000000401</v>
      </c>
      <c r="AD6739">
        <v>-1.109243772725</v>
      </c>
      <c r="AE6739">
        <v>21.53304</v>
      </c>
      <c r="AF6739">
        <v>6.2626605701030402E-2</v>
      </c>
      <c r="AG6739">
        <v>-1.109243772725</v>
      </c>
      <c r="AH6739">
        <v>21.480504611062798</v>
      </c>
      <c r="AI6739">
        <v>92.9560904530952</v>
      </c>
      <c r="AJ6739">
        <v>89.832954109318607</v>
      </c>
      <c r="AK6739">
        <v>21.5092171448652</v>
      </c>
      <c r="AL6739">
        <v>79.220823444386497</v>
      </c>
      <c r="AM6739">
        <v>90.141047088518803</v>
      </c>
      <c r="AN6739">
        <v>0.99999998913307997</v>
      </c>
    </row>
    <row r="6740" spans="1:40" x14ac:dyDescent="0.25">
      <c r="A6740" t="str">
        <f>"20190312164157262"</f>
        <v>20190312164157262</v>
      </c>
      <c r="B6740" t="str">
        <f>"1552380117252731"</f>
        <v>1552380117252731</v>
      </c>
      <c r="C6740" t="s">
        <v>40</v>
      </c>
      <c r="D6740">
        <v>5.117877</v>
      </c>
      <c r="E6740">
        <v>0.52224399999999904</v>
      </c>
      <c r="F6740" t="s">
        <v>41</v>
      </c>
      <c r="G6740">
        <v>-186.0001</v>
      </c>
      <c r="H6740" s="1">
        <v>-1.9704269999999999E-6</v>
      </c>
      <c r="I6740">
        <v>52.310839999999999</v>
      </c>
      <c r="J6740">
        <v>-187.46369999999999</v>
      </c>
      <c r="K6740">
        <v>1.1089450000000001</v>
      </c>
      <c r="L6740">
        <v>28.504909999999999</v>
      </c>
      <c r="M6740">
        <v>1.7305979999999999E-2</v>
      </c>
      <c r="N6740">
        <v>0</v>
      </c>
      <c r="O6740">
        <v>0.99981109999999895</v>
      </c>
      <c r="P6740">
        <v>1.5243309999999999E-2</v>
      </c>
      <c r="Q6740">
        <v>0.17798849999999999</v>
      </c>
      <c r="R6740">
        <v>0.98391450000000003</v>
      </c>
      <c r="S6740">
        <v>0.18595890000000001</v>
      </c>
      <c r="T6740">
        <v>-0.140094</v>
      </c>
      <c r="U6740">
        <v>3.0707399999999998</v>
      </c>
      <c r="V6740">
        <v>-1.8572490000000001E-3</v>
      </c>
      <c r="W6740">
        <v>0.18668419999999999</v>
      </c>
      <c r="X6740">
        <v>0.98241820000000002</v>
      </c>
      <c r="Y6740">
        <v>4.3100920000000001E-2</v>
      </c>
      <c r="Z6740">
        <v>-4.5501859999999998E-2</v>
      </c>
      <c r="AA6740">
        <v>0.99803399999999998</v>
      </c>
      <c r="AB6740">
        <v>48</v>
      </c>
      <c r="AC6740">
        <v>1.46359999999998</v>
      </c>
      <c r="AD6740">
        <v>-1.1089469704269901</v>
      </c>
      <c r="AE6740">
        <v>23.80593</v>
      </c>
      <c r="AF6740">
        <v>1.0491117671196599</v>
      </c>
      <c r="AG6740">
        <v>-1.1089469704269901</v>
      </c>
      <c r="AH6740">
        <v>23.776295304135601</v>
      </c>
      <c r="AI6740">
        <v>92.667797437872906</v>
      </c>
      <c r="AJ6740">
        <v>87.473504134134004</v>
      </c>
      <c r="AK6740">
        <v>23.8252516728069</v>
      </c>
      <c r="AL6740">
        <v>79.240658990102901</v>
      </c>
      <c r="AM6740">
        <v>90.108316806869396</v>
      </c>
      <c r="AN6740">
        <v>0.99999997979736299</v>
      </c>
    </row>
    <row r="6741" spans="1:40" x14ac:dyDescent="0.25">
      <c r="A6741" t="str">
        <f>"20190312164157284"</f>
        <v>20190312164157284</v>
      </c>
      <c r="B6741" t="str">
        <f>"1552380117273227"</f>
        <v>1552380117273227</v>
      </c>
      <c r="C6741" t="s">
        <v>40</v>
      </c>
      <c r="D6741">
        <v>5.0910900000000003</v>
      </c>
      <c r="E6741">
        <v>0.52126819999999996</v>
      </c>
      <c r="F6741" t="s">
        <v>41</v>
      </c>
      <c r="G6741">
        <v>-186.02629999999999</v>
      </c>
      <c r="H6741" s="1">
        <v>-2.049537E-6</v>
      </c>
      <c r="I6741">
        <v>52.563830000000003</v>
      </c>
      <c r="J6741">
        <v>-187.4554</v>
      </c>
      <c r="K6741">
        <v>1.1087689999999999</v>
      </c>
      <c r="L6741">
        <v>28.986789999999999</v>
      </c>
      <c r="M6741">
        <v>1.7033420000000001E-2</v>
      </c>
      <c r="N6741">
        <v>0</v>
      </c>
      <c r="O6741">
        <v>0.99982579999999999</v>
      </c>
      <c r="P6741">
        <v>1.517582E-2</v>
      </c>
      <c r="Q6741">
        <v>0.1782647</v>
      </c>
      <c r="R6741">
        <v>0.98386560000000001</v>
      </c>
      <c r="S6741">
        <v>0.1835175</v>
      </c>
      <c r="T6741">
        <v>-0.14158879999999999</v>
      </c>
      <c r="U6741">
        <v>3.0718079999999999</v>
      </c>
      <c r="V6741">
        <v>-1.6626659999999999E-3</v>
      </c>
      <c r="W6741">
        <v>0.1857655</v>
      </c>
      <c r="X6741">
        <v>0.98259269999999999</v>
      </c>
      <c r="Y6741">
        <v>4.2560849999999997E-2</v>
      </c>
      <c r="Z6741">
        <v>-4.597234E-2</v>
      </c>
      <c r="AA6741">
        <v>0.99803560000000002</v>
      </c>
      <c r="AB6741">
        <v>48</v>
      </c>
      <c r="AC6741">
        <v>1.4291</v>
      </c>
      <c r="AD6741">
        <v>-1.108771049537</v>
      </c>
      <c r="AE6741">
        <v>23.57704</v>
      </c>
      <c r="AF6741">
        <v>1.0250246980498201</v>
      </c>
      <c r="AG6741">
        <v>-1.108771049537</v>
      </c>
      <c r="AH6741">
        <v>23.546078714085301</v>
      </c>
      <c r="AI6741">
        <v>92.693485882922502</v>
      </c>
      <c r="AJ6741">
        <v>87.507333067670302</v>
      </c>
      <c r="AK6741">
        <v>23.594445780348501</v>
      </c>
      <c r="AL6741">
        <v>79.294234018322399</v>
      </c>
      <c r="AM6741">
        <v>90.096951314230097</v>
      </c>
      <c r="AN6741">
        <v>0.99999999977088305</v>
      </c>
    </row>
    <row r="6742" spans="1:40" x14ac:dyDescent="0.25">
      <c r="A6742" t="str">
        <f>"20190312164157307"</f>
        <v>20190312164157307</v>
      </c>
      <c r="B6742" t="str">
        <f>"1552380117302507"</f>
        <v>1552380117302507</v>
      </c>
      <c r="C6742" t="s">
        <v>40</v>
      </c>
      <c r="D6742">
        <v>5.1837549999999997</v>
      </c>
      <c r="E6742">
        <v>0.52133640000000003</v>
      </c>
      <c r="F6742" t="s">
        <v>41</v>
      </c>
      <c r="G6742">
        <v>-185.97640000000001</v>
      </c>
      <c r="H6742" s="1">
        <v>-2.8884650000000001E-6</v>
      </c>
      <c r="I6742">
        <v>54.702159999999999</v>
      </c>
      <c r="J6742">
        <v>-187.44730000000001</v>
      </c>
      <c r="K6742">
        <v>1.1087070000000001</v>
      </c>
      <c r="L6742">
        <v>29.463709999999999</v>
      </c>
      <c r="M6742">
        <v>1.678582E-2</v>
      </c>
      <c r="N6742">
        <v>0</v>
      </c>
      <c r="O6742">
        <v>0.99983610000000001</v>
      </c>
      <c r="P6742">
        <v>1.508633E-2</v>
      </c>
      <c r="Q6742">
        <v>0.17814920000000001</v>
      </c>
      <c r="R6742">
        <v>0.98388790000000004</v>
      </c>
      <c r="S6742">
        <v>0.17659</v>
      </c>
      <c r="T6742">
        <v>-0.13238939999999999</v>
      </c>
      <c r="U6742">
        <v>3.070465</v>
      </c>
      <c r="V6742">
        <v>-1.518164E-3</v>
      </c>
      <c r="W6742">
        <v>0.18481990000000001</v>
      </c>
      <c r="X6742">
        <v>0.98277119999999996</v>
      </c>
      <c r="Y6742">
        <v>4.0597830000000001E-2</v>
      </c>
      <c r="Z6742">
        <v>-4.3014730000000001E-2</v>
      </c>
      <c r="AA6742">
        <v>0.99824919999999995</v>
      </c>
      <c r="AB6742">
        <v>48</v>
      </c>
      <c r="AC6742">
        <v>1.4709000000000001</v>
      </c>
      <c r="AD6742">
        <v>-1.108709888465</v>
      </c>
      <c r="AE6742">
        <v>25.23845</v>
      </c>
      <c r="AF6742">
        <v>1.0450250733815201</v>
      </c>
      <c r="AG6742">
        <v>-1.108709888465</v>
      </c>
      <c r="AH6742">
        <v>25.211097295826399</v>
      </c>
      <c r="AI6742">
        <v>92.515919650652293</v>
      </c>
      <c r="AJ6742">
        <v>87.6263917279514</v>
      </c>
      <c r="AK6742">
        <v>25.2570929023987</v>
      </c>
      <c r="AL6742">
        <v>79.349367273057496</v>
      </c>
      <c r="AM6742">
        <v>90.088509228411795</v>
      </c>
      <c r="AN6742">
        <v>0.999999965903689</v>
      </c>
    </row>
    <row r="6743" spans="1:40" x14ac:dyDescent="0.25">
      <c r="A6743" t="str">
        <f>"20190312164157328"</f>
        <v>20190312164157328</v>
      </c>
      <c r="B6743" t="str">
        <f>"1552380117323004"</f>
        <v>1552380117323004</v>
      </c>
      <c r="C6743" t="s">
        <v>40</v>
      </c>
      <c r="D6743">
        <v>5.1250419999999997</v>
      </c>
      <c r="E6743">
        <v>0.52118959999999903</v>
      </c>
      <c r="F6743" t="s">
        <v>41</v>
      </c>
      <c r="G6743">
        <v>-185.947</v>
      </c>
      <c r="H6743" s="1">
        <v>-3.2473860000000001E-6</v>
      </c>
      <c r="I6743">
        <v>55.526649999999997</v>
      </c>
      <c r="J6743">
        <v>-187.43960000000001</v>
      </c>
      <c r="K6743">
        <v>1.108765</v>
      </c>
      <c r="L6743">
        <v>29.924589999999998</v>
      </c>
      <c r="M6743">
        <v>1.657931E-2</v>
      </c>
      <c r="N6743">
        <v>0</v>
      </c>
      <c r="O6743">
        <v>0.99984209999999996</v>
      </c>
      <c r="P6743">
        <v>1.4648329999999999E-2</v>
      </c>
      <c r="Q6743">
        <v>0.17744299999999999</v>
      </c>
      <c r="R6743">
        <v>0.98402199999999995</v>
      </c>
      <c r="S6743">
        <v>0.1767273</v>
      </c>
      <c r="T6743">
        <v>-0.13059989999999999</v>
      </c>
      <c r="U6743">
        <v>3.070068</v>
      </c>
      <c r="V6743">
        <v>-1.7640869999999999E-3</v>
      </c>
      <c r="W6743">
        <v>0.18373500000000001</v>
      </c>
      <c r="X6743">
        <v>0.98297420000000002</v>
      </c>
      <c r="Y6743">
        <v>4.0857539999999998E-2</v>
      </c>
      <c r="Z6743">
        <v>-4.243972E-2</v>
      </c>
      <c r="AA6743">
        <v>0.99826320000000002</v>
      </c>
      <c r="AB6743">
        <v>49</v>
      </c>
      <c r="AC6743">
        <v>1.4926000000000099</v>
      </c>
      <c r="AD6743">
        <v>-1.1087682473860001</v>
      </c>
      <c r="AE6743">
        <v>25.602059999999899</v>
      </c>
      <c r="AF6743">
        <v>1.0659292234436</v>
      </c>
      <c r="AG6743">
        <v>-1.1087682473860001</v>
      </c>
      <c r="AH6743">
        <v>25.575481785020401</v>
      </c>
      <c r="AI6743">
        <v>92.480226455377505</v>
      </c>
      <c r="AJ6743">
        <v>87.613420504789204</v>
      </c>
      <c r="AK6743">
        <v>25.621686920882301</v>
      </c>
      <c r="AL6743">
        <v>79.412610602016699</v>
      </c>
      <c r="AM6743">
        <v>90.102825314522207</v>
      </c>
      <c r="AN6743">
        <v>0.99999997004679098</v>
      </c>
    </row>
    <row r="6744" spans="1:40" x14ac:dyDescent="0.25">
      <c r="A6744" t="str">
        <f>"20190312164157350"</f>
        <v>20190312164157350</v>
      </c>
      <c r="B6744" t="str">
        <f>"1552380117342523"</f>
        <v>1552380117342523</v>
      </c>
      <c r="C6744" t="s">
        <v>40</v>
      </c>
      <c r="D6744">
        <v>5.1552410000000002</v>
      </c>
      <c r="E6744">
        <v>0.52116269999999998</v>
      </c>
      <c r="F6744" t="s">
        <v>41</v>
      </c>
      <c r="G6744">
        <v>-185.953</v>
      </c>
      <c r="H6744" s="1">
        <v>-3.495368E-6</v>
      </c>
      <c r="I6744">
        <v>56.107170000000004</v>
      </c>
      <c r="J6744">
        <v>-187.4314</v>
      </c>
      <c r="K6744">
        <v>1.1088929999999999</v>
      </c>
      <c r="L6744">
        <v>30.417539999999999</v>
      </c>
      <c r="M6744">
        <v>1.639299E-2</v>
      </c>
      <c r="N6744">
        <v>0</v>
      </c>
      <c r="O6744">
        <v>0.9998456</v>
      </c>
      <c r="P6744">
        <v>1.3994370000000001E-2</v>
      </c>
      <c r="Q6744">
        <v>0.17601349999999999</v>
      </c>
      <c r="R6744">
        <v>0.9842883</v>
      </c>
      <c r="S6744">
        <v>0.17428589999999999</v>
      </c>
      <c r="T6744">
        <v>-0.12998799999999999</v>
      </c>
      <c r="U6744">
        <v>3.06955</v>
      </c>
      <c r="V6744">
        <v>-2.2446879999999999E-3</v>
      </c>
      <c r="W6744">
        <v>0.18224460000000001</v>
      </c>
      <c r="X6744">
        <v>0.98325070000000003</v>
      </c>
      <c r="Y6744">
        <v>4.0262480000000003E-2</v>
      </c>
      <c r="Z6744">
        <v>-4.2250019999999999E-2</v>
      </c>
      <c r="AA6744">
        <v>0.9982955</v>
      </c>
      <c r="AB6744">
        <v>49</v>
      </c>
      <c r="AC6744">
        <v>1.4783999999999899</v>
      </c>
      <c r="AD6744">
        <v>-1.1088964953680001</v>
      </c>
      <c r="AE6744">
        <v>25.689629999999902</v>
      </c>
      <c r="AF6744">
        <v>1.05510364228772</v>
      </c>
      <c r="AG6744">
        <v>-1.1088964953680001</v>
      </c>
      <c r="AH6744">
        <v>25.662755956484599</v>
      </c>
      <c r="AI6744">
        <v>92.472145210138095</v>
      </c>
      <c r="AJ6744">
        <v>87.645655927411298</v>
      </c>
      <c r="AK6744">
        <v>25.708363199851799</v>
      </c>
      <c r="AL6744">
        <v>79.499471595781898</v>
      </c>
      <c r="AM6744">
        <v>90.130801763268195</v>
      </c>
      <c r="AN6744">
        <v>1.0000000359519301</v>
      </c>
    </row>
    <row r="6745" spans="1:40" x14ac:dyDescent="0.25">
      <c r="A6745" t="str">
        <f>"20190312164157372"</f>
        <v>20190312164157372</v>
      </c>
      <c r="B6745" t="str">
        <f>"1552380117363022"</f>
        <v>1552380117363022</v>
      </c>
      <c r="C6745" t="s">
        <v>40</v>
      </c>
      <c r="D6745">
        <v>5.1589450000000001</v>
      </c>
      <c r="E6745">
        <v>0.52115109999999998</v>
      </c>
      <c r="F6745" t="s">
        <v>41</v>
      </c>
      <c r="G6745">
        <v>-185.99950000000001</v>
      </c>
      <c r="H6745" s="1">
        <v>-3.3927729999999998E-6</v>
      </c>
      <c r="I6745">
        <v>55.887259999999998</v>
      </c>
      <c r="J6745">
        <v>-187.4237</v>
      </c>
      <c r="K6745">
        <v>1.109019</v>
      </c>
      <c r="L6745">
        <v>30.893039999999999</v>
      </c>
      <c r="M6745">
        <v>1.6242139999999999E-2</v>
      </c>
      <c r="N6745">
        <v>0</v>
      </c>
      <c r="O6745">
        <v>0.9998475</v>
      </c>
      <c r="P6745">
        <v>1.3104340000000001E-2</v>
      </c>
      <c r="Q6745">
        <v>0.17505279999999901</v>
      </c>
      <c r="R6745">
        <v>0.98447189999999996</v>
      </c>
      <c r="S6745">
        <v>0.17256160000000001</v>
      </c>
      <c r="T6745">
        <v>-0.13363220000000001</v>
      </c>
      <c r="U6745">
        <v>3.0693359999999998</v>
      </c>
      <c r="V6745">
        <v>-2.9892450000000002E-3</v>
      </c>
      <c r="W6745">
        <v>0.18136830000000001</v>
      </c>
      <c r="X6745">
        <v>0.98341069999999997</v>
      </c>
      <c r="Y6745">
        <v>3.985528E-2</v>
      </c>
      <c r="Z6745">
        <v>-4.3436509999999998E-2</v>
      </c>
      <c r="AA6745">
        <v>0.99826090000000001</v>
      </c>
      <c r="AB6745">
        <v>49</v>
      </c>
      <c r="AC6745">
        <v>1.4241999999999799</v>
      </c>
      <c r="AD6745">
        <v>-1.1090223927730001</v>
      </c>
      <c r="AE6745">
        <v>24.994219999999899</v>
      </c>
      <c r="AF6745">
        <v>1.01605022052073</v>
      </c>
      <c r="AG6745">
        <v>-1.1090223927730001</v>
      </c>
      <c r="AH6745">
        <v>24.9650632226735</v>
      </c>
      <c r="AI6745">
        <v>92.541475509783396</v>
      </c>
      <c r="AJ6745">
        <v>87.669411923539599</v>
      </c>
      <c r="AK6745">
        <v>25.010331273903098</v>
      </c>
      <c r="AL6745">
        <v>79.550530447131294</v>
      </c>
      <c r="AM6745">
        <v>90.174159783843393</v>
      </c>
      <c r="AN6745">
        <v>1.00000000035252</v>
      </c>
    </row>
    <row r="6746" spans="1:40" x14ac:dyDescent="0.25">
      <c r="A6746" t="str">
        <f>"20190312164157395"</f>
        <v>20190312164157395</v>
      </c>
      <c r="B6746" t="str">
        <f>"1552380117382539"</f>
        <v>1552380117382539</v>
      </c>
      <c r="C6746" t="s">
        <v>40</v>
      </c>
      <c r="D6746">
        <v>5.1700160000000004</v>
      </c>
      <c r="E6746">
        <v>0.5210941</v>
      </c>
      <c r="F6746" t="s">
        <v>41</v>
      </c>
      <c r="G6746">
        <v>-186.02199999999999</v>
      </c>
      <c r="H6746" s="1">
        <v>-3.4887920000000002E-6</v>
      </c>
      <c r="I6746">
        <v>56.12041</v>
      </c>
      <c r="J6746">
        <v>-187.41579999999999</v>
      </c>
      <c r="K6746">
        <v>1.109111</v>
      </c>
      <c r="L6746">
        <v>31.38287</v>
      </c>
      <c r="M6746">
        <v>1.6115259999999999E-2</v>
      </c>
      <c r="N6746">
        <v>0</v>
      </c>
      <c r="O6746">
        <v>0.99984870000000003</v>
      </c>
      <c r="P6746">
        <v>1.304173E-2</v>
      </c>
      <c r="Q6746">
        <v>0.17445379999999999</v>
      </c>
      <c r="R6746">
        <v>0.98457899999999998</v>
      </c>
      <c r="S6746">
        <v>0.170517</v>
      </c>
      <c r="T6746">
        <v>-0.13491789999999901</v>
      </c>
      <c r="U6746">
        <v>3.0690309999999998</v>
      </c>
      <c r="V6746">
        <v>-2.9238559999999999E-3</v>
      </c>
      <c r="W6746">
        <v>0.1808951</v>
      </c>
      <c r="X6746">
        <v>0.98349799999999998</v>
      </c>
      <c r="Y6746">
        <v>3.93236E-2</v>
      </c>
      <c r="Z6746">
        <v>-4.3859370000000002E-2</v>
      </c>
      <c r="AA6746">
        <v>0.99826349999999997</v>
      </c>
      <c r="AB6746">
        <v>49</v>
      </c>
      <c r="AC6746">
        <v>1.39379999999997</v>
      </c>
      <c r="AD6746">
        <v>-1.1091144887919999</v>
      </c>
      <c r="AE6746">
        <v>24.737539999999999</v>
      </c>
      <c r="AF6746">
        <v>0.99296880769493301</v>
      </c>
      <c r="AG6746">
        <v>-1.1091144887919999</v>
      </c>
      <c r="AH6746">
        <v>24.707279939632901</v>
      </c>
      <c r="AI6746">
        <v>92.568222403184706</v>
      </c>
      <c r="AJ6746">
        <v>87.698560065719505</v>
      </c>
      <c r="AK6746">
        <v>24.752086861872598</v>
      </c>
      <c r="AL6746">
        <v>79.5780983036002</v>
      </c>
      <c r="AM6746">
        <v>90.170334983057003</v>
      </c>
      <c r="AN6746">
        <v>0.99999995107095796</v>
      </c>
    </row>
    <row r="6747" spans="1:40" x14ac:dyDescent="0.25">
      <c r="A6747" t="str">
        <f>"20190312164157416"</f>
        <v>20190312164157416</v>
      </c>
      <c r="B6747" t="str">
        <f>"1552380117412796"</f>
        <v>1552380117412796</v>
      </c>
      <c r="C6747" t="s">
        <v>40</v>
      </c>
      <c r="D6747">
        <v>5.1258589999999904</v>
      </c>
      <c r="E6747">
        <v>0.52063859999999995</v>
      </c>
      <c r="F6747" t="s">
        <v>41</v>
      </c>
      <c r="G6747">
        <v>-186.04069999999999</v>
      </c>
      <c r="H6747" s="1">
        <v>-3.5674389999999999E-6</v>
      </c>
      <c r="I6747">
        <v>56.311459999999997</v>
      </c>
      <c r="J6747">
        <v>-187.40809999999999</v>
      </c>
      <c r="K6747">
        <v>1.1091599999999999</v>
      </c>
      <c r="L6747">
        <v>31.861149999999999</v>
      </c>
      <c r="M6747">
        <v>1.6017739999999999E-2</v>
      </c>
      <c r="N6747">
        <v>0</v>
      </c>
      <c r="O6747">
        <v>0.99984930000000005</v>
      </c>
      <c r="P6747">
        <v>1.253315E-2</v>
      </c>
      <c r="Q6747">
        <v>0.174192299999999</v>
      </c>
      <c r="R6747">
        <v>0.9846319</v>
      </c>
      <c r="S6747">
        <v>0.16928099999999999</v>
      </c>
      <c r="T6747">
        <v>-0.1365422</v>
      </c>
      <c r="U6747">
        <v>3.0689389999999999</v>
      </c>
      <c r="V6747">
        <v>-3.3263059999999998E-3</v>
      </c>
      <c r="W6747">
        <v>0.1807732</v>
      </c>
      <c r="X6747">
        <v>0.98351920000000004</v>
      </c>
      <c r="Y6747">
        <v>3.9020600000000003E-2</v>
      </c>
      <c r="Z6747">
        <v>-4.4388560000000001E-2</v>
      </c>
      <c r="AA6747">
        <v>0.99825200000000003</v>
      </c>
      <c r="AB6747">
        <v>49</v>
      </c>
      <c r="AC6747">
        <v>1.3673999999999999</v>
      </c>
      <c r="AD6747">
        <v>-1.1091635674389999</v>
      </c>
      <c r="AE6747">
        <v>24.450310000000002</v>
      </c>
      <c r="AF6747">
        <v>0.97357980735085303</v>
      </c>
      <c r="AG6747">
        <v>-1.1091635674389999</v>
      </c>
      <c r="AH6747">
        <v>24.418981292478701</v>
      </c>
      <c r="AI6747">
        <v>92.598650342003594</v>
      </c>
      <c r="AJ6747">
        <v>87.716838207577496</v>
      </c>
      <c r="AK6747">
        <v>24.4635391720626</v>
      </c>
      <c r="AL6747">
        <v>79.585200414588599</v>
      </c>
      <c r="AM6747">
        <v>90.193776154577293</v>
      </c>
      <c r="AN6747">
        <v>1.0000000154592401</v>
      </c>
    </row>
    <row r="6748" spans="1:40" x14ac:dyDescent="0.25">
      <c r="A6748" t="str">
        <f>"20190312164157439"</f>
        <v>20190312164157439</v>
      </c>
      <c r="B6748" t="str">
        <f>"1552380117433291"</f>
        <v>1552380117433291</v>
      </c>
      <c r="C6748" t="s">
        <v>40</v>
      </c>
      <c r="D6748">
        <v>5.1804569999999996</v>
      </c>
      <c r="E6748">
        <v>0.52055169999999995</v>
      </c>
      <c r="F6748" t="s">
        <v>41</v>
      </c>
      <c r="G6748">
        <v>-186.06549999999999</v>
      </c>
      <c r="H6748" s="1">
        <v>-3.8863520000000001E-6</v>
      </c>
      <c r="I6748">
        <v>57.065089999999998</v>
      </c>
      <c r="J6748">
        <v>-187.40049999999999</v>
      </c>
      <c r="K6748">
        <v>1.109194</v>
      </c>
      <c r="L6748">
        <v>32.339419999999997</v>
      </c>
      <c r="M6748">
        <v>1.59428E-2</v>
      </c>
      <c r="N6748">
        <v>0</v>
      </c>
      <c r="O6748">
        <v>0.99984949999999995</v>
      </c>
      <c r="P6748">
        <v>1.232837E-2</v>
      </c>
      <c r="Q6748">
        <v>0.17378250000000001</v>
      </c>
      <c r="R6748">
        <v>0.98470690000000005</v>
      </c>
      <c r="S6748">
        <v>0.16346739999999901</v>
      </c>
      <c r="T6748">
        <v>-0.1350431</v>
      </c>
      <c r="U6748">
        <v>3.0686339999999999</v>
      </c>
      <c r="V6748">
        <v>-3.4465279999999999E-3</v>
      </c>
      <c r="W6748">
        <v>0.1805176</v>
      </c>
      <c r="X6748">
        <v>0.98356569999999999</v>
      </c>
      <c r="Y6748">
        <v>3.7216319999999997E-2</v>
      </c>
      <c r="Z6748">
        <v>-4.3910350000000001E-2</v>
      </c>
      <c r="AA6748">
        <v>0.99834199999999995</v>
      </c>
      <c r="AB6748">
        <v>49</v>
      </c>
      <c r="AC6748">
        <v>1.335</v>
      </c>
      <c r="AD6748">
        <v>-1.109197886352</v>
      </c>
      <c r="AE6748">
        <v>24.725670000000001</v>
      </c>
      <c r="AF6748">
        <v>0.93874101946184696</v>
      </c>
      <c r="AG6748">
        <v>-1.109197886352</v>
      </c>
      <c r="AH6748">
        <v>24.694260341365101</v>
      </c>
      <c r="AI6748">
        <v>92.569985502853896</v>
      </c>
      <c r="AJ6748">
        <v>87.822975403847906</v>
      </c>
      <c r="AK6748">
        <v>24.736977350917901</v>
      </c>
      <c r="AL6748">
        <v>79.600089850471704</v>
      </c>
      <c r="AM6748">
        <v>90.200770218136</v>
      </c>
      <c r="AN6748">
        <v>0.99999998434075199</v>
      </c>
    </row>
    <row r="6749" spans="1:40" x14ac:dyDescent="0.25">
      <c r="A6749" t="str">
        <f>"20190312164157462"</f>
        <v>20190312164157462</v>
      </c>
      <c r="B6749" t="str">
        <f>"1552380117452812"</f>
        <v>1552380117452812</v>
      </c>
      <c r="C6749" t="s">
        <v>40</v>
      </c>
      <c r="D6749">
        <v>5.1648529999999999</v>
      </c>
      <c r="E6749">
        <v>0.520567</v>
      </c>
      <c r="F6749" t="s">
        <v>41</v>
      </c>
      <c r="G6749">
        <v>-186.0822</v>
      </c>
      <c r="H6749" s="1">
        <v>-3.9933689999999999E-6</v>
      </c>
      <c r="I6749">
        <v>57.321460000000002</v>
      </c>
      <c r="J6749">
        <v>-187.3922</v>
      </c>
      <c r="K6749">
        <v>1.109205</v>
      </c>
      <c r="L6749">
        <v>32.859380000000002</v>
      </c>
      <c r="M6749">
        <v>1.5883660000000001E-2</v>
      </c>
      <c r="N6749">
        <v>0</v>
      </c>
      <c r="O6749">
        <v>0.99984919999999999</v>
      </c>
      <c r="P6749">
        <v>1.2070859999999999E-2</v>
      </c>
      <c r="Q6749">
        <v>0.17318910000000001</v>
      </c>
      <c r="R6749">
        <v>0.98481459999999998</v>
      </c>
      <c r="S6749">
        <v>0.1619263</v>
      </c>
      <c r="T6749">
        <v>-0.13624539999999999</v>
      </c>
      <c r="U6749">
        <v>3.0686040000000001</v>
      </c>
      <c r="V6749">
        <v>-3.6344099999999998E-3</v>
      </c>
      <c r="W6749">
        <v>0.1801016</v>
      </c>
      <c r="X6749">
        <v>0.98364130000000005</v>
      </c>
      <c r="Y6749">
        <v>3.677503E-2</v>
      </c>
      <c r="Z6749">
        <v>-4.430195E-2</v>
      </c>
      <c r="AA6749">
        <v>0.99834109999999998</v>
      </c>
      <c r="AB6749">
        <v>49</v>
      </c>
      <c r="AC6749">
        <v>1.31</v>
      </c>
      <c r="AD6749">
        <v>-1.1092089933689999</v>
      </c>
      <c r="AE6749">
        <v>24.46208</v>
      </c>
      <c r="AF6749">
        <v>0.91939285448747898</v>
      </c>
      <c r="AG6749">
        <v>-1.1092089933689999</v>
      </c>
      <c r="AH6749">
        <v>24.429716172089901</v>
      </c>
      <c r="AI6749">
        <v>92.597840651256803</v>
      </c>
      <c r="AJ6749">
        <v>87.844736243776694</v>
      </c>
      <c r="AK6749">
        <v>24.4721609193125</v>
      </c>
      <c r="AL6749">
        <v>79.624322240035696</v>
      </c>
      <c r="AM6749">
        <v>90.211698518980299</v>
      </c>
      <c r="AN6749">
        <v>1.0000000011621399</v>
      </c>
    </row>
    <row r="6750" spans="1:40" x14ac:dyDescent="0.25">
      <c r="A6750" t="str">
        <f>"20190312164157485"</f>
        <v>20190312164157485</v>
      </c>
      <c r="B6750" t="str">
        <f>"1552380117472331"</f>
        <v>1552380117472331</v>
      </c>
      <c r="C6750" t="s">
        <v>40</v>
      </c>
      <c r="D6750">
        <v>5.1813500000000001</v>
      </c>
      <c r="E6750">
        <v>0.52049590000000001</v>
      </c>
      <c r="F6750" t="s">
        <v>41</v>
      </c>
      <c r="G6750">
        <v>-186.09569999999999</v>
      </c>
      <c r="H6750" s="1">
        <v>-4.0649440000000002E-6</v>
      </c>
      <c r="I6750">
        <v>57.493870000000001</v>
      </c>
      <c r="J6750">
        <v>-187.38399999999999</v>
      </c>
      <c r="K6750">
        <v>1.1092029999999999</v>
      </c>
      <c r="L6750">
        <v>33.372100000000003</v>
      </c>
      <c r="M6750">
        <v>1.5843340000000001E-2</v>
      </c>
      <c r="N6750">
        <v>0</v>
      </c>
      <c r="O6750">
        <v>0.99984850000000003</v>
      </c>
      <c r="P6750">
        <v>1.2064129999999999E-2</v>
      </c>
      <c r="Q6750">
        <v>0.17213220000000001</v>
      </c>
      <c r="R6750">
        <v>0.98499999999999999</v>
      </c>
      <c r="S6750">
        <v>0.161499</v>
      </c>
      <c r="T6750">
        <v>-0.1381676</v>
      </c>
      <c r="U6750">
        <v>3.0685730000000002</v>
      </c>
      <c r="V6750">
        <v>-3.5932540000000002E-3</v>
      </c>
      <c r="W6750">
        <v>0.1792192</v>
      </c>
      <c r="X6750">
        <v>0.98380259999999997</v>
      </c>
      <c r="Y6750">
        <v>3.667575E-2</v>
      </c>
      <c r="Z6750">
        <v>-4.4926479999999998E-2</v>
      </c>
      <c r="AA6750">
        <v>0.9983168</v>
      </c>
      <c r="AB6750">
        <v>49</v>
      </c>
      <c r="AC6750">
        <v>1.28830000000002</v>
      </c>
      <c r="AD6750">
        <v>-1.109207064944</v>
      </c>
      <c r="AE6750">
        <v>24.121769999999898</v>
      </c>
      <c r="AF6750">
        <v>0.90405277978515697</v>
      </c>
      <c r="AG6750">
        <v>-1.109207064944</v>
      </c>
      <c r="AH6750">
        <v>24.088363858882001</v>
      </c>
      <c r="AI6750">
        <v>92.6346083697197</v>
      </c>
      <c r="AJ6750">
        <v>87.850658960488303</v>
      </c>
      <c r="AK6750">
        <v>24.130829350427501</v>
      </c>
      <c r="AL6750">
        <v>79.675716215889906</v>
      </c>
      <c r="AM6750">
        <v>90.209266954005898</v>
      </c>
      <c r="AN6750">
        <v>0.99999999444485399</v>
      </c>
    </row>
    <row r="6751" spans="1:40" x14ac:dyDescent="0.25">
      <c r="A6751" t="str">
        <f>"20190312164157506"</f>
        <v>20190312164157506</v>
      </c>
      <c r="B6751" t="str">
        <f>"1552380117502587"</f>
        <v>1552380117502587</v>
      </c>
      <c r="C6751" t="s">
        <v>40</v>
      </c>
      <c r="D6751">
        <v>5.2202549999999999</v>
      </c>
      <c r="E6751">
        <v>0.52054719999999999</v>
      </c>
      <c r="F6751" t="s">
        <v>41</v>
      </c>
      <c r="G6751">
        <v>-186.1087</v>
      </c>
      <c r="H6751" s="1">
        <v>-4.1321489999999997E-6</v>
      </c>
      <c r="I6751">
        <v>57.655929999999998</v>
      </c>
      <c r="J6751">
        <v>-187.3768</v>
      </c>
      <c r="K6751">
        <v>1.1091959999999901</v>
      </c>
      <c r="L6751">
        <v>33.82544</v>
      </c>
      <c r="M6751">
        <v>1.5819739999999999E-2</v>
      </c>
      <c r="N6751">
        <v>0</v>
      </c>
      <c r="O6751">
        <v>0.99984779999999995</v>
      </c>
      <c r="P6751">
        <v>1.2510159999999999E-2</v>
      </c>
      <c r="Q6751">
        <v>0.171099</v>
      </c>
      <c r="R6751">
        <v>0.98517440000000001</v>
      </c>
      <c r="S6751">
        <v>0.16113279999999999</v>
      </c>
      <c r="T6751">
        <v>-0.14014579999999999</v>
      </c>
      <c r="U6751">
        <v>3.0682070000000001</v>
      </c>
      <c r="V6751">
        <v>-3.1185509999999998E-3</v>
      </c>
      <c r="W6751">
        <v>0.17833399999999999</v>
      </c>
      <c r="X6751">
        <v>0.98396510000000004</v>
      </c>
      <c r="Y6751">
        <v>3.6585220000000002E-2</v>
      </c>
      <c r="Z6751">
        <v>-4.5574040000000003E-2</v>
      </c>
      <c r="AA6751">
        <v>0.99829080000000003</v>
      </c>
      <c r="AB6751">
        <v>49</v>
      </c>
      <c r="AC6751">
        <v>1.2681</v>
      </c>
      <c r="AD6751">
        <v>-1.1092001321489999</v>
      </c>
      <c r="AE6751">
        <v>23.830490000000001</v>
      </c>
      <c r="AF6751">
        <v>0.88901834674938796</v>
      </c>
      <c r="AG6751">
        <v>-1.1092001321489999</v>
      </c>
      <c r="AH6751">
        <v>23.796161007302501</v>
      </c>
      <c r="AI6751">
        <v>92.666913762891994</v>
      </c>
      <c r="AJ6751">
        <v>87.860439734387498</v>
      </c>
      <c r="AK6751">
        <v>23.838581275727801</v>
      </c>
      <c r="AL6751">
        <v>79.727265271029395</v>
      </c>
      <c r="AM6751">
        <v>90.181591005844894</v>
      </c>
      <c r="AN6751">
        <v>1.00000002946717</v>
      </c>
    </row>
    <row r="6752" spans="1:40" x14ac:dyDescent="0.25">
      <c r="A6752" t="str">
        <f>"20190312164157527"</f>
        <v>20190312164157527</v>
      </c>
      <c r="B6752" t="str">
        <f>"1552380117523084"</f>
        <v>1552380117523084</v>
      </c>
      <c r="C6752" t="s">
        <v>40</v>
      </c>
      <c r="D6752">
        <v>5.2140810000000002</v>
      </c>
      <c r="E6752">
        <v>0.5205938</v>
      </c>
      <c r="F6752" t="s">
        <v>41</v>
      </c>
      <c r="G6752">
        <v>-186.12719999999999</v>
      </c>
      <c r="H6752" s="1">
        <v>-4.0680190000000002E-6</v>
      </c>
      <c r="I6752">
        <v>57.51408</v>
      </c>
      <c r="J6752">
        <v>-187.369</v>
      </c>
      <c r="K6752">
        <v>1.109189</v>
      </c>
      <c r="L6752">
        <v>34.31812</v>
      </c>
      <c r="M6752">
        <v>1.5804200000000001E-2</v>
      </c>
      <c r="N6752">
        <v>0</v>
      </c>
      <c r="O6752">
        <v>0.99984700000000004</v>
      </c>
      <c r="P6752">
        <v>1.2991999999999899E-2</v>
      </c>
      <c r="Q6752">
        <v>0.1698655</v>
      </c>
      <c r="R6752">
        <v>0.98538159999999997</v>
      </c>
      <c r="S6752">
        <v>0.16184999999999999</v>
      </c>
      <c r="T6752">
        <v>-0.14365899999999901</v>
      </c>
      <c r="U6752">
        <v>3.0680540000000001</v>
      </c>
      <c r="V6752">
        <v>-2.6179749999999998E-3</v>
      </c>
      <c r="W6752">
        <v>0.17725189999999999</v>
      </c>
      <c r="X6752">
        <v>0.98416199999999998</v>
      </c>
      <c r="Y6752">
        <v>3.683326E-2</v>
      </c>
      <c r="Z6752">
        <v>-4.671587E-2</v>
      </c>
      <c r="AA6752">
        <v>0.99822889999999997</v>
      </c>
      <c r="AB6752">
        <v>49</v>
      </c>
      <c r="AC6752">
        <v>1.24180000000004</v>
      </c>
      <c r="AD6752">
        <v>-1.1091930680190001</v>
      </c>
      <c r="AE6752">
        <v>23.195959999999999</v>
      </c>
      <c r="AF6752">
        <v>0.87305039513038096</v>
      </c>
      <c r="AG6752">
        <v>-1.1091930680190001</v>
      </c>
      <c r="AH6752">
        <v>23.1598830324814</v>
      </c>
      <c r="AI6752">
        <v>92.740020492182893</v>
      </c>
      <c r="AJ6752">
        <v>87.841162297446999</v>
      </c>
      <c r="AK6752">
        <v>23.202859917104998</v>
      </c>
      <c r="AL6752">
        <v>79.790268158731905</v>
      </c>
      <c r="AM6752">
        <v>90.152412473319103</v>
      </c>
      <c r="AN6752">
        <v>0.99999996604535402</v>
      </c>
    </row>
    <row r="6753" spans="1:40" x14ac:dyDescent="0.25">
      <c r="A6753" t="str">
        <f>"20190312164157550"</f>
        <v>20190312164157550</v>
      </c>
      <c r="B6753" t="str">
        <f>"1552380117542603"</f>
        <v>1552380117542603</v>
      </c>
      <c r="C6753" t="s">
        <v>40</v>
      </c>
      <c r="D6753">
        <v>5.2583919999999997</v>
      </c>
      <c r="E6753">
        <v>0.52065059999999996</v>
      </c>
      <c r="F6753" t="s">
        <v>41</v>
      </c>
      <c r="G6753">
        <v>-186.1386</v>
      </c>
      <c r="H6753" s="1">
        <v>-4.0029280000000002E-6</v>
      </c>
      <c r="I6753">
        <v>57.367060000000002</v>
      </c>
      <c r="J6753">
        <v>-187.3612</v>
      </c>
      <c r="K6753">
        <v>1.1091690000000001</v>
      </c>
      <c r="L6753">
        <v>34.81671</v>
      </c>
      <c r="M6753">
        <v>1.5795320000000002E-2</v>
      </c>
      <c r="N6753">
        <v>0</v>
      </c>
      <c r="O6753">
        <v>0.99984600000000001</v>
      </c>
      <c r="P6753">
        <v>1.342017E-2</v>
      </c>
      <c r="Q6753">
        <v>0.16894589999999901</v>
      </c>
      <c r="R6753">
        <v>0.98553400000000002</v>
      </c>
      <c r="S6753">
        <v>0.16377259999999999</v>
      </c>
      <c r="T6753">
        <v>-0.1476333</v>
      </c>
      <c r="U6753">
        <v>3.0678100000000001</v>
      </c>
      <c r="V6753">
        <v>-2.1771569999999999E-3</v>
      </c>
      <c r="W6753">
        <v>0.17647280000000001</v>
      </c>
      <c r="X6753">
        <v>0.98430309999999999</v>
      </c>
      <c r="Y6753">
        <v>3.7466859999999998E-2</v>
      </c>
      <c r="Z6753">
        <v>-4.800778E-2</v>
      </c>
      <c r="AA6753">
        <v>0.99814400000000003</v>
      </c>
      <c r="AB6753">
        <v>49</v>
      </c>
      <c r="AC6753">
        <v>1.2225999999999999</v>
      </c>
      <c r="AD6753">
        <v>-1.109173002928</v>
      </c>
      <c r="AE6753">
        <v>22.550349999999899</v>
      </c>
      <c r="AF6753">
        <v>0.86416250452083698</v>
      </c>
      <c r="AG6753">
        <v>-1.109173002928</v>
      </c>
      <c r="AH6753">
        <v>22.512543259580699</v>
      </c>
      <c r="AI6753">
        <v>92.8185588949314</v>
      </c>
      <c r="AJ6753">
        <v>87.801733609921698</v>
      </c>
      <c r="AK6753">
        <v>22.556410299494399</v>
      </c>
      <c r="AL6753">
        <v>79.835622539562095</v>
      </c>
      <c r="AM6753">
        <v>90.126730987648898</v>
      </c>
      <c r="AN6753">
        <v>0.99999999091102598</v>
      </c>
    </row>
    <row r="6754" spans="1:40" x14ac:dyDescent="0.25">
      <c r="A6754" t="str">
        <f>"20190312164157572"</f>
        <v>20190312164157572</v>
      </c>
      <c r="B6754" t="str">
        <f>"1552380117563103"</f>
        <v>1552380117563103</v>
      </c>
      <c r="C6754" t="s">
        <v>40</v>
      </c>
      <c r="D6754">
        <v>5.2229919999999996</v>
      </c>
      <c r="E6754">
        <v>0.52066990000000002</v>
      </c>
      <c r="F6754" t="s">
        <v>41</v>
      </c>
      <c r="G6754">
        <v>-186.1362</v>
      </c>
      <c r="H6754" s="1">
        <v>-4.0441550000000004E-6</v>
      </c>
      <c r="I6754">
        <v>57.462159999999997</v>
      </c>
      <c r="J6754">
        <v>-187.35339999999999</v>
      </c>
      <c r="K6754">
        <v>1.109156</v>
      </c>
      <c r="L6754">
        <v>35.310789999999997</v>
      </c>
      <c r="M6754">
        <v>1.579009E-2</v>
      </c>
      <c r="N6754">
        <v>0</v>
      </c>
      <c r="O6754">
        <v>0.99984510000000004</v>
      </c>
      <c r="P6754">
        <v>1.3751340000000001E-2</v>
      </c>
      <c r="Q6754">
        <v>0.1672305</v>
      </c>
      <c r="R6754">
        <v>0.98582190000000003</v>
      </c>
      <c r="S6754">
        <v>0.16593929999999901</v>
      </c>
      <c r="T6754">
        <v>-0.15024779999999999</v>
      </c>
      <c r="U6754">
        <v>3.0675349999999999</v>
      </c>
      <c r="V6754">
        <v>-1.8402220000000001E-3</v>
      </c>
      <c r="W6754">
        <v>0.17488619999999999</v>
      </c>
      <c r="X6754">
        <v>0.98458699999999999</v>
      </c>
      <c r="Y6754">
        <v>3.8177589999999997E-2</v>
      </c>
      <c r="Z6754">
        <v>-4.8858739999999998E-2</v>
      </c>
      <c r="AA6754">
        <v>0.99807579999999996</v>
      </c>
      <c r="AB6754">
        <v>49</v>
      </c>
      <c r="AC6754">
        <v>1.2171999999999901</v>
      </c>
      <c r="AD6754">
        <v>-1.109160044155</v>
      </c>
      <c r="AE6754">
        <v>22.15137</v>
      </c>
      <c r="AF6754">
        <v>0.86510309437242305</v>
      </c>
      <c r="AG6754">
        <v>-1.109160044155</v>
      </c>
      <c r="AH6754">
        <v>22.1125549890873</v>
      </c>
      <c r="AI6754">
        <v>92.8693434708334</v>
      </c>
      <c r="AJ6754">
        <v>87.759576374673799</v>
      </c>
      <c r="AK6754">
        <v>22.157249998879699</v>
      </c>
      <c r="AL6754">
        <v>79.927964939946307</v>
      </c>
      <c r="AM6754">
        <v>90.107087368809502</v>
      </c>
      <c r="AN6754">
        <v>1.0000000649682199</v>
      </c>
    </row>
    <row r="6755" spans="1:40" x14ac:dyDescent="0.25">
      <c r="A6755" t="str">
        <f>"20190312164157595"</f>
        <v>20190312164157595</v>
      </c>
      <c r="B6755" t="str">
        <f>"1552380117582619"</f>
        <v>1552380117582619</v>
      </c>
      <c r="C6755" t="s">
        <v>40</v>
      </c>
      <c r="D6755">
        <v>5.2239820000000003</v>
      </c>
      <c r="E6755">
        <v>0.52075950000000004</v>
      </c>
      <c r="F6755" t="s">
        <v>41</v>
      </c>
      <c r="G6755">
        <v>-186.16040000000001</v>
      </c>
      <c r="H6755" s="1">
        <v>-3.9217439999999996E-6</v>
      </c>
      <c r="I6755">
        <v>57.18683</v>
      </c>
      <c r="J6755">
        <v>-187.3458</v>
      </c>
      <c r="K6755">
        <v>1.1091340000000001</v>
      </c>
      <c r="L6755">
        <v>35.7879</v>
      </c>
      <c r="M6755">
        <v>1.578593E-2</v>
      </c>
      <c r="N6755">
        <v>0</v>
      </c>
      <c r="O6755">
        <v>0.99984430000000002</v>
      </c>
      <c r="P6755">
        <v>1.406866E-2</v>
      </c>
      <c r="Q6755">
        <v>0.16535929999999999</v>
      </c>
      <c r="R6755">
        <v>0.98613300000000004</v>
      </c>
      <c r="S6755">
        <v>0.16726679999999999</v>
      </c>
      <c r="T6755">
        <v>-0.15551329999999999</v>
      </c>
      <c r="U6755">
        <v>3.0672000000000001</v>
      </c>
      <c r="V6755">
        <v>-1.519102E-3</v>
      </c>
      <c r="W6755">
        <v>0.1731277</v>
      </c>
      <c r="X6755">
        <v>0.98489819999999995</v>
      </c>
      <c r="Y6755">
        <v>3.8613689999999999E-2</v>
      </c>
      <c r="Z6755">
        <v>-5.0571190000000002E-2</v>
      </c>
      <c r="AA6755">
        <v>0.99797369999999996</v>
      </c>
      <c r="AB6755">
        <v>49</v>
      </c>
      <c r="AC6755">
        <v>1.18539999999998</v>
      </c>
      <c r="AD6755">
        <v>-1.1091379217440001</v>
      </c>
      <c r="AE6755">
        <v>21.39893</v>
      </c>
      <c r="AF6755">
        <v>0.845176149286751</v>
      </c>
      <c r="AG6755">
        <v>-1.1091379217440001</v>
      </c>
      <c r="AH6755">
        <v>21.3577744839289</v>
      </c>
      <c r="AI6755">
        <v>92.970455592319794</v>
      </c>
      <c r="AJ6755">
        <v>87.733856927092404</v>
      </c>
      <c r="AK6755">
        <v>21.403248364655699</v>
      </c>
      <c r="AL6755">
        <v>80.030279665629493</v>
      </c>
      <c r="AM6755">
        <v>90.088372650319798</v>
      </c>
      <c r="AN6755">
        <v>0.99999998627070796</v>
      </c>
    </row>
    <row r="6756" spans="1:40" x14ac:dyDescent="0.25">
      <c r="A6756" t="str">
        <f>"20190312164157617"</f>
        <v>20190312164157617</v>
      </c>
      <c r="B6756" t="str">
        <f>"1552380117612876"</f>
        <v>1552380117612876</v>
      </c>
      <c r="C6756" t="s">
        <v>40</v>
      </c>
      <c r="D6756">
        <v>5.2231750000000003</v>
      </c>
      <c r="E6756">
        <v>0.52079430000000004</v>
      </c>
      <c r="F6756" t="s">
        <v>41</v>
      </c>
      <c r="G6756">
        <v>-186.18969999999999</v>
      </c>
      <c r="H6756" s="1">
        <v>-3.7774329999999999E-6</v>
      </c>
      <c r="I6756">
        <v>56.862569999999998</v>
      </c>
      <c r="J6756">
        <v>-187.33799999999999</v>
      </c>
      <c r="K6756">
        <v>1.10911</v>
      </c>
      <c r="L6756">
        <v>36.285060000000001</v>
      </c>
      <c r="M6756">
        <v>1.5781340000000001E-2</v>
      </c>
      <c r="N6756">
        <v>0</v>
      </c>
      <c r="O6756">
        <v>0.9998435</v>
      </c>
      <c r="P6756">
        <v>1.4190060000000001E-2</v>
      </c>
      <c r="Q6756">
        <v>0.16434609999999999</v>
      </c>
      <c r="R6756">
        <v>0.98630059999999997</v>
      </c>
      <c r="S6756">
        <v>0.16824339999999999</v>
      </c>
      <c r="T6756">
        <v>-0.16140589999999999</v>
      </c>
      <c r="U6756">
        <v>3.0668639999999998</v>
      </c>
      <c r="V6756">
        <v>-1.3915850000000001E-3</v>
      </c>
      <c r="W6756">
        <v>0.17222019999999999</v>
      </c>
      <c r="X6756">
        <v>0.98505750000000003</v>
      </c>
      <c r="Y6756">
        <v>3.8935610000000002E-2</v>
      </c>
      <c r="Z6756">
        <v>-5.248717E-2</v>
      </c>
      <c r="AA6756">
        <v>0.99786229999999998</v>
      </c>
      <c r="AB6756">
        <v>49</v>
      </c>
      <c r="AC6756">
        <v>1.1483000000000001</v>
      </c>
      <c r="AD6756">
        <v>-1.109113777433</v>
      </c>
      <c r="AE6756">
        <v>20.57751</v>
      </c>
      <c r="AF6756">
        <v>0.82102813352678505</v>
      </c>
      <c r="AG6756">
        <v>-1.109113777433</v>
      </c>
      <c r="AH6756">
        <v>20.533601814182799</v>
      </c>
      <c r="AI6756">
        <v>93.089338870699393</v>
      </c>
      <c r="AJ6756">
        <v>87.710270127727199</v>
      </c>
      <c r="AK6756">
        <v>20.579917979203501</v>
      </c>
      <c r="AL6756">
        <v>80.083068725876302</v>
      </c>
      <c r="AM6756">
        <v>90.080941360573604</v>
      </c>
      <c r="AN6756">
        <v>1.0000000060515499</v>
      </c>
    </row>
    <row r="6757" spans="1:40" x14ac:dyDescent="0.25">
      <c r="A6757" t="str">
        <f>"20190312164157640"</f>
        <v>20190312164157640</v>
      </c>
      <c r="B6757" t="str">
        <f>"1552380117632904"</f>
        <v>1552380117632904</v>
      </c>
      <c r="C6757" t="s">
        <v>40</v>
      </c>
      <c r="D6757">
        <v>5.2317519999999904</v>
      </c>
      <c r="E6757">
        <v>0.52081920000000004</v>
      </c>
      <c r="F6757" t="s">
        <v>41</v>
      </c>
      <c r="G6757">
        <v>-186.2022</v>
      </c>
      <c r="H6757" s="1">
        <v>-3.8146700000000001E-6</v>
      </c>
      <c r="I6757">
        <v>56.954520000000002</v>
      </c>
      <c r="J6757">
        <v>-187.33</v>
      </c>
      <c r="K6757">
        <v>1.1090850000000001</v>
      </c>
      <c r="L6757">
        <v>36.791440000000001</v>
      </c>
      <c r="M6757">
        <v>1.5776180000000001E-2</v>
      </c>
      <c r="N6757">
        <v>0</v>
      </c>
      <c r="O6757">
        <v>0.99984289999999998</v>
      </c>
      <c r="P6757">
        <v>1.422403E-2</v>
      </c>
      <c r="Q6757">
        <v>0.16296389999999999</v>
      </c>
      <c r="R6757">
        <v>0.98652949999999995</v>
      </c>
      <c r="S6757">
        <v>0.1685181</v>
      </c>
      <c r="T6757">
        <v>-0.1645567</v>
      </c>
      <c r="U6757">
        <v>3.066681</v>
      </c>
      <c r="V6757">
        <v>-1.3519669999999999E-3</v>
      </c>
      <c r="W6757">
        <v>0.17093349999999999</v>
      </c>
      <c r="X6757">
        <v>0.98528159999999998</v>
      </c>
      <c r="Y6757">
        <v>3.9030130000000003E-2</v>
      </c>
      <c r="Z6757">
        <v>-5.3511830000000003E-2</v>
      </c>
      <c r="AA6757">
        <v>0.99780420000000003</v>
      </c>
      <c r="AB6757">
        <v>50</v>
      </c>
      <c r="AC6757">
        <v>1.1277999999999999</v>
      </c>
      <c r="AD6757">
        <v>-1.10908881467</v>
      </c>
      <c r="AE6757">
        <v>20.163079999999901</v>
      </c>
      <c r="AF6757">
        <v>0.80711842776362697</v>
      </c>
      <c r="AG6757">
        <v>-1.10908881467</v>
      </c>
      <c r="AH6757">
        <v>20.1176842036223</v>
      </c>
      <c r="AI6757">
        <v>93.152993157737498</v>
      </c>
      <c r="AJ6757">
        <v>87.702534188002403</v>
      </c>
      <c r="AK6757">
        <v>20.164392772209599</v>
      </c>
      <c r="AL6757">
        <v>80.157900461645497</v>
      </c>
      <c r="AM6757">
        <v>90.078619101914597</v>
      </c>
      <c r="AN6757">
        <v>0.99999996026778804</v>
      </c>
    </row>
    <row r="6758" spans="1:40" x14ac:dyDescent="0.25">
      <c r="A6758" t="str">
        <f>"20190312164157664"</f>
        <v>20190312164157664</v>
      </c>
      <c r="B6758" t="str">
        <f>"1552380117652424"</f>
        <v>1552380117652424</v>
      </c>
      <c r="C6758" t="s">
        <v>40</v>
      </c>
      <c r="D6758">
        <v>5.2389679999999998</v>
      </c>
      <c r="E6758">
        <v>0.5208045</v>
      </c>
      <c r="F6758" t="s">
        <v>42</v>
      </c>
      <c r="G6758">
        <v>-187.26769999999999</v>
      </c>
      <c r="H6758">
        <v>1.0466489999999999</v>
      </c>
      <c r="I6758">
        <v>37.924210000000002</v>
      </c>
      <c r="J6758">
        <v>-187.3218</v>
      </c>
      <c r="K6758">
        <v>1.109064</v>
      </c>
      <c r="L6758">
        <v>37.312869999999997</v>
      </c>
      <c r="M6758">
        <v>1.5770820000000001E-2</v>
      </c>
      <c r="N6758">
        <v>0</v>
      </c>
      <c r="O6758">
        <v>0.99984220000000001</v>
      </c>
      <c r="P6758">
        <v>1.407621E-2</v>
      </c>
      <c r="Q6758">
        <v>0.16196569999999999</v>
      </c>
      <c r="R6758">
        <v>0.98669600000000002</v>
      </c>
      <c r="S6758">
        <v>0.16859440000000001</v>
      </c>
      <c r="T6758">
        <v>-0.1690239</v>
      </c>
      <c r="U6758">
        <v>3.0664370000000001</v>
      </c>
      <c r="V6758">
        <v>-1.4936210000000001E-3</v>
      </c>
      <c r="W6758">
        <v>0.17002249999999999</v>
      </c>
      <c r="X6758">
        <v>0.98543910000000001</v>
      </c>
      <c r="Y6758">
        <v>3.9060259999999999E-2</v>
      </c>
      <c r="Z6758">
        <v>-5.4964449999999998E-2</v>
      </c>
      <c r="AA6758">
        <v>0.99772400000000006</v>
      </c>
      <c r="AB6758">
        <v>50</v>
      </c>
      <c r="AC6758">
        <v>5.4100000000005297E-2</v>
      </c>
      <c r="AD6758">
        <v>-6.2415000000000102E-2</v>
      </c>
      <c r="AE6758">
        <v>0.611339999999991</v>
      </c>
      <c r="AF6758">
        <v>4.3996582286613198E-2</v>
      </c>
      <c r="AG6758">
        <v>-6.2415000000000102E-2</v>
      </c>
      <c r="AH6758">
        <v>0.60585119279927302</v>
      </c>
      <c r="AI6758">
        <v>95.866540791022402</v>
      </c>
      <c r="AJ6758">
        <v>85.846502860223595</v>
      </c>
      <c r="AK6758">
        <v>0.61064474065875995</v>
      </c>
      <c r="AL6758">
        <v>80.2108732439345</v>
      </c>
      <c r="AM6758">
        <v>90.086842620674105</v>
      </c>
      <c r="AN6758">
        <v>1.00000005060937</v>
      </c>
    </row>
    <row r="6759" spans="1:40" x14ac:dyDescent="0.25">
      <c r="A6759" t="str">
        <f>"20190312164157685"</f>
        <v>20190312164157685</v>
      </c>
      <c r="B6759" t="str">
        <f>"1552380117672919"</f>
        <v>1552380117672919</v>
      </c>
      <c r="C6759" t="s">
        <v>40</v>
      </c>
      <c r="D6759">
        <v>5.2450289999999997</v>
      </c>
      <c r="E6759">
        <v>0.52080219999999999</v>
      </c>
      <c r="F6759" t="s">
        <v>42</v>
      </c>
      <c r="G6759">
        <v>-187.26390000000001</v>
      </c>
      <c r="H6759">
        <v>1.0496700000000001</v>
      </c>
      <c r="I6759">
        <v>38.37247</v>
      </c>
      <c r="J6759">
        <v>-187.3142</v>
      </c>
      <c r="K6759">
        <v>1.109048</v>
      </c>
      <c r="L6759">
        <v>37.79242</v>
      </c>
      <c r="M6759">
        <v>1.57662999999999E-2</v>
      </c>
      <c r="N6759">
        <v>0</v>
      </c>
      <c r="O6759">
        <v>0.99984170000000006</v>
      </c>
      <c r="P6759">
        <v>1.3645060000000001E-2</v>
      </c>
      <c r="Q6759">
        <v>0.16046489999999999</v>
      </c>
      <c r="R6759">
        <v>0.98694720000000002</v>
      </c>
      <c r="S6759">
        <v>0.16743469999999999</v>
      </c>
      <c r="T6759">
        <v>-0.171873</v>
      </c>
      <c r="U6759">
        <v>3.066284</v>
      </c>
      <c r="V6759">
        <v>-1.921704E-3</v>
      </c>
      <c r="W6759">
        <v>0.1685934</v>
      </c>
      <c r="X6759">
        <v>0.9856838</v>
      </c>
      <c r="Y6759">
        <v>3.8688470000000003E-2</v>
      </c>
      <c r="Z6759">
        <v>-5.5891820000000002E-2</v>
      </c>
      <c r="AA6759">
        <v>0.99768699999999999</v>
      </c>
      <c r="AB6759">
        <v>50</v>
      </c>
      <c r="AC6759">
        <v>5.0299999999992899E-2</v>
      </c>
      <c r="AD6759">
        <v>-5.9377999999999903E-2</v>
      </c>
      <c r="AE6759">
        <v>0.58004999999999995</v>
      </c>
      <c r="AF6759">
        <v>4.0724625601481601E-2</v>
      </c>
      <c r="AG6759">
        <v>-5.9377999999999903E-2</v>
      </c>
      <c r="AH6759">
        <v>0.57479266638334603</v>
      </c>
      <c r="AI6759">
        <v>95.883280177195203</v>
      </c>
      <c r="AJ6759">
        <v>85.947309943930307</v>
      </c>
      <c r="AK6759">
        <v>0.57928477568675796</v>
      </c>
      <c r="AL6759">
        <v>80.293953478528195</v>
      </c>
      <c r="AM6759">
        <v>90.111704574195102</v>
      </c>
      <c r="AN6759">
        <v>0.99999999052613098</v>
      </c>
    </row>
    <row r="6760" spans="1:40" x14ac:dyDescent="0.25">
      <c r="A6760" t="str">
        <f>"20190312164157708"</f>
        <v>20190312164157708</v>
      </c>
      <c r="B6760" t="str">
        <f>"1552380117703176"</f>
        <v>1552380117703176</v>
      </c>
      <c r="C6760" t="s">
        <v>40</v>
      </c>
      <c r="D6760">
        <v>6.0867509999999996</v>
      </c>
      <c r="E6760">
        <v>0.52087620000000001</v>
      </c>
      <c r="F6760" t="s">
        <v>42</v>
      </c>
      <c r="G6760">
        <v>-187.25839999999999</v>
      </c>
      <c r="H6760">
        <v>1.049976</v>
      </c>
      <c r="I6760">
        <v>38.818779999999997</v>
      </c>
      <c r="J6760">
        <v>-187.30600000000001</v>
      </c>
      <c r="K6760">
        <v>1.1090310000000001</v>
      </c>
      <c r="L6760">
        <v>38.311309999999999</v>
      </c>
      <c r="M6760">
        <v>1.5761910000000001E-2</v>
      </c>
      <c r="N6760">
        <v>0</v>
      </c>
      <c r="O6760">
        <v>0.99984119999999999</v>
      </c>
      <c r="P6760">
        <v>1.3346810000000001E-2</v>
      </c>
      <c r="Q6760">
        <v>0.1591166</v>
      </c>
      <c r="R6760">
        <v>0.98716959999999998</v>
      </c>
      <c r="S6760">
        <v>0.1663818</v>
      </c>
      <c r="T6760">
        <v>-0.1764771</v>
      </c>
      <c r="U6760">
        <v>3.066071</v>
      </c>
      <c r="V6760">
        <v>-2.2168890000000001E-3</v>
      </c>
      <c r="W6760">
        <v>0.167315299999999</v>
      </c>
      <c r="X6760">
        <v>0.98590089999999997</v>
      </c>
      <c r="Y6760">
        <v>3.835044E-2</v>
      </c>
      <c r="Z6760">
        <v>-5.7389059999999999E-2</v>
      </c>
      <c r="AA6760">
        <v>0.99761500000000003</v>
      </c>
      <c r="AB6760">
        <v>50</v>
      </c>
      <c r="AC6760">
        <v>4.7599999999988499E-2</v>
      </c>
      <c r="AD6760">
        <v>-5.9054999999999802E-2</v>
      </c>
      <c r="AE6760">
        <v>0.50746999999999698</v>
      </c>
      <c r="AF6760">
        <v>3.9070621706588003E-2</v>
      </c>
      <c r="AG6760">
        <v>-5.9054999999999802E-2</v>
      </c>
      <c r="AH6760">
        <v>0.50142600585789998</v>
      </c>
      <c r="AI6760">
        <v>96.696902910753593</v>
      </c>
      <c r="AJ6760">
        <v>85.5445714598509</v>
      </c>
      <c r="AK6760">
        <v>0.50640107213171004</v>
      </c>
      <c r="AL6760">
        <v>80.368238104385398</v>
      </c>
      <c r="AM6760">
        <v>90.128834621486007</v>
      </c>
      <c r="AN6760">
        <v>0.99999995441586798</v>
      </c>
    </row>
    <row r="6761" spans="1:40" x14ac:dyDescent="0.25">
      <c r="A6761" t="str">
        <f>"20190312164157729"</f>
        <v>20190312164157729</v>
      </c>
      <c r="B6761" t="str">
        <f>"1552380117722696"</f>
        <v>1552380117722696</v>
      </c>
      <c r="C6761" t="s">
        <v>40</v>
      </c>
      <c r="D6761">
        <v>5.3359459999999999</v>
      </c>
      <c r="E6761">
        <v>0.48390810000000001</v>
      </c>
      <c r="F6761" t="s">
        <v>42</v>
      </c>
      <c r="G6761">
        <v>-187.2542</v>
      </c>
      <c r="H6761">
        <v>1.0527169999999999</v>
      </c>
      <c r="I6761">
        <v>39.26793</v>
      </c>
      <c r="J6761">
        <v>-187.29859999999999</v>
      </c>
      <c r="K6761">
        <v>1.1090139999999999</v>
      </c>
      <c r="L6761">
        <v>38.783999999999999</v>
      </c>
      <c r="M6761">
        <v>1.5758589999999999E-2</v>
      </c>
      <c r="N6761">
        <v>0</v>
      </c>
      <c r="O6761">
        <v>0.99984079999999997</v>
      </c>
      <c r="P6761">
        <v>1.2552870000000001E-2</v>
      </c>
      <c r="Q6761">
        <v>0.1576236</v>
      </c>
      <c r="R6761">
        <v>0.98741950000000001</v>
      </c>
      <c r="S6761">
        <v>0.16607669999999999</v>
      </c>
      <c r="T6761">
        <v>-0.18047750000000001</v>
      </c>
      <c r="U6761">
        <v>3.0658259999999999</v>
      </c>
      <c r="V6761">
        <v>-3.009772E-3</v>
      </c>
      <c r="W6761">
        <v>0.16588079999999999</v>
      </c>
      <c r="X6761">
        <v>0.98614120000000005</v>
      </c>
      <c r="Y6761">
        <v>3.8254940000000001E-2</v>
      </c>
      <c r="Z6761">
        <v>-5.8690449999999998E-2</v>
      </c>
      <c r="AA6761">
        <v>0.99754299999999996</v>
      </c>
      <c r="AB6761">
        <v>50</v>
      </c>
      <c r="AC6761">
        <v>4.4399999999995998E-2</v>
      </c>
      <c r="AD6761">
        <v>-5.6297E-2</v>
      </c>
      <c r="AE6761">
        <v>0.48393000000000003</v>
      </c>
      <c r="AF6761">
        <v>3.6281256397099199E-2</v>
      </c>
      <c r="AG6761">
        <v>-5.6297E-2</v>
      </c>
      <c r="AH6761">
        <v>0.47815261902688699</v>
      </c>
      <c r="AI6761">
        <v>96.695935087984196</v>
      </c>
      <c r="AJ6761">
        <v>85.660826608305001</v>
      </c>
      <c r="AK6761">
        <v>0.48282047269872802</v>
      </c>
      <c r="AL6761">
        <v>80.451594086874593</v>
      </c>
      <c r="AM6761">
        <v>90.174870188410495</v>
      </c>
      <c r="AN6761">
        <v>0.99999998243678601</v>
      </c>
    </row>
    <row r="6762" spans="1:40" x14ac:dyDescent="0.25">
      <c r="A6762" t="str">
        <f>"20190312164157751"</f>
        <v>20190312164157751</v>
      </c>
      <c r="B6762" t="str">
        <f>"1552380117743191"</f>
        <v>1552380117743191</v>
      </c>
      <c r="C6762" t="s">
        <v>40</v>
      </c>
      <c r="D6762">
        <v>5.7657489999999996</v>
      </c>
      <c r="E6762">
        <v>0.48452600000000001</v>
      </c>
      <c r="F6762" t="s">
        <v>41</v>
      </c>
      <c r="G6762">
        <v>-188.45240000000001</v>
      </c>
      <c r="H6762" s="1">
        <v>-3.160843E-6</v>
      </c>
      <c r="I6762">
        <v>66.360860000000002</v>
      </c>
      <c r="J6762">
        <v>-187.29069999999999</v>
      </c>
      <c r="K6762">
        <v>1.109005</v>
      </c>
      <c r="L6762">
        <v>39.286160000000002</v>
      </c>
      <c r="M6762">
        <v>1.5755720000000001E-2</v>
      </c>
      <c r="N6762">
        <v>0</v>
      </c>
      <c r="O6762">
        <v>0.99984039999999996</v>
      </c>
      <c r="P6762">
        <v>1.2028250000000001E-2</v>
      </c>
      <c r="Q6762">
        <v>0.15630620000000001</v>
      </c>
      <c r="R6762">
        <v>0.98763540000000005</v>
      </c>
      <c r="S6762">
        <v>-0.12800599999999901</v>
      </c>
      <c r="T6762">
        <v>-0.12303840000000001</v>
      </c>
      <c r="U6762">
        <v>3.0594790000000001</v>
      </c>
      <c r="V6762">
        <v>-3.5334210000000001E-3</v>
      </c>
      <c r="W6762">
        <v>0.16462280000000001</v>
      </c>
      <c r="X6762">
        <v>0.98635030000000001</v>
      </c>
      <c r="Y6762">
        <v>-5.7506210000000002E-2</v>
      </c>
      <c r="Z6762">
        <v>-4.0124739999999999E-2</v>
      </c>
      <c r="AA6762">
        <v>0.99753849999999999</v>
      </c>
      <c r="AB6762">
        <v>50</v>
      </c>
      <c r="AC6762">
        <v>-1.1617000000000199</v>
      </c>
      <c r="AD6762">
        <v>-1.109008160843</v>
      </c>
      <c r="AE6762">
        <v>27.0747</v>
      </c>
      <c r="AF6762">
        <v>-1.5854970405473101</v>
      </c>
      <c r="AG6762">
        <v>-1.109008160843</v>
      </c>
      <c r="AH6762">
        <v>27.007804304865999</v>
      </c>
      <c r="AI6762">
        <v>92.347350557018899</v>
      </c>
      <c r="AJ6762">
        <v>93.359701021080994</v>
      </c>
      <c r="AK6762">
        <v>27.0770233470435</v>
      </c>
      <c r="AL6762">
        <v>80.524677452613503</v>
      </c>
      <c r="AM6762">
        <v>90.205250857159996</v>
      </c>
      <c r="AN6762">
        <v>1.0000000328269401</v>
      </c>
    </row>
    <row r="6763" spans="1:40" x14ac:dyDescent="0.25">
      <c r="A6763" t="str">
        <f>"20190312164157774"</f>
        <v>20190312164157774</v>
      </c>
      <c r="B6763" t="str">
        <f>"1552380117762711"</f>
        <v>1552380117762711</v>
      </c>
      <c r="C6763" t="s">
        <v>40</v>
      </c>
      <c r="D6763">
        <v>5.3943719999999997</v>
      </c>
      <c r="E6763">
        <v>0.48487920000000001</v>
      </c>
      <c r="F6763" t="s">
        <v>41</v>
      </c>
      <c r="G6763">
        <v>-188.3965</v>
      </c>
      <c r="H6763" s="1">
        <v>-3.1797849999999998E-6</v>
      </c>
      <c r="I6763">
        <v>66.381889999999999</v>
      </c>
      <c r="J6763">
        <v>-187.28280000000001</v>
      </c>
      <c r="K6763">
        <v>1.1089990000000001</v>
      </c>
      <c r="L6763">
        <v>39.787959999999998</v>
      </c>
      <c r="M6763">
        <v>1.5753550000000002E-2</v>
      </c>
      <c r="N6763">
        <v>0</v>
      </c>
      <c r="O6763">
        <v>0.99983999999999995</v>
      </c>
      <c r="P6763">
        <v>1.1027169999999999E-2</v>
      </c>
      <c r="Q6763">
        <v>0.1555135</v>
      </c>
      <c r="R6763">
        <v>0.98777219999999999</v>
      </c>
      <c r="S6763">
        <v>-0.1248322</v>
      </c>
      <c r="T6763">
        <v>-0.12519849999999999</v>
      </c>
      <c r="U6763">
        <v>3.0588989999999998</v>
      </c>
      <c r="V6763">
        <v>-4.5339009999999999E-3</v>
      </c>
      <c r="W6763">
        <v>0.16388429999999901</v>
      </c>
      <c r="X6763">
        <v>0.98646909999999999</v>
      </c>
      <c r="Y6763">
        <v>-5.6477489999999998E-2</v>
      </c>
      <c r="Z6763">
        <v>-4.0837810000000002E-2</v>
      </c>
      <c r="AA6763">
        <v>0.99756829999999996</v>
      </c>
      <c r="AB6763">
        <v>50</v>
      </c>
      <c r="AC6763">
        <v>-1.1136999999999899</v>
      </c>
      <c r="AD6763">
        <v>-1.109002179785</v>
      </c>
      <c r="AE6763">
        <v>26.59393</v>
      </c>
      <c r="AF6763">
        <v>-1.52986984555025</v>
      </c>
      <c r="AG6763">
        <v>-1.109002179785</v>
      </c>
      <c r="AH6763">
        <v>26.527034463201002</v>
      </c>
      <c r="AI6763">
        <v>92.389974643393799</v>
      </c>
      <c r="AJ6763">
        <v>93.300711830433997</v>
      </c>
      <c r="AK6763">
        <v>26.5942464640558</v>
      </c>
      <c r="AL6763">
        <v>80.567572222853698</v>
      </c>
      <c r="AM6763">
        <v>90.263334718642795</v>
      </c>
      <c r="AN6763">
        <v>0.99999995264978703</v>
      </c>
    </row>
    <row r="6764" spans="1:40" x14ac:dyDescent="0.25">
      <c r="A6764" t="str">
        <f>"20190312164157795"</f>
        <v>20190312164157795</v>
      </c>
      <c r="B6764" t="str">
        <f>"1552380117792968"</f>
        <v>1552380117792968</v>
      </c>
      <c r="C6764" t="s">
        <v>40</v>
      </c>
      <c r="D6764">
        <v>5.5547559999999896</v>
      </c>
      <c r="E6764">
        <v>0.48528149999999998</v>
      </c>
      <c r="F6764" t="s">
        <v>41</v>
      </c>
      <c r="G6764">
        <v>-188.36349999999999</v>
      </c>
      <c r="H6764" s="1">
        <v>-3.1040930000000001E-6</v>
      </c>
      <c r="I6764">
        <v>66.191829999999996</v>
      </c>
      <c r="J6764">
        <v>-187.27510000000001</v>
      </c>
      <c r="K6764">
        <v>1.108994</v>
      </c>
      <c r="L6764">
        <v>40.273159999999997</v>
      </c>
      <c r="M6764">
        <v>1.575174E-2</v>
      </c>
      <c r="N6764">
        <v>0</v>
      </c>
      <c r="O6764">
        <v>0.99983949999999999</v>
      </c>
      <c r="P6764">
        <v>1.018699E-2</v>
      </c>
      <c r="Q6764">
        <v>0.15440299999999901</v>
      </c>
      <c r="R6764">
        <v>0.98795549999999999</v>
      </c>
      <c r="S6764">
        <v>-0.12519839999999999</v>
      </c>
      <c r="T6764">
        <v>-0.128472</v>
      </c>
      <c r="U6764">
        <v>3.0587460000000002</v>
      </c>
      <c r="V6764">
        <v>-5.374495E-3</v>
      </c>
      <c r="W6764">
        <v>0.16282249999999901</v>
      </c>
      <c r="X6764">
        <v>0.98664079999999998</v>
      </c>
      <c r="Y6764">
        <v>-5.6595149999999997E-2</v>
      </c>
      <c r="Z6764">
        <v>-4.1905560000000001E-2</v>
      </c>
      <c r="AA6764">
        <v>0.99751730000000005</v>
      </c>
      <c r="AB6764">
        <v>50</v>
      </c>
      <c r="AC6764">
        <v>-1.0883999999999701</v>
      </c>
      <c r="AD6764">
        <v>-1.108997104093</v>
      </c>
      <c r="AE6764">
        <v>25.918669999999999</v>
      </c>
      <c r="AF6764">
        <v>-1.4938139547846101</v>
      </c>
      <c r="AG6764">
        <v>-1.108997104093</v>
      </c>
      <c r="AH6764">
        <v>25.8510650928948</v>
      </c>
      <c r="AI6764">
        <v>92.452366647178906</v>
      </c>
      <c r="AJ6764">
        <v>93.307181346057504</v>
      </c>
      <c r="AK6764">
        <v>25.917926636702202</v>
      </c>
      <c r="AL6764">
        <v>80.629238209760402</v>
      </c>
      <c r="AM6764">
        <v>90.312102271469499</v>
      </c>
      <c r="AN6764">
        <v>1.00000005996369</v>
      </c>
    </row>
    <row r="6765" spans="1:40" x14ac:dyDescent="0.25">
      <c r="A6765" t="str">
        <f>"20190312164157818"</f>
        <v>20190312164157818</v>
      </c>
      <c r="B6765" t="str">
        <f>"1552380117812488"</f>
        <v>1552380117812488</v>
      </c>
      <c r="C6765" t="s">
        <v>40</v>
      </c>
      <c r="D6765">
        <v>5.2804089999999997</v>
      </c>
      <c r="E6765">
        <v>0.48540440000000001</v>
      </c>
      <c r="F6765" t="s">
        <v>41</v>
      </c>
      <c r="G6765">
        <v>-188.29310000000001</v>
      </c>
      <c r="H6765" s="1">
        <v>-2.7055979999999999E-6</v>
      </c>
      <c r="I6765">
        <v>65.233800000000002</v>
      </c>
      <c r="J6765">
        <v>-187.26730000000001</v>
      </c>
      <c r="K6765">
        <v>1.1089800000000001</v>
      </c>
      <c r="L6765">
        <v>40.771329999999999</v>
      </c>
      <c r="M6765">
        <v>1.5750110000000001E-2</v>
      </c>
      <c r="N6765">
        <v>0</v>
      </c>
      <c r="O6765">
        <v>0.99983920000000004</v>
      </c>
      <c r="P6765">
        <v>8.9160090000000008E-3</v>
      </c>
      <c r="Q6765">
        <v>0.15295059999999999</v>
      </c>
      <c r="R6765">
        <v>0.98819360000000001</v>
      </c>
      <c r="S6765">
        <v>-0.1247559</v>
      </c>
      <c r="T6765">
        <v>-0.1359158</v>
      </c>
      <c r="U6765">
        <v>3.059113</v>
      </c>
      <c r="V6765">
        <v>-6.6467779999999999E-3</v>
      </c>
      <c r="W6765">
        <v>0.1614157</v>
      </c>
      <c r="X6765">
        <v>0.98686410000000002</v>
      </c>
      <c r="Y6765">
        <v>-5.6440329999999997E-2</v>
      </c>
      <c r="Z6765">
        <v>-4.4323979999999999E-2</v>
      </c>
      <c r="AA6765">
        <v>0.99742160000000002</v>
      </c>
      <c r="AB6765">
        <v>50</v>
      </c>
      <c r="AC6765">
        <v>-1.0258</v>
      </c>
      <c r="AD6765">
        <v>-1.1089827055979999</v>
      </c>
      <c r="AE6765">
        <v>24.46247</v>
      </c>
      <c r="AF6765">
        <v>-1.4080847230842899</v>
      </c>
      <c r="AG6765">
        <v>-1.1089827055979999</v>
      </c>
      <c r="AH6765">
        <v>24.393233999127901</v>
      </c>
      <c r="AI6765">
        <v>92.598709417434407</v>
      </c>
      <c r="AJ6765">
        <v>93.303698152786396</v>
      </c>
      <c r="AK6765">
        <v>24.4589944634874</v>
      </c>
      <c r="AL6765">
        <v>80.710921749472305</v>
      </c>
      <c r="AM6765">
        <v>90.385895655008198</v>
      </c>
      <c r="AN6765">
        <v>0.99999997986653999</v>
      </c>
    </row>
    <row r="6766" spans="1:40" x14ac:dyDescent="0.25">
      <c r="A6766" t="str">
        <f>"20190312164157840"</f>
        <v>20190312164157840</v>
      </c>
      <c r="B6766" t="str">
        <f>"1552380117832984"</f>
        <v>1552380117832984</v>
      </c>
      <c r="C6766" t="s">
        <v>40</v>
      </c>
      <c r="D6766">
        <v>5.4340869999999999</v>
      </c>
      <c r="E6766">
        <v>0.48608499999999999</v>
      </c>
      <c r="F6766" t="s">
        <v>41</v>
      </c>
      <c r="G6766">
        <v>-188.24600000000001</v>
      </c>
      <c r="H6766" s="1">
        <v>-2.2573220000000002E-6</v>
      </c>
      <c r="I6766">
        <v>64.169409999999999</v>
      </c>
      <c r="J6766">
        <v>-187.25919999999999</v>
      </c>
      <c r="K6766">
        <v>1.1089709999999999</v>
      </c>
      <c r="L6766">
        <v>41.289279999999998</v>
      </c>
      <c r="M6766">
        <v>1.5748359999999999E-2</v>
      </c>
      <c r="N6766">
        <v>0</v>
      </c>
      <c r="O6766">
        <v>0.99983889999999997</v>
      </c>
      <c r="P6766">
        <v>7.9565569999999995E-3</v>
      </c>
      <c r="Q6766">
        <v>0.15143389999999901</v>
      </c>
      <c r="R6766">
        <v>0.98843539999999996</v>
      </c>
      <c r="S6766">
        <v>-0.12797549999999999</v>
      </c>
      <c r="T6766">
        <v>-0.14500650000000001</v>
      </c>
      <c r="U6766">
        <v>3.0594480000000002</v>
      </c>
      <c r="V6766">
        <v>-7.6081250000000003E-3</v>
      </c>
      <c r="W6766">
        <v>0.1599421</v>
      </c>
      <c r="X6766">
        <v>0.98709709999999995</v>
      </c>
      <c r="Y6766">
        <v>-5.7476300000000001E-2</v>
      </c>
      <c r="Z6766">
        <v>-4.7274589999999998E-2</v>
      </c>
      <c r="AA6766">
        <v>0.99722699999999997</v>
      </c>
      <c r="AB6766">
        <v>50</v>
      </c>
      <c r="AC6766">
        <v>-0.98679999999998802</v>
      </c>
      <c r="AD6766">
        <v>-1.1089732573219999</v>
      </c>
      <c r="AE6766">
        <v>22.880129999999902</v>
      </c>
      <c r="AF6766">
        <v>-1.3438643189005099</v>
      </c>
      <c r="AG6766">
        <v>-1.1089732573219999</v>
      </c>
      <c r="AH6766">
        <v>22.808268954732899</v>
      </c>
      <c r="AI6766">
        <v>92.778805457179402</v>
      </c>
      <c r="AJ6766">
        <v>93.371971713930094</v>
      </c>
      <c r="AK6766">
        <v>22.8747224180864</v>
      </c>
      <c r="AL6766">
        <v>80.796464687506699</v>
      </c>
      <c r="AM6766">
        <v>90.441602777227999</v>
      </c>
      <c r="AN6766">
        <v>1.00000002187341</v>
      </c>
    </row>
    <row r="6767" spans="1:40" x14ac:dyDescent="0.25">
      <c r="A6767" t="str">
        <f>"20190312164157863"</f>
        <v>20190312164157863</v>
      </c>
      <c r="B6767" t="str">
        <f>"1552380117852507"</f>
        <v>1552380117852507</v>
      </c>
      <c r="C6767" t="s">
        <v>40</v>
      </c>
      <c r="D6767">
        <v>5.5853419999999998</v>
      </c>
      <c r="E6767">
        <v>0.48630319999999999</v>
      </c>
      <c r="F6767" t="s">
        <v>41</v>
      </c>
      <c r="G6767">
        <v>-188.1644</v>
      </c>
      <c r="H6767" s="1">
        <v>-1.8828269999999999E-6</v>
      </c>
      <c r="I6767">
        <v>63.262689999999999</v>
      </c>
      <c r="J6767">
        <v>-187.25129999999999</v>
      </c>
      <c r="K6767">
        <v>1.108962</v>
      </c>
      <c r="L6767">
        <v>41.790039999999998</v>
      </c>
      <c r="M6767">
        <v>1.5746679999999999E-2</v>
      </c>
      <c r="N6767">
        <v>0</v>
      </c>
      <c r="O6767">
        <v>0.99983860000000002</v>
      </c>
      <c r="P6767">
        <v>6.6122749999999999E-3</v>
      </c>
      <c r="Q6767">
        <v>0.1502616</v>
      </c>
      <c r="R6767">
        <v>0.98862419999999995</v>
      </c>
      <c r="S6767">
        <v>-0.1260529</v>
      </c>
      <c r="T6767">
        <v>-0.1544237</v>
      </c>
      <c r="U6767">
        <v>3.0597840000000001</v>
      </c>
      <c r="V6767">
        <v>-8.9531079999999996E-3</v>
      </c>
      <c r="W6767">
        <v>0.15881039999999999</v>
      </c>
      <c r="X6767">
        <v>0.98726849999999999</v>
      </c>
      <c r="Y6767">
        <v>-5.6838359999999997E-2</v>
      </c>
      <c r="Z6767">
        <v>-5.0333259999999998E-2</v>
      </c>
      <c r="AA6767">
        <v>0.99711380000000005</v>
      </c>
      <c r="AB6767">
        <v>50</v>
      </c>
      <c r="AC6767">
        <v>-0.91310000000001401</v>
      </c>
      <c r="AD6767">
        <v>-1.1089638828270001</v>
      </c>
      <c r="AE6767">
        <v>21.472649999999899</v>
      </c>
      <c r="AF6767">
        <v>-1.24780019082474</v>
      </c>
      <c r="AG6767">
        <v>-1.1089638828270001</v>
      </c>
      <c r="AH6767">
        <v>21.3986361847494</v>
      </c>
      <c r="AI6767">
        <v>92.961623120772799</v>
      </c>
      <c r="AJ6767">
        <v>93.337260163015202</v>
      </c>
      <c r="AK6767">
        <v>21.4636538542929</v>
      </c>
      <c r="AL6767">
        <v>80.862145629299405</v>
      </c>
      <c r="AM6767">
        <v>90.519576225161103</v>
      </c>
      <c r="AN6767">
        <v>0.99999999619163404</v>
      </c>
    </row>
    <row r="6768" spans="1:40" x14ac:dyDescent="0.25">
      <c r="A6768" t="str">
        <f>"20190312164157885"</f>
        <v>20190312164157885</v>
      </c>
      <c r="B6768" t="str">
        <f>"1552380117872999"</f>
        <v>1552380117872999</v>
      </c>
      <c r="C6768" t="s">
        <v>40</v>
      </c>
      <c r="D6768">
        <v>5.4913509999999999</v>
      </c>
      <c r="E6768">
        <v>0.4863941</v>
      </c>
      <c r="F6768" t="s">
        <v>41</v>
      </c>
      <c r="G6768">
        <v>-188.14850000000001</v>
      </c>
      <c r="H6768" s="1">
        <v>-1.8451919999999999E-6</v>
      </c>
      <c r="I6768">
        <v>63.168379999999999</v>
      </c>
      <c r="J6768">
        <v>-187.2433</v>
      </c>
      <c r="K6768">
        <v>1.108957</v>
      </c>
      <c r="L6768">
        <v>42.2926</v>
      </c>
      <c r="M6768">
        <v>1.5745309999999998E-2</v>
      </c>
      <c r="N6768">
        <v>0</v>
      </c>
      <c r="O6768">
        <v>0.99983820000000001</v>
      </c>
      <c r="P6768">
        <v>4.9995129999999997E-3</v>
      </c>
      <c r="Q6768">
        <v>0.14871770000000001</v>
      </c>
      <c r="R6768">
        <v>0.98886700000000005</v>
      </c>
      <c r="S6768">
        <v>-0.12840270000000001</v>
      </c>
      <c r="T6768">
        <v>-0.15870670000000001</v>
      </c>
      <c r="U6768">
        <v>3.0595089999999998</v>
      </c>
      <c r="V6768">
        <v>-1.056757E-2</v>
      </c>
      <c r="W6768">
        <v>0.157307</v>
      </c>
      <c r="X6768">
        <v>0.98749319999999896</v>
      </c>
      <c r="Y6768">
        <v>-5.7602189999999998E-2</v>
      </c>
      <c r="Z6768">
        <v>-5.1728240000000002E-2</v>
      </c>
      <c r="AA6768">
        <v>0.99699859999999896</v>
      </c>
      <c r="AB6768">
        <v>50</v>
      </c>
      <c r="AC6768">
        <v>-0.905200000000007</v>
      </c>
      <c r="AD6768">
        <v>-1.1089588451920001</v>
      </c>
      <c r="AE6768">
        <v>20.875779999999999</v>
      </c>
      <c r="AF6768">
        <v>-1.2303304566019999</v>
      </c>
      <c r="AG6768">
        <v>-1.1089588451920001</v>
      </c>
      <c r="AH6768">
        <v>20.800351868914699</v>
      </c>
      <c r="AI6768">
        <v>93.046487735635495</v>
      </c>
      <c r="AJ6768">
        <v>93.385072763570307</v>
      </c>
      <c r="AK6768">
        <v>20.866196122519199</v>
      </c>
      <c r="AL6768">
        <v>80.949380652865301</v>
      </c>
      <c r="AM6768">
        <v>90.613122246490704</v>
      </c>
      <c r="AN6768">
        <v>0.99999999291547204</v>
      </c>
    </row>
    <row r="6769" spans="1:40" x14ac:dyDescent="0.25">
      <c r="A6769" t="str">
        <f>"20190312164157909"</f>
        <v>20190312164157909</v>
      </c>
      <c r="B6769" t="str">
        <f>"1552380117903255"</f>
        <v>1552380117903255</v>
      </c>
      <c r="C6769" t="s">
        <v>40</v>
      </c>
      <c r="D6769">
        <v>5.4530419999999999</v>
      </c>
      <c r="E6769">
        <v>0.48655369999999998</v>
      </c>
      <c r="F6769" t="s">
        <v>41</v>
      </c>
      <c r="G6769">
        <v>-188.15450000000001</v>
      </c>
      <c r="H6769" s="1">
        <v>-1.9303529999999999E-6</v>
      </c>
      <c r="I6769">
        <v>63.369399999999999</v>
      </c>
      <c r="J6769">
        <v>-187.23519999999999</v>
      </c>
      <c r="K6769">
        <v>1.108949</v>
      </c>
      <c r="L6769">
        <v>42.812649999999998</v>
      </c>
      <c r="M6769">
        <v>1.5744000000000001E-2</v>
      </c>
      <c r="N6769">
        <v>0</v>
      </c>
      <c r="O6769">
        <v>0.99983789999999995</v>
      </c>
      <c r="P6769">
        <v>3.2893950000000001E-3</v>
      </c>
      <c r="Q6769">
        <v>0.14711189999999999</v>
      </c>
      <c r="R6769">
        <v>0.98911439999999995</v>
      </c>
      <c r="S6769">
        <v>-0.13223270000000001</v>
      </c>
      <c r="T6769">
        <v>-0.16093160000000001</v>
      </c>
      <c r="U6769">
        <v>3.0586549999999999</v>
      </c>
      <c r="V6769">
        <v>-1.2279440000000001E-2</v>
      </c>
      <c r="W6769">
        <v>0.15574109999999999</v>
      </c>
      <c r="X6769">
        <v>0.98772159999999998</v>
      </c>
      <c r="Y6769">
        <v>-5.8857E-2</v>
      </c>
      <c r="Z6769">
        <v>-5.2462719999999997E-2</v>
      </c>
      <c r="AA6769">
        <v>0.99688690000000002</v>
      </c>
      <c r="AB6769">
        <v>50</v>
      </c>
      <c r="AC6769">
        <v>-0.91930000000002099</v>
      </c>
      <c r="AD6769">
        <v>-1.1089509303530001</v>
      </c>
      <c r="AE6769">
        <v>20.556750000000001</v>
      </c>
      <c r="AF6769">
        <v>-1.23924467595085</v>
      </c>
      <c r="AG6769">
        <v>-1.1089509303530001</v>
      </c>
      <c r="AH6769">
        <v>20.480246215686101</v>
      </c>
      <c r="AI6769">
        <v>93.093740092756207</v>
      </c>
      <c r="AJ6769">
        <v>93.462703628086402</v>
      </c>
      <c r="AK6769">
        <v>20.547651558947699</v>
      </c>
      <c r="AL6769">
        <v>81.0402200121069</v>
      </c>
      <c r="AM6769">
        <v>90.712269371741897</v>
      </c>
      <c r="AN6769">
        <v>1.00000001699124</v>
      </c>
    </row>
    <row r="6770" spans="1:40" x14ac:dyDescent="0.25">
      <c r="A6770" t="str">
        <f>"20190312164157930"</f>
        <v>20190312164157930</v>
      </c>
      <c r="B6770" t="str">
        <f>"1552380117922775"</f>
        <v>1552380117922775</v>
      </c>
      <c r="C6770" t="s">
        <v>40</v>
      </c>
      <c r="D6770">
        <v>5.5379959999999997</v>
      </c>
      <c r="E6770">
        <v>0.48667090000000002</v>
      </c>
      <c r="F6770" t="s">
        <v>41</v>
      </c>
      <c r="G6770">
        <v>-188.1489</v>
      </c>
      <c r="H6770" s="1">
        <v>-1.9085999999999998E-6</v>
      </c>
      <c r="I6770">
        <v>63.31635</v>
      </c>
      <c r="J6770">
        <v>-187.22739999999999</v>
      </c>
      <c r="K6770">
        <v>1.108943</v>
      </c>
      <c r="L6770">
        <v>43.308929999999997</v>
      </c>
      <c r="M6770">
        <v>1.5742849999999999E-2</v>
      </c>
      <c r="N6770">
        <v>0</v>
      </c>
      <c r="O6770">
        <v>0.99983770000000005</v>
      </c>
      <c r="P6770">
        <v>7.3809530000000002E-4</v>
      </c>
      <c r="Q6770">
        <v>0.14458460000000001</v>
      </c>
      <c r="R6770">
        <v>0.98949219999999904</v>
      </c>
      <c r="S6770">
        <v>-0.13627619999999999</v>
      </c>
      <c r="T6770">
        <v>-0.1653973</v>
      </c>
      <c r="U6770">
        <v>3.0580750000000001</v>
      </c>
      <c r="V6770">
        <v>-1.4835610000000001E-2</v>
      </c>
      <c r="W6770">
        <v>0.15324979999999999</v>
      </c>
      <c r="X6770">
        <v>0.98807610000000001</v>
      </c>
      <c r="Y6770">
        <v>-6.0176109999999998E-2</v>
      </c>
      <c r="Z6770">
        <v>-5.3920830000000003E-2</v>
      </c>
      <c r="AA6770">
        <v>0.99673029999999996</v>
      </c>
      <c r="AB6770">
        <v>51</v>
      </c>
      <c r="AC6770">
        <v>-0.92150000000000798</v>
      </c>
      <c r="AD6770">
        <v>-1.1089449086000001</v>
      </c>
      <c r="AE6770">
        <v>20.00742</v>
      </c>
      <c r="AF6770">
        <v>-1.23259303636494</v>
      </c>
      <c r="AG6770">
        <v>-1.1089449086000001</v>
      </c>
      <c r="AH6770">
        <v>19.929337117352599</v>
      </c>
      <c r="AI6770">
        <v>93.178811543348004</v>
      </c>
      <c r="AJ6770">
        <v>93.539131100178395</v>
      </c>
      <c r="AK6770">
        <v>19.998187976431598</v>
      </c>
      <c r="AL6770">
        <v>81.1846954147628</v>
      </c>
      <c r="AM6770">
        <v>90.860211042725396</v>
      </c>
      <c r="AN6770">
        <v>0.99999998795766099</v>
      </c>
    </row>
    <row r="6771" spans="1:40" x14ac:dyDescent="0.25">
      <c r="A6771" t="str">
        <f>"20190312164157963"</f>
        <v>20190312164157963</v>
      </c>
      <c r="B6771" t="str">
        <f>"1552380117953035"</f>
        <v>1552380117953035</v>
      </c>
      <c r="C6771" t="s">
        <v>40</v>
      </c>
      <c r="D6771">
        <v>5.4470640000000001</v>
      </c>
      <c r="E6771">
        <v>0.4868709</v>
      </c>
      <c r="F6771" t="s">
        <v>41</v>
      </c>
      <c r="G6771">
        <v>-188.1507</v>
      </c>
      <c r="H6771" s="1">
        <v>-1.790675E-6</v>
      </c>
      <c r="I6771">
        <v>63.042209999999997</v>
      </c>
      <c r="J6771">
        <v>-187.21549999999999</v>
      </c>
      <c r="K6771">
        <v>1.1089249999999999</v>
      </c>
      <c r="L6771">
        <v>44.059809999999999</v>
      </c>
      <c r="M6771">
        <v>1.5741270000000002E-2</v>
      </c>
      <c r="N6771">
        <v>0</v>
      </c>
      <c r="O6771">
        <v>0.99983730000000004</v>
      </c>
      <c r="P6771">
        <v>-2.651722E-3</v>
      </c>
      <c r="Q6771">
        <v>0.1422351</v>
      </c>
      <c r="R6771">
        <v>0.98982939999999997</v>
      </c>
      <c r="S6771">
        <v>-0.14303589999999999</v>
      </c>
      <c r="T6771">
        <v>-0.17179700000000001</v>
      </c>
      <c r="U6771">
        <v>3.0570680000000001</v>
      </c>
      <c r="V6771">
        <v>-1.8228689999999999E-2</v>
      </c>
      <c r="W6771">
        <v>0.15094759999999999</v>
      </c>
      <c r="X6771">
        <v>0.98837370000000002</v>
      </c>
      <c r="Y6771">
        <v>-6.2382939999999998E-2</v>
      </c>
      <c r="Z6771">
        <v>-5.6012529999999998E-2</v>
      </c>
      <c r="AA6771">
        <v>0.99647929999999996</v>
      </c>
      <c r="AB6771">
        <v>51</v>
      </c>
      <c r="AC6771">
        <v>-0.93520000000000802</v>
      </c>
      <c r="AD6771">
        <v>-1.108926790675</v>
      </c>
      <c r="AE6771">
        <v>18.982399999999998</v>
      </c>
      <c r="AF6771">
        <v>-1.22971625109134</v>
      </c>
      <c r="AG6771">
        <v>-1.108926790675</v>
      </c>
      <c r="AH6771">
        <v>18.900978079746402</v>
      </c>
      <c r="AI6771">
        <v>93.350645837033696</v>
      </c>
      <c r="AJ6771">
        <v>93.722473440994406</v>
      </c>
      <c r="AK6771">
        <v>18.9733732650873</v>
      </c>
      <c r="AL6771">
        <v>81.318154801409193</v>
      </c>
      <c r="AM6771">
        <v>91.056592872840099</v>
      </c>
      <c r="AN6771">
        <v>1.0000000169682799</v>
      </c>
    </row>
    <row r="6772" spans="1:40" x14ac:dyDescent="0.25">
      <c r="A6772" t="str">
        <f>"20190312164157987"</f>
        <v>20190312164157987</v>
      </c>
      <c r="B6772" t="str">
        <f>"1552380117983287"</f>
        <v>1552380117983287</v>
      </c>
      <c r="C6772" t="s">
        <v>40</v>
      </c>
      <c r="D6772">
        <v>5.5159349999999998</v>
      </c>
      <c r="E6772">
        <v>0.48698219999999998</v>
      </c>
      <c r="F6772" t="s">
        <v>41</v>
      </c>
      <c r="G6772">
        <v>-188.16370000000001</v>
      </c>
      <c r="H6772" s="1">
        <v>-1.8384170000000001E-6</v>
      </c>
      <c r="I6772">
        <v>63.158869999999901</v>
      </c>
      <c r="J6772">
        <v>-187.2073</v>
      </c>
      <c r="K6772">
        <v>1.1089230000000001</v>
      </c>
      <c r="L6772">
        <v>44.583069999999999</v>
      </c>
      <c r="M6772">
        <v>1.5740250000000001E-2</v>
      </c>
      <c r="N6772">
        <v>0</v>
      </c>
      <c r="O6772">
        <v>0.99983699999999998</v>
      </c>
      <c r="P6772">
        <v>-5.4238659999999899E-3</v>
      </c>
      <c r="Q6772">
        <v>0.14072299999999999</v>
      </c>
      <c r="R6772">
        <v>0.99003419999999998</v>
      </c>
      <c r="S6772">
        <v>-0.1517029</v>
      </c>
      <c r="T6772">
        <v>-0.1774317</v>
      </c>
      <c r="U6772">
        <v>3.0559080000000001</v>
      </c>
      <c r="V6772">
        <v>-2.100225E-2</v>
      </c>
      <c r="W6772">
        <v>0.14946489999999901</v>
      </c>
      <c r="X6772">
        <v>0.98854390000000003</v>
      </c>
      <c r="Y6772">
        <v>-6.5213720000000003E-2</v>
      </c>
      <c r="Z6772">
        <v>-5.785626E-2</v>
      </c>
      <c r="AA6772">
        <v>0.99619270000000004</v>
      </c>
      <c r="AB6772">
        <v>51</v>
      </c>
      <c r="AC6772">
        <v>-0.95640000000000203</v>
      </c>
      <c r="AD6772">
        <v>-1.1089248384169901</v>
      </c>
      <c r="AE6772">
        <v>18.575799999999902</v>
      </c>
      <c r="AF6772">
        <v>-1.2442581569401301</v>
      </c>
      <c r="AG6772">
        <v>-1.1089248384169901</v>
      </c>
      <c r="AH6772">
        <v>18.492714518429501</v>
      </c>
      <c r="AI6772">
        <v>93.423937624625395</v>
      </c>
      <c r="AJ6772">
        <v>93.849270058250696</v>
      </c>
      <c r="AK6772">
        <v>18.567670368640901</v>
      </c>
      <c r="AL6772">
        <v>81.404081523495293</v>
      </c>
      <c r="AM6772">
        <v>91.2171025290789</v>
      </c>
      <c r="AN6772">
        <v>0.99999994653213897</v>
      </c>
    </row>
    <row r="6773" spans="1:40" x14ac:dyDescent="0.25">
      <c r="A6773" t="str">
        <f>"20190312164158008"</f>
        <v>20190312164158008</v>
      </c>
      <c r="B6773" t="str">
        <f>"1552380118002808"</f>
        <v>1552380118002808</v>
      </c>
      <c r="C6773" t="s">
        <v>40</v>
      </c>
      <c r="D6773">
        <v>5.3807660000000004</v>
      </c>
      <c r="E6773">
        <v>0.4870698</v>
      </c>
      <c r="F6773" t="s">
        <v>41</v>
      </c>
      <c r="G6773">
        <v>-188.1789</v>
      </c>
      <c r="H6773" s="1">
        <v>-1.9170550000000001E-6</v>
      </c>
      <c r="I6773">
        <v>63.348469999999899</v>
      </c>
      <c r="J6773">
        <v>-187.1996</v>
      </c>
      <c r="K6773">
        <v>1.1089209999999901</v>
      </c>
      <c r="L6773">
        <v>45.07602</v>
      </c>
      <c r="M6773">
        <v>1.5739320000000001E-2</v>
      </c>
      <c r="N6773">
        <v>0</v>
      </c>
      <c r="O6773">
        <v>0.99983690000000003</v>
      </c>
      <c r="P6773">
        <v>-7.6169430000000002E-3</v>
      </c>
      <c r="Q6773">
        <v>0.13974589999999901</v>
      </c>
      <c r="R6773">
        <v>0.99015810000000004</v>
      </c>
      <c r="S6773">
        <v>-0.1581726</v>
      </c>
      <c r="T6773">
        <v>-0.1805321</v>
      </c>
      <c r="U6773">
        <v>3.0549930000000001</v>
      </c>
      <c r="V6773">
        <v>-2.3196040000000001E-2</v>
      </c>
      <c r="W6773">
        <v>0.14851249999999999</v>
      </c>
      <c r="X6773">
        <v>0.98863849999999998</v>
      </c>
      <c r="Y6773">
        <v>-6.7328609999999997E-2</v>
      </c>
      <c r="Z6773">
        <v>-5.8874009999999997E-2</v>
      </c>
      <c r="AA6773">
        <v>0.99599230000000005</v>
      </c>
      <c r="AB6773">
        <v>51</v>
      </c>
      <c r="AC6773">
        <v>-0.97929999999999495</v>
      </c>
      <c r="AD6773">
        <v>-1.1089229170549999</v>
      </c>
      <c r="AE6773">
        <v>18.2724499999999</v>
      </c>
      <c r="AF6773">
        <v>-1.26215063654181</v>
      </c>
      <c r="AG6773">
        <v>-1.1089229170549999</v>
      </c>
      <c r="AH6773">
        <v>18.187976675136301</v>
      </c>
      <c r="AI6773">
        <v>93.4806608146408</v>
      </c>
      <c r="AJ6773">
        <v>93.969664014036198</v>
      </c>
      <c r="AK6773">
        <v>18.2654107482036</v>
      </c>
      <c r="AL6773">
        <v>81.459266849627198</v>
      </c>
      <c r="AM6773">
        <v>91.344061958538703</v>
      </c>
      <c r="AN6773">
        <v>1.00000005130508</v>
      </c>
    </row>
    <row r="6774" spans="1:40" x14ac:dyDescent="0.25">
      <c r="A6774" t="str">
        <f>"20190312164158031"</f>
        <v>20190312164158031</v>
      </c>
      <c r="B6774" t="str">
        <f>"1552380118022328"</f>
        <v>1552380118022328</v>
      </c>
      <c r="C6774" t="s">
        <v>40</v>
      </c>
      <c r="D6774">
        <v>5.4496339999999996</v>
      </c>
      <c r="E6774">
        <v>0.48718600000000001</v>
      </c>
      <c r="F6774" t="s">
        <v>41</v>
      </c>
      <c r="G6774">
        <v>-188.19730000000001</v>
      </c>
      <c r="H6774" s="1">
        <v>-2.0057039999999998E-6</v>
      </c>
      <c r="I6774">
        <v>63.562710000000003</v>
      </c>
      <c r="J6774">
        <v>-187.19130000000001</v>
      </c>
      <c r="K6774">
        <v>1.108924</v>
      </c>
      <c r="L6774">
        <v>45.599060000000001</v>
      </c>
      <c r="M6774">
        <v>1.5738350000000002E-2</v>
      </c>
      <c r="N6774">
        <v>0</v>
      </c>
      <c r="O6774">
        <v>0.99983670000000002</v>
      </c>
      <c r="P6774">
        <v>-1.0817500000000001E-2</v>
      </c>
      <c r="Q6774">
        <v>0.137313299999999</v>
      </c>
      <c r="R6774">
        <v>0.99046860000000003</v>
      </c>
      <c r="S6774">
        <v>-0.16484070000000001</v>
      </c>
      <c r="T6774">
        <v>-0.18321879999999999</v>
      </c>
      <c r="U6774">
        <v>3.0544129999999998</v>
      </c>
      <c r="V6774">
        <v>-2.640029E-2</v>
      </c>
      <c r="W6774">
        <v>0.14610619999999999</v>
      </c>
      <c r="X6774">
        <v>0.98891660000000003</v>
      </c>
      <c r="Y6774">
        <v>-6.9502720000000004E-2</v>
      </c>
      <c r="Z6774">
        <v>-5.975047E-2</v>
      </c>
      <c r="AA6774">
        <v>0.99579079999999998</v>
      </c>
      <c r="AB6774">
        <v>51</v>
      </c>
      <c r="AC6774">
        <v>-1.006</v>
      </c>
      <c r="AD6774">
        <v>-1.108926005704</v>
      </c>
      <c r="AE6774">
        <v>17.963650000000001</v>
      </c>
      <c r="AF6774">
        <v>-1.28372801917001</v>
      </c>
      <c r="AG6774">
        <v>-1.108926005704</v>
      </c>
      <c r="AH6774">
        <v>17.877676301129998</v>
      </c>
      <c r="AI6774">
        <v>93.540333334058801</v>
      </c>
      <c r="AJ6774">
        <v>94.107142955651099</v>
      </c>
      <c r="AK6774">
        <v>17.957978294933799</v>
      </c>
      <c r="AL6774">
        <v>81.598658139267101</v>
      </c>
      <c r="AM6774">
        <v>91.529214906872198</v>
      </c>
      <c r="AN6774">
        <v>1.0000000193730401</v>
      </c>
    </row>
    <row r="6775" spans="1:40" x14ac:dyDescent="0.25">
      <c r="A6775" t="str">
        <f>"20190312164158053"</f>
        <v>20190312164158053</v>
      </c>
      <c r="B6775" t="str">
        <f>"1552380118042824"</f>
        <v>1552380118042824</v>
      </c>
      <c r="C6775" t="s">
        <v>40</v>
      </c>
      <c r="D6775">
        <v>5.8003809999999998</v>
      </c>
      <c r="E6775">
        <v>0.4872631</v>
      </c>
      <c r="F6775" t="s">
        <v>41</v>
      </c>
      <c r="G6775">
        <v>-188.2098</v>
      </c>
      <c r="H6775" s="1">
        <v>-1.9954570000000001E-6</v>
      </c>
      <c r="I6775">
        <v>63.543999999999997</v>
      </c>
      <c r="J6775">
        <v>-187.1833</v>
      </c>
      <c r="K6775">
        <v>1.108916</v>
      </c>
      <c r="L6775">
        <v>46.107819999999997</v>
      </c>
      <c r="M6775">
        <v>1.5737439999999998E-2</v>
      </c>
      <c r="N6775">
        <v>0</v>
      </c>
      <c r="O6775">
        <v>0.99983650000000002</v>
      </c>
      <c r="P6775">
        <v>-1.431665E-2</v>
      </c>
      <c r="Q6775">
        <v>0.13476830000000001</v>
      </c>
      <c r="R6775">
        <v>0.99077369999999998</v>
      </c>
      <c r="S6775">
        <v>-0.17327879999999901</v>
      </c>
      <c r="T6775">
        <v>-0.18867139999999999</v>
      </c>
      <c r="U6775">
        <v>3.053131</v>
      </c>
      <c r="V6775">
        <v>-2.9902640000000001E-2</v>
      </c>
      <c r="W6775">
        <v>0.1435844</v>
      </c>
      <c r="X6775">
        <v>0.98918620000000002</v>
      </c>
      <c r="Y6775">
        <v>-7.2261619999999999E-2</v>
      </c>
      <c r="Z6775">
        <v>-6.153695E-2</v>
      </c>
      <c r="AA6775">
        <v>0.99548550000000002</v>
      </c>
      <c r="AB6775">
        <v>51</v>
      </c>
      <c r="AC6775">
        <v>-1.02649999999999</v>
      </c>
      <c r="AD6775">
        <v>-1.1089179954570001</v>
      </c>
      <c r="AE6775">
        <v>17.436179999999901</v>
      </c>
      <c r="AF6775">
        <v>-1.2955624043206</v>
      </c>
      <c r="AG6775">
        <v>-1.1089179954570001</v>
      </c>
      <c r="AH6775">
        <v>17.347938944808401</v>
      </c>
      <c r="AI6775">
        <v>93.6473652422589</v>
      </c>
      <c r="AJ6775">
        <v>94.270980983932404</v>
      </c>
      <c r="AK6775">
        <v>17.431556634361101</v>
      </c>
      <c r="AL6775">
        <v>81.744686426676907</v>
      </c>
      <c r="AM6775">
        <v>91.731497538466897</v>
      </c>
      <c r="AN6775">
        <v>0.99999999303638398</v>
      </c>
    </row>
    <row r="6776" spans="1:40" x14ac:dyDescent="0.25">
      <c r="A6776" t="str">
        <f>"20190312164158075"</f>
        <v>20190312164158075</v>
      </c>
      <c r="B6776" t="str">
        <f>"1552380118062344"</f>
        <v>1552380118062344</v>
      </c>
      <c r="C6776" t="s">
        <v>40</v>
      </c>
      <c r="D6776">
        <v>5.3776289999999998</v>
      </c>
      <c r="E6776">
        <v>0.49021940000000003</v>
      </c>
      <c r="F6776" t="s">
        <v>41</v>
      </c>
      <c r="G6776">
        <v>-188.22210000000001</v>
      </c>
      <c r="H6776" s="1">
        <v>-1.933232E-6</v>
      </c>
      <c r="I6776">
        <v>63.404049999999998</v>
      </c>
      <c r="J6776">
        <v>-187.1756</v>
      </c>
      <c r="K6776">
        <v>1.108903</v>
      </c>
      <c r="L6776">
        <v>46.600920000000002</v>
      </c>
      <c r="M6776">
        <v>1.573658E-2</v>
      </c>
      <c r="N6776">
        <v>0</v>
      </c>
      <c r="O6776">
        <v>0.99983630000000001</v>
      </c>
      <c r="P6776">
        <v>-1.7548919999999999E-2</v>
      </c>
      <c r="Q6776">
        <v>0.13220379999999901</v>
      </c>
      <c r="R6776">
        <v>0.99106719999999904</v>
      </c>
      <c r="S6776">
        <v>-0.1832886</v>
      </c>
      <c r="T6776">
        <v>-0.19566800000000001</v>
      </c>
      <c r="U6776">
        <v>3.0519099999999999</v>
      </c>
      <c r="V6776">
        <v>-3.3138170000000002E-2</v>
      </c>
      <c r="W6776">
        <v>0.14104129999999901</v>
      </c>
      <c r="X6776">
        <v>0.98944900000000002</v>
      </c>
      <c r="Y6776">
        <v>-7.5528189999999995E-2</v>
      </c>
      <c r="Z6776">
        <v>-6.3821379999999997E-2</v>
      </c>
      <c r="AA6776">
        <v>0.99509910000000001</v>
      </c>
      <c r="AB6776">
        <v>51</v>
      </c>
      <c r="AC6776">
        <v>-1.0465</v>
      </c>
      <c r="AD6776">
        <v>-1.108904933232</v>
      </c>
      <c r="AE6776">
        <v>16.8031299999999</v>
      </c>
      <c r="AF6776">
        <v>-1.3051425495806299</v>
      </c>
      <c r="AG6776">
        <v>-1.108904933232</v>
      </c>
      <c r="AH6776">
        <v>16.712076917582898</v>
      </c>
      <c r="AI6776">
        <v>93.784720977122703</v>
      </c>
      <c r="AJ6776">
        <v>94.465494579094099</v>
      </c>
      <c r="AK6776">
        <v>16.799600653732199</v>
      </c>
      <c r="AL6776">
        <v>81.891894189359405</v>
      </c>
      <c r="AM6776">
        <v>91.918206854900504</v>
      </c>
      <c r="AN6776">
        <v>1.00000005510881</v>
      </c>
    </row>
    <row r="6777" spans="1:40" x14ac:dyDescent="0.25">
      <c r="A6777" t="str">
        <f>"20190312164158110"</f>
        <v>20190312164158110</v>
      </c>
      <c r="B6777" t="str">
        <f>"1552380118102359"</f>
        <v>1552380118102359</v>
      </c>
      <c r="C6777" t="s">
        <v>40</v>
      </c>
      <c r="D6777">
        <v>5.5157569999999998</v>
      </c>
      <c r="E6777">
        <v>0.49662279999999998</v>
      </c>
      <c r="F6777" t="s">
        <v>41</v>
      </c>
      <c r="G6777">
        <v>-188.31710000000001</v>
      </c>
      <c r="H6777" s="1">
        <v>-3.6231519999999998E-6</v>
      </c>
      <c r="I6777">
        <v>67.382559999999998</v>
      </c>
      <c r="J6777">
        <v>-187.16329999999999</v>
      </c>
      <c r="K6777">
        <v>1.1088899999999999</v>
      </c>
      <c r="L6777">
        <v>47.383510000000001</v>
      </c>
      <c r="M6777">
        <v>1.5727789999999998E-2</v>
      </c>
      <c r="N6777">
        <v>0</v>
      </c>
      <c r="O6777">
        <v>0.99983619999999995</v>
      </c>
      <c r="P6777">
        <v>-2.2020660000000001E-2</v>
      </c>
      <c r="Q6777">
        <v>0.12795799999999999</v>
      </c>
      <c r="R6777">
        <v>0.9915351</v>
      </c>
      <c r="S6777">
        <v>-0.16729740000000001</v>
      </c>
      <c r="T6777">
        <v>-0.16252079999999999</v>
      </c>
      <c r="U6777">
        <v>3.0457459999999998</v>
      </c>
      <c r="V6777">
        <v>-3.7609379999999998E-2</v>
      </c>
      <c r="W6777">
        <v>0.1368325</v>
      </c>
      <c r="X6777">
        <v>0.98987999999999998</v>
      </c>
      <c r="Y6777">
        <v>-7.0465890000000003E-2</v>
      </c>
      <c r="Z6777">
        <v>-5.316804E-2</v>
      </c>
      <c r="AA6777">
        <v>0.99609630000000005</v>
      </c>
      <c r="AB6777">
        <v>51</v>
      </c>
      <c r="AC6777">
        <v>-1.1538000000000099</v>
      </c>
      <c r="AD6777">
        <v>-1.1088936231519999</v>
      </c>
      <c r="AE6777">
        <v>19.99905</v>
      </c>
      <c r="AF6777">
        <v>-1.46372559351944</v>
      </c>
      <c r="AG6777">
        <v>-1.1088936231519999</v>
      </c>
      <c r="AH6777">
        <v>19.9173976775214</v>
      </c>
      <c r="AI6777">
        <v>93.178078383423198</v>
      </c>
      <c r="AJ6777">
        <v>94.203099674963696</v>
      </c>
      <c r="AK6777">
        <v>20.001871610555</v>
      </c>
      <c r="AL6777">
        <v>82.135402190198207</v>
      </c>
      <c r="AM6777">
        <v>92.175842294077498</v>
      </c>
      <c r="AN6777">
        <v>1.00000000646011</v>
      </c>
    </row>
    <row r="6778" spans="1:40" x14ac:dyDescent="0.25">
      <c r="A6778" t="str">
        <f>"20190312164158131"</f>
        <v>20190312164158131</v>
      </c>
      <c r="B6778" t="str">
        <f>"1552380118122856"</f>
        <v>1552380118122856</v>
      </c>
      <c r="C6778" t="s">
        <v>40</v>
      </c>
      <c r="D6778">
        <v>5.5048909999999998</v>
      </c>
      <c r="E6778">
        <v>0.49547790000000003</v>
      </c>
      <c r="F6778" t="s">
        <v>41</v>
      </c>
      <c r="G6778">
        <v>-187.85730000000001</v>
      </c>
      <c r="H6778" s="1">
        <v>-1.9476140000000002E-6</v>
      </c>
      <c r="I6778">
        <v>63.286749999999998</v>
      </c>
      <c r="J6778">
        <v>-187.15530000000001</v>
      </c>
      <c r="K6778">
        <v>1.108889</v>
      </c>
      <c r="L6778">
        <v>47.895139999999998</v>
      </c>
      <c r="M6778">
        <v>1.5704989999999999E-2</v>
      </c>
      <c r="N6778">
        <v>0</v>
      </c>
      <c r="O6778">
        <v>0.99983630000000001</v>
      </c>
      <c r="P6778">
        <v>-2.5281350000000001E-2</v>
      </c>
      <c r="Q6778">
        <v>0.12467490000000001</v>
      </c>
      <c r="R6778">
        <v>0.99187550000000002</v>
      </c>
      <c r="S6778">
        <v>-0.13311770000000001</v>
      </c>
      <c r="T6778">
        <v>-0.21267639999999999</v>
      </c>
      <c r="U6778">
        <v>3.0501100000000001</v>
      </c>
      <c r="V6778">
        <v>-4.0855120000000002E-2</v>
      </c>
      <c r="W6778">
        <v>0.1335749</v>
      </c>
      <c r="X6778">
        <v>0.99019619999999997</v>
      </c>
      <c r="Y6778">
        <v>-5.9182039999999998E-2</v>
      </c>
      <c r="Z6778">
        <v>-6.9451819999999997E-2</v>
      </c>
      <c r="AA6778">
        <v>0.9958283</v>
      </c>
      <c r="AB6778">
        <v>51</v>
      </c>
      <c r="AC6778">
        <v>-0.70199999999999796</v>
      </c>
      <c r="AD6778">
        <v>-1.1088909476140001</v>
      </c>
      <c r="AE6778">
        <v>15.391609999999901</v>
      </c>
      <c r="AF6778">
        <v>-0.93878559762143599</v>
      </c>
      <c r="AG6778">
        <v>-1.1088909476140001</v>
      </c>
      <c r="AH6778">
        <v>15.2994392775501</v>
      </c>
      <c r="AI6778">
        <v>94.137747476853306</v>
      </c>
      <c r="AJ6778">
        <v>93.511311532973195</v>
      </c>
      <c r="AK6778">
        <v>15.368272503422199</v>
      </c>
      <c r="AL6778">
        <v>82.323778315209296</v>
      </c>
      <c r="AM6778">
        <v>92.3626620623061</v>
      </c>
      <c r="AN6778">
        <v>0.99999995461733104</v>
      </c>
    </row>
    <row r="6779" spans="1:40" x14ac:dyDescent="0.25">
      <c r="A6779" t="str">
        <f>"20190312164158154"</f>
        <v>20190312164158154</v>
      </c>
      <c r="B6779" t="str">
        <f>"1552380118142375"</f>
        <v>1552380118142375</v>
      </c>
      <c r="C6779" t="s">
        <v>40</v>
      </c>
      <c r="D6779">
        <v>5.4628110000000003</v>
      </c>
      <c r="E6779">
        <v>0.4956294</v>
      </c>
      <c r="F6779" t="s">
        <v>41</v>
      </c>
      <c r="G6779">
        <v>-187.9101</v>
      </c>
      <c r="H6779" s="1">
        <v>-1.8249479999999999E-6</v>
      </c>
      <c r="I6779">
        <v>63.022620000000003</v>
      </c>
      <c r="J6779">
        <v>-187.1474</v>
      </c>
      <c r="K6779">
        <v>1.108895</v>
      </c>
      <c r="L6779">
        <v>48.397489999999998</v>
      </c>
      <c r="M6779">
        <v>1.5652490000000002E-2</v>
      </c>
      <c r="N6779">
        <v>0</v>
      </c>
      <c r="O6779">
        <v>0.99983690000000003</v>
      </c>
      <c r="P6779">
        <v>-2.7427050000000001E-2</v>
      </c>
      <c r="Q6779">
        <v>0.1210257</v>
      </c>
      <c r="R6779">
        <v>0.9922704</v>
      </c>
      <c r="S6779">
        <v>-0.15213009999999999</v>
      </c>
      <c r="T6779">
        <v>-0.2234862</v>
      </c>
      <c r="U6779">
        <v>3.0487980000000001</v>
      </c>
      <c r="V6779">
        <v>-4.2960970000000001E-2</v>
      </c>
      <c r="W6779">
        <v>0.12994900000000001</v>
      </c>
      <c r="X6779">
        <v>0.99058959999999996</v>
      </c>
      <c r="Y6779">
        <v>-6.5331040000000007E-2</v>
      </c>
      <c r="Z6779">
        <v>-7.2970220000000002E-2</v>
      </c>
      <c r="AA6779">
        <v>0.99519210000000002</v>
      </c>
      <c r="AB6779">
        <v>51</v>
      </c>
      <c r="AC6779">
        <v>-0.76269999999999505</v>
      </c>
      <c r="AD6779">
        <v>-1.108896824948</v>
      </c>
      <c r="AE6779">
        <v>14.625129999999899</v>
      </c>
      <c r="AF6779">
        <v>-0.98588320212012204</v>
      </c>
      <c r="AG6779">
        <v>-1.108896824948</v>
      </c>
      <c r="AH6779">
        <v>14.528105798178499</v>
      </c>
      <c r="AI6779">
        <v>94.354814734395504</v>
      </c>
      <c r="AJ6779">
        <v>93.882163168742494</v>
      </c>
      <c r="AK6779">
        <v>14.6036802190294</v>
      </c>
      <c r="AL6779">
        <v>82.533355305013799</v>
      </c>
      <c r="AM6779">
        <v>92.483309692290405</v>
      </c>
      <c r="AN6779">
        <v>1.00000007158624</v>
      </c>
    </row>
    <row r="6780" spans="1:40" x14ac:dyDescent="0.25">
      <c r="A6780" t="str">
        <f>"20190312164158175"</f>
        <v>20190312164158175</v>
      </c>
      <c r="B6780" t="str">
        <f>"1552380118172632"</f>
        <v>1552380118172632</v>
      </c>
      <c r="C6780" t="s">
        <v>40</v>
      </c>
      <c r="D6780">
        <v>5.6406039999999997</v>
      </c>
      <c r="E6780">
        <v>0.49594959999999999</v>
      </c>
      <c r="F6780" t="s">
        <v>41</v>
      </c>
      <c r="G6780">
        <v>-187.8886</v>
      </c>
      <c r="H6780" s="1">
        <v>-1.7086170000000001E-6</v>
      </c>
      <c r="I6780">
        <v>62.742559999999997</v>
      </c>
      <c r="J6780">
        <v>-187.1396</v>
      </c>
      <c r="K6780">
        <v>1.1089150000000001</v>
      </c>
      <c r="L6780">
        <v>48.897799999999997</v>
      </c>
      <c r="M6780">
        <v>1.5549199999999999E-2</v>
      </c>
      <c r="N6780">
        <v>0</v>
      </c>
      <c r="O6780">
        <v>0.99983840000000002</v>
      </c>
      <c r="P6780">
        <v>-3.0208889999999999E-2</v>
      </c>
      <c r="Q6780">
        <v>0.11575299999999999</v>
      </c>
      <c r="R6780">
        <v>0.99281850000000005</v>
      </c>
      <c r="S6780">
        <v>-0.15747069999999999</v>
      </c>
      <c r="T6780">
        <v>-0.2355968</v>
      </c>
      <c r="U6780">
        <v>3.0477599999999998</v>
      </c>
      <c r="V6780">
        <v>-4.5658709999999998E-2</v>
      </c>
      <c r="W6780">
        <v>0.1247011</v>
      </c>
      <c r="X6780">
        <v>0.9911432</v>
      </c>
      <c r="Y6780">
        <v>-6.696879E-2</v>
      </c>
      <c r="Z6780">
        <v>-7.6920160000000001E-2</v>
      </c>
      <c r="AA6780">
        <v>0.99478569999999999</v>
      </c>
      <c r="AB6780">
        <v>51</v>
      </c>
      <c r="AC6780">
        <v>-0.748999999999995</v>
      </c>
      <c r="AD6780">
        <v>-1.108916708617</v>
      </c>
      <c r="AE6780">
        <v>13.844760000000001</v>
      </c>
      <c r="AF6780">
        <v>-0.95806466817765501</v>
      </c>
      <c r="AG6780">
        <v>-1.108916708617</v>
      </c>
      <c r="AH6780">
        <v>13.743525691619601</v>
      </c>
      <c r="AI6780">
        <v>94.601881617850594</v>
      </c>
      <c r="AJ6780">
        <v>93.987652339775707</v>
      </c>
      <c r="AK6780">
        <v>13.821435620487099</v>
      </c>
      <c r="AL6780">
        <v>82.836504713063206</v>
      </c>
      <c r="AM6780">
        <v>92.637563562411898</v>
      </c>
      <c r="AN6780">
        <v>0.99999996252315604</v>
      </c>
    </row>
    <row r="6781" spans="1:40" x14ac:dyDescent="0.25">
      <c r="A6781" t="str">
        <f>"20190312164158198"</f>
        <v>20190312164158198</v>
      </c>
      <c r="B6781" t="str">
        <f>"1552380118193128"</f>
        <v>1552380118193128</v>
      </c>
      <c r="C6781" t="s">
        <v>40</v>
      </c>
      <c r="D6781">
        <v>5.569172</v>
      </c>
      <c r="E6781">
        <v>0.49623230000000002</v>
      </c>
      <c r="F6781" t="s">
        <v>41</v>
      </c>
      <c r="G6781">
        <v>-187.87569999999999</v>
      </c>
      <c r="H6781" s="1">
        <v>-1.68942E-6</v>
      </c>
      <c r="I6781">
        <v>62.692489999999999</v>
      </c>
      <c r="J6781">
        <v>-187.1317</v>
      </c>
      <c r="K6781">
        <v>1.108948</v>
      </c>
      <c r="L6781">
        <v>49.413789999999999</v>
      </c>
      <c r="M6781">
        <v>1.5371660000000001E-2</v>
      </c>
      <c r="N6781">
        <v>0</v>
      </c>
      <c r="O6781">
        <v>0.99984090000000003</v>
      </c>
      <c r="P6781">
        <v>-3.3544879999999999E-2</v>
      </c>
      <c r="Q6781">
        <v>0.1102109</v>
      </c>
      <c r="R6781">
        <v>0.99334199999999995</v>
      </c>
      <c r="S6781">
        <v>-0.16249079999999999</v>
      </c>
      <c r="T6781">
        <v>-0.24480469999999999</v>
      </c>
      <c r="U6781">
        <v>3.0453190000000001</v>
      </c>
      <c r="V6781">
        <v>-4.8840849999999998E-2</v>
      </c>
      <c r="W6781">
        <v>0.1191836</v>
      </c>
      <c r="X6781">
        <v>0.9916703</v>
      </c>
      <c r="Y6781">
        <v>-6.8455260000000004E-2</v>
      </c>
      <c r="Z6781">
        <v>-7.9964030000000005E-2</v>
      </c>
      <c r="AA6781">
        <v>0.99444440000000001</v>
      </c>
      <c r="AB6781">
        <v>51</v>
      </c>
      <c r="AC6781">
        <v>-0.743999999999999</v>
      </c>
      <c r="AD6781">
        <v>-1.1089496894199999</v>
      </c>
      <c r="AE6781">
        <v>13.278699999999899</v>
      </c>
      <c r="AF6781">
        <v>-0.941490241385882</v>
      </c>
      <c r="AG6781">
        <v>-1.1089496894199999</v>
      </c>
      <c r="AH6781">
        <v>13.1740988980862</v>
      </c>
      <c r="AI6781">
        <v>94.799432692260794</v>
      </c>
      <c r="AJ6781">
        <v>94.087707504876605</v>
      </c>
      <c r="AK6781">
        <v>13.2541712326666</v>
      </c>
      <c r="AL6781">
        <v>83.155012321502099</v>
      </c>
      <c r="AM6781">
        <v>92.819601651146499</v>
      </c>
      <c r="AN6781">
        <v>1.00000007151988</v>
      </c>
    </row>
    <row r="6782" spans="1:40" x14ac:dyDescent="0.25">
      <c r="A6782" t="str">
        <f>"20190312164158222"</f>
        <v>20190312164158222</v>
      </c>
      <c r="B6782" t="str">
        <f>"1552380118212648"</f>
        <v>1552380118212648</v>
      </c>
      <c r="C6782" t="s">
        <v>40</v>
      </c>
      <c r="D6782">
        <v>5.5971199999999897</v>
      </c>
      <c r="E6782">
        <v>0.49638330000000003</v>
      </c>
      <c r="F6782" t="s">
        <v>41</v>
      </c>
      <c r="G6782">
        <v>-187.87129999999999</v>
      </c>
      <c r="H6782" s="1">
        <v>-1.688271E-6</v>
      </c>
      <c r="I6782">
        <v>62.6879699999999</v>
      </c>
      <c r="J6782">
        <v>-187.12370000000001</v>
      </c>
      <c r="K6782">
        <v>1.109</v>
      </c>
      <c r="L6782">
        <v>49.952269999999999</v>
      </c>
      <c r="M6782">
        <v>1.508483E-2</v>
      </c>
      <c r="N6782">
        <v>0</v>
      </c>
      <c r="O6782">
        <v>0.99984499999999998</v>
      </c>
      <c r="P6782">
        <v>-3.6161359999999997E-2</v>
      </c>
      <c r="Q6782">
        <v>0.1046801</v>
      </c>
      <c r="R6782">
        <v>0.99384830000000002</v>
      </c>
      <c r="S6782">
        <v>-0.16950989999999999</v>
      </c>
      <c r="T6782">
        <v>-0.25418210000000002</v>
      </c>
      <c r="U6782">
        <v>3.0425719999999998</v>
      </c>
      <c r="V6782">
        <v>-5.1199540000000002E-2</v>
      </c>
      <c r="W6782">
        <v>0.11367430000000001</v>
      </c>
      <c r="X6782">
        <v>0.99219789999999997</v>
      </c>
      <c r="Y6782">
        <v>-7.0489850000000007E-2</v>
      </c>
      <c r="Z6782">
        <v>-8.3070080000000004E-2</v>
      </c>
      <c r="AA6782">
        <v>0.99404760000000003</v>
      </c>
      <c r="AB6782">
        <v>51</v>
      </c>
      <c r="AC6782">
        <v>-0.74759999999997695</v>
      </c>
      <c r="AD6782">
        <v>-1.1090016882709901</v>
      </c>
      <c r="AE6782">
        <v>12.7356999999999</v>
      </c>
      <c r="AF6782">
        <v>-0.93259152126517497</v>
      </c>
      <c r="AG6782">
        <v>-1.1090016882709901</v>
      </c>
      <c r="AH6782">
        <v>12.627551887422801</v>
      </c>
      <c r="AI6782">
        <v>95.005502103761799</v>
      </c>
      <c r="AJ6782">
        <v>94.223837411332894</v>
      </c>
      <c r="AK6782">
        <v>12.7104161363694</v>
      </c>
      <c r="AL6782">
        <v>83.472833098123004</v>
      </c>
      <c r="AM6782">
        <v>92.953965065948694</v>
      </c>
      <c r="AN6782">
        <v>0.99999995607055403</v>
      </c>
    </row>
    <row r="6783" spans="1:40" x14ac:dyDescent="0.25">
      <c r="A6783" t="str">
        <f>"20190312164158243"</f>
        <v>20190312164158243</v>
      </c>
      <c r="B6783" t="str">
        <f>"1552380118233144"</f>
        <v>1552380118233144</v>
      </c>
      <c r="C6783" t="s">
        <v>40</v>
      </c>
      <c r="D6783">
        <v>5.6199659999999998</v>
      </c>
      <c r="E6783">
        <v>0.49669780000000002</v>
      </c>
      <c r="F6783" t="s">
        <v>41</v>
      </c>
      <c r="G6783">
        <v>-187.85830000000001</v>
      </c>
      <c r="H6783" s="1">
        <v>-1.6946489999999999E-6</v>
      </c>
      <c r="I6783">
        <v>62.697490000000002</v>
      </c>
      <c r="J6783">
        <v>-187.11609999999999</v>
      </c>
      <c r="K6783">
        <v>1.109062</v>
      </c>
      <c r="L6783">
        <v>50.466250000000002</v>
      </c>
      <c r="M6783">
        <v>1.471777E-2</v>
      </c>
      <c r="N6783">
        <v>0</v>
      </c>
      <c r="O6783">
        <v>0.99985020000000002</v>
      </c>
      <c r="P6783">
        <v>-3.912272E-2</v>
      </c>
      <c r="Q6783">
        <v>9.9000169999999998E-2</v>
      </c>
      <c r="R6783">
        <v>0.99431809999999998</v>
      </c>
      <c r="S6783">
        <v>-0.1752319</v>
      </c>
      <c r="T6783">
        <v>-0.26452350000000002</v>
      </c>
      <c r="U6783">
        <v>3.0400390000000002</v>
      </c>
      <c r="V6783">
        <v>-5.3821979999999998E-2</v>
      </c>
      <c r="W6783">
        <v>0.1080112</v>
      </c>
      <c r="X6783">
        <v>0.99269169999999995</v>
      </c>
      <c r="Y6783">
        <v>-7.2017860000000003E-2</v>
      </c>
      <c r="Z6783">
        <v>-8.6487739999999994E-2</v>
      </c>
      <c r="AA6783">
        <v>0.99364640000000004</v>
      </c>
      <c r="AB6783">
        <v>51</v>
      </c>
      <c r="AC6783">
        <v>-0.74220000000002495</v>
      </c>
      <c r="AD6783">
        <v>-1.109063694649</v>
      </c>
      <c r="AE6783">
        <v>12.23124</v>
      </c>
      <c r="AF6783">
        <v>-0.91465107148187097</v>
      </c>
      <c r="AG6783">
        <v>-1.109063694649</v>
      </c>
      <c r="AH6783">
        <v>12.1197096858169</v>
      </c>
      <c r="AI6783">
        <v>95.213778899700998</v>
      </c>
      <c r="AJ6783">
        <v>94.315820692468606</v>
      </c>
      <c r="AK6783">
        <v>12.204670078696701</v>
      </c>
      <c r="AL6783">
        <v>83.799317491207006</v>
      </c>
      <c r="AM6783">
        <v>93.103436762517504</v>
      </c>
      <c r="AN6783">
        <v>1.00000001805272</v>
      </c>
    </row>
    <row r="6784" spans="1:40" x14ac:dyDescent="0.25">
      <c r="A6784" t="str">
        <f>"20190312164158265"</f>
        <v>20190312164158265</v>
      </c>
      <c r="B6784" t="str">
        <f>"1552380118262424"</f>
        <v>1552380118262424</v>
      </c>
      <c r="C6784" t="s">
        <v>40</v>
      </c>
      <c r="D6784">
        <v>5.5204000000000004</v>
      </c>
      <c r="E6784">
        <v>0.49752200000000002</v>
      </c>
      <c r="F6784" t="s">
        <v>41</v>
      </c>
      <c r="G6784">
        <v>-187.8459</v>
      </c>
      <c r="H6784" s="1">
        <v>-1.7041999999999999E-6</v>
      </c>
      <c r="I6784">
        <v>62.714619999999996</v>
      </c>
      <c r="J6784">
        <v>-187.10910000000001</v>
      </c>
      <c r="K6784">
        <v>1.109121</v>
      </c>
      <c r="L6784">
        <v>50.96613</v>
      </c>
      <c r="M6784">
        <v>1.427893E-2</v>
      </c>
      <c r="N6784">
        <v>0</v>
      </c>
      <c r="O6784">
        <v>0.99985639999999998</v>
      </c>
      <c r="P6784">
        <v>-4.2192359999999998E-2</v>
      </c>
      <c r="Q6784">
        <v>9.3596529999999997E-2</v>
      </c>
      <c r="R6784">
        <v>0.99471580000000004</v>
      </c>
      <c r="S6784">
        <v>-0.1809692</v>
      </c>
      <c r="T6784">
        <v>-0.27503139999999998</v>
      </c>
      <c r="U6784">
        <v>3.0374150000000002</v>
      </c>
      <c r="V6784">
        <v>-5.6477989999999999E-2</v>
      </c>
      <c r="W6784">
        <v>0.10262110000000001</v>
      </c>
      <c r="X6784">
        <v>0.99311590000000005</v>
      </c>
      <c r="Y6784">
        <v>-7.3481480000000002E-2</v>
      </c>
      <c r="Z6784">
        <v>-8.996411E-2</v>
      </c>
      <c r="AA6784">
        <v>0.99323059999999996</v>
      </c>
      <c r="AB6784">
        <v>52</v>
      </c>
      <c r="AC6784">
        <v>-0.73679999999998802</v>
      </c>
      <c r="AD6784">
        <v>-1.1091227042</v>
      </c>
      <c r="AE6784">
        <v>11.748489999999901</v>
      </c>
      <c r="AF6784">
        <v>-0.89652880298048399</v>
      </c>
      <c r="AG6784">
        <v>-1.1091227042</v>
      </c>
      <c r="AH6784">
        <v>11.6334947359484</v>
      </c>
      <c r="AI6784">
        <v>95.430042748129196</v>
      </c>
      <c r="AJ6784">
        <v>94.4067573562089</v>
      </c>
      <c r="AK6784">
        <v>11.720585174763499</v>
      </c>
      <c r="AL6784">
        <v>84.109874956779905</v>
      </c>
      <c r="AM6784">
        <v>93.254875601464605</v>
      </c>
      <c r="AN6784">
        <v>1.00000002217622</v>
      </c>
    </row>
    <row r="6785" spans="1:40" x14ac:dyDescent="0.25">
      <c r="A6785" t="str">
        <f>"20190312164158290"</f>
        <v>20190312164158290</v>
      </c>
      <c r="B6785" t="str">
        <f>"1552380118282920"</f>
        <v>1552380118282920</v>
      </c>
      <c r="C6785" t="s">
        <v>40</v>
      </c>
      <c r="D6785">
        <v>5.5588030000000002</v>
      </c>
      <c r="E6785">
        <v>0.4814002</v>
      </c>
      <c r="F6785" t="s">
        <v>41</v>
      </c>
      <c r="G6785">
        <v>-187.8219</v>
      </c>
      <c r="H6785" s="1">
        <v>-1.7461539999999999E-6</v>
      </c>
      <c r="I6785">
        <v>62.802480000000003</v>
      </c>
      <c r="J6785">
        <v>-187.10159999999999</v>
      </c>
      <c r="K6785">
        <v>1.1091979999999999</v>
      </c>
      <c r="L6785">
        <v>51.519260000000003</v>
      </c>
      <c r="M6785">
        <v>1.3696979999999999E-2</v>
      </c>
      <c r="N6785">
        <v>0</v>
      </c>
      <c r="O6785">
        <v>0.99986430000000004</v>
      </c>
      <c r="P6785">
        <v>-4.5514609999999997E-2</v>
      </c>
      <c r="Q6785">
        <v>8.8747240000000005E-2</v>
      </c>
      <c r="R6785">
        <v>0.9950137</v>
      </c>
      <c r="S6785">
        <v>-0.18276980000000001</v>
      </c>
      <c r="T6785">
        <v>-0.28438839999999999</v>
      </c>
      <c r="U6785">
        <v>3.0349430000000002</v>
      </c>
      <c r="V6785">
        <v>-5.9243909999999997E-2</v>
      </c>
      <c r="W6785">
        <v>9.7783770000000006E-2</v>
      </c>
      <c r="X6785">
        <v>0.99344279999999996</v>
      </c>
      <c r="Y6785">
        <v>-7.3519020000000004E-2</v>
      </c>
      <c r="Z6785">
        <v>-9.3073000000000003E-2</v>
      </c>
      <c r="AA6785">
        <v>0.99294130000000003</v>
      </c>
      <c r="AB6785">
        <v>52</v>
      </c>
      <c r="AC6785">
        <v>-0.72030000000000804</v>
      </c>
      <c r="AD6785">
        <v>-1.109199746154</v>
      </c>
      <c r="AE6785">
        <v>11.28322</v>
      </c>
      <c r="AF6785">
        <v>-0.86644565897345804</v>
      </c>
      <c r="AG6785">
        <v>-1.109199746154</v>
      </c>
      <c r="AH6785">
        <v>11.164836920319599</v>
      </c>
      <c r="AI6785">
        <v>95.656683688236896</v>
      </c>
      <c r="AJ6785">
        <v>94.437537102882004</v>
      </c>
      <c r="AK6785">
        <v>11.2532055705987</v>
      </c>
      <c r="AL6785">
        <v>84.388435968223504</v>
      </c>
      <c r="AM6785">
        <v>93.412789013045696</v>
      </c>
      <c r="AN6785">
        <v>1.0000000517096601</v>
      </c>
    </row>
    <row r="6786" spans="1:40" x14ac:dyDescent="0.25">
      <c r="A6786" t="str">
        <f>"20190312164158311"</f>
        <v>20190312164158311</v>
      </c>
      <c r="B6786" t="str">
        <f>"1552380118302440"</f>
        <v>1552380118302440</v>
      </c>
      <c r="C6786" t="s">
        <v>40</v>
      </c>
      <c r="D6786">
        <v>5.6790289999999999</v>
      </c>
      <c r="E6786">
        <v>0.47267599999999999</v>
      </c>
      <c r="F6786" t="s">
        <v>41</v>
      </c>
      <c r="G6786">
        <v>-188.6223</v>
      </c>
      <c r="H6786" s="1">
        <v>-2.97795E-6</v>
      </c>
      <c r="I6786">
        <v>66.00479</v>
      </c>
      <c r="J6786">
        <v>-187.095</v>
      </c>
      <c r="K6786">
        <v>1.109267</v>
      </c>
      <c r="L6786">
        <v>52.02814</v>
      </c>
      <c r="M6786">
        <v>1.3073110000000001E-2</v>
      </c>
      <c r="N6786">
        <v>0</v>
      </c>
      <c r="O6786">
        <v>0.99987239999999999</v>
      </c>
      <c r="P6786">
        <v>-4.8579249999999997E-2</v>
      </c>
      <c r="Q6786">
        <v>8.3674360000000003E-2</v>
      </c>
      <c r="R6786">
        <v>0.99530830000000003</v>
      </c>
      <c r="S6786">
        <v>-0.31716919999999998</v>
      </c>
      <c r="T6786">
        <v>-0.2313385</v>
      </c>
      <c r="U6786">
        <v>3.0211489999999999</v>
      </c>
      <c r="V6786">
        <v>-6.1706709999999998E-2</v>
      </c>
      <c r="W6786">
        <v>9.2725699999999994E-2</v>
      </c>
      <c r="X6786">
        <v>0.99377780000000004</v>
      </c>
      <c r="Y6786">
        <v>-0.11710139999999999</v>
      </c>
      <c r="Z6786">
        <v>-7.5869759999999994E-2</v>
      </c>
      <c r="AA6786">
        <v>0.99021769999999998</v>
      </c>
      <c r="AB6786">
        <v>52</v>
      </c>
      <c r="AC6786">
        <v>-1.5272999999999901</v>
      </c>
      <c r="AD6786">
        <v>-1.1092699779499999</v>
      </c>
      <c r="AE6786">
        <v>13.976649999999999</v>
      </c>
      <c r="AF6786">
        <v>-1.69931783913565</v>
      </c>
      <c r="AG6786">
        <v>-1.1092699779499999</v>
      </c>
      <c r="AH6786">
        <v>13.8691578049459</v>
      </c>
      <c r="AI6786">
        <v>94.539042595853999</v>
      </c>
      <c r="AJ6786">
        <v>96.985345739062296</v>
      </c>
      <c r="AK6786">
        <v>14.016836277166</v>
      </c>
      <c r="AL6786">
        <v>84.679566088431201</v>
      </c>
      <c r="AM6786">
        <v>93.553108879170196</v>
      </c>
      <c r="AN6786">
        <v>1.0000000446361701</v>
      </c>
    </row>
    <row r="6787" spans="1:40" x14ac:dyDescent="0.25">
      <c r="A6787" t="str">
        <f>"20190312164158334"</f>
        <v>20190312164158334</v>
      </c>
      <c r="B6787" t="str">
        <f>"1552380118322936"</f>
        <v>1552380118322936</v>
      </c>
      <c r="C6787" t="s">
        <v>40</v>
      </c>
      <c r="D6787">
        <v>5.5247080000000004</v>
      </c>
      <c r="E6787">
        <v>0.47037289999999998</v>
      </c>
      <c r="F6787" t="s">
        <v>41</v>
      </c>
      <c r="G6787">
        <v>-189.00069999999999</v>
      </c>
      <c r="H6787" s="1">
        <v>-3.142555E-6</v>
      </c>
      <c r="I6787">
        <v>66.544939999999997</v>
      </c>
      <c r="J6787">
        <v>-187.08850000000001</v>
      </c>
      <c r="K6787">
        <v>1.1093519999999999</v>
      </c>
      <c r="L6787">
        <v>52.553469999999997</v>
      </c>
      <c r="M6787">
        <v>1.23482E-2</v>
      </c>
      <c r="N6787">
        <v>0</v>
      </c>
      <c r="O6787">
        <v>0.99988120000000003</v>
      </c>
      <c r="P6787">
        <v>-5.2682109999999997E-2</v>
      </c>
      <c r="Q6787">
        <v>7.8516890000000006E-2</v>
      </c>
      <c r="R6787">
        <v>0.99551979999999995</v>
      </c>
      <c r="S6787">
        <v>-0.39569090000000001</v>
      </c>
      <c r="T6787">
        <v>-0.23032269999999999</v>
      </c>
      <c r="U6787">
        <v>3.0141909999999998</v>
      </c>
      <c r="V6787">
        <v>-6.510407E-2</v>
      </c>
      <c r="W6787">
        <v>8.7588780000000005E-2</v>
      </c>
      <c r="X6787">
        <v>0.99402699999999999</v>
      </c>
      <c r="Y6787">
        <v>-0.14202149999999999</v>
      </c>
      <c r="Z6787">
        <v>-7.5473819999999997E-2</v>
      </c>
      <c r="AA6787">
        <v>0.98698200000000003</v>
      </c>
      <c r="AB6787">
        <v>52</v>
      </c>
      <c r="AC6787">
        <v>-1.9121999999999799</v>
      </c>
      <c r="AD6787">
        <v>-1.1093551425549999</v>
      </c>
      <c r="AE6787">
        <v>13.99147</v>
      </c>
      <c r="AF6787">
        <v>-2.07204379418565</v>
      </c>
      <c r="AG6787">
        <v>-1.1093551425549999</v>
      </c>
      <c r="AH6787">
        <v>13.8811252038664</v>
      </c>
      <c r="AI6787">
        <v>94.519404943619406</v>
      </c>
      <c r="AJ6787">
        <v>98.489888941508795</v>
      </c>
      <c r="AK6787">
        <v>14.078695651329101</v>
      </c>
      <c r="AL6787">
        <v>84.975093571704804</v>
      </c>
      <c r="AM6787">
        <v>93.747250744253606</v>
      </c>
      <c r="AN6787">
        <v>1.0000000055207201</v>
      </c>
    </row>
    <row r="6788" spans="1:40" x14ac:dyDescent="0.25">
      <c r="A6788" t="str">
        <f>"20190312164158355"</f>
        <v>20190312164158355</v>
      </c>
      <c r="B6788" t="str">
        <f>"1552380118342456"</f>
        <v>1552380118342456</v>
      </c>
      <c r="C6788" t="s">
        <v>40</v>
      </c>
      <c r="D6788">
        <v>5.5522070000000001</v>
      </c>
      <c r="E6788">
        <v>0.46954800000000002</v>
      </c>
      <c r="F6788" t="s">
        <v>41</v>
      </c>
      <c r="G6788">
        <v>-189.08090000000001</v>
      </c>
      <c r="H6788" s="1">
        <v>-3.1576460000000001E-6</v>
      </c>
      <c r="I6788">
        <v>66.613299999999995</v>
      </c>
      <c r="J6788">
        <v>-187.0831</v>
      </c>
      <c r="K6788">
        <v>1.1094280000000001</v>
      </c>
      <c r="L6788">
        <v>53.02505</v>
      </c>
      <c r="M6788">
        <v>1.1638269999999999E-2</v>
      </c>
      <c r="N6788">
        <v>0</v>
      </c>
      <c r="O6788">
        <v>0.99988929999999998</v>
      </c>
      <c r="P6788">
        <v>-5.6836570000000003E-2</v>
      </c>
      <c r="Q6788">
        <v>7.399704E-2</v>
      </c>
      <c r="R6788">
        <v>0.99563749999999995</v>
      </c>
      <c r="S6788">
        <v>-0.4264984</v>
      </c>
      <c r="T6788">
        <v>-0.23746800000000001</v>
      </c>
      <c r="U6788">
        <v>3.0096440000000002</v>
      </c>
      <c r="V6788">
        <v>-6.8563250000000006E-2</v>
      </c>
      <c r="W6788">
        <v>8.3096249999999997E-2</v>
      </c>
      <c r="X6788">
        <v>0.99418010000000001</v>
      </c>
      <c r="Y6788">
        <v>-0.15139729999999901</v>
      </c>
      <c r="Z6788">
        <v>-7.7810180000000007E-2</v>
      </c>
      <c r="AA6788">
        <v>0.98540570000000005</v>
      </c>
      <c r="AB6788">
        <v>52</v>
      </c>
      <c r="AC6788">
        <v>-1.99780000000001</v>
      </c>
      <c r="AD6788">
        <v>-1.1094311576459901</v>
      </c>
      <c r="AE6788">
        <v>13.588249999999899</v>
      </c>
      <c r="AF6788">
        <v>-2.1418395241027999</v>
      </c>
      <c r="AG6788">
        <v>-1.1094311576459901</v>
      </c>
      <c r="AH6788">
        <v>13.4761447524772</v>
      </c>
      <c r="AI6788">
        <v>94.648212392832306</v>
      </c>
      <c r="AJ6788">
        <v>99.030805244308397</v>
      </c>
      <c r="AK6788">
        <v>13.690317433510501</v>
      </c>
      <c r="AL6788">
        <v>85.233439250701807</v>
      </c>
      <c r="AM6788">
        <v>93.945134903176395</v>
      </c>
      <c r="AN6788">
        <v>0.99999998862531703</v>
      </c>
    </row>
    <row r="6789" spans="1:40" x14ac:dyDescent="0.25">
      <c r="A6789" t="str">
        <f>"20190312164158376"</f>
        <v>20190312164158376</v>
      </c>
      <c r="B6789" t="str">
        <f>"1552380118372712"</f>
        <v>1552380118372712</v>
      </c>
      <c r="C6789" t="s">
        <v>40</v>
      </c>
      <c r="D6789">
        <v>5.5908569999999997</v>
      </c>
      <c r="E6789">
        <v>0.4683813</v>
      </c>
      <c r="F6789" t="s">
        <v>41</v>
      </c>
      <c r="G6789">
        <v>-189.11940000000001</v>
      </c>
      <c r="H6789" s="1">
        <v>-3.2184770000000002E-6</v>
      </c>
      <c r="I6789">
        <v>66.771010000000004</v>
      </c>
      <c r="J6789">
        <v>-187.07749999999999</v>
      </c>
      <c r="K6789">
        <v>1.1095139999999999</v>
      </c>
      <c r="L6789">
        <v>53.536990000000003</v>
      </c>
      <c r="M6789">
        <v>1.082295E-2</v>
      </c>
      <c r="N6789">
        <v>0</v>
      </c>
      <c r="O6789">
        <v>0.99989790000000001</v>
      </c>
      <c r="P6789">
        <v>-6.1424819999999998E-2</v>
      </c>
      <c r="Q6789">
        <v>7.1696739999999995E-2</v>
      </c>
      <c r="R6789">
        <v>0.99553329999999995</v>
      </c>
      <c r="S6789">
        <v>-0.44528200000000001</v>
      </c>
      <c r="T6789">
        <v>-0.24259449999999999</v>
      </c>
      <c r="U6789">
        <v>3.0057680000000002</v>
      </c>
      <c r="V6789">
        <v>-7.2351189999999996E-2</v>
      </c>
      <c r="W6789">
        <v>8.0836039999999998E-2</v>
      </c>
      <c r="X6789">
        <v>0.99409800000000004</v>
      </c>
      <c r="Y6789">
        <v>-0.156777</v>
      </c>
      <c r="Z6789">
        <v>-7.9512390000000002E-2</v>
      </c>
      <c r="AA6789">
        <v>0.98442810000000003</v>
      </c>
      <c r="AB6789">
        <v>52</v>
      </c>
      <c r="AC6789">
        <v>-2.04190000000002</v>
      </c>
      <c r="AD6789">
        <v>-1.1095172184769999</v>
      </c>
      <c r="AE6789">
        <v>13.234019999999999</v>
      </c>
      <c r="AF6789">
        <v>-2.1701189971392898</v>
      </c>
      <c r="AG6789">
        <v>-1.1095172184769999</v>
      </c>
      <c r="AH6789">
        <v>13.1210629159156</v>
      </c>
      <c r="AI6789">
        <v>94.768952040549394</v>
      </c>
      <c r="AJ6789">
        <v>99.391249075759504</v>
      </c>
      <c r="AK6789">
        <v>13.345513739203</v>
      </c>
      <c r="AL6789">
        <v>85.363377038114194</v>
      </c>
      <c r="AM6789">
        <v>94.162689723384503</v>
      </c>
      <c r="AN6789">
        <v>0.999999996830648</v>
      </c>
    </row>
    <row r="6790" spans="1:40" x14ac:dyDescent="0.25">
      <c r="A6790" t="str">
        <f>"20190312164158400"</f>
        <v>20190312164158400</v>
      </c>
      <c r="B6790" t="str">
        <f>"1552380118393209"</f>
        <v>1552380118393209</v>
      </c>
      <c r="C6790" t="s">
        <v>40</v>
      </c>
      <c r="D6790">
        <v>5.6443479999999999</v>
      </c>
      <c r="E6790">
        <v>0.46856300000000001</v>
      </c>
      <c r="F6790" t="s">
        <v>41</v>
      </c>
      <c r="G6790">
        <v>-189.1259</v>
      </c>
      <c r="H6790" s="1">
        <v>-3.1774150000000001E-6</v>
      </c>
      <c r="I6790">
        <v>66.677980000000005</v>
      </c>
      <c r="J6790">
        <v>-187.07210000000001</v>
      </c>
      <c r="K6790">
        <v>1.109594</v>
      </c>
      <c r="L6790">
        <v>54.073880000000003</v>
      </c>
      <c r="M6790">
        <v>9.9297770000000007E-3</v>
      </c>
      <c r="N6790">
        <v>0</v>
      </c>
      <c r="O6790">
        <v>0.99990639999999997</v>
      </c>
      <c r="P6790">
        <v>-6.5925399999999995E-2</v>
      </c>
      <c r="Q6790">
        <v>7.00876E-2</v>
      </c>
      <c r="R6790">
        <v>0.99536000000000002</v>
      </c>
      <c r="S6790">
        <v>-0.46807860000000001</v>
      </c>
      <c r="T6790">
        <v>-0.25353490000000001</v>
      </c>
      <c r="U6790">
        <v>3.0028380000000001</v>
      </c>
      <c r="V6790">
        <v>-7.5974130000000001E-2</v>
      </c>
      <c r="W6790">
        <v>7.9288449999999996E-2</v>
      </c>
      <c r="X6790">
        <v>0.99395230000000001</v>
      </c>
      <c r="Y6790">
        <v>-0.1632904</v>
      </c>
      <c r="Z6790">
        <v>-8.3063460000000006E-2</v>
      </c>
      <c r="AA6790">
        <v>0.98307509999999998</v>
      </c>
      <c r="AB6790">
        <v>52</v>
      </c>
      <c r="AC6790">
        <v>-2.0537999999999901</v>
      </c>
      <c r="AD6790">
        <v>-1.109597177415</v>
      </c>
      <c r="AE6790">
        <v>12.604100000000001</v>
      </c>
      <c r="AF6790">
        <v>-2.1625338329238</v>
      </c>
      <c r="AG6790">
        <v>-1.109597177415</v>
      </c>
      <c r="AH6790">
        <v>12.4887979518971</v>
      </c>
      <c r="AI6790">
        <v>95.003182570274703</v>
      </c>
      <c r="AJ6790">
        <v>99.823804408543793</v>
      </c>
      <c r="AK6790">
        <v>12.7231219737129</v>
      </c>
      <c r="AL6790">
        <v>85.452332773187393</v>
      </c>
      <c r="AM6790">
        <v>94.370983498450201</v>
      </c>
      <c r="AN6790">
        <v>0.99999995070397296</v>
      </c>
    </row>
    <row r="6791" spans="1:40" x14ac:dyDescent="0.25">
      <c r="A6791" t="str">
        <f>"20190312164158421"</f>
        <v>20190312164158421</v>
      </c>
      <c r="B6791" t="str">
        <f>"1552380118412728"</f>
        <v>1552380118412728</v>
      </c>
      <c r="C6791" t="s">
        <v>40</v>
      </c>
      <c r="D6791">
        <v>5.6059780000000003</v>
      </c>
      <c r="E6791">
        <v>0.46852650000000001</v>
      </c>
      <c r="F6791" t="s">
        <v>41</v>
      </c>
      <c r="G6791">
        <v>-189.17590000000001</v>
      </c>
      <c r="H6791" s="1">
        <v>-3.4069430000000001E-6</v>
      </c>
      <c r="I6791">
        <v>67.233669999999904</v>
      </c>
      <c r="J6791">
        <v>-187.06739999999999</v>
      </c>
      <c r="K6791">
        <v>1.1096760000000001</v>
      </c>
      <c r="L6791">
        <v>54.593200000000003</v>
      </c>
      <c r="M6791">
        <v>9.0413230000000004E-3</v>
      </c>
      <c r="N6791">
        <v>0</v>
      </c>
      <c r="O6791">
        <v>0.99991379999999996</v>
      </c>
      <c r="P6791">
        <v>-7.0918389999999998E-2</v>
      </c>
      <c r="Q6791">
        <v>6.8558690000000005E-2</v>
      </c>
      <c r="R6791">
        <v>0.99512330000000004</v>
      </c>
      <c r="S6791">
        <v>-0.4795837</v>
      </c>
      <c r="T6791">
        <v>-0.25295440000000002</v>
      </c>
      <c r="U6791">
        <v>3.0000309999999999</v>
      </c>
      <c r="V6791">
        <v>-8.0090869999999995E-2</v>
      </c>
      <c r="W6791">
        <v>7.7839539999999999E-2</v>
      </c>
      <c r="X6791">
        <v>0.99374370000000001</v>
      </c>
      <c r="Y6791">
        <v>-0.16623360000000001</v>
      </c>
      <c r="Z6791">
        <v>-8.2906759999999996E-2</v>
      </c>
      <c r="AA6791">
        <v>0.982595</v>
      </c>
      <c r="AB6791">
        <v>52</v>
      </c>
      <c r="AC6791">
        <v>-2.1085000000000198</v>
      </c>
      <c r="AD6791">
        <v>-1.109679406943</v>
      </c>
      <c r="AE6791">
        <v>12.640469999999899</v>
      </c>
      <c r="AF6791">
        <v>-2.2061635809943501</v>
      </c>
      <c r="AG6791">
        <v>-1.109679406943</v>
      </c>
      <c r="AH6791">
        <v>12.5269606982126</v>
      </c>
      <c r="AI6791">
        <v>94.985900292125905</v>
      </c>
      <c r="AJ6791">
        <v>99.988122157244206</v>
      </c>
      <c r="AK6791">
        <v>12.7680574273012</v>
      </c>
      <c r="AL6791">
        <v>85.535607011605904</v>
      </c>
      <c r="AM6791">
        <v>94.607799375700296</v>
      </c>
      <c r="AN6791">
        <v>1.0000000413672201</v>
      </c>
    </row>
    <row r="6792" spans="1:40" x14ac:dyDescent="0.25">
      <c r="A6792" t="str">
        <f>"20190312164158443"</f>
        <v>20190312164158443</v>
      </c>
      <c r="B6792" t="str">
        <f>"1552380118433227"</f>
        <v>1552380118433227</v>
      </c>
      <c r="C6792" t="s">
        <v>40</v>
      </c>
      <c r="D6792">
        <v>5.5979080000000003</v>
      </c>
      <c r="E6792">
        <v>0.46869280000000002</v>
      </c>
      <c r="F6792" t="s">
        <v>41</v>
      </c>
      <c r="G6792">
        <v>-189.24119999999999</v>
      </c>
      <c r="H6792" s="1">
        <v>-3.6240240000000002E-6</v>
      </c>
      <c r="I6792">
        <v>67.7667</v>
      </c>
      <c r="J6792">
        <v>-187.0634</v>
      </c>
      <c r="K6792">
        <v>1.1097520000000001</v>
      </c>
      <c r="L6792">
        <v>55.090850000000003</v>
      </c>
      <c r="M6792">
        <v>8.1752259999999903E-3</v>
      </c>
      <c r="N6792">
        <v>0</v>
      </c>
      <c r="O6792">
        <v>0.99992020000000004</v>
      </c>
      <c r="P6792">
        <v>-7.5804720000000006E-2</v>
      </c>
      <c r="Q6792">
        <v>6.7745260000000002E-2</v>
      </c>
      <c r="R6792">
        <v>0.99481869999999994</v>
      </c>
      <c r="S6792">
        <v>-0.49450680000000002</v>
      </c>
      <c r="T6792">
        <v>-0.25244260000000002</v>
      </c>
      <c r="U6792">
        <v>2.9968569999999999</v>
      </c>
      <c r="V6792">
        <v>-8.4122249999999996E-2</v>
      </c>
      <c r="W6792">
        <v>7.7114080000000002E-2</v>
      </c>
      <c r="X6792">
        <v>0.99346710000000005</v>
      </c>
      <c r="Y6792">
        <v>-0.1703093</v>
      </c>
      <c r="Z6792">
        <v>-8.2765409999999998E-2</v>
      </c>
      <c r="AA6792">
        <v>0.98190869999999997</v>
      </c>
      <c r="AB6792">
        <v>52</v>
      </c>
      <c r="AC6792">
        <v>-2.17779999999998</v>
      </c>
      <c r="AD6792">
        <v>-1.1097556240240001</v>
      </c>
      <c r="AE6792">
        <v>12.675849999999899</v>
      </c>
      <c r="AF6792">
        <v>-2.26450067497283</v>
      </c>
      <c r="AG6792">
        <v>-1.1097556240240001</v>
      </c>
      <c r="AH6792">
        <v>12.564081506280599</v>
      </c>
      <c r="AI6792">
        <v>94.968062331477498</v>
      </c>
      <c r="AJ6792">
        <v>100.21707451876701</v>
      </c>
      <c r="AK6792">
        <v>12.8146660100241</v>
      </c>
      <c r="AL6792">
        <v>85.577297969684494</v>
      </c>
      <c r="AM6792">
        <v>94.839999096283606</v>
      </c>
      <c r="AN6792">
        <v>1.0000000065308501</v>
      </c>
    </row>
    <row r="6793" spans="1:40" x14ac:dyDescent="0.25">
      <c r="A6793" t="str">
        <f>"20190312164158465"</f>
        <v>20190312164158465</v>
      </c>
      <c r="B6793" t="str">
        <f>"1552380118462505"</f>
        <v>1552380118462505</v>
      </c>
      <c r="C6793" t="s">
        <v>40</v>
      </c>
      <c r="D6793">
        <v>5.574846</v>
      </c>
      <c r="E6793">
        <v>0.46911730000000001</v>
      </c>
      <c r="F6793" t="s">
        <v>41</v>
      </c>
      <c r="G6793">
        <v>-189.31059999999999</v>
      </c>
      <c r="H6793" s="1">
        <v>-3.8578139999999997E-6</v>
      </c>
      <c r="I6793">
        <v>68.340379999999996</v>
      </c>
      <c r="J6793">
        <v>-187.05959999999999</v>
      </c>
      <c r="K6793">
        <v>1.1098319999999999</v>
      </c>
      <c r="L6793">
        <v>55.600430000000003</v>
      </c>
      <c r="M6793">
        <v>7.279219E-3</v>
      </c>
      <c r="N6793">
        <v>0</v>
      </c>
      <c r="O6793">
        <v>0.99992590000000003</v>
      </c>
      <c r="P6793">
        <v>-8.0990950000000006E-2</v>
      </c>
      <c r="Q6793">
        <v>6.8758029999999998E-2</v>
      </c>
      <c r="R6793">
        <v>0.99434040000000001</v>
      </c>
      <c r="S6793">
        <v>-0.5078125</v>
      </c>
      <c r="T6793">
        <v>-0.25077090000000002</v>
      </c>
      <c r="U6793">
        <v>2.9939879999999999</v>
      </c>
      <c r="V6793">
        <v>-8.8426959999999999E-2</v>
      </c>
      <c r="W6793">
        <v>7.8231729999999999E-2</v>
      </c>
      <c r="X6793">
        <v>0.99300580000000005</v>
      </c>
      <c r="Y6793">
        <v>-0.17382839999999999</v>
      </c>
      <c r="Z6793">
        <v>-8.2243930000000007E-2</v>
      </c>
      <c r="AA6793">
        <v>0.98133559999999997</v>
      </c>
      <c r="AB6793">
        <v>52</v>
      </c>
      <c r="AC6793">
        <v>-2.2509999999999999</v>
      </c>
      <c r="AD6793">
        <v>-1.109835857814</v>
      </c>
      <c r="AE6793">
        <v>12.73995</v>
      </c>
      <c r="AF6793">
        <v>-2.32656001160804</v>
      </c>
      <c r="AG6793">
        <v>-1.109835857814</v>
      </c>
      <c r="AH6793">
        <v>12.630277259799</v>
      </c>
      <c r="AI6793">
        <v>94.939068071751507</v>
      </c>
      <c r="AJ6793">
        <v>100.437168182226</v>
      </c>
      <c r="AK6793">
        <v>12.890636942304299</v>
      </c>
      <c r="AL6793">
        <v>85.513067373474499</v>
      </c>
      <c r="AM6793">
        <v>95.088754531481698</v>
      </c>
      <c r="AN6793">
        <v>1.00000002483363</v>
      </c>
    </row>
    <row r="6794" spans="1:40" x14ac:dyDescent="0.25">
      <c r="A6794" t="str">
        <f>"20190312164158490"</f>
        <v>20190312164158490</v>
      </c>
      <c r="B6794" t="str">
        <f>"1552380118483001"</f>
        <v>1552380118483001</v>
      </c>
      <c r="C6794" t="s">
        <v>40</v>
      </c>
      <c r="D6794">
        <v>5.8377480000000004</v>
      </c>
      <c r="E6794">
        <v>0.46944730000000001</v>
      </c>
      <c r="F6794" t="s">
        <v>41</v>
      </c>
      <c r="G6794">
        <v>-189.37299999999999</v>
      </c>
      <c r="H6794" s="1">
        <v>-4.0933229999999998E-6</v>
      </c>
      <c r="I6794">
        <v>68.915169999999904</v>
      </c>
      <c r="J6794">
        <v>-187.05590000000001</v>
      </c>
      <c r="K6794">
        <v>1.1099250000000001</v>
      </c>
      <c r="L6794">
        <v>56.184690000000003</v>
      </c>
      <c r="M6794">
        <v>6.2455109999999996E-3</v>
      </c>
      <c r="N6794">
        <v>0</v>
      </c>
      <c r="O6794">
        <v>0.99993100000000001</v>
      </c>
      <c r="P6794">
        <v>-8.4528190000000003E-2</v>
      </c>
      <c r="Q6794">
        <v>6.9265499999999994E-2</v>
      </c>
      <c r="R6794">
        <v>0.99401070000000002</v>
      </c>
      <c r="S6794">
        <v>-0.51985170000000003</v>
      </c>
      <c r="T6794">
        <v>-0.249393</v>
      </c>
      <c r="U6794">
        <v>2.9919739999999999</v>
      </c>
      <c r="V6794">
        <v>-9.0946990000000005E-2</v>
      </c>
      <c r="W6794">
        <v>7.8907699999999997E-2</v>
      </c>
      <c r="X6794">
        <v>0.99272470000000002</v>
      </c>
      <c r="Y6794">
        <v>-0.17676049999999999</v>
      </c>
      <c r="Z6794">
        <v>-8.1800869999999998E-2</v>
      </c>
      <c r="AA6794">
        <v>0.98084879999999997</v>
      </c>
      <c r="AB6794">
        <v>52</v>
      </c>
      <c r="AC6794">
        <v>-2.31709999999998</v>
      </c>
      <c r="AD6794">
        <v>-1.1099290933229999</v>
      </c>
      <c r="AE6794">
        <v>12.730479999999901</v>
      </c>
      <c r="AF6794">
        <v>-2.3790624811429</v>
      </c>
      <c r="AG6794">
        <v>-1.1099290933229999</v>
      </c>
      <c r="AH6794">
        <v>12.622883137452201</v>
      </c>
      <c r="AI6794">
        <v>94.938582256325901</v>
      </c>
      <c r="AJ6794">
        <v>100.673456619482</v>
      </c>
      <c r="AK6794">
        <v>12.892984898120501</v>
      </c>
      <c r="AL6794">
        <v>85.474217181579206</v>
      </c>
      <c r="AM6794">
        <v>95.2344555361137</v>
      </c>
      <c r="AN6794">
        <v>1.0000000550497099</v>
      </c>
    </row>
    <row r="6795" spans="1:40" x14ac:dyDescent="0.25">
      <c r="A6795" t="str">
        <f>"20190312164158513"</f>
        <v>20190312164158513</v>
      </c>
      <c r="B6795" t="str">
        <f>"1552380118502521"</f>
        <v>1552380118502521</v>
      </c>
      <c r="C6795" t="s">
        <v>40</v>
      </c>
      <c r="D6795">
        <v>5.5966519999999997</v>
      </c>
      <c r="E6795">
        <v>0.46983140000000001</v>
      </c>
      <c r="F6795" t="s">
        <v>41</v>
      </c>
      <c r="G6795">
        <v>-189.43530000000001</v>
      </c>
      <c r="H6795" s="1">
        <v>-1.5611710000000001E-7</v>
      </c>
      <c r="I6795">
        <v>69.665279999999996</v>
      </c>
      <c r="J6795">
        <v>-187.053</v>
      </c>
      <c r="K6795">
        <v>1.110009</v>
      </c>
      <c r="L6795">
        <v>56.715519999999998</v>
      </c>
      <c r="M6795">
        <v>5.3029790000000002E-3</v>
      </c>
      <c r="N6795">
        <v>0</v>
      </c>
      <c r="O6795">
        <v>0.9999342</v>
      </c>
      <c r="P6795">
        <v>-8.9612070000000002E-2</v>
      </c>
      <c r="Q6795">
        <v>6.9360179999999994E-2</v>
      </c>
      <c r="R6795">
        <v>0.99355870000000002</v>
      </c>
      <c r="S6795">
        <v>-0.52781679999999997</v>
      </c>
      <c r="T6795">
        <v>-0.24621129999999999</v>
      </c>
      <c r="U6795">
        <v>2.9903559999999998</v>
      </c>
      <c r="V6795">
        <v>-9.5101140000000001E-2</v>
      </c>
      <c r="W6795">
        <v>7.9192899999999997E-2</v>
      </c>
      <c r="X6795">
        <v>0.99231259999999999</v>
      </c>
      <c r="Y6795">
        <v>-0.1784714</v>
      </c>
      <c r="Z6795">
        <v>-8.0776780000000006E-2</v>
      </c>
      <c r="AA6795">
        <v>0.98062380000000005</v>
      </c>
      <c r="AB6795">
        <v>52</v>
      </c>
      <c r="AC6795">
        <v>-2.3823000000000101</v>
      </c>
      <c r="AD6795">
        <v>-1.1100091561170999</v>
      </c>
      <c r="AE6795">
        <v>12.949759999999999</v>
      </c>
      <c r="AF6795">
        <v>-2.4336468772121198</v>
      </c>
      <c r="AG6795">
        <v>-1.1100091561170999</v>
      </c>
      <c r="AH6795">
        <v>12.8456522683469</v>
      </c>
      <c r="AI6795">
        <v>94.852834230073597</v>
      </c>
      <c r="AJ6795">
        <v>100.727713171985</v>
      </c>
      <c r="AK6795">
        <v>13.1211866707594</v>
      </c>
      <c r="AL6795">
        <v>85.457824966017895</v>
      </c>
      <c r="AM6795">
        <v>95.474386570246395</v>
      </c>
      <c r="AN6795">
        <v>1.00000001917923</v>
      </c>
    </row>
    <row r="6796" spans="1:40" x14ac:dyDescent="0.25">
      <c r="A6796" t="str">
        <f>"20190312164158535"</f>
        <v>20190312164158535</v>
      </c>
      <c r="B6796" t="str">
        <f>"1552380118523016"</f>
        <v>1552380118523016</v>
      </c>
      <c r="C6796" t="s">
        <v>40</v>
      </c>
      <c r="D6796">
        <v>5.6558219999999997</v>
      </c>
      <c r="E6796">
        <v>0.47024529999999998</v>
      </c>
      <c r="F6796" t="s">
        <v>41</v>
      </c>
      <c r="G6796">
        <v>-189.49969999999999</v>
      </c>
      <c r="H6796" s="1">
        <v>-3.629189E-7</v>
      </c>
      <c r="I6796">
        <v>70.271869999999893</v>
      </c>
      <c r="J6796">
        <v>-187.05070000000001</v>
      </c>
      <c r="K6796">
        <v>1.1100939999999999</v>
      </c>
      <c r="L6796">
        <v>57.223880000000001</v>
      </c>
      <c r="M6796">
        <v>4.3993920000000002E-3</v>
      </c>
      <c r="N6796">
        <v>0</v>
      </c>
      <c r="O6796">
        <v>0.99993600000000005</v>
      </c>
      <c r="P6796">
        <v>-9.4947030000000002E-2</v>
      </c>
      <c r="Q6796">
        <v>6.8999019999999994E-2</v>
      </c>
      <c r="R6796">
        <v>0.99308819999999998</v>
      </c>
      <c r="S6796">
        <v>-0.53926090000000004</v>
      </c>
      <c r="T6796">
        <v>-0.24465139999999999</v>
      </c>
      <c r="U6796">
        <v>2.9878849999999999</v>
      </c>
      <c r="V6796">
        <v>-9.9543880000000001E-2</v>
      </c>
      <c r="W6796">
        <v>7.9053150000000003E-2</v>
      </c>
      <c r="X6796">
        <v>0.99188790000000004</v>
      </c>
      <c r="Y6796">
        <v>-0.18136740000000001</v>
      </c>
      <c r="Z6796">
        <v>-8.0285809999999999E-2</v>
      </c>
      <c r="AA6796">
        <v>0.98013269999999997</v>
      </c>
      <c r="AB6796">
        <v>52</v>
      </c>
      <c r="AC6796">
        <v>-2.4489999999999799</v>
      </c>
      <c r="AD6796">
        <v>-1.1100943629189</v>
      </c>
      <c r="AE6796">
        <v>13.047989999999899</v>
      </c>
      <c r="AF6796">
        <v>-2.4889798895770801</v>
      </c>
      <c r="AG6796">
        <v>-1.1100943629189</v>
      </c>
      <c r="AH6796">
        <v>12.9465676494963</v>
      </c>
      <c r="AI6796">
        <v>94.813085842309505</v>
      </c>
      <c r="AJ6796">
        <v>100.882349021735</v>
      </c>
      <c r="AK6796">
        <v>13.230304013449199</v>
      </c>
      <c r="AL6796">
        <v>85.465857125160696</v>
      </c>
      <c r="AM6796">
        <v>95.730900882280395</v>
      </c>
      <c r="AN6796">
        <v>0.99999999536839301</v>
      </c>
    </row>
    <row r="6797" spans="1:40" x14ac:dyDescent="0.25">
      <c r="A6797" t="str">
        <f>"20190312164158555"</f>
        <v>20190312164158555</v>
      </c>
      <c r="B6797" t="str">
        <f>"1552380118552297"</f>
        <v>1552380118552297</v>
      </c>
      <c r="C6797" t="s">
        <v>40</v>
      </c>
      <c r="D6797">
        <v>5.5478379999999996</v>
      </c>
      <c r="E6797">
        <v>0.47130929999999999</v>
      </c>
      <c r="F6797" t="s">
        <v>41</v>
      </c>
      <c r="G6797">
        <v>-189.56469999999999</v>
      </c>
      <c r="H6797" s="1">
        <v>-5.9004599999999996E-7</v>
      </c>
      <c r="I6797">
        <v>70.828209999999999</v>
      </c>
      <c r="J6797">
        <v>-187.04910000000001</v>
      </c>
      <c r="K6797">
        <v>1.1101700000000001</v>
      </c>
      <c r="L6797">
        <v>57.6943699999999</v>
      </c>
      <c r="M6797">
        <v>3.564495E-3</v>
      </c>
      <c r="N6797">
        <v>0</v>
      </c>
      <c r="O6797">
        <v>0.99993650000000001</v>
      </c>
      <c r="P6797">
        <v>-0.10039530000000001</v>
      </c>
      <c r="Q6797">
        <v>6.9183190000000006E-2</v>
      </c>
      <c r="R6797">
        <v>0.99253939999999996</v>
      </c>
      <c r="S6797">
        <v>-0.55162049999999996</v>
      </c>
      <c r="T6797">
        <v>-0.2435756</v>
      </c>
      <c r="U6797">
        <v>2.9850460000000001</v>
      </c>
      <c r="V6797">
        <v>-0.1041682</v>
      </c>
      <c r="W6797">
        <v>7.9474779999999995E-2</v>
      </c>
      <c r="X6797">
        <v>0.99137920000000002</v>
      </c>
      <c r="Y6797">
        <v>-0.1846402</v>
      </c>
      <c r="Z6797">
        <v>-7.9955879999999993E-2</v>
      </c>
      <c r="AA6797">
        <v>0.97954839999999999</v>
      </c>
      <c r="AB6797">
        <v>52</v>
      </c>
      <c r="AC6797">
        <v>-2.5155999999999699</v>
      </c>
      <c r="AD6797">
        <v>-1.1101705900459999</v>
      </c>
      <c r="AE6797">
        <v>13.133839999999999</v>
      </c>
      <c r="AF6797">
        <v>-2.5448628627600698</v>
      </c>
      <c r="AG6797">
        <v>-1.1101705900459999</v>
      </c>
      <c r="AH6797">
        <v>13.034951584171001</v>
      </c>
      <c r="AI6797">
        <v>94.778278515205997</v>
      </c>
      <c r="AJ6797">
        <v>101.047112341342</v>
      </c>
      <c r="AK6797">
        <v>13.327369152647501</v>
      </c>
      <c r="AL6797">
        <v>85.441623216309495</v>
      </c>
      <c r="AM6797">
        <v>95.998287823643494</v>
      </c>
      <c r="AN6797">
        <v>0.99999998636996401</v>
      </c>
    </row>
    <row r="6798" spans="1:40" x14ac:dyDescent="0.25">
      <c r="A6798" t="str">
        <f>"20190312164158577"</f>
        <v>20190312164158577</v>
      </c>
      <c r="B6798" t="str">
        <f>"1552380118572792"</f>
        <v>1552380118572792</v>
      </c>
      <c r="C6798" t="s">
        <v>40</v>
      </c>
      <c r="D6798">
        <v>5.5361949999999904</v>
      </c>
      <c r="E6798">
        <v>0.47182629999999998</v>
      </c>
      <c r="F6798" t="s">
        <v>41</v>
      </c>
      <c r="G6798">
        <v>-189.63910000000001</v>
      </c>
      <c r="H6798" s="1">
        <v>-8.7117689999999997E-7</v>
      </c>
      <c r="I6798">
        <v>71.514279999999999</v>
      </c>
      <c r="J6798">
        <v>-187.04769999999999</v>
      </c>
      <c r="K6798">
        <v>1.110249</v>
      </c>
      <c r="L6798">
        <v>58.213679999999997</v>
      </c>
      <c r="M6798">
        <v>2.646444E-3</v>
      </c>
      <c r="N6798">
        <v>0</v>
      </c>
      <c r="O6798">
        <v>0.99993580000000004</v>
      </c>
      <c r="P6798">
        <v>-0.10605820000000001</v>
      </c>
      <c r="Q6798">
        <v>6.9659189999999996E-2</v>
      </c>
      <c r="R6798">
        <v>0.99191700000000005</v>
      </c>
      <c r="S6798">
        <v>-0.55899049999999995</v>
      </c>
      <c r="T6798">
        <v>-0.2396036</v>
      </c>
      <c r="U6798">
        <v>2.9826969999999999</v>
      </c>
      <c r="V6798">
        <v>-0.1089263</v>
      </c>
      <c r="W6798">
        <v>8.0249070000000006E-2</v>
      </c>
      <c r="X6798">
        <v>0.9908053</v>
      </c>
      <c r="Y6798">
        <v>-0.1862335</v>
      </c>
      <c r="Z6798">
        <v>-7.8691739999999996E-2</v>
      </c>
      <c r="AA6798">
        <v>0.97934909999999997</v>
      </c>
      <c r="AB6798">
        <v>52</v>
      </c>
      <c r="AC6798">
        <v>-2.5914000000000201</v>
      </c>
      <c r="AD6798">
        <v>-1.1102498711769</v>
      </c>
      <c r="AE6798">
        <v>13.3005999999999</v>
      </c>
      <c r="AF6798">
        <v>-2.6090775468508798</v>
      </c>
      <c r="AG6798">
        <v>-1.1102498711769</v>
      </c>
      <c r="AH6798">
        <v>13.205049159595101</v>
      </c>
      <c r="AI6798">
        <v>94.715258389534199</v>
      </c>
      <c r="AJ6798">
        <v>101.17664771391701</v>
      </c>
      <c r="AK6798">
        <v>13.506045451176799</v>
      </c>
      <c r="AL6798">
        <v>85.397117561712193</v>
      </c>
      <c r="AM6798">
        <v>96.273739855167705</v>
      </c>
      <c r="AN6798">
        <v>0.99999999728782196</v>
      </c>
    </row>
    <row r="6799" spans="1:40" x14ac:dyDescent="0.25">
      <c r="A6799" t="str">
        <f>"20190312164158601"</f>
        <v>20190312164158601</v>
      </c>
      <c r="B6799" t="str">
        <f>"1552380118593289"</f>
        <v>1552380118593289</v>
      </c>
      <c r="C6799" t="s">
        <v>40</v>
      </c>
      <c r="D6799">
        <v>5.5777960000000002</v>
      </c>
      <c r="E6799">
        <v>0.47229640000000001</v>
      </c>
      <c r="F6799" t="s">
        <v>41</v>
      </c>
      <c r="G6799">
        <v>-189.74430000000001</v>
      </c>
      <c r="H6799" s="1">
        <v>-1.177371E-6</v>
      </c>
      <c r="I6799">
        <v>72.271519999999995</v>
      </c>
      <c r="J6799">
        <v>-187.04689999999999</v>
      </c>
      <c r="K6799">
        <v>1.1103209999999999</v>
      </c>
      <c r="L6799">
        <v>58.754460000000002</v>
      </c>
      <c r="M6799">
        <v>1.693579E-3</v>
      </c>
      <c r="N6799">
        <v>0</v>
      </c>
      <c r="O6799">
        <v>0.99993370000000004</v>
      </c>
      <c r="P6799">
        <v>-0.1111732</v>
      </c>
      <c r="Q6799">
        <v>6.9584380000000001E-2</v>
      </c>
      <c r="R6799">
        <v>0.99136199999999997</v>
      </c>
      <c r="S6799">
        <v>-0.57159419999999905</v>
      </c>
      <c r="T6799">
        <v>-0.2353412</v>
      </c>
      <c r="U6799">
        <v>2.9798580000000001</v>
      </c>
      <c r="V6799">
        <v>-0.1130997</v>
      </c>
      <c r="W6799">
        <v>8.0527589999999996E-2</v>
      </c>
      <c r="X6799">
        <v>0.99031499999999995</v>
      </c>
      <c r="Y6799">
        <v>-0.18948390000000001</v>
      </c>
      <c r="Z6799">
        <v>-7.7318330000000005E-2</v>
      </c>
      <c r="AA6799">
        <v>0.97883489999999995</v>
      </c>
      <c r="AB6799">
        <v>52</v>
      </c>
      <c r="AC6799">
        <v>-2.6974000000000098</v>
      </c>
      <c r="AD6799">
        <v>-1.1103221773709999</v>
      </c>
      <c r="AE6799">
        <v>13.517060000000001</v>
      </c>
      <c r="AF6799">
        <v>-2.7027518039850502</v>
      </c>
      <c r="AG6799">
        <v>-1.1103221773709999</v>
      </c>
      <c r="AH6799">
        <v>13.4253555959866</v>
      </c>
      <c r="AI6799">
        <v>94.635215739751303</v>
      </c>
      <c r="AJ6799">
        <v>101.38246826791401</v>
      </c>
      <c r="AK6799">
        <v>13.739645393175</v>
      </c>
      <c r="AL6799">
        <v>85.381107818730896</v>
      </c>
      <c r="AM6799">
        <v>96.515281031669204</v>
      </c>
      <c r="AN6799">
        <v>1.00000001705814</v>
      </c>
    </row>
    <row r="6800" spans="1:40" x14ac:dyDescent="0.25">
      <c r="A6800" t="str">
        <f>"20190312164158623"</f>
        <v>20190312164158623</v>
      </c>
      <c r="B6800" t="str">
        <f>"1552380118612808"</f>
        <v>1552380118612808</v>
      </c>
      <c r="C6800" t="s">
        <v>40</v>
      </c>
      <c r="D6800">
        <v>5.6872230000000004</v>
      </c>
      <c r="E6800">
        <v>0.47261880000000001</v>
      </c>
      <c r="F6800" t="s">
        <v>41</v>
      </c>
      <c r="G6800">
        <v>-189.79329999999999</v>
      </c>
      <c r="H6800" s="1">
        <v>-1.3809950000000001E-6</v>
      </c>
      <c r="I6800">
        <v>72.766419999999997</v>
      </c>
      <c r="J6800">
        <v>-187.04660000000001</v>
      </c>
      <c r="K6800">
        <v>1.1103879999999999</v>
      </c>
      <c r="L6800">
        <v>59.272030000000001</v>
      </c>
      <c r="M6800">
        <v>7.7982829999999998E-4</v>
      </c>
      <c r="N6800">
        <v>0</v>
      </c>
      <c r="O6800">
        <v>0.99993030000000005</v>
      </c>
      <c r="P6800">
        <v>-0.1159462</v>
      </c>
      <c r="Q6800">
        <v>7.0199699999999907E-2</v>
      </c>
      <c r="R6800">
        <v>0.99077170000000003</v>
      </c>
      <c r="S6800">
        <v>-0.58354189999999995</v>
      </c>
      <c r="T6800">
        <v>-0.23592150000000001</v>
      </c>
      <c r="U6800">
        <v>2.9772639999999999</v>
      </c>
      <c r="V6800">
        <v>-0.1169716</v>
      </c>
      <c r="W6800">
        <v>8.1500929999999999E-2</v>
      </c>
      <c r="X6800">
        <v>0.98978540000000004</v>
      </c>
      <c r="Y6800">
        <v>-0.19252610000000001</v>
      </c>
      <c r="Z6800">
        <v>-7.7521530000000005E-2</v>
      </c>
      <c r="AA6800">
        <v>0.97822500000000001</v>
      </c>
      <c r="AB6800">
        <v>52</v>
      </c>
      <c r="AC6800">
        <v>-2.7466999999999699</v>
      </c>
      <c r="AD6800">
        <v>-1.1103893809949901</v>
      </c>
      <c r="AE6800">
        <v>13.4943899999999</v>
      </c>
      <c r="AF6800">
        <v>-2.7394128931738999</v>
      </c>
      <c r="AG6800">
        <v>-1.1103893809949901</v>
      </c>
      <c r="AH6800">
        <v>13.405090518189599</v>
      </c>
      <c r="AI6800">
        <v>94.639736155727803</v>
      </c>
      <c r="AJ6800">
        <v>101.549720469668</v>
      </c>
      <c r="AK6800">
        <v>13.7271191215627</v>
      </c>
      <c r="AL6800">
        <v>85.325155299071298</v>
      </c>
      <c r="AM6800">
        <v>96.739882648983496</v>
      </c>
      <c r="AN6800">
        <v>0.99999994742529097</v>
      </c>
    </row>
    <row r="6801" spans="1:40" x14ac:dyDescent="0.25">
      <c r="A6801" t="str">
        <f>"20190312164158645"</f>
        <v>20190312164158645</v>
      </c>
      <c r="B6801" t="str">
        <f>"1552380118643065"</f>
        <v>1552380118643065</v>
      </c>
      <c r="C6801" t="s">
        <v>40</v>
      </c>
      <c r="D6801">
        <v>5.5923590000000001</v>
      </c>
      <c r="E6801">
        <v>0.47236109999999998</v>
      </c>
      <c r="F6801" t="s">
        <v>41</v>
      </c>
      <c r="G6801">
        <v>-189.8758</v>
      </c>
      <c r="H6801" s="1">
        <v>-1.6451360000000001E-6</v>
      </c>
      <c r="I6801">
        <v>73.41628</v>
      </c>
      <c r="J6801">
        <v>-187.04679999999999</v>
      </c>
      <c r="K6801">
        <v>1.1104510000000001</v>
      </c>
      <c r="L6801">
        <v>59.788240000000002</v>
      </c>
      <c r="M6801">
        <v>-1.3648999999999999E-4</v>
      </c>
      <c r="N6801">
        <v>0</v>
      </c>
      <c r="O6801">
        <v>0.99992619999999999</v>
      </c>
      <c r="P6801">
        <v>-0.12119829999999999</v>
      </c>
      <c r="Q6801">
        <v>7.0085809999999998E-2</v>
      </c>
      <c r="R6801">
        <v>0.990151</v>
      </c>
      <c r="S6801">
        <v>-0.59504699999999999</v>
      </c>
      <c r="T6801">
        <v>-0.23353989999999999</v>
      </c>
      <c r="U6801">
        <v>2.9748540000000001</v>
      </c>
      <c r="V6801">
        <v>-0.1213173</v>
      </c>
      <c r="W6801">
        <v>8.1734280000000006E-2</v>
      </c>
      <c r="X6801">
        <v>0.98924299999999998</v>
      </c>
      <c r="Y6801">
        <v>-0.19542789999999999</v>
      </c>
      <c r="Z6801">
        <v>-7.6753760000000004E-2</v>
      </c>
      <c r="AA6801">
        <v>0.97770999999999997</v>
      </c>
      <c r="AB6801">
        <v>52</v>
      </c>
      <c r="AC6801">
        <v>-2.8290000000000002</v>
      </c>
      <c r="AD6801">
        <v>-1.1104526451359999</v>
      </c>
      <c r="AE6801">
        <v>13.62804</v>
      </c>
      <c r="AF6801">
        <v>-2.8092583152303399</v>
      </c>
      <c r="AG6801">
        <v>-1.1104526451359999</v>
      </c>
      <c r="AH6801">
        <v>13.5422273406241</v>
      </c>
      <c r="AI6801">
        <v>94.5904249780436</v>
      </c>
      <c r="AJ6801">
        <v>101.719463099313</v>
      </c>
      <c r="AK6801">
        <v>13.8750480613195</v>
      </c>
      <c r="AL6801">
        <v>85.311741038059793</v>
      </c>
      <c r="AM6801">
        <v>96.991642627533395</v>
      </c>
      <c r="AN6801">
        <v>1.0000000464276999</v>
      </c>
    </row>
    <row r="6802" spans="1:40" x14ac:dyDescent="0.25">
      <c r="A6802" t="str">
        <f>"20190312164158667"</f>
        <v>20190312164158667</v>
      </c>
      <c r="B6802" t="str">
        <f>"1552380118662584"</f>
        <v>1552380118662584</v>
      </c>
      <c r="C6802" t="s">
        <v>40</v>
      </c>
      <c r="D6802">
        <v>5.6718780000000004</v>
      </c>
      <c r="E6802">
        <v>0.47238059999999998</v>
      </c>
      <c r="F6802" t="s">
        <v>41</v>
      </c>
      <c r="G6802">
        <v>-189.9829</v>
      </c>
      <c r="H6802" s="1">
        <v>-1.9003240000000001E-6</v>
      </c>
      <c r="I6802">
        <v>74.029439999999994</v>
      </c>
      <c r="J6802">
        <v>-187.04740000000001</v>
      </c>
      <c r="K6802">
        <v>1.110495</v>
      </c>
      <c r="L6802">
        <v>60.294800000000002</v>
      </c>
      <c r="M6802">
        <v>-1.038682E-3</v>
      </c>
      <c r="N6802">
        <v>0</v>
      </c>
      <c r="O6802">
        <v>0.99992139999999996</v>
      </c>
      <c r="P6802">
        <v>-0.12594569999999999</v>
      </c>
      <c r="Q6802">
        <v>7.0607519999999993E-2</v>
      </c>
      <c r="R6802">
        <v>0.98952119999999999</v>
      </c>
      <c r="S6802">
        <v>-0.61257930000000005</v>
      </c>
      <c r="T6802">
        <v>-0.23168240000000001</v>
      </c>
      <c r="U6802">
        <v>2.9712519999999998</v>
      </c>
      <c r="V6802">
        <v>-0.12517519999999999</v>
      </c>
      <c r="W6802">
        <v>8.2575899999999994E-2</v>
      </c>
      <c r="X6802">
        <v>0.98869229999999997</v>
      </c>
      <c r="Y6802">
        <v>-0.2003182</v>
      </c>
      <c r="Z6802">
        <v>-7.6154769999999997E-2</v>
      </c>
      <c r="AA6802">
        <v>0.97676660000000004</v>
      </c>
      <c r="AB6802">
        <v>52</v>
      </c>
      <c r="AC6802">
        <v>-2.93549999999999</v>
      </c>
      <c r="AD6802">
        <v>-1.1104969003239999</v>
      </c>
      <c r="AE6802">
        <v>13.734640000000001</v>
      </c>
      <c r="AF6802">
        <v>-2.9030820534468198</v>
      </c>
      <c r="AG6802">
        <v>-1.1104969003239999</v>
      </c>
      <c r="AH6802">
        <v>13.65233100076</v>
      </c>
      <c r="AI6802">
        <v>94.549000566732204</v>
      </c>
      <c r="AJ6802">
        <v>102.004776256268</v>
      </c>
      <c r="AK6802">
        <v>14.001686703000701</v>
      </c>
      <c r="AL6802">
        <v>85.263356158040594</v>
      </c>
      <c r="AM6802">
        <v>97.215646666233198</v>
      </c>
      <c r="AN6802">
        <v>1.0000000370175599</v>
      </c>
    </row>
    <row r="6803" spans="1:40" x14ac:dyDescent="0.25">
      <c r="A6803" t="str">
        <f>"20190312164158690"</f>
        <v>20190312164158690</v>
      </c>
      <c r="B6803" t="str">
        <f>"1552380118683081"</f>
        <v>1552380118683081</v>
      </c>
      <c r="C6803" t="s">
        <v>40</v>
      </c>
      <c r="D6803">
        <v>5.4856669999999896</v>
      </c>
      <c r="E6803">
        <v>0.4722189</v>
      </c>
      <c r="F6803" t="s">
        <v>41</v>
      </c>
      <c r="G6803">
        <v>-190.08510000000001</v>
      </c>
      <c r="H6803" s="1">
        <v>-2.2034930000000002E-6</v>
      </c>
      <c r="I6803">
        <v>74.672709999999995</v>
      </c>
      <c r="J6803">
        <v>-187.04859999999999</v>
      </c>
      <c r="K6803">
        <v>1.11053</v>
      </c>
      <c r="L6803">
        <v>60.828519999999997</v>
      </c>
      <c r="M6803">
        <v>-1.9896319999999999E-3</v>
      </c>
      <c r="N6803">
        <v>0</v>
      </c>
      <c r="O6803">
        <v>0.99991580000000002</v>
      </c>
      <c r="P6803">
        <v>-0.13003809999999999</v>
      </c>
      <c r="Q6803">
        <v>7.0798429999999996E-2</v>
      </c>
      <c r="R6803">
        <v>0.98897809999999997</v>
      </c>
      <c r="S6803">
        <v>-0.62713619999999903</v>
      </c>
      <c r="T6803">
        <v>-0.2292622</v>
      </c>
      <c r="U6803">
        <v>2.9683229999999998</v>
      </c>
      <c r="V6803">
        <v>-0.12832930000000001</v>
      </c>
      <c r="W6803">
        <v>8.307581E-2</v>
      </c>
      <c r="X6803">
        <v>0.98824590000000001</v>
      </c>
      <c r="Y6803">
        <v>-0.204178</v>
      </c>
      <c r="Z6803">
        <v>-7.5368610000000003E-2</v>
      </c>
      <c r="AA6803">
        <v>0.97602809999999995</v>
      </c>
      <c r="AB6803">
        <v>52</v>
      </c>
      <c r="AC6803">
        <v>-3.03650000000001</v>
      </c>
      <c r="AD6803">
        <v>-1.1105322034930001</v>
      </c>
      <c r="AE6803">
        <v>13.8441899999999</v>
      </c>
      <c r="AF6803">
        <v>-2.99058666234012</v>
      </c>
      <c r="AG6803">
        <v>-1.1105322034930001</v>
      </c>
      <c r="AH6803">
        <v>13.765692388929301</v>
      </c>
      <c r="AI6803">
        <v>94.507587755622097</v>
      </c>
      <c r="AJ6803">
        <v>102.25700292519301</v>
      </c>
      <c r="AK6803">
        <v>14.1305052035159</v>
      </c>
      <c r="AL6803">
        <v>85.234614394579694</v>
      </c>
      <c r="AM6803">
        <v>97.398778002315197</v>
      </c>
      <c r="AN6803">
        <v>0.99999997915622696</v>
      </c>
    </row>
    <row r="6804" spans="1:40" x14ac:dyDescent="0.25">
      <c r="A6804" t="str">
        <f>"20190312164158714"</f>
        <v>20190312164158714</v>
      </c>
      <c r="B6804" t="str">
        <f>"1552380118702600"</f>
        <v>1552380118702600</v>
      </c>
      <c r="C6804" t="s">
        <v>40</v>
      </c>
      <c r="D6804">
        <v>5.539955</v>
      </c>
      <c r="E6804">
        <v>0.47239449999999999</v>
      </c>
      <c r="F6804" t="s">
        <v>41</v>
      </c>
      <c r="G6804">
        <v>-190.17609999999999</v>
      </c>
      <c r="H6804" s="1">
        <v>-2.4949340000000001E-6</v>
      </c>
      <c r="I6804">
        <v>75.295659999999998</v>
      </c>
      <c r="J6804">
        <v>-187.05019999999999</v>
      </c>
      <c r="K6804">
        <v>1.1105579999999999</v>
      </c>
      <c r="L6804">
        <v>61.360869999999998</v>
      </c>
      <c r="M6804">
        <v>-2.9364389999999999E-3</v>
      </c>
      <c r="N6804">
        <v>0</v>
      </c>
      <c r="O6804">
        <v>0.99990970000000001</v>
      </c>
      <c r="P6804">
        <v>-0.1329882</v>
      </c>
      <c r="Q6804">
        <v>7.1216109999999999E-2</v>
      </c>
      <c r="R6804">
        <v>0.98855570000000004</v>
      </c>
      <c r="S6804">
        <v>-0.64106750000000001</v>
      </c>
      <c r="T6804">
        <v>-0.22763539999999999</v>
      </c>
      <c r="U6804">
        <v>2.9654539999999998</v>
      </c>
      <c r="V6804">
        <v>-0.13034580000000001</v>
      </c>
      <c r="W6804">
        <v>8.3774319999999999E-2</v>
      </c>
      <c r="X6804">
        <v>0.987923</v>
      </c>
      <c r="Y6804">
        <v>-0.20783380000000001</v>
      </c>
      <c r="Z6804">
        <v>-7.4841740000000004E-2</v>
      </c>
      <c r="AA6804">
        <v>0.97529679999999996</v>
      </c>
      <c r="AB6804">
        <v>52</v>
      </c>
      <c r="AC6804">
        <v>-3.1259000000000001</v>
      </c>
      <c r="AD6804">
        <v>-1.110560494934</v>
      </c>
      <c r="AE6804">
        <v>13.93479</v>
      </c>
      <c r="AF6804">
        <v>-3.06642077400309</v>
      </c>
      <c r="AG6804">
        <v>-1.110560494934</v>
      </c>
      <c r="AH6804">
        <v>13.860093568290999</v>
      </c>
      <c r="AI6804">
        <v>94.473403613670101</v>
      </c>
      <c r="AJ6804">
        <v>102.475221602736</v>
      </c>
      <c r="AK6804">
        <v>14.238626152053</v>
      </c>
      <c r="AL6804">
        <v>85.1944528607183</v>
      </c>
      <c r="AM6804">
        <v>97.516148067322405</v>
      </c>
      <c r="AN6804">
        <v>1.00000000909905</v>
      </c>
    </row>
    <row r="6805" spans="1:40" x14ac:dyDescent="0.25">
      <c r="A6805" t="str">
        <f>"20190312164158736"</f>
        <v>20190312164158736</v>
      </c>
      <c r="B6805" t="str">
        <f>"1552380118732856"</f>
        <v>1552380118732856</v>
      </c>
      <c r="C6805" t="s">
        <v>40</v>
      </c>
      <c r="D6805">
        <v>5.6153219999999999</v>
      </c>
      <c r="E6805">
        <v>0.47263309999999997</v>
      </c>
      <c r="F6805" t="s">
        <v>41</v>
      </c>
      <c r="G6805">
        <v>-190.24860000000001</v>
      </c>
      <c r="H6805" s="1">
        <v>-2.803603E-6</v>
      </c>
      <c r="I6805">
        <v>75.970159999999893</v>
      </c>
      <c r="J6805">
        <v>-187.0523</v>
      </c>
      <c r="K6805">
        <v>1.110576</v>
      </c>
      <c r="L6805">
        <v>61.880859999999998</v>
      </c>
      <c r="M6805">
        <v>-3.8596720000000002E-3</v>
      </c>
      <c r="N6805">
        <v>0</v>
      </c>
      <c r="O6805">
        <v>0.99990310000000004</v>
      </c>
      <c r="P6805">
        <v>-0.13589000000000001</v>
      </c>
      <c r="Q6805">
        <v>7.2405079999999997E-2</v>
      </c>
      <c r="R6805">
        <v>0.98807460000000003</v>
      </c>
      <c r="S6805">
        <v>-0.64883419999999903</v>
      </c>
      <c r="T6805">
        <v>-0.2252893</v>
      </c>
      <c r="U6805">
        <v>2.963654</v>
      </c>
      <c r="V6805">
        <v>-0.13234089999999901</v>
      </c>
      <c r="W6805">
        <v>8.5205409999999995E-2</v>
      </c>
      <c r="X6805">
        <v>0.9875353</v>
      </c>
      <c r="Y6805">
        <v>-0.20950530000000001</v>
      </c>
      <c r="Z6805">
        <v>-7.4084510000000006E-2</v>
      </c>
      <c r="AA6805">
        <v>0.97499690000000006</v>
      </c>
      <c r="AB6805">
        <v>52</v>
      </c>
      <c r="AC6805">
        <v>-3.1962999999999999</v>
      </c>
      <c r="AD6805">
        <v>-1.110578803603</v>
      </c>
      <c r="AE6805">
        <v>14.0892999999999</v>
      </c>
      <c r="AF6805">
        <v>-3.12343440892344</v>
      </c>
      <c r="AG6805">
        <v>-1.110578803603</v>
      </c>
      <c r="AH6805">
        <v>14.018694264412501</v>
      </c>
      <c r="AI6805">
        <v>94.421610647400499</v>
      </c>
      <c r="AJ6805">
        <v>102.560620173931</v>
      </c>
      <c r="AK6805">
        <v>14.405312098838101</v>
      </c>
      <c r="AL6805">
        <v>85.112163261519001</v>
      </c>
      <c r="AM6805">
        <v>97.632806700381494</v>
      </c>
      <c r="AN6805">
        <v>1.0000000222260801</v>
      </c>
    </row>
    <row r="6806" spans="1:40" x14ac:dyDescent="0.25">
      <c r="A6806" t="str">
        <f>"20190312164158757"</f>
        <v>20190312164158757</v>
      </c>
      <c r="B6806" t="str">
        <f>"1552380118753352"</f>
        <v>1552380118753352</v>
      </c>
      <c r="C6806" t="s">
        <v>40</v>
      </c>
      <c r="D6806">
        <v>5.5299040000000002</v>
      </c>
      <c r="E6806">
        <v>0.48283569999999998</v>
      </c>
      <c r="F6806" t="s">
        <v>41</v>
      </c>
      <c r="G6806">
        <v>-190.35140000000001</v>
      </c>
      <c r="H6806" s="1">
        <v>-3.1845160000000002E-6</v>
      </c>
      <c r="I6806">
        <v>76.794319999999999</v>
      </c>
      <c r="J6806">
        <v>-187.0547</v>
      </c>
      <c r="K6806">
        <v>1.1105929999999999</v>
      </c>
      <c r="L6806">
        <v>62.362789999999997</v>
      </c>
      <c r="M6806">
        <v>-4.7146430000000001E-3</v>
      </c>
      <c r="N6806">
        <v>0</v>
      </c>
      <c r="O6806">
        <v>0.99989660000000002</v>
      </c>
      <c r="P6806">
        <v>-0.1384359</v>
      </c>
      <c r="Q6806">
        <v>7.3693919999999996E-2</v>
      </c>
      <c r="R6806">
        <v>0.9876258</v>
      </c>
      <c r="S6806">
        <v>-0.655304</v>
      </c>
      <c r="T6806">
        <v>-0.2205936</v>
      </c>
      <c r="U6806">
        <v>2.96225</v>
      </c>
      <c r="V6806">
        <v>-0.13404839999999901</v>
      </c>
      <c r="W6806">
        <v>8.6692870000000005E-2</v>
      </c>
      <c r="X6806">
        <v>0.98717549999999998</v>
      </c>
      <c r="Y6806">
        <v>-0.21082100000000001</v>
      </c>
      <c r="Z6806">
        <v>-7.2554629999999995E-2</v>
      </c>
      <c r="AA6806">
        <v>0.97482840000000004</v>
      </c>
      <c r="AB6806">
        <v>52</v>
      </c>
      <c r="AC6806">
        <v>-3.2967000000000102</v>
      </c>
      <c r="AD6806">
        <v>-1.110596184516</v>
      </c>
      <c r="AE6806">
        <v>14.431529999999899</v>
      </c>
      <c r="AF6806">
        <v>-3.2105468578187502</v>
      </c>
      <c r="AG6806">
        <v>-1.110596184516</v>
      </c>
      <c r="AH6806">
        <v>14.366053809828101</v>
      </c>
      <c r="AI6806">
        <v>94.314557598833503</v>
      </c>
      <c r="AJ6806">
        <v>102.597543785569</v>
      </c>
      <c r="AK6806">
        <v>14.7622673420511</v>
      </c>
      <c r="AL6806">
        <v>85.026621656322703</v>
      </c>
      <c r="AM6806">
        <v>97.732887422589201</v>
      </c>
      <c r="AN6806">
        <v>1.0000000475258199</v>
      </c>
    </row>
    <row r="6807" spans="1:40" x14ac:dyDescent="0.25">
      <c r="A6807" t="str">
        <f>"20190312164158780"</f>
        <v>20190312164158780</v>
      </c>
      <c r="B6807" t="str">
        <f>"1552380118772873"</f>
        <v>1552380118772873</v>
      </c>
      <c r="C6807" t="s">
        <v>40</v>
      </c>
      <c r="D6807">
        <v>5.4973080000000003</v>
      </c>
      <c r="E6807">
        <v>0.48219050000000002</v>
      </c>
      <c r="F6807" t="s">
        <v>41</v>
      </c>
      <c r="G6807">
        <v>-190.3201</v>
      </c>
      <c r="H6807" s="1">
        <v>-4.1550510000000004E-6</v>
      </c>
      <c r="I6807">
        <v>79.076099999999997</v>
      </c>
      <c r="J6807">
        <v>-187.05789999999999</v>
      </c>
      <c r="K6807">
        <v>1.110606</v>
      </c>
      <c r="L6807">
        <v>62.901980000000002</v>
      </c>
      <c r="M6807">
        <v>-5.6694969999999999E-3</v>
      </c>
      <c r="N6807">
        <v>0</v>
      </c>
      <c r="O6807">
        <v>0.99988880000000002</v>
      </c>
      <c r="P6807">
        <v>-0.1403385</v>
      </c>
      <c r="Q6807">
        <v>7.5193209999999996E-2</v>
      </c>
      <c r="R6807">
        <v>0.98724420000000002</v>
      </c>
      <c r="S6807">
        <v>-0.58045959999999996</v>
      </c>
      <c r="T6807">
        <v>-0.19741900000000001</v>
      </c>
      <c r="U6807">
        <v>2.9709469999999998</v>
      </c>
      <c r="V6807">
        <v>-0.135013299999999</v>
      </c>
      <c r="W6807">
        <v>8.8392440000000003E-2</v>
      </c>
      <c r="X6807">
        <v>0.98689320000000003</v>
      </c>
      <c r="Y6807">
        <v>-0.18577830000000001</v>
      </c>
      <c r="Z6807">
        <v>-6.5112089999999997E-2</v>
      </c>
      <c r="AA6807">
        <v>0.98043199999999997</v>
      </c>
      <c r="AB6807">
        <v>52</v>
      </c>
      <c r="AC6807">
        <v>-3.2622</v>
      </c>
      <c r="AD6807">
        <v>-1.1106101550509999</v>
      </c>
      <c r="AE6807">
        <v>16.174119999999899</v>
      </c>
      <c r="AF6807">
        <v>-3.1561402046182199</v>
      </c>
      <c r="AG6807">
        <v>-1.1106101550509999</v>
      </c>
      <c r="AH6807">
        <v>16.119325057394398</v>
      </c>
      <c r="AI6807">
        <v>93.868189184577702</v>
      </c>
      <c r="AJ6807">
        <v>101.07827896174901</v>
      </c>
      <c r="AK6807">
        <v>16.4629072831519</v>
      </c>
      <c r="AL6807">
        <v>84.928867928519907</v>
      </c>
      <c r="AM6807">
        <v>97.790069577063704</v>
      </c>
      <c r="AN6807">
        <v>1.0000000014161401</v>
      </c>
    </row>
    <row r="6808" spans="1:40" x14ac:dyDescent="0.25">
      <c r="A6808" t="str">
        <f>"20190312164158803"</f>
        <v>20190312164158803</v>
      </c>
      <c r="B6808" t="str">
        <f>"1552380118793369"</f>
        <v>1552380118793369</v>
      </c>
      <c r="C6808" t="s">
        <v>40</v>
      </c>
      <c r="D6808">
        <v>5.544187</v>
      </c>
      <c r="E6808">
        <v>0.48182049999999998</v>
      </c>
      <c r="F6808" t="s">
        <v>41</v>
      </c>
      <c r="G6808">
        <v>-190.44239999999999</v>
      </c>
      <c r="H6808" s="1">
        <v>-2.5141219999999999E-7</v>
      </c>
      <c r="I6808">
        <v>79.900779999999997</v>
      </c>
      <c r="J6808">
        <v>-187.06139999999999</v>
      </c>
      <c r="K6808">
        <v>1.1106229999999999</v>
      </c>
      <c r="L6808">
        <v>63.424010000000003</v>
      </c>
      <c r="M6808">
        <v>-6.5896349999999999E-3</v>
      </c>
      <c r="N6808">
        <v>0</v>
      </c>
      <c r="O6808">
        <v>0.99988080000000001</v>
      </c>
      <c r="P6808">
        <v>-0.14170170000000001</v>
      </c>
      <c r="Q6808">
        <v>7.7397999999999995E-2</v>
      </c>
      <c r="R6808">
        <v>0.98687899999999995</v>
      </c>
      <c r="S6808">
        <v>-0.59123230000000004</v>
      </c>
      <c r="T6808">
        <v>-0.1940093</v>
      </c>
      <c r="U6808">
        <v>2.9694820000000002</v>
      </c>
      <c r="V6808">
        <v>-0.13547590000000001</v>
      </c>
      <c r="W6808">
        <v>9.0767529999999999E-2</v>
      </c>
      <c r="X6808">
        <v>0.9866142</v>
      </c>
      <c r="Y6808">
        <v>-0.18840229999999999</v>
      </c>
      <c r="Z6808">
        <v>-6.3984250000000006E-2</v>
      </c>
      <c r="AA6808">
        <v>0.98000540000000003</v>
      </c>
      <c r="AB6808">
        <v>52</v>
      </c>
      <c r="AC6808">
        <v>-3.3809999999999998</v>
      </c>
      <c r="AD6808">
        <v>-1.1106232514122001</v>
      </c>
      <c r="AE6808">
        <v>16.476769999999998</v>
      </c>
      <c r="AF6808">
        <v>-3.2581349216111599</v>
      </c>
      <c r="AG6808">
        <v>-1.1106232514122001</v>
      </c>
      <c r="AH6808">
        <v>16.427073379179198</v>
      </c>
      <c r="AI6808">
        <v>93.794156350164201</v>
      </c>
      <c r="AJ6808">
        <v>101.218414183945</v>
      </c>
      <c r="AK6808">
        <v>16.7838513750253</v>
      </c>
      <c r="AL6808">
        <v>84.792236058335604</v>
      </c>
      <c r="AM6808">
        <v>97.818614569525096</v>
      </c>
      <c r="AN6808">
        <v>1.0000000218123699</v>
      </c>
    </row>
    <row r="6809" spans="1:40" x14ac:dyDescent="0.25">
      <c r="A6809" t="str">
        <f>"20190312164158824"</f>
        <v>20190312164158824</v>
      </c>
      <c r="B6809" t="str">
        <f>"1552380118812888"</f>
        <v>1552380118812888</v>
      </c>
      <c r="C6809" t="s">
        <v>40</v>
      </c>
      <c r="D6809">
        <v>5.5550300000000004</v>
      </c>
      <c r="E6809">
        <v>0.4820255</v>
      </c>
      <c r="F6809" t="s">
        <v>41</v>
      </c>
      <c r="G6809">
        <v>-190.5463</v>
      </c>
      <c r="H6809" s="1">
        <v>-6.2581989999999998E-7</v>
      </c>
      <c r="I6809">
        <v>80.709050000000005</v>
      </c>
      <c r="J6809">
        <v>-187.0652</v>
      </c>
      <c r="K6809">
        <v>1.1106339999999999</v>
      </c>
      <c r="L6809">
        <v>63.918700000000001</v>
      </c>
      <c r="M6809">
        <v>-7.4561690000000003E-3</v>
      </c>
      <c r="N6809">
        <v>0</v>
      </c>
      <c r="O6809">
        <v>0.9998726</v>
      </c>
      <c r="P6809">
        <v>-0.1427909</v>
      </c>
      <c r="Q6809">
        <v>7.9450419999999994E-2</v>
      </c>
      <c r="R6809">
        <v>0.98655890000000002</v>
      </c>
      <c r="S6809">
        <v>-0.59857179999999999</v>
      </c>
      <c r="T6809">
        <v>-0.1907623</v>
      </c>
      <c r="U6809">
        <v>2.9689030000000001</v>
      </c>
      <c r="V6809">
        <v>-0.135716</v>
      </c>
      <c r="W6809">
        <v>9.2963560000000001E-2</v>
      </c>
      <c r="X6809">
        <v>0.9863767</v>
      </c>
      <c r="Y6809">
        <v>-0.1899304</v>
      </c>
      <c r="Z6809">
        <v>-6.2904749999999995E-2</v>
      </c>
      <c r="AA6809">
        <v>0.97978030000000005</v>
      </c>
      <c r="AB6809">
        <v>52</v>
      </c>
      <c r="AC6809">
        <v>-3.4810999999999899</v>
      </c>
      <c r="AD6809">
        <v>-1.11063462581989</v>
      </c>
      <c r="AE6809">
        <v>16.79035</v>
      </c>
      <c r="AF6809">
        <v>-3.3417798697140402</v>
      </c>
      <c r="AG6809">
        <v>-1.11063462581989</v>
      </c>
      <c r="AH6809">
        <v>16.745591565822998</v>
      </c>
      <c r="AI6809">
        <v>93.721362250325996</v>
      </c>
      <c r="AJ6809">
        <v>101.285787356317</v>
      </c>
      <c r="AK6809">
        <v>17.1118625187049</v>
      </c>
      <c r="AL6809">
        <v>84.665878489399503</v>
      </c>
      <c r="AM6809">
        <v>97.834161890073304</v>
      </c>
      <c r="AN6809">
        <v>1.0000000252233801</v>
      </c>
    </row>
    <row r="6810" spans="1:40" x14ac:dyDescent="0.25">
      <c r="A6810" t="str">
        <f>"20190312164158846"</f>
        <v>20190312164158846</v>
      </c>
      <c r="B6810" t="str">
        <f>"1552380118843145"</f>
        <v>1552380118843145</v>
      </c>
      <c r="C6810" t="s">
        <v>40</v>
      </c>
      <c r="D6810">
        <v>5.6769239999999996</v>
      </c>
      <c r="E6810">
        <v>0.48242180000000001</v>
      </c>
      <c r="F6810" t="s">
        <v>41</v>
      </c>
      <c r="G6810">
        <v>-190.50540000000001</v>
      </c>
      <c r="H6810" s="1">
        <v>-6.9838969999999901E-7</v>
      </c>
      <c r="I6810">
        <v>80.903589999999994</v>
      </c>
      <c r="J6810">
        <v>-187.06950000000001</v>
      </c>
      <c r="K6810">
        <v>1.1106400000000001</v>
      </c>
      <c r="L6810">
        <v>64.419069999999905</v>
      </c>
      <c r="M6810">
        <v>-8.3205399999999995E-3</v>
      </c>
      <c r="N6810">
        <v>0</v>
      </c>
      <c r="O6810">
        <v>0.99986399999999998</v>
      </c>
      <c r="P6810">
        <v>-0.14361409999999999</v>
      </c>
      <c r="Q6810">
        <v>8.1239749999999999E-2</v>
      </c>
      <c r="R6810">
        <v>0.98629359999999999</v>
      </c>
      <c r="S6810">
        <v>-0.60144039999999999</v>
      </c>
      <c r="T6810">
        <v>-0.19417110000000001</v>
      </c>
      <c r="U6810">
        <v>2.969452</v>
      </c>
      <c r="V6810">
        <v>-0.13569039999999999</v>
      </c>
      <c r="W6810">
        <v>9.4881950000000007E-2</v>
      </c>
      <c r="X6810">
        <v>0.98619749999999995</v>
      </c>
      <c r="Y6810">
        <v>-0.18994220000000001</v>
      </c>
      <c r="Z6810">
        <v>-6.4005839999999994E-2</v>
      </c>
      <c r="AA6810">
        <v>0.97970670000000004</v>
      </c>
      <c r="AB6810">
        <v>52</v>
      </c>
      <c r="AC6810">
        <v>-3.4359000000000002</v>
      </c>
      <c r="AD6810">
        <v>-1.1106406983896999</v>
      </c>
      <c r="AE6810">
        <v>16.48452</v>
      </c>
      <c r="AF6810">
        <v>-3.2843190438999401</v>
      </c>
      <c r="AG6810">
        <v>-1.1106406983896999</v>
      </c>
      <c r="AH6810">
        <v>16.441016309065301</v>
      </c>
      <c r="AI6810">
        <v>93.789976706166598</v>
      </c>
      <c r="AJ6810">
        <v>101.296916282084</v>
      </c>
      <c r="AK6810">
        <v>16.802597763976699</v>
      </c>
      <c r="AL6810">
        <v>84.555474585766405</v>
      </c>
      <c r="AM6810">
        <v>97.834108076586702</v>
      </c>
      <c r="AN6810">
        <v>0.99999998904710596</v>
      </c>
    </row>
    <row r="6811" spans="1:40" x14ac:dyDescent="0.25">
      <c r="A6811" t="str">
        <f>"20190312164158868"</f>
        <v>20190312164158868</v>
      </c>
      <c r="B6811" t="str">
        <f>"1552380118862666"</f>
        <v>1552380118862666</v>
      </c>
      <c r="C6811" t="s">
        <v>40</v>
      </c>
      <c r="D6811">
        <v>5.5568749999999998</v>
      </c>
      <c r="E6811">
        <v>0.48246990000000001</v>
      </c>
      <c r="F6811" t="s">
        <v>41</v>
      </c>
      <c r="G6811">
        <v>-190.4769</v>
      </c>
      <c r="H6811" s="1">
        <v>-8.408306E-7</v>
      </c>
      <c r="I6811">
        <v>81.253330000000005</v>
      </c>
      <c r="J6811">
        <v>-187.0744</v>
      </c>
      <c r="K6811">
        <v>1.1106389999999999</v>
      </c>
      <c r="L6811">
        <v>64.931759999999997</v>
      </c>
      <c r="M6811">
        <v>-9.1835930000000003E-3</v>
      </c>
      <c r="N6811">
        <v>0</v>
      </c>
      <c r="O6811">
        <v>0.99985480000000004</v>
      </c>
      <c r="P6811">
        <v>-0.1447273</v>
      </c>
      <c r="Q6811">
        <v>8.2417610000000002E-2</v>
      </c>
      <c r="R6811">
        <v>0.9860331</v>
      </c>
      <c r="S6811">
        <v>-0.60119630000000002</v>
      </c>
      <c r="T6811">
        <v>-0.195964</v>
      </c>
      <c r="U6811">
        <v>2.9702760000000001</v>
      </c>
      <c r="V6811">
        <v>-0.1359532</v>
      </c>
      <c r="W6811">
        <v>9.6176810000000001E-2</v>
      </c>
      <c r="X6811">
        <v>0.98603589999999997</v>
      </c>
      <c r="Y6811">
        <v>-0.18895709999999999</v>
      </c>
      <c r="Z6811">
        <v>-6.4582829999999994E-2</v>
      </c>
      <c r="AA6811">
        <v>0.97985940000000005</v>
      </c>
      <c r="AB6811">
        <v>52</v>
      </c>
      <c r="AC6811">
        <v>-3.4024999999999999</v>
      </c>
      <c r="AD6811">
        <v>-1.1106398408306</v>
      </c>
      <c r="AE6811">
        <v>16.321570000000001</v>
      </c>
      <c r="AF6811">
        <v>-3.2380810978812899</v>
      </c>
      <c r="AG6811">
        <v>-1.1106398408306</v>
      </c>
      <c r="AH6811">
        <v>16.279888438589701</v>
      </c>
      <c r="AI6811">
        <v>93.828005015144299</v>
      </c>
      <c r="AJ6811">
        <v>101.249356582654</v>
      </c>
      <c r="AK6811">
        <v>16.635908680484601</v>
      </c>
      <c r="AL6811">
        <v>84.480943899814307</v>
      </c>
      <c r="AM6811">
        <v>97.850362276309397</v>
      </c>
      <c r="AN6811">
        <v>1.0000000237304101</v>
      </c>
    </row>
    <row r="6812" spans="1:40" x14ac:dyDescent="0.25">
      <c r="A6812" t="str">
        <f>"20190312164158891"</f>
        <v>20190312164158891</v>
      </c>
      <c r="B6812" t="str">
        <f>"1552380118883161"</f>
        <v>1552380118883161</v>
      </c>
      <c r="C6812" t="s">
        <v>40</v>
      </c>
      <c r="D6812">
        <v>5.7184699999999999</v>
      </c>
      <c r="E6812">
        <v>0.48244619999999999</v>
      </c>
      <c r="F6812" t="s">
        <v>41</v>
      </c>
      <c r="G6812">
        <v>-190.50749999999999</v>
      </c>
      <c r="H6812" s="1">
        <v>-1.0848909999999999E-6</v>
      </c>
      <c r="I6812">
        <v>81.803250000000006</v>
      </c>
      <c r="J6812">
        <v>-187.07990000000001</v>
      </c>
      <c r="K6812">
        <v>1.1106199999999999</v>
      </c>
      <c r="L6812">
        <v>65.471279999999993</v>
      </c>
      <c r="M6812">
        <v>-1.005737E-2</v>
      </c>
      <c r="N6812">
        <v>0</v>
      </c>
      <c r="O6812">
        <v>0.99984479999999998</v>
      </c>
      <c r="P6812">
        <v>-0.1455033</v>
      </c>
      <c r="Q6812">
        <v>8.3382700000000004E-2</v>
      </c>
      <c r="R6812">
        <v>0.98583779999999999</v>
      </c>
      <c r="S6812">
        <v>-0.60438539999999996</v>
      </c>
      <c r="T6812">
        <v>-0.19552149999999999</v>
      </c>
      <c r="U6812">
        <v>2.9701230000000001</v>
      </c>
      <c r="V6812">
        <v>-0.1358646</v>
      </c>
      <c r="W6812">
        <v>9.7253199999999998E-2</v>
      </c>
      <c r="X6812">
        <v>0.98594250000000005</v>
      </c>
      <c r="Y6812">
        <v>-0.18912109999999999</v>
      </c>
      <c r="Z6812">
        <v>-6.4432219999999998E-2</v>
      </c>
      <c r="AA6812">
        <v>0.97983759999999998</v>
      </c>
      <c r="AB6812">
        <v>52</v>
      </c>
      <c r="AC6812">
        <v>-3.42759999999998</v>
      </c>
      <c r="AD6812">
        <v>-1.1106210848909901</v>
      </c>
      <c r="AE6812">
        <v>16.331969999999998</v>
      </c>
      <c r="AF6812">
        <v>-3.2487630070911799</v>
      </c>
      <c r="AG6812">
        <v>-1.1106210848909901</v>
      </c>
      <c r="AH6812">
        <v>16.2934514595268</v>
      </c>
      <c r="AI6812">
        <v>93.824405637845402</v>
      </c>
      <c r="AJ6812">
        <v>101.276361996161</v>
      </c>
      <c r="AK6812">
        <v>16.651261235546201</v>
      </c>
      <c r="AL6812">
        <v>84.418980651185294</v>
      </c>
      <c r="AM6812">
        <v>97.846043906816107</v>
      </c>
      <c r="AN6812">
        <v>0.99999999387482497</v>
      </c>
    </row>
    <row r="6813" spans="1:40" x14ac:dyDescent="0.25">
      <c r="A6813" t="str">
        <f>"20190312164158915"</f>
        <v>20190312164158915</v>
      </c>
      <c r="B6813" t="str">
        <f>"1552380118912441"</f>
        <v>1552380118912441</v>
      </c>
      <c r="C6813" t="s">
        <v>40</v>
      </c>
      <c r="D6813">
        <v>5.6569690000000001</v>
      </c>
      <c r="E6813">
        <v>0.48234759999999999</v>
      </c>
      <c r="F6813" t="s">
        <v>41</v>
      </c>
      <c r="G6813">
        <v>-190.55289999999999</v>
      </c>
      <c r="H6813" s="1">
        <v>-1.3771149999999999E-6</v>
      </c>
      <c r="I6813">
        <v>82.456269999999904</v>
      </c>
      <c r="J6813">
        <v>-187.08580000000001</v>
      </c>
      <c r="K6813">
        <v>1.110592</v>
      </c>
      <c r="L6813">
        <v>66.010769999999994</v>
      </c>
      <c r="M6813">
        <v>-1.0886460000000001E-2</v>
      </c>
      <c r="N6813">
        <v>0</v>
      </c>
      <c r="O6813">
        <v>0.99983489999999997</v>
      </c>
      <c r="P6813">
        <v>-0.1458576</v>
      </c>
      <c r="Q6813">
        <v>8.4879060000000006E-2</v>
      </c>
      <c r="R6813">
        <v>0.98565769999999997</v>
      </c>
      <c r="S6813">
        <v>-0.60726930000000001</v>
      </c>
      <c r="T6813">
        <v>-0.1941957</v>
      </c>
      <c r="U6813">
        <v>2.9698790000000002</v>
      </c>
      <c r="V6813">
        <v>-0.13539799999999999</v>
      </c>
      <c r="W6813">
        <v>9.885099E-2</v>
      </c>
      <c r="X6813">
        <v>0.98584780000000005</v>
      </c>
      <c r="Y6813">
        <v>-0.18924179999999999</v>
      </c>
      <c r="Z6813">
        <v>-6.3994599999999999E-2</v>
      </c>
      <c r="AA6813">
        <v>0.97984300000000002</v>
      </c>
      <c r="AB6813">
        <v>51</v>
      </c>
      <c r="AC6813">
        <v>-3.4670999999999799</v>
      </c>
      <c r="AD6813">
        <v>-1.1105933771150001</v>
      </c>
      <c r="AE6813">
        <v>16.4454999999999</v>
      </c>
      <c r="AF6813">
        <v>-3.2735484437733202</v>
      </c>
      <c r="AG6813">
        <v>-1.1105933771150001</v>
      </c>
      <c r="AH6813">
        <v>16.410617337854401</v>
      </c>
      <c r="AI6813">
        <v>93.797023479603595</v>
      </c>
      <c r="AJ6813">
        <v>101.28114236465299</v>
      </c>
      <c r="AK6813">
        <v>16.770745316547799</v>
      </c>
      <c r="AL6813">
        <v>84.326990839391996</v>
      </c>
      <c r="AM6813">
        <v>97.820173964671199</v>
      </c>
      <c r="AN6813">
        <v>1.00000001069641</v>
      </c>
    </row>
    <row r="6814" spans="1:40" x14ac:dyDescent="0.25">
      <c r="A6814" t="str">
        <f>"20190312164158936"</f>
        <v>20190312164158936</v>
      </c>
      <c r="B6814" t="str">
        <f>"1552380118932936"</f>
        <v>1552380118932936</v>
      </c>
      <c r="C6814" t="s">
        <v>40</v>
      </c>
      <c r="D6814">
        <v>5.6882429999999999</v>
      </c>
      <c r="E6814">
        <v>0.48233369999999998</v>
      </c>
      <c r="F6814" t="s">
        <v>41</v>
      </c>
      <c r="G6814">
        <v>-190.6061</v>
      </c>
      <c r="H6814" s="1">
        <v>-1.696178E-6</v>
      </c>
      <c r="I6814">
        <v>83.167019999999994</v>
      </c>
      <c r="J6814">
        <v>-187.0915</v>
      </c>
      <c r="K6814">
        <v>1.110557</v>
      </c>
      <c r="L6814">
        <v>66.498900000000006</v>
      </c>
      <c r="M6814">
        <v>-1.159102E-2</v>
      </c>
      <c r="N6814">
        <v>0</v>
      </c>
      <c r="O6814">
        <v>0.99982599999999999</v>
      </c>
      <c r="P6814">
        <v>-0.1455757</v>
      </c>
      <c r="Q6814">
        <v>8.6137640000000001E-2</v>
      </c>
      <c r="R6814">
        <v>0.98559019999999997</v>
      </c>
      <c r="S6814">
        <v>-0.60942079999999998</v>
      </c>
      <c r="T6814">
        <v>-0.1922623</v>
      </c>
      <c r="U6814">
        <v>2.9700319999999998</v>
      </c>
      <c r="V6814">
        <v>-0.13441520000000001</v>
      </c>
      <c r="W6814">
        <v>0.1001947</v>
      </c>
      <c r="X6814">
        <v>0.98584660000000002</v>
      </c>
      <c r="Y6814">
        <v>-0.18922949999999999</v>
      </c>
      <c r="Z6814">
        <v>-6.3351679999999994E-2</v>
      </c>
      <c r="AA6814">
        <v>0.97988710000000001</v>
      </c>
      <c r="AB6814">
        <v>51</v>
      </c>
      <c r="AC6814">
        <v>-3.5146000000000002</v>
      </c>
      <c r="AD6814">
        <v>-1.1105586961780001</v>
      </c>
      <c r="AE6814">
        <v>16.668119999999899</v>
      </c>
      <c r="AF6814">
        <v>-3.3070866481167198</v>
      </c>
      <c r="AG6814">
        <v>-1.1105586961780001</v>
      </c>
      <c r="AH6814">
        <v>16.637030132877999</v>
      </c>
      <c r="AI6814">
        <v>93.7458812870467</v>
      </c>
      <c r="AJ6814">
        <v>101.242630821944</v>
      </c>
      <c r="AK6814">
        <v>16.9988509717009</v>
      </c>
      <c r="AL6814">
        <v>84.2496175593472</v>
      </c>
      <c r="AM6814">
        <v>97.764114604119001</v>
      </c>
      <c r="AN6814">
        <v>0.99999997131534402</v>
      </c>
    </row>
    <row r="6815" spans="1:40" x14ac:dyDescent="0.25">
      <c r="A6815" t="str">
        <f>"20190312164158959"</f>
        <v>20190312164158959</v>
      </c>
      <c r="B6815" t="str">
        <f>"1552380118952457"</f>
        <v>1552380118952457</v>
      </c>
      <c r="C6815" t="s">
        <v>40</v>
      </c>
      <c r="D6815">
        <v>5.5178250000000002</v>
      </c>
      <c r="E6815">
        <v>0.49897469999999999</v>
      </c>
      <c r="F6815" t="s">
        <v>41</v>
      </c>
      <c r="G6815">
        <v>-190.64660000000001</v>
      </c>
      <c r="H6815" s="1">
        <v>-1.9948669999999999E-6</v>
      </c>
      <c r="I6815">
        <v>83.838169999999906</v>
      </c>
      <c r="J6815">
        <v>-187.09780000000001</v>
      </c>
      <c r="K6815">
        <v>1.110522</v>
      </c>
      <c r="L6815">
        <v>67.000609999999995</v>
      </c>
      <c r="M6815">
        <v>-1.226853E-2</v>
      </c>
      <c r="N6815">
        <v>0</v>
      </c>
      <c r="O6815">
        <v>0.99981699999999996</v>
      </c>
      <c r="P6815">
        <v>-0.14440829999999999</v>
      </c>
      <c r="Q6815">
        <v>8.7749389999999997E-2</v>
      </c>
      <c r="R6815">
        <v>0.98561980000000005</v>
      </c>
      <c r="S6815">
        <v>-0.60903929999999995</v>
      </c>
      <c r="T6815">
        <v>-0.19025829999999999</v>
      </c>
      <c r="U6815">
        <v>2.97052</v>
      </c>
      <c r="V6815">
        <v>-0.13257089999999999</v>
      </c>
      <c r="W6815">
        <v>0.1018892</v>
      </c>
      <c r="X6815">
        <v>0.98592270000000004</v>
      </c>
      <c r="Y6815">
        <v>-0.18842</v>
      </c>
      <c r="Z6815">
        <v>-6.2688889999999997E-2</v>
      </c>
      <c r="AA6815">
        <v>0.98008569999999995</v>
      </c>
      <c r="AB6815">
        <v>51</v>
      </c>
      <c r="AC6815">
        <v>-3.5488</v>
      </c>
      <c r="AD6815">
        <v>-1.110523994867</v>
      </c>
      <c r="AE6815">
        <v>16.8375599999999</v>
      </c>
      <c r="AF6815">
        <v>-3.32807684823063</v>
      </c>
      <c r="AG6815">
        <v>-1.110523994867</v>
      </c>
      <c r="AH6815">
        <v>16.809821840710601</v>
      </c>
      <c r="AI6815">
        <v>93.707929759094995</v>
      </c>
      <c r="AJ6815">
        <v>101.198827417703</v>
      </c>
      <c r="AK6815">
        <v>17.172054896468701</v>
      </c>
      <c r="AL6815">
        <v>84.152030646987001</v>
      </c>
      <c r="AM6815">
        <v>97.658272789604695</v>
      </c>
      <c r="AN6815">
        <v>1.0000000114893699</v>
      </c>
    </row>
    <row r="6816" spans="1:40" x14ac:dyDescent="0.25">
      <c r="A6816" t="str">
        <f>"20190312164158980"</f>
        <v>20190312164158980</v>
      </c>
      <c r="B6816" t="str">
        <f>"1552380118972952"</f>
        <v>1552380118972952</v>
      </c>
      <c r="C6816" t="s">
        <v>40</v>
      </c>
      <c r="D6816">
        <v>5.6322359999999998</v>
      </c>
      <c r="E6816">
        <v>0.51163139999999996</v>
      </c>
      <c r="F6816" t="s">
        <v>41</v>
      </c>
      <c r="G6816">
        <v>-190.0421</v>
      </c>
      <c r="H6816" s="1">
        <v>-2.574618E-6</v>
      </c>
      <c r="I6816">
        <v>85.564509999999999</v>
      </c>
      <c r="J6816">
        <v>-187.1044</v>
      </c>
      <c r="K6816">
        <v>1.1104889999999901</v>
      </c>
      <c r="L6816">
        <v>67.511539999999997</v>
      </c>
      <c r="M6816">
        <v>-1.2908269999999999E-2</v>
      </c>
      <c r="N6816">
        <v>0</v>
      </c>
      <c r="O6816">
        <v>0.99980809999999998</v>
      </c>
      <c r="P6816">
        <v>-0.14338809999999999</v>
      </c>
      <c r="Q6816">
        <v>8.9373449999999993E-2</v>
      </c>
      <c r="R6816">
        <v>0.98562280000000002</v>
      </c>
      <c r="S6816">
        <v>-0.47425840000000002</v>
      </c>
      <c r="T6816">
        <v>-0.17887910000000001</v>
      </c>
      <c r="U6816">
        <v>2.9902039999999999</v>
      </c>
      <c r="V6816">
        <v>-0.13091059999999999</v>
      </c>
      <c r="W6816">
        <v>0.10358729999999999</v>
      </c>
      <c r="X6816">
        <v>0.98596760000000006</v>
      </c>
      <c r="Y6816">
        <v>-0.1436096</v>
      </c>
      <c r="Z6816">
        <v>-5.903046E-2</v>
      </c>
      <c r="AA6816">
        <v>0.98787230000000004</v>
      </c>
      <c r="AB6816">
        <v>51</v>
      </c>
      <c r="AC6816">
        <v>-2.9377</v>
      </c>
      <c r="AD6816">
        <v>-1.11049157461799</v>
      </c>
      <c r="AE6816">
        <v>18.052969999999998</v>
      </c>
      <c r="AF6816">
        <v>-2.6944648521775099</v>
      </c>
      <c r="AG6816">
        <v>-1.11049157461799</v>
      </c>
      <c r="AH6816">
        <v>18.022953530670101</v>
      </c>
      <c r="AI6816">
        <v>93.487187112736706</v>
      </c>
      <c r="AJ6816">
        <v>98.502849606666601</v>
      </c>
      <c r="AK6816">
        <v>18.257058534868399</v>
      </c>
      <c r="AL6816">
        <v>84.0542190932007</v>
      </c>
      <c r="AM6816">
        <v>97.563138437213894</v>
      </c>
      <c r="AN6816">
        <v>1.0000000110817</v>
      </c>
    </row>
    <row r="6817" spans="1:40" x14ac:dyDescent="0.25">
      <c r="A6817" t="str">
        <f>"20190312164159004"</f>
        <v>20190312164159004</v>
      </c>
      <c r="B6817" t="str">
        <f>"1552380118992473"</f>
        <v>1552380118992473</v>
      </c>
      <c r="C6817" t="s">
        <v>40</v>
      </c>
      <c r="D6817">
        <v>5.6261789999999996</v>
      </c>
      <c r="E6817">
        <v>0.51675000000000004</v>
      </c>
      <c r="F6817" t="s">
        <v>41</v>
      </c>
      <c r="G6817">
        <v>-189.3699</v>
      </c>
      <c r="H6817" s="1">
        <v>-2.7620119999999999E-6</v>
      </c>
      <c r="I6817">
        <v>85.810569999999998</v>
      </c>
      <c r="J6817">
        <v>-187.11170000000001</v>
      </c>
      <c r="K6817">
        <v>1.1104609999999999</v>
      </c>
      <c r="L6817">
        <v>68.042569999999998</v>
      </c>
      <c r="M6817">
        <v>-1.353156E-2</v>
      </c>
      <c r="N6817">
        <v>0</v>
      </c>
      <c r="O6817">
        <v>0.99979910000000005</v>
      </c>
      <c r="P6817">
        <v>-0.14147190000000001</v>
      </c>
      <c r="Q6817">
        <v>9.2297299999999999E-2</v>
      </c>
      <c r="R6817">
        <v>0.98563020000000001</v>
      </c>
      <c r="S6817">
        <v>-0.37217709999999998</v>
      </c>
      <c r="T6817">
        <v>-0.1824316</v>
      </c>
      <c r="U6817">
        <v>3.0061650000000002</v>
      </c>
      <c r="V6817">
        <v>-0.1283734</v>
      </c>
      <c r="W6817">
        <v>0.10658090000000001</v>
      </c>
      <c r="X6817">
        <v>0.98598209999999997</v>
      </c>
      <c r="Y6817">
        <v>-0.10920240000000001</v>
      </c>
      <c r="Z6817">
        <v>-6.01562E-2</v>
      </c>
      <c r="AA6817">
        <v>0.99219760000000001</v>
      </c>
      <c r="AB6817">
        <v>51</v>
      </c>
      <c r="AC6817">
        <v>-2.25819999999998</v>
      </c>
      <c r="AD6817">
        <v>-1.1104637620119999</v>
      </c>
      <c r="AE6817">
        <v>17.768000000000001</v>
      </c>
      <c r="AF6817">
        <v>-2.0098126262378901</v>
      </c>
      <c r="AG6817">
        <v>-1.1104637620119999</v>
      </c>
      <c r="AH6817">
        <v>17.728785420425201</v>
      </c>
      <c r="AI6817">
        <v>93.561355652222204</v>
      </c>
      <c r="AJ6817">
        <v>96.467687927081897</v>
      </c>
      <c r="AK6817">
        <v>17.876865190597901</v>
      </c>
      <c r="AL6817">
        <v>83.881743128403301</v>
      </c>
      <c r="AM6817">
        <v>97.418096589697697</v>
      </c>
      <c r="AN6817">
        <v>0.999999959796389</v>
      </c>
    </row>
    <row r="6818" spans="1:40" x14ac:dyDescent="0.25">
      <c r="A6818" t="str">
        <f>"20190312164159034"</f>
        <v>20190312164159034</v>
      </c>
      <c r="B6818" t="str">
        <f>"1552380119022728"</f>
        <v>1552380119022728</v>
      </c>
      <c r="C6818" t="s">
        <v>40</v>
      </c>
      <c r="D6818">
        <v>5.7538619999999998</v>
      </c>
      <c r="E6818">
        <v>0.52023989999999998</v>
      </c>
      <c r="F6818" t="s">
        <v>41</v>
      </c>
      <c r="G6818">
        <v>-189.18170000000001</v>
      </c>
      <c r="H6818" s="1">
        <v>-3.3757359999999999E-6</v>
      </c>
      <c r="I6818">
        <v>87.163340000000005</v>
      </c>
      <c r="J6818">
        <v>-187.12200000000001</v>
      </c>
      <c r="K6818">
        <v>1.110428</v>
      </c>
      <c r="L6818">
        <v>68.761020000000002</v>
      </c>
      <c r="M6818">
        <v>-1.4319170000000001E-2</v>
      </c>
      <c r="N6818">
        <v>0</v>
      </c>
      <c r="O6818">
        <v>0.99978739999999999</v>
      </c>
      <c r="P6818">
        <v>-0.13997029999999999</v>
      </c>
      <c r="Q6818">
        <v>9.7248849999999998E-2</v>
      </c>
      <c r="R6818">
        <v>0.98536840000000003</v>
      </c>
      <c r="S6818">
        <v>-0.3262177</v>
      </c>
      <c r="T6818">
        <v>-0.17500189999999999</v>
      </c>
      <c r="U6818">
        <v>3.013306</v>
      </c>
      <c r="V6818">
        <v>-0.12609239999999999</v>
      </c>
      <c r="W6818">
        <v>0.1116071</v>
      </c>
      <c r="X6818">
        <v>0.98572029999999999</v>
      </c>
      <c r="Y6818">
        <v>-9.3202450000000006E-2</v>
      </c>
      <c r="Z6818">
        <v>-5.767568E-2</v>
      </c>
      <c r="AA6818">
        <v>0.99397530000000001</v>
      </c>
      <c r="AB6818">
        <v>51</v>
      </c>
      <c r="AC6818">
        <v>-2.0596999999999901</v>
      </c>
      <c r="AD6818">
        <v>-1.110431375736</v>
      </c>
      <c r="AE6818">
        <v>18.40232</v>
      </c>
      <c r="AF6818">
        <v>-1.78951854585925</v>
      </c>
      <c r="AG6818">
        <v>-1.110431375736</v>
      </c>
      <c r="AH6818">
        <v>18.363890989050201</v>
      </c>
      <c r="AI6818">
        <v>93.444084677267497</v>
      </c>
      <c r="AJ6818">
        <v>95.565767493651194</v>
      </c>
      <c r="AK6818">
        <v>18.4842615953117</v>
      </c>
      <c r="AL6818">
        <v>83.592033693683604</v>
      </c>
      <c r="AM6818">
        <v>97.289632685937093</v>
      </c>
      <c r="AN6818">
        <v>0.99999997397012896</v>
      </c>
    </row>
    <row r="6819" spans="1:40" x14ac:dyDescent="0.25">
      <c r="A6819" t="str">
        <f>"20190312164159059"</f>
        <v>20190312164159059</v>
      </c>
      <c r="B6819" t="str">
        <f>"1552380119052516"</f>
        <v>1552380119052516</v>
      </c>
      <c r="C6819" t="s">
        <v>40</v>
      </c>
      <c r="D6819">
        <v>5.6277889999999999</v>
      </c>
      <c r="E6819">
        <v>0.52161229999999903</v>
      </c>
      <c r="F6819" t="s">
        <v>41</v>
      </c>
      <c r="G6819">
        <v>-189.30840000000001</v>
      </c>
      <c r="H6819" s="1">
        <v>-8.1173189999999999E-7</v>
      </c>
      <c r="I6819">
        <v>91.238969999999995</v>
      </c>
      <c r="J6819">
        <v>-187.12989999999999</v>
      </c>
      <c r="K6819">
        <v>1.1104050000000001</v>
      </c>
      <c r="L6819">
        <v>69.290469999999999</v>
      </c>
      <c r="M6819">
        <v>-1.486374E-2</v>
      </c>
      <c r="N6819">
        <v>0</v>
      </c>
      <c r="O6819">
        <v>0.99977899999999997</v>
      </c>
      <c r="P6819">
        <v>-0.13912529999999901</v>
      </c>
      <c r="Q6819">
        <v>0.10025439999999999</v>
      </c>
      <c r="R6819">
        <v>0.98518689999999998</v>
      </c>
      <c r="S6819">
        <v>-0.293518099999999</v>
      </c>
      <c r="T6819">
        <v>-0.14906920000000001</v>
      </c>
      <c r="U6819">
        <v>3.0175480000000001</v>
      </c>
      <c r="V6819">
        <v>-0.1247077</v>
      </c>
      <c r="W6819">
        <v>0.1146587</v>
      </c>
      <c r="X6819">
        <v>0.98554620000000004</v>
      </c>
      <c r="Y6819">
        <v>-8.1890320000000003E-2</v>
      </c>
      <c r="Z6819">
        <v>-4.9133929999999999E-2</v>
      </c>
      <c r="AA6819">
        <v>0.99542949999999997</v>
      </c>
      <c r="AB6819">
        <v>51</v>
      </c>
      <c r="AC6819">
        <v>-2.1785000000000099</v>
      </c>
      <c r="AD6819">
        <v>-1.11040581173189</v>
      </c>
      <c r="AE6819">
        <v>21.948499999999999</v>
      </c>
      <c r="AF6819">
        <v>-1.84730439354021</v>
      </c>
      <c r="AG6819">
        <v>-1.11040581173189</v>
      </c>
      <c r="AH6819">
        <v>21.9228949381747</v>
      </c>
      <c r="AI6819">
        <v>92.889360372584207</v>
      </c>
      <c r="AJ6819">
        <v>94.8165764479117</v>
      </c>
      <c r="AK6819">
        <v>22.028591808360499</v>
      </c>
      <c r="AL6819">
        <v>83.416060016815706</v>
      </c>
      <c r="AM6819">
        <v>97.211688100419707</v>
      </c>
      <c r="AN6819">
        <v>0.99999997012970898</v>
      </c>
    </row>
    <row r="6820" spans="1:40" x14ac:dyDescent="0.25">
      <c r="A6820" t="str">
        <f>"20190312164159080"</f>
        <v>20190312164159080</v>
      </c>
      <c r="B6820" t="str">
        <f>"1552380119073012"</f>
        <v>1552380119073012</v>
      </c>
      <c r="C6820" t="s">
        <v>40</v>
      </c>
      <c r="D6820">
        <v>5.7229390000000002</v>
      </c>
      <c r="E6820">
        <v>0.52200999999999997</v>
      </c>
      <c r="F6820" t="s">
        <v>41</v>
      </c>
      <c r="G6820">
        <v>-189.4187</v>
      </c>
      <c r="H6820" s="1">
        <v>-1.9714229999999999E-6</v>
      </c>
      <c r="I6820">
        <v>93.987840000000006</v>
      </c>
      <c r="J6820">
        <v>-187.13800000000001</v>
      </c>
      <c r="K6820">
        <v>1.1103780000000001</v>
      </c>
      <c r="L6820">
        <v>69.810519999999997</v>
      </c>
      <c r="M6820">
        <v>-1.5373070000000001E-2</v>
      </c>
      <c r="N6820">
        <v>0</v>
      </c>
      <c r="O6820">
        <v>0.99977090000000002</v>
      </c>
      <c r="P6820">
        <v>-0.13828470000000001</v>
      </c>
      <c r="Q6820">
        <v>0.1034426</v>
      </c>
      <c r="R6820">
        <v>0.98497559999999995</v>
      </c>
      <c r="S6820">
        <v>-0.2798157</v>
      </c>
      <c r="T6820">
        <v>-0.13575419999999999</v>
      </c>
      <c r="U6820">
        <v>3.019409</v>
      </c>
      <c r="V6820">
        <v>-0.12336270000000001</v>
      </c>
      <c r="W6820">
        <v>0.1178844</v>
      </c>
      <c r="X6820">
        <v>0.98533490000000001</v>
      </c>
      <c r="Y6820">
        <v>-7.6864440000000006E-2</v>
      </c>
      <c r="Z6820">
        <v>-4.4745100000000003E-2</v>
      </c>
      <c r="AA6820">
        <v>0.99603699999999995</v>
      </c>
      <c r="AB6820">
        <v>51</v>
      </c>
      <c r="AC6820">
        <v>-2.2806999999999902</v>
      </c>
      <c r="AD6820">
        <v>-1.110379971423</v>
      </c>
      <c r="AE6820">
        <v>24.177320000000002</v>
      </c>
      <c r="AF6820">
        <v>-1.9047274610770599</v>
      </c>
      <c r="AG6820">
        <v>-1.110379971423</v>
      </c>
      <c r="AH6820">
        <v>24.159019687004001</v>
      </c>
      <c r="AI6820">
        <v>92.623407193561903</v>
      </c>
      <c r="AJ6820">
        <v>94.507946284891702</v>
      </c>
      <c r="AK6820">
        <v>24.2594138968559</v>
      </c>
      <c r="AL6820">
        <v>83.229978870144393</v>
      </c>
      <c r="AM6820">
        <v>97.136228543109397</v>
      </c>
      <c r="AN6820">
        <v>0.99999997633632898</v>
      </c>
    </row>
    <row r="6821" spans="1:40" x14ac:dyDescent="0.25">
      <c r="A6821" t="str">
        <f>"20190312164159103"</f>
        <v>20190312164159103</v>
      </c>
      <c r="B6821" t="str">
        <f>"1552380119092532"</f>
        <v>1552380119092532</v>
      </c>
      <c r="C6821" t="s">
        <v>40</v>
      </c>
      <c r="D6821">
        <v>5.6284199999999904</v>
      </c>
      <c r="E6821">
        <v>0.52215180000000005</v>
      </c>
      <c r="F6821" t="s">
        <v>41</v>
      </c>
      <c r="G6821">
        <v>-189.5504</v>
      </c>
      <c r="H6821" s="1">
        <v>-2.960207E-6</v>
      </c>
      <c r="I6821">
        <v>96.347170000000006</v>
      </c>
      <c r="J6821">
        <v>-187.14609999999999</v>
      </c>
      <c r="K6821">
        <v>1.1103609999999999</v>
      </c>
      <c r="L6821">
        <v>70.319149999999993</v>
      </c>
      <c r="M6821">
        <v>-1.5854730000000001E-2</v>
      </c>
      <c r="N6821">
        <v>0</v>
      </c>
      <c r="O6821">
        <v>0.99976299999999996</v>
      </c>
      <c r="P6821">
        <v>-0.13772429999999999</v>
      </c>
      <c r="Q6821">
        <v>0.10646799999999999</v>
      </c>
      <c r="R6821">
        <v>0.98473169999999999</v>
      </c>
      <c r="S6821">
        <v>-0.27458189999999999</v>
      </c>
      <c r="T6821">
        <v>-0.12638679999999999</v>
      </c>
      <c r="U6821">
        <v>3.0204770000000001</v>
      </c>
      <c r="V6821">
        <v>-0.1223259</v>
      </c>
      <c r="W6821">
        <v>0.1209408</v>
      </c>
      <c r="X6821">
        <v>0.98509380000000002</v>
      </c>
      <c r="Y6821">
        <v>-7.465215E-2</v>
      </c>
      <c r="Z6821">
        <v>-4.1654799999999999E-2</v>
      </c>
      <c r="AA6821">
        <v>0.99633930000000004</v>
      </c>
      <c r="AB6821">
        <v>51</v>
      </c>
      <c r="AC6821">
        <v>-2.4043000000000001</v>
      </c>
      <c r="AD6821">
        <v>-1.1103639602069999</v>
      </c>
      <c r="AE6821">
        <v>26.028020000000001</v>
      </c>
      <c r="AF6821">
        <v>-1.9876977521153001</v>
      </c>
      <c r="AG6821">
        <v>-1.1103639602069999</v>
      </c>
      <c r="AH6821">
        <v>26.0159255717961</v>
      </c>
      <c r="AI6821">
        <v>92.436816592983504</v>
      </c>
      <c r="AJ6821">
        <v>94.3690877985524</v>
      </c>
      <c r="AK6821">
        <v>26.115363942230001</v>
      </c>
      <c r="AL6821">
        <v>83.053598423797496</v>
      </c>
      <c r="AM6821">
        <v>97.078577366181406</v>
      </c>
      <c r="AN6821">
        <v>1.00000004885694</v>
      </c>
    </row>
    <row r="6822" spans="1:40" x14ac:dyDescent="0.25">
      <c r="A6822" t="str">
        <f>"20190312164159126"</f>
        <v>20190312164159126</v>
      </c>
      <c r="B6822" t="str">
        <f>"1552380119122788"</f>
        <v>1552380119122788</v>
      </c>
      <c r="C6822" t="s">
        <v>40</v>
      </c>
      <c r="D6822">
        <v>5.6782440000000003</v>
      </c>
      <c r="E6822">
        <v>0.52228770000000002</v>
      </c>
      <c r="F6822" t="s">
        <v>41</v>
      </c>
      <c r="G6822">
        <v>-189.72579999999999</v>
      </c>
      <c r="H6822" s="1">
        <v>-4.057689E-6</v>
      </c>
      <c r="I6822">
        <v>98.977980000000002</v>
      </c>
      <c r="J6822">
        <v>-187.15469999999999</v>
      </c>
      <c r="K6822">
        <v>1.110344</v>
      </c>
      <c r="L6822">
        <v>70.83417</v>
      </c>
      <c r="M6822">
        <v>-1.6327879999999999E-2</v>
      </c>
      <c r="N6822">
        <v>0</v>
      </c>
      <c r="O6822">
        <v>0.99975510000000001</v>
      </c>
      <c r="P6822">
        <v>-0.13708999999999999</v>
      </c>
      <c r="Q6822">
        <v>0.1094089</v>
      </c>
      <c r="R6822">
        <v>0.98449779999999998</v>
      </c>
      <c r="S6822">
        <v>-0.27194210000000002</v>
      </c>
      <c r="T6822">
        <v>-0.117051</v>
      </c>
      <c r="U6822">
        <v>3.021118</v>
      </c>
      <c r="V6822">
        <v>-0.12122330000000001</v>
      </c>
      <c r="W6822">
        <v>0.12391000000000001</v>
      </c>
      <c r="X6822">
        <v>0.98486099999999999</v>
      </c>
      <c r="Y6822">
        <v>-7.3308650000000003E-2</v>
      </c>
      <c r="Z6822">
        <v>-3.8577529999999999E-2</v>
      </c>
      <c r="AA6822">
        <v>0.99656290000000003</v>
      </c>
      <c r="AB6822">
        <v>51</v>
      </c>
      <c r="AC6822">
        <v>-2.5710999999999999</v>
      </c>
      <c r="AD6822">
        <v>-1.1103480576889999</v>
      </c>
      <c r="AE6822">
        <v>28.143809999999998</v>
      </c>
      <c r="AF6822">
        <v>-2.1079232909443899</v>
      </c>
      <c r="AG6822">
        <v>-1.1103480576889999</v>
      </c>
      <c r="AH6822">
        <v>28.138607070610799</v>
      </c>
      <c r="AI6822">
        <v>92.253408792939297</v>
      </c>
      <c r="AJ6822">
        <v>94.284147484539403</v>
      </c>
      <c r="AK6822">
        <v>28.2392886115063</v>
      </c>
      <c r="AL6822">
        <v>82.882185855699404</v>
      </c>
      <c r="AM6822">
        <v>97.017054108973298</v>
      </c>
      <c r="AN6822">
        <v>0.99999998294194403</v>
      </c>
    </row>
    <row r="6823" spans="1:40" x14ac:dyDescent="0.25">
      <c r="A6823" t="str">
        <f>"20190312164159148"</f>
        <v>20190312164159148</v>
      </c>
      <c r="B6823" t="str">
        <f>"1552380119142816"</f>
        <v>1552380119142816</v>
      </c>
      <c r="C6823" t="s">
        <v>40</v>
      </c>
      <c r="D6823">
        <v>5.6769129999999999</v>
      </c>
      <c r="E6823">
        <v>0.52228560000000002</v>
      </c>
      <c r="F6823" t="s">
        <v>41</v>
      </c>
      <c r="G6823">
        <v>-189.8767</v>
      </c>
      <c r="H6823" s="1">
        <v>-7.6731730000000002E-7</v>
      </c>
      <c r="I6823">
        <v>101.3704</v>
      </c>
      <c r="J6823">
        <v>-187.16319999999999</v>
      </c>
      <c r="K6823">
        <v>1.110325</v>
      </c>
      <c r="L6823">
        <v>71.338200000000001</v>
      </c>
      <c r="M6823">
        <v>-1.6777440000000001E-2</v>
      </c>
      <c r="N6823">
        <v>0</v>
      </c>
      <c r="O6823">
        <v>0.99974750000000001</v>
      </c>
      <c r="P6823">
        <v>-0.13631679999999999</v>
      </c>
      <c r="Q6823">
        <v>0.1122829</v>
      </c>
      <c r="R6823">
        <v>0.98428159999999998</v>
      </c>
      <c r="S6823">
        <v>-0.26937870000000003</v>
      </c>
      <c r="T6823">
        <v>-0.10988249999999999</v>
      </c>
      <c r="U6823">
        <v>3.0219420000000001</v>
      </c>
      <c r="V6823">
        <v>-0.1200063</v>
      </c>
      <c r="W6823">
        <v>0.12680749999999999</v>
      </c>
      <c r="X6823">
        <v>0.98464119999999999</v>
      </c>
      <c r="Y6823">
        <v>-7.2005089999999994E-2</v>
      </c>
      <c r="Z6823">
        <v>-3.6211019999999997E-2</v>
      </c>
      <c r="AA6823">
        <v>0.99674669999999999</v>
      </c>
      <c r="AB6823">
        <v>51</v>
      </c>
      <c r="AC6823">
        <v>-2.71350000000001</v>
      </c>
      <c r="AD6823">
        <v>-1.1103257673172999</v>
      </c>
      <c r="AE6823">
        <v>30.0322</v>
      </c>
      <c r="AF6823">
        <v>-2.2062070736336801</v>
      </c>
      <c r="AG6823">
        <v>-1.1103257673172999</v>
      </c>
      <c r="AH6823">
        <v>30.032784222476099</v>
      </c>
      <c r="AI6823">
        <v>92.111602224851595</v>
      </c>
      <c r="AJ6823">
        <v>94.201398984725301</v>
      </c>
      <c r="AK6823">
        <v>30.1341716513849</v>
      </c>
      <c r="AL6823">
        <v>82.714851177262105</v>
      </c>
      <c r="AM6823">
        <v>96.948835197073905</v>
      </c>
      <c r="AN6823">
        <v>0.999999973416689</v>
      </c>
    </row>
    <row r="6824" spans="1:40" x14ac:dyDescent="0.25">
      <c r="A6824" t="str">
        <f>"20190312164159170"</f>
        <v>20190312164159170</v>
      </c>
      <c r="B6824" t="str">
        <f>"1552380119163311"</f>
        <v>1552380119163311</v>
      </c>
      <c r="C6824" t="s">
        <v>40</v>
      </c>
      <c r="D6824">
        <v>5.7340949999999999</v>
      </c>
      <c r="E6824">
        <v>0.52233580000000002</v>
      </c>
      <c r="F6824" t="s">
        <v>41</v>
      </c>
      <c r="G6824">
        <v>-190.0813</v>
      </c>
      <c r="H6824" s="1">
        <v>-2.0586530000000001E-6</v>
      </c>
      <c r="I6824">
        <v>104.33750000000001</v>
      </c>
      <c r="J6824">
        <v>-187.17189999999999</v>
      </c>
      <c r="K6824">
        <v>1.110309</v>
      </c>
      <c r="L6824">
        <v>71.840789999999998</v>
      </c>
      <c r="M6824">
        <v>-1.7213530000000001E-2</v>
      </c>
      <c r="N6824">
        <v>0</v>
      </c>
      <c r="O6824">
        <v>0.99973979999999996</v>
      </c>
      <c r="P6824">
        <v>-0.13536229999999999</v>
      </c>
      <c r="Q6824">
        <v>0.1147513</v>
      </c>
      <c r="R6824">
        <v>0.98412869999999997</v>
      </c>
      <c r="S6824">
        <v>-0.26727289999999998</v>
      </c>
      <c r="T6824">
        <v>-0.1016978</v>
      </c>
      <c r="U6824">
        <v>3.022491</v>
      </c>
      <c r="V6824">
        <v>-0.1186188</v>
      </c>
      <c r="W6824">
        <v>0.12929789999999999</v>
      </c>
      <c r="X6824">
        <v>0.98448539999999995</v>
      </c>
      <c r="Y6824">
        <v>-7.0873249999999999E-2</v>
      </c>
      <c r="Z6824">
        <v>-3.3512930000000003E-2</v>
      </c>
      <c r="AA6824">
        <v>0.99692219999999998</v>
      </c>
      <c r="AB6824">
        <v>51</v>
      </c>
      <c r="AC6824">
        <v>-2.9094000000000002</v>
      </c>
      <c r="AD6824">
        <v>-1.1103110586530001</v>
      </c>
      <c r="AE6824">
        <v>32.49671</v>
      </c>
      <c r="AF6824">
        <v>-2.3468052560978601</v>
      </c>
      <c r="AG6824">
        <v>-1.1103110586530001</v>
      </c>
      <c r="AH6824">
        <v>32.504337701819402</v>
      </c>
      <c r="AI6824">
        <v>91.951322333105594</v>
      </c>
      <c r="AJ6824">
        <v>94.129575699773099</v>
      </c>
      <c r="AK6824">
        <v>32.607855725130598</v>
      </c>
      <c r="AL6824">
        <v>82.570976974319805</v>
      </c>
      <c r="AM6824">
        <v>96.870342309614401</v>
      </c>
      <c r="AN6824">
        <v>0.99999993473550197</v>
      </c>
    </row>
    <row r="6825" spans="1:40" x14ac:dyDescent="0.25">
      <c r="A6825" t="str">
        <f>"20190312164159193"</f>
        <v>20190312164159193</v>
      </c>
      <c r="B6825" t="str">
        <f>"1552380119182831"</f>
        <v>1552380119182831</v>
      </c>
      <c r="C6825" t="s">
        <v>40</v>
      </c>
      <c r="D6825">
        <v>5.7737850000000002</v>
      </c>
      <c r="E6825">
        <v>0.52231590000000006</v>
      </c>
      <c r="F6825" t="s">
        <v>41</v>
      </c>
      <c r="G6825">
        <v>-190.26689999999999</v>
      </c>
      <c r="H6825" s="1">
        <v>-3.3432940000000001E-6</v>
      </c>
      <c r="I6825">
        <v>107.2169</v>
      </c>
      <c r="J6825">
        <v>-187.18119999999999</v>
      </c>
      <c r="K6825">
        <v>1.1102909999999999</v>
      </c>
      <c r="L6825">
        <v>72.364109999999997</v>
      </c>
      <c r="M6825">
        <v>-1.7655750000000001E-2</v>
      </c>
      <c r="N6825">
        <v>0</v>
      </c>
      <c r="O6825">
        <v>0.99973199999999995</v>
      </c>
      <c r="P6825">
        <v>-0.13353099999999901</v>
      </c>
      <c r="Q6825">
        <v>0.1175423</v>
      </c>
      <c r="R6825">
        <v>0.98404939999999996</v>
      </c>
      <c r="S6825">
        <v>-0.26448059999999901</v>
      </c>
      <c r="T6825">
        <v>-9.4881060000000003E-2</v>
      </c>
      <c r="U6825">
        <v>3.0230410000000001</v>
      </c>
      <c r="V6825">
        <v>-0.1163484</v>
      </c>
      <c r="W6825">
        <v>0.1321108</v>
      </c>
      <c r="X6825">
        <v>0.98438289999999995</v>
      </c>
      <c r="Y6825">
        <v>-6.9508630000000002E-2</v>
      </c>
      <c r="Z6825">
        <v>-3.1265599999999998E-2</v>
      </c>
      <c r="AA6825">
        <v>0.99709130000000001</v>
      </c>
      <c r="AB6825">
        <v>51</v>
      </c>
      <c r="AC6825">
        <v>-3.0857000000000001</v>
      </c>
      <c r="AD6825">
        <v>-1.110294343294</v>
      </c>
      <c r="AE6825">
        <v>34.852789999999999</v>
      </c>
      <c r="AF6825">
        <v>-2.46731329416831</v>
      </c>
      <c r="AG6825">
        <v>-1.110294343294</v>
      </c>
      <c r="AH6825">
        <v>34.866733318662902</v>
      </c>
      <c r="AI6825">
        <v>91.819360802849104</v>
      </c>
      <c r="AJ6825">
        <v>94.047737319871601</v>
      </c>
      <c r="AK6825">
        <v>34.9715524495995</v>
      </c>
      <c r="AL6825">
        <v>82.408415198348493</v>
      </c>
      <c r="AM6825">
        <v>96.740758657764005</v>
      </c>
      <c r="AN6825">
        <v>0.99999995373580297</v>
      </c>
    </row>
    <row r="6826" spans="1:40" x14ac:dyDescent="0.25">
      <c r="A6826" t="str">
        <f>"20190312164159215"</f>
        <v>20190312164159215</v>
      </c>
      <c r="B6826" t="str">
        <f>"1552380119203331"</f>
        <v>1552380119203331</v>
      </c>
      <c r="C6826" t="s">
        <v>40</v>
      </c>
      <c r="D6826">
        <v>5.6711499999999999</v>
      </c>
      <c r="E6826">
        <v>0.52471849999999998</v>
      </c>
      <c r="F6826" t="s">
        <v>41</v>
      </c>
      <c r="G6826">
        <v>-190.47720000000001</v>
      </c>
      <c r="H6826" s="1">
        <v>-6.2770479999999998E-7</v>
      </c>
      <c r="I6826">
        <v>110.7563</v>
      </c>
      <c r="J6826">
        <v>-187.19</v>
      </c>
      <c r="K6826">
        <v>1.110285</v>
      </c>
      <c r="L6826">
        <v>72.846130000000002</v>
      </c>
      <c r="M6826">
        <v>-1.8052209999999999E-2</v>
      </c>
      <c r="N6826">
        <v>0</v>
      </c>
      <c r="O6826">
        <v>0.99972470000000002</v>
      </c>
      <c r="P6826">
        <v>-0.13182579999999999</v>
      </c>
      <c r="Q6826">
        <v>0.120532</v>
      </c>
      <c r="R6826">
        <v>0.98391770000000001</v>
      </c>
      <c r="S6826">
        <v>-0.25959779999999999</v>
      </c>
      <c r="T6826">
        <v>-8.7448360000000003E-2</v>
      </c>
      <c r="U6826">
        <v>3.0238339999999999</v>
      </c>
      <c r="V6826">
        <v>-0.1142521</v>
      </c>
      <c r="W6826">
        <v>0.13511619999999999</v>
      </c>
      <c r="X6826">
        <v>0.9842206</v>
      </c>
      <c r="Y6826">
        <v>-6.7498379999999997E-2</v>
      </c>
      <c r="Z6826">
        <v>-2.8814630000000001E-2</v>
      </c>
      <c r="AA6826">
        <v>0.99730319999999995</v>
      </c>
      <c r="AB6826">
        <v>51</v>
      </c>
      <c r="AC6826">
        <v>-3.2872000000000101</v>
      </c>
      <c r="AD6826">
        <v>-1.1102856277048001</v>
      </c>
      <c r="AE6826">
        <v>37.910170000000001</v>
      </c>
      <c r="AF6826">
        <v>-2.60001148158157</v>
      </c>
      <c r="AG6826">
        <v>-1.1102856277048001</v>
      </c>
      <c r="AH6826">
        <v>37.931046519774704</v>
      </c>
      <c r="AI6826">
        <v>91.672712243051905</v>
      </c>
      <c r="AJ6826">
        <v>93.921247672283798</v>
      </c>
      <c r="AK6826">
        <v>38.036260120636904</v>
      </c>
      <c r="AL6826">
        <v>82.234661243286496</v>
      </c>
      <c r="AM6826">
        <v>96.621477368229193</v>
      </c>
      <c r="AN6826">
        <v>1.0000000596606</v>
      </c>
    </row>
    <row r="6827" spans="1:40" x14ac:dyDescent="0.25">
      <c r="A6827" t="str">
        <f>"20190312164159237"</f>
        <v>20190312164159237</v>
      </c>
      <c r="B6827" t="str">
        <f>"1552380119233114"</f>
        <v>1552380119233114</v>
      </c>
      <c r="C6827" t="s">
        <v>40</v>
      </c>
      <c r="D6827">
        <v>5.7807599999999999</v>
      </c>
      <c r="E6827">
        <v>0.52266999999999997</v>
      </c>
      <c r="F6827" t="s">
        <v>41</v>
      </c>
      <c r="G6827">
        <v>-188.95150000000001</v>
      </c>
      <c r="H6827" s="1">
        <v>-2.442725E-6</v>
      </c>
      <c r="I6827">
        <v>94.893259999999998</v>
      </c>
      <c r="J6827">
        <v>-187.1995</v>
      </c>
      <c r="K6827">
        <v>1.1102780000000001</v>
      </c>
      <c r="L6827">
        <v>73.360439999999997</v>
      </c>
      <c r="M6827">
        <v>-1.8458019999999999E-2</v>
      </c>
      <c r="N6827">
        <v>0</v>
      </c>
      <c r="O6827">
        <v>0.99971719999999997</v>
      </c>
      <c r="P6827">
        <v>-0.129749</v>
      </c>
      <c r="Q6827">
        <v>0.12312770000000001</v>
      </c>
      <c r="R6827">
        <v>0.98387239999999998</v>
      </c>
      <c r="S6827">
        <v>-0.2425079</v>
      </c>
      <c r="T6827">
        <v>-0.15285579999999999</v>
      </c>
      <c r="U6827">
        <v>3.0352779999999999</v>
      </c>
      <c r="V6827">
        <v>-0.1117712</v>
      </c>
      <c r="W6827">
        <v>0.1377295</v>
      </c>
      <c r="X6827">
        <v>0.9841432</v>
      </c>
      <c r="Y6827">
        <v>-6.1127389999999997E-2</v>
      </c>
      <c r="Z6827">
        <v>-5.015642E-2</v>
      </c>
      <c r="AA6827">
        <v>0.99686900000000001</v>
      </c>
      <c r="AB6827">
        <v>51</v>
      </c>
      <c r="AC6827">
        <v>-1.752</v>
      </c>
      <c r="AD6827">
        <v>-1.1102804427249999</v>
      </c>
      <c r="AE6827">
        <v>21.532820000000001</v>
      </c>
      <c r="AF6827">
        <v>-1.3506362746888101</v>
      </c>
      <c r="AG6827">
        <v>-1.1102804427249999</v>
      </c>
      <c r="AH6827">
        <v>21.504695085613999</v>
      </c>
      <c r="AI6827">
        <v>92.949736445331695</v>
      </c>
      <c r="AJ6827">
        <v>93.593831225501404</v>
      </c>
      <c r="AK6827">
        <v>21.5756541438083</v>
      </c>
      <c r="AL6827">
        <v>82.083516794748107</v>
      </c>
      <c r="AM6827">
        <v>96.479438001890401</v>
      </c>
      <c r="AN6827">
        <v>1.0000000272129601</v>
      </c>
    </row>
    <row r="6828" spans="1:40" x14ac:dyDescent="0.25">
      <c r="A6828" t="str">
        <f>"20190312164159261"</f>
        <v>20190312164159261</v>
      </c>
      <c r="B6828" t="str">
        <f>"1552380119252635"</f>
        <v>1552380119252635</v>
      </c>
      <c r="C6828" t="s">
        <v>40</v>
      </c>
      <c r="D6828">
        <v>5.7792329999999996</v>
      </c>
      <c r="E6828">
        <v>0.52198059999999902</v>
      </c>
      <c r="F6828" t="s">
        <v>41</v>
      </c>
      <c r="G6828">
        <v>-189.46530000000001</v>
      </c>
      <c r="H6828" s="1">
        <v>-5.4210939999999997E-7</v>
      </c>
      <c r="I6828">
        <v>100.6754</v>
      </c>
      <c r="J6828">
        <v>-187.20949999999999</v>
      </c>
      <c r="K6828">
        <v>1.110263</v>
      </c>
      <c r="L6828">
        <v>73.887050000000002</v>
      </c>
      <c r="M6828">
        <v>-1.883613E-2</v>
      </c>
      <c r="N6828">
        <v>0</v>
      </c>
      <c r="O6828">
        <v>0.99971010000000005</v>
      </c>
      <c r="P6828">
        <v>-0.12778819999999999</v>
      </c>
      <c r="Q6828">
        <v>0.1248254</v>
      </c>
      <c r="R6828">
        <v>0.98391499999999998</v>
      </c>
      <c r="S6828">
        <v>-0.25146479999999999</v>
      </c>
      <c r="T6828">
        <v>-0.1232196</v>
      </c>
      <c r="U6828">
        <v>3.0314329999999998</v>
      </c>
      <c r="V6828">
        <v>-0.1094275</v>
      </c>
      <c r="W6828">
        <v>0.1394465</v>
      </c>
      <c r="X6828">
        <v>0.98416479999999995</v>
      </c>
      <c r="Y6828">
        <v>-6.3812300000000002E-2</v>
      </c>
      <c r="Z6828">
        <v>-4.0492170000000001E-2</v>
      </c>
      <c r="AA6828">
        <v>0.99714009999999997</v>
      </c>
      <c r="AB6828">
        <v>51</v>
      </c>
      <c r="AC6828">
        <v>-2.2558000000000198</v>
      </c>
      <c r="AD6828">
        <v>-1.11026354210939</v>
      </c>
      <c r="AE6828">
        <v>26.788349999999902</v>
      </c>
      <c r="AF6828">
        <v>-1.7477729981335499</v>
      </c>
      <c r="AG6828">
        <v>-1.11026354210939</v>
      </c>
      <c r="AH6828">
        <v>26.780413401224799</v>
      </c>
      <c r="AI6828">
        <v>92.368977472307606</v>
      </c>
      <c r="AJ6828">
        <v>93.734005241580903</v>
      </c>
      <c r="AK6828">
        <v>26.860341351636698</v>
      </c>
      <c r="AL6828">
        <v>81.984181369370106</v>
      </c>
      <c r="AM6828">
        <v>96.344553987255495</v>
      </c>
      <c r="AN6828">
        <v>1.00000002883876</v>
      </c>
    </row>
    <row r="6829" spans="1:40" x14ac:dyDescent="0.25">
      <c r="A6829" t="str">
        <f>"20190312164159283"</f>
        <v>20190312164159283</v>
      </c>
      <c r="B6829" t="str">
        <f>"1552380119273131"</f>
        <v>1552380119273131</v>
      </c>
      <c r="C6829" t="s">
        <v>40</v>
      </c>
      <c r="D6829">
        <v>5.8272269999999997</v>
      </c>
      <c r="E6829">
        <v>0.52167989999999997</v>
      </c>
      <c r="F6829" t="s">
        <v>41</v>
      </c>
      <c r="G6829">
        <v>-189.21029999999999</v>
      </c>
      <c r="H6829" s="1">
        <v>-3.6847000000000001E-6</v>
      </c>
      <c r="I6829">
        <v>97.895390000000006</v>
      </c>
      <c r="J6829">
        <v>-187.21969999999999</v>
      </c>
      <c r="K6829">
        <v>1.1102259999999999</v>
      </c>
      <c r="L6829">
        <v>74.417079999999999</v>
      </c>
      <c r="M6829">
        <v>-1.9158229999999998E-2</v>
      </c>
      <c r="N6829">
        <v>0</v>
      </c>
      <c r="O6829">
        <v>0.99970389999999998</v>
      </c>
      <c r="P6829">
        <v>-0.12610769999999999</v>
      </c>
      <c r="Q6829">
        <v>0.1267711</v>
      </c>
      <c r="R6829">
        <v>0.98388310000000001</v>
      </c>
      <c r="S6829">
        <v>-0.25285340000000001</v>
      </c>
      <c r="T6829">
        <v>-0.14030870000000001</v>
      </c>
      <c r="U6829">
        <v>3.034027</v>
      </c>
      <c r="V6829">
        <v>-0.1074166</v>
      </c>
      <c r="W6829">
        <v>0.14141099999999901</v>
      </c>
      <c r="X6829">
        <v>0.98410600000000004</v>
      </c>
      <c r="Y6829">
        <v>-6.3853729999999997E-2</v>
      </c>
      <c r="Z6829">
        <v>-4.6056189999999997E-2</v>
      </c>
      <c r="AA6829">
        <v>0.996896</v>
      </c>
      <c r="AB6829">
        <v>51</v>
      </c>
      <c r="AC6829">
        <v>-1.9905999999999999</v>
      </c>
      <c r="AD6829">
        <v>-1.1102296846999999</v>
      </c>
      <c r="AE6829">
        <v>23.47831</v>
      </c>
      <c r="AF6829">
        <v>-1.5369687873334299</v>
      </c>
      <c r="AG6829">
        <v>-1.1102296846999999</v>
      </c>
      <c r="AH6829">
        <v>23.460055868208102</v>
      </c>
      <c r="AI6829">
        <v>92.703671241684603</v>
      </c>
      <c r="AJ6829">
        <v>93.748335384852098</v>
      </c>
      <c r="AK6829">
        <v>23.5365482674387</v>
      </c>
      <c r="AL6829">
        <v>81.870497104224299</v>
      </c>
      <c r="AM6829">
        <v>96.229257166294204</v>
      </c>
      <c r="AN6829">
        <v>1.0000000080562701</v>
      </c>
    </row>
    <row r="6830" spans="1:40" x14ac:dyDescent="0.25">
      <c r="A6830" t="str">
        <f>"20190312164159305"</f>
        <v>20190312164159305</v>
      </c>
      <c r="B6830" t="str">
        <f>"1552380119292650"</f>
        <v>1552380119292650</v>
      </c>
      <c r="C6830" t="s">
        <v>40</v>
      </c>
      <c r="D6830">
        <v>6.0404090000000004</v>
      </c>
      <c r="E6830">
        <v>0.52104989999999995</v>
      </c>
      <c r="F6830" t="s">
        <v>41</v>
      </c>
      <c r="G6830">
        <v>-189.39609999999999</v>
      </c>
      <c r="H6830" s="1">
        <v>-6.7312790000000005E-7</v>
      </c>
      <c r="I6830">
        <v>100.9521</v>
      </c>
      <c r="J6830">
        <v>-187.22890000000001</v>
      </c>
      <c r="K6830">
        <v>1.1101859999999999</v>
      </c>
      <c r="L6830">
        <v>74.889679999999998</v>
      </c>
      <c r="M6830">
        <v>-1.9396409999999999E-2</v>
      </c>
      <c r="N6830">
        <v>0</v>
      </c>
      <c r="O6830">
        <v>0.99969929999999996</v>
      </c>
      <c r="P6830">
        <v>-0.1246136</v>
      </c>
      <c r="Q6830">
        <v>0.1290945</v>
      </c>
      <c r="R6830">
        <v>0.98377130000000002</v>
      </c>
      <c r="S6830">
        <v>-0.2488098</v>
      </c>
      <c r="T6830">
        <v>-0.12692590000000001</v>
      </c>
      <c r="U6830">
        <v>3.0335999999999999</v>
      </c>
      <c r="V6830">
        <v>-0.1056747</v>
      </c>
      <c r="W6830">
        <v>0.14375099999999999</v>
      </c>
      <c r="X6830">
        <v>0.98395560000000004</v>
      </c>
      <c r="Y6830">
        <v>-6.2323440000000001E-2</v>
      </c>
      <c r="Z6830">
        <v>-4.1681200000000002E-2</v>
      </c>
      <c r="AA6830">
        <v>0.99718530000000005</v>
      </c>
      <c r="AB6830">
        <v>51</v>
      </c>
      <c r="AC6830">
        <v>-2.1671999999999798</v>
      </c>
      <c r="AD6830">
        <v>-1.1101866731279</v>
      </c>
      <c r="AE6830">
        <v>26.062419999999999</v>
      </c>
      <c r="AF6830">
        <v>-1.65822967657471</v>
      </c>
      <c r="AG6830">
        <v>-1.1101866731279</v>
      </c>
      <c r="AH6830">
        <v>26.052608022395599</v>
      </c>
      <c r="AI6830">
        <v>92.435162173365001</v>
      </c>
      <c r="AJ6830">
        <v>93.641922180656195</v>
      </c>
      <c r="AK6830">
        <v>26.128923148075799</v>
      </c>
      <c r="AL6830">
        <v>81.735041423247296</v>
      </c>
      <c r="AM6830">
        <v>96.129946459490299</v>
      </c>
      <c r="AN6830">
        <v>1.00000005749622</v>
      </c>
    </row>
    <row r="6831" spans="1:40" x14ac:dyDescent="0.25">
      <c r="A6831" t="str">
        <f>"20190312164159328"</f>
        <v>20190312164159328</v>
      </c>
      <c r="B6831" t="str">
        <f>"1552380119322906"</f>
        <v>1552380119322906</v>
      </c>
      <c r="C6831" t="s">
        <v>40</v>
      </c>
      <c r="D6831">
        <v>6.8759899999999998</v>
      </c>
      <c r="E6831">
        <v>0.52163210000000004</v>
      </c>
      <c r="F6831" t="s">
        <v>41</v>
      </c>
      <c r="G6831">
        <v>-189.58330000000001</v>
      </c>
      <c r="H6831" s="1">
        <v>-1.8134169999999999E-6</v>
      </c>
      <c r="I6831">
        <v>103.6876</v>
      </c>
      <c r="J6831">
        <v>-187.23920000000001</v>
      </c>
      <c r="K6831">
        <v>1.1101299999999901</v>
      </c>
      <c r="L6831">
        <v>75.414119999999997</v>
      </c>
      <c r="M6831">
        <v>-1.959406E-2</v>
      </c>
      <c r="N6831">
        <v>0</v>
      </c>
      <c r="O6831">
        <v>0.99969540000000001</v>
      </c>
      <c r="P6831">
        <v>-0.1231396</v>
      </c>
      <c r="Q6831">
        <v>0.13146260000000001</v>
      </c>
      <c r="R6831">
        <v>0.98364339999999995</v>
      </c>
      <c r="S6831">
        <v>-0.2480011</v>
      </c>
      <c r="T6831">
        <v>-0.11694110000000001</v>
      </c>
      <c r="U6831">
        <v>3.033417</v>
      </c>
      <c r="V6831">
        <v>-0.1039872</v>
      </c>
      <c r="W6831">
        <v>0.146138299999999</v>
      </c>
      <c r="X6831">
        <v>0.98378370000000004</v>
      </c>
      <c r="Y6831">
        <v>-6.187761E-2</v>
      </c>
      <c r="Z6831">
        <v>-3.8410359999999998E-2</v>
      </c>
      <c r="AA6831">
        <v>0.99734440000000002</v>
      </c>
      <c r="AB6831">
        <v>51</v>
      </c>
      <c r="AC6831">
        <v>-2.3440999999999899</v>
      </c>
      <c r="AD6831">
        <v>-1.11013181341699</v>
      </c>
      <c r="AE6831">
        <v>28.273479999999999</v>
      </c>
      <c r="AF6831">
        <v>-1.7868592897225599</v>
      </c>
      <c r="AG6831">
        <v>-1.11013181341699</v>
      </c>
      <c r="AH6831">
        <v>28.270699922064601</v>
      </c>
      <c r="AI6831">
        <v>92.244257454656605</v>
      </c>
      <c r="AJ6831">
        <v>93.616588536687104</v>
      </c>
      <c r="AK6831">
        <v>28.348857699171099</v>
      </c>
      <c r="AL6831">
        <v>81.596799286464801</v>
      </c>
      <c r="AM6831">
        <v>96.033832485875905</v>
      </c>
      <c r="AN6831">
        <v>1.0000000544381999</v>
      </c>
    </row>
    <row r="6832" spans="1:40" x14ac:dyDescent="0.25">
      <c r="A6832" t="str">
        <f>"20190312164159350"</f>
        <v>20190312164159350</v>
      </c>
      <c r="B6832" t="str">
        <f>"1552380119342934"</f>
        <v>1552380119342934</v>
      </c>
      <c r="C6832" t="s">
        <v>40</v>
      </c>
      <c r="D6832">
        <v>5.8072100000000004</v>
      </c>
      <c r="E6832">
        <v>0.52299519999999999</v>
      </c>
      <c r="F6832" t="s">
        <v>41</v>
      </c>
      <c r="G6832">
        <v>-189.78710000000001</v>
      </c>
      <c r="H6832" s="1">
        <v>-3.5563749999999999E-6</v>
      </c>
      <c r="I6832">
        <v>107.8347</v>
      </c>
      <c r="J6832">
        <v>-187.2491</v>
      </c>
      <c r="K6832">
        <v>1.1100669999999999</v>
      </c>
      <c r="L6832">
        <v>75.915009999999995</v>
      </c>
      <c r="M6832">
        <v>-1.970423E-2</v>
      </c>
      <c r="N6832">
        <v>0</v>
      </c>
      <c r="O6832">
        <v>0.99969319999999895</v>
      </c>
      <c r="P6832">
        <v>-0.1217887</v>
      </c>
      <c r="Q6832">
        <v>0.133212</v>
      </c>
      <c r="R6832">
        <v>0.98357620000000001</v>
      </c>
      <c r="S6832">
        <v>-0.2384338</v>
      </c>
      <c r="T6832">
        <v>-0.1038867</v>
      </c>
      <c r="U6832">
        <v>3.0339360000000002</v>
      </c>
      <c r="V6832">
        <v>-0.1025042</v>
      </c>
      <c r="W6832">
        <v>0.1479075</v>
      </c>
      <c r="X6832">
        <v>0.98367490000000002</v>
      </c>
      <c r="Y6832">
        <v>-5.8640650000000002E-2</v>
      </c>
      <c r="Z6832">
        <v>-3.4129560000000003E-2</v>
      </c>
      <c r="AA6832">
        <v>0.99769560000000002</v>
      </c>
      <c r="AB6832">
        <v>51</v>
      </c>
      <c r="AC6832">
        <v>-2.53800000000001</v>
      </c>
      <c r="AD6832">
        <v>-1.110070556375</v>
      </c>
      <c r="AE6832">
        <v>31.919689999999999</v>
      </c>
      <c r="AF6832">
        <v>-1.90619244350182</v>
      </c>
      <c r="AG6832">
        <v>-1.110070556375</v>
      </c>
      <c r="AH6832">
        <v>31.9251375345934</v>
      </c>
      <c r="AI6832">
        <v>91.987894623625607</v>
      </c>
      <c r="AJ6832">
        <v>93.416971040435399</v>
      </c>
      <c r="AK6832">
        <v>32.001253614108599</v>
      </c>
      <c r="AL6832">
        <v>81.494317669914395</v>
      </c>
      <c r="AM6832">
        <v>95.949056380933996</v>
      </c>
      <c r="AN6832">
        <v>1.00000002423194</v>
      </c>
    </row>
    <row r="6833" spans="1:40" x14ac:dyDescent="0.25">
      <c r="A6833" t="str">
        <f>"20190312164159372"</f>
        <v>20190312164159372</v>
      </c>
      <c r="B6833" t="str">
        <f>"1552380119362457"</f>
        <v>1552380119362457</v>
      </c>
      <c r="C6833" t="s">
        <v>40</v>
      </c>
      <c r="D6833">
        <v>6.108892</v>
      </c>
      <c r="E6833">
        <v>0.5241285</v>
      </c>
      <c r="F6833" t="s">
        <v>41</v>
      </c>
      <c r="G6833">
        <v>-189.8143</v>
      </c>
      <c r="H6833" s="1">
        <v>-5.513645E-7</v>
      </c>
      <c r="I6833">
        <v>110.8412</v>
      </c>
      <c r="J6833">
        <v>-187.25890000000001</v>
      </c>
      <c r="K6833">
        <v>1.109982</v>
      </c>
      <c r="L6833">
        <v>76.413449999999997</v>
      </c>
      <c r="M6833">
        <v>-1.9710129999999999E-2</v>
      </c>
      <c r="N6833">
        <v>0</v>
      </c>
      <c r="O6833">
        <v>0.9996931</v>
      </c>
      <c r="P6833">
        <v>-0.1210426</v>
      </c>
      <c r="Q6833">
        <v>0.13583129999999999</v>
      </c>
      <c r="R6833">
        <v>0.98331000000000002</v>
      </c>
      <c r="S6833">
        <v>-0.22294620000000001</v>
      </c>
      <c r="T6833">
        <v>-9.647965E-2</v>
      </c>
      <c r="U6833">
        <v>3.0355530000000002</v>
      </c>
      <c r="V6833">
        <v>-0.10172630000000001</v>
      </c>
      <c r="W6833">
        <v>0.1505464</v>
      </c>
      <c r="X6833">
        <v>0.98335519999999998</v>
      </c>
      <c r="Y6833">
        <v>-5.353728E-2</v>
      </c>
      <c r="Z6833">
        <v>-3.169251E-2</v>
      </c>
      <c r="AA6833">
        <v>0.99806280000000003</v>
      </c>
      <c r="AB6833">
        <v>51</v>
      </c>
      <c r="AC6833">
        <v>-2.5553999999999899</v>
      </c>
      <c r="AD6833">
        <v>-1.1099825513644901</v>
      </c>
      <c r="AE6833">
        <v>34.427750000000003</v>
      </c>
      <c r="AF6833">
        <v>-1.8743139812243801</v>
      </c>
      <c r="AG6833">
        <v>-1.1099825513644901</v>
      </c>
      <c r="AH6833">
        <v>34.435834236756101</v>
      </c>
      <c r="AI6833">
        <v>91.843469356568093</v>
      </c>
      <c r="AJ6833">
        <v>93.115487745260296</v>
      </c>
      <c r="AK6833">
        <v>34.504663362303504</v>
      </c>
      <c r="AL6833">
        <v>81.341407042808001</v>
      </c>
      <c r="AM6833">
        <v>95.906135348903504</v>
      </c>
      <c r="AN6833">
        <v>0.99999995401584396</v>
      </c>
    </row>
    <row r="6834" spans="1:40" x14ac:dyDescent="0.25">
      <c r="A6834" t="str">
        <f>"20190312164159394"</f>
        <v>20190312164159394</v>
      </c>
      <c r="B6834" t="str">
        <f>"1552380119382952"</f>
        <v>1552380119382952</v>
      </c>
      <c r="C6834" t="s">
        <v>40</v>
      </c>
      <c r="D6834">
        <v>5.9133459999999998</v>
      </c>
      <c r="E6834">
        <v>0.52516090000000004</v>
      </c>
      <c r="F6834" t="s">
        <v>41</v>
      </c>
      <c r="G6834">
        <v>-189.95140000000001</v>
      </c>
      <c r="H6834" s="1">
        <v>-2.3611109999999998E-6</v>
      </c>
      <c r="I6834">
        <v>115.1165</v>
      </c>
      <c r="J6834">
        <v>-187.26859999999999</v>
      </c>
      <c r="K6834">
        <v>1.109882</v>
      </c>
      <c r="L6834">
        <v>76.908600000000007</v>
      </c>
      <c r="M6834">
        <v>-1.959149E-2</v>
      </c>
      <c r="N6834">
        <v>0</v>
      </c>
      <c r="O6834">
        <v>0.99969540000000001</v>
      </c>
      <c r="P6834">
        <v>-0.1196282</v>
      </c>
      <c r="Q6834">
        <v>0.13787489999999999</v>
      </c>
      <c r="R6834">
        <v>0.98319860000000003</v>
      </c>
      <c r="S6834">
        <v>-0.21127319999999999</v>
      </c>
      <c r="T6834">
        <v>-8.7098480000000006E-2</v>
      </c>
      <c r="U6834">
        <v>3.0369570000000001</v>
      </c>
      <c r="V6834">
        <v>-0.10039140000000001</v>
      </c>
      <c r="W6834">
        <v>0.152616</v>
      </c>
      <c r="X6834">
        <v>0.98317339999999998</v>
      </c>
      <c r="Y6834">
        <v>-4.9811479999999998E-2</v>
      </c>
      <c r="Z6834">
        <v>-2.8607150000000001E-2</v>
      </c>
      <c r="AA6834">
        <v>0.99834880000000004</v>
      </c>
      <c r="AB6834">
        <v>51</v>
      </c>
      <c r="AC6834">
        <v>-2.6828000000000101</v>
      </c>
      <c r="AD6834">
        <v>-1.1098843611110001</v>
      </c>
      <c r="AE6834">
        <v>38.207900000000002</v>
      </c>
      <c r="AF6834">
        <v>-1.9320286642156199</v>
      </c>
      <c r="AG6834">
        <v>-1.1098843611110001</v>
      </c>
      <c r="AH6834">
        <v>38.2210376165837</v>
      </c>
      <c r="AI6834">
        <v>91.661200419318902</v>
      </c>
      <c r="AJ6834">
        <v>92.893771486286994</v>
      </c>
      <c r="AK6834">
        <v>38.285928153078601</v>
      </c>
      <c r="AL6834">
        <v>81.221441899350694</v>
      </c>
      <c r="AM6834">
        <v>95.8302399471564</v>
      </c>
      <c r="AN6834">
        <v>1.0000000055587599</v>
      </c>
    </row>
    <row r="6835" spans="1:40" x14ac:dyDescent="0.25">
      <c r="A6835" t="str">
        <f>"20190312164159415"</f>
        <v>20190312164159415</v>
      </c>
      <c r="B6835" t="str">
        <f>"1552380119403445"</f>
        <v>1552380119403445</v>
      </c>
      <c r="C6835" t="s">
        <v>40</v>
      </c>
      <c r="D6835">
        <v>5.7959329999999998</v>
      </c>
      <c r="E6835">
        <v>0.52588950000000001</v>
      </c>
      <c r="F6835" t="s">
        <v>50</v>
      </c>
      <c r="G6835">
        <v>-190.13910000000001</v>
      </c>
      <c r="H6835" s="1">
        <v>-7.3744740000000002E-7</v>
      </c>
      <c r="I6835">
        <v>120.87350000000001</v>
      </c>
      <c r="J6835">
        <v>-187.27760000000001</v>
      </c>
      <c r="K6835">
        <v>1.1097729999999999</v>
      </c>
      <c r="L6835">
        <v>77.380740000000003</v>
      </c>
      <c r="M6835">
        <v>-1.9349680000000001E-2</v>
      </c>
      <c r="N6835">
        <v>0</v>
      </c>
      <c r="O6835">
        <v>0.99970009999999998</v>
      </c>
      <c r="P6835">
        <v>-0.1186258</v>
      </c>
      <c r="Q6835">
        <v>0.1406348</v>
      </c>
      <c r="R6835">
        <v>0.98292919999999995</v>
      </c>
      <c r="S6835">
        <v>-0.198349</v>
      </c>
      <c r="T6835">
        <v>-7.6690320000000006E-2</v>
      </c>
      <c r="U6835">
        <v>3.0378720000000001</v>
      </c>
      <c r="V6835">
        <v>-9.9586229999999998E-2</v>
      </c>
      <c r="W6835">
        <v>0.15540190000000001</v>
      </c>
      <c r="X6835">
        <v>0.98281879999999999</v>
      </c>
      <c r="Y6835">
        <v>-4.580973E-2</v>
      </c>
      <c r="Z6835">
        <v>-2.5189570000000001E-2</v>
      </c>
      <c r="AA6835">
        <v>0.99863259999999998</v>
      </c>
      <c r="AB6835">
        <v>51</v>
      </c>
      <c r="AC6835">
        <v>-2.8614999999999999</v>
      </c>
      <c r="AD6835">
        <v>-1.1097737374473999</v>
      </c>
      <c r="AE6835">
        <v>43.492759999999997</v>
      </c>
      <c r="AF6835">
        <v>-2.0179901225458399</v>
      </c>
      <c r="AG6835">
        <v>-1.1097737374473999</v>
      </c>
      <c r="AH6835">
        <v>43.511783096175797</v>
      </c>
      <c r="AI6835">
        <v>91.459451566965399</v>
      </c>
      <c r="AJ6835">
        <v>92.655361779995502</v>
      </c>
      <c r="AK6835">
        <v>43.572688121019901</v>
      </c>
      <c r="AL6835">
        <v>81.0598939544318</v>
      </c>
      <c r="AM6835">
        <v>95.785870541352097</v>
      </c>
      <c r="AN6835">
        <v>0.999999980681331</v>
      </c>
    </row>
    <row r="6836" spans="1:40" x14ac:dyDescent="0.25">
      <c r="A6836" t="str">
        <f>"20190312164159438"</f>
        <v>20190312164159438</v>
      </c>
      <c r="B6836" t="str">
        <f>"1552380119433194"</f>
        <v>1552380119433194</v>
      </c>
      <c r="C6836" t="s">
        <v>40</v>
      </c>
      <c r="D6836">
        <v>5.9093159999999996</v>
      </c>
      <c r="E6836">
        <v>0.52653969999999894</v>
      </c>
      <c r="F6836" t="s">
        <v>50</v>
      </c>
      <c r="G6836">
        <v>-190.39490000000001</v>
      </c>
      <c r="H6836" s="1">
        <v>-3.9288000000000004E-6</v>
      </c>
      <c r="I6836">
        <v>127.20059999999999</v>
      </c>
      <c r="J6836">
        <v>-187.28739999999999</v>
      </c>
      <c r="K6836">
        <v>1.109632</v>
      </c>
      <c r="L6836">
        <v>77.900880000000001</v>
      </c>
      <c r="M6836">
        <v>-1.8940309999999998E-2</v>
      </c>
      <c r="N6836">
        <v>0</v>
      </c>
      <c r="O6836">
        <v>0.99970789999999998</v>
      </c>
      <c r="P6836">
        <v>-0.1172243</v>
      </c>
      <c r="Q6836">
        <v>0.14360999999999999</v>
      </c>
      <c r="R6836">
        <v>0.98266710000000002</v>
      </c>
      <c r="S6836">
        <v>-0.1901398</v>
      </c>
      <c r="T6836">
        <v>-6.7692760000000005E-2</v>
      </c>
      <c r="U6836">
        <v>3.0388489999999999</v>
      </c>
      <c r="V6836">
        <v>-9.8533750000000003E-2</v>
      </c>
      <c r="W6836">
        <v>0.158408299999999</v>
      </c>
      <c r="X6836">
        <v>0.98244489999999995</v>
      </c>
      <c r="Y6836">
        <v>-4.3515449999999997E-2</v>
      </c>
      <c r="Z6836">
        <v>-2.2231999999999998E-2</v>
      </c>
      <c r="AA6836">
        <v>0.99880530000000001</v>
      </c>
      <c r="AB6836">
        <v>50</v>
      </c>
      <c r="AC6836">
        <v>-3.1075000000000101</v>
      </c>
      <c r="AD6836">
        <v>-1.1096359287999999</v>
      </c>
      <c r="AE6836">
        <v>49.299719999999901</v>
      </c>
      <c r="AF6836">
        <v>-2.17198922481575</v>
      </c>
      <c r="AG6836">
        <v>-1.1096359287999999</v>
      </c>
      <c r="AH6836">
        <v>49.324848606306197</v>
      </c>
      <c r="AI6836">
        <v>91.287489300481994</v>
      </c>
      <c r="AJ6836">
        <v>92.521355424351697</v>
      </c>
      <c r="AK6836">
        <v>49.3851143475665</v>
      </c>
      <c r="AL6836">
        <v>80.885479999010897</v>
      </c>
      <c r="AM6836">
        <v>95.727295148507807</v>
      </c>
      <c r="AN6836">
        <v>1.00000003546698</v>
      </c>
    </row>
    <row r="6837" spans="1:40" x14ac:dyDescent="0.25">
      <c r="A6837" t="str">
        <f>"20190312164159460"</f>
        <v>20190312164159460</v>
      </c>
      <c r="B6837" t="str">
        <f>"1552380119452715"</f>
        <v>1552380119452715</v>
      </c>
      <c r="C6837" t="s">
        <v>40</v>
      </c>
      <c r="D6837">
        <v>5.8641199999999998</v>
      </c>
      <c r="E6837">
        <v>0.5269104</v>
      </c>
      <c r="F6837" t="s">
        <v>50</v>
      </c>
      <c r="G6837">
        <v>-190.79660000000001</v>
      </c>
      <c r="H6837" s="1">
        <v>-7.2820839999999997E-6</v>
      </c>
      <c r="I6837">
        <v>136.83789999999999</v>
      </c>
      <c r="J6837">
        <v>-187.29669999999999</v>
      </c>
      <c r="K6837">
        <v>1.1094839999999999</v>
      </c>
      <c r="L6837">
        <v>78.411769999999905</v>
      </c>
      <c r="M6837">
        <v>-1.8374330000000001E-2</v>
      </c>
      <c r="N6837">
        <v>0</v>
      </c>
      <c r="O6837">
        <v>0.99971849999999995</v>
      </c>
      <c r="P6837">
        <v>-0.11619889999999999</v>
      </c>
      <c r="Q6837">
        <v>0.14617859999999999</v>
      </c>
      <c r="R6837">
        <v>0.98241009999999995</v>
      </c>
      <c r="S6837">
        <v>-0.18098449999999999</v>
      </c>
      <c r="T6837">
        <v>-5.7229519999999999E-2</v>
      </c>
      <c r="U6837">
        <v>3.0396730000000001</v>
      </c>
      <c r="V6837">
        <v>-9.8006579999999996E-2</v>
      </c>
      <c r="W6837">
        <v>0.16101089999999901</v>
      </c>
      <c r="X6837">
        <v>0.98207440000000001</v>
      </c>
      <c r="Y6837">
        <v>-4.1071080000000003E-2</v>
      </c>
      <c r="Z6837">
        <v>-1.8794849999999998E-2</v>
      </c>
      <c r="AA6837">
        <v>0.99897939999999996</v>
      </c>
      <c r="AB6837">
        <v>50</v>
      </c>
      <c r="AC6837">
        <v>-3.4999000000000202</v>
      </c>
      <c r="AD6837">
        <v>-1.1094912820839999</v>
      </c>
      <c r="AE6837">
        <v>58.426130000000001</v>
      </c>
      <c r="AF6837">
        <v>-2.42477579171854</v>
      </c>
      <c r="AG6837">
        <v>-1.1094912820839999</v>
      </c>
      <c r="AH6837">
        <v>58.459574182747303</v>
      </c>
      <c r="AI6837">
        <v>91.086339501999703</v>
      </c>
      <c r="AJ6837">
        <v>92.375142675472205</v>
      </c>
      <c r="AK6837">
        <v>58.520358185619997</v>
      </c>
      <c r="AL6837">
        <v>80.734422326917894</v>
      </c>
      <c r="AM6837">
        <v>95.698990436108105</v>
      </c>
      <c r="AN6837">
        <v>0.99999996338873198</v>
      </c>
    </row>
    <row r="6838" spans="1:40" x14ac:dyDescent="0.25">
      <c r="A6838" t="str">
        <f>"20190312164159483"</f>
        <v>20190312164159483</v>
      </c>
      <c r="B6838" t="str">
        <f>"1552380119473213"</f>
        <v>1552380119473213</v>
      </c>
      <c r="C6838" t="s">
        <v>40</v>
      </c>
      <c r="D6838">
        <v>5.8455250000000003</v>
      </c>
      <c r="E6838">
        <v>0.52712360000000003</v>
      </c>
      <c r="F6838" t="s">
        <v>50</v>
      </c>
      <c r="G6838">
        <v>-191.2296</v>
      </c>
      <c r="H6838" s="1">
        <v>-1.006971E-5</v>
      </c>
      <c r="I6838">
        <v>146.41810000000001</v>
      </c>
      <c r="J6838">
        <v>-187.3056</v>
      </c>
      <c r="K6838">
        <v>1.109327</v>
      </c>
      <c r="L6838">
        <v>78.927949999999996</v>
      </c>
      <c r="M6838">
        <v>-1.7664160000000002E-2</v>
      </c>
      <c r="N6838">
        <v>0</v>
      </c>
      <c r="O6838">
        <v>0.99973129999999999</v>
      </c>
      <c r="P6838">
        <v>-0.1143458</v>
      </c>
      <c r="Q6838">
        <v>0.1488777</v>
      </c>
      <c r="R6838">
        <v>0.98222220000000005</v>
      </c>
      <c r="S6838">
        <v>-0.17582700000000001</v>
      </c>
      <c r="T6838">
        <v>-4.9601439999999997E-2</v>
      </c>
      <c r="U6838">
        <v>3.040314</v>
      </c>
      <c r="V6838">
        <v>-9.6787940000000003E-2</v>
      </c>
      <c r="W6838">
        <v>0.16374359999999999</v>
      </c>
      <c r="X6838">
        <v>0.98174340000000004</v>
      </c>
      <c r="Y6838">
        <v>-4.0082050000000001E-2</v>
      </c>
      <c r="Z6838">
        <v>-1.628843E-2</v>
      </c>
      <c r="AA6838">
        <v>0.99906360000000005</v>
      </c>
      <c r="AB6838">
        <v>50</v>
      </c>
      <c r="AC6838">
        <v>-3.9239999999999999</v>
      </c>
      <c r="AD6838">
        <v>-1.10933706971</v>
      </c>
      <c r="AE6838">
        <v>67.49015</v>
      </c>
      <c r="AF6838">
        <v>-2.7303613037533201</v>
      </c>
      <c r="AG6838">
        <v>-1.10933706971</v>
      </c>
      <c r="AH6838">
        <v>67.530755855725403</v>
      </c>
      <c r="AI6838">
        <v>90.940352905613395</v>
      </c>
      <c r="AJ6838">
        <v>92.315286091809597</v>
      </c>
      <c r="AK6838">
        <v>67.595033013002194</v>
      </c>
      <c r="AL6838">
        <v>80.575744464614601</v>
      </c>
      <c r="AM6838">
        <v>95.630471048828198</v>
      </c>
      <c r="AN6838">
        <v>0.99999998765698095</v>
      </c>
    </row>
    <row r="6839" spans="1:40" x14ac:dyDescent="0.25">
      <c r="A6839" t="str">
        <f>"20190312164159505"</f>
        <v>20190312164159505</v>
      </c>
      <c r="B6839" t="str">
        <f>"1552380119492731"</f>
        <v>1552380119492731</v>
      </c>
      <c r="C6839" t="s">
        <v>40</v>
      </c>
      <c r="D6839">
        <v>5.9334189999999998</v>
      </c>
      <c r="E6839">
        <v>0.52726189999999995</v>
      </c>
      <c r="F6839" t="s">
        <v>50</v>
      </c>
      <c r="G6839">
        <v>-191.75880000000001</v>
      </c>
      <c r="H6839" s="1">
        <v>-1.489519E-5</v>
      </c>
      <c r="I6839">
        <v>159.28919999999999</v>
      </c>
      <c r="J6839">
        <v>-187.3135</v>
      </c>
      <c r="K6839">
        <v>1.1092029999999999</v>
      </c>
      <c r="L6839">
        <v>79.405609999999996</v>
      </c>
      <c r="M6839">
        <v>-1.6902210000000001E-2</v>
      </c>
      <c r="N6839">
        <v>0</v>
      </c>
      <c r="O6839">
        <v>0.99974450000000004</v>
      </c>
      <c r="P6839">
        <v>-0.1128087</v>
      </c>
      <c r="Q6839">
        <v>0.15218889999999999</v>
      </c>
      <c r="R6839">
        <v>0.9818924</v>
      </c>
      <c r="S6839">
        <v>-0.1685181</v>
      </c>
      <c r="T6839">
        <v>-4.1979910000000002E-2</v>
      </c>
      <c r="U6839">
        <v>3.0410460000000001</v>
      </c>
      <c r="V6839">
        <v>-9.5943689999999998E-2</v>
      </c>
      <c r="W6839">
        <v>0.1670807</v>
      </c>
      <c r="X6839">
        <v>0.98126389999999997</v>
      </c>
      <c r="Y6839">
        <v>-3.8438239999999999E-2</v>
      </c>
      <c r="Z6839">
        <v>-1.378449E-2</v>
      </c>
      <c r="AA6839">
        <v>0.99916590000000005</v>
      </c>
      <c r="AB6839">
        <v>50</v>
      </c>
      <c r="AC6839">
        <v>-4.4452999999999996</v>
      </c>
      <c r="AD6839">
        <v>-1.10921789519</v>
      </c>
      <c r="AE6839">
        <v>79.883589999999998</v>
      </c>
      <c r="AF6839">
        <v>-3.0937088861323798</v>
      </c>
      <c r="AG6839">
        <v>-1.10921789519</v>
      </c>
      <c r="AH6839">
        <v>79.9319559957774</v>
      </c>
      <c r="AI6839">
        <v>90.794449283838802</v>
      </c>
      <c r="AJ6839">
        <v>92.216485611515196</v>
      </c>
      <c r="AK6839">
        <v>79.999493675410406</v>
      </c>
      <c r="AL6839">
        <v>80.381872019749494</v>
      </c>
      <c r="AM6839">
        <v>95.584380035613194</v>
      </c>
      <c r="AN6839">
        <v>0.99999999670325701</v>
      </c>
    </row>
    <row r="6840" spans="1:40" x14ac:dyDescent="0.25">
      <c r="A6840" t="str">
        <f>"20190312164159529"</f>
        <v>20190312164159529</v>
      </c>
      <c r="B6840" t="str">
        <f>"1552380119522987"</f>
        <v>1552380119522987</v>
      </c>
      <c r="C6840" t="s">
        <v>40</v>
      </c>
      <c r="D6840">
        <v>6.3440989999999999</v>
      </c>
      <c r="E6840">
        <v>0.52735699999999996</v>
      </c>
      <c r="F6840" t="s">
        <v>41</v>
      </c>
      <c r="G6840">
        <v>-192.91800000000001</v>
      </c>
      <c r="H6840" s="1">
        <v>-2.638745E-6</v>
      </c>
      <c r="I6840">
        <v>183.93029999999999</v>
      </c>
      <c r="J6840">
        <v>-187.3218</v>
      </c>
      <c r="K6840">
        <v>1.1090629999999999</v>
      </c>
      <c r="L6840">
        <v>79.937349999999995</v>
      </c>
      <c r="M6840">
        <v>-1.594489E-2</v>
      </c>
      <c r="N6840">
        <v>0</v>
      </c>
      <c r="O6840">
        <v>0.99976019999999999</v>
      </c>
      <c r="P6840">
        <v>-0.11188679999999999</v>
      </c>
      <c r="Q6840">
        <v>0.15426400000000001</v>
      </c>
      <c r="R6840">
        <v>0.98167409999999999</v>
      </c>
      <c r="S6840">
        <v>-0.16308590000000001</v>
      </c>
      <c r="T6840">
        <v>-3.2277109999999998E-2</v>
      </c>
      <c r="U6840">
        <v>3.041595</v>
      </c>
      <c r="V6840">
        <v>-9.5903169999999996E-2</v>
      </c>
      <c r="W6840">
        <v>0.1691841</v>
      </c>
      <c r="X6840">
        <v>0.98090739999999998</v>
      </c>
      <c r="Y6840">
        <v>-3.7608019999999999E-2</v>
      </c>
      <c r="Z6840">
        <v>-1.059792E-2</v>
      </c>
      <c r="AA6840">
        <v>0.99923629999999997</v>
      </c>
      <c r="AB6840">
        <v>50</v>
      </c>
      <c r="AC6840">
        <v>-5.5961999999999996</v>
      </c>
      <c r="AD6840">
        <v>-1.109065638745</v>
      </c>
      <c r="AE6840">
        <v>103.99294999999999</v>
      </c>
      <c r="AF6840">
        <v>-3.9366989724677199</v>
      </c>
      <c r="AG6840">
        <v>-1.109065638745</v>
      </c>
      <c r="AH6840">
        <v>104.057166358635</v>
      </c>
      <c r="AI6840">
        <v>90.610212209953005</v>
      </c>
      <c r="AJ6840">
        <v>92.166585216580401</v>
      </c>
      <c r="AK6840">
        <v>104.13751243418299</v>
      </c>
      <c r="AL6840">
        <v>80.259615719385494</v>
      </c>
      <c r="AM6840">
        <v>95.584052386874902</v>
      </c>
      <c r="AN6840">
        <v>1.0000000025418001</v>
      </c>
    </row>
    <row r="6841" spans="1:40" x14ac:dyDescent="0.25">
      <c r="A6841" t="str">
        <f>"20190312164159551"</f>
        <v>20190312164159551</v>
      </c>
      <c r="B6841" t="str">
        <f>"1552380119543016"</f>
        <v>1552380119543016</v>
      </c>
      <c r="C6841" t="s">
        <v>40</v>
      </c>
      <c r="D6841">
        <v>5.9257710000000001</v>
      </c>
      <c r="E6841">
        <v>0.52722910000000001</v>
      </c>
      <c r="F6841" t="s">
        <v>46</v>
      </c>
      <c r="G6841">
        <v>-193.88800000000001</v>
      </c>
      <c r="H6841" s="1">
        <v>4.9986680000000001E-6</v>
      </c>
      <c r="I6841">
        <v>205.4836</v>
      </c>
      <c r="J6841">
        <v>-187.32929999999999</v>
      </c>
      <c r="K6841">
        <v>1.1089469999999999</v>
      </c>
      <c r="L6841">
        <v>80.448969999999903</v>
      </c>
      <c r="M6841">
        <v>-1.4935540000000001E-2</v>
      </c>
      <c r="N6841">
        <v>0</v>
      </c>
      <c r="O6841">
        <v>0.99977579999999999</v>
      </c>
      <c r="P6841">
        <v>-0.1102694</v>
      </c>
      <c r="Q6841">
        <v>0.15761349999999999</v>
      </c>
      <c r="R6841">
        <v>0.981325</v>
      </c>
      <c r="S6841">
        <v>-0.15910339999999901</v>
      </c>
      <c r="T6841">
        <v>-2.6873350000000001E-2</v>
      </c>
      <c r="U6841">
        <v>3.042084</v>
      </c>
      <c r="V6841">
        <v>-9.5224110000000001E-2</v>
      </c>
      <c r="W6841">
        <v>0.17255329999999999</v>
      </c>
      <c r="X6841">
        <v>0.9803866</v>
      </c>
      <c r="Y6841">
        <v>-3.7304709999999998E-2</v>
      </c>
      <c r="Z6841">
        <v>-8.8229369999999994E-3</v>
      </c>
      <c r="AA6841">
        <v>0.99926499999999996</v>
      </c>
      <c r="AB6841">
        <v>50</v>
      </c>
      <c r="AC6841">
        <v>-6.5587000000000097</v>
      </c>
      <c r="AD6841">
        <v>-1.1089420013319999</v>
      </c>
      <c r="AE6841">
        <v>125.03463000000001</v>
      </c>
      <c r="AF6841">
        <v>-4.6899302649421903</v>
      </c>
      <c r="AG6841">
        <v>-1.1089420013319999</v>
      </c>
      <c r="AH6841">
        <v>125.108834954549</v>
      </c>
      <c r="AI6841">
        <v>90.507489654917407</v>
      </c>
      <c r="AJ6841">
        <v>92.146830364402902</v>
      </c>
      <c r="AK6841">
        <v>125.20162052440401</v>
      </c>
      <c r="AL6841">
        <v>80.0636941728349</v>
      </c>
      <c r="AM6841">
        <v>95.547687860458296</v>
      </c>
      <c r="AN6841">
        <v>1.00000007896286</v>
      </c>
    </row>
    <row r="6842" spans="1:40" x14ac:dyDescent="0.25">
      <c r="A6842" t="str">
        <f>"20190312164159572"</f>
        <v>20190312164159572</v>
      </c>
      <c r="B6842" t="str">
        <f>"1552380119562538"</f>
        <v>1552380119562538</v>
      </c>
      <c r="C6842" t="s">
        <v>40</v>
      </c>
      <c r="D6842">
        <v>5.8423400000000001</v>
      </c>
      <c r="E6842">
        <v>0.52723999999999904</v>
      </c>
      <c r="F6842" t="s">
        <v>46</v>
      </c>
      <c r="G6842">
        <v>-197.46369999999999</v>
      </c>
      <c r="H6842" s="1">
        <v>3.0526210000000002E-6</v>
      </c>
      <c r="I6842">
        <v>279.90410000000003</v>
      </c>
      <c r="J6842">
        <v>-187.33580000000001</v>
      </c>
      <c r="K6842">
        <v>1.108854</v>
      </c>
      <c r="L6842">
        <v>80.925319999999999</v>
      </c>
      <c r="M6842">
        <v>-1.3936570000000001E-2</v>
      </c>
      <c r="N6842">
        <v>0</v>
      </c>
      <c r="O6842">
        <v>0.99979030000000002</v>
      </c>
      <c r="P6842">
        <v>-0.1086071</v>
      </c>
      <c r="Q6842">
        <v>0.15922979999999901</v>
      </c>
      <c r="R6842">
        <v>0.98124940000000005</v>
      </c>
      <c r="S6842">
        <v>-0.1545868</v>
      </c>
      <c r="T6842">
        <v>-1.691544E-2</v>
      </c>
      <c r="U6842">
        <v>3.0424190000000002</v>
      </c>
      <c r="V6842">
        <v>-9.4497120000000004E-2</v>
      </c>
      <c r="W6842">
        <v>0.1741875</v>
      </c>
      <c r="X6842">
        <v>0.98016789999999998</v>
      </c>
      <c r="Y6842">
        <v>-3.6819129999999999E-2</v>
      </c>
      <c r="Z6842">
        <v>-5.5535019999999897E-3</v>
      </c>
      <c r="AA6842">
        <v>0.99930649999999999</v>
      </c>
      <c r="AB6842">
        <v>50</v>
      </c>
      <c r="AC6842">
        <v>-10.127899999999901</v>
      </c>
      <c r="AD6842">
        <v>-1.108850947379</v>
      </c>
      <c r="AE6842">
        <v>198.97878</v>
      </c>
      <c r="AF6842">
        <v>-7.3532945048672103</v>
      </c>
      <c r="AG6842">
        <v>-1.108850947379</v>
      </c>
      <c r="AH6842">
        <v>199.09444824511499</v>
      </c>
      <c r="AI6842">
        <v>90.318886520520195</v>
      </c>
      <c r="AJ6842">
        <v>92.115183674652897</v>
      </c>
      <c r="AK6842">
        <v>199.23327988196499</v>
      </c>
      <c r="AL6842">
        <v>79.968621415875106</v>
      </c>
      <c r="AM6842">
        <v>95.506816058818401</v>
      </c>
      <c r="AN6842">
        <v>1.0000000515174701</v>
      </c>
    </row>
    <row r="6843" spans="1:40" x14ac:dyDescent="0.25">
      <c r="A6843" t="str">
        <f>"20190312164159594"</f>
        <v>20190312164159594</v>
      </c>
      <c r="B6843" t="str">
        <f>"1552380119583035"</f>
        <v>1552380119583035</v>
      </c>
      <c r="C6843" t="s">
        <v>40</v>
      </c>
      <c r="D6843">
        <v>5.8106629999999999</v>
      </c>
      <c r="E6843">
        <v>0.52711980000000003</v>
      </c>
      <c r="F6843" t="s">
        <v>41</v>
      </c>
      <c r="G6843">
        <v>-199.47710000000001</v>
      </c>
      <c r="H6843" s="1">
        <v>-5.2982250000000004E-6</v>
      </c>
      <c r="I6843">
        <v>327.61599999999999</v>
      </c>
      <c r="J6843">
        <v>-187.34200000000001</v>
      </c>
      <c r="K6843">
        <v>1.108762</v>
      </c>
      <c r="L6843">
        <v>81.421049999999994</v>
      </c>
      <c r="M6843">
        <v>-1.2855790000000001E-2</v>
      </c>
      <c r="N6843">
        <v>0</v>
      </c>
      <c r="O6843">
        <v>0.99980480000000005</v>
      </c>
      <c r="P6843">
        <v>-0.1064312</v>
      </c>
      <c r="Q6843">
        <v>0.15944249999999999</v>
      </c>
      <c r="R6843">
        <v>0.98145320000000003</v>
      </c>
      <c r="S6843">
        <v>-0.14976500000000001</v>
      </c>
      <c r="T6843">
        <v>-1.3677949999999999E-2</v>
      </c>
      <c r="U6843">
        <v>3.0429689999999998</v>
      </c>
      <c r="V6843">
        <v>-9.3339690000000003E-2</v>
      </c>
      <c r="W6843">
        <v>0.1744185</v>
      </c>
      <c r="X6843">
        <v>0.98023769999999999</v>
      </c>
      <c r="Y6843">
        <v>-3.6310990000000001E-2</v>
      </c>
      <c r="Z6843">
        <v>-4.4901350000000001E-3</v>
      </c>
      <c r="AA6843">
        <v>0.99933050000000001</v>
      </c>
      <c r="AB6843">
        <v>50</v>
      </c>
      <c r="AC6843">
        <v>-12.1350999999999</v>
      </c>
      <c r="AD6843">
        <v>-1.1087672982250001</v>
      </c>
      <c r="AE6843">
        <v>246.19495000000001</v>
      </c>
      <c r="AF6843">
        <v>-8.9685286312730099</v>
      </c>
      <c r="AG6843">
        <v>-1.1087672982250001</v>
      </c>
      <c r="AH6843">
        <v>246.32563994939699</v>
      </c>
      <c r="AI6843">
        <v>90.257728724903004</v>
      </c>
      <c r="AJ6843">
        <v>92.085174555449001</v>
      </c>
      <c r="AK6843">
        <v>246.491348260362</v>
      </c>
      <c r="AL6843">
        <v>79.955180114750604</v>
      </c>
      <c r="AM6843">
        <v>95.439388919596894</v>
      </c>
      <c r="AN6843">
        <v>1.00000002968641</v>
      </c>
    </row>
    <row r="6844" spans="1:40" x14ac:dyDescent="0.25">
      <c r="A6844" t="str">
        <f>"20190312164159616"</f>
        <v>20190312164159616</v>
      </c>
      <c r="B6844" t="str">
        <f>"1552380119613288"</f>
        <v>1552380119613288</v>
      </c>
      <c r="C6844" t="s">
        <v>40</v>
      </c>
      <c r="D6844">
        <v>6.0794489999999897</v>
      </c>
      <c r="E6844">
        <v>0.53046040000000005</v>
      </c>
      <c r="F6844" t="s">
        <v>46</v>
      </c>
      <c r="G6844">
        <v>-197.1191</v>
      </c>
      <c r="H6844" s="1">
        <v>2.4752550000000001E-6</v>
      </c>
      <c r="I6844">
        <v>287.20760000000001</v>
      </c>
      <c r="J6844">
        <v>-187.3475</v>
      </c>
      <c r="K6844">
        <v>1.1086800000000001</v>
      </c>
      <c r="L6844">
        <v>81.897669999999906</v>
      </c>
      <c r="M6844">
        <v>-1.1790520000000001E-2</v>
      </c>
      <c r="N6844">
        <v>0</v>
      </c>
      <c r="O6844">
        <v>0.99981799999999998</v>
      </c>
      <c r="P6844">
        <v>-0.1045772</v>
      </c>
      <c r="Q6844">
        <v>0.15858839999999999</v>
      </c>
      <c r="R6844">
        <v>0.98179090000000002</v>
      </c>
      <c r="S6844">
        <v>-0.1446075</v>
      </c>
      <c r="T6844">
        <v>-1.6399029999999998E-2</v>
      </c>
      <c r="U6844">
        <v>3.0436709999999998</v>
      </c>
      <c r="V6844">
        <v>-9.2497239999999994E-2</v>
      </c>
      <c r="W6844">
        <v>0.17358180000000001</v>
      </c>
      <c r="X6844">
        <v>0.98046599999999995</v>
      </c>
      <c r="Y6844">
        <v>-3.5674829999999998E-2</v>
      </c>
      <c r="Z6844">
        <v>-5.3825219999999998E-3</v>
      </c>
      <c r="AA6844">
        <v>0.99934889999999998</v>
      </c>
      <c r="AB6844">
        <v>50</v>
      </c>
      <c r="AC6844">
        <v>-9.7715999999999994</v>
      </c>
      <c r="AD6844">
        <v>-1.10867752474499</v>
      </c>
      <c r="AE6844">
        <v>205.30993000000001</v>
      </c>
      <c r="AF6844">
        <v>-7.3497236304730498</v>
      </c>
      <c r="AG6844">
        <v>-1.10867752474499</v>
      </c>
      <c r="AH6844">
        <v>205.404904667083</v>
      </c>
      <c r="AI6844">
        <v>90.309054458427298</v>
      </c>
      <c r="AJ6844">
        <v>92.049262478560394</v>
      </c>
      <c r="AK6844">
        <v>205.539345295717</v>
      </c>
      <c r="AL6844">
        <v>80.003861594291706</v>
      </c>
      <c r="AM6844">
        <v>95.389337682706199</v>
      </c>
      <c r="AN6844">
        <v>0.99999997892742798</v>
      </c>
    </row>
    <row r="6845" spans="1:40" x14ac:dyDescent="0.25">
      <c r="A6845" t="str">
        <f>"20190312164159640"</f>
        <v>20190312164159640</v>
      </c>
      <c r="B6845" t="str">
        <f>"1552380119632807"</f>
        <v>1552380119632807</v>
      </c>
      <c r="C6845" t="s">
        <v>40</v>
      </c>
      <c r="D6845">
        <v>6.0322149999999999</v>
      </c>
      <c r="E6845">
        <v>0.53125730000000004</v>
      </c>
      <c r="F6845" t="s">
        <v>41</v>
      </c>
      <c r="G6845">
        <v>-188.1849</v>
      </c>
      <c r="H6845" s="1">
        <v>-1.604244E-6</v>
      </c>
      <c r="I6845">
        <v>102.62179999999999</v>
      </c>
      <c r="J6845">
        <v>-187.35300000000001</v>
      </c>
      <c r="K6845">
        <v>1.1085989999999999</v>
      </c>
      <c r="L6845">
        <v>82.426180000000002</v>
      </c>
      <c r="M6845">
        <v>-1.059066E-2</v>
      </c>
      <c r="N6845">
        <v>0</v>
      </c>
      <c r="O6845">
        <v>0.99983140000000004</v>
      </c>
      <c r="P6845">
        <v>-0.1028461</v>
      </c>
      <c r="Q6845">
        <v>0.1592884</v>
      </c>
      <c r="R6845">
        <v>0.98186039999999997</v>
      </c>
      <c r="S6845">
        <v>-0.1240082</v>
      </c>
      <c r="T6845">
        <v>-0.1641812</v>
      </c>
      <c r="U6845">
        <v>3.0689700000000002</v>
      </c>
      <c r="V6845">
        <v>-9.1910439999999996E-2</v>
      </c>
      <c r="W6845">
        <v>0.17429410000000001</v>
      </c>
      <c r="X6845">
        <v>0.98039480000000001</v>
      </c>
      <c r="Y6845">
        <v>-2.9731110000000002E-2</v>
      </c>
      <c r="Z6845">
        <v>-5.3382779999999998E-2</v>
      </c>
      <c r="AA6845">
        <v>0.9981314</v>
      </c>
      <c r="AB6845">
        <v>50</v>
      </c>
      <c r="AC6845">
        <v>-0.83190000000001796</v>
      </c>
      <c r="AD6845">
        <v>-1.108600604244</v>
      </c>
      <c r="AE6845">
        <v>20.195619999999899</v>
      </c>
      <c r="AF6845">
        <v>-0.61609102780339997</v>
      </c>
      <c r="AG6845">
        <v>-1.108600604244</v>
      </c>
      <c r="AH6845">
        <v>20.142706191843999</v>
      </c>
      <c r="AI6845">
        <v>93.148758474991297</v>
      </c>
      <c r="AJ6845">
        <v>91.751920210276793</v>
      </c>
      <c r="AK6845">
        <v>20.182595873306798</v>
      </c>
      <c r="AL6845">
        <v>79.962417908243296</v>
      </c>
      <c r="AM6845">
        <v>95.355733944195507</v>
      </c>
      <c r="AN6845">
        <v>0.99999996307142103</v>
      </c>
    </row>
    <row r="6846" spans="1:40" x14ac:dyDescent="0.25">
      <c r="A6846" t="str">
        <f>"20190312164159662"</f>
        <v>20190312164159662</v>
      </c>
      <c r="B6846" t="str">
        <f>"1552380119653303"</f>
        <v>1552380119653303</v>
      </c>
      <c r="C6846" t="s">
        <v>40</v>
      </c>
      <c r="D6846">
        <v>6.0135940000000003</v>
      </c>
      <c r="E6846">
        <v>0.53017510000000001</v>
      </c>
      <c r="F6846" t="s">
        <v>41</v>
      </c>
      <c r="G6846">
        <v>-188.05070000000001</v>
      </c>
      <c r="H6846" s="1">
        <v>-1.1426690000000001E-6</v>
      </c>
      <c r="I6846">
        <v>101.4817</v>
      </c>
      <c r="J6846">
        <v>-187.35759999999999</v>
      </c>
      <c r="K6846">
        <v>1.108536</v>
      </c>
      <c r="L6846">
        <v>82.935389999999998</v>
      </c>
      <c r="M6846">
        <v>-9.4235989999999995E-3</v>
      </c>
      <c r="N6846">
        <v>0</v>
      </c>
      <c r="O6846">
        <v>0.99984309999999998</v>
      </c>
      <c r="P6846">
        <v>-0.1022628</v>
      </c>
      <c r="Q6846">
        <v>0.15998099999999901</v>
      </c>
      <c r="R6846">
        <v>0.98180869999999998</v>
      </c>
      <c r="S6846">
        <v>-0.11250309999999999</v>
      </c>
      <c r="T6846">
        <v>-0.17875739999999901</v>
      </c>
      <c r="U6846">
        <v>3.072632</v>
      </c>
      <c r="V6846">
        <v>-9.2446600000000004E-2</v>
      </c>
      <c r="W6846">
        <v>0.17499700000000001</v>
      </c>
      <c r="X6846">
        <v>0.98021919999999996</v>
      </c>
      <c r="Y6846">
        <v>-2.7108380000000001E-2</v>
      </c>
      <c r="Z6846">
        <v>-5.8045190000000003E-2</v>
      </c>
      <c r="AA6846">
        <v>0.99794579999999999</v>
      </c>
      <c r="AB6846">
        <v>50</v>
      </c>
      <c r="AC6846">
        <v>-0.69310000000001504</v>
      </c>
      <c r="AD6846">
        <v>-1.1085371426690001</v>
      </c>
      <c r="AE6846">
        <v>18.546309999999998</v>
      </c>
      <c r="AF6846">
        <v>-0.51643412223380603</v>
      </c>
      <c r="AG6846">
        <v>-1.1085371426690001</v>
      </c>
      <c r="AH6846">
        <v>18.4860671541147</v>
      </c>
      <c r="AI6846">
        <v>93.430359213877907</v>
      </c>
      <c r="AJ6846">
        <v>91.600221470851693</v>
      </c>
      <c r="AK6846">
        <v>18.5264739663467</v>
      </c>
      <c r="AL6846">
        <v>79.921516493473206</v>
      </c>
      <c r="AM6846">
        <v>95.387752720906704</v>
      </c>
      <c r="AN6846">
        <v>1.00000000195459</v>
      </c>
    </row>
    <row r="6847" spans="1:40" x14ac:dyDescent="0.25">
      <c r="A6847" t="str">
        <f>"20190312164159683"</f>
        <v>20190312164159683</v>
      </c>
      <c r="B6847" t="str">
        <f>"1552380119672823"</f>
        <v>1552380119672823</v>
      </c>
      <c r="C6847" t="s">
        <v>40</v>
      </c>
      <c r="D6847">
        <v>6.4906889999999997</v>
      </c>
      <c r="E6847">
        <v>0.52743300000000004</v>
      </c>
      <c r="F6847" t="s">
        <v>41</v>
      </c>
      <c r="G6847">
        <v>-188.0899</v>
      </c>
      <c r="H6847" s="1">
        <v>-1.321334E-6</v>
      </c>
      <c r="I6847">
        <v>101.923</v>
      </c>
      <c r="J6847">
        <v>-187.36150000000001</v>
      </c>
      <c r="K6847">
        <v>1.108482</v>
      </c>
      <c r="L6847">
        <v>83.416049999999998</v>
      </c>
      <c r="M6847">
        <v>-8.3164229999999999E-3</v>
      </c>
      <c r="N6847">
        <v>0</v>
      </c>
      <c r="O6847">
        <v>0.99985299999999999</v>
      </c>
      <c r="P6847">
        <v>-0.1011613</v>
      </c>
      <c r="Q6847">
        <v>0.1599323</v>
      </c>
      <c r="R6847">
        <v>0.98193079999999999</v>
      </c>
      <c r="S6847">
        <v>-0.1184998</v>
      </c>
      <c r="T6847">
        <v>-0.1793776</v>
      </c>
      <c r="U6847">
        <v>3.072479</v>
      </c>
      <c r="V6847">
        <v>-9.2410800000000001E-2</v>
      </c>
      <c r="W6847">
        <v>0.17495749999999999</v>
      </c>
      <c r="X6847">
        <v>0.98022960000000003</v>
      </c>
      <c r="Y6847">
        <v>-3.0161529999999999E-2</v>
      </c>
      <c r="Z6847">
        <v>-5.8244940000000002E-2</v>
      </c>
      <c r="AA6847">
        <v>0.99784660000000003</v>
      </c>
      <c r="AB6847">
        <v>50</v>
      </c>
      <c r="AC6847">
        <v>-0.72839999999999305</v>
      </c>
      <c r="AD6847">
        <v>-1.108483321334</v>
      </c>
      <c r="AE6847">
        <v>18.5069499999999</v>
      </c>
      <c r="AF6847">
        <v>-0.57239559870741197</v>
      </c>
      <c r="AG6847">
        <v>-1.108483321334</v>
      </c>
      <c r="AH6847">
        <v>18.446294980974798</v>
      </c>
      <c r="AI6847">
        <v>93.437258665590505</v>
      </c>
      <c r="AJ6847">
        <v>91.777339672873197</v>
      </c>
      <c r="AK6847">
        <v>18.488433425259</v>
      </c>
      <c r="AL6847">
        <v>79.923814872264302</v>
      </c>
      <c r="AM6847">
        <v>95.385621776172698</v>
      </c>
      <c r="AN6847">
        <v>0.99999997573952404</v>
      </c>
    </row>
    <row r="6848" spans="1:40" x14ac:dyDescent="0.25">
      <c r="A6848" t="str">
        <f>"20190312164159705"</f>
        <v>20190312164159705</v>
      </c>
      <c r="B6848" t="str">
        <f>"1552380119693319"</f>
        <v>1552380119693319</v>
      </c>
      <c r="C6848" t="s">
        <v>40</v>
      </c>
      <c r="D6848">
        <v>5.9187310000000002</v>
      </c>
      <c r="E6848">
        <v>0.52604869999999904</v>
      </c>
      <c r="F6848" t="s">
        <v>41</v>
      </c>
      <c r="G6848">
        <v>-188.24359999999999</v>
      </c>
      <c r="H6848" s="1">
        <v>-1.8847210000000001E-6</v>
      </c>
      <c r="I6848">
        <v>103.2998</v>
      </c>
      <c r="J6848">
        <v>-187.3647</v>
      </c>
      <c r="K6848">
        <v>1.1084369999999999</v>
      </c>
      <c r="L6848">
        <v>83.892489999999995</v>
      </c>
      <c r="M6848">
        <v>-7.2147080000000002E-3</v>
      </c>
      <c r="N6848">
        <v>0</v>
      </c>
      <c r="O6848">
        <v>0.99986160000000002</v>
      </c>
      <c r="P6848">
        <v>-0.10056900000000001</v>
      </c>
      <c r="Q6848">
        <v>0.15848789999999999</v>
      </c>
      <c r="R6848">
        <v>0.98222580000000004</v>
      </c>
      <c r="S6848">
        <v>-0.1361542</v>
      </c>
      <c r="T6848">
        <v>-0.1710943</v>
      </c>
      <c r="U6848">
        <v>3.069061</v>
      </c>
      <c r="V6848">
        <v>-9.2885759999999998E-2</v>
      </c>
      <c r="W6848">
        <v>0.1735245</v>
      </c>
      <c r="X6848">
        <v>0.98043939999999996</v>
      </c>
      <c r="Y6848">
        <v>-3.7041699999999997E-2</v>
      </c>
      <c r="Z6848">
        <v>-5.5613129999999997E-2</v>
      </c>
      <c r="AA6848">
        <v>0.99776509999999996</v>
      </c>
      <c r="AB6848">
        <v>50</v>
      </c>
      <c r="AC6848">
        <v>-0.87889999999998702</v>
      </c>
      <c r="AD6848">
        <v>-1.1084388847210001</v>
      </c>
      <c r="AE6848">
        <v>19.407309999999899</v>
      </c>
      <c r="AF6848">
        <v>-0.736445891274502</v>
      </c>
      <c r="AG6848">
        <v>-1.1084388847210001</v>
      </c>
      <c r="AH6848">
        <v>19.3501542055218</v>
      </c>
      <c r="AI6848">
        <v>93.276136448821603</v>
      </c>
      <c r="AJ6848">
        <v>92.179563307173296</v>
      </c>
      <c r="AK6848">
        <v>19.3958618547722</v>
      </c>
      <c r="AL6848">
        <v>80.007195109621904</v>
      </c>
      <c r="AM6848">
        <v>95.411986575550301</v>
      </c>
      <c r="AN6848">
        <v>0.99999996679169301</v>
      </c>
    </row>
    <row r="6849" spans="1:40" x14ac:dyDescent="0.25">
      <c r="A6849" t="str">
        <f>"20190312164159730"</f>
        <v>20190312164159730</v>
      </c>
      <c r="B6849" t="str">
        <f>"1552380119722599"</f>
        <v>1552380119722599</v>
      </c>
      <c r="C6849" t="s">
        <v>40</v>
      </c>
      <c r="D6849">
        <v>5.8352690000000003</v>
      </c>
      <c r="E6849">
        <v>0.52589519999999901</v>
      </c>
      <c r="F6849" t="s">
        <v>41</v>
      </c>
      <c r="G6849">
        <v>-188.358</v>
      </c>
      <c r="H6849" s="1">
        <v>-2.5827030000000001E-6</v>
      </c>
      <c r="I6849">
        <v>104.9742</v>
      </c>
      <c r="J6849">
        <v>-187.36789999999999</v>
      </c>
      <c r="K6849">
        <v>1.108392</v>
      </c>
      <c r="L6849">
        <v>84.445769999999996</v>
      </c>
      <c r="M6849">
        <v>-5.9309369999999998E-3</v>
      </c>
      <c r="N6849">
        <v>0</v>
      </c>
      <c r="O6849">
        <v>0.99987009999999998</v>
      </c>
      <c r="P6849">
        <v>-9.9834909999999999E-2</v>
      </c>
      <c r="Q6849">
        <v>0.15728410000000001</v>
      </c>
      <c r="R6849">
        <v>0.98249410000000004</v>
      </c>
      <c r="S6849">
        <v>-0.1444397</v>
      </c>
      <c r="T6849">
        <v>-0.16117979999999901</v>
      </c>
      <c r="U6849">
        <v>3.0655209999999999</v>
      </c>
      <c r="V6849">
        <v>-9.3399300000000005E-2</v>
      </c>
      <c r="W6849">
        <v>0.17233109999999999</v>
      </c>
      <c r="X6849">
        <v>0.9806011</v>
      </c>
      <c r="Y6849">
        <v>-4.1074649999999997E-2</v>
      </c>
      <c r="Z6849">
        <v>-5.2453189999999997E-2</v>
      </c>
      <c r="AA6849">
        <v>0.99777830000000001</v>
      </c>
      <c r="AB6849">
        <v>50</v>
      </c>
      <c r="AC6849">
        <v>-0.99010000000001197</v>
      </c>
      <c r="AD6849">
        <v>-1.108394582703</v>
      </c>
      <c r="AE6849">
        <v>20.52843</v>
      </c>
      <c r="AF6849">
        <v>-0.86579791303126996</v>
      </c>
      <c r="AG6849">
        <v>-1.108394582703</v>
      </c>
      <c r="AH6849">
        <v>20.474392086687999</v>
      </c>
      <c r="AI6849">
        <v>93.095958247466498</v>
      </c>
      <c r="AJ6849">
        <v>92.421416436941499</v>
      </c>
      <c r="AK6849">
        <v>20.522643004657201</v>
      </c>
      <c r="AL6849">
        <v>80.076617892189404</v>
      </c>
      <c r="AM6849">
        <v>95.440836898627893</v>
      </c>
      <c r="AN6849">
        <v>0.999999977294454</v>
      </c>
    </row>
    <row r="6850" spans="1:40" x14ac:dyDescent="0.25">
      <c r="A6850" t="str">
        <f>"20190312164159752"</f>
        <v>20190312164159752</v>
      </c>
      <c r="B6850" t="str">
        <f>"1552380119743095"</f>
        <v>1552380119743095</v>
      </c>
      <c r="C6850" t="s">
        <v>40</v>
      </c>
      <c r="D6850">
        <v>5.83704</v>
      </c>
      <c r="E6850">
        <v>0.5257174</v>
      </c>
      <c r="F6850" t="s">
        <v>41</v>
      </c>
      <c r="G6850">
        <v>-188.4308</v>
      </c>
      <c r="H6850" s="1">
        <v>-3.5404430000000001E-6</v>
      </c>
      <c r="I6850">
        <v>107.2368</v>
      </c>
      <c r="J6850">
        <v>-187.37010000000001</v>
      </c>
      <c r="K6850">
        <v>1.108363</v>
      </c>
      <c r="L6850">
        <v>84.95035</v>
      </c>
      <c r="M6850">
        <v>-4.7563609999999997E-3</v>
      </c>
      <c r="N6850">
        <v>0</v>
      </c>
      <c r="O6850">
        <v>0.9998764</v>
      </c>
      <c r="P6850">
        <v>-9.946025E-2</v>
      </c>
      <c r="Q6850">
        <v>0.15734529999999999</v>
      </c>
      <c r="R6850">
        <v>0.98252229999999996</v>
      </c>
      <c r="S6850">
        <v>-0.14283750000000001</v>
      </c>
      <c r="T6850">
        <v>-0.148952</v>
      </c>
      <c r="U6850">
        <v>3.0627749999999998</v>
      </c>
      <c r="V6850">
        <v>-9.4166410000000006E-2</v>
      </c>
      <c r="W6850">
        <v>0.17239779999999999</v>
      </c>
      <c r="X6850">
        <v>0.98051600000000005</v>
      </c>
      <c r="Y6850">
        <v>-4.1778879999999997E-2</v>
      </c>
      <c r="Z6850">
        <v>-4.8527290000000001E-2</v>
      </c>
      <c r="AA6850">
        <v>0.99794769999999999</v>
      </c>
      <c r="AB6850">
        <v>50</v>
      </c>
      <c r="AC6850">
        <v>-1.06069999999999</v>
      </c>
      <c r="AD6850">
        <v>-1.1083665404430001</v>
      </c>
      <c r="AE6850">
        <v>22.286449999999999</v>
      </c>
      <c r="AF6850">
        <v>-0.95232359035770298</v>
      </c>
      <c r="AG6850">
        <v>-1.1083665404430001</v>
      </c>
      <c r="AH6850">
        <v>22.236369532959799</v>
      </c>
      <c r="AI6850">
        <v>92.850923804078505</v>
      </c>
      <c r="AJ6850">
        <v>92.452324735400794</v>
      </c>
      <c r="AK6850">
        <v>22.284333658762801</v>
      </c>
      <c r="AL6850">
        <v>80.072738126390703</v>
      </c>
      <c r="AM6850">
        <v>95.485725467267997</v>
      </c>
      <c r="AN6850">
        <v>0.99999997023656295</v>
      </c>
    </row>
    <row r="6851" spans="1:40" x14ac:dyDescent="0.25">
      <c r="A6851" t="str">
        <f>"20190312164159774"</f>
        <v>20190312164159774</v>
      </c>
      <c r="B6851" t="str">
        <f>"1552380119762617"</f>
        <v>1552380119762617</v>
      </c>
      <c r="C6851" t="s">
        <v>40</v>
      </c>
      <c r="D6851">
        <v>6.0774569999999999</v>
      </c>
      <c r="E6851">
        <v>0.52498679999999998</v>
      </c>
      <c r="F6851" t="s">
        <v>41</v>
      </c>
      <c r="G6851">
        <v>-188.50960000000001</v>
      </c>
      <c r="H6851" s="1">
        <v>-4.4729699999999998E-6</v>
      </c>
      <c r="I6851">
        <v>109.4431</v>
      </c>
      <c r="J6851">
        <v>-187.3717</v>
      </c>
      <c r="K6851">
        <v>1.1083400000000001</v>
      </c>
      <c r="L6851">
        <v>85.426090000000002</v>
      </c>
      <c r="M6851">
        <v>-3.645311E-3</v>
      </c>
      <c r="N6851">
        <v>0</v>
      </c>
      <c r="O6851">
        <v>0.99988109999999997</v>
      </c>
      <c r="P6851">
        <v>-9.9802020000000005E-2</v>
      </c>
      <c r="Q6851">
        <v>0.15899360000000001</v>
      </c>
      <c r="R6851">
        <v>0.98222229999999999</v>
      </c>
      <c r="S6851">
        <v>-0.14241029999999999</v>
      </c>
      <c r="T6851">
        <v>-0.138524799999999</v>
      </c>
      <c r="U6851">
        <v>3.0611269999999999</v>
      </c>
      <c r="V6851">
        <v>-9.5586110000000002E-2</v>
      </c>
      <c r="W6851">
        <v>0.1740476</v>
      </c>
      <c r="X6851">
        <v>0.98008709999999999</v>
      </c>
      <c r="Y6851">
        <v>-4.2782420000000002E-2</v>
      </c>
      <c r="Z6851">
        <v>-4.5161100000000003E-2</v>
      </c>
      <c r="AA6851">
        <v>0.99806320000000004</v>
      </c>
      <c r="AB6851">
        <v>50</v>
      </c>
      <c r="AC6851">
        <v>-1.1378999999999999</v>
      </c>
      <c r="AD6851">
        <v>-1.1083444729699901</v>
      </c>
      <c r="AE6851">
        <v>24.017009999999999</v>
      </c>
      <c r="AF6851">
        <v>-1.0481060210342901</v>
      </c>
      <c r="AG6851">
        <v>-1.1083444729699901</v>
      </c>
      <c r="AH6851">
        <v>23.970064941392799</v>
      </c>
      <c r="AI6851">
        <v>92.644872700504393</v>
      </c>
      <c r="AJ6851">
        <v>92.503698830321198</v>
      </c>
      <c r="AK6851">
        <v>24.018554640041899</v>
      </c>
      <c r="AL6851">
        <v>79.976760888188707</v>
      </c>
      <c r="AM6851">
        <v>95.570336400521199</v>
      </c>
      <c r="AN6851">
        <v>0.99999999753855096</v>
      </c>
    </row>
    <row r="6852" spans="1:40" x14ac:dyDescent="0.25">
      <c r="A6852" t="str">
        <f>"20190312164159795"</f>
        <v>20190312164159795</v>
      </c>
      <c r="B6852" t="str">
        <f>"1552380119783115"</f>
        <v>1552380119783115</v>
      </c>
      <c r="C6852" t="s">
        <v>40</v>
      </c>
      <c r="D6852">
        <v>6.1343310000000004</v>
      </c>
      <c r="E6852">
        <v>0.52455490000000005</v>
      </c>
      <c r="F6852" t="s">
        <v>41</v>
      </c>
      <c r="G6852">
        <v>-188.64060000000001</v>
      </c>
      <c r="H6852" s="1">
        <v>-1.0894159999999999E-6</v>
      </c>
      <c r="I6852">
        <v>111.6101</v>
      </c>
      <c r="J6852">
        <v>-187.37270000000001</v>
      </c>
      <c r="K6852">
        <v>1.1083270000000001</v>
      </c>
      <c r="L6852">
        <v>85.899169999999998</v>
      </c>
      <c r="M6852">
        <v>-2.5374769999999998E-3</v>
      </c>
      <c r="N6852">
        <v>0</v>
      </c>
      <c r="O6852">
        <v>0.99988449999999995</v>
      </c>
      <c r="P6852">
        <v>-0.1000684</v>
      </c>
      <c r="Q6852">
        <v>0.16124630000000001</v>
      </c>
      <c r="R6852">
        <v>0.98182789999999998</v>
      </c>
      <c r="S6852">
        <v>-0.14830019999999999</v>
      </c>
      <c r="T6852">
        <v>-0.12953399999999901</v>
      </c>
      <c r="U6852">
        <v>3.060181</v>
      </c>
      <c r="V6852">
        <v>-9.6926639999999994E-2</v>
      </c>
      <c r="W6852">
        <v>0.17629909999999999</v>
      </c>
      <c r="X6852">
        <v>0.97955289999999995</v>
      </c>
      <c r="Y6852">
        <v>-4.5826289999999999E-2</v>
      </c>
      <c r="Z6852">
        <v>-4.2243849999999999E-2</v>
      </c>
      <c r="AA6852">
        <v>0.99805580000000005</v>
      </c>
      <c r="AB6852">
        <v>50</v>
      </c>
      <c r="AC6852">
        <v>-1.26789999999999</v>
      </c>
      <c r="AD6852">
        <v>-1.1083280894159999</v>
      </c>
      <c r="AE6852">
        <v>25.710930000000001</v>
      </c>
      <c r="AF6852">
        <v>-1.2004224396418799</v>
      </c>
      <c r="AG6852">
        <v>-1.1083280894159999</v>
      </c>
      <c r="AH6852">
        <v>25.666486124932302</v>
      </c>
      <c r="AI6852">
        <v>92.469908963949706</v>
      </c>
      <c r="AJ6852">
        <v>92.677774231178901</v>
      </c>
      <c r="AK6852">
        <v>25.718435317661299</v>
      </c>
      <c r="AL6852">
        <v>79.845733590724905</v>
      </c>
      <c r="AM6852">
        <v>95.651015127247206</v>
      </c>
      <c r="AN6852">
        <v>1.00000001505045</v>
      </c>
    </row>
    <row r="6853" spans="1:40" x14ac:dyDescent="0.25">
      <c r="A6853" t="str">
        <f>"20190312164159817"</f>
        <v>20190312164159817</v>
      </c>
      <c r="B6853" t="str">
        <f>"1552380119813367"</f>
        <v>1552380119813367</v>
      </c>
      <c r="C6853" t="s">
        <v>40</v>
      </c>
      <c r="D6853">
        <v>5.909491</v>
      </c>
      <c r="E6853">
        <v>0.50917539999999994</v>
      </c>
      <c r="F6853" t="s">
        <v>41</v>
      </c>
      <c r="G6853">
        <v>-188.8107</v>
      </c>
      <c r="H6853" s="1">
        <v>-2.4623460000000001E-6</v>
      </c>
      <c r="I6853">
        <v>114.88079999999999</v>
      </c>
      <c r="J6853">
        <v>-187.3732</v>
      </c>
      <c r="K6853">
        <v>1.1083240000000001</v>
      </c>
      <c r="L6853">
        <v>86.393680000000003</v>
      </c>
      <c r="M6853">
        <v>-1.3766729999999999E-3</v>
      </c>
      <c r="N6853">
        <v>0</v>
      </c>
      <c r="O6853">
        <v>0.99988690000000002</v>
      </c>
      <c r="P6853">
        <v>-9.9723539999999999E-2</v>
      </c>
      <c r="Q6853">
        <v>0.16185189999999999</v>
      </c>
      <c r="R6853">
        <v>0.98176330000000001</v>
      </c>
      <c r="S6853">
        <v>-0.1517944</v>
      </c>
      <c r="T6853">
        <v>-0.116993899999999</v>
      </c>
      <c r="U6853">
        <v>3.0592649999999999</v>
      </c>
      <c r="V6853">
        <v>-9.7712660000000007E-2</v>
      </c>
      <c r="W6853">
        <v>0.17690549999999999</v>
      </c>
      <c r="X6853">
        <v>0.9793655</v>
      </c>
      <c r="Y6853">
        <v>-4.8145680000000003E-2</v>
      </c>
      <c r="Z6853">
        <v>-3.8168899999999999E-2</v>
      </c>
      <c r="AA6853">
        <v>0.99811079999999996</v>
      </c>
      <c r="AB6853">
        <v>50</v>
      </c>
      <c r="AC6853">
        <v>-1.4375</v>
      </c>
      <c r="AD6853">
        <v>-1.1083264623459901</v>
      </c>
      <c r="AE6853">
        <v>28.487119999999901</v>
      </c>
      <c r="AF6853">
        <v>-1.39616878404431</v>
      </c>
      <c r="AG6853">
        <v>-1.1083264623459901</v>
      </c>
      <c r="AH6853">
        <v>28.4461228050499</v>
      </c>
      <c r="AI6853">
        <v>92.228566994716303</v>
      </c>
      <c r="AJ6853">
        <v>92.809888625263298</v>
      </c>
      <c r="AK6853">
        <v>28.501922346758601</v>
      </c>
      <c r="AL6853">
        <v>79.8104349833703</v>
      </c>
      <c r="AM6853">
        <v>95.697624302150402</v>
      </c>
      <c r="AN6853">
        <v>1.0000000512223799</v>
      </c>
    </row>
    <row r="6854" spans="1:40" x14ac:dyDescent="0.25">
      <c r="A6854" t="str">
        <f>"20190312164159840"</f>
        <v>20190312164159840</v>
      </c>
      <c r="B6854" t="str">
        <f>"1552380119832889"</f>
        <v>1552380119832889</v>
      </c>
      <c r="C6854" t="s">
        <v>40</v>
      </c>
      <c r="D6854">
        <v>5.8507179999999996</v>
      </c>
      <c r="E6854">
        <v>0.50731000000000004</v>
      </c>
      <c r="F6854" t="s">
        <v>50</v>
      </c>
      <c r="G6854">
        <v>-191.5129</v>
      </c>
      <c r="H6854" s="1">
        <v>-6.2142559999999996E-6</v>
      </c>
      <c r="I6854">
        <v>133.1781</v>
      </c>
      <c r="J6854">
        <v>-187.37309999999999</v>
      </c>
      <c r="K6854">
        <v>1.1083130000000001</v>
      </c>
      <c r="L6854">
        <v>86.903809999999993</v>
      </c>
      <c r="M6854">
        <v>-1.7647569999999999E-4</v>
      </c>
      <c r="N6854">
        <v>0</v>
      </c>
      <c r="O6854">
        <v>0.99988790000000005</v>
      </c>
      <c r="P6854">
        <v>-9.9495050000000002E-2</v>
      </c>
      <c r="Q6854">
        <v>0.16198959999999901</v>
      </c>
      <c r="R6854">
        <v>0.98176379999999996</v>
      </c>
      <c r="S6854">
        <v>-0.26901249999999999</v>
      </c>
      <c r="T6854">
        <v>-7.2024699999999997E-2</v>
      </c>
      <c r="U6854">
        <v>3.0402830000000001</v>
      </c>
      <c r="V6854">
        <v>-9.865765E-2</v>
      </c>
      <c r="W6854">
        <v>0.17704539999999999</v>
      </c>
      <c r="X6854">
        <v>0.97924540000000004</v>
      </c>
      <c r="Y6854">
        <v>-8.7938009999999997E-2</v>
      </c>
      <c r="Z6854">
        <v>-2.3591549999999999E-2</v>
      </c>
      <c r="AA6854">
        <v>0.99584660000000003</v>
      </c>
      <c r="AB6854">
        <v>50</v>
      </c>
      <c r="AC6854">
        <v>-4.1398000000000001</v>
      </c>
      <c r="AD6854">
        <v>-1.1083192142560001</v>
      </c>
      <c r="AE6854">
        <v>46.274290000000001</v>
      </c>
      <c r="AF6854">
        <v>-4.1292827598544397</v>
      </c>
      <c r="AG6854">
        <v>-1.1083192142560001</v>
      </c>
      <c r="AH6854">
        <v>46.2486998258141</v>
      </c>
      <c r="AI6854">
        <v>91.367355183154004</v>
      </c>
      <c r="AJ6854">
        <v>95.102084823747305</v>
      </c>
      <c r="AK6854">
        <v>46.445899530203697</v>
      </c>
      <c r="AL6854">
        <v>79.802290010372104</v>
      </c>
      <c r="AM6854">
        <v>95.753059649569806</v>
      </c>
      <c r="AN6854">
        <v>0.99999997949292097</v>
      </c>
    </row>
    <row r="6855" spans="1:40" x14ac:dyDescent="0.25">
      <c r="A6855" t="str">
        <f>"20190312164159862"</f>
        <v>20190312164159862</v>
      </c>
      <c r="B6855" t="str">
        <f>"1552380119853388"</f>
        <v>1552380119853388</v>
      </c>
      <c r="C6855" t="s">
        <v>40</v>
      </c>
      <c r="D6855">
        <v>5.9586800000000002</v>
      </c>
      <c r="E6855">
        <v>0.50715089999999996</v>
      </c>
      <c r="F6855" t="s">
        <v>50</v>
      </c>
      <c r="G6855">
        <v>-192.06360000000001</v>
      </c>
      <c r="H6855" s="1">
        <v>-7.591903E-6</v>
      </c>
      <c r="I6855">
        <v>137.23769999999999</v>
      </c>
      <c r="J6855">
        <v>-187.3724</v>
      </c>
      <c r="K6855">
        <v>1.1083080000000001</v>
      </c>
      <c r="L6855">
        <v>87.400850000000005</v>
      </c>
      <c r="M6855">
        <v>9.9489340000000009E-4</v>
      </c>
      <c r="N6855">
        <v>0</v>
      </c>
      <c r="O6855">
        <v>0.99988739999999998</v>
      </c>
      <c r="P6855">
        <v>-9.9241759999999998E-2</v>
      </c>
      <c r="Q6855">
        <v>0.16250729999999999</v>
      </c>
      <c r="R6855">
        <v>0.98170389999999996</v>
      </c>
      <c r="S6855">
        <v>-0.28311160000000002</v>
      </c>
      <c r="T6855">
        <v>-6.6896800000000006E-2</v>
      </c>
      <c r="U6855">
        <v>3.0380859999999998</v>
      </c>
      <c r="V6855">
        <v>-9.9548419999999999E-2</v>
      </c>
      <c r="W6855">
        <v>0.17756250000000001</v>
      </c>
      <c r="X6855">
        <v>0.97906159999999998</v>
      </c>
      <c r="Y6855">
        <v>-9.3753859999999994E-2</v>
      </c>
      <c r="Z6855">
        <v>-2.1918099999999999E-2</v>
      </c>
      <c r="AA6855">
        <v>0.99535410000000002</v>
      </c>
      <c r="AB6855">
        <v>50</v>
      </c>
      <c r="AC6855">
        <v>-4.6912000000000003</v>
      </c>
      <c r="AD6855">
        <v>-1.1083155919030001</v>
      </c>
      <c r="AE6855">
        <v>49.836849999999899</v>
      </c>
      <c r="AF6855">
        <v>-4.7384626820819404</v>
      </c>
      <c r="AG6855">
        <v>-1.1083155919030001</v>
      </c>
      <c r="AH6855">
        <v>49.807740615390003</v>
      </c>
      <c r="AI6855">
        <v>91.2690002924449</v>
      </c>
      <c r="AJ6855">
        <v>95.434481885677698</v>
      </c>
      <c r="AK6855">
        <v>50.044904008807002</v>
      </c>
      <c r="AL6855">
        <v>79.772185320881206</v>
      </c>
      <c r="AM6855">
        <v>95.805732587549699</v>
      </c>
      <c r="AN6855">
        <v>0.99999997296265197</v>
      </c>
    </row>
    <row r="6856" spans="1:40" x14ac:dyDescent="0.25">
      <c r="A6856" t="str">
        <f>"20190312164159883"</f>
        <v>20190312164159883</v>
      </c>
      <c r="B6856" t="str">
        <f>"1552380119872903"</f>
        <v>1552380119872903</v>
      </c>
      <c r="C6856" t="s">
        <v>40</v>
      </c>
      <c r="D6856">
        <v>5.9008339999999997</v>
      </c>
      <c r="E6856">
        <v>0.50722990000000001</v>
      </c>
      <c r="F6856" t="s">
        <v>50</v>
      </c>
      <c r="G6856">
        <v>-191.9408</v>
      </c>
      <c r="H6856" s="1">
        <v>-7.2720719999999901E-6</v>
      </c>
      <c r="I6856">
        <v>136.29300000000001</v>
      </c>
      <c r="J6856">
        <v>-187.37119999999999</v>
      </c>
      <c r="K6856">
        <v>1.1083050000000001</v>
      </c>
      <c r="L6856">
        <v>87.87021</v>
      </c>
      <c r="M6856">
        <v>2.101805E-3</v>
      </c>
      <c r="N6856">
        <v>0</v>
      </c>
      <c r="O6856">
        <v>0.99988569999999999</v>
      </c>
      <c r="P6856">
        <v>-9.9432430000000002E-2</v>
      </c>
      <c r="Q6856">
        <v>0.1630954</v>
      </c>
      <c r="R6856">
        <v>0.98158710000000005</v>
      </c>
      <c r="S6856">
        <v>-0.28392030000000001</v>
      </c>
      <c r="T6856">
        <v>-6.8880919999999998E-2</v>
      </c>
      <c r="U6856">
        <v>3.038605</v>
      </c>
      <c r="V6856">
        <v>-0.1008208</v>
      </c>
      <c r="W6856">
        <v>0.1781509</v>
      </c>
      <c r="X6856">
        <v>0.97882449999999999</v>
      </c>
      <c r="Y6856">
        <v>-9.510151E-2</v>
      </c>
      <c r="Z6856">
        <v>-2.2562229999999999E-2</v>
      </c>
      <c r="AA6856">
        <v>0.99521179999999998</v>
      </c>
      <c r="AB6856">
        <v>50</v>
      </c>
      <c r="AC6856">
        <v>-4.5696000000000003</v>
      </c>
      <c r="AD6856">
        <v>-1.10831227207199</v>
      </c>
      <c r="AE6856">
        <v>48.422789999999999</v>
      </c>
      <c r="AF6856">
        <v>-4.6689522354022897</v>
      </c>
      <c r="AG6856">
        <v>-1.10831227207199</v>
      </c>
      <c r="AH6856">
        <v>48.387952224912297</v>
      </c>
      <c r="AI6856">
        <v>91.306050427279601</v>
      </c>
      <c r="AJ6856">
        <v>95.511406206319904</v>
      </c>
      <c r="AK6856">
        <v>48.625316364927599</v>
      </c>
      <c r="AL6856">
        <v>79.737926439953796</v>
      </c>
      <c r="AM6856">
        <v>95.880836274402498</v>
      </c>
      <c r="AN6856">
        <v>0.99999998934184897</v>
      </c>
    </row>
    <row r="6857" spans="1:40" x14ac:dyDescent="0.25">
      <c r="A6857" t="str">
        <f>"20190312164159907"</f>
        <v>20190312164159907</v>
      </c>
      <c r="B6857" t="str">
        <f>"1552380119903160"</f>
        <v>1552380119903160</v>
      </c>
      <c r="C6857" t="s">
        <v>40</v>
      </c>
      <c r="D6857">
        <v>5.893707</v>
      </c>
      <c r="E6857">
        <v>0.50723770000000001</v>
      </c>
      <c r="F6857" t="s">
        <v>50</v>
      </c>
      <c r="G6857">
        <v>-191.95480000000001</v>
      </c>
      <c r="H6857" s="1">
        <v>-7.5381199999999996E-6</v>
      </c>
      <c r="I6857">
        <v>137.11840000000001</v>
      </c>
      <c r="J6857">
        <v>-187.36940000000001</v>
      </c>
      <c r="K6857">
        <v>1.1083069999999999</v>
      </c>
      <c r="L6857">
        <v>88.375339999999994</v>
      </c>
      <c r="M6857">
        <v>3.2902600000000001E-3</v>
      </c>
      <c r="N6857">
        <v>0</v>
      </c>
      <c r="O6857">
        <v>0.99988259999999995</v>
      </c>
      <c r="P6857">
        <v>-9.9432889999999996E-2</v>
      </c>
      <c r="Q6857">
        <v>0.16358889999999901</v>
      </c>
      <c r="R6857">
        <v>0.98150490000000001</v>
      </c>
      <c r="S6857">
        <v>-0.2828369</v>
      </c>
      <c r="T6857">
        <v>-6.8390969999999995E-2</v>
      </c>
      <c r="U6857">
        <v>3.0389710000000001</v>
      </c>
      <c r="V6857">
        <v>-0.1019839</v>
      </c>
      <c r="W6857">
        <v>0.17864360000000001</v>
      </c>
      <c r="X6857">
        <v>0.97861419999999999</v>
      </c>
      <c r="Y6857">
        <v>-9.5922190000000004E-2</v>
      </c>
      <c r="Z6857">
        <v>-2.2398520000000002E-2</v>
      </c>
      <c r="AA6857">
        <v>0.99513680000000004</v>
      </c>
      <c r="AB6857">
        <v>50</v>
      </c>
      <c r="AC6857">
        <v>-4.5853999999999902</v>
      </c>
      <c r="AD6857">
        <v>-1.1083145381199999</v>
      </c>
      <c r="AE6857">
        <v>48.74306</v>
      </c>
      <c r="AF6857">
        <v>-4.7433396263496999</v>
      </c>
      <c r="AG6857">
        <v>-1.1083145381199999</v>
      </c>
      <c r="AH6857">
        <v>48.702748233658497</v>
      </c>
      <c r="AI6857">
        <v>91.297501585233704</v>
      </c>
      <c r="AJ6857">
        <v>95.562702400918695</v>
      </c>
      <c r="AK6857">
        <v>48.945738501297903</v>
      </c>
      <c r="AL6857">
        <v>79.709236714040301</v>
      </c>
      <c r="AM6857">
        <v>95.949464829685397</v>
      </c>
      <c r="AN6857">
        <v>1.0000000020608999</v>
      </c>
    </row>
    <row r="6858" spans="1:40" x14ac:dyDescent="0.25">
      <c r="A6858" t="str">
        <f>"20190312164159930"</f>
        <v>20190312164159930</v>
      </c>
      <c r="B6858" t="str">
        <f>"1552380119922680"</f>
        <v>1552380119922680</v>
      </c>
      <c r="C6858" t="s">
        <v>40</v>
      </c>
      <c r="D6858">
        <v>5.8335210000000002</v>
      </c>
      <c r="E6858">
        <v>0.50710250000000001</v>
      </c>
      <c r="F6858" t="s">
        <v>50</v>
      </c>
      <c r="G6858">
        <v>-192.0667</v>
      </c>
      <c r="H6858" s="1">
        <v>-8.1509319999999994E-6</v>
      </c>
      <c r="I6858">
        <v>138.98390000000001</v>
      </c>
      <c r="J6858">
        <v>-187.36689999999999</v>
      </c>
      <c r="K6858">
        <v>1.1083190000000001</v>
      </c>
      <c r="L6858">
        <v>88.891450000000006</v>
      </c>
      <c r="M6858">
        <v>4.4918199999999997E-3</v>
      </c>
      <c r="N6858">
        <v>0</v>
      </c>
      <c r="O6858">
        <v>0.99987789999999999</v>
      </c>
      <c r="P6858">
        <v>-9.9272150000000003E-2</v>
      </c>
      <c r="Q6858">
        <v>0.16396529999999901</v>
      </c>
      <c r="R6858">
        <v>0.98145830000000001</v>
      </c>
      <c r="S6858">
        <v>-0.28207399999999999</v>
      </c>
      <c r="T6858">
        <v>-6.6554070000000007E-2</v>
      </c>
      <c r="U6858">
        <v>3.0390320000000002</v>
      </c>
      <c r="V6858">
        <v>-0.10300239999999999</v>
      </c>
      <c r="W6858">
        <v>0.17901800000000001</v>
      </c>
      <c r="X6858">
        <v>0.97843910000000001</v>
      </c>
      <c r="Y6858">
        <v>-9.6870020000000001E-2</v>
      </c>
      <c r="Z6858">
        <v>-2.179588E-2</v>
      </c>
      <c r="AA6858">
        <v>0.99505840000000001</v>
      </c>
      <c r="AB6858">
        <v>50</v>
      </c>
      <c r="AC6858">
        <v>-4.6997999999999998</v>
      </c>
      <c r="AD6858">
        <v>-1.1083271509320001</v>
      </c>
      <c r="AE6858">
        <v>50.092449999999999</v>
      </c>
      <c r="AF6858">
        <v>-4.9223953508477596</v>
      </c>
      <c r="AG6858">
        <v>-1.1083271509320001</v>
      </c>
      <c r="AH6858">
        <v>50.046545335890102</v>
      </c>
      <c r="AI6858">
        <v>91.262570439339598</v>
      </c>
      <c r="AJ6858">
        <v>95.617336050941603</v>
      </c>
      <c r="AK6858">
        <v>50.300249155653802</v>
      </c>
      <c r="AL6858">
        <v>79.687433742755005</v>
      </c>
      <c r="AM6858">
        <v>96.009516232875797</v>
      </c>
      <c r="AN6858">
        <v>1.0000000055692799</v>
      </c>
    </row>
    <row r="6859" spans="1:40" x14ac:dyDescent="0.25">
      <c r="A6859" t="str">
        <f>"20190312164159953"</f>
        <v>20190312164159953</v>
      </c>
      <c r="B6859" t="str">
        <f>"1552380119943175"</f>
        <v>1552380119943175</v>
      </c>
      <c r="C6859" t="s">
        <v>40</v>
      </c>
      <c r="D6859">
        <v>5.8966580000000004</v>
      </c>
      <c r="E6859">
        <v>0.50719950000000003</v>
      </c>
      <c r="F6859" t="s">
        <v>50</v>
      </c>
      <c r="G6859">
        <v>-192.16079999999999</v>
      </c>
      <c r="H6859" s="1">
        <v>-8.6059119999999995E-6</v>
      </c>
      <c r="I6859">
        <v>140.4203</v>
      </c>
      <c r="J6859">
        <v>-187.3638</v>
      </c>
      <c r="K6859">
        <v>1.108336</v>
      </c>
      <c r="L6859">
        <v>89.405699999999996</v>
      </c>
      <c r="M6859">
        <v>5.6584640000000002E-3</v>
      </c>
      <c r="N6859">
        <v>0</v>
      </c>
      <c r="O6859">
        <v>0.99987210000000004</v>
      </c>
      <c r="P6859">
        <v>-9.8055729999999994E-2</v>
      </c>
      <c r="Q6859">
        <v>0.1643416</v>
      </c>
      <c r="R6859">
        <v>0.98151770000000005</v>
      </c>
      <c r="S6859">
        <v>-0.28273009999999998</v>
      </c>
      <c r="T6859">
        <v>-6.5365549999999994E-2</v>
      </c>
      <c r="U6859">
        <v>3.0390009999999998</v>
      </c>
      <c r="V6859">
        <v>-0.10293620000000001</v>
      </c>
      <c r="W6859">
        <v>0.17938579999999901</v>
      </c>
      <c r="X6859">
        <v>0.97837870000000005</v>
      </c>
      <c r="Y6859">
        <v>-9.824592E-2</v>
      </c>
      <c r="Z6859">
        <v>-2.1405190000000001E-2</v>
      </c>
      <c r="AA6859">
        <v>0.99493189999999998</v>
      </c>
      <c r="AB6859">
        <v>50</v>
      </c>
      <c r="AC6859">
        <v>-4.7969999999999899</v>
      </c>
      <c r="AD6859">
        <v>-1.1083446059119999</v>
      </c>
      <c r="AE6859">
        <v>51.014600000000002</v>
      </c>
      <c r="AF6859">
        <v>-5.0832414025359904</v>
      </c>
      <c r="AG6859">
        <v>-1.1083446059119999</v>
      </c>
      <c r="AH6859">
        <v>50.962791786556402</v>
      </c>
      <c r="AI6859">
        <v>91.239728971791706</v>
      </c>
      <c r="AJ6859">
        <v>95.696079958283093</v>
      </c>
      <c r="AK6859">
        <v>51.227667501085897</v>
      </c>
      <c r="AL6859">
        <v>79.666013591844106</v>
      </c>
      <c r="AM6859">
        <v>96.006050182678806</v>
      </c>
      <c r="AN6859">
        <v>1.00000000356288</v>
      </c>
    </row>
    <row r="6860" spans="1:40" x14ac:dyDescent="0.25">
      <c r="A6860" t="str">
        <f>"20190312164159974"</f>
        <v>20190312164159974</v>
      </c>
      <c r="B6860" t="str">
        <f>"1552380119962695"</f>
        <v>1552380119962695</v>
      </c>
      <c r="C6860" t="s">
        <v>40</v>
      </c>
      <c r="D6860">
        <v>5.9606649999999997</v>
      </c>
      <c r="E6860">
        <v>0.50719599999999998</v>
      </c>
      <c r="F6860" t="s">
        <v>50</v>
      </c>
      <c r="G6860">
        <v>-192.1225</v>
      </c>
      <c r="H6860" s="1">
        <v>-8.8830510000000007E-6</v>
      </c>
      <c r="I6860">
        <v>141.37029999999999</v>
      </c>
      <c r="J6860">
        <v>-187.3605</v>
      </c>
      <c r="K6860">
        <v>1.1083590000000001</v>
      </c>
      <c r="L6860">
        <v>89.870180000000005</v>
      </c>
      <c r="M6860">
        <v>6.6580729999999996E-3</v>
      </c>
      <c r="N6860">
        <v>0</v>
      </c>
      <c r="O6860">
        <v>0.99986589999999997</v>
      </c>
      <c r="P6860">
        <v>-9.6412150000000002E-2</v>
      </c>
      <c r="Q6860">
        <v>0.1637672</v>
      </c>
      <c r="R6860">
        <v>0.98177650000000005</v>
      </c>
      <c r="S6860">
        <v>-0.27835079999999901</v>
      </c>
      <c r="T6860">
        <v>-6.4830059999999995E-2</v>
      </c>
      <c r="U6860">
        <v>3.0395509999999999</v>
      </c>
      <c r="V6860">
        <v>-0.1022918</v>
      </c>
      <c r="W6860">
        <v>0.17879990000000001</v>
      </c>
      <c r="X6860">
        <v>0.97855349999999997</v>
      </c>
      <c r="Y6860">
        <v>-9.7803210000000002E-2</v>
      </c>
      <c r="Z6860">
        <v>-2.1227759999999998E-2</v>
      </c>
      <c r="AA6860">
        <v>0.99497939999999996</v>
      </c>
      <c r="AB6860">
        <v>49</v>
      </c>
      <c r="AC6860">
        <v>-4.7619999999999996</v>
      </c>
      <c r="AD6860">
        <v>-1.108367883051</v>
      </c>
      <c r="AE6860">
        <v>51.500119999999903</v>
      </c>
      <c r="AF6860">
        <v>-5.10248102862161</v>
      </c>
      <c r="AG6860">
        <v>-1.108367883051</v>
      </c>
      <c r="AH6860">
        <v>51.443643185130099</v>
      </c>
      <c r="AI6860">
        <v>91.228237910022898</v>
      </c>
      <c r="AJ6860">
        <v>95.6644034265165</v>
      </c>
      <c r="AK6860">
        <v>51.707951189063799</v>
      </c>
      <c r="AL6860">
        <v>79.700134657316994</v>
      </c>
      <c r="AM6860">
        <v>95.967664949605506</v>
      </c>
      <c r="AN6860">
        <v>0.99999998447474903</v>
      </c>
    </row>
    <row r="6861" spans="1:40" x14ac:dyDescent="0.25">
      <c r="A6861" t="str">
        <f>"20190312164159996"</f>
        <v>20190312164159996</v>
      </c>
      <c r="B6861" t="str">
        <f>"1552380119992952"</f>
        <v>1552380119992952</v>
      </c>
      <c r="C6861" t="s">
        <v>40</v>
      </c>
      <c r="D6861">
        <v>6.0226459999999999</v>
      </c>
      <c r="E6861">
        <v>0.50692530000000002</v>
      </c>
      <c r="F6861" t="s">
        <v>50</v>
      </c>
      <c r="G6861">
        <v>-191.79949999999999</v>
      </c>
      <c r="H6861" s="1">
        <v>-8.1802769999999905E-6</v>
      </c>
      <c r="I6861">
        <v>139.19560000000001</v>
      </c>
      <c r="J6861">
        <v>-187.35650000000001</v>
      </c>
      <c r="K6861">
        <v>1.1084149999999999</v>
      </c>
      <c r="L6861">
        <v>90.365200000000002</v>
      </c>
      <c r="M6861">
        <v>7.6319419999999897E-3</v>
      </c>
      <c r="N6861">
        <v>0</v>
      </c>
      <c r="O6861">
        <v>0.9998591</v>
      </c>
      <c r="P6861">
        <v>-9.4528109999999999E-2</v>
      </c>
      <c r="Q6861">
        <v>0.16352420000000001</v>
      </c>
      <c r="R6861">
        <v>0.98200019999999999</v>
      </c>
      <c r="S6861">
        <v>-0.2736053</v>
      </c>
      <c r="T6861">
        <v>-6.8315390000000004E-2</v>
      </c>
      <c r="U6861">
        <v>3.040222</v>
      </c>
      <c r="V6861">
        <v>-0.10139380000000001</v>
      </c>
      <c r="W6861">
        <v>0.17853569999999999</v>
      </c>
      <c r="X6861">
        <v>0.97869519999999999</v>
      </c>
      <c r="Y6861">
        <v>-9.7209980000000001E-2</v>
      </c>
      <c r="Z6861">
        <v>-2.23655E-2</v>
      </c>
      <c r="AA6861">
        <v>0.99501260000000002</v>
      </c>
      <c r="AB6861">
        <v>49</v>
      </c>
      <c r="AC6861">
        <v>-4.4429999999999801</v>
      </c>
      <c r="AD6861">
        <v>-1.1084231802769999</v>
      </c>
      <c r="AE6861">
        <v>48.830399999999997</v>
      </c>
      <c r="AF6861">
        <v>-4.8131233437289396</v>
      </c>
      <c r="AG6861">
        <v>-1.1084231802769999</v>
      </c>
      <c r="AH6861">
        <v>48.7701418414496</v>
      </c>
      <c r="AI6861">
        <v>91.295673142725406</v>
      </c>
      <c r="AJ6861">
        <v>95.636266937122102</v>
      </c>
      <c r="AK6861">
        <v>49.019603155305497</v>
      </c>
      <c r="AL6861">
        <v>79.715519884055794</v>
      </c>
      <c r="AM6861">
        <v>95.914798693124993</v>
      </c>
      <c r="AN6861">
        <v>0.999999996677984</v>
      </c>
    </row>
    <row r="6862" spans="1:40" x14ac:dyDescent="0.25">
      <c r="A6862" t="str">
        <f>"20190312164200019"</f>
        <v>20190312164200019</v>
      </c>
      <c r="B6862" t="str">
        <f>"1552380120012472"</f>
        <v>1552380120012472</v>
      </c>
      <c r="C6862" t="s">
        <v>40</v>
      </c>
      <c r="D6862">
        <v>5.7785840000000004</v>
      </c>
      <c r="E6862">
        <v>0.53476659999999998</v>
      </c>
      <c r="F6862" t="s">
        <v>50</v>
      </c>
      <c r="G6862">
        <v>-191.66970000000001</v>
      </c>
      <c r="H6862" s="1">
        <v>-8.0541130000000002E-6</v>
      </c>
      <c r="I6862">
        <v>138.8595</v>
      </c>
      <c r="J6862">
        <v>-187.35220000000001</v>
      </c>
      <c r="K6862">
        <v>1.108522</v>
      </c>
      <c r="L6862">
        <v>90.861239999999995</v>
      </c>
      <c r="M6862">
        <v>8.467535E-3</v>
      </c>
      <c r="N6862">
        <v>0</v>
      </c>
      <c r="O6862">
        <v>0.99985239999999997</v>
      </c>
      <c r="P6862">
        <v>-9.2207880000000006E-2</v>
      </c>
      <c r="Q6862">
        <v>0.1625894</v>
      </c>
      <c r="R6862">
        <v>0.98237589999999997</v>
      </c>
      <c r="S6862">
        <v>-0.27043149999999999</v>
      </c>
      <c r="T6862">
        <v>-6.9496749999999996E-2</v>
      </c>
      <c r="U6862">
        <v>3.040527</v>
      </c>
      <c r="V6862">
        <v>-9.9944140000000001E-2</v>
      </c>
      <c r="W6862">
        <v>0.1775719</v>
      </c>
      <c r="X6862">
        <v>0.97901959999999999</v>
      </c>
      <c r="Y6862">
        <v>-9.7001660000000003E-2</v>
      </c>
      <c r="Z6862">
        <v>-2.275085E-2</v>
      </c>
      <c r="AA6862">
        <v>0.99502409999999997</v>
      </c>
      <c r="AB6862">
        <v>49</v>
      </c>
      <c r="AC6862">
        <v>-4.3174999999999901</v>
      </c>
      <c r="AD6862">
        <v>-1.1085300541130001</v>
      </c>
      <c r="AE6862">
        <v>47.998259999999902</v>
      </c>
      <c r="AF6862">
        <v>-4.7213194634084097</v>
      </c>
      <c r="AG6862">
        <v>-1.1085300541130001</v>
      </c>
      <c r="AH6862">
        <v>47.9346136234524</v>
      </c>
      <c r="AI6862">
        <v>91.318401728641206</v>
      </c>
      <c r="AJ6862">
        <v>95.625203730997001</v>
      </c>
      <c r="AK6862">
        <v>48.179320040719702</v>
      </c>
      <c r="AL6862">
        <v>79.771638260937905</v>
      </c>
      <c r="AM6862">
        <v>95.828900994673901</v>
      </c>
      <c r="AN6862">
        <v>0.99999999398705397</v>
      </c>
    </row>
    <row r="6863" spans="1:40" x14ac:dyDescent="0.25">
      <c r="A6863" t="str">
        <f>"20190312164200041"</f>
        <v>20190312164200041</v>
      </c>
      <c r="B6863" t="str">
        <f>"1552380120032968"</f>
        <v>1552380120032968</v>
      </c>
      <c r="C6863" t="s">
        <v>40</v>
      </c>
      <c r="D6863">
        <v>5.9306210000000004</v>
      </c>
      <c r="E6863">
        <v>0.55339249999999995</v>
      </c>
      <c r="F6863" t="s">
        <v>41</v>
      </c>
      <c r="G6863">
        <v>-188.27699999999999</v>
      </c>
      <c r="H6863" s="1">
        <v>-1.0651209999999999E-6</v>
      </c>
      <c r="I6863">
        <v>161.2243</v>
      </c>
      <c r="J6863">
        <v>-187.3475</v>
      </c>
      <c r="K6863">
        <v>1.1086510000000001</v>
      </c>
      <c r="L6863">
        <v>91.362489999999994</v>
      </c>
      <c r="M6863">
        <v>9.1260720000000007E-3</v>
      </c>
      <c r="N6863">
        <v>0</v>
      </c>
      <c r="O6863">
        <v>0.99984669999999998</v>
      </c>
      <c r="P6863">
        <v>-8.8179229999999997E-2</v>
      </c>
      <c r="Q6863">
        <v>0.16098689999999999</v>
      </c>
      <c r="R6863">
        <v>0.98300949999999998</v>
      </c>
      <c r="S6863">
        <v>-4.0191650000000002E-2</v>
      </c>
      <c r="T6863">
        <v>-4.8176999999999998E-2</v>
      </c>
      <c r="U6863">
        <v>3.058014</v>
      </c>
      <c r="V6863">
        <v>-9.6633259999999999E-2</v>
      </c>
      <c r="W6863">
        <v>0.17593020000000001</v>
      </c>
      <c r="X6863">
        <v>0.97964819999999997</v>
      </c>
      <c r="Y6863">
        <v>-2.2266049999999999E-2</v>
      </c>
      <c r="Z6863">
        <v>-1.5748769999999999E-2</v>
      </c>
      <c r="AA6863">
        <v>0.99962799999999996</v>
      </c>
      <c r="AB6863">
        <v>49</v>
      </c>
      <c r="AC6863">
        <v>-0.92950000000001798</v>
      </c>
      <c r="AD6863">
        <v>-1.1086520651209999</v>
      </c>
      <c r="AE6863">
        <v>69.861809999999906</v>
      </c>
      <c r="AF6863">
        <v>-1.56670190922088</v>
      </c>
      <c r="AG6863">
        <v>-1.1086520651209999</v>
      </c>
      <c r="AH6863">
        <v>69.832833403506896</v>
      </c>
      <c r="AI6863">
        <v>90.909311127079206</v>
      </c>
      <c r="AJ6863">
        <v>91.285217092937003</v>
      </c>
      <c r="AK6863">
        <v>69.859203298032298</v>
      </c>
      <c r="AL6863">
        <v>79.867205556573296</v>
      </c>
      <c r="AM6863">
        <v>95.633476152512003</v>
      </c>
      <c r="AN6863">
        <v>1.00000000898675</v>
      </c>
    </row>
    <row r="6864" spans="1:40" x14ac:dyDescent="0.25">
      <c r="A6864" t="str">
        <f>"20190312164200074"</f>
        <v>20190312164200074</v>
      </c>
      <c r="B6864" t="str">
        <f>"1552380120063227"</f>
        <v>1552380120063227</v>
      </c>
      <c r="C6864" t="s">
        <v>40</v>
      </c>
      <c r="D6864">
        <v>5.9653589999999896</v>
      </c>
      <c r="E6864">
        <v>0.56406919999999905</v>
      </c>
      <c r="F6864" t="s">
        <v>41</v>
      </c>
      <c r="G6864">
        <v>-183.8717</v>
      </c>
      <c r="H6864" s="1">
        <v>-5.1263289999999997E-6</v>
      </c>
      <c r="I6864">
        <v>179.04839999999999</v>
      </c>
      <c r="J6864">
        <v>-187.34039999999999</v>
      </c>
      <c r="K6864">
        <v>1.1088769999999999</v>
      </c>
      <c r="L6864">
        <v>92.092320000000001</v>
      </c>
      <c r="M6864">
        <v>9.80346E-3</v>
      </c>
      <c r="N6864">
        <v>0</v>
      </c>
      <c r="O6864">
        <v>0.99984039999999996</v>
      </c>
      <c r="P6864">
        <v>-8.399877E-2</v>
      </c>
      <c r="Q6864">
        <v>0.15895409999999999</v>
      </c>
      <c r="R6864">
        <v>0.98370619999999998</v>
      </c>
      <c r="S6864">
        <v>0.1216583</v>
      </c>
      <c r="T6864">
        <v>-3.8804409999999998E-2</v>
      </c>
      <c r="U6864">
        <v>3.0691220000000001</v>
      </c>
      <c r="V6864">
        <v>-9.3227379999999999E-2</v>
      </c>
      <c r="W6864">
        <v>0.1738401</v>
      </c>
      <c r="X6864">
        <v>0.98035110000000003</v>
      </c>
      <c r="Y6864">
        <v>2.980642E-2</v>
      </c>
      <c r="Z6864">
        <v>-1.2633800000000001E-2</v>
      </c>
      <c r="AA6864">
        <v>0.99947580000000003</v>
      </c>
      <c r="AB6864">
        <v>49</v>
      </c>
      <c r="AC6864">
        <v>3.4686999999999801</v>
      </c>
      <c r="AD6864">
        <v>-1.1088821263290001</v>
      </c>
      <c r="AE6864">
        <v>86.956079999999901</v>
      </c>
      <c r="AF6864">
        <v>2.6155430665135402</v>
      </c>
      <c r="AG6864">
        <v>-1.1088821263290001</v>
      </c>
      <c r="AH6864">
        <v>86.971788660339101</v>
      </c>
      <c r="AI6864">
        <v>90.730146153573003</v>
      </c>
      <c r="AJ6864">
        <v>88.277436542114202</v>
      </c>
      <c r="AK6864">
        <v>87.018174583713005</v>
      </c>
      <c r="AL6864">
        <v>79.988833852464296</v>
      </c>
      <c r="AM6864">
        <v>95.432258538160198</v>
      </c>
      <c r="AN6864">
        <v>1.00000000201044</v>
      </c>
    </row>
    <row r="6865" spans="1:40" x14ac:dyDescent="0.25">
      <c r="A6865" t="str">
        <f>"20190312164200096"</f>
        <v>20190312164200096</v>
      </c>
      <c r="B6865" t="str">
        <f>"1552380120092504"</f>
        <v>1552380120092504</v>
      </c>
      <c r="C6865" t="s">
        <v>40</v>
      </c>
      <c r="D6865">
        <v>5.9638330000000002</v>
      </c>
      <c r="E6865">
        <v>0.56968739999999995</v>
      </c>
      <c r="F6865" t="s">
        <v>46</v>
      </c>
      <c r="G6865">
        <v>-179.3922</v>
      </c>
      <c r="H6865">
        <v>8.0001530000000001E-2</v>
      </c>
      <c r="I6865">
        <v>202.4546</v>
      </c>
      <c r="J6865">
        <v>-187.3356</v>
      </c>
      <c r="K6865">
        <v>1.10902099999999</v>
      </c>
      <c r="L6865">
        <v>92.561430000000001</v>
      </c>
      <c r="M6865">
        <v>1.005554E-2</v>
      </c>
      <c r="N6865">
        <v>0</v>
      </c>
      <c r="O6865">
        <v>0.99983789999999995</v>
      </c>
      <c r="P6865">
        <v>-8.1565369999999998E-2</v>
      </c>
      <c r="Q6865">
        <v>0.1568108</v>
      </c>
      <c r="R6865">
        <v>0.98425479999999999</v>
      </c>
      <c r="S6865">
        <v>0.22132869999999999</v>
      </c>
      <c r="T6865">
        <v>-2.8650640000000002E-2</v>
      </c>
      <c r="U6865">
        <v>3.0732119999999998</v>
      </c>
      <c r="V6865">
        <v>-9.1115849999999998E-2</v>
      </c>
      <c r="W6865">
        <v>0.17166310000000001</v>
      </c>
      <c r="X6865">
        <v>0.9809331</v>
      </c>
      <c r="Y6865">
        <v>6.1795250000000003E-2</v>
      </c>
      <c r="Z6865">
        <v>-9.3006419999999996E-3</v>
      </c>
      <c r="AA6865">
        <v>0.99804550000000003</v>
      </c>
      <c r="AB6865">
        <v>49</v>
      </c>
      <c r="AC6865">
        <v>7.9433999999999898</v>
      </c>
      <c r="AD6865">
        <v>-1.0290194699999899</v>
      </c>
      <c r="AE6865">
        <v>109.89317</v>
      </c>
      <c r="AF6865">
        <v>6.8372434937007398</v>
      </c>
      <c r="AG6865">
        <v>-1.0290194699999899</v>
      </c>
      <c r="AH6865">
        <v>109.957905730006</v>
      </c>
      <c r="AI6865">
        <v>90.535142166075104</v>
      </c>
      <c r="AJ6865">
        <v>86.4418976776834</v>
      </c>
      <c r="AK6865">
        <v>110.175077999476</v>
      </c>
      <c r="AL6865">
        <v>80.115471026612795</v>
      </c>
      <c r="AM6865">
        <v>95.306800867205695</v>
      </c>
      <c r="AN6865">
        <v>1.00000003234922</v>
      </c>
    </row>
    <row r="6866" spans="1:40" x14ac:dyDescent="0.25">
      <c r="A6866" t="str">
        <f>"20190312164200119"</f>
        <v>20190312164200119</v>
      </c>
      <c r="B6866" t="str">
        <f>"1552380120113000"</f>
        <v>1552380120113000</v>
      </c>
      <c r="C6866" t="s">
        <v>40</v>
      </c>
      <c r="D6866">
        <v>6.064578</v>
      </c>
      <c r="E6866">
        <v>0.57160250000000001</v>
      </c>
      <c r="F6866" t="s">
        <v>41</v>
      </c>
      <c r="G6866">
        <v>-178.85290000000001</v>
      </c>
      <c r="H6866">
        <v>7.9986260000000003E-2</v>
      </c>
      <c r="I6866">
        <v>187.51820000000001</v>
      </c>
      <c r="J6866">
        <v>-187.3306</v>
      </c>
      <c r="K6866">
        <v>1.1092029999999999</v>
      </c>
      <c r="L6866">
        <v>93.060940000000002</v>
      </c>
      <c r="M6866">
        <v>1.012416E-2</v>
      </c>
      <c r="N6866">
        <v>0</v>
      </c>
      <c r="O6866">
        <v>0.99983730000000004</v>
      </c>
      <c r="P6866">
        <v>-7.8210550000000004E-2</v>
      </c>
      <c r="Q6866">
        <v>0.15637309999999999</v>
      </c>
      <c r="R6866">
        <v>0.98459669999999999</v>
      </c>
      <c r="S6866">
        <v>0.27479550000000003</v>
      </c>
      <c r="T6866">
        <v>-3.3335089999999998E-2</v>
      </c>
      <c r="U6866">
        <v>3.0760800000000001</v>
      </c>
      <c r="V6866">
        <v>-8.7907079999999999E-2</v>
      </c>
      <c r="W6866">
        <v>0.171183</v>
      </c>
      <c r="X6866">
        <v>0.98130969999999995</v>
      </c>
      <c r="Y6866">
        <v>7.8883800000000004E-2</v>
      </c>
      <c r="Z6866">
        <v>-1.0797019999999999E-2</v>
      </c>
      <c r="AA6866">
        <v>0.99682530000000003</v>
      </c>
      <c r="AB6866">
        <v>49</v>
      </c>
      <c r="AC6866">
        <v>8.4776999999999898</v>
      </c>
      <c r="AD6866">
        <v>-1.0292167400000001</v>
      </c>
      <c r="AE6866">
        <v>94.457259999999906</v>
      </c>
      <c r="AF6866">
        <v>7.5199727408467698</v>
      </c>
      <c r="AG6866">
        <v>-1.0292167400000001</v>
      </c>
      <c r="AH6866">
        <v>94.527124012091406</v>
      </c>
      <c r="AI6866">
        <v>90.621850561030698</v>
      </c>
      <c r="AJ6866">
        <v>85.451493989280905</v>
      </c>
      <c r="AK6866">
        <v>94.831357952516299</v>
      </c>
      <c r="AL6866">
        <v>80.143391715566807</v>
      </c>
      <c r="AM6866">
        <v>95.118971395610501</v>
      </c>
      <c r="AN6866">
        <v>1.0000000007586001</v>
      </c>
    </row>
    <row r="6867" spans="1:40" x14ac:dyDescent="0.25">
      <c r="A6867" t="str">
        <f>"20190312164200143"</f>
        <v>20190312164200143</v>
      </c>
      <c r="B6867" t="str">
        <f>"1552380120132519"</f>
        <v>1552380120132519</v>
      </c>
      <c r="C6867" t="s">
        <v>40</v>
      </c>
      <c r="D6867">
        <v>6.0328229999999996</v>
      </c>
      <c r="E6867">
        <v>0.57296669999999905</v>
      </c>
      <c r="F6867" t="s">
        <v>41</v>
      </c>
      <c r="G6867">
        <v>-179.0907</v>
      </c>
      <c r="H6867">
        <v>7.9986429999999997E-2</v>
      </c>
      <c r="I6867">
        <v>178.14879999999999</v>
      </c>
      <c r="J6867">
        <v>-187.3254</v>
      </c>
      <c r="K6867">
        <v>1.1094280000000001</v>
      </c>
      <c r="L6867">
        <v>93.584410000000005</v>
      </c>
      <c r="M6867">
        <v>9.9700810000000004E-3</v>
      </c>
      <c r="N6867">
        <v>0</v>
      </c>
      <c r="O6867">
        <v>0.99983889999999997</v>
      </c>
      <c r="P6867">
        <v>-7.6778280000000004E-2</v>
      </c>
      <c r="Q6867">
        <v>0.15696099999999999</v>
      </c>
      <c r="R6867">
        <v>0.98461580000000004</v>
      </c>
      <c r="S6867">
        <v>0.29792790000000002</v>
      </c>
      <c r="T6867">
        <v>-3.7213209999999997E-2</v>
      </c>
      <c r="U6867">
        <v>3.076508</v>
      </c>
      <c r="V6867">
        <v>-8.6406999999999998E-2</v>
      </c>
      <c r="W6867">
        <v>0.17172279999999901</v>
      </c>
      <c r="X6867">
        <v>0.98134860000000002</v>
      </c>
      <c r="Y6867">
        <v>8.6452189999999998E-2</v>
      </c>
      <c r="Z6867">
        <v>-1.204333E-2</v>
      </c>
      <c r="AA6867">
        <v>0.99618320000000005</v>
      </c>
      <c r="AB6867">
        <v>49</v>
      </c>
      <c r="AC6867">
        <v>8.2347000000000001</v>
      </c>
      <c r="AD6867">
        <v>-1.0294415699999999</v>
      </c>
      <c r="AE6867">
        <v>84.564390000000003</v>
      </c>
      <c r="AF6867">
        <v>7.3899980185593002</v>
      </c>
      <c r="AG6867">
        <v>-1.0294415699999999</v>
      </c>
      <c r="AH6867">
        <v>84.629872008541</v>
      </c>
      <c r="AI6867">
        <v>90.694272432242002</v>
      </c>
      <c r="AJ6867">
        <v>85.009511430731706</v>
      </c>
      <c r="AK6867">
        <v>84.958148854847295</v>
      </c>
      <c r="AL6867">
        <v>80.111998408723693</v>
      </c>
      <c r="AM6867">
        <v>95.031873226505994</v>
      </c>
      <c r="AN6867">
        <v>0.99999998220539899</v>
      </c>
    </row>
    <row r="6868" spans="1:40" x14ac:dyDescent="0.25">
      <c r="A6868" t="str">
        <f>"20190312164200164"</f>
        <v>20190312164200164</v>
      </c>
      <c r="B6868" t="str">
        <f>"1552380120153017"</f>
        <v>1552380120153017</v>
      </c>
      <c r="C6868" t="s">
        <v>40</v>
      </c>
      <c r="D6868">
        <v>6.0047649999999999</v>
      </c>
      <c r="E6868">
        <v>0.57399709999999904</v>
      </c>
      <c r="F6868" t="s">
        <v>41</v>
      </c>
      <c r="G6868">
        <v>-178.91239999999999</v>
      </c>
      <c r="H6868">
        <v>7.9986020000000005E-2</v>
      </c>
      <c r="I6868">
        <v>176.7285</v>
      </c>
      <c r="J6868">
        <v>-187.32069999999999</v>
      </c>
      <c r="K6868">
        <v>1.1096220000000001</v>
      </c>
      <c r="L6868">
        <v>94.067139999999995</v>
      </c>
      <c r="M6868">
        <v>9.6842460000000005E-3</v>
      </c>
      <c r="N6868">
        <v>0</v>
      </c>
      <c r="O6868">
        <v>0.99984170000000006</v>
      </c>
      <c r="P6868">
        <v>-7.8468099999999999E-2</v>
      </c>
      <c r="Q6868">
        <v>0.1555994</v>
      </c>
      <c r="R6868">
        <v>0.98469870000000004</v>
      </c>
      <c r="S6868">
        <v>0.3113708</v>
      </c>
      <c r="T6868">
        <v>-3.810024E-2</v>
      </c>
      <c r="U6868">
        <v>3.0772089999999999</v>
      </c>
      <c r="V6868">
        <v>-8.7893719999999995E-2</v>
      </c>
      <c r="W6868">
        <v>0.17032229999999901</v>
      </c>
      <c r="X6868">
        <v>0.98146060000000002</v>
      </c>
      <c r="Y6868">
        <v>9.1023560000000003E-2</v>
      </c>
      <c r="Z6868">
        <v>-1.232245E-2</v>
      </c>
      <c r="AA6868">
        <v>0.99577249999999995</v>
      </c>
      <c r="AB6868">
        <v>49</v>
      </c>
      <c r="AC6868">
        <v>8.4082999999999899</v>
      </c>
      <c r="AD6868">
        <v>-1.0296359799999999</v>
      </c>
      <c r="AE6868">
        <v>82.661359999999902</v>
      </c>
      <c r="AF6868">
        <v>7.6061354501639604</v>
      </c>
      <c r="AG6868">
        <v>-1.0296359799999999</v>
      </c>
      <c r="AH6868">
        <v>82.726216142503304</v>
      </c>
      <c r="AI6868">
        <v>90.710089327759505</v>
      </c>
      <c r="AJ6868">
        <v>84.746796767705405</v>
      </c>
      <c r="AK6868">
        <v>83.081527934876902</v>
      </c>
      <c r="AL6868">
        <v>80.193440728956702</v>
      </c>
      <c r="AM6868">
        <v>95.117414807152997</v>
      </c>
      <c r="AN6868">
        <v>0.99999995062254299</v>
      </c>
    </row>
    <row r="6869" spans="1:40" x14ac:dyDescent="0.25">
      <c r="A6869" t="str">
        <f>"20190312164200186"</f>
        <v>20190312164200186</v>
      </c>
      <c r="B6869" t="str">
        <f>"1552380120183272"</f>
        <v>1552380120183272</v>
      </c>
      <c r="C6869" t="s">
        <v>40</v>
      </c>
      <c r="D6869">
        <v>6.0625479999999996</v>
      </c>
      <c r="E6869">
        <v>0.57502310000000001</v>
      </c>
      <c r="F6869" t="s">
        <v>41</v>
      </c>
      <c r="G6869">
        <v>-179.95179999999999</v>
      </c>
      <c r="H6869">
        <v>5.5917420000000002E-2</v>
      </c>
      <c r="I6869">
        <v>166.06</v>
      </c>
      <c r="J6869">
        <v>-187.31649999999999</v>
      </c>
      <c r="K6869">
        <v>1.109785</v>
      </c>
      <c r="L6869">
        <v>94.532560000000004</v>
      </c>
      <c r="M6869">
        <v>9.3179909999999994E-3</v>
      </c>
      <c r="N6869">
        <v>0</v>
      </c>
      <c r="O6869">
        <v>0.99984530000000005</v>
      </c>
      <c r="P6869">
        <v>-8.1170370000000006E-2</v>
      </c>
      <c r="Q6869">
        <v>0.15390570000000001</v>
      </c>
      <c r="R6869">
        <v>0.98474589999999995</v>
      </c>
      <c r="S6869">
        <v>0.31513980000000003</v>
      </c>
      <c r="T6869">
        <v>-4.5062900000000003E-2</v>
      </c>
      <c r="U6869">
        <v>3.0788570000000002</v>
      </c>
      <c r="V6869">
        <v>-9.0302789999999994E-2</v>
      </c>
      <c r="W6869">
        <v>0.16859289999999999</v>
      </c>
      <c r="X6869">
        <v>0.98154059999999999</v>
      </c>
      <c r="Y6869">
        <v>9.2538259999999997E-2</v>
      </c>
      <c r="Z6869">
        <v>-1.4564280000000001E-2</v>
      </c>
      <c r="AA6869">
        <v>0.9956026</v>
      </c>
      <c r="AB6869">
        <v>49</v>
      </c>
      <c r="AC6869">
        <v>7.3646999999999903</v>
      </c>
      <c r="AD6869">
        <v>-1.0538675799999999</v>
      </c>
      <c r="AE6869">
        <v>71.527439999999999</v>
      </c>
      <c r="AF6869">
        <v>6.6963755601888604</v>
      </c>
      <c r="AG6869">
        <v>-1.0538675799999999</v>
      </c>
      <c r="AH6869">
        <v>71.577590593413206</v>
      </c>
      <c r="AI6869">
        <v>90.839862541262903</v>
      </c>
      <c r="AJ6869">
        <v>84.655302808290202</v>
      </c>
      <c r="AK6869">
        <v>71.897868936968806</v>
      </c>
      <c r="AL6869">
        <v>80.293983170663907</v>
      </c>
      <c r="AM6869">
        <v>95.256475996839896</v>
      </c>
      <c r="AN6869">
        <v>1.0000000546302701</v>
      </c>
    </row>
    <row r="6870" spans="1:40" x14ac:dyDescent="0.25">
      <c r="A6870" t="str">
        <f>"20190312164200208"</f>
        <v>20190312164200208</v>
      </c>
      <c r="B6870" t="str">
        <f>"1552380120202792"</f>
        <v>1552380120202792</v>
      </c>
      <c r="C6870" t="s">
        <v>40</v>
      </c>
      <c r="D6870">
        <v>6.0563269999999996</v>
      </c>
      <c r="E6870">
        <v>0.57565330000000003</v>
      </c>
      <c r="F6870" t="s">
        <v>50</v>
      </c>
      <c r="G6870">
        <v>-181.5112</v>
      </c>
      <c r="H6870" s="1">
        <v>-1.1893699999999999E-5</v>
      </c>
      <c r="I6870">
        <v>151.3562</v>
      </c>
      <c r="J6870">
        <v>-187.31219999999999</v>
      </c>
      <c r="K6870">
        <v>1.109912</v>
      </c>
      <c r="L6870">
        <v>95.015690000000006</v>
      </c>
      <c r="M6870">
        <v>8.9060559999999903E-3</v>
      </c>
      <c r="N6870">
        <v>0</v>
      </c>
      <c r="O6870">
        <v>0.99984899999999999</v>
      </c>
      <c r="P6870">
        <v>-8.3840090000000006E-2</v>
      </c>
      <c r="Q6870">
        <v>0.15400839999999999</v>
      </c>
      <c r="R6870">
        <v>0.98450610000000005</v>
      </c>
      <c r="S6870">
        <v>0.31484990000000002</v>
      </c>
      <c r="T6870">
        <v>-6.0189600000000003E-2</v>
      </c>
      <c r="U6870">
        <v>3.0818180000000002</v>
      </c>
      <c r="V6870">
        <v>-9.2618229999999996E-2</v>
      </c>
      <c r="W6870">
        <v>0.16866010000000001</v>
      </c>
      <c r="X6870">
        <v>0.9813132</v>
      </c>
      <c r="Y6870">
        <v>9.2750520000000003E-2</v>
      </c>
      <c r="Z6870">
        <v>-1.943303E-2</v>
      </c>
      <c r="AA6870">
        <v>0.99549969999999999</v>
      </c>
      <c r="AB6870">
        <v>49</v>
      </c>
      <c r="AC6870">
        <v>5.8009999999999797</v>
      </c>
      <c r="AD6870">
        <v>-1.1099238937</v>
      </c>
      <c r="AE6870">
        <v>56.340510000000002</v>
      </c>
      <c r="AF6870">
        <v>5.29690810361424</v>
      </c>
      <c r="AG6870">
        <v>-1.1099238937</v>
      </c>
      <c r="AH6870">
        <v>56.368297730823301</v>
      </c>
      <c r="AI6870">
        <v>91.123094315040902</v>
      </c>
      <c r="AJ6870">
        <v>84.631700954439694</v>
      </c>
      <c r="AK6870">
        <v>56.627503525925199</v>
      </c>
      <c r="AL6870">
        <v>80.290076237476597</v>
      </c>
      <c r="AM6870">
        <v>95.391714183009995</v>
      </c>
      <c r="AN6870">
        <v>0.99999998117729105</v>
      </c>
    </row>
    <row r="6871" spans="1:40" x14ac:dyDescent="0.25">
      <c r="A6871" t="str">
        <f>"20190312164200232"</f>
        <v>20190312164200232</v>
      </c>
      <c r="B6871" t="str">
        <f>"1552380120223288"</f>
        <v>1552380120223288</v>
      </c>
      <c r="C6871" t="s">
        <v>40</v>
      </c>
      <c r="D6871">
        <v>6.2090690000000004</v>
      </c>
      <c r="E6871">
        <v>0.57608909999999902</v>
      </c>
      <c r="F6871" t="s">
        <v>50</v>
      </c>
      <c r="G6871">
        <v>-182.3014</v>
      </c>
      <c r="H6871" s="1">
        <v>-1.010536E-5</v>
      </c>
      <c r="I6871">
        <v>144.75190000000001</v>
      </c>
      <c r="J6871">
        <v>-187.30770000000001</v>
      </c>
      <c r="K6871">
        <v>1.110004</v>
      </c>
      <c r="L6871">
        <v>95.543819999999997</v>
      </c>
      <c r="M6871">
        <v>8.4932410000000003E-3</v>
      </c>
      <c r="N6871">
        <v>0</v>
      </c>
      <c r="O6871">
        <v>0.99985270000000004</v>
      </c>
      <c r="P6871">
        <v>-8.5410630000000001E-2</v>
      </c>
      <c r="Q6871">
        <v>0.15515309999999999</v>
      </c>
      <c r="R6871">
        <v>0.98419129999999999</v>
      </c>
      <c r="S6871">
        <v>0.3107452</v>
      </c>
      <c r="T6871">
        <v>-6.8832989999999997E-2</v>
      </c>
      <c r="U6871">
        <v>3.0844420000000001</v>
      </c>
      <c r="V6871">
        <v>-9.3816529999999995E-2</v>
      </c>
      <c r="W6871">
        <v>0.1697767</v>
      </c>
      <c r="X6871">
        <v>0.98100679999999996</v>
      </c>
      <c r="Y6871">
        <v>9.1758850000000003E-2</v>
      </c>
      <c r="Z6871">
        <v>-2.2206190000000001E-2</v>
      </c>
      <c r="AA6871">
        <v>0.99553360000000002</v>
      </c>
      <c r="AB6871">
        <v>49</v>
      </c>
      <c r="AC6871">
        <v>5.0063000000000004</v>
      </c>
      <c r="AD6871">
        <v>-1.1100141053599999</v>
      </c>
      <c r="AE6871">
        <v>49.208080000000002</v>
      </c>
      <c r="AF6871">
        <v>4.5858272547559098</v>
      </c>
      <c r="AG6871">
        <v>-1.1100141053599999</v>
      </c>
      <c r="AH6871">
        <v>49.2240384680644</v>
      </c>
      <c r="AI6871">
        <v>91.2862470305285</v>
      </c>
      <c r="AJ6871">
        <v>84.677553114393703</v>
      </c>
      <c r="AK6871">
        <v>49.4496502114024</v>
      </c>
      <c r="AL6871">
        <v>80.225163872184794</v>
      </c>
      <c r="AM6871">
        <v>95.462748787090703</v>
      </c>
      <c r="AN6871">
        <v>1.0000000054051801</v>
      </c>
    </row>
    <row r="6872" spans="1:40" x14ac:dyDescent="0.25">
      <c r="A6872" t="str">
        <f>"20190312164200254"</f>
        <v>20190312164200254</v>
      </c>
      <c r="B6872" t="str">
        <f>"1552380120242808"</f>
        <v>1552380120242808</v>
      </c>
      <c r="C6872" t="s">
        <v>40</v>
      </c>
      <c r="D6872">
        <v>6.060079</v>
      </c>
      <c r="E6872">
        <v>0.57673779999999997</v>
      </c>
      <c r="F6872" t="s">
        <v>50</v>
      </c>
      <c r="G6872">
        <v>-182.6728</v>
      </c>
      <c r="H6872" s="1">
        <v>-9.2748509999999992E-6</v>
      </c>
      <c r="I6872">
        <v>141.8329</v>
      </c>
      <c r="J6872">
        <v>-187.3038</v>
      </c>
      <c r="K6872">
        <v>1.110034</v>
      </c>
      <c r="L6872">
        <v>96.014740000000003</v>
      </c>
      <c r="M6872">
        <v>8.1958900000000008E-3</v>
      </c>
      <c r="N6872">
        <v>0</v>
      </c>
      <c r="O6872">
        <v>0.99985520000000006</v>
      </c>
      <c r="P6872">
        <v>-8.6820679999999997E-2</v>
      </c>
      <c r="Q6872">
        <v>0.1562606</v>
      </c>
      <c r="R6872">
        <v>0.98389269999999995</v>
      </c>
      <c r="S6872">
        <v>0.30906679999999997</v>
      </c>
      <c r="T6872">
        <v>-7.4018479999999998E-2</v>
      </c>
      <c r="U6872">
        <v>3.0866699999999998</v>
      </c>
      <c r="V6872">
        <v>-9.4942440000000003E-2</v>
      </c>
      <c r="W6872">
        <v>0.17086960000000001</v>
      </c>
      <c r="X6872">
        <v>0.98070869999999999</v>
      </c>
      <c r="Y6872">
        <v>9.1443579999999997E-2</v>
      </c>
      <c r="Z6872">
        <v>-2.3862100000000001E-2</v>
      </c>
      <c r="AA6872">
        <v>0.99552430000000003</v>
      </c>
      <c r="AB6872">
        <v>49</v>
      </c>
      <c r="AC6872">
        <v>4.6310000000000002</v>
      </c>
      <c r="AD6872">
        <v>-1.1100432748510001</v>
      </c>
      <c r="AE6872">
        <v>45.818159999999899</v>
      </c>
      <c r="AF6872">
        <v>4.2528110950085001</v>
      </c>
      <c r="AG6872">
        <v>-1.1100432748510001</v>
      </c>
      <c r="AH6872">
        <v>45.8279532442494</v>
      </c>
      <c r="AI6872">
        <v>91.381611318581506</v>
      </c>
      <c r="AJ6872">
        <v>84.698164934302199</v>
      </c>
      <c r="AK6872">
        <v>46.038243850509502</v>
      </c>
      <c r="AL6872">
        <v>80.161616929880196</v>
      </c>
      <c r="AM6872">
        <v>95.529574448149901</v>
      </c>
      <c r="AN6872">
        <v>1.0000000206865001</v>
      </c>
    </row>
    <row r="6873" spans="1:40" x14ac:dyDescent="0.25">
      <c r="A6873" t="str">
        <f>"20190312164200275"</f>
        <v>20190312164200275</v>
      </c>
      <c r="B6873" t="str">
        <f>"1552380120263304"</f>
        <v>1552380120263304</v>
      </c>
      <c r="C6873" t="s">
        <v>40</v>
      </c>
      <c r="D6873">
        <v>6.0487699999999904</v>
      </c>
      <c r="E6873">
        <v>0.57730760000000003</v>
      </c>
      <c r="F6873" t="s">
        <v>50</v>
      </c>
      <c r="G6873">
        <v>-182.7998</v>
      </c>
      <c r="H6873" s="1">
        <v>-9.0253990000000006E-6</v>
      </c>
      <c r="I6873">
        <v>140.92930000000001</v>
      </c>
      <c r="J6873">
        <v>-187.3</v>
      </c>
      <c r="K6873">
        <v>1.1100239999999999</v>
      </c>
      <c r="L6873">
        <v>96.491730000000004</v>
      </c>
      <c r="M6873">
        <v>7.9679119999999902E-3</v>
      </c>
      <c r="N6873">
        <v>0</v>
      </c>
      <c r="O6873">
        <v>0.99985710000000005</v>
      </c>
      <c r="P6873">
        <v>-8.7813669999999996E-2</v>
      </c>
      <c r="Q6873">
        <v>0.156227</v>
      </c>
      <c r="R6873">
        <v>0.98380990000000001</v>
      </c>
      <c r="S6873">
        <v>0.30972290000000002</v>
      </c>
      <c r="T6873">
        <v>-7.6332449999999996E-2</v>
      </c>
      <c r="U6873">
        <v>3.088562</v>
      </c>
      <c r="V6873">
        <v>-9.5709039999999995E-2</v>
      </c>
      <c r="W6873">
        <v>0.1708316</v>
      </c>
      <c r="X6873">
        <v>0.98064079999999998</v>
      </c>
      <c r="Y6873">
        <v>9.1817800000000005E-2</v>
      </c>
      <c r="Z6873">
        <v>-2.4592019999999999E-2</v>
      </c>
      <c r="AA6873">
        <v>0.99547209999999997</v>
      </c>
      <c r="AB6873">
        <v>49</v>
      </c>
      <c r="AC6873">
        <v>4.5002000000000004</v>
      </c>
      <c r="AD6873">
        <v>-1.1100330253989901</v>
      </c>
      <c r="AE6873">
        <v>44.437570000000001</v>
      </c>
      <c r="AF6873">
        <v>4.14338395852704</v>
      </c>
      <c r="AG6873">
        <v>-1.1100330253989901</v>
      </c>
      <c r="AH6873">
        <v>44.444569201935103</v>
      </c>
      <c r="AI6873">
        <v>91.424528835434401</v>
      </c>
      <c r="AJ6873">
        <v>84.673944782572605</v>
      </c>
      <c r="AK6873">
        <v>44.651086610415803</v>
      </c>
      <c r="AL6873">
        <v>80.163826625190396</v>
      </c>
      <c r="AM6873">
        <v>95.574325713445901</v>
      </c>
      <c r="AN6873">
        <v>1.00000001726046</v>
      </c>
    </row>
    <row r="6874" spans="1:40" x14ac:dyDescent="0.25">
      <c r="A6874" t="str">
        <f>"20190312164200297"</f>
        <v>20190312164200297</v>
      </c>
      <c r="B6874" t="str">
        <f>"1552380120292584"</f>
        <v>1552380120292584</v>
      </c>
      <c r="C6874" t="s">
        <v>40</v>
      </c>
      <c r="D6874">
        <v>6.0124909999999998</v>
      </c>
      <c r="E6874">
        <v>0.57813230000000004</v>
      </c>
      <c r="F6874" t="s">
        <v>50</v>
      </c>
      <c r="G6874">
        <v>-183.08519999999999</v>
      </c>
      <c r="H6874" s="1">
        <v>-8.2407809999999903E-6</v>
      </c>
      <c r="I6874">
        <v>138.43440000000001</v>
      </c>
      <c r="J6874">
        <v>-187.2961</v>
      </c>
      <c r="K6874">
        <v>1.109996</v>
      </c>
      <c r="L6874">
        <v>96.973600000000005</v>
      </c>
      <c r="M6874">
        <v>7.8067589999999999E-3</v>
      </c>
      <c r="N6874">
        <v>0</v>
      </c>
      <c r="O6874">
        <v>0.99985840000000004</v>
      </c>
      <c r="P6874">
        <v>-8.8834590000000005E-2</v>
      </c>
      <c r="Q6874">
        <v>0.1557316</v>
      </c>
      <c r="R6874">
        <v>0.98379680000000003</v>
      </c>
      <c r="S6874">
        <v>0.31051640000000003</v>
      </c>
      <c r="T6874">
        <v>-8.1779840000000006E-2</v>
      </c>
      <c r="U6874">
        <v>3.0900569999999998</v>
      </c>
      <c r="V6874">
        <v>-9.6563780000000002E-2</v>
      </c>
      <c r="W6874">
        <v>0.1703364</v>
      </c>
      <c r="X6874">
        <v>0.98064320000000005</v>
      </c>
      <c r="Y6874">
        <v>9.21791E-2</v>
      </c>
      <c r="Z6874">
        <v>-2.6332419999999999E-2</v>
      </c>
      <c r="AA6874">
        <v>0.99539420000000001</v>
      </c>
      <c r="AB6874">
        <v>49</v>
      </c>
      <c r="AC6874">
        <v>4.2108999999999996</v>
      </c>
      <c r="AD6874">
        <v>-1.110004240781</v>
      </c>
      <c r="AE6874">
        <v>41.460799999999999</v>
      </c>
      <c r="AF6874">
        <v>3.8843055159394999</v>
      </c>
      <c r="AG6874">
        <v>-1.110004240781</v>
      </c>
      <c r="AH6874">
        <v>41.462997806875201</v>
      </c>
      <c r="AI6874">
        <v>91.526814749007002</v>
      </c>
      <c r="AJ6874">
        <v>84.648079675585905</v>
      </c>
      <c r="AK6874">
        <v>41.659334198816097</v>
      </c>
      <c r="AL6874">
        <v>80.192622052917102</v>
      </c>
      <c r="AM6874">
        <v>95.623776435662194</v>
      </c>
      <c r="AN6874">
        <v>1.0000000692395401</v>
      </c>
    </row>
    <row r="6875" spans="1:40" x14ac:dyDescent="0.25">
      <c r="A6875" t="str">
        <f>"20190312164200319"</f>
        <v>20190312164200319</v>
      </c>
      <c r="B6875" t="str">
        <f>"1552380120313080"</f>
        <v>1552380120313080</v>
      </c>
      <c r="C6875" t="s">
        <v>40</v>
      </c>
      <c r="D6875">
        <v>6.1304470000000002</v>
      </c>
      <c r="E6875">
        <v>0.57878379999999996</v>
      </c>
      <c r="F6875" t="s">
        <v>50</v>
      </c>
      <c r="G6875">
        <v>-183.4504</v>
      </c>
      <c r="H6875" s="1">
        <v>-6.9902579999999999E-6</v>
      </c>
      <c r="I6875">
        <v>134.94999999999999</v>
      </c>
      <c r="J6875">
        <v>-187.29230000000001</v>
      </c>
      <c r="K6875">
        <v>1.10998</v>
      </c>
      <c r="L6875">
        <v>97.454130000000006</v>
      </c>
      <c r="M6875">
        <v>7.7109559999999997E-3</v>
      </c>
      <c r="N6875">
        <v>0</v>
      </c>
      <c r="O6875">
        <v>0.99985930000000001</v>
      </c>
      <c r="P6875">
        <v>-8.8854089999999997E-2</v>
      </c>
      <c r="Q6875">
        <v>0.1560761</v>
      </c>
      <c r="R6875">
        <v>0.98374039999999996</v>
      </c>
      <c r="S6875">
        <v>0.31311040000000001</v>
      </c>
      <c r="T6875">
        <v>-9.0374830000000003E-2</v>
      </c>
      <c r="U6875">
        <v>3.09198</v>
      </c>
      <c r="V6875">
        <v>-9.6481709999999998E-2</v>
      </c>
      <c r="W6875">
        <v>0.17068079999999999</v>
      </c>
      <c r="X6875">
        <v>0.9805914</v>
      </c>
      <c r="Y6875">
        <v>9.3031909999999995E-2</v>
      </c>
      <c r="Z6875">
        <v>-2.9077370000000002E-2</v>
      </c>
      <c r="AA6875">
        <v>0.99523839999999997</v>
      </c>
      <c r="AB6875">
        <v>49</v>
      </c>
      <c r="AC6875">
        <v>3.8418999999999999</v>
      </c>
      <c r="AD6875">
        <v>-1.109986990258</v>
      </c>
      <c r="AE6875">
        <v>37.495869999999897</v>
      </c>
      <c r="AF6875">
        <v>3.5495463986729701</v>
      </c>
      <c r="AG6875">
        <v>-1.109986990258</v>
      </c>
      <c r="AH6875">
        <v>37.491869019168099</v>
      </c>
      <c r="AI6875">
        <v>91.688262657768604</v>
      </c>
      <c r="AJ6875">
        <v>84.5916370381984</v>
      </c>
      <c r="AK6875">
        <v>37.675875481604002</v>
      </c>
      <c r="AL6875">
        <v>80.172596187151896</v>
      </c>
      <c r="AM6875">
        <v>95.6193222898427</v>
      </c>
      <c r="AN6875">
        <v>1.00000007480355</v>
      </c>
    </row>
    <row r="6876" spans="1:40" x14ac:dyDescent="0.25">
      <c r="A6876" t="str">
        <f>"20190312164200344"</f>
        <v>20190312164200344</v>
      </c>
      <c r="B6876" t="str">
        <f>"1552380120332600"</f>
        <v>1552380120332600</v>
      </c>
      <c r="C6876" t="s">
        <v>40</v>
      </c>
      <c r="D6876">
        <v>6.022265</v>
      </c>
      <c r="E6876">
        <v>0.57914750000000004</v>
      </c>
      <c r="F6876" t="s">
        <v>50</v>
      </c>
      <c r="G6876">
        <v>-183.5873</v>
      </c>
      <c r="H6876" s="1">
        <v>-6.5070340000000002E-6</v>
      </c>
      <c r="I6876">
        <v>133.60239999999999</v>
      </c>
      <c r="J6876">
        <v>-187.28819999999999</v>
      </c>
      <c r="K6876">
        <v>1.1099680000000001</v>
      </c>
      <c r="L6876">
        <v>97.981809999999996</v>
      </c>
      <c r="M6876">
        <v>7.6624859999999996E-3</v>
      </c>
      <c r="N6876">
        <v>0</v>
      </c>
      <c r="O6876">
        <v>0.99985970000000002</v>
      </c>
      <c r="P6876">
        <v>-8.8263469999999997E-2</v>
      </c>
      <c r="Q6876">
        <v>0.15678029999999901</v>
      </c>
      <c r="R6876">
        <v>0.98368160000000004</v>
      </c>
      <c r="S6876">
        <v>0.31704710000000003</v>
      </c>
      <c r="T6876">
        <v>-9.498405E-2</v>
      </c>
      <c r="U6876">
        <v>3.0932919999999999</v>
      </c>
      <c r="V6876">
        <v>-9.5839079999999993E-2</v>
      </c>
      <c r="W6876">
        <v>0.1713827</v>
      </c>
      <c r="X6876">
        <v>0.98053190000000001</v>
      </c>
      <c r="Y6876">
        <v>9.428694E-2</v>
      </c>
      <c r="Z6876">
        <v>-3.0542360000000001E-2</v>
      </c>
      <c r="AA6876">
        <v>0.99507650000000003</v>
      </c>
      <c r="AB6876">
        <v>49</v>
      </c>
      <c r="AC6876">
        <v>3.7008999999999901</v>
      </c>
      <c r="AD6876">
        <v>-1.1099745070339999</v>
      </c>
      <c r="AE6876">
        <v>35.6205899999999</v>
      </c>
      <c r="AF6876">
        <v>3.42452903123043</v>
      </c>
      <c r="AG6876">
        <v>-1.1099745070339999</v>
      </c>
      <c r="AH6876">
        <v>35.613693335136801</v>
      </c>
      <c r="AI6876">
        <v>91.776972735359905</v>
      </c>
      <c r="AJ6876">
        <v>84.507459539329801</v>
      </c>
      <c r="AK6876">
        <v>35.7951755891932</v>
      </c>
      <c r="AL6876">
        <v>80.131777944650693</v>
      </c>
      <c r="AM6876">
        <v>95.5824677748966</v>
      </c>
      <c r="AN6876">
        <v>0.99999998301607296</v>
      </c>
    </row>
    <row r="6877" spans="1:40" x14ac:dyDescent="0.25">
      <c r="A6877" t="str">
        <f>"20190312164200365"</f>
        <v>20190312164200365</v>
      </c>
      <c r="B6877" t="str">
        <f>"1552380120353097"</f>
        <v>1552380120353097</v>
      </c>
      <c r="C6877" t="s">
        <v>40</v>
      </c>
      <c r="D6877">
        <v>5.8609309999999999</v>
      </c>
      <c r="E6877">
        <v>0.53819569999999906</v>
      </c>
      <c r="F6877" t="s">
        <v>50</v>
      </c>
      <c r="G6877">
        <v>-183.64150000000001</v>
      </c>
      <c r="H6877" s="1">
        <v>-6.3636439999999999E-6</v>
      </c>
      <c r="I6877">
        <v>133.19720000000001</v>
      </c>
      <c r="J6877">
        <v>-187.28450000000001</v>
      </c>
      <c r="K6877">
        <v>1.109972</v>
      </c>
      <c r="L6877">
        <v>98.454679999999996</v>
      </c>
      <c r="M6877">
        <v>7.6472069999999996E-3</v>
      </c>
      <c r="N6877">
        <v>0</v>
      </c>
      <c r="O6877">
        <v>0.99985990000000002</v>
      </c>
      <c r="P6877">
        <v>-8.7496290000000004E-2</v>
      </c>
      <c r="Q6877">
        <v>0.15763179999999999</v>
      </c>
      <c r="R6877">
        <v>0.98361410000000005</v>
      </c>
      <c r="S6877">
        <v>0.32040410000000002</v>
      </c>
      <c r="T6877">
        <v>-9.7523209999999999E-2</v>
      </c>
      <c r="U6877">
        <v>3.094055</v>
      </c>
      <c r="V6877">
        <v>-9.5053780000000004E-2</v>
      </c>
      <c r="W6877">
        <v>0.172232</v>
      </c>
      <c r="X6877">
        <v>0.98045959999999999</v>
      </c>
      <c r="Y6877">
        <v>9.5342930000000006E-2</v>
      </c>
      <c r="Z6877">
        <v>-3.1347029999999998E-2</v>
      </c>
      <c r="AA6877">
        <v>0.99495080000000002</v>
      </c>
      <c r="AB6877">
        <v>49</v>
      </c>
      <c r="AC6877">
        <v>3.6429999999999998</v>
      </c>
      <c r="AD6877">
        <v>-1.1099783636439999</v>
      </c>
      <c r="AE6877">
        <v>34.742519999999999</v>
      </c>
      <c r="AF6877">
        <v>3.37377452998521</v>
      </c>
      <c r="AG6877">
        <v>-1.1099783636439999</v>
      </c>
      <c r="AH6877">
        <v>34.734297360485698</v>
      </c>
      <c r="AI6877">
        <v>91.821768486887606</v>
      </c>
      <c r="AJ6877">
        <v>84.452210816899495</v>
      </c>
      <c r="AK6877">
        <v>34.915409487410898</v>
      </c>
      <c r="AL6877">
        <v>80.082382871022901</v>
      </c>
      <c r="AM6877">
        <v>95.537416543083793</v>
      </c>
      <c r="AN6877">
        <v>1.0000000550742201</v>
      </c>
    </row>
    <row r="6878" spans="1:40" x14ac:dyDescent="0.25">
      <c r="A6878" t="str">
        <f>"20190312164200387"</f>
        <v>20190312164200387</v>
      </c>
      <c r="B6878" t="str">
        <f>"1552380120383352"</f>
        <v>1552380120383352</v>
      </c>
      <c r="C6878" t="s">
        <v>40</v>
      </c>
      <c r="D6878">
        <v>6.0444909999999998</v>
      </c>
      <c r="E6878">
        <v>0.52443019999999996</v>
      </c>
      <c r="F6878" t="s">
        <v>62</v>
      </c>
      <c r="G6878">
        <v>-186.9161</v>
      </c>
      <c r="H6878">
        <v>1.387033</v>
      </c>
      <c r="I6878">
        <v>391.87</v>
      </c>
      <c r="J6878">
        <v>-187.28100000000001</v>
      </c>
      <c r="K6878">
        <v>1.10998</v>
      </c>
      <c r="L6878">
        <v>98.912350000000004</v>
      </c>
      <c r="M6878">
        <v>7.6246600000000001E-3</v>
      </c>
      <c r="N6878">
        <v>0</v>
      </c>
      <c r="O6878">
        <v>0.99985999999999997</v>
      </c>
      <c r="P6878">
        <v>-8.5554190000000002E-2</v>
      </c>
      <c r="Q6878">
        <v>0.158725799999999</v>
      </c>
      <c r="R6878">
        <v>0.98360899999999996</v>
      </c>
      <c r="S6878">
        <v>3.8299559999999998E-3</v>
      </c>
      <c r="T6878">
        <v>2.8798579999999999E-3</v>
      </c>
      <c r="U6878">
        <v>3.0498660000000002</v>
      </c>
      <c r="V6878">
        <v>-9.3092499999999995E-2</v>
      </c>
      <c r="W6878">
        <v>0.17332210000000001</v>
      </c>
      <c r="X6878">
        <v>0.98045559999999998</v>
      </c>
      <c r="Y6878">
        <v>-6.369759E-3</v>
      </c>
      <c r="Z6878">
        <v>9.4420590000000003E-4</v>
      </c>
      <c r="AA6878">
        <v>0.99997930000000002</v>
      </c>
      <c r="AB6878">
        <v>49</v>
      </c>
      <c r="AC6878">
        <v>0.36489999999997702</v>
      </c>
      <c r="AD6878">
        <v>0.27705299999999999</v>
      </c>
      <c r="AE6878">
        <v>292.95765</v>
      </c>
      <c r="AF6878">
        <v>-1.8690592223947899</v>
      </c>
      <c r="AG6878">
        <v>0.27705299999999999</v>
      </c>
      <c r="AH6878">
        <v>292.95165291670901</v>
      </c>
      <c r="AI6878">
        <v>89.945814814010205</v>
      </c>
      <c r="AJ6878">
        <v>90.365547526456496</v>
      </c>
      <c r="AK6878">
        <v>292.95774624913599</v>
      </c>
      <c r="AL6878">
        <v>80.018970269332499</v>
      </c>
      <c r="AM6878">
        <v>95.4238714330981</v>
      </c>
      <c r="AN6878">
        <v>0.99999997373800897</v>
      </c>
    </row>
    <row r="6879" spans="1:40" x14ac:dyDescent="0.25">
      <c r="A6879" t="str">
        <f>"20190312164200409"</f>
        <v>20190312164200409</v>
      </c>
      <c r="B6879" t="str">
        <f>"1552380120402873"</f>
        <v>1552380120402873</v>
      </c>
      <c r="C6879" t="s">
        <v>40</v>
      </c>
      <c r="D6879">
        <v>5.9166869999999996</v>
      </c>
      <c r="E6879">
        <v>0.52253249999999996</v>
      </c>
      <c r="F6879" t="s">
        <v>62</v>
      </c>
      <c r="G6879">
        <v>-197.03870000000001</v>
      </c>
      <c r="H6879">
        <v>0.3973141</v>
      </c>
      <c r="I6879">
        <v>391.87</v>
      </c>
      <c r="J6879">
        <v>-187.2773</v>
      </c>
      <c r="K6879">
        <v>1.110009</v>
      </c>
      <c r="L6879">
        <v>99.404420000000002</v>
      </c>
      <c r="M6879">
        <v>7.5430489999999996E-3</v>
      </c>
      <c r="N6879">
        <v>0</v>
      </c>
      <c r="O6879">
        <v>0.99986079999999999</v>
      </c>
      <c r="P6879">
        <v>-8.3259420000000001E-2</v>
      </c>
      <c r="Q6879">
        <v>0.16033789999999901</v>
      </c>
      <c r="R6879">
        <v>0.98354439999999999</v>
      </c>
      <c r="S6879">
        <v>-0.1013336</v>
      </c>
      <c r="T6879">
        <v>-7.4011090000000003E-3</v>
      </c>
      <c r="U6879">
        <v>3.042389</v>
      </c>
      <c r="V6879">
        <v>-9.0728059999999999E-2</v>
      </c>
      <c r="W6879">
        <v>0.17492469999999999</v>
      </c>
      <c r="X6879">
        <v>0.98039270000000001</v>
      </c>
      <c r="Y6879">
        <v>-4.0827450000000001E-2</v>
      </c>
      <c r="Z6879">
        <v>-2.430864E-3</v>
      </c>
      <c r="AA6879">
        <v>0.99916329999999998</v>
      </c>
      <c r="AB6879">
        <v>49</v>
      </c>
      <c r="AC6879">
        <v>-9.7614000000000001</v>
      </c>
      <c r="AD6879">
        <v>-0.71269490000000002</v>
      </c>
      <c r="AE6879">
        <v>292.46557999999999</v>
      </c>
      <c r="AF6879">
        <v>-11.967377794613199</v>
      </c>
      <c r="AG6879">
        <v>-0.71269490000000002</v>
      </c>
      <c r="AH6879">
        <v>292.381884569504</v>
      </c>
      <c r="AI6879">
        <v>90.139544099527996</v>
      </c>
      <c r="AJ6879">
        <v>92.343844640904194</v>
      </c>
      <c r="AK6879">
        <v>292.62756618219402</v>
      </c>
      <c r="AL6879">
        <v>79.925724251398705</v>
      </c>
      <c r="AM6879">
        <v>95.287239468162298</v>
      </c>
      <c r="AN6879">
        <v>1.00000003887737</v>
      </c>
    </row>
    <row r="6880" spans="1:40" x14ac:dyDescent="0.25">
      <c r="A6880" t="str">
        <f>"20190312164200432"</f>
        <v>20190312164200432</v>
      </c>
      <c r="B6880" t="str">
        <f>"1552380120423373"</f>
        <v>1552380120423373</v>
      </c>
      <c r="C6880" t="s">
        <v>40</v>
      </c>
      <c r="D6880">
        <v>6.0490510000000004</v>
      </c>
      <c r="E6880">
        <v>0.52201120000000001</v>
      </c>
      <c r="F6880" t="s">
        <v>46</v>
      </c>
      <c r="G6880">
        <v>-192.02119999999999</v>
      </c>
      <c r="H6880" s="1">
        <v>9.9477300000000001E-8</v>
      </c>
      <c r="I6880">
        <v>229.0515</v>
      </c>
      <c r="J6880">
        <v>-187.27369999999999</v>
      </c>
      <c r="K6880">
        <v>1.1100680000000001</v>
      </c>
      <c r="L6880">
        <v>99.908230000000003</v>
      </c>
      <c r="M6880">
        <v>7.3569169999999897E-3</v>
      </c>
      <c r="N6880">
        <v>0</v>
      </c>
      <c r="O6880">
        <v>0.99986220000000003</v>
      </c>
      <c r="P6880">
        <v>-7.9510650000000002E-2</v>
      </c>
      <c r="Q6880">
        <v>0.16155169999999999</v>
      </c>
      <c r="R6880">
        <v>0.98365599999999997</v>
      </c>
      <c r="S6880">
        <v>-0.111419699999999</v>
      </c>
      <c r="T6880">
        <v>-2.607071E-2</v>
      </c>
      <c r="U6880">
        <v>3.045013</v>
      </c>
      <c r="V6880">
        <v>-8.6820830000000002E-2</v>
      </c>
      <c r="W6880">
        <v>0.17612729999999999</v>
      </c>
      <c r="X6880">
        <v>0.98053120000000005</v>
      </c>
      <c r="Y6880">
        <v>-4.3916879999999998E-2</v>
      </c>
      <c r="Z6880">
        <v>-8.5541200000000001E-3</v>
      </c>
      <c r="AA6880">
        <v>0.99899859999999896</v>
      </c>
      <c r="AB6880">
        <v>49</v>
      </c>
      <c r="AC6880">
        <v>-4.7474999999999996</v>
      </c>
      <c r="AD6880">
        <v>-1.1100679005226901</v>
      </c>
      <c r="AE6880">
        <v>129.14327</v>
      </c>
      <c r="AF6880">
        <v>-5.69715266571282</v>
      </c>
      <c r="AG6880">
        <v>-1.1100679005226901</v>
      </c>
      <c r="AH6880">
        <v>129.09531813856501</v>
      </c>
      <c r="AI6880">
        <v>90.492185145521205</v>
      </c>
      <c r="AJ6880">
        <v>92.526901391531396</v>
      </c>
      <c r="AK6880">
        <v>129.22573646351401</v>
      </c>
      <c r="AL6880">
        <v>79.855733926452501</v>
      </c>
      <c r="AM6880">
        <v>95.060040656951699</v>
      </c>
      <c r="AN6880">
        <v>1.0000000582502999</v>
      </c>
    </row>
    <row r="6881" spans="1:40" x14ac:dyDescent="0.25">
      <c r="A6881" t="str">
        <f>"20190312164200453"</f>
        <v>20190312164200453</v>
      </c>
      <c r="B6881" t="str">
        <f>"1552380120442888"</f>
        <v>1552380120442888</v>
      </c>
      <c r="C6881" t="s">
        <v>40</v>
      </c>
      <c r="D6881">
        <v>5.9093039999999997</v>
      </c>
      <c r="E6881">
        <v>0.52057339999999996</v>
      </c>
      <c r="F6881" t="s">
        <v>41</v>
      </c>
      <c r="G6881">
        <v>-190.3877</v>
      </c>
      <c r="H6881" s="1">
        <v>-3.7654099999999998E-7</v>
      </c>
      <c r="I6881">
        <v>190.22640000000001</v>
      </c>
      <c r="J6881">
        <v>-187.2705</v>
      </c>
      <c r="K6881">
        <v>1.1101540000000001</v>
      </c>
      <c r="L6881">
        <v>100.36060000000001</v>
      </c>
      <c r="M6881">
        <v>7.0758959999999999E-3</v>
      </c>
      <c r="N6881">
        <v>0</v>
      </c>
      <c r="O6881">
        <v>0.99986430000000004</v>
      </c>
      <c r="P6881">
        <v>-7.5023129999999993E-2</v>
      </c>
      <c r="Q6881">
        <v>0.1622622</v>
      </c>
      <c r="R6881">
        <v>0.98389150000000003</v>
      </c>
      <c r="S6881">
        <v>-0.105072</v>
      </c>
      <c r="T6881">
        <v>-3.7455559999999999E-2</v>
      </c>
      <c r="U6881">
        <v>3.047485</v>
      </c>
      <c r="V6881">
        <v>-8.2089889999999999E-2</v>
      </c>
      <c r="W6881">
        <v>0.1768267</v>
      </c>
      <c r="X6881">
        <v>0.98081269999999998</v>
      </c>
      <c r="Y6881">
        <v>-4.1526809999999997E-2</v>
      </c>
      <c r="Z6881">
        <v>-1.2280309999999999E-2</v>
      </c>
      <c r="AA6881">
        <v>0.99906189999999995</v>
      </c>
      <c r="AB6881">
        <v>49</v>
      </c>
      <c r="AC6881">
        <v>-3.1171999999999902</v>
      </c>
      <c r="AD6881">
        <v>-1.110154376541</v>
      </c>
      <c r="AE6881">
        <v>89.865799999999993</v>
      </c>
      <c r="AF6881">
        <v>-3.75250140192002</v>
      </c>
      <c r="AG6881">
        <v>-1.110154376541</v>
      </c>
      <c r="AH6881">
        <v>89.827798351507397</v>
      </c>
      <c r="AI6881">
        <v>90.707448073178895</v>
      </c>
      <c r="AJ6881">
        <v>92.392105347780401</v>
      </c>
      <c r="AK6881">
        <v>89.912997203909498</v>
      </c>
      <c r="AL6881">
        <v>79.815021600729196</v>
      </c>
      <c r="AM6881">
        <v>94.784264867524399</v>
      </c>
      <c r="AN6881">
        <v>0.99999999217719504</v>
      </c>
    </row>
    <row r="6882" spans="1:40" x14ac:dyDescent="0.25">
      <c r="A6882" t="str">
        <f>"20190312164200476"</f>
        <v>20190312164200476</v>
      </c>
      <c r="B6882" t="str">
        <f>"1552380120462408"</f>
        <v>1552380120462408</v>
      </c>
      <c r="C6882" t="s">
        <v>40</v>
      </c>
      <c r="D6882">
        <v>6.0291509999999997</v>
      </c>
      <c r="E6882">
        <v>0.51971509999999999</v>
      </c>
      <c r="F6882" t="s">
        <v>41</v>
      </c>
      <c r="G6882">
        <v>-189.4058</v>
      </c>
      <c r="H6882" s="1">
        <v>-1.6459260000000001E-6</v>
      </c>
      <c r="I6882">
        <v>162.89019999999999</v>
      </c>
      <c r="J6882">
        <v>-187.26740000000001</v>
      </c>
      <c r="K6882">
        <v>1.11026</v>
      </c>
      <c r="L6882">
        <v>100.8432</v>
      </c>
      <c r="M6882">
        <v>6.6504800000000003E-3</v>
      </c>
      <c r="N6882">
        <v>0</v>
      </c>
      <c r="O6882">
        <v>0.99986719999999896</v>
      </c>
      <c r="P6882">
        <v>-7.0163260000000005E-2</v>
      </c>
      <c r="Q6882">
        <v>0.16196540000000001</v>
      </c>
      <c r="R6882">
        <v>0.98429889999999998</v>
      </c>
      <c r="S6882">
        <v>-0.1041565</v>
      </c>
      <c r="T6882">
        <v>-5.4151890000000001E-2</v>
      </c>
      <c r="U6882">
        <v>3.0501100000000001</v>
      </c>
      <c r="V6882">
        <v>-7.685728E-2</v>
      </c>
      <c r="W6882">
        <v>0.176518799999999</v>
      </c>
      <c r="X6882">
        <v>0.98129200000000005</v>
      </c>
      <c r="Y6882">
        <v>-4.0769769999999997E-2</v>
      </c>
      <c r="Z6882">
        <v>-1.7738150000000001E-2</v>
      </c>
      <c r="AA6882">
        <v>0.99901110000000004</v>
      </c>
      <c r="AB6882">
        <v>49</v>
      </c>
      <c r="AC6882">
        <v>-2.1383999999999901</v>
      </c>
      <c r="AD6882">
        <v>-1.110261645926</v>
      </c>
      <c r="AE6882">
        <v>62.046999999999997</v>
      </c>
      <c r="AF6882">
        <v>-2.55022511918779</v>
      </c>
      <c r="AG6882">
        <v>-1.110261645926</v>
      </c>
      <c r="AH6882">
        <v>62.011572595183502</v>
      </c>
      <c r="AI6882">
        <v>91.024853906456997</v>
      </c>
      <c r="AJ6882">
        <v>92.354961167257798</v>
      </c>
      <c r="AK6882">
        <v>62.073919360780401</v>
      </c>
      <c r="AL6882">
        <v>79.832944568018704</v>
      </c>
      <c r="AM6882">
        <v>94.478408323671403</v>
      </c>
      <c r="AN6882">
        <v>0.99999995875321801</v>
      </c>
    </row>
    <row r="6883" spans="1:40" x14ac:dyDescent="0.25">
      <c r="A6883" t="str">
        <f>"20190312164200499"</f>
        <v>20190312164200499</v>
      </c>
      <c r="B6883" t="str">
        <f>"1552380120492664"</f>
        <v>1552380120492664</v>
      </c>
      <c r="C6883" t="s">
        <v>40</v>
      </c>
      <c r="D6883">
        <v>6.0272350000000001</v>
      </c>
      <c r="E6883">
        <v>0.51873579999999997</v>
      </c>
      <c r="F6883" t="s">
        <v>41</v>
      </c>
      <c r="G6883">
        <v>-189.27879999999999</v>
      </c>
      <c r="H6883" s="1">
        <v>-2.6457700000000002E-6</v>
      </c>
      <c r="I6883">
        <v>164.95769999999999</v>
      </c>
      <c r="J6883">
        <v>-187.2646</v>
      </c>
      <c r="K6883">
        <v>1.110382</v>
      </c>
      <c r="L6883">
        <v>101.3421</v>
      </c>
      <c r="M6883">
        <v>6.0700889999999999E-3</v>
      </c>
      <c r="N6883">
        <v>0</v>
      </c>
      <c r="O6883">
        <v>0.99987099999999995</v>
      </c>
      <c r="P6883">
        <v>-6.3928410000000005E-2</v>
      </c>
      <c r="Q6883">
        <v>0.16202710000000001</v>
      </c>
      <c r="R6883">
        <v>0.98471339999999996</v>
      </c>
      <c r="S6883">
        <v>-9.5672610000000005E-2</v>
      </c>
      <c r="T6883">
        <v>-5.2811499999999997E-2</v>
      </c>
      <c r="U6883">
        <v>3.0497130000000001</v>
      </c>
      <c r="V6883">
        <v>-7.0103739999999998E-2</v>
      </c>
      <c r="W6883">
        <v>0.176571799999999</v>
      </c>
      <c r="X6883">
        <v>0.98178810000000005</v>
      </c>
      <c r="Y6883">
        <v>-3.7418100000000003E-2</v>
      </c>
      <c r="Z6883">
        <v>-1.730348E-2</v>
      </c>
      <c r="AA6883">
        <v>0.99914990000000004</v>
      </c>
      <c r="AB6883">
        <v>49</v>
      </c>
      <c r="AC6883">
        <v>-2.0141999999999798</v>
      </c>
      <c r="AD6883">
        <v>-1.11038464577</v>
      </c>
      <c r="AE6883">
        <v>63.615599999999901</v>
      </c>
      <c r="AF6883">
        <v>-2.3996275956367898</v>
      </c>
      <c r="AG6883">
        <v>-1.11038464577</v>
      </c>
      <c r="AH6883">
        <v>63.5828480771358</v>
      </c>
      <c r="AI6883">
        <v>90.999776568804094</v>
      </c>
      <c r="AJ6883">
        <v>92.161326798059804</v>
      </c>
      <c r="AK6883">
        <v>63.637801158269397</v>
      </c>
      <c r="AL6883">
        <v>79.829859898033106</v>
      </c>
      <c r="AM6883">
        <v>94.084224359124093</v>
      </c>
      <c r="AN6883">
        <v>1.0000000041094099</v>
      </c>
    </row>
    <row r="6884" spans="1:40" x14ac:dyDescent="0.25">
      <c r="A6884" t="str">
        <f>"20190312164200522"</f>
        <v>20190312164200522</v>
      </c>
      <c r="B6884" t="str">
        <f>"1552380120513160"</f>
        <v>1552380120513160</v>
      </c>
      <c r="C6884" t="s">
        <v>40</v>
      </c>
      <c r="D6884">
        <v>5.821936</v>
      </c>
      <c r="E6884">
        <v>0.51924150000000002</v>
      </c>
      <c r="F6884" t="s">
        <v>41</v>
      </c>
      <c r="G6884">
        <v>-189.11709999999999</v>
      </c>
      <c r="H6884" s="1">
        <v>-4.3173400000000004E-6</v>
      </c>
      <c r="I6884">
        <v>168.4331</v>
      </c>
      <c r="J6884">
        <v>-187.262</v>
      </c>
      <c r="K6884">
        <v>1.1105119999999999</v>
      </c>
      <c r="L6884">
        <v>101.8527</v>
      </c>
      <c r="M6884">
        <v>5.3250559999999999E-3</v>
      </c>
      <c r="N6884">
        <v>0</v>
      </c>
      <c r="O6884">
        <v>0.99987519999999996</v>
      </c>
      <c r="P6884">
        <v>-5.5469579999999997E-2</v>
      </c>
      <c r="Q6884">
        <v>0.1623375</v>
      </c>
      <c r="R6884">
        <v>0.98517500000000002</v>
      </c>
      <c r="S6884">
        <v>-8.4197999999999995E-2</v>
      </c>
      <c r="T6884">
        <v>-5.0468560000000003E-2</v>
      </c>
      <c r="U6884">
        <v>3.0493769999999998</v>
      </c>
      <c r="V6884">
        <v>-6.0967960000000002E-2</v>
      </c>
      <c r="W6884">
        <v>0.17688019999999999</v>
      </c>
      <c r="X6884">
        <v>0.98234219999999906</v>
      </c>
      <c r="Y6884">
        <v>-3.292047E-2</v>
      </c>
      <c r="Z6884">
        <v>-1.6540200000000001E-2</v>
      </c>
      <c r="AA6884">
        <v>0.99932109999999996</v>
      </c>
      <c r="AB6884">
        <v>48</v>
      </c>
      <c r="AC6884">
        <v>-1.85509999999999</v>
      </c>
      <c r="AD6884">
        <v>-1.1105163173399999</v>
      </c>
      <c r="AE6884">
        <v>66.580399999999997</v>
      </c>
      <c r="AF6884">
        <v>-2.2090431957552101</v>
      </c>
      <c r="AG6884">
        <v>-1.1105163173399999</v>
      </c>
      <c r="AH6884">
        <v>66.551076050166699</v>
      </c>
      <c r="AI6884">
        <v>90.955461333382402</v>
      </c>
      <c r="AJ6884">
        <v>91.9011322739793</v>
      </c>
      <c r="AK6884">
        <v>66.596988233454397</v>
      </c>
      <c r="AL6884">
        <v>79.811906725559894</v>
      </c>
      <c r="AM6884">
        <v>93.551442605096796</v>
      </c>
      <c r="AN6884">
        <v>0.999999947599719</v>
      </c>
    </row>
    <row r="6885" spans="1:40" x14ac:dyDescent="0.25">
      <c r="A6885" t="str">
        <f>"20190312164200544"</f>
        <v>20190312164200544</v>
      </c>
      <c r="B6885" t="str">
        <f>"1552380120532681"</f>
        <v>1552380120532681</v>
      </c>
      <c r="C6885" t="s">
        <v>40</v>
      </c>
      <c r="D6885">
        <v>5.9430259999999997</v>
      </c>
      <c r="E6885">
        <v>0.57377109999999998</v>
      </c>
      <c r="F6885" t="s">
        <v>41</v>
      </c>
      <c r="G6885">
        <v>-188.47069999999999</v>
      </c>
      <c r="H6885" s="1">
        <v>-4.2535120000000003E-6</v>
      </c>
      <c r="I6885">
        <v>168.0556</v>
      </c>
      <c r="J6885">
        <v>-187.26009999999999</v>
      </c>
      <c r="K6885">
        <v>1.1106229999999999</v>
      </c>
      <c r="L6885">
        <v>102.3287</v>
      </c>
      <c r="M6885">
        <v>4.5288309999999997E-3</v>
      </c>
      <c r="N6885">
        <v>0</v>
      </c>
      <c r="O6885">
        <v>0.99987919999999997</v>
      </c>
      <c r="P6885">
        <v>-4.5090150000000002E-2</v>
      </c>
      <c r="Q6885">
        <v>0.1608627</v>
      </c>
      <c r="R6885">
        <v>0.98594630000000005</v>
      </c>
      <c r="S6885">
        <v>-5.569458E-2</v>
      </c>
      <c r="T6885">
        <v>-5.1169510000000001E-2</v>
      </c>
      <c r="U6885">
        <v>3.050446</v>
      </c>
      <c r="V6885">
        <v>-4.9853559999999998E-2</v>
      </c>
      <c r="W6885">
        <v>0.17541899999999999</v>
      </c>
      <c r="X6885">
        <v>0.98323079999999996</v>
      </c>
      <c r="Y6885">
        <v>-2.278063E-2</v>
      </c>
      <c r="Z6885">
        <v>-1.6768249999999998E-2</v>
      </c>
      <c r="AA6885">
        <v>0.99959989999999999</v>
      </c>
      <c r="AB6885">
        <v>48</v>
      </c>
      <c r="AC6885">
        <v>-1.2105999999999899</v>
      </c>
      <c r="AD6885">
        <v>-1.1106272535120001</v>
      </c>
      <c r="AE6885">
        <v>65.726900000000001</v>
      </c>
      <c r="AF6885">
        <v>-1.50785612251219</v>
      </c>
      <c r="AG6885">
        <v>-1.1106272535120001</v>
      </c>
      <c r="AH6885">
        <v>65.701989132182604</v>
      </c>
      <c r="AI6885">
        <v>90.968181456733902</v>
      </c>
      <c r="AJ6885">
        <v>91.314703405702005</v>
      </c>
      <c r="AK6885">
        <v>65.728673339022194</v>
      </c>
      <c r="AL6885">
        <v>79.896957812903395</v>
      </c>
      <c r="AM6885">
        <v>92.902629304881899</v>
      </c>
      <c r="AN6885">
        <v>1.00000000453715</v>
      </c>
    </row>
    <row r="6886" spans="1:40" x14ac:dyDescent="0.25">
      <c r="A6886" t="str">
        <f>"20190312164200566"</f>
        <v>20190312164200566</v>
      </c>
      <c r="B6886" t="str">
        <f>"1552380120562936"</f>
        <v>1552380120562936</v>
      </c>
      <c r="C6886" t="s">
        <v>40</v>
      </c>
      <c r="D6886">
        <v>5.975155</v>
      </c>
      <c r="E6886">
        <v>0.60059960000000001</v>
      </c>
      <c r="F6886" t="s">
        <v>61</v>
      </c>
      <c r="G6886">
        <v>-167.37010000000001</v>
      </c>
      <c r="H6886">
        <v>0.81400299999999903</v>
      </c>
      <c r="I6886">
        <v>249.3853</v>
      </c>
      <c r="J6886">
        <v>-187.2586</v>
      </c>
      <c r="K6886">
        <v>1.1107149999999999</v>
      </c>
      <c r="L6886">
        <v>102.7974</v>
      </c>
      <c r="M6886">
        <v>3.664077E-3</v>
      </c>
      <c r="N6886">
        <v>0</v>
      </c>
      <c r="O6886">
        <v>0.99988279999999996</v>
      </c>
      <c r="P6886">
        <v>-4.0347309999999997E-2</v>
      </c>
      <c r="Q6886">
        <v>0.15782599999999999</v>
      </c>
      <c r="R6886">
        <v>0.98664229999999997</v>
      </c>
      <c r="S6886">
        <v>0.41424559999999999</v>
      </c>
      <c r="T6886">
        <v>-6.1764719999999997E-3</v>
      </c>
      <c r="U6886">
        <v>3.0627140000000002</v>
      </c>
      <c r="V6886">
        <v>-4.429669E-2</v>
      </c>
      <c r="W6886">
        <v>0.172390299999999</v>
      </c>
      <c r="X6886">
        <v>0.98403220000000002</v>
      </c>
      <c r="Y6886">
        <v>0.1304014</v>
      </c>
      <c r="Z6886">
        <v>-1.9989320000000001E-3</v>
      </c>
      <c r="AA6886">
        <v>0.99145930000000004</v>
      </c>
      <c r="AB6886">
        <v>48</v>
      </c>
      <c r="AC6886">
        <v>19.888500000000001</v>
      </c>
      <c r="AD6886">
        <v>-0.29671199999999998</v>
      </c>
      <c r="AE6886">
        <v>146.58789999999999</v>
      </c>
      <c r="AF6886">
        <v>19.3511199112159</v>
      </c>
      <c r="AG6886">
        <v>-0.29671199999999998</v>
      </c>
      <c r="AH6886">
        <v>146.659206809127</v>
      </c>
      <c r="AI6886">
        <v>90.114921126083999</v>
      </c>
      <c r="AJ6886">
        <v>82.483461385884794</v>
      </c>
      <c r="AK6886">
        <v>147.93064868955099</v>
      </c>
      <c r="AL6886">
        <v>80.073174589048705</v>
      </c>
      <c r="AM6886">
        <v>92.577457451310295</v>
      </c>
      <c r="AN6886">
        <v>0.99999999145794305</v>
      </c>
    </row>
    <row r="6887" spans="1:40" x14ac:dyDescent="0.25">
      <c r="A6887" t="str">
        <f>"20190312164200588"</f>
        <v>20190312164200588</v>
      </c>
      <c r="B6887" t="str">
        <f>"1552380120583432"</f>
        <v>1552380120583432</v>
      </c>
      <c r="C6887" t="s">
        <v>40</v>
      </c>
      <c r="D6887">
        <v>5.8606680000000004</v>
      </c>
      <c r="E6887">
        <v>0.59950729999999997</v>
      </c>
      <c r="F6887" t="s">
        <v>41</v>
      </c>
      <c r="G6887">
        <v>-184.53149999999999</v>
      </c>
      <c r="H6887" s="1">
        <v>-3.8614209999999999E-6</v>
      </c>
      <c r="I6887">
        <v>116.37269999999999</v>
      </c>
      <c r="J6887">
        <v>-187.25749999999999</v>
      </c>
      <c r="K6887">
        <v>1.1107899999999999</v>
      </c>
      <c r="L6887">
        <v>103.2654</v>
      </c>
      <c r="M6887">
        <v>2.7400649999999999E-3</v>
      </c>
      <c r="N6887">
        <v>0</v>
      </c>
      <c r="O6887">
        <v>0.99988569999999999</v>
      </c>
      <c r="P6887">
        <v>-3.1537129999999997E-2</v>
      </c>
      <c r="Q6887">
        <v>0.15510560000000001</v>
      </c>
      <c r="R6887">
        <v>0.98739440000000001</v>
      </c>
      <c r="S6887">
        <v>0.62411499999999998</v>
      </c>
      <c r="T6887">
        <v>-0.25419530000000001</v>
      </c>
      <c r="U6887">
        <v>3.1067960000000001</v>
      </c>
      <c r="V6887">
        <v>-3.4607619999999999E-2</v>
      </c>
      <c r="W6887">
        <v>0.16969119999999999</v>
      </c>
      <c r="X6887">
        <v>0.98488940000000003</v>
      </c>
      <c r="Y6887">
        <v>0.193634</v>
      </c>
      <c r="Z6887">
        <v>-7.9980860000000001E-2</v>
      </c>
      <c r="AA6887">
        <v>0.97780820000000002</v>
      </c>
      <c r="AB6887">
        <v>48</v>
      </c>
      <c r="AC6887">
        <v>2.7259999999999902</v>
      </c>
      <c r="AD6887">
        <v>-1.110793861421</v>
      </c>
      <c r="AE6887">
        <v>13.107299999999899</v>
      </c>
      <c r="AF6887">
        <v>2.6716786976101301</v>
      </c>
      <c r="AG6887">
        <v>-1.110793861421</v>
      </c>
      <c r="AH6887">
        <v>13.0250545726428</v>
      </c>
      <c r="AI6887">
        <v>94.775513230995202</v>
      </c>
      <c r="AJ6887">
        <v>78.408362247752507</v>
      </c>
      <c r="AK6887">
        <v>13.342555103358499</v>
      </c>
      <c r="AL6887">
        <v>80.230134346451806</v>
      </c>
      <c r="AM6887">
        <v>92.012464620184403</v>
      </c>
      <c r="AN6887">
        <v>0.99999996047593098</v>
      </c>
    </row>
    <row r="6888" spans="1:40" x14ac:dyDescent="0.25">
      <c r="A6888" t="str">
        <f>"20190312164200610"</f>
        <v>20190312164200610</v>
      </c>
      <c r="B6888" t="str">
        <f>"1552380120602952"</f>
        <v>1552380120602952</v>
      </c>
      <c r="C6888" t="s">
        <v>40</v>
      </c>
      <c r="D6888">
        <v>5.9538549999999999</v>
      </c>
      <c r="E6888">
        <v>0.59921849999999999</v>
      </c>
      <c r="F6888" t="s">
        <v>50</v>
      </c>
      <c r="G6888">
        <v>-182.59719999999999</v>
      </c>
      <c r="H6888" s="1">
        <v>-3.9531310000000001E-6</v>
      </c>
      <c r="I6888">
        <v>125.3373</v>
      </c>
      <c r="J6888">
        <v>-187.2568</v>
      </c>
      <c r="K6888">
        <v>1.1108659999999999</v>
      </c>
      <c r="L6888">
        <v>103.75879999999999</v>
      </c>
      <c r="M6888">
        <v>1.720428E-3</v>
      </c>
      <c r="N6888">
        <v>0</v>
      </c>
      <c r="O6888">
        <v>0.99988809999999995</v>
      </c>
      <c r="P6888">
        <v>-2.1345869999999999E-2</v>
      </c>
      <c r="Q6888">
        <v>0.15434439999999999</v>
      </c>
      <c r="R6888">
        <v>0.98778650000000001</v>
      </c>
      <c r="S6888">
        <v>0.65104680000000004</v>
      </c>
      <c r="T6888">
        <v>-0.15517879999999901</v>
      </c>
      <c r="U6888">
        <v>3.083466</v>
      </c>
      <c r="V6888">
        <v>-2.3440800000000001E-2</v>
      </c>
      <c r="W6888">
        <v>0.16895389999999999</v>
      </c>
      <c r="X6888">
        <v>0.98534520000000003</v>
      </c>
      <c r="Y6888">
        <v>0.20465269999999999</v>
      </c>
      <c r="Z6888">
        <v>-4.9189579999999997E-2</v>
      </c>
      <c r="AA6888">
        <v>0.97759790000000002</v>
      </c>
      <c r="AB6888">
        <v>48</v>
      </c>
      <c r="AC6888">
        <v>4.65960000000001</v>
      </c>
      <c r="AD6888">
        <v>-1.110869953131</v>
      </c>
      <c r="AE6888">
        <v>21.578499999999998</v>
      </c>
      <c r="AF6888">
        <v>4.6107894881903801</v>
      </c>
      <c r="AG6888">
        <v>-1.110869953131</v>
      </c>
      <c r="AH6888">
        <v>21.531963063129599</v>
      </c>
      <c r="AI6888">
        <v>92.888008989291507</v>
      </c>
      <c r="AJ6888">
        <v>77.913391029712997</v>
      </c>
      <c r="AK6888">
        <v>22.0481029820969</v>
      </c>
      <c r="AL6888">
        <v>80.272998097259403</v>
      </c>
      <c r="AM6888">
        <v>91.362776854434301</v>
      </c>
      <c r="AN6888">
        <v>1.00000002729644</v>
      </c>
    </row>
    <row r="6889" spans="1:40" x14ac:dyDescent="0.25">
      <c r="A6889" t="str">
        <f>"20190312164200632"</f>
        <v>20190312164200632</v>
      </c>
      <c r="B6889" t="str">
        <f>"1552380120622476"</f>
        <v>1552380120622476</v>
      </c>
      <c r="C6889" t="s">
        <v>40</v>
      </c>
      <c r="D6889">
        <v>5.9666069999999998</v>
      </c>
      <c r="E6889">
        <v>0.59825019999999995</v>
      </c>
      <c r="F6889" t="s">
        <v>50</v>
      </c>
      <c r="G6889">
        <v>-179.84389999999999</v>
      </c>
      <c r="H6889" s="1">
        <v>-7.9547619999999999E-6</v>
      </c>
      <c r="I6889">
        <v>137.0334</v>
      </c>
      <c r="J6889">
        <v>-187.2567</v>
      </c>
      <c r="K6889">
        <v>1.1109340000000001</v>
      </c>
      <c r="L6889">
        <v>104.2289</v>
      </c>
      <c r="M6889">
        <v>7.2313259999999904E-4</v>
      </c>
      <c r="N6889">
        <v>0</v>
      </c>
      <c r="O6889">
        <v>0.99988929999999998</v>
      </c>
      <c r="P6889">
        <v>-1.008887E-2</v>
      </c>
      <c r="Q6889">
        <v>0.15516469999999999</v>
      </c>
      <c r="R6889">
        <v>0.98783710000000002</v>
      </c>
      <c r="S6889">
        <v>0.68345639999999996</v>
      </c>
      <c r="T6889">
        <v>-0.102420899999999</v>
      </c>
      <c r="U6889">
        <v>3.0678709999999998</v>
      </c>
      <c r="V6889">
        <v>-1.1226740000000001E-2</v>
      </c>
      <c r="W6889">
        <v>0.16979929999999999</v>
      </c>
      <c r="X6889">
        <v>0.98541469999999998</v>
      </c>
      <c r="Y6889">
        <v>0.21662670000000001</v>
      </c>
      <c r="Z6889">
        <v>-3.2571460000000003E-2</v>
      </c>
      <c r="AA6889">
        <v>0.97571099999999999</v>
      </c>
      <c r="AB6889">
        <v>48</v>
      </c>
      <c r="AC6889">
        <v>7.4127999999999998</v>
      </c>
      <c r="AD6889">
        <v>-1.1109419547620001</v>
      </c>
      <c r="AE6889">
        <v>32.804499999999997</v>
      </c>
      <c r="AF6889">
        <v>7.3810195808509498</v>
      </c>
      <c r="AG6889">
        <v>-1.1109419547620001</v>
      </c>
      <c r="AH6889">
        <v>32.774090745714403</v>
      </c>
      <c r="AI6889">
        <v>91.894007991685001</v>
      </c>
      <c r="AJ6889">
        <v>77.308220249104806</v>
      </c>
      <c r="AK6889">
        <v>33.613310849841596</v>
      </c>
      <c r="AL6889">
        <v>80.223849722748696</v>
      </c>
      <c r="AM6889">
        <v>90.652737361383998</v>
      </c>
      <c r="AN6889">
        <v>0.99999998647380295</v>
      </c>
    </row>
    <row r="6890" spans="1:40" x14ac:dyDescent="0.25">
      <c r="A6890" t="str">
        <f>"20190312164200653"</f>
        <v>20190312164200653</v>
      </c>
      <c r="B6890" t="str">
        <f>"1552380120642968"</f>
        <v>1552380120642968</v>
      </c>
      <c r="C6890" t="s">
        <v>40</v>
      </c>
      <c r="D6890">
        <v>5.9535600000000004</v>
      </c>
      <c r="E6890">
        <v>0.59716000000000002</v>
      </c>
      <c r="F6890" t="s">
        <v>50</v>
      </c>
      <c r="G6890">
        <v>-176.68510000000001</v>
      </c>
      <c r="H6890">
        <v>5.715874E-2</v>
      </c>
      <c r="I6890">
        <v>149.66239999999999</v>
      </c>
      <c r="J6890">
        <v>-187.2569</v>
      </c>
      <c r="K6890">
        <v>1.1109880000000001</v>
      </c>
      <c r="L6890">
        <v>104.6905</v>
      </c>
      <c r="M6890">
        <v>-2.6072649999999998E-4</v>
      </c>
      <c r="N6890">
        <v>0</v>
      </c>
      <c r="O6890">
        <v>0.99988960000000005</v>
      </c>
      <c r="P6890" s="1">
        <v>-7.299846E-5</v>
      </c>
      <c r="Q6890">
        <v>0.15525320000000001</v>
      </c>
      <c r="R6890">
        <v>0.98787469999999999</v>
      </c>
      <c r="S6890">
        <v>0.71092219999999995</v>
      </c>
      <c r="T6890">
        <v>-7.0864679999999999E-2</v>
      </c>
      <c r="U6890">
        <v>3.0553279999999998</v>
      </c>
      <c r="V6890">
        <v>-2.5968299999999997E-4</v>
      </c>
      <c r="W6890">
        <v>0.16991300000000001</v>
      </c>
      <c r="X6890">
        <v>0.98545899999999997</v>
      </c>
      <c r="Y6890">
        <v>0.22682479999999999</v>
      </c>
      <c r="Z6890">
        <v>-2.2583889999999999E-2</v>
      </c>
      <c r="AA6890">
        <v>0.97367369999999998</v>
      </c>
      <c r="AB6890">
        <v>48</v>
      </c>
      <c r="AC6890">
        <v>10.5717999999999</v>
      </c>
      <c r="AD6890">
        <v>-1.0538292600000001</v>
      </c>
      <c r="AE6890">
        <v>44.971899999999899</v>
      </c>
      <c r="AF6890">
        <v>10.5780219921699</v>
      </c>
      <c r="AG6890">
        <v>-1.0538292600000001</v>
      </c>
      <c r="AH6890">
        <v>44.945754146607698</v>
      </c>
      <c r="AI6890">
        <v>91.307441692184696</v>
      </c>
      <c r="AJ6890">
        <v>76.756399454521002</v>
      </c>
      <c r="AK6890">
        <v>46.185776178206297</v>
      </c>
      <c r="AL6890">
        <v>80.2172389491122</v>
      </c>
      <c r="AM6890">
        <v>90.015098283710302</v>
      </c>
      <c r="AN6890">
        <v>0.99999996784262901</v>
      </c>
    </row>
    <row r="6891" spans="1:40" x14ac:dyDescent="0.25">
      <c r="A6891" t="str">
        <f>"20190312164200667"</f>
        <v>20190312164200667</v>
      </c>
      <c r="B6891" t="str">
        <f>"1552380120662489"</f>
        <v>1552380120662489</v>
      </c>
      <c r="C6891" t="s">
        <v>40</v>
      </c>
      <c r="D6891">
        <v>5.8813490000000002</v>
      </c>
      <c r="E6891">
        <v>0.59627259999999904</v>
      </c>
      <c r="F6891" t="s">
        <v>43</v>
      </c>
      <c r="G6891">
        <v>-170.7628</v>
      </c>
      <c r="H6891">
        <v>-0.05</v>
      </c>
      <c r="I6891">
        <v>173.11080000000001</v>
      </c>
      <c r="J6891">
        <v>-187.25739999999999</v>
      </c>
      <c r="K6891">
        <v>1.1110040000000001</v>
      </c>
      <c r="L6891">
        <v>104.98090000000001</v>
      </c>
      <c r="M6891">
        <v>-8.6979199999999998E-4</v>
      </c>
      <c r="N6891">
        <v>0</v>
      </c>
      <c r="O6891">
        <v>0.99988929999999998</v>
      </c>
      <c r="P6891">
        <v>4.4829659999999997E-3</v>
      </c>
      <c r="Q6891">
        <v>0.15446940000000001</v>
      </c>
      <c r="R6891">
        <v>0.98798739999999996</v>
      </c>
      <c r="S6891">
        <v>0.734054599999999</v>
      </c>
      <c r="T6891">
        <v>-5.1668640000000002E-2</v>
      </c>
      <c r="U6891">
        <v>3.0449830000000002</v>
      </c>
      <c r="V6891">
        <v>4.8905179999999999E-3</v>
      </c>
      <c r="W6891">
        <v>0.16914279999999901</v>
      </c>
      <c r="X6891">
        <v>0.98557939999999999</v>
      </c>
      <c r="Y6891">
        <v>0.2351702</v>
      </c>
      <c r="Z6891">
        <v>-1.6491929999999998E-2</v>
      </c>
      <c r="AA6891">
        <v>0.97181430000000002</v>
      </c>
      <c r="AB6891">
        <v>48</v>
      </c>
      <c r="AC6891">
        <v>16.494599999999899</v>
      </c>
      <c r="AD6891">
        <v>-1.1610039999999999</v>
      </c>
      <c r="AE6891">
        <v>68.129900000000006</v>
      </c>
      <c r="AF6891">
        <v>16.549319367261401</v>
      </c>
      <c r="AG6891">
        <v>-1.1610039999999999</v>
      </c>
      <c r="AH6891">
        <v>68.096845594729402</v>
      </c>
      <c r="AI6891">
        <v>90.949137175886804</v>
      </c>
      <c r="AJ6891">
        <v>76.340433042290996</v>
      </c>
      <c r="AK6891">
        <v>70.088574545071495</v>
      </c>
      <c r="AL6891">
        <v>80.262016403930701</v>
      </c>
      <c r="AM6891">
        <v>89.715696430642097</v>
      </c>
      <c r="AN6891">
        <v>0.99999997883125302</v>
      </c>
    </row>
    <row r="6892" spans="1:40" x14ac:dyDescent="0.25">
      <c r="A6892" t="str">
        <f>"20190312164200687"</f>
        <v>20190312164200687</v>
      </c>
      <c r="B6892" t="str">
        <f>"1552380120682984"</f>
        <v>1552380120682984</v>
      </c>
      <c r="C6892" t="s">
        <v>40</v>
      </c>
      <c r="D6892">
        <v>6.0098849999999997</v>
      </c>
      <c r="E6892">
        <v>0.59552869999999902</v>
      </c>
      <c r="F6892" t="s">
        <v>63</v>
      </c>
      <c r="G6892">
        <v>-168.4186</v>
      </c>
      <c r="H6892">
        <v>3.9955850000000001E-2</v>
      </c>
      <c r="I6892">
        <v>182.16569999999999</v>
      </c>
      <c r="J6892">
        <v>-187.25829999999999</v>
      </c>
      <c r="K6892">
        <v>1.111013</v>
      </c>
      <c r="L6892">
        <v>105.42270000000001</v>
      </c>
      <c r="M6892">
        <v>-1.7679690000000001E-3</v>
      </c>
      <c r="N6892">
        <v>0</v>
      </c>
      <c r="O6892">
        <v>0.99988809999999995</v>
      </c>
      <c r="P6892">
        <v>1.3227920000000001E-2</v>
      </c>
      <c r="Q6892">
        <v>0.1527599</v>
      </c>
      <c r="R6892">
        <v>0.98817480000000002</v>
      </c>
      <c r="S6892">
        <v>0.74191280000000004</v>
      </c>
      <c r="T6892">
        <v>-4.217899E-2</v>
      </c>
      <c r="U6892">
        <v>3.0397029999999998</v>
      </c>
      <c r="V6892">
        <v>1.4519870000000001E-2</v>
      </c>
      <c r="W6892">
        <v>0.1674591</v>
      </c>
      <c r="X6892">
        <v>0.98577210000000004</v>
      </c>
      <c r="Y6892">
        <v>0.23880940000000001</v>
      </c>
      <c r="Z6892">
        <v>-1.3476170000000001E-2</v>
      </c>
      <c r="AA6892">
        <v>0.97097299999999997</v>
      </c>
      <c r="AB6892">
        <v>48</v>
      </c>
      <c r="AC6892">
        <v>18.839700000000001</v>
      </c>
      <c r="AD6892">
        <v>-1.0710571499999999</v>
      </c>
      <c r="AE6892">
        <v>76.742999999999896</v>
      </c>
      <c r="AF6892">
        <v>18.971879441010099</v>
      </c>
      <c r="AG6892">
        <v>-1.0710571499999999</v>
      </c>
      <c r="AH6892">
        <v>76.695478620387405</v>
      </c>
      <c r="AI6892">
        <v>90.776680349066993</v>
      </c>
      <c r="AJ6892">
        <v>76.105865858247697</v>
      </c>
      <c r="AK6892">
        <v>79.014402571639394</v>
      </c>
      <c r="AL6892">
        <v>80.359881555340806</v>
      </c>
      <c r="AM6892">
        <v>89.156126335960494</v>
      </c>
      <c r="AN6892">
        <v>1.00000000496801</v>
      </c>
    </row>
    <row r="6893" spans="1:40" x14ac:dyDescent="0.25">
      <c r="A6893" t="str">
        <f>"20190312164200711"</f>
        <v>20190312164200711</v>
      </c>
      <c r="B6893" t="str">
        <f>"1552380120702508"</f>
        <v>1552380120702508</v>
      </c>
      <c r="C6893" t="s">
        <v>40</v>
      </c>
      <c r="D6893">
        <v>6.1440859999999997</v>
      </c>
      <c r="E6893">
        <v>0.59436230000000001</v>
      </c>
      <c r="F6893" t="s">
        <v>63</v>
      </c>
      <c r="G6893">
        <v>-168.41919999999999</v>
      </c>
      <c r="H6893">
        <v>3.4775729999999998E-2</v>
      </c>
      <c r="I6893">
        <v>180.33170000000001</v>
      </c>
      <c r="J6893">
        <v>-187.25980000000001</v>
      </c>
      <c r="K6893">
        <v>1.111003</v>
      </c>
      <c r="L6893">
        <v>105.9203</v>
      </c>
      <c r="M6893">
        <v>-2.7128450000000002E-3</v>
      </c>
      <c r="N6893">
        <v>0</v>
      </c>
      <c r="O6893">
        <v>0.9998861</v>
      </c>
      <c r="P6893">
        <v>2.144627E-2</v>
      </c>
      <c r="Q6893">
        <v>0.15110989999999999</v>
      </c>
      <c r="R6893">
        <v>0.9882843</v>
      </c>
      <c r="S6893">
        <v>0.76263429999999999</v>
      </c>
      <c r="T6893">
        <v>-4.3566229999999997E-2</v>
      </c>
      <c r="U6893">
        <v>3.0324249999999999</v>
      </c>
      <c r="V6893">
        <v>2.3679169999999999E-2</v>
      </c>
      <c r="W6893">
        <v>0.16583139999999999</v>
      </c>
      <c r="X6893">
        <v>0.98586980000000002</v>
      </c>
      <c r="Y6893">
        <v>0.246505</v>
      </c>
      <c r="Z6893">
        <v>-1.39268E-2</v>
      </c>
      <c r="AA6893">
        <v>0.9690415</v>
      </c>
      <c r="AB6893">
        <v>48</v>
      </c>
      <c r="AC6893">
        <v>18.840599999999998</v>
      </c>
      <c r="AD6893">
        <v>-1.07622727</v>
      </c>
      <c r="AE6893">
        <v>74.4114</v>
      </c>
      <c r="AF6893">
        <v>19.038676843801898</v>
      </c>
      <c r="AG6893">
        <v>-1.07622727</v>
      </c>
      <c r="AH6893">
        <v>74.345393905652401</v>
      </c>
      <c r="AI6893">
        <v>90.803435923037995</v>
      </c>
      <c r="AJ6893">
        <v>75.636138767399004</v>
      </c>
      <c r="AK6893">
        <v>76.751984183381396</v>
      </c>
      <c r="AL6893">
        <v>80.454464510419896</v>
      </c>
      <c r="AM6893">
        <v>88.624102593375397</v>
      </c>
      <c r="AN6893">
        <v>1.0000000094349399</v>
      </c>
    </row>
    <row r="6894" spans="1:40" x14ac:dyDescent="0.25">
      <c r="A6894" t="str">
        <f>"20190312164200732"</f>
        <v>20190312164200732</v>
      </c>
      <c r="B6894" t="str">
        <f>"1552380120723004"</f>
        <v>1552380120723004</v>
      </c>
      <c r="C6894" t="s">
        <v>40</v>
      </c>
      <c r="D6894">
        <v>6.0353469999999998</v>
      </c>
      <c r="E6894">
        <v>0.59320680000000003</v>
      </c>
      <c r="F6894" t="s">
        <v>43</v>
      </c>
      <c r="G6894">
        <v>-170.5642</v>
      </c>
      <c r="H6894">
        <v>-0.05</v>
      </c>
      <c r="I6894">
        <v>170.9033</v>
      </c>
      <c r="J6894">
        <v>-187.26150000000001</v>
      </c>
      <c r="K6894">
        <v>1.1109599999999999</v>
      </c>
      <c r="L6894">
        <v>106.3835</v>
      </c>
      <c r="M6894">
        <v>-3.5017759999999998E-3</v>
      </c>
      <c r="N6894">
        <v>0</v>
      </c>
      <c r="O6894">
        <v>0.99988370000000004</v>
      </c>
      <c r="P6894">
        <v>3.1039359999999998E-2</v>
      </c>
      <c r="Q6894">
        <v>0.1505454</v>
      </c>
      <c r="R6894">
        <v>0.98811570000000004</v>
      </c>
      <c r="S6894">
        <v>0.77769469999999996</v>
      </c>
      <c r="T6894">
        <v>-5.4080490000000002E-2</v>
      </c>
      <c r="U6894">
        <v>3.0269620000000002</v>
      </c>
      <c r="V6894">
        <v>3.4067399999999998E-2</v>
      </c>
      <c r="W6894">
        <v>0.1652845</v>
      </c>
      <c r="X6894">
        <v>0.98565740000000002</v>
      </c>
      <c r="Y6894">
        <v>0.25219409999999998</v>
      </c>
      <c r="Z6894">
        <v>-1.7293799999999901E-2</v>
      </c>
      <c r="AA6894">
        <v>0.96752210000000005</v>
      </c>
      <c r="AB6894">
        <v>48</v>
      </c>
      <c r="AC6894">
        <v>16.697299999999998</v>
      </c>
      <c r="AD6894">
        <v>-1.16096</v>
      </c>
      <c r="AE6894">
        <v>64.519800000000004</v>
      </c>
      <c r="AF6894">
        <v>16.918022520424799</v>
      </c>
      <c r="AG6894">
        <v>-1.16096</v>
      </c>
      <c r="AH6894">
        <v>64.441372608018099</v>
      </c>
      <c r="AI6894">
        <v>90.998292410143193</v>
      </c>
      <c r="AJ6894">
        <v>75.289897591003395</v>
      </c>
      <c r="AK6894">
        <v>66.635259568254298</v>
      </c>
      <c r="AL6894">
        <v>80.486238261119993</v>
      </c>
      <c r="AM6894">
        <v>88.020466811770703</v>
      </c>
      <c r="AN6894">
        <v>1.00000003192888</v>
      </c>
    </row>
    <row r="6895" spans="1:40" x14ac:dyDescent="0.25">
      <c r="A6895" t="str">
        <f>"20190312164200756"</f>
        <v>20190312164200756</v>
      </c>
      <c r="B6895" t="str">
        <f>"1552380120742520"</f>
        <v>1552380120742520</v>
      </c>
      <c r="C6895" t="s">
        <v>40</v>
      </c>
      <c r="D6895">
        <v>6.0728739999999997</v>
      </c>
      <c r="E6895">
        <v>0.59190279999999995</v>
      </c>
      <c r="F6895" t="s">
        <v>43</v>
      </c>
      <c r="G6895">
        <v>-171.35040000000001</v>
      </c>
      <c r="H6895">
        <v>-0.05</v>
      </c>
      <c r="I6895">
        <v>166.69569999999999</v>
      </c>
      <c r="J6895">
        <v>-187.2636</v>
      </c>
      <c r="K6895">
        <v>1.110886</v>
      </c>
      <c r="L6895">
        <v>106.8797</v>
      </c>
      <c r="M6895">
        <v>-4.2127400000000004E-3</v>
      </c>
      <c r="N6895">
        <v>0</v>
      </c>
      <c r="O6895">
        <v>0.99988100000000002</v>
      </c>
      <c r="P6895">
        <v>4.1091910000000002E-2</v>
      </c>
      <c r="Q6895">
        <v>0.15064849999999999</v>
      </c>
      <c r="R6895">
        <v>0.98773299999999997</v>
      </c>
      <c r="S6895">
        <v>0.79669190000000001</v>
      </c>
      <c r="T6895">
        <v>-5.8130859999999999E-2</v>
      </c>
      <c r="U6895">
        <v>3.0199129999999998</v>
      </c>
      <c r="V6895">
        <v>4.485128E-2</v>
      </c>
      <c r="W6895">
        <v>0.16539690000000001</v>
      </c>
      <c r="X6895">
        <v>0.98520669999999999</v>
      </c>
      <c r="Y6895">
        <v>0.25911299999999998</v>
      </c>
      <c r="Z6895">
        <v>-1.8598670000000001E-2</v>
      </c>
      <c r="AA6895">
        <v>0.96566790000000002</v>
      </c>
      <c r="AB6895">
        <v>48</v>
      </c>
      <c r="AC6895">
        <v>15.9131999999999</v>
      </c>
      <c r="AD6895">
        <v>-1.1608860000000001</v>
      </c>
      <c r="AE6895">
        <v>59.815999999999903</v>
      </c>
      <c r="AF6895">
        <v>16.159391546627599</v>
      </c>
      <c r="AG6895">
        <v>-1.1608860000000001</v>
      </c>
      <c r="AH6895">
        <v>59.727413839541498</v>
      </c>
      <c r="AI6895">
        <v>91.074849114099294</v>
      </c>
      <c r="AJ6895">
        <v>74.860932547315798</v>
      </c>
      <c r="AK6895">
        <v>61.885681344088603</v>
      </c>
      <c r="AL6895">
        <v>80.479708099626293</v>
      </c>
      <c r="AM6895">
        <v>87.393424185620802</v>
      </c>
      <c r="AN6895">
        <v>1.0000000067860599</v>
      </c>
    </row>
    <row r="6896" spans="1:40" x14ac:dyDescent="0.25">
      <c r="A6896" t="str">
        <f>"20190312164200778"</f>
        <v>20190312164200778</v>
      </c>
      <c r="B6896" t="str">
        <f>"1552380120772777"</f>
        <v>1552380120772777</v>
      </c>
      <c r="C6896" t="s">
        <v>40</v>
      </c>
      <c r="D6896">
        <v>6.1349220000000004</v>
      </c>
      <c r="E6896">
        <v>0.58976319999999904</v>
      </c>
      <c r="F6896" t="s">
        <v>43</v>
      </c>
      <c r="G6896">
        <v>-171.61609999999999</v>
      </c>
      <c r="H6896">
        <v>-0.05</v>
      </c>
      <c r="I6896">
        <v>164.65819999999999</v>
      </c>
      <c r="J6896">
        <v>-187.26589999999999</v>
      </c>
      <c r="K6896">
        <v>1.1107849999999999</v>
      </c>
      <c r="L6896">
        <v>107.3578</v>
      </c>
      <c r="M6896">
        <v>-4.734205E-3</v>
      </c>
      <c r="N6896">
        <v>0</v>
      </c>
      <c r="O6896">
        <v>0.99987870000000001</v>
      </c>
      <c r="P6896">
        <v>4.9710070000000002E-2</v>
      </c>
      <c r="Q6896">
        <v>0.15113869999999999</v>
      </c>
      <c r="R6896">
        <v>0.98726190000000003</v>
      </c>
      <c r="S6896">
        <v>0.8158569</v>
      </c>
      <c r="T6896">
        <v>-6.0528039999999998E-2</v>
      </c>
      <c r="U6896">
        <v>3.012543</v>
      </c>
      <c r="V6896">
        <v>5.4025579999999997E-2</v>
      </c>
      <c r="W6896">
        <v>0.16588259999999999</v>
      </c>
      <c r="X6896">
        <v>0.98466450000000005</v>
      </c>
      <c r="Y6896">
        <v>0.26592159999999998</v>
      </c>
      <c r="Z6896">
        <v>-1.9377109999999999E-2</v>
      </c>
      <c r="AA6896">
        <v>0.96379990000000004</v>
      </c>
      <c r="AB6896">
        <v>48</v>
      </c>
      <c r="AC6896">
        <v>15.649800000000001</v>
      </c>
      <c r="AD6896">
        <v>-1.160785</v>
      </c>
      <c r="AE6896">
        <v>57.300400000000003</v>
      </c>
      <c r="AF6896">
        <v>15.914848490697899</v>
      </c>
      <c r="AG6896">
        <v>-1.160785</v>
      </c>
      <c r="AH6896">
        <v>57.203814357269401</v>
      </c>
      <c r="AI6896">
        <v>91.119966730651498</v>
      </c>
      <c r="AJ6896">
        <v>74.452738053256695</v>
      </c>
      <c r="AK6896">
        <v>59.387761376558402</v>
      </c>
      <c r="AL6896">
        <v>80.451489568036294</v>
      </c>
      <c r="AM6896">
        <v>86.859501725614393</v>
      </c>
      <c r="AN6896">
        <v>0.99999998891867303</v>
      </c>
    </row>
    <row r="6897" spans="1:40" x14ac:dyDescent="0.25">
      <c r="A6897" t="str">
        <f>"20190312164200800"</f>
        <v>20190312164200800</v>
      </c>
      <c r="B6897" t="str">
        <f>"1552380120793272"</f>
        <v>1552380120793272</v>
      </c>
      <c r="C6897" t="s">
        <v>40</v>
      </c>
      <c r="D6897">
        <v>6.1088329999999997</v>
      </c>
      <c r="E6897">
        <v>0.58888629999999997</v>
      </c>
      <c r="F6897" t="s">
        <v>43</v>
      </c>
      <c r="G6897">
        <v>-172.4222</v>
      </c>
      <c r="H6897">
        <v>-0.05</v>
      </c>
      <c r="I6897">
        <v>161.56720000000001</v>
      </c>
      <c r="J6897">
        <v>-187.26840000000001</v>
      </c>
      <c r="K6897">
        <v>1.110646</v>
      </c>
      <c r="L6897">
        <v>107.8385</v>
      </c>
      <c r="M6897">
        <v>-5.0705020000000002E-3</v>
      </c>
      <c r="N6897">
        <v>0</v>
      </c>
      <c r="O6897">
        <v>0.99987720000000002</v>
      </c>
      <c r="P6897">
        <v>5.7610660000000001E-2</v>
      </c>
      <c r="Q6897">
        <v>0.15166389999999999</v>
      </c>
      <c r="R6897">
        <v>0.98675179999999996</v>
      </c>
      <c r="S6897">
        <v>0.82340999999999998</v>
      </c>
      <c r="T6897">
        <v>-6.4391139999999999E-2</v>
      </c>
      <c r="U6897">
        <v>3.0071110000000001</v>
      </c>
      <c r="V6897">
        <v>6.231101E-2</v>
      </c>
      <c r="W6897">
        <v>0.16639279999999901</v>
      </c>
      <c r="X6897">
        <v>0.98408879999999999</v>
      </c>
      <c r="Y6897">
        <v>0.26893050000000002</v>
      </c>
      <c r="Z6897">
        <v>-2.063369E-2</v>
      </c>
      <c r="AA6897">
        <v>0.96293850000000003</v>
      </c>
      <c r="AB6897">
        <v>48</v>
      </c>
      <c r="AC6897">
        <v>14.8462</v>
      </c>
      <c r="AD6897">
        <v>-1.1606459999999901</v>
      </c>
      <c r="AE6897">
        <v>53.728700000000003</v>
      </c>
      <c r="AF6897">
        <v>15.111918869944001</v>
      </c>
      <c r="AG6897">
        <v>-1.1606459999999901</v>
      </c>
      <c r="AH6897">
        <v>53.629472484724602</v>
      </c>
      <c r="AI6897">
        <v>91.193340679843203</v>
      </c>
      <c r="AJ6897">
        <v>74.263021271145504</v>
      </c>
      <c r="AK6897">
        <v>55.730041360642403</v>
      </c>
      <c r="AL6897">
        <v>80.421845350192498</v>
      </c>
      <c r="AM6897">
        <v>86.376954864575296</v>
      </c>
      <c r="AN6897">
        <v>0.99999999607224999</v>
      </c>
    </row>
    <row r="6898" spans="1:40" x14ac:dyDescent="0.25">
      <c r="A6898" t="str">
        <f>"20190312164200822"</f>
        <v>20190312164200822</v>
      </c>
      <c r="B6898" t="str">
        <f>"1552380120812792"</f>
        <v>1552380120812792</v>
      </c>
      <c r="C6898" t="s">
        <v>40</v>
      </c>
      <c r="D6898">
        <v>6.0666099999999998</v>
      </c>
      <c r="E6898">
        <v>0.56427660000000002</v>
      </c>
      <c r="F6898" t="s">
        <v>43</v>
      </c>
      <c r="G6898">
        <v>-172.53129999999999</v>
      </c>
      <c r="H6898">
        <v>-0.05</v>
      </c>
      <c r="I6898">
        <v>160.54730000000001</v>
      </c>
      <c r="J6898">
        <v>-187.27080000000001</v>
      </c>
      <c r="K6898">
        <v>1.110492</v>
      </c>
      <c r="L6898">
        <v>108.312</v>
      </c>
      <c r="M6898">
        <v>-5.2170740000000004E-3</v>
      </c>
      <c r="N6898">
        <v>0</v>
      </c>
      <c r="O6898">
        <v>0.9998764</v>
      </c>
      <c r="P6898">
        <v>6.5845669999999995E-2</v>
      </c>
      <c r="Q6898">
        <v>0.15276589999999901</v>
      </c>
      <c r="R6898">
        <v>0.98606640000000001</v>
      </c>
      <c r="S6898">
        <v>0.83918760000000003</v>
      </c>
      <c r="T6898">
        <v>-6.6091899999999995E-2</v>
      </c>
      <c r="U6898">
        <v>3.0014500000000002</v>
      </c>
      <c r="V6898">
        <v>7.0749380000000001E-2</v>
      </c>
      <c r="W6898">
        <v>0.16746849999999999</v>
      </c>
      <c r="X6898">
        <v>0.98333559999999998</v>
      </c>
      <c r="Y6898">
        <v>0.27422829999999998</v>
      </c>
      <c r="Z6898">
        <v>-2.1186170000000001E-2</v>
      </c>
      <c r="AA6898">
        <v>0.96143120000000004</v>
      </c>
      <c r="AB6898">
        <v>48</v>
      </c>
      <c r="AC6898">
        <v>14.7395</v>
      </c>
      <c r="AD6898">
        <v>-1.1604920000000001</v>
      </c>
      <c r="AE6898">
        <v>52.235300000000002</v>
      </c>
      <c r="AF6898">
        <v>15.004984839035099</v>
      </c>
      <c r="AG6898">
        <v>-1.1604920000000001</v>
      </c>
      <c r="AH6898">
        <v>52.133849070710397</v>
      </c>
      <c r="AI6898">
        <v>91.225453804484602</v>
      </c>
      <c r="AJ6898">
        <v>73.943305540363099</v>
      </c>
      <c r="AK6898">
        <v>54.262643970132402</v>
      </c>
      <c r="AL6898">
        <v>80.359335579369798</v>
      </c>
      <c r="AM6898">
        <v>85.884754019225298</v>
      </c>
      <c r="AN6898">
        <v>1.00000003774499</v>
      </c>
    </row>
    <row r="6899" spans="1:40" x14ac:dyDescent="0.25">
      <c r="A6899" t="str">
        <f>"20190312164200844"</f>
        <v>20190312164200844</v>
      </c>
      <c r="B6899" t="str">
        <f>"1552380120833292"</f>
        <v>1552380120833292</v>
      </c>
      <c r="C6899" t="s">
        <v>40</v>
      </c>
      <c r="D6899">
        <v>6.1303429999999999</v>
      </c>
      <c r="E6899">
        <v>0.56330349999999996</v>
      </c>
      <c r="F6899" t="s">
        <v>50</v>
      </c>
      <c r="G6899">
        <v>-179.96690000000001</v>
      </c>
      <c r="H6899" s="1">
        <v>-9.4450970000000006E-6</v>
      </c>
      <c r="I6899">
        <v>141.50530000000001</v>
      </c>
      <c r="J6899">
        <v>-187.2731</v>
      </c>
      <c r="K6899">
        <v>1.110347</v>
      </c>
      <c r="L6899">
        <v>108.7632</v>
      </c>
      <c r="M6899">
        <v>-5.2004369999999996E-3</v>
      </c>
      <c r="N6899">
        <v>0</v>
      </c>
      <c r="O6899">
        <v>0.9998766</v>
      </c>
      <c r="P6899">
        <v>7.4421109999999999E-2</v>
      </c>
      <c r="Q6899">
        <v>0.15428559999999999</v>
      </c>
      <c r="R6899">
        <v>0.98521950000000003</v>
      </c>
      <c r="S6899">
        <v>0.66314700000000004</v>
      </c>
      <c r="T6899">
        <v>-0.100826</v>
      </c>
      <c r="U6899">
        <v>3.0137330000000002</v>
      </c>
      <c r="V6899">
        <v>7.9366069999999997E-2</v>
      </c>
      <c r="W6899">
        <v>0.1689543</v>
      </c>
      <c r="X6899">
        <v>0.98242320000000005</v>
      </c>
      <c r="Y6899">
        <v>0.21986269999999999</v>
      </c>
      <c r="Z6899">
        <v>-3.2637099999999898E-2</v>
      </c>
      <c r="AA6899">
        <v>0.97498470000000004</v>
      </c>
      <c r="AB6899">
        <v>48</v>
      </c>
      <c r="AC6899">
        <v>7.3061999999999898</v>
      </c>
      <c r="AD6899">
        <v>-1.110356445097</v>
      </c>
      <c r="AE6899">
        <v>32.742100000000001</v>
      </c>
      <c r="AF6899">
        <v>7.4682117767096097</v>
      </c>
      <c r="AG6899">
        <v>-1.110356445097</v>
      </c>
      <c r="AH6899">
        <v>32.667870251741398</v>
      </c>
      <c r="AI6899">
        <v>91.897768726906705</v>
      </c>
      <c r="AJ6899">
        <v>77.122881606863302</v>
      </c>
      <c r="AK6899">
        <v>33.529044504154299</v>
      </c>
      <c r="AL6899">
        <v>80.272973950222607</v>
      </c>
      <c r="AM6899">
        <v>85.381331748521305</v>
      </c>
      <c r="AN6899">
        <v>0.99999993622698502</v>
      </c>
    </row>
    <row r="6900" spans="1:40" x14ac:dyDescent="0.25">
      <c r="A6900" t="str">
        <f>"20190312164200866"</f>
        <v>20190312164200866</v>
      </c>
      <c r="B6900" t="str">
        <f>"1552380120852809"</f>
        <v>1552380120852809</v>
      </c>
      <c r="C6900" t="s">
        <v>40</v>
      </c>
      <c r="D6900">
        <v>5.8997109999999999</v>
      </c>
      <c r="E6900">
        <v>0.56210550000000004</v>
      </c>
      <c r="F6900" t="s">
        <v>50</v>
      </c>
      <c r="G6900">
        <v>-179.56569999999999</v>
      </c>
      <c r="H6900" s="1">
        <v>-9.6165039999999994E-6</v>
      </c>
      <c r="I6900">
        <v>142.87700000000001</v>
      </c>
      <c r="J6900">
        <v>-187.27529999999999</v>
      </c>
      <c r="K6900">
        <v>1.110169</v>
      </c>
      <c r="L6900">
        <v>109.24120000000001</v>
      </c>
      <c r="M6900">
        <v>-5.0006240000000004E-3</v>
      </c>
      <c r="N6900">
        <v>0</v>
      </c>
      <c r="O6900">
        <v>0.99987760000000003</v>
      </c>
      <c r="P6900">
        <v>8.3692959999999997E-2</v>
      </c>
      <c r="Q6900">
        <v>0.15649660000000001</v>
      </c>
      <c r="R6900">
        <v>0.98412619999999895</v>
      </c>
      <c r="S6900">
        <v>0.67982480000000001</v>
      </c>
      <c r="T6900">
        <v>-9.7938899999999995E-2</v>
      </c>
      <c r="U6900">
        <v>3.0090029999999999</v>
      </c>
      <c r="V6900">
        <v>8.8506440000000006E-2</v>
      </c>
      <c r="W6900">
        <v>0.1711172</v>
      </c>
      <c r="X6900">
        <v>0.98126729999999995</v>
      </c>
      <c r="Y6900">
        <v>0.22514039999999999</v>
      </c>
      <c r="Z6900">
        <v>-3.1713930000000001E-2</v>
      </c>
      <c r="AA6900">
        <v>0.97381010000000001</v>
      </c>
      <c r="AB6900">
        <v>48</v>
      </c>
      <c r="AC6900">
        <v>7.7095999999999902</v>
      </c>
      <c r="AD6900">
        <v>-1.110178616504</v>
      </c>
      <c r="AE6900">
        <v>33.635800000000003</v>
      </c>
      <c r="AF6900">
        <v>7.8695769585408</v>
      </c>
      <c r="AG6900">
        <v>-1.110178616504</v>
      </c>
      <c r="AH6900">
        <v>33.562085168260403</v>
      </c>
      <c r="AI6900">
        <v>91.844566689356995</v>
      </c>
      <c r="AJ6900">
        <v>76.803784967900796</v>
      </c>
      <c r="AK6900">
        <v>34.490234834058597</v>
      </c>
      <c r="AL6900">
        <v>80.147218231311001</v>
      </c>
      <c r="AM6900">
        <v>84.846092733418502</v>
      </c>
      <c r="AN6900">
        <v>1.0000000000533</v>
      </c>
    </row>
    <row r="6901" spans="1:40" x14ac:dyDescent="0.25">
      <c r="A6901" t="str">
        <f>"20190312164200888"</f>
        <v>20190312164200888</v>
      </c>
      <c r="B6901" t="str">
        <f>"1552380120883065"</f>
        <v>1552380120883065</v>
      </c>
      <c r="C6901" t="s">
        <v>40</v>
      </c>
      <c r="D6901">
        <v>5.8272199999999996</v>
      </c>
      <c r="E6901">
        <v>0.56116390000000005</v>
      </c>
      <c r="F6901" t="s">
        <v>50</v>
      </c>
      <c r="G6901">
        <v>-178.80629999999999</v>
      </c>
      <c r="H6901" s="1">
        <v>-1.001295E-5</v>
      </c>
      <c r="I6901">
        <v>145.7756</v>
      </c>
      <c r="J6901">
        <v>-187.2774</v>
      </c>
      <c r="K6901">
        <v>1.10998</v>
      </c>
      <c r="L6901">
        <v>109.7272</v>
      </c>
      <c r="M6901">
        <v>-4.594936E-3</v>
      </c>
      <c r="N6901">
        <v>0</v>
      </c>
      <c r="O6901">
        <v>0.99987959999999998</v>
      </c>
      <c r="P6901">
        <v>9.2875750000000007E-2</v>
      </c>
      <c r="Q6901">
        <v>0.15811529999999999</v>
      </c>
      <c r="R6901">
        <v>0.98304309999999995</v>
      </c>
      <c r="S6901">
        <v>0.69628909999999999</v>
      </c>
      <c r="T6901">
        <v>-9.1273900000000005E-2</v>
      </c>
      <c r="U6901">
        <v>3.0036930000000002</v>
      </c>
      <c r="V6901">
        <v>9.7365770000000004E-2</v>
      </c>
      <c r="W6901">
        <v>0.17267679999999999</v>
      </c>
      <c r="X6901">
        <v>0.98015439999999998</v>
      </c>
      <c r="Y6901">
        <v>0.2301985</v>
      </c>
      <c r="Z6901">
        <v>-2.9573140000000001E-2</v>
      </c>
      <c r="AA6901">
        <v>0.97269419999999995</v>
      </c>
      <c r="AB6901">
        <v>48</v>
      </c>
      <c r="AC6901">
        <v>8.4710999999999999</v>
      </c>
      <c r="AD6901">
        <v>-1.10999001295</v>
      </c>
      <c r="AE6901">
        <v>36.048400000000001</v>
      </c>
      <c r="AF6901">
        <v>8.6289156794264397</v>
      </c>
      <c r="AG6901">
        <v>-1.10999001295</v>
      </c>
      <c r="AH6901">
        <v>35.976765466553303</v>
      </c>
      <c r="AI6901">
        <v>91.718476890683903</v>
      </c>
      <c r="AJ6901">
        <v>76.512561227748506</v>
      </c>
      <c r="AK6901">
        <v>37.013753079995602</v>
      </c>
      <c r="AL6901">
        <v>80.056509608868097</v>
      </c>
      <c r="AM6901">
        <v>84.327010340657694</v>
      </c>
      <c r="AN6901">
        <v>1.00000000913264</v>
      </c>
    </row>
    <row r="6902" spans="1:40" x14ac:dyDescent="0.25">
      <c r="A6902" t="str">
        <f>"20190312164200911"</f>
        <v>20190312164200911</v>
      </c>
      <c r="B6902" t="str">
        <f>"1552380120902584"</f>
        <v>1552380120902584</v>
      </c>
      <c r="C6902" t="s">
        <v>40</v>
      </c>
      <c r="D6902">
        <v>5.7558410000000002</v>
      </c>
      <c r="E6902">
        <v>0.56084560000000006</v>
      </c>
      <c r="F6902" t="s">
        <v>50</v>
      </c>
      <c r="G6902">
        <v>-178.63929999999999</v>
      </c>
      <c r="H6902" s="1">
        <v>-9.9851129999999992E-6</v>
      </c>
      <c r="I6902">
        <v>145.99279999999999</v>
      </c>
      <c r="J6902">
        <v>-187.2792</v>
      </c>
      <c r="K6902">
        <v>1.1097709999999901</v>
      </c>
      <c r="L6902">
        <v>110.21420000000001</v>
      </c>
      <c r="M6902">
        <v>-3.9868209999999998E-3</v>
      </c>
      <c r="N6902">
        <v>0</v>
      </c>
      <c r="O6902">
        <v>0.99988220000000005</v>
      </c>
      <c r="P6902">
        <v>0.10225819999999999</v>
      </c>
      <c r="Q6902">
        <v>0.15881629999999899</v>
      </c>
      <c r="R6902">
        <v>0.98199829999999999</v>
      </c>
      <c r="S6902">
        <v>0.71434019999999898</v>
      </c>
      <c r="T6902">
        <v>-9.1791990000000004E-2</v>
      </c>
      <c r="U6902">
        <v>2.9990230000000002</v>
      </c>
      <c r="V6902">
        <v>0.10623639999999999</v>
      </c>
      <c r="W6902">
        <v>0.17330609999999999</v>
      </c>
      <c r="X6902">
        <v>0.97912140000000003</v>
      </c>
      <c r="Y6902">
        <v>0.235483</v>
      </c>
      <c r="Z6902">
        <v>-2.9746720000000001E-2</v>
      </c>
      <c r="AA6902">
        <v>0.97142309999999998</v>
      </c>
      <c r="AB6902">
        <v>48</v>
      </c>
      <c r="AC6902">
        <v>8.6399000000000097</v>
      </c>
      <c r="AD6902">
        <v>-1.1097809851129901</v>
      </c>
      <c r="AE6902">
        <v>35.778599999999898</v>
      </c>
      <c r="AF6902">
        <v>8.7745129227087997</v>
      </c>
      <c r="AG6902">
        <v>-1.1097809851129901</v>
      </c>
      <c r="AH6902">
        <v>35.711400703370302</v>
      </c>
      <c r="AI6902">
        <v>91.728590817169703</v>
      </c>
      <c r="AJ6902">
        <v>76.195533944477205</v>
      </c>
      <c r="AK6902">
        <v>36.790322519140602</v>
      </c>
      <c r="AL6902">
        <v>80.019900813259895</v>
      </c>
      <c r="AM6902">
        <v>83.807531530026694</v>
      </c>
      <c r="AN6902">
        <v>0.99999994646006296</v>
      </c>
    </row>
    <row r="6903" spans="1:40" x14ac:dyDescent="0.25">
      <c r="A6903" t="str">
        <f>"20190312164200932"</f>
        <v>20190312164200932</v>
      </c>
      <c r="B6903" t="str">
        <f>"1552380120923083"</f>
        <v>1552380120923083</v>
      </c>
      <c r="C6903" t="s">
        <v>40</v>
      </c>
      <c r="D6903">
        <v>5.9024590000000003</v>
      </c>
      <c r="E6903">
        <v>0.56076319999999902</v>
      </c>
      <c r="F6903" t="s">
        <v>50</v>
      </c>
      <c r="G6903">
        <v>-178.53469999999999</v>
      </c>
      <c r="H6903" s="1">
        <v>-9.8305580000000005E-6</v>
      </c>
      <c r="I6903">
        <v>145.62799999999999</v>
      </c>
      <c r="J6903">
        <v>-187.28049999999999</v>
      </c>
      <c r="K6903">
        <v>1.1095520000000001</v>
      </c>
      <c r="L6903">
        <v>110.6711</v>
      </c>
      <c r="M6903">
        <v>-3.2397049999999998E-3</v>
      </c>
      <c r="N6903">
        <v>0</v>
      </c>
      <c r="O6903">
        <v>0.99988500000000002</v>
      </c>
      <c r="P6903">
        <v>0.1121017</v>
      </c>
      <c r="Q6903">
        <v>0.1589545</v>
      </c>
      <c r="R6903">
        <v>0.98090089999999996</v>
      </c>
      <c r="S6903">
        <v>0.73908999999999903</v>
      </c>
      <c r="T6903">
        <v>-9.3799229999999997E-2</v>
      </c>
      <c r="U6903">
        <v>2.9931950000000001</v>
      </c>
      <c r="V6903">
        <v>0.1154346</v>
      </c>
      <c r="W6903">
        <v>0.17336299999999999</v>
      </c>
      <c r="X6903">
        <v>0.97806959999999998</v>
      </c>
      <c r="Y6903">
        <v>0.242757</v>
      </c>
      <c r="Z6903">
        <v>-3.0397359999999998E-2</v>
      </c>
      <c r="AA6903">
        <v>0.96961079999999999</v>
      </c>
      <c r="AB6903">
        <v>48</v>
      </c>
      <c r="AC6903">
        <v>8.7457999999999991</v>
      </c>
      <c r="AD6903">
        <v>-1.109561830558</v>
      </c>
      <c r="AE6903">
        <v>34.956899999999898</v>
      </c>
      <c r="AF6903">
        <v>8.8506249876391099</v>
      </c>
      <c r="AG6903">
        <v>-1.109561830558</v>
      </c>
      <c r="AH6903">
        <v>34.895294167937102</v>
      </c>
      <c r="AI6903">
        <v>91.765353352837906</v>
      </c>
      <c r="AJ6903">
        <v>75.767972089286403</v>
      </c>
      <c r="AK6903">
        <v>36.017304801921497</v>
      </c>
      <c r="AL6903">
        <v>80.016591212431294</v>
      </c>
      <c r="AM6903">
        <v>83.268924599475397</v>
      </c>
      <c r="AN6903">
        <v>1.00000000954515</v>
      </c>
    </row>
    <row r="6904" spans="1:40" x14ac:dyDescent="0.25">
      <c r="A6904" t="str">
        <f>"20190312164200956"</f>
        <v>20190312164200956</v>
      </c>
      <c r="B6904" t="str">
        <f>"1552380120953337"</f>
        <v>1552380120953337</v>
      </c>
      <c r="C6904" t="s">
        <v>40</v>
      </c>
      <c r="D6904">
        <v>6.1787359999999998</v>
      </c>
      <c r="E6904">
        <v>0.56058129999999995</v>
      </c>
      <c r="F6904" t="s">
        <v>50</v>
      </c>
      <c r="G6904">
        <v>-178.85900000000001</v>
      </c>
      <c r="H6904" s="1">
        <v>-9.4175560000000007E-6</v>
      </c>
      <c r="I6904">
        <v>143.50020000000001</v>
      </c>
      <c r="J6904">
        <v>-187.28139999999999</v>
      </c>
      <c r="K6904">
        <v>1.1093059999999999</v>
      </c>
      <c r="L6904">
        <v>111.16889999999999</v>
      </c>
      <c r="M6904">
        <v>-2.238411E-3</v>
      </c>
      <c r="N6904">
        <v>0</v>
      </c>
      <c r="O6904">
        <v>0.99988770000000005</v>
      </c>
      <c r="P6904">
        <v>0.122655399999999</v>
      </c>
      <c r="Q6904">
        <v>0.15927759999999999</v>
      </c>
      <c r="R6904">
        <v>0.97958480000000003</v>
      </c>
      <c r="S6904">
        <v>0.76629639999999999</v>
      </c>
      <c r="T6904">
        <v>-0.1009617</v>
      </c>
      <c r="U6904">
        <v>2.9871979999999998</v>
      </c>
      <c r="V6904">
        <v>0.12510760000000001</v>
      </c>
      <c r="W6904">
        <v>0.17358319999999999</v>
      </c>
      <c r="X6904">
        <v>0.97684029999999999</v>
      </c>
      <c r="Y6904">
        <v>0.25051610000000002</v>
      </c>
      <c r="Z6904">
        <v>-3.2711160000000003E-2</v>
      </c>
      <c r="AA6904">
        <v>0.96755959999999996</v>
      </c>
      <c r="AB6904">
        <v>48</v>
      </c>
      <c r="AC6904">
        <v>8.4223999999999801</v>
      </c>
      <c r="AD6904">
        <v>-1.1093154175559901</v>
      </c>
      <c r="AE6904">
        <v>32.331299999999999</v>
      </c>
      <c r="AF6904">
        <v>8.4854030664300897</v>
      </c>
      <c r="AG6904">
        <v>-1.1093154175559901</v>
      </c>
      <c r="AH6904">
        <v>32.276781418698903</v>
      </c>
      <c r="AI6904">
        <v>91.903775060109197</v>
      </c>
      <c r="AJ6904">
        <v>75.270527565398993</v>
      </c>
      <c r="AK6904">
        <v>33.3919640729005</v>
      </c>
      <c r="AL6904">
        <v>80.003780410079102</v>
      </c>
      <c r="AM6904">
        <v>82.701646303444903</v>
      </c>
      <c r="AN6904">
        <v>1.0000000053020399</v>
      </c>
    </row>
    <row r="6905" spans="1:40" x14ac:dyDescent="0.25">
      <c r="A6905" t="str">
        <f>"20190312164200978"</f>
        <v>20190312164200978</v>
      </c>
      <c r="B6905" t="str">
        <f>"1552380120972856"</f>
        <v>1552380120972856</v>
      </c>
      <c r="C6905" t="s">
        <v>40</v>
      </c>
      <c r="D6905">
        <v>6.1498210000000002</v>
      </c>
      <c r="E6905">
        <v>0.56005059999999995</v>
      </c>
      <c r="F6905" t="s">
        <v>50</v>
      </c>
      <c r="G6905">
        <v>-178.69110000000001</v>
      </c>
      <c r="H6905" s="1">
        <v>-9.3003770000000004E-6</v>
      </c>
      <c r="I6905">
        <v>143.39279999999999</v>
      </c>
      <c r="J6905">
        <v>-187.2816</v>
      </c>
      <c r="K6905">
        <v>1.10907</v>
      </c>
      <c r="L6905">
        <v>111.6429</v>
      </c>
      <c r="M6905">
        <v>-1.086098E-3</v>
      </c>
      <c r="N6905">
        <v>0</v>
      </c>
      <c r="O6905">
        <v>0.99988969999999999</v>
      </c>
      <c r="P6905">
        <v>0.133218899999999</v>
      </c>
      <c r="Q6905">
        <v>0.15893199999999999</v>
      </c>
      <c r="R6905">
        <v>0.97826029999999997</v>
      </c>
      <c r="S6905">
        <v>0.79434199999999999</v>
      </c>
      <c r="T6905">
        <v>-0.1025785</v>
      </c>
      <c r="U6905">
        <v>2.979752</v>
      </c>
      <c r="V6905">
        <v>0.13464010000000001</v>
      </c>
      <c r="W6905">
        <v>0.1731277</v>
      </c>
      <c r="X6905">
        <v>0.97565310000000005</v>
      </c>
      <c r="Y6905">
        <v>0.25849149999999999</v>
      </c>
      <c r="Z6905">
        <v>-3.3240390000000002E-2</v>
      </c>
      <c r="AA6905">
        <v>0.96544149999999995</v>
      </c>
      <c r="AB6905">
        <v>48</v>
      </c>
      <c r="AC6905">
        <v>8.5904999999999898</v>
      </c>
      <c r="AD6905">
        <v>-1.1090793003769901</v>
      </c>
      <c r="AE6905">
        <v>31.7499</v>
      </c>
      <c r="AF6905">
        <v>8.6151868291620595</v>
      </c>
      <c r="AG6905">
        <v>-1.1090793003769901</v>
      </c>
      <c r="AH6905">
        <v>31.704502388599099</v>
      </c>
      <c r="AI6905">
        <v>91.933435802485903</v>
      </c>
      <c r="AJ6905">
        <v>74.797872473347397</v>
      </c>
      <c r="AK6905">
        <v>32.872891152202797</v>
      </c>
      <c r="AL6905">
        <v>80.030280451380904</v>
      </c>
      <c r="AM6905">
        <v>82.142810675595399</v>
      </c>
      <c r="AN6905">
        <v>1.00000006428745</v>
      </c>
    </row>
    <row r="6906" spans="1:40" x14ac:dyDescent="0.25">
      <c r="A6906" t="str">
        <f>"20190312164201002"</f>
        <v>20190312164201002</v>
      </c>
      <c r="B6906" t="str">
        <f>"1552380120993353"</f>
        <v>1552380120993353</v>
      </c>
      <c r="C6906" t="s">
        <v>40</v>
      </c>
      <c r="D6906">
        <v>5.8002969999999996</v>
      </c>
      <c r="E6906">
        <v>0.55962630000000002</v>
      </c>
      <c r="F6906" t="s">
        <v>50</v>
      </c>
      <c r="G6906">
        <v>-178.5264</v>
      </c>
      <c r="H6906" s="1">
        <v>-9.2144620000000007E-6</v>
      </c>
      <c r="I6906">
        <v>143.3937</v>
      </c>
      <c r="J6906">
        <v>-187.28100000000001</v>
      </c>
      <c r="K6906">
        <v>1.108824</v>
      </c>
      <c r="L6906">
        <v>112.1399</v>
      </c>
      <c r="M6906">
        <v>3.5965250000000003E-4</v>
      </c>
      <c r="N6906">
        <v>0</v>
      </c>
      <c r="O6906">
        <v>0.99989019999999995</v>
      </c>
      <c r="P6906">
        <v>0.14413979999999901</v>
      </c>
      <c r="Q6906">
        <v>0.1579757</v>
      </c>
      <c r="R6906">
        <v>0.97686609999999996</v>
      </c>
      <c r="S6906">
        <v>0.8195038</v>
      </c>
      <c r="T6906">
        <v>-0.1038115</v>
      </c>
      <c r="U6906">
        <v>2.971924</v>
      </c>
      <c r="V6906">
        <v>0.14424899999999999</v>
      </c>
      <c r="W6906">
        <v>0.17204649999999999</v>
      </c>
      <c r="X6906">
        <v>0.97447030000000001</v>
      </c>
      <c r="Y6906">
        <v>0.26533000000000001</v>
      </c>
      <c r="Z6906">
        <v>-3.3656520000000002E-2</v>
      </c>
      <c r="AA6906">
        <v>0.96357009999999998</v>
      </c>
      <c r="AB6906">
        <v>48</v>
      </c>
      <c r="AC6906">
        <v>8.7545999999999804</v>
      </c>
      <c r="AD6906">
        <v>-1.1088332144619999</v>
      </c>
      <c r="AE6906">
        <v>31.253799999999998</v>
      </c>
      <c r="AF6906">
        <v>8.7331649032017999</v>
      </c>
      <c r="AG6906">
        <v>-1.1088332144619999</v>
      </c>
      <c r="AH6906">
        <v>31.220508364025399</v>
      </c>
      <c r="AI6906">
        <v>91.958937801063698</v>
      </c>
      <c r="AJ6906">
        <v>74.372351476216494</v>
      </c>
      <c r="AK6906">
        <v>32.437907189462599</v>
      </c>
      <c r="AL6906">
        <v>80.093172433385007</v>
      </c>
      <c r="AM6906">
        <v>81.579760879914105</v>
      </c>
      <c r="AN6906">
        <v>1.00000006887266</v>
      </c>
    </row>
    <row r="6907" spans="1:40" x14ac:dyDescent="0.25">
      <c r="A6907" t="str">
        <f>"20190312164201022"</f>
        <v>20190312164201022</v>
      </c>
      <c r="B6907" t="str">
        <f>"1552380121012872"</f>
        <v>1552380121012872</v>
      </c>
      <c r="C6907" t="s">
        <v>40</v>
      </c>
      <c r="D6907">
        <v>5.8051349999999999</v>
      </c>
      <c r="E6907">
        <v>0.55875459999999999</v>
      </c>
      <c r="F6907" t="s">
        <v>50</v>
      </c>
      <c r="G6907">
        <v>-178.57560000000001</v>
      </c>
      <c r="H6907" s="1">
        <v>-9.0156179999999998E-6</v>
      </c>
      <c r="I6907">
        <v>142.57339999999999</v>
      </c>
      <c r="J6907">
        <v>-187.27979999999999</v>
      </c>
      <c r="K6907">
        <v>1.1085989999999999</v>
      </c>
      <c r="L6907">
        <v>112.5891</v>
      </c>
      <c r="M6907">
        <v>1.8377269999999999E-3</v>
      </c>
      <c r="N6907">
        <v>0</v>
      </c>
      <c r="O6907">
        <v>0.99988849999999996</v>
      </c>
      <c r="P6907">
        <v>0.15594829999999901</v>
      </c>
      <c r="Q6907">
        <v>0.15656709999999999</v>
      </c>
      <c r="R6907">
        <v>0.97527779999999997</v>
      </c>
      <c r="S6907">
        <v>0.84768679999999996</v>
      </c>
      <c r="T6907">
        <v>-0.1079717</v>
      </c>
      <c r="U6907">
        <v>2.9634399999999999</v>
      </c>
      <c r="V6907">
        <v>0.15470229999999999</v>
      </c>
      <c r="W6907">
        <v>0.170508299999999</v>
      </c>
      <c r="X6907">
        <v>0.97313620000000001</v>
      </c>
      <c r="Y6907">
        <v>0.27308189999999999</v>
      </c>
      <c r="Z6907">
        <v>-3.5017050000000001E-2</v>
      </c>
      <c r="AA6907">
        <v>0.96135320000000002</v>
      </c>
      <c r="AB6907">
        <v>48</v>
      </c>
      <c r="AC6907">
        <v>8.7041999999999806</v>
      </c>
      <c r="AD6907">
        <v>-1.1086080156179901</v>
      </c>
      <c r="AE6907">
        <v>29.984299999999902</v>
      </c>
      <c r="AF6907">
        <v>8.6381856461346</v>
      </c>
      <c r="AG6907">
        <v>-1.1086080156179901</v>
      </c>
      <c r="AH6907">
        <v>29.9624716947352</v>
      </c>
      <c r="AI6907">
        <v>92.036115701195399</v>
      </c>
      <c r="AJ6907">
        <v>73.917719576277307</v>
      </c>
      <c r="AK6907">
        <v>31.202515492299401</v>
      </c>
      <c r="AL6907">
        <v>80.182625732562698</v>
      </c>
      <c r="AM6907">
        <v>80.967110903773701</v>
      </c>
      <c r="AN6907">
        <v>0.99999997287230902</v>
      </c>
    </row>
    <row r="6908" spans="1:40" x14ac:dyDescent="0.25">
      <c r="A6908" t="str">
        <f>"20190312164201044"</f>
        <v>20190312164201044</v>
      </c>
      <c r="B6908" t="str">
        <f>"1552380121033372"</f>
        <v>1552380121033372</v>
      </c>
      <c r="C6908" t="s">
        <v>40</v>
      </c>
      <c r="D6908">
        <v>5.8673950000000001</v>
      </c>
      <c r="E6908">
        <v>0.5582281</v>
      </c>
      <c r="F6908" t="s">
        <v>50</v>
      </c>
      <c r="G6908">
        <v>-178.6961</v>
      </c>
      <c r="H6908" s="1">
        <v>-8.7691090000000001E-6</v>
      </c>
      <c r="I6908">
        <v>141.55009999999999</v>
      </c>
      <c r="J6908">
        <v>-187.27770000000001</v>
      </c>
      <c r="K6908">
        <v>1.108371</v>
      </c>
      <c r="L6908">
        <v>113.0403</v>
      </c>
      <c r="M6908">
        <v>3.513459E-3</v>
      </c>
      <c r="N6908">
        <v>0</v>
      </c>
      <c r="O6908">
        <v>0.99988410000000005</v>
      </c>
      <c r="P6908">
        <v>0.16809779999999999</v>
      </c>
      <c r="Q6908">
        <v>0.15571750000000001</v>
      </c>
      <c r="R6908">
        <v>0.97339370000000003</v>
      </c>
      <c r="S6908">
        <v>0.87557980000000002</v>
      </c>
      <c r="T6908">
        <v>-0.113084</v>
      </c>
      <c r="U6908">
        <v>2.9541780000000002</v>
      </c>
      <c r="V6908">
        <v>0.16531209999999999</v>
      </c>
      <c r="W6908">
        <v>0.1695122</v>
      </c>
      <c r="X6908">
        <v>0.97156450000000005</v>
      </c>
      <c r="Y6908">
        <v>0.28060619999999997</v>
      </c>
      <c r="Z6908">
        <v>-3.6694789999999998E-2</v>
      </c>
      <c r="AA6908">
        <v>0.95912129999999995</v>
      </c>
      <c r="AB6908">
        <v>48</v>
      </c>
      <c r="AC6908">
        <v>8.5815999999999999</v>
      </c>
      <c r="AD6908">
        <v>-1.108379769109</v>
      </c>
      <c r="AE6908">
        <v>28.509799999999899</v>
      </c>
      <c r="AF6908">
        <v>8.4696302305589093</v>
      </c>
      <c r="AG6908">
        <v>-1.108379769109</v>
      </c>
      <c r="AH6908">
        <v>28.500280790702501</v>
      </c>
      <c r="AI6908">
        <v>92.134931141770807</v>
      </c>
      <c r="AJ6908">
        <v>73.449257408335399</v>
      </c>
      <c r="AK6908">
        <v>29.752800659834602</v>
      </c>
      <c r="AL6908">
        <v>80.240541712315704</v>
      </c>
      <c r="AM6908">
        <v>80.343578980778403</v>
      </c>
      <c r="AN6908">
        <v>1.00000002700774</v>
      </c>
    </row>
    <row r="6909" spans="1:40" x14ac:dyDescent="0.25">
      <c r="A6909" t="str">
        <f>"20190312164201067"</f>
        <v>20190312164201067</v>
      </c>
      <c r="B6909" t="str">
        <f>"1552380121063210"</f>
        <v>1552380121063210</v>
      </c>
      <c r="C6909" t="s">
        <v>40</v>
      </c>
      <c r="D6909">
        <v>5.8140539999999996</v>
      </c>
      <c r="E6909">
        <v>0.55735730000000006</v>
      </c>
      <c r="F6909" t="s">
        <v>50</v>
      </c>
      <c r="G6909">
        <v>-178.8372</v>
      </c>
      <c r="H6909" s="1">
        <v>-8.5063679999999995E-6</v>
      </c>
      <c r="I6909">
        <v>140.4666</v>
      </c>
      <c r="J6909">
        <v>-187.27449999999999</v>
      </c>
      <c r="K6909">
        <v>1.108107</v>
      </c>
      <c r="L6909">
        <v>113.5188</v>
      </c>
      <c r="M6909">
        <v>5.5507990000000004E-3</v>
      </c>
      <c r="N6909">
        <v>0</v>
      </c>
      <c r="O6909">
        <v>0.99987479999999995</v>
      </c>
      <c r="P6909">
        <v>0.1859818</v>
      </c>
      <c r="Q6909">
        <v>0.1546312</v>
      </c>
      <c r="R6909">
        <v>0.97030919999999998</v>
      </c>
      <c r="S6909">
        <v>0.90618900000000002</v>
      </c>
      <c r="T6909">
        <v>-0.1189983</v>
      </c>
      <c r="U6909">
        <v>2.94455</v>
      </c>
      <c r="V6909">
        <v>0.18133179999999999</v>
      </c>
      <c r="W6909">
        <v>0.16821129999999901</v>
      </c>
      <c r="X6909">
        <v>0.96892920000000005</v>
      </c>
      <c r="Y6909">
        <v>0.28860760000000002</v>
      </c>
      <c r="Z6909">
        <v>-3.8627559999999998E-2</v>
      </c>
      <c r="AA6909">
        <v>0.95666799999999996</v>
      </c>
      <c r="AB6909">
        <v>48</v>
      </c>
      <c r="AC6909">
        <v>8.4372999999999898</v>
      </c>
      <c r="AD6909">
        <v>-1.1081155063679999</v>
      </c>
      <c r="AE6909">
        <v>26.947800000000001</v>
      </c>
      <c r="AF6909">
        <v>8.2748288463555593</v>
      </c>
      <c r="AG6909">
        <v>-1.1081155063679999</v>
      </c>
      <c r="AH6909">
        <v>26.9527175801562</v>
      </c>
      <c r="AI6909">
        <v>92.250722734089095</v>
      </c>
      <c r="AJ6909">
        <v>72.932844437357701</v>
      </c>
      <c r="AK6909">
        <v>28.216124775872199</v>
      </c>
      <c r="AL6909">
        <v>80.316163765574302</v>
      </c>
      <c r="AM6909">
        <v>79.399906934379302</v>
      </c>
      <c r="AN6909">
        <v>1.00000002887578</v>
      </c>
    </row>
    <row r="6910" spans="1:40" x14ac:dyDescent="0.25">
      <c r="A6910" t="str">
        <f>"20190312164201101"</f>
        <v>20190312164201101</v>
      </c>
      <c r="B6910" t="str">
        <f>"1552380121093469"</f>
        <v>1552380121093469</v>
      </c>
      <c r="C6910" t="s">
        <v>40</v>
      </c>
      <c r="D6910">
        <v>6.0714169999999896</v>
      </c>
      <c r="E6910">
        <v>0.54239869999999901</v>
      </c>
      <c r="F6910" t="s">
        <v>50</v>
      </c>
      <c r="G6910">
        <v>-178.84180000000001</v>
      </c>
      <c r="H6910" s="1">
        <v>-8.1972179999999993E-6</v>
      </c>
      <c r="I6910">
        <v>139.51089999999999</v>
      </c>
      <c r="J6910">
        <v>-187.26750000000001</v>
      </c>
      <c r="K6910">
        <v>1.1076349999999999</v>
      </c>
      <c r="L6910">
        <v>114.2435</v>
      </c>
      <c r="M6910">
        <v>9.2310259999999998E-3</v>
      </c>
      <c r="N6910">
        <v>0</v>
      </c>
      <c r="O6910">
        <v>0.9998475</v>
      </c>
      <c r="P6910">
        <v>0.20580390000000001</v>
      </c>
      <c r="Q6910">
        <v>0.1561255</v>
      </c>
      <c r="R6910">
        <v>0.9660588</v>
      </c>
      <c r="S6910">
        <v>0.95043949999999999</v>
      </c>
      <c r="T6910">
        <v>-0.12489450000000001</v>
      </c>
      <c r="U6910">
        <v>2.929535</v>
      </c>
      <c r="V6910">
        <v>0.19782150000000001</v>
      </c>
      <c r="W6910">
        <v>0.1693566</v>
      </c>
      <c r="X6910">
        <v>0.9654973</v>
      </c>
      <c r="Y6910">
        <v>0.29955019999999999</v>
      </c>
      <c r="Z6910">
        <v>-4.0574409999999998E-2</v>
      </c>
      <c r="AA6910">
        <v>0.95321739999999999</v>
      </c>
      <c r="AB6910">
        <v>47</v>
      </c>
      <c r="AC6910">
        <v>8.4257000000000009</v>
      </c>
      <c r="AD6910">
        <v>-1.1076431972180001</v>
      </c>
      <c r="AE6910">
        <v>25.267399999999899</v>
      </c>
      <c r="AF6910">
        <v>8.1779286076960194</v>
      </c>
      <c r="AG6910">
        <v>-1.1076431972180001</v>
      </c>
      <c r="AH6910">
        <v>25.300355937029401</v>
      </c>
      <c r="AI6910">
        <v>92.385425834418598</v>
      </c>
      <c r="AJ6910">
        <v>72.087417251664505</v>
      </c>
      <c r="AK6910">
        <v>26.6122791264727</v>
      </c>
      <c r="AL6910">
        <v>80.249587659133994</v>
      </c>
      <c r="AM6910">
        <v>78.420879078204905</v>
      </c>
      <c r="AN6910">
        <v>1.00000002006654</v>
      </c>
    </row>
    <row r="6911" spans="1:40" x14ac:dyDescent="0.25">
      <c r="A6911" t="str">
        <f>"20190312164201121"</f>
        <v>20190312164201121</v>
      </c>
      <c r="B6911" t="str">
        <f>"1552380121112986"</f>
        <v>1552380121112986</v>
      </c>
      <c r="C6911" t="s">
        <v>40</v>
      </c>
      <c r="D6911">
        <v>5.7536370000000003</v>
      </c>
      <c r="E6911">
        <v>0.54358980000000001</v>
      </c>
      <c r="F6911" t="s">
        <v>50</v>
      </c>
      <c r="G6911">
        <v>-178.60759999999999</v>
      </c>
      <c r="H6911" s="1">
        <v>-9.1006900000000001E-6</v>
      </c>
      <c r="I6911">
        <v>142.8229</v>
      </c>
      <c r="J6911">
        <v>-187.26140000000001</v>
      </c>
      <c r="K6911">
        <v>1.107278</v>
      </c>
      <c r="L6911">
        <v>114.69970000000001</v>
      </c>
      <c r="M6911">
        <v>1.200413E-2</v>
      </c>
      <c r="N6911">
        <v>0</v>
      </c>
      <c r="O6911">
        <v>0.99981799999999998</v>
      </c>
      <c r="P6911">
        <v>0.21864140000000001</v>
      </c>
      <c r="Q6911">
        <v>0.15581130000000001</v>
      </c>
      <c r="R6911">
        <v>0.96328539999999996</v>
      </c>
      <c r="S6911">
        <v>0.88914490000000002</v>
      </c>
      <c r="T6911">
        <v>-0.1137259</v>
      </c>
      <c r="U6911">
        <v>2.9343569999999999</v>
      </c>
      <c r="V6911">
        <v>0.208153</v>
      </c>
      <c r="W6911">
        <v>0.16877899999999901</v>
      </c>
      <c r="X6911">
        <v>0.96342410000000001</v>
      </c>
      <c r="Y6911">
        <v>0.278281</v>
      </c>
      <c r="Z6911">
        <v>-3.7126300000000001E-2</v>
      </c>
      <c r="AA6911">
        <v>0.95978189999999997</v>
      </c>
      <c r="AB6911">
        <v>47</v>
      </c>
      <c r="AC6911">
        <v>8.6538000000000093</v>
      </c>
      <c r="AD6911">
        <v>-1.10728710068999</v>
      </c>
      <c r="AE6911">
        <v>28.123200000000001</v>
      </c>
      <c r="AF6911">
        <v>8.3037854719252806</v>
      </c>
      <c r="AG6911">
        <v>-1.10728710068999</v>
      </c>
      <c r="AH6911">
        <v>28.1851522812856</v>
      </c>
      <c r="AI6911">
        <v>92.158154551508204</v>
      </c>
      <c r="AJ6911">
        <v>73.584204296624904</v>
      </c>
      <c r="AK6911">
        <v>29.403770965751502</v>
      </c>
      <c r="AL6911">
        <v>80.283164962284204</v>
      </c>
      <c r="AM6911">
        <v>77.808332963453594</v>
      </c>
      <c r="AN6911">
        <v>1.0000000093554</v>
      </c>
    </row>
    <row r="6912" spans="1:40" x14ac:dyDescent="0.25">
      <c r="A6912" t="str">
        <f>"20190312164201143"</f>
        <v>20190312164201143</v>
      </c>
      <c r="B6912" t="str">
        <f>"1552380121133486"</f>
        <v>1552380121133486</v>
      </c>
      <c r="C6912" t="s">
        <v>40</v>
      </c>
      <c r="D6912">
        <v>5.9602769999999996</v>
      </c>
      <c r="E6912">
        <v>0.5794762</v>
      </c>
      <c r="F6912" t="s">
        <v>50</v>
      </c>
      <c r="G6912">
        <v>-178.1404</v>
      </c>
      <c r="H6912" s="1">
        <v>-8.9457489999999903E-6</v>
      </c>
      <c r="I6912">
        <v>143.1651</v>
      </c>
      <c r="J6912">
        <v>-187.25360000000001</v>
      </c>
      <c r="K6912">
        <v>1.1068899999999999</v>
      </c>
      <c r="L6912">
        <v>115.1627</v>
      </c>
      <c r="M6912">
        <v>1.515817E-2</v>
      </c>
      <c r="N6912">
        <v>0</v>
      </c>
      <c r="O6912">
        <v>0.99977499999999997</v>
      </c>
      <c r="P6912">
        <v>0.23103190000000001</v>
      </c>
      <c r="Q6912">
        <v>0.15495439999999999</v>
      </c>
      <c r="R6912">
        <v>0.96052769999999998</v>
      </c>
      <c r="S6912">
        <v>0.93574520000000005</v>
      </c>
      <c r="T6912">
        <v>-0.11359909999999999</v>
      </c>
      <c r="U6912">
        <v>2.920334</v>
      </c>
      <c r="V6912">
        <v>0.2176873</v>
      </c>
      <c r="W6912">
        <v>0.16764009999999999</v>
      </c>
      <c r="X6912">
        <v>0.96151390000000003</v>
      </c>
      <c r="Y6912">
        <v>0.2904603</v>
      </c>
      <c r="Z6912">
        <v>-3.7097789999999999E-2</v>
      </c>
      <c r="AA6912">
        <v>0.95616760000000001</v>
      </c>
      <c r="AB6912">
        <v>47</v>
      </c>
      <c r="AC6912">
        <v>9.1132000000000009</v>
      </c>
      <c r="AD6912">
        <v>-1.1068989457489999</v>
      </c>
      <c r="AE6912">
        <v>28.002399999999898</v>
      </c>
      <c r="AF6912">
        <v>8.6753836143341196</v>
      </c>
      <c r="AG6912">
        <v>-1.1068989457489999</v>
      </c>
      <c r="AH6912">
        <v>28.0976381943902</v>
      </c>
      <c r="AI6912">
        <v>92.155673370574405</v>
      </c>
      <c r="AJ6912">
        <v>72.841484639086403</v>
      </c>
      <c r="AK6912">
        <v>29.4272794908875</v>
      </c>
      <c r="AL6912">
        <v>80.3493619924635</v>
      </c>
      <c r="AM6912">
        <v>77.243259162277596</v>
      </c>
      <c r="AN6912">
        <v>0.999999971801254</v>
      </c>
    </row>
    <row r="6913" spans="1:40" x14ac:dyDescent="0.25">
      <c r="A6913" t="str">
        <f>"20190312164201168"</f>
        <v>20190312164201168</v>
      </c>
      <c r="B6913" t="str">
        <f>"1552380121163341"</f>
        <v>1552380121163341</v>
      </c>
      <c r="C6913" t="s">
        <v>40</v>
      </c>
      <c r="D6913">
        <v>6.0076090000000004</v>
      </c>
      <c r="E6913">
        <v>0.58521199999999995</v>
      </c>
      <c r="F6913" t="s">
        <v>50</v>
      </c>
      <c r="G6913">
        <v>-180.262</v>
      </c>
      <c r="H6913" s="1">
        <v>-5.9495320000000004E-6</v>
      </c>
      <c r="I6913">
        <v>131.1728</v>
      </c>
      <c r="J6913">
        <v>-187.2432</v>
      </c>
      <c r="K6913">
        <v>1.1064339999999999</v>
      </c>
      <c r="L6913">
        <v>115.6619</v>
      </c>
      <c r="M6913">
        <v>1.9011259999999999E-2</v>
      </c>
      <c r="N6913">
        <v>0</v>
      </c>
      <c r="O6913">
        <v>0.99970890000000001</v>
      </c>
      <c r="P6913">
        <v>0.2448601</v>
      </c>
      <c r="Q6913">
        <v>0.15402189999999999</v>
      </c>
      <c r="R6913">
        <v>0.9572465</v>
      </c>
      <c r="S6913">
        <v>1.246872</v>
      </c>
      <c r="T6913">
        <v>-0.19740389999999999</v>
      </c>
      <c r="U6913">
        <v>2.8552399999999998</v>
      </c>
      <c r="V6913">
        <v>0.2280325</v>
      </c>
      <c r="W6913">
        <v>0.16636509999999999</v>
      </c>
      <c r="X6913">
        <v>0.9593351</v>
      </c>
      <c r="Y6913">
        <v>0.38189830000000002</v>
      </c>
      <c r="Z6913">
        <v>-6.3460139999999998E-2</v>
      </c>
      <c r="AA6913">
        <v>0.92202309999999998</v>
      </c>
      <c r="AB6913">
        <v>47</v>
      </c>
      <c r="AC6913">
        <v>6.9812000000000003</v>
      </c>
      <c r="AD6913">
        <v>-1.1064399495320001</v>
      </c>
      <c r="AE6913">
        <v>15.5108999999999</v>
      </c>
      <c r="AF6913">
        <v>6.6568568336976099</v>
      </c>
      <c r="AG6913">
        <v>-1.1064399495320001</v>
      </c>
      <c r="AH6913">
        <v>15.574930601716501</v>
      </c>
      <c r="AI6913">
        <v>93.737442440510605</v>
      </c>
      <c r="AJ6913">
        <v>66.857727577720794</v>
      </c>
      <c r="AK6913">
        <v>16.9739923269263</v>
      </c>
      <c r="AL6913">
        <v>80.423454922984305</v>
      </c>
      <c r="AM6913">
        <v>76.629016896713907</v>
      </c>
      <c r="AN6913">
        <v>1.00000000082313</v>
      </c>
    </row>
    <row r="6914" spans="1:40" x14ac:dyDescent="0.25">
      <c r="A6914" t="str">
        <f>"20190312164201190"</f>
        <v>20190312164201190</v>
      </c>
      <c r="B6914" t="str">
        <f>"1552380121182861"</f>
        <v>1552380121182861</v>
      </c>
      <c r="C6914" t="s">
        <v>40</v>
      </c>
      <c r="D6914">
        <v>6.0400980000000004</v>
      </c>
      <c r="E6914">
        <v>0.58407749999999903</v>
      </c>
      <c r="F6914" t="s">
        <v>50</v>
      </c>
      <c r="G6914">
        <v>-180.60339999999999</v>
      </c>
      <c r="H6914" s="1">
        <v>-5.450048E-6</v>
      </c>
      <c r="I6914">
        <v>129.78989999999999</v>
      </c>
      <c r="J6914">
        <v>-187.23089999999999</v>
      </c>
      <c r="K6914">
        <v>1.105955</v>
      </c>
      <c r="L6914">
        <v>116.15089999999999</v>
      </c>
      <c r="M6914">
        <v>2.32809E-2</v>
      </c>
      <c r="N6914">
        <v>0</v>
      </c>
      <c r="O6914">
        <v>0.99961840000000002</v>
      </c>
      <c r="P6914">
        <v>0.25855909999999999</v>
      </c>
      <c r="Q6914">
        <v>0.15285260000000001</v>
      </c>
      <c r="R6914">
        <v>0.95382560000000005</v>
      </c>
      <c r="S6914">
        <v>1.329788</v>
      </c>
      <c r="T6914">
        <v>-0.22159139999999999</v>
      </c>
      <c r="U6914">
        <v>2.8294830000000002</v>
      </c>
      <c r="V6914">
        <v>0.2378769</v>
      </c>
      <c r="W6914">
        <v>0.16482550000000001</v>
      </c>
      <c r="X6914">
        <v>0.95720799999999995</v>
      </c>
      <c r="Y6914">
        <v>0.40308329999999998</v>
      </c>
      <c r="Z6914">
        <v>-7.1028209999999994E-2</v>
      </c>
      <c r="AA6914">
        <v>0.91240279999999996</v>
      </c>
      <c r="AB6914">
        <v>47</v>
      </c>
      <c r="AC6914">
        <v>6.6274999999999897</v>
      </c>
      <c r="AD6914">
        <v>-1.105960450048</v>
      </c>
      <c r="AE6914">
        <v>13.6389999999999</v>
      </c>
      <c r="AF6914">
        <v>6.2747627635454899</v>
      </c>
      <c r="AG6914">
        <v>-1.105960450048</v>
      </c>
      <c r="AH6914">
        <v>13.716650968085</v>
      </c>
      <c r="AI6914">
        <v>94.193501353954801</v>
      </c>
      <c r="AJ6914">
        <v>65.417995273755594</v>
      </c>
      <c r="AK6914">
        <v>15.124229237753401</v>
      </c>
      <c r="AL6914">
        <v>80.512902534961398</v>
      </c>
      <c r="AM6914">
        <v>76.044069299881002</v>
      </c>
      <c r="AN6914">
        <v>1.0000000101339299</v>
      </c>
    </row>
    <row r="6915" spans="1:40" x14ac:dyDescent="0.25">
      <c r="A6915" t="str">
        <f>"20190312164201212"</f>
        <v>20190312164201212</v>
      </c>
      <c r="B6915" t="str">
        <f>"1552380121203360"</f>
        <v>1552380121203360</v>
      </c>
      <c r="C6915" t="s">
        <v>40</v>
      </c>
      <c r="D6915">
        <v>6.0351660000000003</v>
      </c>
      <c r="E6915">
        <v>0.58394460000000004</v>
      </c>
      <c r="F6915" t="s">
        <v>50</v>
      </c>
      <c r="G6915">
        <v>-181.05680000000001</v>
      </c>
      <c r="H6915" s="1">
        <v>-5.1073070000000002E-6</v>
      </c>
      <c r="I6915">
        <v>128.9554</v>
      </c>
      <c r="J6915">
        <v>-187.2174</v>
      </c>
      <c r="K6915">
        <v>1.1054660000000001</v>
      </c>
      <c r="L6915">
        <v>116.6028</v>
      </c>
      <c r="M6915">
        <v>2.7701340000000001E-2</v>
      </c>
      <c r="N6915">
        <v>0</v>
      </c>
      <c r="O6915">
        <v>0.99950530000000004</v>
      </c>
      <c r="P6915">
        <v>0.27013229999999999</v>
      </c>
      <c r="Q6915">
        <v>0.1511605</v>
      </c>
      <c r="R6915">
        <v>0.95088329999999999</v>
      </c>
      <c r="S6915">
        <v>1.35788</v>
      </c>
      <c r="T6915">
        <v>-0.24323429999999999</v>
      </c>
      <c r="U6915">
        <v>2.8161010000000002</v>
      </c>
      <c r="V6915">
        <v>0.24545030000000001</v>
      </c>
      <c r="W6915">
        <v>0.162777799999999</v>
      </c>
      <c r="X6915">
        <v>0.95564510000000003</v>
      </c>
      <c r="Y6915">
        <v>0.40788780000000002</v>
      </c>
      <c r="Z6915">
        <v>-7.7995490000000001E-2</v>
      </c>
      <c r="AA6915">
        <v>0.90969460000000002</v>
      </c>
      <c r="AB6915">
        <v>47</v>
      </c>
      <c r="AC6915">
        <v>6.1605999999999801</v>
      </c>
      <c r="AD6915">
        <v>-1.105471107307</v>
      </c>
      <c r="AE6915">
        <v>12.352599999999899</v>
      </c>
      <c r="AF6915">
        <v>5.7789492835371403</v>
      </c>
      <c r="AG6915">
        <v>-1.105471107307</v>
      </c>
      <c r="AH6915">
        <v>12.4387558064772</v>
      </c>
      <c r="AI6915">
        <v>94.608037679189493</v>
      </c>
      <c r="AJ6915">
        <v>65.080785246224195</v>
      </c>
      <c r="AK6915">
        <v>13.7601223542509</v>
      </c>
      <c r="AL6915">
        <v>80.631833484138298</v>
      </c>
      <c r="AM6915">
        <v>75.595368582710094</v>
      </c>
      <c r="AN6915">
        <v>1.00000000954846</v>
      </c>
    </row>
    <row r="6916" spans="1:40" x14ac:dyDescent="0.25">
      <c r="A6916" t="str">
        <f>"20190312164201234"</f>
        <v>20190312164201234</v>
      </c>
      <c r="B6916" t="str">
        <f>"1552380121222877"</f>
        <v>1552380121222877</v>
      </c>
      <c r="C6916" t="s">
        <v>40</v>
      </c>
      <c r="D6916">
        <v>6.100009</v>
      </c>
      <c r="E6916">
        <v>0.58316230000000002</v>
      </c>
      <c r="F6916" t="s">
        <v>50</v>
      </c>
      <c r="G6916">
        <v>-181.08</v>
      </c>
      <c r="H6916" s="1">
        <v>-5.1045799999999997E-6</v>
      </c>
      <c r="I6916">
        <v>128.9573</v>
      </c>
      <c r="J6916">
        <v>-187.20089999999999</v>
      </c>
      <c r="K6916">
        <v>1.104927</v>
      </c>
      <c r="L6916">
        <v>117.075</v>
      </c>
      <c r="M6916">
        <v>3.282467E-2</v>
      </c>
      <c r="N6916">
        <v>0</v>
      </c>
      <c r="O6916">
        <v>0.99934979999999995</v>
      </c>
      <c r="P6916">
        <v>0.28341889999999997</v>
      </c>
      <c r="Q6916">
        <v>0.15059739999999999</v>
      </c>
      <c r="R6916">
        <v>0.94709779999999999</v>
      </c>
      <c r="S6916">
        <v>1.3908229999999999</v>
      </c>
      <c r="T6916">
        <v>-0.25051269999999998</v>
      </c>
      <c r="U6916">
        <v>2.7996669999999999</v>
      </c>
      <c r="V6916">
        <v>0.25413859999999999</v>
      </c>
      <c r="W6916">
        <v>0.16179399999999999</v>
      </c>
      <c r="X6916">
        <v>0.95353880000000002</v>
      </c>
      <c r="Y6916">
        <v>0.41382950000000002</v>
      </c>
      <c r="Z6916">
        <v>-8.0405909999999997E-2</v>
      </c>
      <c r="AA6916">
        <v>0.90679659999999995</v>
      </c>
      <c r="AB6916">
        <v>47</v>
      </c>
      <c r="AC6916">
        <v>6.1208999999999696</v>
      </c>
      <c r="AD6916">
        <v>-1.10493210457999</v>
      </c>
      <c r="AE6916">
        <v>11.882300000000001</v>
      </c>
      <c r="AF6916">
        <v>5.6886502360151603</v>
      </c>
      <c r="AG6916">
        <v>-1.10493210457999</v>
      </c>
      <c r="AH6916">
        <v>11.994864814345201</v>
      </c>
      <c r="AI6916">
        <v>94.757832868971704</v>
      </c>
      <c r="AJ6916">
        <v>64.627019443325494</v>
      </c>
      <c r="AK6916">
        <v>13.321351221924299</v>
      </c>
      <c r="AL6916">
        <v>80.688958100874302</v>
      </c>
      <c r="AM6916">
        <v>75.076347855809104</v>
      </c>
      <c r="AN6916">
        <v>0.99999998477569896</v>
      </c>
    </row>
    <row r="6917" spans="1:40" x14ac:dyDescent="0.25">
      <c r="A6917" t="str">
        <f>"20190312164201257"</f>
        <v>20190312164201257</v>
      </c>
      <c r="B6917" t="str">
        <f>"1552380121253124"</f>
        <v>1552380121253124</v>
      </c>
      <c r="C6917" t="s">
        <v>40</v>
      </c>
      <c r="D6917">
        <v>6.1262339999999904</v>
      </c>
      <c r="E6917">
        <v>0.58197889999999997</v>
      </c>
      <c r="F6917" t="s">
        <v>50</v>
      </c>
      <c r="G6917">
        <v>-181.15530000000001</v>
      </c>
      <c r="H6917" s="1">
        <v>-5.0771379999999998E-6</v>
      </c>
      <c r="I6917">
        <v>128.892</v>
      </c>
      <c r="J6917">
        <v>-187.18199999999999</v>
      </c>
      <c r="K6917">
        <v>1.1043889999999901</v>
      </c>
      <c r="L6917">
        <v>117.5389</v>
      </c>
      <c r="M6917">
        <v>3.8372320000000001E-2</v>
      </c>
      <c r="N6917">
        <v>0</v>
      </c>
      <c r="O6917">
        <v>0.99915180000000003</v>
      </c>
      <c r="P6917">
        <v>0.2972361</v>
      </c>
      <c r="Q6917">
        <v>0.150215299999999</v>
      </c>
      <c r="R6917">
        <v>0.94291360000000002</v>
      </c>
      <c r="S6917">
        <v>1.4237519999999999</v>
      </c>
      <c r="T6917">
        <v>-0.26021119999999998</v>
      </c>
      <c r="U6917">
        <v>2.7828979999999999</v>
      </c>
      <c r="V6917">
        <v>0.26300020000000002</v>
      </c>
      <c r="W6917">
        <v>0.16095960000000001</v>
      </c>
      <c r="X6917">
        <v>0.95127430000000002</v>
      </c>
      <c r="Y6917">
        <v>0.41937150000000001</v>
      </c>
      <c r="Z6917">
        <v>-8.3595600000000006E-2</v>
      </c>
      <c r="AA6917">
        <v>0.90395760000000003</v>
      </c>
      <c r="AB6917">
        <v>47</v>
      </c>
      <c r="AC6917">
        <v>6.0266999999999999</v>
      </c>
      <c r="AD6917">
        <v>-1.1043940771380001</v>
      </c>
      <c r="AE6917">
        <v>11.3530999999999</v>
      </c>
      <c r="AF6917">
        <v>5.5456266037008</v>
      </c>
      <c r="AG6917">
        <v>-1.1043940771380001</v>
      </c>
      <c r="AH6917">
        <v>11.491187707210599</v>
      </c>
      <c r="AI6917">
        <v>94.946939744470001</v>
      </c>
      <c r="AJ6917">
        <v>64.238126624475697</v>
      </c>
      <c r="AK6917">
        <v>12.8070705326253</v>
      </c>
      <c r="AL6917">
        <v>80.737400281588904</v>
      </c>
      <c r="AM6917">
        <v>74.545397080019498</v>
      </c>
      <c r="AN6917">
        <v>0.999999945936343</v>
      </c>
    </row>
    <row r="6918" spans="1:40" x14ac:dyDescent="0.25">
      <c r="A6918" t="str">
        <f>"20190312164201279"</f>
        <v>20190312164201279</v>
      </c>
      <c r="B6918" t="str">
        <f>"1552380121272645"</f>
        <v>1552380121272645</v>
      </c>
      <c r="C6918" t="s">
        <v>40</v>
      </c>
      <c r="D6918">
        <v>6.0097050000000003</v>
      </c>
      <c r="E6918">
        <v>0.581157699999999</v>
      </c>
      <c r="F6918" t="s">
        <v>50</v>
      </c>
      <c r="G6918">
        <v>-181.0095</v>
      </c>
      <c r="H6918" s="1">
        <v>-5.2263729999999999E-6</v>
      </c>
      <c r="I6918">
        <v>129.27379999999999</v>
      </c>
      <c r="J6918">
        <v>-187.1593</v>
      </c>
      <c r="K6918">
        <v>1.10381</v>
      </c>
      <c r="L6918">
        <v>118.02249999999999</v>
      </c>
      <c r="M6918">
        <v>4.4718319999999999E-2</v>
      </c>
      <c r="N6918">
        <v>0</v>
      </c>
      <c r="O6918">
        <v>0.99888730000000003</v>
      </c>
      <c r="P6918">
        <v>0.31049860000000001</v>
      </c>
      <c r="Q6918">
        <v>0.14956140000000001</v>
      </c>
      <c r="R6918">
        <v>0.93873430000000002</v>
      </c>
      <c r="S6918">
        <v>1.4542079999999999</v>
      </c>
      <c r="T6918">
        <v>-0.26018940000000002</v>
      </c>
      <c r="U6918">
        <v>2.7646790000000001</v>
      </c>
      <c r="V6918">
        <v>0.27058850000000001</v>
      </c>
      <c r="W6918">
        <v>0.15983240000000001</v>
      </c>
      <c r="X6918">
        <v>0.94933420000000002</v>
      </c>
      <c r="Y6918">
        <v>0.42384670000000002</v>
      </c>
      <c r="Z6918">
        <v>-8.3749560000000001E-2</v>
      </c>
      <c r="AA6918">
        <v>0.90185369999999998</v>
      </c>
      <c r="AB6918">
        <v>47</v>
      </c>
      <c r="AC6918">
        <v>6.1497999999999902</v>
      </c>
      <c r="AD6918">
        <v>-1.1038152263729999</v>
      </c>
      <c r="AE6918">
        <v>11.251300000000001</v>
      </c>
      <c r="AF6918">
        <v>5.5989586162966001</v>
      </c>
      <c r="AG6918">
        <v>-1.1038152263729999</v>
      </c>
      <c r="AH6918">
        <v>11.4303744752499</v>
      </c>
      <c r="AI6918">
        <v>94.9564857038295</v>
      </c>
      <c r="AJ6918">
        <v>63.902927023769998</v>
      </c>
      <c r="AK6918">
        <v>12.7757663678317</v>
      </c>
      <c r="AL6918">
        <v>80.8028315390263</v>
      </c>
      <c r="AM6918">
        <v>74.090871008120601</v>
      </c>
      <c r="AN6918">
        <v>0.99999997785582395</v>
      </c>
    </row>
    <row r="6919" spans="1:40" x14ac:dyDescent="0.25">
      <c r="A6919" t="str">
        <f>"20190312164201301"</f>
        <v>20190312164201301</v>
      </c>
      <c r="B6919" t="str">
        <f>"1552380121293140"</f>
        <v>1552380121293140</v>
      </c>
      <c r="C6919" t="s">
        <v>40</v>
      </c>
      <c r="D6919">
        <v>6.4208100000000004</v>
      </c>
      <c r="E6919">
        <v>0.5799955</v>
      </c>
      <c r="F6919" t="s">
        <v>50</v>
      </c>
      <c r="G6919">
        <v>-180.91290000000001</v>
      </c>
      <c r="H6919" s="1">
        <v>-5.3690739999999997E-6</v>
      </c>
      <c r="I6919">
        <v>129.5986</v>
      </c>
      <c r="J6919">
        <v>-187.13399999999999</v>
      </c>
      <c r="K6919">
        <v>1.1032310000000001</v>
      </c>
      <c r="L6919">
        <v>118.4892</v>
      </c>
      <c r="M6919">
        <v>5.1406449999999999E-2</v>
      </c>
      <c r="N6919">
        <v>0</v>
      </c>
      <c r="O6919">
        <v>0.99856489999999998</v>
      </c>
      <c r="P6919">
        <v>0.32251649999999998</v>
      </c>
      <c r="Q6919">
        <v>0.146703</v>
      </c>
      <c r="R6919">
        <v>0.93512640000000002</v>
      </c>
      <c r="S6919">
        <v>1.482391</v>
      </c>
      <c r="T6919">
        <v>-0.26195590000000002</v>
      </c>
      <c r="U6919">
        <v>2.747223</v>
      </c>
      <c r="V6919">
        <v>0.27657189999999998</v>
      </c>
      <c r="W6919">
        <v>0.15652430000000001</v>
      </c>
      <c r="X6919">
        <v>0.94816040000000001</v>
      </c>
      <c r="Y6919">
        <v>0.42730879999999999</v>
      </c>
      <c r="Z6919">
        <v>-8.4478490000000003E-2</v>
      </c>
      <c r="AA6919">
        <v>0.90015029999999996</v>
      </c>
      <c r="AB6919">
        <v>47</v>
      </c>
      <c r="AC6919">
        <v>6.2210999999999999</v>
      </c>
      <c r="AD6919">
        <v>-1.1032363690739999</v>
      </c>
      <c r="AE6919">
        <v>11.109400000000001</v>
      </c>
      <c r="AF6919">
        <v>5.5996736395547702</v>
      </c>
      <c r="AG6919">
        <v>-1.1032363690739999</v>
      </c>
      <c r="AH6919">
        <v>11.329491995674701</v>
      </c>
      <c r="AI6919">
        <v>94.989080233222793</v>
      </c>
      <c r="AJ6919">
        <v>63.698821592919401</v>
      </c>
      <c r="AK6919">
        <v>12.6858529171526</v>
      </c>
      <c r="AL6919">
        <v>80.994788713218298</v>
      </c>
      <c r="AM6919">
        <v>73.738396534939199</v>
      </c>
      <c r="AN6919">
        <v>1.0000000082441201</v>
      </c>
    </row>
    <row r="6920" spans="1:40" x14ac:dyDescent="0.25">
      <c r="A6920" t="str">
        <f>"20190312164201322"</f>
        <v>20190312164201322</v>
      </c>
      <c r="B6920" t="str">
        <f>"1552380121312663"</f>
        <v>1552380121312663</v>
      </c>
      <c r="C6920" t="s">
        <v>40</v>
      </c>
      <c r="D6920">
        <v>5.9726369999999998</v>
      </c>
      <c r="E6920">
        <v>0.57933140000000005</v>
      </c>
      <c r="F6920" t="s">
        <v>50</v>
      </c>
      <c r="G6920">
        <v>-180.9331</v>
      </c>
      <c r="H6920" s="1">
        <v>-5.4148579999999997E-6</v>
      </c>
      <c r="I6920">
        <v>129.7397</v>
      </c>
      <c r="J6920">
        <v>-187.1063</v>
      </c>
      <c r="K6920">
        <v>1.1026769999999999</v>
      </c>
      <c r="L6920">
        <v>118.9421</v>
      </c>
      <c r="M6920">
        <v>5.8350060000000002E-2</v>
      </c>
      <c r="N6920">
        <v>0</v>
      </c>
      <c r="O6920">
        <v>0.99818260000000003</v>
      </c>
      <c r="P6920">
        <v>0.33507360000000003</v>
      </c>
      <c r="Q6920">
        <v>0.14359330000000001</v>
      </c>
      <c r="R6920">
        <v>0.93118559999999995</v>
      </c>
      <c r="S6920">
        <v>1.505234</v>
      </c>
      <c r="T6920">
        <v>-0.26780470000000001</v>
      </c>
      <c r="U6920">
        <v>2.7310029999999998</v>
      </c>
      <c r="V6920">
        <v>0.2828715</v>
      </c>
      <c r="W6920">
        <v>0.1529624</v>
      </c>
      <c r="X6920">
        <v>0.94688240000000001</v>
      </c>
      <c r="Y6920">
        <v>0.42896709999999899</v>
      </c>
      <c r="Z6920">
        <v>-8.6547940000000004E-2</v>
      </c>
      <c r="AA6920">
        <v>0.89916439999999997</v>
      </c>
      <c r="AB6920">
        <v>47</v>
      </c>
      <c r="AC6920">
        <v>6.1731999999999996</v>
      </c>
      <c r="AD6920">
        <v>-1.1026824148579999</v>
      </c>
      <c r="AE6920">
        <v>10.797599999999999</v>
      </c>
      <c r="AF6920">
        <v>5.4894209389811399</v>
      </c>
      <c r="AG6920">
        <v>-1.1026824148579999</v>
      </c>
      <c r="AH6920">
        <v>11.052573372869199</v>
      </c>
      <c r="AI6920">
        <v>95.106003582376601</v>
      </c>
      <c r="AJ6920">
        <v>63.588040310719897</v>
      </c>
      <c r="AK6920">
        <v>12.3898760654019</v>
      </c>
      <c r="AL6920">
        <v>81.201359062294799</v>
      </c>
      <c r="AM6920">
        <v>73.367018762922001</v>
      </c>
      <c r="AN6920">
        <v>1.00000003037788</v>
      </c>
    </row>
    <row r="6921" spans="1:40" x14ac:dyDescent="0.25">
      <c r="A6921" t="str">
        <f>"20190312164201345"</f>
        <v>20190312164201345</v>
      </c>
      <c r="B6921" t="str">
        <f>"1552380121333156"</f>
        <v>1552380121333156</v>
      </c>
      <c r="C6921" t="s">
        <v>40</v>
      </c>
      <c r="D6921">
        <v>6.0449609999999998</v>
      </c>
      <c r="E6921">
        <v>0.57835539999999996</v>
      </c>
      <c r="F6921" t="s">
        <v>50</v>
      </c>
      <c r="G6921">
        <v>-180.85390000000001</v>
      </c>
      <c r="H6921" s="1">
        <v>-5.4836710000000004E-6</v>
      </c>
      <c r="I6921">
        <v>129.94049999999999</v>
      </c>
      <c r="J6921">
        <v>-187.0737</v>
      </c>
      <c r="K6921">
        <v>1.102109</v>
      </c>
      <c r="L6921">
        <v>119.4151</v>
      </c>
      <c r="M6921">
        <v>6.6104099999999999E-2</v>
      </c>
      <c r="N6921">
        <v>0</v>
      </c>
      <c r="O6921">
        <v>0.99769839999999999</v>
      </c>
      <c r="P6921">
        <v>0.34894389999999997</v>
      </c>
      <c r="Q6921">
        <v>0.14265720000000001</v>
      </c>
      <c r="R6921">
        <v>0.92622199999999999</v>
      </c>
      <c r="S6921">
        <v>1.540222</v>
      </c>
      <c r="T6921">
        <v>-0.27163789999999999</v>
      </c>
      <c r="U6921">
        <v>2.7093660000000002</v>
      </c>
      <c r="V6921">
        <v>0.28984759999999998</v>
      </c>
      <c r="W6921">
        <v>0.15152119999999999</v>
      </c>
      <c r="X6921">
        <v>0.94500249999999997</v>
      </c>
      <c r="Y6921">
        <v>0.43374309999999999</v>
      </c>
      <c r="Z6921">
        <v>-8.7953909999999996E-2</v>
      </c>
      <c r="AA6921">
        <v>0.89673349999999996</v>
      </c>
      <c r="AB6921">
        <v>47</v>
      </c>
      <c r="AC6921">
        <v>6.2197999999999896</v>
      </c>
      <c r="AD6921">
        <v>-1.102114483671</v>
      </c>
      <c r="AE6921">
        <v>10.5253999999999</v>
      </c>
      <c r="AF6921">
        <v>5.4659226357525004</v>
      </c>
      <c r="AG6921">
        <v>-1.102114483671</v>
      </c>
      <c r="AH6921">
        <v>10.8256006336449</v>
      </c>
      <c r="AI6921">
        <v>95.192733383944301</v>
      </c>
      <c r="AJ6921">
        <v>63.210465643254103</v>
      </c>
      <c r="AK6921">
        <v>12.1772162530819</v>
      </c>
      <c r="AL6921">
        <v>81.2849075138393</v>
      </c>
      <c r="AM6921">
        <v>72.948373631202401</v>
      </c>
      <c r="AN6921">
        <v>1.00000001514072</v>
      </c>
    </row>
    <row r="6922" spans="1:40" x14ac:dyDescent="0.25">
      <c r="A6922" t="str">
        <f>"20190312164201369"</f>
        <v>20190312164201369</v>
      </c>
      <c r="B6922" t="str">
        <f>"1552380121363209"</f>
        <v>1552380121363209</v>
      </c>
      <c r="C6922" t="s">
        <v>40</v>
      </c>
      <c r="D6922">
        <v>6.397805</v>
      </c>
      <c r="E6922">
        <v>0.5770885</v>
      </c>
      <c r="F6922" t="s">
        <v>50</v>
      </c>
      <c r="G6922">
        <v>-180.5899</v>
      </c>
      <c r="H6922" s="1">
        <v>-5.6716939999999997E-6</v>
      </c>
      <c r="I6922">
        <v>130.4606</v>
      </c>
      <c r="J6922">
        <v>-187.036</v>
      </c>
      <c r="K6922">
        <v>1.10149599999999</v>
      </c>
      <c r="L6922">
        <v>119.9045</v>
      </c>
      <c r="M6922">
        <v>7.4691060000000004E-2</v>
      </c>
      <c r="N6922">
        <v>0</v>
      </c>
      <c r="O6922">
        <v>0.99709170000000003</v>
      </c>
      <c r="P6922">
        <v>0.36365599999999998</v>
      </c>
      <c r="Q6922">
        <v>0.14294999999999999</v>
      </c>
      <c r="R6922">
        <v>0.92049970000000003</v>
      </c>
      <c r="S6922">
        <v>1.576813</v>
      </c>
      <c r="T6922">
        <v>-0.26802799999999999</v>
      </c>
      <c r="U6922">
        <v>2.6862029999999999</v>
      </c>
      <c r="V6922">
        <v>0.29700480000000001</v>
      </c>
      <c r="W6922">
        <v>0.1512619</v>
      </c>
      <c r="X6922">
        <v>0.94281919999999997</v>
      </c>
      <c r="Y6922">
        <v>0.43848559999999998</v>
      </c>
      <c r="Z6922">
        <v>-8.6976529999999996E-2</v>
      </c>
      <c r="AA6922">
        <v>0.89451970000000003</v>
      </c>
      <c r="AB6922">
        <v>47</v>
      </c>
      <c r="AC6922">
        <v>6.4460999999999702</v>
      </c>
      <c r="AD6922">
        <v>-1.10150167169399</v>
      </c>
      <c r="AE6922">
        <v>10.556100000000001</v>
      </c>
      <c r="AF6922">
        <v>5.5951782217838701</v>
      </c>
      <c r="AG6922">
        <v>-1.10150167169399</v>
      </c>
      <c r="AH6922">
        <v>10.9215102893161</v>
      </c>
      <c r="AI6922">
        <v>95.129251509112194</v>
      </c>
      <c r="AJ6922">
        <v>62.873568785961801</v>
      </c>
      <c r="AK6922">
        <v>12.320662005992499</v>
      </c>
      <c r="AL6922">
        <v>81.2999376666844</v>
      </c>
      <c r="AM6922">
        <v>72.514646546528198</v>
      </c>
      <c r="AN6922">
        <v>1.00000002875164</v>
      </c>
    </row>
    <row r="6923" spans="1:40" x14ac:dyDescent="0.25">
      <c r="A6923" t="str">
        <f>"20190312164201391"</f>
        <v>20190312164201391</v>
      </c>
      <c r="B6923" t="str">
        <f>"1552380121382728"</f>
        <v>1552380121382728</v>
      </c>
      <c r="C6923" t="s">
        <v>40</v>
      </c>
      <c r="D6923">
        <v>6.1151759999999999</v>
      </c>
      <c r="E6923">
        <v>0.57593859999999997</v>
      </c>
      <c r="F6923" t="s">
        <v>50</v>
      </c>
      <c r="G6923">
        <v>-180.31039999999999</v>
      </c>
      <c r="H6923" s="1">
        <v>-5.8977920000000003E-6</v>
      </c>
      <c r="I6923">
        <v>131.03700000000001</v>
      </c>
      <c r="J6923">
        <v>-186.9957</v>
      </c>
      <c r="K6923">
        <v>1.1008979999999999</v>
      </c>
      <c r="L6923">
        <v>120.3733</v>
      </c>
      <c r="M6923">
        <v>8.3480789999999999E-2</v>
      </c>
      <c r="N6923">
        <v>0</v>
      </c>
      <c r="O6923">
        <v>0.99639350000000004</v>
      </c>
      <c r="P6923">
        <v>0.37775049999999999</v>
      </c>
      <c r="Q6923">
        <v>0.14293629999999999</v>
      </c>
      <c r="R6923">
        <v>0.91480799999999995</v>
      </c>
      <c r="S6923">
        <v>1.6095280000000001</v>
      </c>
      <c r="T6923">
        <v>-0.263605599999999</v>
      </c>
      <c r="U6923">
        <v>2.6641689999999998</v>
      </c>
      <c r="V6923">
        <v>0.30339629999999901</v>
      </c>
      <c r="W6923">
        <v>0.1507029</v>
      </c>
      <c r="X6923">
        <v>0.94087160000000003</v>
      </c>
      <c r="Y6923">
        <v>0.44193490000000002</v>
      </c>
      <c r="Z6923">
        <v>-8.5738770000000006E-2</v>
      </c>
      <c r="AA6923">
        <v>0.89294030000000002</v>
      </c>
      <c r="AB6923">
        <v>47</v>
      </c>
      <c r="AC6923">
        <v>6.6853000000000096</v>
      </c>
      <c r="AD6923">
        <v>-1.100903897792</v>
      </c>
      <c r="AE6923">
        <v>10.6637</v>
      </c>
      <c r="AF6923">
        <v>5.72781792416699</v>
      </c>
      <c r="AG6923">
        <v>-1.100903897792</v>
      </c>
      <c r="AH6923">
        <v>11.099702463681</v>
      </c>
      <c r="AI6923">
        <v>95.037014158392296</v>
      </c>
      <c r="AJ6923">
        <v>62.704751741261298</v>
      </c>
      <c r="AK6923">
        <v>12.538870856134899</v>
      </c>
      <c r="AL6923">
        <v>81.332337375564293</v>
      </c>
      <c r="AM6923">
        <v>72.127407709498399</v>
      </c>
      <c r="AN6923">
        <v>1.00000002330432</v>
      </c>
    </row>
    <row r="6924" spans="1:40" x14ac:dyDescent="0.25">
      <c r="A6924" t="str">
        <f>"20190312164201412"</f>
        <v>20190312164201412</v>
      </c>
      <c r="B6924" t="str">
        <f>"1552380121403228"</f>
        <v>1552380121403228</v>
      </c>
      <c r="C6924" t="s">
        <v>40</v>
      </c>
      <c r="D6924">
        <v>5.9562429999999997</v>
      </c>
      <c r="E6924">
        <v>0.57512479999999999</v>
      </c>
      <c r="F6924" t="s">
        <v>50</v>
      </c>
      <c r="G6924">
        <v>-180.05109999999999</v>
      </c>
      <c r="H6924" s="1">
        <v>-6.1009899999999998E-6</v>
      </c>
      <c r="I6924">
        <v>131.55289999999999</v>
      </c>
      <c r="J6924">
        <v>-186.95400000000001</v>
      </c>
      <c r="K6924">
        <v>1.1003229999999999</v>
      </c>
      <c r="L6924">
        <v>120.8124</v>
      </c>
      <c r="M6924">
        <v>9.2250090000000007E-2</v>
      </c>
      <c r="N6924">
        <v>0</v>
      </c>
      <c r="O6924">
        <v>0.99561909999999998</v>
      </c>
      <c r="P6924">
        <v>0.39210859999999997</v>
      </c>
      <c r="Q6924">
        <v>0.14440720000000001</v>
      </c>
      <c r="R6924">
        <v>0.90851389999999999</v>
      </c>
      <c r="S6924">
        <v>1.6413120000000001</v>
      </c>
      <c r="T6924">
        <v>-0.26019300000000001</v>
      </c>
      <c r="U6924">
        <v>2.642258</v>
      </c>
      <c r="V6924">
        <v>0.31020199999999998</v>
      </c>
      <c r="W6924">
        <v>0.15161169999999999</v>
      </c>
      <c r="X6924">
        <v>0.93850339999999999</v>
      </c>
      <c r="Y6924">
        <v>0.44514690000000001</v>
      </c>
      <c r="Z6924">
        <v>-8.4813689999999997E-2</v>
      </c>
      <c r="AA6924">
        <v>0.89143189999999894</v>
      </c>
      <c r="AB6924">
        <v>47</v>
      </c>
      <c r="AC6924">
        <v>6.9029000000000096</v>
      </c>
      <c r="AD6924">
        <v>-1.10032910099</v>
      </c>
      <c r="AE6924">
        <v>10.7404999999999</v>
      </c>
      <c r="AF6924">
        <v>5.8391613264589601</v>
      </c>
      <c r="AG6924">
        <v>-1.10032910099</v>
      </c>
      <c r="AH6924">
        <v>11.248014411506301</v>
      </c>
      <c r="AI6924">
        <v>94.962109258958705</v>
      </c>
      <c r="AJ6924">
        <v>62.564901686817102</v>
      </c>
      <c r="AK6924">
        <v>12.721020294314201</v>
      </c>
      <c r="AL6924">
        <v>81.279661596336396</v>
      </c>
      <c r="AM6924">
        <v>71.709813937477506</v>
      </c>
      <c r="AN6924">
        <v>1.0000000100962201</v>
      </c>
    </row>
    <row r="6925" spans="1:40" x14ac:dyDescent="0.25">
      <c r="A6925" t="str">
        <f>"20190312164201434"</f>
        <v>20190312164201434</v>
      </c>
      <c r="B6925" t="str">
        <f>"1552380121422745"</f>
        <v>1552380121422745</v>
      </c>
      <c r="C6925" t="s">
        <v>40</v>
      </c>
      <c r="D6925">
        <v>5.7903460000000004</v>
      </c>
      <c r="E6925">
        <v>0.57418570000000002</v>
      </c>
      <c r="F6925" t="s">
        <v>50</v>
      </c>
      <c r="G6925">
        <v>-179.51349999999999</v>
      </c>
      <c r="H6925" s="1">
        <v>-6.1322119999999998E-6</v>
      </c>
      <c r="I6925">
        <v>132.40960000000001</v>
      </c>
      <c r="J6925">
        <v>-186.9057</v>
      </c>
      <c r="K6925">
        <v>1.099696</v>
      </c>
      <c r="L6925">
        <v>121.27549999999999</v>
      </c>
      <c r="M6925">
        <v>0.10207339999999999</v>
      </c>
      <c r="N6925">
        <v>0</v>
      </c>
      <c r="O6925">
        <v>0.99465890000000001</v>
      </c>
      <c r="P6925">
        <v>0.4068696</v>
      </c>
      <c r="Q6925">
        <v>0.1466411</v>
      </c>
      <c r="R6925">
        <v>0.90163930000000003</v>
      </c>
      <c r="S6925">
        <v>1.6789700000000001</v>
      </c>
      <c r="T6925">
        <v>-0.24829329999999999</v>
      </c>
      <c r="U6925">
        <v>2.616943</v>
      </c>
      <c r="V6925">
        <v>0.3165714</v>
      </c>
      <c r="W6925">
        <v>0.15324649999999901</v>
      </c>
      <c r="X6925">
        <v>0.93610789999999999</v>
      </c>
      <c r="Y6925">
        <v>0.44947930000000003</v>
      </c>
      <c r="Z6925">
        <v>-8.1121970000000002E-2</v>
      </c>
      <c r="AA6925">
        <v>0.88959969999999999</v>
      </c>
      <c r="AB6925">
        <v>47</v>
      </c>
      <c r="AC6925">
        <v>7.3921999999999999</v>
      </c>
      <c r="AD6925">
        <v>-1.099702132212</v>
      </c>
      <c r="AE6925">
        <v>11.1341</v>
      </c>
      <c r="AF6925">
        <v>6.17514124846039</v>
      </c>
      <c r="AG6925">
        <v>-1.099702132212</v>
      </c>
      <c r="AH6925">
        <v>11.751003757553701</v>
      </c>
      <c r="AI6925">
        <v>94.735670271283496</v>
      </c>
      <c r="AJ6925">
        <v>62.278116781208297</v>
      </c>
      <c r="AK6925">
        <v>13.320202833593401</v>
      </c>
      <c r="AL6925">
        <v>81.184886598066697</v>
      </c>
      <c r="AM6925">
        <v>71.315577638523905</v>
      </c>
      <c r="AN6925">
        <v>0.99999997075130898</v>
      </c>
    </row>
    <row r="6926" spans="1:40" x14ac:dyDescent="0.25">
      <c r="A6926" t="str">
        <f>"20190312164201456"</f>
        <v>20190312164201456</v>
      </c>
      <c r="B6926" t="str">
        <f>"1552380121453001"</f>
        <v>1552380121453001</v>
      </c>
      <c r="C6926" t="s">
        <v>40</v>
      </c>
      <c r="D6926">
        <v>5.8578900000000003</v>
      </c>
      <c r="E6926">
        <v>0.5732642</v>
      </c>
      <c r="F6926" t="s">
        <v>50</v>
      </c>
      <c r="G6926">
        <v>-178.89429999999999</v>
      </c>
      <c r="H6926" s="1">
        <v>-6.0830549999999996E-6</v>
      </c>
      <c r="I6926">
        <v>133.3716</v>
      </c>
      <c r="J6926">
        <v>-186.852</v>
      </c>
      <c r="K6926">
        <v>1.0990420000000001</v>
      </c>
      <c r="L6926">
        <v>121.744</v>
      </c>
      <c r="M6926">
        <v>0.11263090000000001</v>
      </c>
      <c r="N6926">
        <v>0</v>
      </c>
      <c r="O6926">
        <v>0.9935176</v>
      </c>
      <c r="P6926">
        <v>0.4211107</v>
      </c>
      <c r="Q6926">
        <v>0.14887310000000001</v>
      </c>
      <c r="R6926">
        <v>0.89470810000000001</v>
      </c>
      <c r="S6926">
        <v>1.7161709999999999</v>
      </c>
      <c r="T6926">
        <v>-0.23557249999999999</v>
      </c>
      <c r="U6926">
        <v>2.5911559999999998</v>
      </c>
      <c r="V6926">
        <v>0.32181789999999999</v>
      </c>
      <c r="W6926">
        <v>0.1548889</v>
      </c>
      <c r="X6926">
        <v>0.93404640000000005</v>
      </c>
      <c r="Y6926">
        <v>0.45312049999999998</v>
      </c>
      <c r="Z6926">
        <v>-7.7143719999999999E-2</v>
      </c>
      <c r="AA6926">
        <v>0.88810509999999998</v>
      </c>
      <c r="AB6926">
        <v>47</v>
      </c>
      <c r="AC6926">
        <v>7.9577000000000098</v>
      </c>
      <c r="AD6926">
        <v>-1.099048083055</v>
      </c>
      <c r="AE6926">
        <v>11.627599999999999</v>
      </c>
      <c r="AF6926">
        <v>6.5573724689228801</v>
      </c>
      <c r="AG6926">
        <v>-1.099048083055</v>
      </c>
      <c r="AH6926">
        <v>12.374691694205399</v>
      </c>
      <c r="AI6926">
        <v>94.487203557993695</v>
      </c>
      <c r="AJ6926">
        <v>62.080799182826297</v>
      </c>
      <c r="AK6926">
        <v>14.047776867237401</v>
      </c>
      <c r="AL6926">
        <v>81.089647166063799</v>
      </c>
      <c r="AM6926">
        <v>70.9890365095888</v>
      </c>
      <c r="AN6926">
        <v>1.00000000472829</v>
      </c>
    </row>
    <row r="6927" spans="1:40" x14ac:dyDescent="0.25">
      <c r="A6927" t="str">
        <f>"20190312164201479"</f>
        <v>20190312164201479</v>
      </c>
      <c r="B6927" t="str">
        <f>"1552380121473500"</f>
        <v>1552380121473500</v>
      </c>
      <c r="C6927" t="s">
        <v>40</v>
      </c>
      <c r="D6927">
        <v>5.9211900000000002</v>
      </c>
      <c r="E6927">
        <v>0.55678209999999995</v>
      </c>
      <c r="F6927" t="s">
        <v>50</v>
      </c>
      <c r="G6927">
        <v>-178.2056</v>
      </c>
      <c r="H6927" s="1">
        <v>-6.0127010000000003E-6</v>
      </c>
      <c r="I6927">
        <v>134.3965</v>
      </c>
      <c r="J6927">
        <v>-186.79249999999999</v>
      </c>
      <c r="K6927">
        <v>1.0983700000000001</v>
      </c>
      <c r="L6927">
        <v>122.21639999999999</v>
      </c>
      <c r="M6927">
        <v>0.1239354</v>
      </c>
      <c r="N6927">
        <v>0</v>
      </c>
      <c r="O6927">
        <v>0.99216950000000004</v>
      </c>
      <c r="P6927">
        <v>0.4345656</v>
      </c>
      <c r="Q6927">
        <v>0.15011279999999999</v>
      </c>
      <c r="R6927">
        <v>0.888042199999999</v>
      </c>
      <c r="S6927">
        <v>1.7529300000000001</v>
      </c>
      <c r="T6927">
        <v>-0.22281429999999999</v>
      </c>
      <c r="U6927">
        <v>2.5650789999999999</v>
      </c>
      <c r="V6927">
        <v>0.32559519999999997</v>
      </c>
      <c r="W6927">
        <v>0.1555753</v>
      </c>
      <c r="X6927">
        <v>0.93262219999999996</v>
      </c>
      <c r="Y6927">
        <v>0.45602490000000001</v>
      </c>
      <c r="Z6927">
        <v>-7.3126650000000001E-2</v>
      </c>
      <c r="AA6927">
        <v>0.88695759999999901</v>
      </c>
      <c r="AB6927">
        <v>47</v>
      </c>
      <c r="AC6927">
        <v>8.5868999999999804</v>
      </c>
      <c r="AD6927">
        <v>-1.098376012701</v>
      </c>
      <c r="AE6927">
        <v>12.180099999999999</v>
      </c>
      <c r="AF6927">
        <v>6.9730760632658999</v>
      </c>
      <c r="AG6927">
        <v>-1.098376012701</v>
      </c>
      <c r="AH6927">
        <v>13.079470833243301</v>
      </c>
      <c r="AI6927">
        <v>94.238080338321097</v>
      </c>
      <c r="AJ6927">
        <v>61.936523367815703</v>
      </c>
      <c r="AK6927">
        <v>14.862798421799001</v>
      </c>
      <c r="AL6927">
        <v>81.049837062659705</v>
      </c>
      <c r="AM6927">
        <v>70.754985939110497</v>
      </c>
      <c r="AN6927">
        <v>1.0000000380829801</v>
      </c>
    </row>
    <row r="6928" spans="1:40" x14ac:dyDescent="0.25">
      <c r="A6928" t="str">
        <f>"20190312164201501"</f>
        <v>20190312164201501</v>
      </c>
      <c r="B6928" t="str">
        <f>"1552380121493016"</f>
        <v>1552380121493016</v>
      </c>
      <c r="C6928" t="s">
        <v>40</v>
      </c>
      <c r="D6928">
        <v>7.0822849999999997</v>
      </c>
      <c r="E6928">
        <v>0.55566719999999903</v>
      </c>
      <c r="F6928" t="s">
        <v>50</v>
      </c>
      <c r="G6928">
        <v>-175.61850000000001</v>
      </c>
      <c r="H6928" s="1">
        <v>-6.1620590000000002E-6</v>
      </c>
      <c r="I6928">
        <v>139.42939999999999</v>
      </c>
      <c r="J6928">
        <v>-186.72749999999999</v>
      </c>
      <c r="K6928">
        <v>1.0977049999999999</v>
      </c>
      <c r="L6928">
        <v>122.6861</v>
      </c>
      <c r="M6928">
        <v>0.13584360000000001</v>
      </c>
      <c r="N6928">
        <v>0</v>
      </c>
      <c r="O6928">
        <v>0.99060769999999998</v>
      </c>
      <c r="P6928">
        <v>0.44972390000000001</v>
      </c>
      <c r="Q6928">
        <v>0.15142910000000001</v>
      </c>
      <c r="R6928">
        <v>0.8802373</v>
      </c>
      <c r="S6928">
        <v>1.6780550000000001</v>
      </c>
      <c r="T6928">
        <v>-0.16494819999999999</v>
      </c>
      <c r="U6928">
        <v>2.584946</v>
      </c>
      <c r="V6928">
        <v>0.33070250000000001</v>
      </c>
      <c r="W6928">
        <v>0.15629680000000001</v>
      </c>
      <c r="X6928">
        <v>0.93070249999999999</v>
      </c>
      <c r="Y6928">
        <v>0.42468240000000002</v>
      </c>
      <c r="Z6928">
        <v>-5.457103E-2</v>
      </c>
      <c r="AA6928">
        <v>0.90369619999999995</v>
      </c>
      <c r="AB6928">
        <v>47</v>
      </c>
      <c r="AC6928">
        <v>11.108999999999901</v>
      </c>
      <c r="AD6928">
        <v>-1.0977111620590001</v>
      </c>
      <c r="AE6928">
        <v>16.743299999999898</v>
      </c>
      <c r="AF6928">
        <v>8.7052707361293695</v>
      </c>
      <c r="AG6928">
        <v>-1.0977111620590001</v>
      </c>
      <c r="AH6928">
        <v>18.043476480225099</v>
      </c>
      <c r="AI6928">
        <v>93.136286111709893</v>
      </c>
      <c r="AJ6928">
        <v>64.244511026214596</v>
      </c>
      <c r="AK6928">
        <v>20.063742220160599</v>
      </c>
      <c r="AL6928">
        <v>81.007985752305999</v>
      </c>
      <c r="AM6928">
        <v>70.438567655999194</v>
      </c>
      <c r="AN6928">
        <v>0.99999998835136905</v>
      </c>
    </row>
    <row r="6929" spans="1:40" x14ac:dyDescent="0.25">
      <c r="A6929" t="str">
        <f>"20190312164201522"</f>
        <v>20190312164201522</v>
      </c>
      <c r="B6929" t="str">
        <f>"1552380121512537"</f>
        <v>1552380121512537</v>
      </c>
      <c r="C6929" t="s">
        <v>40</v>
      </c>
      <c r="D6929">
        <v>5.9099199999999996</v>
      </c>
      <c r="E6929">
        <v>0.55678090000000002</v>
      </c>
      <c r="F6929" t="s">
        <v>50</v>
      </c>
      <c r="G6929">
        <v>-175.12459999999999</v>
      </c>
      <c r="H6929" s="1">
        <v>-6.0439069999999998E-6</v>
      </c>
      <c r="I6929">
        <v>139.99930000000001</v>
      </c>
      <c r="J6929">
        <v>-186.6628</v>
      </c>
      <c r="K6929">
        <v>1.097124</v>
      </c>
      <c r="L6929">
        <v>123.1183</v>
      </c>
      <c r="M6929">
        <v>0.14729529999999999</v>
      </c>
      <c r="N6929">
        <v>0</v>
      </c>
      <c r="O6929">
        <v>0.98896830000000002</v>
      </c>
      <c r="P6929">
        <v>0.4650686</v>
      </c>
      <c r="Q6929">
        <v>0.1537057</v>
      </c>
      <c r="R6929">
        <v>0.87182890000000002</v>
      </c>
      <c r="S6929">
        <v>1.7154240000000001</v>
      </c>
      <c r="T6929">
        <v>-0.16229080000000001</v>
      </c>
      <c r="U6929">
        <v>2.5596619999999999</v>
      </c>
      <c r="V6929">
        <v>0.3365863</v>
      </c>
      <c r="W6929">
        <v>0.15799260000000001</v>
      </c>
      <c r="X6929">
        <v>0.92830380000000001</v>
      </c>
      <c r="Y6929">
        <v>0.42746469999999998</v>
      </c>
      <c r="Z6929">
        <v>-5.3764340000000001E-2</v>
      </c>
      <c r="AA6929">
        <v>0.90243189999999995</v>
      </c>
      <c r="AB6929">
        <v>46</v>
      </c>
      <c r="AC6929">
        <v>11.5382</v>
      </c>
      <c r="AD6929">
        <v>-1.097130043907</v>
      </c>
      <c r="AE6929">
        <v>16.881</v>
      </c>
      <c r="AF6929">
        <v>8.89989649675673</v>
      </c>
      <c r="AG6929">
        <v>-1.097130043907</v>
      </c>
      <c r="AH6929">
        <v>18.343746356023999</v>
      </c>
      <c r="AI6929">
        <v>93.080147080457195</v>
      </c>
      <c r="AJ6929">
        <v>64.118575446272899</v>
      </c>
      <c r="AK6929">
        <v>20.418248758411401</v>
      </c>
      <c r="AL6929">
        <v>80.909601035611601</v>
      </c>
      <c r="AM6929">
        <v>70.070264057719697</v>
      </c>
      <c r="AN6929">
        <v>0.99999997204844404</v>
      </c>
    </row>
    <row r="6930" spans="1:40" x14ac:dyDescent="0.25">
      <c r="A6930" t="str">
        <f>"20190312164201545"</f>
        <v>20190312164201545</v>
      </c>
      <c r="B6930" t="str">
        <f>"1552380121543299"</f>
        <v>1552380121543299</v>
      </c>
      <c r="C6930" t="s">
        <v>40</v>
      </c>
      <c r="D6930">
        <v>5.7511359999999998</v>
      </c>
      <c r="E6930">
        <v>0.59825899999999999</v>
      </c>
      <c r="F6930" t="s">
        <v>50</v>
      </c>
      <c r="G6930">
        <v>-174.3501</v>
      </c>
      <c r="H6930" s="1">
        <v>-5.9036940000000002E-6</v>
      </c>
      <c r="I6930">
        <v>140.71979999999999</v>
      </c>
      <c r="J6930">
        <v>-186.5857</v>
      </c>
      <c r="K6930">
        <v>1.096509</v>
      </c>
      <c r="L6930">
        <v>123.5934</v>
      </c>
      <c r="M6930">
        <v>0.16043850000000001</v>
      </c>
      <c r="N6930">
        <v>0</v>
      </c>
      <c r="O6930">
        <v>0.98691960000000001</v>
      </c>
      <c r="P6930">
        <v>0.48200019999999999</v>
      </c>
      <c r="Q6930">
        <v>0.15599109999999999</v>
      </c>
      <c r="R6930">
        <v>0.86217319999999997</v>
      </c>
      <c r="S6930">
        <v>1.76712</v>
      </c>
      <c r="T6930">
        <v>-0.1574605</v>
      </c>
      <c r="U6930">
        <v>2.5261689999999999</v>
      </c>
      <c r="V6930">
        <v>0.34273870000000001</v>
      </c>
      <c r="W6930">
        <v>0.159655399999999</v>
      </c>
      <c r="X6930">
        <v>0.9257647</v>
      </c>
      <c r="Y6930">
        <v>0.43351010000000001</v>
      </c>
      <c r="Z6930">
        <v>-5.221688E-2</v>
      </c>
      <c r="AA6930">
        <v>0.89963459999999995</v>
      </c>
      <c r="AB6930">
        <v>46</v>
      </c>
      <c r="AC6930">
        <v>12.2356</v>
      </c>
      <c r="AD6930">
        <v>-1.0965149036939901</v>
      </c>
      <c r="AE6930">
        <v>17.126399999999901</v>
      </c>
      <c r="AF6930">
        <v>9.3037320603189499</v>
      </c>
      <c r="AG6930">
        <v>-1.0965149036939901</v>
      </c>
      <c r="AH6930">
        <v>18.816724428574901</v>
      </c>
      <c r="AI6930">
        <v>92.99024175353</v>
      </c>
      <c r="AJ6930">
        <v>63.690389239092099</v>
      </c>
      <c r="AK6930">
        <v>21.019773866651299</v>
      </c>
      <c r="AL6930">
        <v>80.813104757703101</v>
      </c>
      <c r="AM6930">
        <v>69.684325945242804</v>
      </c>
      <c r="AN6930">
        <v>0.99999997149646902</v>
      </c>
    </row>
    <row r="6931" spans="1:40" x14ac:dyDescent="0.25">
      <c r="A6931" t="str">
        <f>"20190312164201568"</f>
        <v>20190312164201568</v>
      </c>
      <c r="B6931" t="str">
        <f>"1552380121562819"</f>
        <v>1552380121562819</v>
      </c>
      <c r="C6931" t="s">
        <v>40</v>
      </c>
      <c r="D6931">
        <v>6.1628740000000004</v>
      </c>
      <c r="E6931">
        <v>0.59957280000000002</v>
      </c>
      <c r="F6931" t="s">
        <v>41</v>
      </c>
      <c r="G6931">
        <v>-167.90039999999999</v>
      </c>
      <c r="H6931" s="1">
        <v>-2.1849379999999998E-6</v>
      </c>
      <c r="I6931">
        <v>144.1713</v>
      </c>
      <c r="J6931">
        <v>-186.50149999999999</v>
      </c>
      <c r="K6931">
        <v>1.095917</v>
      </c>
      <c r="L6931">
        <v>124.07259999999999</v>
      </c>
      <c r="M6931">
        <v>0.1742406</v>
      </c>
      <c r="N6931">
        <v>0</v>
      </c>
      <c r="O6931">
        <v>0.98457490000000003</v>
      </c>
      <c r="P6931">
        <v>0.50002349999999995</v>
      </c>
      <c r="Q6931">
        <v>0.15778159999999999</v>
      </c>
      <c r="R6931">
        <v>0.85151710000000003</v>
      </c>
      <c r="S6931">
        <v>2.1091920000000002</v>
      </c>
      <c r="T6931">
        <v>-0.1237741</v>
      </c>
      <c r="U6931">
        <v>2.3228300000000002</v>
      </c>
      <c r="V6931">
        <v>0.3495953</v>
      </c>
      <c r="W6931">
        <v>0.16079579999999999</v>
      </c>
      <c r="X6931">
        <v>0.92299929999999997</v>
      </c>
      <c r="Y6931">
        <v>0.53238459999999999</v>
      </c>
      <c r="Z6931">
        <v>-4.0797600000000003E-2</v>
      </c>
      <c r="AA6931">
        <v>0.84551889999999996</v>
      </c>
      <c r="AB6931">
        <v>46</v>
      </c>
      <c r="AC6931">
        <v>18.601099999999999</v>
      </c>
      <c r="AD6931">
        <v>-1.0959191849379999</v>
      </c>
      <c r="AE6931">
        <v>20.098700000000001</v>
      </c>
      <c r="AF6931">
        <v>14.790350511168599</v>
      </c>
      <c r="AG6931">
        <v>-1.0959191849379999</v>
      </c>
      <c r="AH6931">
        <v>22.995822988874899</v>
      </c>
      <c r="AI6931">
        <v>92.295329484136701</v>
      </c>
      <c r="AJ6931">
        <v>57.251867955684403</v>
      </c>
      <c r="AK6931">
        <v>27.3635411092718</v>
      </c>
      <c r="AL6931">
        <v>80.746909092558795</v>
      </c>
      <c r="AM6931">
        <v>69.255312023749198</v>
      </c>
      <c r="AN6931">
        <v>0.99999993544010701</v>
      </c>
    </row>
    <row r="6932" spans="1:40" x14ac:dyDescent="0.25">
      <c r="A6932" t="str">
        <f>"20190312164201591"</f>
        <v>20190312164201591</v>
      </c>
      <c r="B6932" t="str">
        <f>"1552380121583315"</f>
        <v>1552380121583315</v>
      </c>
      <c r="C6932" t="s">
        <v>40</v>
      </c>
      <c r="D6932">
        <v>5.9935479999999997</v>
      </c>
      <c r="E6932">
        <v>0.59947289999999998</v>
      </c>
      <c r="F6932" t="s">
        <v>41</v>
      </c>
      <c r="G6932">
        <v>-169.14500000000001</v>
      </c>
      <c r="H6932" s="1">
        <v>-1.099912E-6</v>
      </c>
      <c r="I6932">
        <v>142.30449999999999</v>
      </c>
      <c r="J6932">
        <v>-186.4145</v>
      </c>
      <c r="K6932">
        <v>1.0953619999999999</v>
      </c>
      <c r="L6932">
        <v>124.53279999999999</v>
      </c>
      <c r="M6932">
        <v>0.1879847</v>
      </c>
      <c r="N6932">
        <v>0</v>
      </c>
      <c r="O6932">
        <v>0.98204170000000002</v>
      </c>
      <c r="P6932">
        <v>0.51523779999999997</v>
      </c>
      <c r="Q6932">
        <v>0.158272</v>
      </c>
      <c r="R6932">
        <v>0.84230629999999995</v>
      </c>
      <c r="S6932">
        <v>2.1668090000000002</v>
      </c>
      <c r="T6932">
        <v>-0.136815299999999</v>
      </c>
      <c r="U6932">
        <v>2.2760929999999999</v>
      </c>
      <c r="V6932">
        <v>0.353524</v>
      </c>
      <c r="W6932">
        <v>0.16077659999999999</v>
      </c>
      <c r="X6932">
        <v>0.92150509999999997</v>
      </c>
      <c r="Y6932">
        <v>0.540336699999999</v>
      </c>
      <c r="Z6932">
        <v>-4.5121469999999997E-2</v>
      </c>
      <c r="AA6932">
        <v>0.84023819999999905</v>
      </c>
      <c r="AB6932">
        <v>46</v>
      </c>
      <c r="AC6932">
        <v>17.269499999999901</v>
      </c>
      <c r="AD6932">
        <v>-1.0953630999120001</v>
      </c>
      <c r="AE6932">
        <v>17.7716999999999</v>
      </c>
      <c r="AF6932">
        <v>13.5937433320137</v>
      </c>
      <c r="AG6932">
        <v>-1.0953630999120001</v>
      </c>
      <c r="AH6932">
        <v>20.661231022826701</v>
      </c>
      <c r="AI6932">
        <v>92.535923708568603</v>
      </c>
      <c r="AJ6932">
        <v>56.657689804092897</v>
      </c>
      <c r="AK6932">
        <v>24.756335461370899</v>
      </c>
      <c r="AL6932">
        <v>80.748024196382104</v>
      </c>
      <c r="AM6932">
        <v>69.011308706577296</v>
      </c>
      <c r="AN6932">
        <v>0.99999999150478502</v>
      </c>
    </row>
    <row r="6933" spans="1:40" x14ac:dyDescent="0.25">
      <c r="A6933" t="str">
        <f>"20190312164201612"</f>
        <v>20190312164201612</v>
      </c>
      <c r="B6933" t="str">
        <f>"1552380121602835"</f>
        <v>1552380121602835</v>
      </c>
      <c r="C6933" t="s">
        <v>40</v>
      </c>
      <c r="D6933">
        <v>6.1413460000000004</v>
      </c>
      <c r="E6933">
        <v>0.59815929999999995</v>
      </c>
      <c r="F6933" t="s">
        <v>41</v>
      </c>
      <c r="G6933">
        <v>-169.34540000000001</v>
      </c>
      <c r="H6933" s="1">
        <v>-8.8192850000000002E-7</v>
      </c>
      <c r="I6933">
        <v>141.84139999999999</v>
      </c>
      <c r="J6933">
        <v>-186.32550000000001</v>
      </c>
      <c r="K6933">
        <v>1.0948599999999999</v>
      </c>
      <c r="L6933">
        <v>124.9718</v>
      </c>
      <c r="M6933">
        <v>0.20151730000000001</v>
      </c>
      <c r="N6933">
        <v>0</v>
      </c>
      <c r="O6933">
        <v>0.97935269999999996</v>
      </c>
      <c r="P6933">
        <v>0.53293649999999904</v>
      </c>
      <c r="Q6933">
        <v>0.15798380000000001</v>
      </c>
      <c r="R6933">
        <v>0.83127600000000001</v>
      </c>
      <c r="S6933">
        <v>2.2071689999999999</v>
      </c>
      <c r="T6933">
        <v>-0.14163909999999999</v>
      </c>
      <c r="U6933">
        <v>2.2381440000000001</v>
      </c>
      <c r="V6933">
        <v>0.36047220000000002</v>
      </c>
      <c r="W6933">
        <v>0.15988229999999901</v>
      </c>
      <c r="X6933">
        <v>0.91896549999999999</v>
      </c>
      <c r="Y6933">
        <v>0.54348219999999903</v>
      </c>
      <c r="Z6933">
        <v>-4.6773580000000002E-2</v>
      </c>
      <c r="AA6933">
        <v>0.83811650000000004</v>
      </c>
      <c r="AB6933">
        <v>46</v>
      </c>
      <c r="AC6933">
        <v>16.980099999999901</v>
      </c>
      <c r="AD6933">
        <v>-1.0948608819285</v>
      </c>
      <c r="AE6933">
        <v>16.869599999999899</v>
      </c>
      <c r="AF6933">
        <v>13.2040770919892</v>
      </c>
      <c r="AG6933">
        <v>-1.0948608819285</v>
      </c>
      <c r="AH6933">
        <v>19.904009925019501</v>
      </c>
      <c r="AI6933">
        <v>92.624480112525902</v>
      </c>
      <c r="AJ6933">
        <v>56.4401904359637</v>
      </c>
      <c r="AK6933">
        <v>23.910583081498601</v>
      </c>
      <c r="AL6933">
        <v>80.7999361210871</v>
      </c>
      <c r="AM6933">
        <v>68.581974244019094</v>
      </c>
      <c r="AN6933">
        <v>1.00000007350818</v>
      </c>
    </row>
    <row r="6934" spans="1:40" x14ac:dyDescent="0.25">
      <c r="A6934" t="str">
        <f>"20190312164201623"</f>
        <v>20190312164201623</v>
      </c>
      <c r="B6934" t="str">
        <f>"1552380121612596"</f>
        <v>1552380121612596</v>
      </c>
      <c r="C6934" t="s">
        <v>40</v>
      </c>
      <c r="D6934">
        <v>5.9966179999999998</v>
      </c>
      <c r="E6934">
        <v>0.59766109999999995</v>
      </c>
      <c r="F6934" t="s">
        <v>50</v>
      </c>
      <c r="G6934">
        <v>-170.7955</v>
      </c>
      <c r="H6934" s="1">
        <v>-4.1554769999999999E-6</v>
      </c>
      <c r="I6934">
        <v>140.1885</v>
      </c>
      <c r="J6934">
        <v>-186.2784</v>
      </c>
      <c r="K6934">
        <v>1.0946149999999999</v>
      </c>
      <c r="L6934">
        <v>125.1932</v>
      </c>
      <c r="M6934">
        <v>0.20849029999999999</v>
      </c>
      <c r="N6934">
        <v>0</v>
      </c>
      <c r="O6934">
        <v>0.97789110000000001</v>
      </c>
      <c r="P6934">
        <v>0.54147449999999997</v>
      </c>
      <c r="Q6934">
        <v>0.15779209999999999</v>
      </c>
      <c r="R6934">
        <v>0.82577659999999997</v>
      </c>
      <c r="S6934">
        <v>2.2449949999999999</v>
      </c>
      <c r="T6934">
        <v>-0.1582723</v>
      </c>
      <c r="U6934">
        <v>2.1997070000000001</v>
      </c>
      <c r="V6934">
        <v>0.36347580000000002</v>
      </c>
      <c r="W6934">
        <v>0.15940969999999999</v>
      </c>
      <c r="X6934">
        <v>0.91786380000000001</v>
      </c>
      <c r="Y6934">
        <v>0.55165869999999995</v>
      </c>
      <c r="Z6934">
        <v>-5.2345999999999997E-2</v>
      </c>
      <c r="AA6934">
        <v>0.83242569999999905</v>
      </c>
      <c r="AB6934">
        <v>46</v>
      </c>
      <c r="AC6934">
        <v>15.482900000000001</v>
      </c>
      <c r="AD6934">
        <v>-1.0946191554769999</v>
      </c>
      <c r="AE6934">
        <v>14.9953</v>
      </c>
      <c r="AF6934">
        <v>11.9848723734929</v>
      </c>
      <c r="AG6934">
        <v>-1.0946191554769999</v>
      </c>
      <c r="AH6934">
        <v>17.848106494709899</v>
      </c>
      <c r="AI6934">
        <v>92.914738261808196</v>
      </c>
      <c r="AJ6934">
        <v>56.118929571251002</v>
      </c>
      <c r="AK6934">
        <v>21.526501395975998</v>
      </c>
      <c r="AL6934">
        <v>80.827365530742597</v>
      </c>
      <c r="AM6934">
        <v>68.396340636748505</v>
      </c>
      <c r="AN6934">
        <v>1.00000003249508</v>
      </c>
    </row>
    <row r="6935" spans="1:40" x14ac:dyDescent="0.25">
      <c r="A6935" t="str">
        <f>"20190312164201634"</f>
        <v>20190312164201634</v>
      </c>
      <c r="B6935" t="str">
        <f>"1552380121623331"</f>
        <v>1552380121623331</v>
      </c>
      <c r="C6935" t="s">
        <v>40</v>
      </c>
      <c r="D6935">
        <v>6.1792350000000003</v>
      </c>
      <c r="E6935">
        <v>0.59657729999999998</v>
      </c>
      <c r="F6935" t="s">
        <v>50</v>
      </c>
      <c r="G6935">
        <v>-170.8886</v>
      </c>
      <c r="H6935" s="1">
        <v>-4.1367179999999998E-6</v>
      </c>
      <c r="I6935">
        <v>140.00290000000001</v>
      </c>
      <c r="J6935">
        <v>-186.22790000000001</v>
      </c>
      <c r="K6935">
        <v>1.0943689999999999</v>
      </c>
      <c r="L6935">
        <v>125.4229</v>
      </c>
      <c r="M6935">
        <v>0.21581510000000001</v>
      </c>
      <c r="N6935">
        <v>0</v>
      </c>
      <c r="O6935">
        <v>0.97629980000000005</v>
      </c>
      <c r="P6935">
        <v>0.54992109999999905</v>
      </c>
      <c r="Q6935">
        <v>0.1573745</v>
      </c>
      <c r="R6935">
        <v>0.82025609999999904</v>
      </c>
      <c r="S6935">
        <v>2.264297</v>
      </c>
      <c r="T6935">
        <v>-0.1610521</v>
      </c>
      <c r="U6935">
        <v>2.1789550000000002</v>
      </c>
      <c r="V6935">
        <v>0.36607849999999997</v>
      </c>
      <c r="W6935">
        <v>0.1587257</v>
      </c>
      <c r="X6935">
        <v>0.91694750000000003</v>
      </c>
      <c r="Y6935">
        <v>0.55287779999999997</v>
      </c>
      <c r="Z6935">
        <v>-5.3313899999999997E-2</v>
      </c>
      <c r="AA6935">
        <v>0.83155509999999999</v>
      </c>
      <c r="AB6935">
        <v>46</v>
      </c>
      <c r="AC6935">
        <v>15.3393</v>
      </c>
      <c r="AD6935">
        <v>-1.0943731367180001</v>
      </c>
      <c r="AE6935">
        <v>14.58</v>
      </c>
      <c r="AF6935">
        <v>11.799172284712601</v>
      </c>
      <c r="AG6935">
        <v>-1.0943731367180001</v>
      </c>
      <c r="AH6935">
        <v>17.500409325565698</v>
      </c>
      <c r="AI6935">
        <v>92.968129721378702</v>
      </c>
      <c r="AJ6935">
        <v>56.011258958073299</v>
      </c>
      <c r="AK6935">
        <v>21.134863276800399</v>
      </c>
      <c r="AL6935">
        <v>80.867061118492202</v>
      </c>
      <c r="AM6935">
        <v>68.236334057123798</v>
      </c>
      <c r="AN6935">
        <v>1.00000001687949</v>
      </c>
    </row>
    <row r="6936" spans="1:40" x14ac:dyDescent="0.25">
      <c r="A6936" t="str">
        <f>"20190312164201645"</f>
        <v>20190312164201645</v>
      </c>
      <c r="B6936" t="str">
        <f>"1552380121633091"</f>
        <v>1552380121633091</v>
      </c>
      <c r="C6936" t="s">
        <v>40</v>
      </c>
      <c r="D6936">
        <v>6.1753400000000003</v>
      </c>
      <c r="E6936">
        <v>0.59586909999999904</v>
      </c>
      <c r="F6936" t="s">
        <v>50</v>
      </c>
      <c r="G6936">
        <v>-171.565</v>
      </c>
      <c r="H6936" s="1">
        <v>-4.2028099999999997E-6</v>
      </c>
      <c r="I6936">
        <v>139.3297</v>
      </c>
      <c r="J6936">
        <v>-186.1781</v>
      </c>
      <c r="K6936">
        <v>1.0941430000000001</v>
      </c>
      <c r="L6936">
        <v>125.64060000000001</v>
      </c>
      <c r="M6936">
        <v>0.22286410000000001</v>
      </c>
      <c r="N6936">
        <v>0</v>
      </c>
      <c r="O6936">
        <v>0.97471399999999997</v>
      </c>
      <c r="P6936">
        <v>0.5585523</v>
      </c>
      <c r="Q6936">
        <v>0.1567267</v>
      </c>
      <c r="R6936">
        <v>0.81452809999999998</v>
      </c>
      <c r="S6936">
        <v>2.2793730000000001</v>
      </c>
      <c r="T6936">
        <v>-0.1701232</v>
      </c>
      <c r="U6936">
        <v>2.1618499999999998</v>
      </c>
      <c r="V6936">
        <v>0.36917139999999998</v>
      </c>
      <c r="W6936">
        <v>0.15780520000000001</v>
      </c>
      <c r="X6936">
        <v>0.9158657</v>
      </c>
      <c r="Y6936">
        <v>0.55276859999999906</v>
      </c>
      <c r="Z6936">
        <v>-5.6353859999999999E-2</v>
      </c>
      <c r="AA6936">
        <v>0.83142719999999903</v>
      </c>
      <c r="AB6936">
        <v>46</v>
      </c>
      <c r="AC6936">
        <v>14.613099999999999</v>
      </c>
      <c r="AD6936">
        <v>-1.0941472028100001</v>
      </c>
      <c r="AE6936">
        <v>13.6890999999999</v>
      </c>
      <c r="AF6936">
        <v>11.160937435606201</v>
      </c>
      <c r="AG6936">
        <v>-1.0941472028100001</v>
      </c>
      <c r="AH6936">
        <v>16.5524617837475</v>
      </c>
      <c r="AI6936">
        <v>93.137057091082596</v>
      </c>
      <c r="AJ6936">
        <v>56.009134287082297</v>
      </c>
      <c r="AK6936">
        <v>19.993690845998302</v>
      </c>
      <c r="AL6936">
        <v>80.920474855118698</v>
      </c>
      <c r="AM6936">
        <v>68.046393186317502</v>
      </c>
      <c r="AN6936">
        <v>0.99999999208074397</v>
      </c>
    </row>
    <row r="6937" spans="1:40" x14ac:dyDescent="0.25">
      <c r="A6937" t="str">
        <f>"20190312164201657"</f>
        <v>20190312164201657</v>
      </c>
      <c r="B6937" t="str">
        <f>"1552380121653120"</f>
        <v>1552380121653120</v>
      </c>
      <c r="C6937" t="s">
        <v>40</v>
      </c>
      <c r="D6937">
        <v>6.2088020000000004</v>
      </c>
      <c r="E6937">
        <v>0.59458080000000002</v>
      </c>
      <c r="F6937" t="s">
        <v>50</v>
      </c>
      <c r="G6937">
        <v>-172.2079</v>
      </c>
      <c r="H6937" s="1">
        <v>-4.240166E-6</v>
      </c>
      <c r="I6937">
        <v>138.67689999999999</v>
      </c>
      <c r="J6937">
        <v>-186.12</v>
      </c>
      <c r="K6937">
        <v>1.0938870000000001</v>
      </c>
      <c r="L6937">
        <v>125.8901</v>
      </c>
      <c r="M6937">
        <v>0.2309956</v>
      </c>
      <c r="N6937">
        <v>0</v>
      </c>
      <c r="O6937">
        <v>0.97281810000000002</v>
      </c>
      <c r="P6937">
        <v>0.56780839999999999</v>
      </c>
      <c r="Q6937">
        <v>0.15609729999999999</v>
      </c>
      <c r="R6937">
        <v>0.80822469999999902</v>
      </c>
      <c r="S6937">
        <v>2.2964630000000001</v>
      </c>
      <c r="T6937">
        <v>-0.17985870000000001</v>
      </c>
      <c r="U6937">
        <v>2.142944</v>
      </c>
      <c r="V6937">
        <v>0.37201689999999998</v>
      </c>
      <c r="W6937">
        <v>0.15689259999999999</v>
      </c>
      <c r="X6937">
        <v>0.91487059999999998</v>
      </c>
      <c r="Y6937">
        <v>0.55241989999999996</v>
      </c>
      <c r="Z6937">
        <v>-5.9608050000000003E-2</v>
      </c>
      <c r="AA6937">
        <v>0.83143199999999995</v>
      </c>
      <c r="AB6937">
        <v>46</v>
      </c>
      <c r="AC6937">
        <v>13.912100000000001</v>
      </c>
      <c r="AD6937">
        <v>-1.0938912401659999</v>
      </c>
      <c r="AE6937">
        <v>12.7867999999999</v>
      </c>
      <c r="AF6937">
        <v>10.5463110268193</v>
      </c>
      <c r="AG6937">
        <v>-1.0938912401659999</v>
      </c>
      <c r="AH6937">
        <v>15.602656358239299</v>
      </c>
      <c r="AI6937">
        <v>93.324285681048906</v>
      </c>
      <c r="AJ6937">
        <v>55.944040533733002</v>
      </c>
      <c r="AK6937">
        <v>18.864362161309099</v>
      </c>
      <c r="AL6937">
        <v>80.973422971973804</v>
      </c>
      <c r="AM6937">
        <v>67.871701133764503</v>
      </c>
      <c r="AN6937">
        <v>1.0000000382823599</v>
      </c>
    </row>
    <row r="6938" spans="1:40" x14ac:dyDescent="0.25">
      <c r="A6938" t="str">
        <f>"20190312164201669"</f>
        <v>20190312164201669</v>
      </c>
      <c r="B6938" t="str">
        <f>"1552380121662879"</f>
        <v>1552380121662879</v>
      </c>
      <c r="C6938" t="s">
        <v>40</v>
      </c>
      <c r="D6938">
        <v>6.2033909999999999</v>
      </c>
      <c r="E6938">
        <v>0.59364869999999903</v>
      </c>
      <c r="F6938" t="s">
        <v>50</v>
      </c>
      <c r="G6938">
        <v>-172.90170000000001</v>
      </c>
      <c r="H6938" s="1">
        <v>-4.3076320000000001E-6</v>
      </c>
      <c r="I6938">
        <v>138.04399999999899</v>
      </c>
      <c r="J6938">
        <v>-186.06110000000001</v>
      </c>
      <c r="K6938">
        <v>1.0936549999999901</v>
      </c>
      <c r="L6938">
        <v>126.1296</v>
      </c>
      <c r="M6938">
        <v>0.23895440000000001</v>
      </c>
      <c r="N6938">
        <v>0</v>
      </c>
      <c r="O6938">
        <v>0.9708928</v>
      </c>
      <c r="P6938">
        <v>0.57695069999999904</v>
      </c>
      <c r="Q6938">
        <v>0.15555439999999901</v>
      </c>
      <c r="R6938">
        <v>0.80182959999999903</v>
      </c>
      <c r="S6938">
        <v>2.3112180000000002</v>
      </c>
      <c r="T6938">
        <v>-0.1912663</v>
      </c>
      <c r="U6938">
        <v>2.125092</v>
      </c>
      <c r="V6938">
        <v>0.3749557</v>
      </c>
      <c r="W6938">
        <v>0.15608159999999999</v>
      </c>
      <c r="X6938">
        <v>0.91380890000000004</v>
      </c>
      <c r="Y6938">
        <v>0.55154700000000001</v>
      </c>
      <c r="Z6938">
        <v>-6.3423480000000004E-2</v>
      </c>
      <c r="AA6938">
        <v>0.83172919999999995</v>
      </c>
      <c r="AB6938">
        <v>46</v>
      </c>
      <c r="AC6938">
        <v>13.1594</v>
      </c>
      <c r="AD6938">
        <v>-1.09365930763199</v>
      </c>
      <c r="AE6938">
        <v>11.914399999999899</v>
      </c>
      <c r="AF6938">
        <v>9.8931482676873408</v>
      </c>
      <c r="AG6938">
        <v>-1.09365930763199</v>
      </c>
      <c r="AH6938">
        <v>14.658435212458601</v>
      </c>
      <c r="AI6938">
        <v>93.538811103184003</v>
      </c>
      <c r="AJ6938">
        <v>55.9841289023827</v>
      </c>
      <c r="AK6938">
        <v>17.718357604627499</v>
      </c>
      <c r="AL6938">
        <v>81.020468881813599</v>
      </c>
      <c r="AM6938">
        <v>67.690588884403297</v>
      </c>
      <c r="AN6938">
        <v>0.99999997427012899</v>
      </c>
    </row>
    <row r="6939" spans="1:40" x14ac:dyDescent="0.25">
      <c r="A6939" t="str">
        <f>"20190312164201681"</f>
        <v>20190312164201681</v>
      </c>
      <c r="B6939" t="str">
        <f>"1552380121672640"</f>
        <v>1552380121672640</v>
      </c>
      <c r="C6939" t="s">
        <v>40</v>
      </c>
      <c r="D6939">
        <v>6.1102449999999999</v>
      </c>
      <c r="E6939">
        <v>0.59332750000000001</v>
      </c>
      <c r="F6939" t="s">
        <v>50</v>
      </c>
      <c r="G6939">
        <v>-173.43</v>
      </c>
      <c r="H6939" s="1">
        <v>-4.356395E-6</v>
      </c>
      <c r="I6939">
        <v>137.55500000000001</v>
      </c>
      <c r="J6939">
        <v>-186.00190000000001</v>
      </c>
      <c r="K6939">
        <v>1.0934330000000001</v>
      </c>
      <c r="L6939">
        <v>126.36669999999999</v>
      </c>
      <c r="M6939">
        <v>0.24686449999999999</v>
      </c>
      <c r="N6939">
        <v>0</v>
      </c>
      <c r="O6939">
        <v>0.96891079999999996</v>
      </c>
      <c r="P6939">
        <v>0.586142099999999</v>
      </c>
      <c r="Q6939">
        <v>0.15496699999999999</v>
      </c>
      <c r="R6939">
        <v>0.79525009999999996</v>
      </c>
      <c r="S6939">
        <v>2.3277890000000001</v>
      </c>
      <c r="T6939">
        <v>-0.20155049999999999</v>
      </c>
      <c r="U6939">
        <v>2.105591</v>
      </c>
      <c r="V6939">
        <v>0.37805460000000002</v>
      </c>
      <c r="W6939">
        <v>0.15521869999999999</v>
      </c>
      <c r="X6939">
        <v>0.9126784</v>
      </c>
      <c r="Y6939">
        <v>0.55135829999999997</v>
      </c>
      <c r="Z6939">
        <v>-6.6864270000000003E-2</v>
      </c>
      <c r="AA6939">
        <v>0.83158480000000001</v>
      </c>
      <c r="AB6939">
        <v>46</v>
      </c>
      <c r="AC6939">
        <v>12.571899999999999</v>
      </c>
      <c r="AD6939">
        <v>-1.0934373563949999</v>
      </c>
      <c r="AE6939">
        <v>11.1883</v>
      </c>
      <c r="AF6939">
        <v>9.3807274192256802</v>
      </c>
      <c r="AG6939">
        <v>-1.0934373563949999</v>
      </c>
      <c r="AH6939">
        <v>13.8872792647404</v>
      </c>
      <c r="AI6939">
        <v>93.733022920616705</v>
      </c>
      <c r="AJ6939">
        <v>55.961341272442297</v>
      </c>
      <c r="AK6939">
        <v>16.7943495718965</v>
      </c>
      <c r="AL6939">
        <v>81.070519590803599</v>
      </c>
      <c r="AM6939">
        <v>67.499419760291502</v>
      </c>
      <c r="AN6939">
        <v>0.99999999361870495</v>
      </c>
    </row>
    <row r="6940" spans="1:40" x14ac:dyDescent="0.25">
      <c r="A6940" t="str">
        <f>"20190312164201692"</f>
        <v>20190312164201692</v>
      </c>
      <c r="B6940" t="str">
        <f>"1552380121683375"</f>
        <v>1552380121683375</v>
      </c>
      <c r="C6940" t="s">
        <v>40</v>
      </c>
      <c r="D6940">
        <v>6.1000120000000004</v>
      </c>
      <c r="E6940">
        <v>0.59293059999999997</v>
      </c>
      <c r="F6940" t="s">
        <v>50</v>
      </c>
      <c r="G6940">
        <v>-173.52719999999999</v>
      </c>
      <c r="H6940" s="1">
        <v>-4.3477129999999996E-6</v>
      </c>
      <c r="I6940">
        <v>137.4186</v>
      </c>
      <c r="J6940">
        <v>-185.94409999999999</v>
      </c>
      <c r="K6940">
        <v>1.093235</v>
      </c>
      <c r="L6940">
        <v>126.58880000000001</v>
      </c>
      <c r="M6940">
        <v>0.25437409999999999</v>
      </c>
      <c r="N6940">
        <v>0</v>
      </c>
      <c r="O6940">
        <v>0.96696550000000003</v>
      </c>
      <c r="P6940">
        <v>0.59483980000000003</v>
      </c>
      <c r="Q6940">
        <v>0.15476760000000001</v>
      </c>
      <c r="R6940">
        <v>0.78880450000000002</v>
      </c>
      <c r="S6940">
        <v>2.3490600000000001</v>
      </c>
      <c r="T6940">
        <v>-0.20590079999999999</v>
      </c>
      <c r="U6940">
        <v>2.0811459999999999</v>
      </c>
      <c r="V6940">
        <v>0.38105280000000002</v>
      </c>
      <c r="W6940">
        <v>0.1547636</v>
      </c>
      <c r="X6940">
        <v>0.91150810000000004</v>
      </c>
      <c r="Y6940">
        <v>0.55339899999999997</v>
      </c>
      <c r="Z6940">
        <v>-6.8355139999999995E-2</v>
      </c>
      <c r="AA6940">
        <v>0.83010669999999898</v>
      </c>
      <c r="AB6940">
        <v>46</v>
      </c>
      <c r="AC6940">
        <v>12.416899999999901</v>
      </c>
      <c r="AD6940">
        <v>-1.093239347713</v>
      </c>
      <c r="AE6940">
        <v>10.829799999999899</v>
      </c>
      <c r="AF6940">
        <v>9.2125894756438402</v>
      </c>
      <c r="AG6940">
        <v>-1.093239347713</v>
      </c>
      <c r="AH6940">
        <v>13.5726754188932</v>
      </c>
      <c r="AI6940">
        <v>93.812834095031903</v>
      </c>
      <c r="AJ6940">
        <v>55.832907300513398</v>
      </c>
      <c r="AK6940">
        <v>16.440331357510999</v>
      </c>
      <c r="AL6940">
        <v>81.096914020316802</v>
      </c>
      <c r="AM6940">
        <v>67.312802947986597</v>
      </c>
      <c r="AN6940">
        <v>1.0000000123192001</v>
      </c>
    </row>
    <row r="6941" spans="1:40" x14ac:dyDescent="0.25">
      <c r="A6941" t="str">
        <f>"20190312164201702"</f>
        <v>20190312164201702</v>
      </c>
      <c r="B6941" t="str">
        <f>"1552380121693136"</f>
        <v>1552380121693136</v>
      </c>
      <c r="C6941" t="s">
        <v>40</v>
      </c>
      <c r="D6941">
        <v>6.1306890000000003</v>
      </c>
      <c r="E6941">
        <v>0.59243509999999999</v>
      </c>
      <c r="F6941" t="s">
        <v>50</v>
      </c>
      <c r="G6941">
        <v>-173.56559999999999</v>
      </c>
      <c r="H6941" s="1">
        <v>-4.3348880000000003E-6</v>
      </c>
      <c r="I6941">
        <v>137.34</v>
      </c>
      <c r="J6941">
        <v>-185.886</v>
      </c>
      <c r="K6941">
        <v>1.0930409999999999</v>
      </c>
      <c r="L6941">
        <v>126.8069</v>
      </c>
      <c r="M6941">
        <v>0.26179479999999999</v>
      </c>
      <c r="N6941">
        <v>0</v>
      </c>
      <c r="O6941">
        <v>0.96498200000000001</v>
      </c>
      <c r="P6941">
        <v>0.60268840000000001</v>
      </c>
      <c r="Q6941">
        <v>0.15450949999999999</v>
      </c>
      <c r="R6941">
        <v>0.78287510000000005</v>
      </c>
      <c r="S6941">
        <v>2.3691409999999999</v>
      </c>
      <c r="T6941">
        <v>-0.20923629999999999</v>
      </c>
      <c r="U6941">
        <v>2.0576780000000001</v>
      </c>
      <c r="V6941">
        <v>0.38320070000000001</v>
      </c>
      <c r="W6941">
        <v>0.1542935</v>
      </c>
      <c r="X6941">
        <v>0.91068700000000002</v>
      </c>
      <c r="Y6941">
        <v>0.55511509999999997</v>
      </c>
      <c r="Z6941">
        <v>-6.9503830000000003E-2</v>
      </c>
      <c r="AA6941">
        <v>0.8288645</v>
      </c>
      <c r="AB6941">
        <v>46</v>
      </c>
      <c r="AC6941">
        <v>12.320399999999999</v>
      </c>
      <c r="AD6941">
        <v>-1.09304533488799</v>
      </c>
      <c r="AE6941">
        <v>10.533099999999999</v>
      </c>
      <c r="AF6941">
        <v>9.0913600826073093</v>
      </c>
      <c r="AG6941">
        <v>-1.09304533488799</v>
      </c>
      <c r="AH6941">
        <v>13.330878731356</v>
      </c>
      <c r="AI6941">
        <v>93.875309606107606</v>
      </c>
      <c r="AJ6941">
        <v>55.706889914640797</v>
      </c>
      <c r="AK6941">
        <v>16.172813731873202</v>
      </c>
      <c r="AL6941">
        <v>81.124176445588205</v>
      </c>
      <c r="AM6941">
        <v>67.179517967939802</v>
      </c>
      <c r="AN6941">
        <v>1.0000000362958601</v>
      </c>
    </row>
    <row r="6942" spans="1:40" x14ac:dyDescent="0.25">
      <c r="A6942" t="str">
        <f>"20190312164201713"</f>
        <v>20190312164201713</v>
      </c>
      <c r="B6942" t="str">
        <f>"1552380121702896"</f>
        <v>1552380121702896</v>
      </c>
      <c r="C6942" t="s">
        <v>40</v>
      </c>
      <c r="D6942">
        <v>5.9830480000000001</v>
      </c>
      <c r="E6942">
        <v>0.59173369999999903</v>
      </c>
      <c r="F6942" t="s">
        <v>50</v>
      </c>
      <c r="G6942">
        <v>-173.4967</v>
      </c>
      <c r="H6942" s="1">
        <v>-4.316121E-6</v>
      </c>
      <c r="I6942">
        <v>137.37100000000001</v>
      </c>
      <c r="J6942">
        <v>-185.82810000000001</v>
      </c>
      <c r="K6942">
        <v>1.0928659999999999</v>
      </c>
      <c r="L6942">
        <v>127.0179</v>
      </c>
      <c r="M6942">
        <v>0.2690284</v>
      </c>
      <c r="N6942">
        <v>0</v>
      </c>
      <c r="O6942">
        <v>0.96298950000000005</v>
      </c>
      <c r="P6942">
        <v>0.61024579999999995</v>
      </c>
      <c r="Q6942">
        <v>0.1540009</v>
      </c>
      <c r="R6942">
        <v>0.77709969999999995</v>
      </c>
      <c r="S6942">
        <v>2.3874050000000002</v>
      </c>
      <c r="T6942">
        <v>-0.21062890000000001</v>
      </c>
      <c r="U6942">
        <v>2.0356900000000002</v>
      </c>
      <c r="V6942">
        <v>0.38520779999999999</v>
      </c>
      <c r="W6942">
        <v>0.15358910000000001</v>
      </c>
      <c r="X6942">
        <v>0.90995899999999996</v>
      </c>
      <c r="Y6942">
        <v>0.55640269999999903</v>
      </c>
      <c r="Z6942">
        <v>-7.0004949999999996E-2</v>
      </c>
      <c r="AA6942">
        <v>0.82795849999999904</v>
      </c>
      <c r="AB6942">
        <v>46</v>
      </c>
      <c r="AC6942">
        <v>12.3314</v>
      </c>
      <c r="AD6942">
        <v>-1.0928703161209901</v>
      </c>
      <c r="AE6942">
        <v>10.3531</v>
      </c>
      <c r="AF6942">
        <v>9.0492905367092593</v>
      </c>
      <c r="AG6942">
        <v>-1.0928703161209901</v>
      </c>
      <c r="AH6942">
        <v>13.228307594252801</v>
      </c>
      <c r="AI6942">
        <v>93.900823077692806</v>
      </c>
      <c r="AJ6942">
        <v>55.624543328417502</v>
      </c>
      <c r="AK6942">
        <v>16.064624071350099</v>
      </c>
      <c r="AL6942">
        <v>81.165022343009099</v>
      </c>
      <c r="AM6942">
        <v>67.055876498654797</v>
      </c>
      <c r="AN6942">
        <v>1.0000000212503199</v>
      </c>
    </row>
    <row r="6943" spans="1:40" x14ac:dyDescent="0.25">
      <c r="A6943" t="str">
        <f>"20190312164201725"</f>
        <v>20190312164201725</v>
      </c>
      <c r="B6943" t="str">
        <f>"1552380121712656"</f>
        <v>1552380121712656</v>
      </c>
      <c r="C6943" t="s">
        <v>40</v>
      </c>
      <c r="D6943">
        <v>6.1624889999999999</v>
      </c>
      <c r="E6943">
        <v>0.59106429999999999</v>
      </c>
      <c r="F6943" t="s">
        <v>50</v>
      </c>
      <c r="G6943">
        <v>-173.1824</v>
      </c>
      <c r="H6943" s="1">
        <v>-4.2686080000000003E-6</v>
      </c>
      <c r="I6943">
        <v>137.613</v>
      </c>
      <c r="J6943">
        <v>-185.7637</v>
      </c>
      <c r="K6943">
        <v>1.092684</v>
      </c>
      <c r="L6943">
        <v>127.2456</v>
      </c>
      <c r="M6943">
        <v>0.27689259999999999</v>
      </c>
      <c r="N6943">
        <v>0</v>
      </c>
      <c r="O6943">
        <v>0.96075699999999997</v>
      </c>
      <c r="P6943">
        <v>0.61860380000000004</v>
      </c>
      <c r="Q6943">
        <v>0.15331739999999999</v>
      </c>
      <c r="R6943">
        <v>0.77059919999999904</v>
      </c>
      <c r="S6943">
        <v>2.4037929999999998</v>
      </c>
      <c r="T6943">
        <v>-0.2077417</v>
      </c>
      <c r="U6943">
        <v>2.014008</v>
      </c>
      <c r="V6943">
        <v>0.38759759999999999</v>
      </c>
      <c r="W6943">
        <v>0.15268809999999999</v>
      </c>
      <c r="X6943">
        <v>0.9090954</v>
      </c>
      <c r="Y6943">
        <v>0.55682949999999998</v>
      </c>
      <c r="Z6943">
        <v>-6.9097899999999907E-2</v>
      </c>
      <c r="AA6943">
        <v>0.82774780000000003</v>
      </c>
      <c r="AB6943">
        <v>46</v>
      </c>
      <c r="AC6943">
        <v>12.581300000000001</v>
      </c>
      <c r="AD6943">
        <v>-1.0926882686079999</v>
      </c>
      <c r="AE6943">
        <v>10.3674</v>
      </c>
      <c r="AF6943">
        <v>9.1769630492931906</v>
      </c>
      <c r="AG6943">
        <v>-1.0926882686079999</v>
      </c>
      <c r="AH6943">
        <v>13.3859441955327</v>
      </c>
      <c r="AI6943">
        <v>93.851731291581999</v>
      </c>
      <c r="AJ6943">
        <v>55.566746795309903</v>
      </c>
      <c r="AK6943">
        <v>16.266349328179398</v>
      </c>
      <c r="AL6943">
        <v>81.217261842229604</v>
      </c>
      <c r="AM6943">
        <v>66.908769569094105</v>
      </c>
      <c r="AN6943">
        <v>1.00000000085426</v>
      </c>
    </row>
    <row r="6944" spans="1:40" x14ac:dyDescent="0.25">
      <c r="A6944" t="str">
        <f>"20190312164201736"</f>
        <v>20190312164201736</v>
      </c>
      <c r="B6944" t="str">
        <f>"1552380121733151"</f>
        <v>1552380121733151</v>
      </c>
      <c r="C6944" t="s">
        <v>40</v>
      </c>
      <c r="D6944">
        <v>6.4206599999999998</v>
      </c>
      <c r="E6944">
        <v>0.58959629999999996</v>
      </c>
      <c r="F6944" t="s">
        <v>50</v>
      </c>
      <c r="G6944">
        <v>-172.9314</v>
      </c>
      <c r="H6944" s="1">
        <v>-4.2239439999999999E-6</v>
      </c>
      <c r="I6944">
        <v>137.78870000000001</v>
      </c>
      <c r="J6944">
        <v>-185.69390000000001</v>
      </c>
      <c r="K6944">
        <v>1.09249</v>
      </c>
      <c r="L6944">
        <v>127.4875</v>
      </c>
      <c r="M6944">
        <v>0.28527960000000002</v>
      </c>
      <c r="N6944">
        <v>0</v>
      </c>
      <c r="O6944">
        <v>0.95829909999999996</v>
      </c>
      <c r="P6944">
        <v>0.62782260000000001</v>
      </c>
      <c r="Q6944">
        <v>0.15230099999999999</v>
      </c>
      <c r="R6944">
        <v>0.76331070000000001</v>
      </c>
      <c r="S6944">
        <v>2.421951</v>
      </c>
      <c r="T6944">
        <v>-0.2062322</v>
      </c>
      <c r="U6944">
        <v>1.9898830000000001</v>
      </c>
      <c r="V6944">
        <v>0.39054759999999999</v>
      </c>
      <c r="W6944">
        <v>0.15142320000000001</v>
      </c>
      <c r="X6944">
        <v>0.90804379999999996</v>
      </c>
      <c r="Y6944">
        <v>0.55756410000000001</v>
      </c>
      <c r="Z6944">
        <v>-6.8644869999999997E-2</v>
      </c>
      <c r="AA6944">
        <v>0.82729079999999999</v>
      </c>
      <c r="AB6944">
        <v>46</v>
      </c>
      <c r="AC6944">
        <v>12.762499999999999</v>
      </c>
      <c r="AD6944">
        <v>-1.0924942239440001</v>
      </c>
      <c r="AE6944">
        <v>10.3012</v>
      </c>
      <c r="AF6944">
        <v>9.2518130708467297</v>
      </c>
      <c r="AG6944">
        <v>-1.0924942239440001</v>
      </c>
      <c r="AH6944">
        <v>13.454693947649201</v>
      </c>
      <c r="AI6944">
        <v>93.827759983121197</v>
      </c>
      <c r="AJ6944">
        <v>55.486529726066102</v>
      </c>
      <c r="AK6944">
        <v>16.365157437438501</v>
      </c>
      <c r="AL6944">
        <v>81.290587719224902</v>
      </c>
      <c r="AM6944">
        <v>66.727568410065402</v>
      </c>
      <c r="AN6944">
        <v>0.99999997804121898</v>
      </c>
    </row>
    <row r="6945" spans="1:40" x14ac:dyDescent="0.25">
      <c r="A6945" t="str">
        <f>"20190312164201750"</f>
        <v>20190312164201750</v>
      </c>
      <c r="B6945" t="str">
        <f>"1552380121743423"</f>
        <v>1552380121743423</v>
      </c>
      <c r="C6945" t="s">
        <v>40</v>
      </c>
      <c r="D6945">
        <v>6.2876159999999999</v>
      </c>
      <c r="E6945">
        <v>0.58886810000000001</v>
      </c>
      <c r="F6945" t="s">
        <v>50</v>
      </c>
      <c r="G6945">
        <v>-172.7313</v>
      </c>
      <c r="H6945" s="1">
        <v>-4.1970529999999998E-6</v>
      </c>
      <c r="I6945">
        <v>137.95169999999999</v>
      </c>
      <c r="J6945">
        <v>-185.61850000000001</v>
      </c>
      <c r="K6945">
        <v>1.0923069999999999</v>
      </c>
      <c r="L6945">
        <v>127.7372</v>
      </c>
      <c r="M6945">
        <v>0.29403170000000001</v>
      </c>
      <c r="N6945">
        <v>0</v>
      </c>
      <c r="O6945">
        <v>0.95564910000000003</v>
      </c>
      <c r="P6945">
        <v>0.63765309999999997</v>
      </c>
      <c r="Q6945">
        <v>0.15099760000000001</v>
      </c>
      <c r="R6945">
        <v>0.75537959999999904</v>
      </c>
      <c r="S6945">
        <v>2.4366910000000002</v>
      </c>
      <c r="T6945">
        <v>-0.20536450000000001</v>
      </c>
      <c r="U6945">
        <v>1.967041</v>
      </c>
      <c r="V6945">
        <v>0.39393349999999999</v>
      </c>
      <c r="W6945">
        <v>0.1498563</v>
      </c>
      <c r="X6945">
        <v>0.90684039999999999</v>
      </c>
      <c r="Y6945">
        <v>0.55712680000000003</v>
      </c>
      <c r="Z6945">
        <v>-6.8418569999999998E-2</v>
      </c>
      <c r="AA6945">
        <v>0.82760409999999995</v>
      </c>
      <c r="AB6945">
        <v>46</v>
      </c>
      <c r="AC6945">
        <v>12.8872</v>
      </c>
      <c r="AD6945">
        <v>-1.0923111970529999</v>
      </c>
      <c r="AE6945">
        <v>10.2144999999999</v>
      </c>
      <c r="AF6945">
        <v>9.2726457359157397</v>
      </c>
      <c r="AG6945">
        <v>-1.0923111970529999</v>
      </c>
      <c r="AH6945">
        <v>13.493086696546101</v>
      </c>
      <c r="AI6945">
        <v>93.816996243696593</v>
      </c>
      <c r="AJ6945">
        <v>55.502583655495101</v>
      </c>
      <c r="AK6945">
        <v>16.408488391546399</v>
      </c>
      <c r="AL6945">
        <v>81.381401076634006</v>
      </c>
      <c r="AM6945">
        <v>66.519765662795294</v>
      </c>
      <c r="AN6945">
        <v>1.00000001207204</v>
      </c>
    </row>
    <row r="6946" spans="1:40" x14ac:dyDescent="0.25">
      <c r="A6946" t="str">
        <f>"20190312164201770"</f>
        <v>20190312164201770</v>
      </c>
      <c r="B6946" t="str">
        <f>"1552380121762941"</f>
        <v>1552380121762941</v>
      </c>
      <c r="C6946" t="s">
        <v>40</v>
      </c>
      <c r="D6946">
        <v>6.05999</v>
      </c>
      <c r="E6946">
        <v>0.5894876</v>
      </c>
      <c r="F6946" t="s">
        <v>50</v>
      </c>
      <c r="G6946">
        <v>-172.70840000000001</v>
      </c>
      <c r="H6946" s="1">
        <v>-4.1794640000000002E-6</v>
      </c>
      <c r="I6946">
        <v>137.93209999999999</v>
      </c>
      <c r="J6946">
        <v>-185.49260000000001</v>
      </c>
      <c r="K6946">
        <v>1.0920319999999999</v>
      </c>
      <c r="L6946">
        <v>128.14099999999999</v>
      </c>
      <c r="M6946">
        <v>0.30825859999999999</v>
      </c>
      <c r="N6946">
        <v>0</v>
      </c>
      <c r="O6946">
        <v>0.9511539</v>
      </c>
      <c r="P6946">
        <v>0.65622259999999999</v>
      </c>
      <c r="Q6946">
        <v>0.1494789</v>
      </c>
      <c r="R6946">
        <v>0.73961339999999998</v>
      </c>
      <c r="S6946">
        <v>2.456207</v>
      </c>
      <c r="T6946">
        <v>-0.20781620000000001</v>
      </c>
      <c r="U6946">
        <v>1.939621</v>
      </c>
      <c r="V6946">
        <v>0.40286250000000001</v>
      </c>
      <c r="W6946">
        <v>0.1477415</v>
      </c>
      <c r="X6946">
        <v>0.90325759999999999</v>
      </c>
      <c r="Y6946">
        <v>0.55358169999999995</v>
      </c>
      <c r="Z6946">
        <v>-6.9215890000000002E-2</v>
      </c>
      <c r="AA6946">
        <v>0.82991360000000003</v>
      </c>
      <c r="AB6946">
        <v>46</v>
      </c>
      <c r="AC6946">
        <v>12.784199999999901</v>
      </c>
      <c r="AD6946">
        <v>-1.0920361794639999</v>
      </c>
      <c r="AE6946">
        <v>9.7911000000000001</v>
      </c>
      <c r="AF6946">
        <v>9.1009882287227502</v>
      </c>
      <c r="AG6946">
        <v>-1.0920361794639999</v>
      </c>
      <c r="AH6946">
        <v>13.1948736065135</v>
      </c>
      <c r="AI6946">
        <v>93.897439804826405</v>
      </c>
      <c r="AJ6946">
        <v>55.404546895216598</v>
      </c>
      <c r="AK6946">
        <v>16.0662758363124</v>
      </c>
      <c r="AL6946">
        <v>81.503934372099906</v>
      </c>
      <c r="AM6946">
        <v>65.962620098039494</v>
      </c>
      <c r="AN6946">
        <v>1.0000000183431299</v>
      </c>
    </row>
    <row r="6947" spans="1:40" x14ac:dyDescent="0.25">
      <c r="A6947" t="str">
        <f>"20190312164201782"</f>
        <v>20190312164201782</v>
      </c>
      <c r="B6947" t="str">
        <f>"1552380121772702"</f>
        <v>1552380121772702</v>
      </c>
      <c r="C6947" t="s">
        <v>40</v>
      </c>
      <c r="D6947">
        <v>6.0898019999999997</v>
      </c>
      <c r="E6947">
        <v>0.62462899999999999</v>
      </c>
      <c r="F6947" t="s">
        <v>50</v>
      </c>
      <c r="G6947">
        <v>-172.43379999999999</v>
      </c>
      <c r="H6947" s="1">
        <v>-4.0527080000000004E-6</v>
      </c>
      <c r="I6947">
        <v>137.91899999999899</v>
      </c>
      <c r="J6947">
        <v>-185.41210000000001</v>
      </c>
      <c r="K6947">
        <v>1.091877</v>
      </c>
      <c r="L6947">
        <v>128.39009999999999</v>
      </c>
      <c r="M6947">
        <v>0.31708160000000002</v>
      </c>
      <c r="N6947">
        <v>0</v>
      </c>
      <c r="O6947">
        <v>0.94824810000000004</v>
      </c>
      <c r="P6947">
        <v>0.66663719999999904</v>
      </c>
      <c r="Q6947">
        <v>0.1489858</v>
      </c>
      <c r="R6947">
        <v>0.73034109999999997</v>
      </c>
      <c r="S6947">
        <v>2.505188</v>
      </c>
      <c r="T6947">
        <v>-0.20949380000000001</v>
      </c>
      <c r="U6947">
        <v>1.8757779999999999</v>
      </c>
      <c r="V6947">
        <v>0.407273</v>
      </c>
      <c r="W6947">
        <v>0.14693589999999901</v>
      </c>
      <c r="X6947">
        <v>0.90140920000000002</v>
      </c>
      <c r="Y6947">
        <v>0.56707730000000001</v>
      </c>
      <c r="Z6947">
        <v>-6.9948650000000001E-2</v>
      </c>
      <c r="AA6947">
        <v>0.82068909999999995</v>
      </c>
      <c r="AB6947">
        <v>46</v>
      </c>
      <c r="AC6947">
        <v>12.978300000000001</v>
      </c>
      <c r="AD6947">
        <v>-1.0918810527079901</v>
      </c>
      <c r="AE6947">
        <v>9.5288999999999895</v>
      </c>
      <c r="AF6947">
        <v>9.2440195304547199</v>
      </c>
      <c r="AG6947">
        <v>-1.0918810527079901</v>
      </c>
      <c r="AH6947">
        <v>13.0926028273096</v>
      </c>
      <c r="AI6947">
        <v>93.897375817240899</v>
      </c>
      <c r="AJ6947">
        <v>54.776033574069999</v>
      </c>
      <c r="AK6947">
        <v>16.0642569111169</v>
      </c>
      <c r="AL6947">
        <v>81.550601017950598</v>
      </c>
      <c r="AM6947">
        <v>65.685685820912994</v>
      </c>
      <c r="AN6947">
        <v>1.00000000054122</v>
      </c>
    </row>
    <row r="6948" spans="1:40" x14ac:dyDescent="0.25">
      <c r="A6948" t="str">
        <f>"20190312164201795"</f>
        <v>20190312164201795</v>
      </c>
      <c r="B6948" t="str">
        <f>"1552380121783438"</f>
        <v>1552380121783438</v>
      </c>
      <c r="C6948" t="s">
        <v>40</v>
      </c>
      <c r="D6948">
        <v>6.1170989999999996</v>
      </c>
      <c r="E6948">
        <v>0.6271409</v>
      </c>
      <c r="F6948" t="s">
        <v>50</v>
      </c>
      <c r="G6948">
        <v>-180.18530000000001</v>
      </c>
      <c r="H6948" s="1">
        <v>-6.1330929999999998E-6</v>
      </c>
      <c r="I6948">
        <v>131.67850000000001</v>
      </c>
      <c r="J6948">
        <v>-185.32990000000001</v>
      </c>
      <c r="K6948">
        <v>1.0917349999999999</v>
      </c>
      <c r="L6948">
        <v>128.6371</v>
      </c>
      <c r="M6948">
        <v>0.3258684</v>
      </c>
      <c r="N6948">
        <v>0</v>
      </c>
      <c r="O6948">
        <v>0.94526370000000004</v>
      </c>
      <c r="P6948">
        <v>0.67638969999999998</v>
      </c>
      <c r="Q6948">
        <v>0.14935379999999901</v>
      </c>
      <c r="R6948">
        <v>0.72124219999999895</v>
      </c>
      <c r="S6948">
        <v>2.739716</v>
      </c>
      <c r="T6948">
        <v>-0.57233429999999996</v>
      </c>
      <c r="U6948">
        <v>1.723679</v>
      </c>
      <c r="V6948">
        <v>0.4111107</v>
      </c>
      <c r="W6948">
        <v>0.1470236</v>
      </c>
      <c r="X6948">
        <v>0.89965110000000004</v>
      </c>
      <c r="Y6948">
        <v>0.61178889999999997</v>
      </c>
      <c r="Z6948">
        <v>-0.18442410000000001</v>
      </c>
      <c r="AA6948">
        <v>0.76922179999999996</v>
      </c>
      <c r="AB6948">
        <v>46</v>
      </c>
      <c r="AC6948">
        <v>5.1445999999999898</v>
      </c>
      <c r="AD6948">
        <v>-1.091741133093</v>
      </c>
      <c r="AE6948">
        <v>3.0413999999999999</v>
      </c>
      <c r="AF6948">
        <v>3.7474086112391398</v>
      </c>
      <c r="AG6948">
        <v>-1.091741133093</v>
      </c>
      <c r="AH6948">
        <v>4.4050404435137498</v>
      </c>
      <c r="AI6948">
        <v>100.69005784941599</v>
      </c>
      <c r="AJ6948">
        <v>49.611880098682597</v>
      </c>
      <c r="AK6948">
        <v>5.8855204791308298</v>
      </c>
      <c r="AL6948">
        <v>81.545521207875098</v>
      </c>
      <c r="AM6948">
        <v>65.441172080511805</v>
      </c>
      <c r="AN6948">
        <v>1.0000000241713201</v>
      </c>
    </row>
    <row r="6949" spans="1:40" x14ac:dyDescent="0.25">
      <c r="A6949" t="str">
        <f>"20190312164201809"</f>
        <v>20190312164201809</v>
      </c>
      <c r="B6949" t="str">
        <f>"1552380121802959"</f>
        <v>1552380121802959</v>
      </c>
      <c r="C6949" t="s">
        <v>40</v>
      </c>
      <c r="D6949">
        <v>6.0395339999999997</v>
      </c>
      <c r="E6949">
        <v>0.6254634</v>
      </c>
      <c r="F6949" t="s">
        <v>50</v>
      </c>
      <c r="G6949">
        <v>-179.87309999999999</v>
      </c>
      <c r="H6949" s="1">
        <v>-6.1834659999999997E-6</v>
      </c>
      <c r="I6949">
        <v>131.9161</v>
      </c>
      <c r="J6949">
        <v>-185.24199999999999</v>
      </c>
      <c r="K6949">
        <v>1.091601</v>
      </c>
      <c r="L6949">
        <v>128.89169999999999</v>
      </c>
      <c r="M6949">
        <v>0.33497320000000003</v>
      </c>
      <c r="N6949">
        <v>0</v>
      </c>
      <c r="O6949">
        <v>0.94207479999999999</v>
      </c>
      <c r="P6949">
        <v>0.68617539999999999</v>
      </c>
      <c r="Q6949">
        <v>0.15021209999999999</v>
      </c>
      <c r="R6949">
        <v>0.71175809999999995</v>
      </c>
      <c r="S6949">
        <v>2.7780459999999998</v>
      </c>
      <c r="T6949">
        <v>-0.55580750000000001</v>
      </c>
      <c r="U6949">
        <v>1.6693420000000001</v>
      </c>
      <c r="V6949">
        <v>0.41486309999999899</v>
      </c>
      <c r="W6949">
        <v>0.14760699999999999</v>
      </c>
      <c r="X6949">
        <v>0.89783109999999999</v>
      </c>
      <c r="Y6949">
        <v>0.62080069999999998</v>
      </c>
      <c r="Z6949">
        <v>-0.17937910000000001</v>
      </c>
      <c r="AA6949">
        <v>0.76317080000000004</v>
      </c>
      <c r="AB6949">
        <v>46</v>
      </c>
      <c r="AC6949">
        <v>5.3689000000000204</v>
      </c>
      <c r="AD6949">
        <v>-1.0916071834659999</v>
      </c>
      <c r="AE6949">
        <v>3.0244000000000102</v>
      </c>
      <c r="AF6949">
        <v>3.9223086656086199</v>
      </c>
      <c r="AG6949">
        <v>-1.0916071834659999</v>
      </c>
      <c r="AH6949">
        <v>4.50688697334314</v>
      </c>
      <c r="AI6949">
        <v>100.354091845962</v>
      </c>
      <c r="AJ6949">
        <v>48.967202542648799</v>
      </c>
      <c r="AK6949">
        <v>6.0735608749557404</v>
      </c>
      <c r="AL6949">
        <v>81.511725507708704</v>
      </c>
      <c r="AM6949">
        <v>65.199637687719701</v>
      </c>
      <c r="AN6949">
        <v>0.99999995115890805</v>
      </c>
    </row>
    <row r="6950" spans="1:40" x14ac:dyDescent="0.25">
      <c r="A6950" t="str">
        <f>"20190312164201821"</f>
        <v>20190312164201821</v>
      </c>
      <c r="B6950" t="str">
        <f>"1552380121812718"</f>
        <v>1552380121812718</v>
      </c>
      <c r="C6950" t="s">
        <v>40</v>
      </c>
      <c r="D6950">
        <v>6.0157239999999996</v>
      </c>
      <c r="E6950">
        <v>0.62279739999999995</v>
      </c>
      <c r="F6950" t="s">
        <v>50</v>
      </c>
      <c r="G6950">
        <v>-178.63560000000001</v>
      </c>
      <c r="H6950" s="1">
        <v>-5.6968920000000002E-6</v>
      </c>
      <c r="I6950">
        <v>132.7277</v>
      </c>
      <c r="J6950">
        <v>-185.15</v>
      </c>
      <c r="K6950">
        <v>1.091469</v>
      </c>
      <c r="L6950">
        <v>129.15260000000001</v>
      </c>
      <c r="M6950">
        <v>0.34431250000000002</v>
      </c>
      <c r="N6950">
        <v>0</v>
      </c>
      <c r="O6950">
        <v>0.93870100000000001</v>
      </c>
      <c r="P6950">
        <v>0.69577739999999999</v>
      </c>
      <c r="Q6950">
        <v>0.15033540000000001</v>
      </c>
      <c r="R6950">
        <v>0.70234819999999998</v>
      </c>
      <c r="S6950">
        <v>2.7916259999999999</v>
      </c>
      <c r="T6950">
        <v>-0.46127220000000002</v>
      </c>
      <c r="U6950">
        <v>1.6209720000000001</v>
      </c>
      <c r="V6950">
        <v>0.41820239999999997</v>
      </c>
      <c r="W6950">
        <v>0.14747689999999999</v>
      </c>
      <c r="X6950">
        <v>0.89630200000000004</v>
      </c>
      <c r="Y6950">
        <v>0.62887590000000004</v>
      </c>
      <c r="Z6950">
        <v>-0.15029579999999901</v>
      </c>
      <c r="AA6950">
        <v>0.76284099999999999</v>
      </c>
      <c r="AB6950">
        <v>45</v>
      </c>
      <c r="AC6950">
        <v>6.5143999999999904</v>
      </c>
      <c r="AD6950">
        <v>-1.0914746968919999</v>
      </c>
      <c r="AE6950">
        <v>3.5750999999999902</v>
      </c>
      <c r="AF6950">
        <v>4.7816668189467801</v>
      </c>
      <c r="AG6950">
        <v>-1.0914746968919999</v>
      </c>
      <c r="AH6950">
        <v>5.4814890549116804</v>
      </c>
      <c r="AI6950">
        <v>98.533653336946301</v>
      </c>
      <c r="AJ6950">
        <v>48.900836088817897</v>
      </c>
      <c r="AK6950">
        <v>7.3554317915734</v>
      </c>
      <c r="AL6950">
        <v>81.519262412199595</v>
      </c>
      <c r="AM6950">
        <v>64.986879124570905</v>
      </c>
      <c r="AN6950">
        <v>0.99999997930168405</v>
      </c>
    </row>
    <row r="6951" spans="1:40" x14ac:dyDescent="0.25">
      <c r="A6951" t="str">
        <f>"20190312164201835"</f>
        <v>20190312164201835</v>
      </c>
      <c r="B6951" t="str">
        <f>"1552380121823453"</f>
        <v>1552380121823453</v>
      </c>
      <c r="C6951" t="s">
        <v>40</v>
      </c>
      <c r="D6951">
        <v>6.0811699999999904</v>
      </c>
      <c r="E6951">
        <v>0.620681699999999</v>
      </c>
      <c r="F6951" t="s">
        <v>50</v>
      </c>
      <c r="G6951">
        <v>-177.8681</v>
      </c>
      <c r="H6951" s="1">
        <v>-5.3996300000000003E-6</v>
      </c>
      <c r="I6951">
        <v>133.28739999999999</v>
      </c>
      <c r="J6951">
        <v>-185.05330000000001</v>
      </c>
      <c r="K6951">
        <v>1.091337</v>
      </c>
      <c r="L6951">
        <v>129.41829999999999</v>
      </c>
      <c r="M6951">
        <v>0.35385670000000002</v>
      </c>
      <c r="N6951">
        <v>0</v>
      </c>
      <c r="O6951">
        <v>0.93514410000000003</v>
      </c>
      <c r="P6951">
        <v>0.70834030000000003</v>
      </c>
      <c r="Q6951">
        <v>0.14963660000000001</v>
      </c>
      <c r="R6951">
        <v>0.689828199999999</v>
      </c>
      <c r="S6951">
        <v>2.7984010000000001</v>
      </c>
      <c r="T6951">
        <v>-0.41944340000000002</v>
      </c>
      <c r="U6951">
        <v>1.588989</v>
      </c>
      <c r="V6951">
        <v>0.42520770000000002</v>
      </c>
      <c r="W6951">
        <v>0.1463392</v>
      </c>
      <c r="X6951">
        <v>0.89318709999999901</v>
      </c>
      <c r="Y6951">
        <v>0.63006969999999995</v>
      </c>
      <c r="Z6951">
        <v>-0.13730979999999901</v>
      </c>
      <c r="AA6951">
        <v>0.7643025</v>
      </c>
      <c r="AB6951">
        <v>45</v>
      </c>
      <c r="AC6951">
        <v>7.1852</v>
      </c>
      <c r="AD6951">
        <v>-1.09134239963</v>
      </c>
      <c r="AE6951">
        <v>3.8691</v>
      </c>
      <c r="AF6951">
        <v>5.2568547648698702</v>
      </c>
      <c r="AG6951">
        <v>-1.09134239963</v>
      </c>
      <c r="AH6951">
        <v>6.0533351442715597</v>
      </c>
      <c r="AI6951">
        <v>97.751636971591495</v>
      </c>
      <c r="AJ6951">
        <v>49.028203843014403</v>
      </c>
      <c r="AK6951">
        <v>8.0912555651788995</v>
      </c>
      <c r="AL6951">
        <v>81.5851627784877</v>
      </c>
      <c r="AM6951">
        <v>64.542903460917103</v>
      </c>
      <c r="AN6951">
        <v>0.99999997260116902</v>
      </c>
    </row>
    <row r="6952" spans="1:40" x14ac:dyDescent="0.25">
      <c r="A6952" t="str">
        <f>"20190312164201847"</f>
        <v>20190312164201847</v>
      </c>
      <c r="B6952" t="str">
        <f>"1552380121843484"</f>
        <v>1552380121843484</v>
      </c>
      <c r="C6952" t="s">
        <v>40</v>
      </c>
      <c r="D6952">
        <v>6.095879</v>
      </c>
      <c r="E6952">
        <v>0.61812309999999904</v>
      </c>
      <c r="F6952" t="s">
        <v>50</v>
      </c>
      <c r="G6952">
        <v>-177.3117</v>
      </c>
      <c r="H6952" s="1">
        <v>-5.165295E-6</v>
      </c>
      <c r="I6952">
        <v>133.66999999999999</v>
      </c>
      <c r="J6952">
        <v>-184.97130000000001</v>
      </c>
      <c r="K6952">
        <v>1.091232</v>
      </c>
      <c r="L6952">
        <v>129.63640000000001</v>
      </c>
      <c r="M6952">
        <v>0.36171789999999998</v>
      </c>
      <c r="N6952">
        <v>0</v>
      </c>
      <c r="O6952">
        <v>0.93213089999999998</v>
      </c>
      <c r="P6952">
        <v>0.71677449999999998</v>
      </c>
      <c r="Q6952">
        <v>0.14889150000000001</v>
      </c>
      <c r="R6952">
        <v>0.68122360000000004</v>
      </c>
      <c r="S6952">
        <v>2.8139949999999998</v>
      </c>
      <c r="T6952">
        <v>-0.3966885</v>
      </c>
      <c r="U6952">
        <v>1.5454559999999999</v>
      </c>
      <c r="V6952">
        <v>0.42862139999999999</v>
      </c>
      <c r="W6952">
        <v>0.14535799999999999</v>
      </c>
      <c r="X6952">
        <v>0.89171449999999997</v>
      </c>
      <c r="Y6952">
        <v>0.63525750000000003</v>
      </c>
      <c r="Z6952">
        <v>-0.13040739999999901</v>
      </c>
      <c r="AA6952">
        <v>0.76121079999999997</v>
      </c>
      <c r="AB6952">
        <v>45</v>
      </c>
      <c r="AC6952">
        <v>7.65960000000001</v>
      </c>
      <c r="AD6952">
        <v>-1.0912371652949999</v>
      </c>
      <c r="AE6952">
        <v>4.0335999999999697</v>
      </c>
      <c r="AF6952">
        <v>5.59268586853901</v>
      </c>
      <c r="AG6952">
        <v>-1.0912371652949999</v>
      </c>
      <c r="AH6952">
        <v>6.4292499917935997</v>
      </c>
      <c r="AI6952">
        <v>97.297533616785302</v>
      </c>
      <c r="AJ6952">
        <v>48.980594480776602</v>
      </c>
      <c r="AK6952">
        <v>8.5909364583877004</v>
      </c>
      <c r="AL6952">
        <v>81.641989289068505</v>
      </c>
      <c r="AM6952">
        <v>64.327750842251902</v>
      </c>
      <c r="AN6952">
        <v>1.0000000011061001</v>
      </c>
    </row>
    <row r="6953" spans="1:40" x14ac:dyDescent="0.25">
      <c r="A6953" t="str">
        <f>"20190312164201859"</f>
        <v>20190312164201859</v>
      </c>
      <c r="B6953" t="str">
        <f>"1552380121853241"</f>
        <v>1552380121853241</v>
      </c>
      <c r="C6953" t="s">
        <v>40</v>
      </c>
      <c r="D6953">
        <v>5.7095549999999999</v>
      </c>
      <c r="E6953">
        <v>0.6172029</v>
      </c>
      <c r="F6953" t="s">
        <v>50</v>
      </c>
      <c r="G6953">
        <v>-176.44329999999999</v>
      </c>
      <c r="H6953" s="1">
        <v>-4.7854510000000003E-6</v>
      </c>
      <c r="I6953">
        <v>134.22999999999999</v>
      </c>
      <c r="J6953">
        <v>-184.8854</v>
      </c>
      <c r="K6953">
        <v>1.0911280000000001</v>
      </c>
      <c r="L6953">
        <v>129.8622</v>
      </c>
      <c r="M6953">
        <v>0.3698458</v>
      </c>
      <c r="N6953">
        <v>0</v>
      </c>
      <c r="O6953">
        <v>0.92893519999999896</v>
      </c>
      <c r="P6953">
        <v>0.72515540000000001</v>
      </c>
      <c r="Q6953">
        <v>0.1482947</v>
      </c>
      <c r="R6953">
        <v>0.6724272</v>
      </c>
      <c r="S6953">
        <v>2.8177949999999998</v>
      </c>
      <c r="T6953">
        <v>-0.3605642</v>
      </c>
      <c r="U6953">
        <v>1.517792</v>
      </c>
      <c r="V6953">
        <v>0.43183579999999999</v>
      </c>
      <c r="W6953">
        <v>0.14453189999999999</v>
      </c>
      <c r="X6953">
        <v>0.8902968</v>
      </c>
      <c r="Y6953">
        <v>0.63605789999999995</v>
      </c>
      <c r="Z6953">
        <v>-0.11901829999999999</v>
      </c>
      <c r="AA6953">
        <v>0.76240739999999996</v>
      </c>
      <c r="AB6953">
        <v>45</v>
      </c>
      <c r="AC6953">
        <v>8.4420999999999999</v>
      </c>
      <c r="AD6953">
        <v>-1.091132785451</v>
      </c>
      <c r="AE6953">
        <v>4.3677999999999804</v>
      </c>
      <c r="AF6953">
        <v>6.1466657696440903</v>
      </c>
      <c r="AG6953">
        <v>-1.091132785451</v>
      </c>
      <c r="AH6953">
        <v>7.0873366908708597</v>
      </c>
      <c r="AI6953">
        <v>96.634111677824393</v>
      </c>
      <c r="AJ6953">
        <v>49.065737493958601</v>
      </c>
      <c r="AK6953">
        <v>9.4447028650437002</v>
      </c>
      <c r="AL6953">
        <v>81.689826584295105</v>
      </c>
      <c r="AM6953">
        <v>64.124434304558406</v>
      </c>
      <c r="AN6953">
        <v>1.0000000101847399</v>
      </c>
    </row>
    <row r="6954" spans="1:40" x14ac:dyDescent="0.25">
      <c r="A6954" t="str">
        <f>"20190312164201868"</f>
        <v>20190312164201868</v>
      </c>
      <c r="B6954" t="str">
        <f>"1552380121863002"</f>
        <v>1552380121863002</v>
      </c>
      <c r="C6954" t="s">
        <v>40</v>
      </c>
      <c r="D6954">
        <v>6.1181260000000002</v>
      </c>
      <c r="E6954">
        <v>0.61608379999999996</v>
      </c>
      <c r="F6954" t="s">
        <v>50</v>
      </c>
      <c r="G6954">
        <v>-176.1737</v>
      </c>
      <c r="H6954" s="1">
        <v>-4.6798630000000003E-6</v>
      </c>
      <c r="I6954">
        <v>134.43639999999999</v>
      </c>
      <c r="J6954">
        <v>-184.80279999999999</v>
      </c>
      <c r="K6954">
        <v>1.0910359999999999</v>
      </c>
      <c r="L6954">
        <v>130.07089999999999</v>
      </c>
      <c r="M6954">
        <v>0.37739050000000002</v>
      </c>
      <c r="N6954">
        <v>0</v>
      </c>
      <c r="O6954">
        <v>0.92589520000000003</v>
      </c>
      <c r="P6954">
        <v>0.7330624</v>
      </c>
      <c r="Q6954">
        <v>0.14806529999999901</v>
      </c>
      <c r="R6954">
        <v>0.66384969999999999</v>
      </c>
      <c r="S6954">
        <v>2.8311310000000001</v>
      </c>
      <c r="T6954">
        <v>-0.35459790000000002</v>
      </c>
      <c r="U6954">
        <v>1.4865109999999999</v>
      </c>
      <c r="V6954">
        <v>0.43512970000000001</v>
      </c>
      <c r="W6954">
        <v>0.14407890000000001</v>
      </c>
      <c r="X6954">
        <v>0.88876509999999997</v>
      </c>
      <c r="Y6954">
        <v>0.63808260000000006</v>
      </c>
      <c r="Z6954">
        <v>-0.11720410000000001</v>
      </c>
      <c r="AA6954">
        <v>0.76099530000000004</v>
      </c>
      <c r="AB6954">
        <v>45</v>
      </c>
      <c r="AC6954">
        <v>8.6290999999999904</v>
      </c>
      <c r="AD6954">
        <v>-1.0910406798629999</v>
      </c>
      <c r="AE6954">
        <v>4.3654999999999902</v>
      </c>
      <c r="AF6954">
        <v>6.26335407387975</v>
      </c>
      <c r="AG6954">
        <v>-1.0910406798629999</v>
      </c>
      <c r="AH6954">
        <v>7.2078644067252</v>
      </c>
      <c r="AI6954">
        <v>96.518198498571394</v>
      </c>
      <c r="AJ6954">
        <v>49.010627557862499</v>
      </c>
      <c r="AK6954">
        <v>9.6111020869428891</v>
      </c>
      <c r="AL6954">
        <v>81.716055977558</v>
      </c>
      <c r="AM6954">
        <v>63.9141339817836</v>
      </c>
      <c r="AN6954">
        <v>0.99999999411265394</v>
      </c>
    </row>
    <row r="6955" spans="1:40" x14ac:dyDescent="0.25">
      <c r="A6955" t="str">
        <f>"20190312164201882"</f>
        <v>20190312164201882</v>
      </c>
      <c r="B6955" t="str">
        <f>"1552380121872762"</f>
        <v>1552380121872762</v>
      </c>
      <c r="C6955" t="s">
        <v>40</v>
      </c>
      <c r="D6955">
        <v>6.351083</v>
      </c>
      <c r="E6955">
        <v>0.61484689999999997</v>
      </c>
      <c r="F6955" t="s">
        <v>50</v>
      </c>
      <c r="G6955">
        <v>-175.7988</v>
      </c>
      <c r="H6955" s="1">
        <v>-4.5186030000000001E-6</v>
      </c>
      <c r="I6955">
        <v>134.68539999999999</v>
      </c>
      <c r="J6955">
        <v>-184.71039999999999</v>
      </c>
      <c r="K6955">
        <v>1.0909439999999999</v>
      </c>
      <c r="L6955">
        <v>130.30170000000001</v>
      </c>
      <c r="M6955">
        <v>0.3857196</v>
      </c>
      <c r="N6955">
        <v>0</v>
      </c>
      <c r="O6955">
        <v>0.92245580000000005</v>
      </c>
      <c r="P6955">
        <v>0.74109389999999997</v>
      </c>
      <c r="Q6955">
        <v>0.14775339999999901</v>
      </c>
      <c r="R6955">
        <v>0.65494189999999997</v>
      </c>
      <c r="S6955">
        <v>2.8426969999999998</v>
      </c>
      <c r="T6955">
        <v>-0.34445690000000001</v>
      </c>
      <c r="U6955">
        <v>1.4568479999999999</v>
      </c>
      <c r="V6955">
        <v>0.4379364</v>
      </c>
      <c r="W6955">
        <v>0.14356360000000001</v>
      </c>
      <c r="X6955">
        <v>0.88746899999999995</v>
      </c>
      <c r="Y6955">
        <v>0.63906030000000003</v>
      </c>
      <c r="Z6955">
        <v>-0.1139907</v>
      </c>
      <c r="AA6955">
        <v>0.76066290000000003</v>
      </c>
      <c r="AB6955">
        <v>45</v>
      </c>
      <c r="AC6955">
        <v>8.9115999999999893</v>
      </c>
      <c r="AD6955">
        <v>-1.0909485186029999</v>
      </c>
      <c r="AE6955">
        <v>4.38369999999997</v>
      </c>
      <c r="AF6955">
        <v>6.4527806635994498</v>
      </c>
      <c r="AG6955">
        <v>-1.0909485186029999</v>
      </c>
      <c r="AH6955">
        <v>7.3930457571240096</v>
      </c>
      <c r="AI6955">
        <v>96.3437223643664</v>
      </c>
      <c r="AJ6955">
        <v>48.884970979173403</v>
      </c>
      <c r="AK6955">
        <v>9.8734833027505804</v>
      </c>
      <c r="AL6955">
        <v>81.745890811376498</v>
      </c>
      <c r="AM6955">
        <v>63.735195071263298</v>
      </c>
      <c r="AN6955">
        <v>1.0000000118254599</v>
      </c>
    </row>
    <row r="6956" spans="1:40" x14ac:dyDescent="0.25">
      <c r="A6956" t="str">
        <f>"20190312164201893"</f>
        <v>20190312164201893</v>
      </c>
      <c r="B6956" t="str">
        <f>"1552380121883498"</f>
        <v>1552380121883498</v>
      </c>
      <c r="C6956" t="s">
        <v>40</v>
      </c>
      <c r="D6956">
        <v>6.2808609999999998</v>
      </c>
      <c r="E6956">
        <v>0.61356759999999999</v>
      </c>
      <c r="F6956" t="s">
        <v>50</v>
      </c>
      <c r="G6956">
        <v>-175.3672</v>
      </c>
      <c r="H6956" s="1">
        <v>-4.3336609999999997E-6</v>
      </c>
      <c r="I6956">
        <v>134.97389999999999</v>
      </c>
      <c r="J6956">
        <v>-184.62110000000001</v>
      </c>
      <c r="K6956">
        <v>1.090865</v>
      </c>
      <c r="L6956">
        <v>130.51830000000001</v>
      </c>
      <c r="M6956">
        <v>0.39354919999999999</v>
      </c>
      <c r="N6956">
        <v>0</v>
      </c>
      <c r="O6956">
        <v>0.91914220000000002</v>
      </c>
      <c r="P6956">
        <v>0.748691199999999</v>
      </c>
      <c r="Q6956">
        <v>0.14739679999999999</v>
      </c>
      <c r="R6956">
        <v>0.64632480000000003</v>
      </c>
      <c r="S6956">
        <v>2.8534549999999999</v>
      </c>
      <c r="T6956">
        <v>-0.33318150000000002</v>
      </c>
      <c r="U6956">
        <v>1.4269099999999999</v>
      </c>
      <c r="V6956">
        <v>0.4407335</v>
      </c>
      <c r="W6956">
        <v>0.14301150000000001</v>
      </c>
      <c r="X6956">
        <v>0.88617250000000003</v>
      </c>
      <c r="Y6956">
        <v>0.64044749999999995</v>
      </c>
      <c r="Z6956">
        <v>-0.110421699999999</v>
      </c>
      <c r="AA6956">
        <v>0.76002239999999999</v>
      </c>
      <c r="AB6956">
        <v>45</v>
      </c>
      <c r="AC6956">
        <v>9.2539000000000105</v>
      </c>
      <c r="AD6956">
        <v>-1.090869333661</v>
      </c>
      <c r="AE6956">
        <v>4.4555999999999703</v>
      </c>
      <c r="AF6956">
        <v>6.6778216093824199</v>
      </c>
      <c r="AG6956">
        <v>-1.090869333661</v>
      </c>
      <c r="AH6956">
        <v>7.6520205766764002</v>
      </c>
      <c r="AI6956">
        <v>96.130639849675106</v>
      </c>
      <c r="AJ6956">
        <v>48.889207815048799</v>
      </c>
      <c r="AK6956">
        <v>10.2145345589378</v>
      </c>
      <c r="AL6956">
        <v>81.777853563185204</v>
      </c>
      <c r="AM6956">
        <v>63.556772284773999</v>
      </c>
      <c r="AN6956">
        <v>1.00000000345537</v>
      </c>
    </row>
    <row r="6957" spans="1:40" x14ac:dyDescent="0.25">
      <c r="A6957" t="str">
        <f>"20190312164201904"</f>
        <v>20190312164201904</v>
      </c>
      <c r="B6957" t="str">
        <f>"1552380121893258"</f>
        <v>1552380121893258</v>
      </c>
      <c r="C6957" t="s">
        <v>40</v>
      </c>
      <c r="D6957">
        <v>6.1593970000000002</v>
      </c>
      <c r="E6957">
        <v>0.61312279999999997</v>
      </c>
      <c r="F6957" t="s">
        <v>50</v>
      </c>
      <c r="G6957">
        <v>-175.02199999999999</v>
      </c>
      <c r="H6957" s="1">
        <v>-4.1880530000000004E-6</v>
      </c>
      <c r="I6957">
        <v>135.2106</v>
      </c>
      <c r="J6957">
        <v>-184.5334</v>
      </c>
      <c r="K6957">
        <v>1.0907910000000001</v>
      </c>
      <c r="L6957">
        <v>130.72659999999999</v>
      </c>
      <c r="M6957">
        <v>0.40108090000000002</v>
      </c>
      <c r="N6957">
        <v>0</v>
      </c>
      <c r="O6957">
        <v>0.91588020000000003</v>
      </c>
      <c r="P6957">
        <v>0.75627060000000002</v>
      </c>
      <c r="Q6957">
        <v>0.14728429999999901</v>
      </c>
      <c r="R6957">
        <v>0.63746539999999996</v>
      </c>
      <c r="S6957">
        <v>2.8629150000000001</v>
      </c>
      <c r="T6957">
        <v>-0.32535019999999998</v>
      </c>
      <c r="U6957">
        <v>1.399475</v>
      </c>
      <c r="V6957">
        <v>0.44393290000000002</v>
      </c>
      <c r="W6957">
        <v>0.1426858</v>
      </c>
      <c r="X6957">
        <v>0.88462669999999999</v>
      </c>
      <c r="Y6957">
        <v>0.64128660000000004</v>
      </c>
      <c r="Z6957">
        <v>-0.10794570000000001</v>
      </c>
      <c r="AA6957">
        <v>0.75967050000000003</v>
      </c>
      <c r="AB6957">
        <v>45</v>
      </c>
      <c r="AC6957">
        <v>9.5113999999999805</v>
      </c>
      <c r="AD6957">
        <v>-1.090795188053</v>
      </c>
      <c r="AE6957">
        <v>4.484</v>
      </c>
      <c r="AF6957">
        <v>6.8402792787322797</v>
      </c>
      <c r="AG6957">
        <v>-1.090795188053</v>
      </c>
      <c r="AH6957">
        <v>7.8384796588147099</v>
      </c>
      <c r="AI6957">
        <v>95.985572657827902</v>
      </c>
      <c r="AJ6957">
        <v>48.890298360034201</v>
      </c>
      <c r="AK6957">
        <v>10.460450187013199</v>
      </c>
      <c r="AL6957">
        <v>81.796708362074398</v>
      </c>
      <c r="AM6957">
        <v>63.3510938727471</v>
      </c>
      <c r="AN6957">
        <v>1.00000002778846</v>
      </c>
    </row>
    <row r="6958" spans="1:40" x14ac:dyDescent="0.25">
      <c r="A6958" t="str">
        <f>"20190312164201915"</f>
        <v>20190312164201915</v>
      </c>
      <c r="B6958" t="str">
        <f>"1552380121912778"</f>
        <v>1552380121912778</v>
      </c>
      <c r="C6958" t="s">
        <v>40</v>
      </c>
      <c r="D6958">
        <v>6.1491069999999999</v>
      </c>
      <c r="E6958">
        <v>0.61057799999999995</v>
      </c>
      <c r="F6958" t="s">
        <v>50</v>
      </c>
      <c r="G6958">
        <v>-174.42019999999999</v>
      </c>
      <c r="H6958" s="1">
        <v>-4.0250609999999998E-6</v>
      </c>
      <c r="I6958">
        <v>135.5247</v>
      </c>
      <c r="J6958">
        <v>-184.43809999999999</v>
      </c>
      <c r="K6958">
        <v>1.0907199999999999</v>
      </c>
      <c r="L6958">
        <v>130.94890000000001</v>
      </c>
      <c r="M6958">
        <v>0.40911160000000002</v>
      </c>
      <c r="N6958">
        <v>0</v>
      </c>
      <c r="O6958">
        <v>0.91232069999999998</v>
      </c>
      <c r="P6958">
        <v>0.76343879999999997</v>
      </c>
      <c r="Q6958">
        <v>0.1473719</v>
      </c>
      <c r="R6958">
        <v>0.62884240000000002</v>
      </c>
      <c r="S6958">
        <v>2.8768009999999999</v>
      </c>
      <c r="T6958">
        <v>-0.3102897</v>
      </c>
      <c r="U6958">
        <v>1.3648990000000001</v>
      </c>
      <c r="V6958">
        <v>0.446214</v>
      </c>
      <c r="W6958">
        <v>0.14260699999999901</v>
      </c>
      <c r="X6958">
        <v>0.88349100000000003</v>
      </c>
      <c r="Y6958">
        <v>0.64392669999999996</v>
      </c>
      <c r="Z6958">
        <v>-0.1030852</v>
      </c>
      <c r="AA6958">
        <v>0.75811079999999997</v>
      </c>
      <c r="AB6958">
        <v>45</v>
      </c>
      <c r="AC6958">
        <v>10.0178999999999</v>
      </c>
      <c r="AD6958">
        <v>-1.090724025061</v>
      </c>
      <c r="AE6958">
        <v>4.5757999999999797</v>
      </c>
      <c r="AF6958">
        <v>7.1980117051512096</v>
      </c>
      <c r="AG6958">
        <v>-1.090724025061</v>
      </c>
      <c r="AH6958">
        <v>8.1939055875106206</v>
      </c>
      <c r="AI6958">
        <v>95.710984867421004</v>
      </c>
      <c r="AJ6958">
        <v>48.702013763994103</v>
      </c>
      <c r="AK6958">
        <v>10.960891395474</v>
      </c>
      <c r="AL6958">
        <v>81.801269841808605</v>
      </c>
      <c r="AM6958">
        <v>63.203586757210701</v>
      </c>
      <c r="AN6958">
        <v>1.00000001866299</v>
      </c>
    </row>
    <row r="6959" spans="1:40" x14ac:dyDescent="0.25">
      <c r="A6959" t="str">
        <f>"20190312164201927"</f>
        <v>20190312164201927</v>
      </c>
      <c r="B6959" t="str">
        <f>"1552380121923514"</f>
        <v>1552380121923514</v>
      </c>
      <c r="C6959" t="s">
        <v>40</v>
      </c>
      <c r="D6959">
        <v>6.3632540000000004</v>
      </c>
      <c r="E6959">
        <v>0.60941179999999995</v>
      </c>
      <c r="F6959" t="s">
        <v>50</v>
      </c>
      <c r="G6959">
        <v>-173.76070000000001</v>
      </c>
      <c r="H6959" s="1">
        <v>-3.8884599999999999E-6</v>
      </c>
      <c r="I6959">
        <v>135.93559999999999</v>
      </c>
      <c r="J6959">
        <v>-184.34809999999999</v>
      </c>
      <c r="K6959">
        <v>1.090659</v>
      </c>
      <c r="L6959">
        <v>131.15219999999999</v>
      </c>
      <c r="M6959">
        <v>0.41646709999999898</v>
      </c>
      <c r="N6959">
        <v>0</v>
      </c>
      <c r="O6959">
        <v>0.90898610000000002</v>
      </c>
      <c r="P6959">
        <v>0.77025500000000002</v>
      </c>
      <c r="Q6959">
        <v>0.14789289999999999</v>
      </c>
      <c r="R6959">
        <v>0.62035069999999903</v>
      </c>
      <c r="S6959">
        <v>2.878876</v>
      </c>
      <c r="T6959">
        <v>-0.2940837</v>
      </c>
      <c r="U6959">
        <v>1.3445279999999999</v>
      </c>
      <c r="V6959">
        <v>0.44881539999999998</v>
      </c>
      <c r="W6959">
        <v>0.14295150000000001</v>
      </c>
      <c r="X6959">
        <v>0.88211659999999903</v>
      </c>
      <c r="Y6959">
        <v>0.64287399999999995</v>
      </c>
      <c r="Z6959">
        <v>-9.7857330000000006E-2</v>
      </c>
      <c r="AA6959">
        <v>0.75969540000000002</v>
      </c>
      <c r="AB6959">
        <v>45</v>
      </c>
      <c r="AC6959">
        <v>10.587399999999899</v>
      </c>
      <c r="AD6959">
        <v>-1.09066288846</v>
      </c>
      <c r="AE6959">
        <v>4.7834000000000003</v>
      </c>
      <c r="AF6959">
        <v>7.5661320733191904</v>
      </c>
      <c r="AG6959">
        <v>-1.09066288846</v>
      </c>
      <c r="AH6959">
        <v>8.6821422514852298</v>
      </c>
      <c r="AI6959">
        <v>95.410102760421694</v>
      </c>
      <c r="AJ6959">
        <v>48.929180621937498</v>
      </c>
      <c r="AK6959">
        <v>11.567864719220999</v>
      </c>
      <c r="AL6959">
        <v>81.781327344623804</v>
      </c>
      <c r="AM6959">
        <v>63.0332931062783</v>
      </c>
      <c r="AN6959">
        <v>1.00000004531248</v>
      </c>
    </row>
    <row r="6960" spans="1:40" x14ac:dyDescent="0.25">
      <c r="A6960" t="str">
        <f>"20190312164201939"</f>
        <v>20190312164201939</v>
      </c>
      <c r="B6960" t="str">
        <f>"1552380121933274"</f>
        <v>1552380121933274</v>
      </c>
      <c r="C6960" t="s">
        <v>40</v>
      </c>
      <c r="D6960">
        <v>6.5747140000000002</v>
      </c>
      <c r="E6960">
        <v>0.60879680000000003</v>
      </c>
      <c r="F6960" t="s">
        <v>50</v>
      </c>
      <c r="G6960">
        <v>-173.2578</v>
      </c>
      <c r="H6960" s="1">
        <v>-3.7710960000000001E-6</v>
      </c>
      <c r="I6960">
        <v>136.214</v>
      </c>
      <c r="J6960">
        <v>-184.2535</v>
      </c>
      <c r="K6960">
        <v>1.090598</v>
      </c>
      <c r="L6960">
        <v>131.36429999999999</v>
      </c>
      <c r="M6960">
        <v>0.42412290000000002</v>
      </c>
      <c r="N6960">
        <v>0</v>
      </c>
      <c r="O6960">
        <v>0.90543879999999999</v>
      </c>
      <c r="P6960">
        <v>0.77667849999999905</v>
      </c>
      <c r="Q6960">
        <v>0.14833109999999999</v>
      </c>
      <c r="R6960">
        <v>0.61218319999999904</v>
      </c>
      <c r="S6960">
        <v>2.8878170000000001</v>
      </c>
      <c r="T6960">
        <v>-0.28399740000000001</v>
      </c>
      <c r="U6960">
        <v>1.318039</v>
      </c>
      <c r="V6960">
        <v>0.450652</v>
      </c>
      <c r="W6960">
        <v>0.14325260000000001</v>
      </c>
      <c r="X6960">
        <v>0.88113079999999999</v>
      </c>
      <c r="Y6960">
        <v>0.64338649999999997</v>
      </c>
      <c r="Z6960">
        <v>-9.4559270000000001E-2</v>
      </c>
      <c r="AA6960">
        <v>0.75967910000000005</v>
      </c>
      <c r="AB6960">
        <v>45</v>
      </c>
      <c r="AC6960">
        <v>10.995699999999999</v>
      </c>
      <c r="AD6960">
        <v>-1.0906017710960001</v>
      </c>
      <c r="AE6960">
        <v>4.8497000000000101</v>
      </c>
      <c r="AF6960">
        <v>7.8357199995926496</v>
      </c>
      <c r="AG6960">
        <v>-1.0906017710960001</v>
      </c>
      <c r="AH6960">
        <v>8.9820233269277292</v>
      </c>
      <c r="AI6960">
        <v>95.2278372713088</v>
      </c>
      <c r="AJ6960">
        <v>48.899269585936302</v>
      </c>
      <c r="AK6960">
        <v>11.9693217510687</v>
      </c>
      <c r="AL6960">
        <v>81.7638958874618</v>
      </c>
      <c r="AM6960">
        <v>62.912647725095702</v>
      </c>
      <c r="AN6960">
        <v>1.0000000096096999</v>
      </c>
    </row>
    <row r="6961" spans="1:40" x14ac:dyDescent="0.25">
      <c r="A6961" t="str">
        <f>"20190312164201949"</f>
        <v>20190312164201949</v>
      </c>
      <c r="B6961" t="str">
        <f>"1552380121943035"</f>
        <v>1552380121943035</v>
      </c>
      <c r="C6961" t="s">
        <v>40</v>
      </c>
      <c r="D6961">
        <v>6.0347790000000003</v>
      </c>
      <c r="E6961">
        <v>0.60838490000000001</v>
      </c>
      <c r="F6961" t="s">
        <v>50</v>
      </c>
      <c r="G6961">
        <v>-172.78749999999999</v>
      </c>
      <c r="H6961" s="1">
        <v>-3.6585389999999998E-6</v>
      </c>
      <c r="I6961">
        <v>136.46690000000001</v>
      </c>
      <c r="J6961">
        <v>-184.15430000000001</v>
      </c>
      <c r="K6961">
        <v>1.0905389999999999</v>
      </c>
      <c r="L6961">
        <v>131.5788</v>
      </c>
      <c r="M6961">
        <v>0.43187759999999997</v>
      </c>
      <c r="N6961">
        <v>0</v>
      </c>
      <c r="O6961">
        <v>0.90176520000000004</v>
      </c>
      <c r="P6961">
        <v>0.78302260000000001</v>
      </c>
      <c r="Q6961">
        <v>0.148758</v>
      </c>
      <c r="R6961">
        <v>0.60394250000000005</v>
      </c>
      <c r="S6961">
        <v>2.8985439999999998</v>
      </c>
      <c r="T6961">
        <v>-0.27569909999999997</v>
      </c>
      <c r="U6961">
        <v>1.2899020000000001</v>
      </c>
      <c r="V6961">
        <v>0.45236690000000002</v>
      </c>
      <c r="W6961">
        <v>0.14355370000000001</v>
      </c>
      <c r="X6961">
        <v>0.88020259999999995</v>
      </c>
      <c r="Y6961">
        <v>0.64428039999999998</v>
      </c>
      <c r="Z6961">
        <v>-9.1817309999999999E-2</v>
      </c>
      <c r="AA6961">
        <v>0.75925769999999904</v>
      </c>
      <c r="AB6961">
        <v>45</v>
      </c>
      <c r="AC6961">
        <v>11.3668</v>
      </c>
      <c r="AD6961">
        <v>-1.0905426585389999</v>
      </c>
      <c r="AE6961">
        <v>4.8880999999999997</v>
      </c>
      <c r="AF6961">
        <v>8.0776021606020691</v>
      </c>
      <c r="AG6961">
        <v>-1.0905426585389999</v>
      </c>
      <c r="AH6961">
        <v>9.2465600004119608</v>
      </c>
      <c r="AI6961">
        <v>95.075787417212695</v>
      </c>
      <c r="AJ6961">
        <v>48.860214425800699</v>
      </c>
      <c r="AK6961">
        <v>12.326224555648601</v>
      </c>
      <c r="AL6961">
        <v>81.7464642690706</v>
      </c>
      <c r="AM6961">
        <v>62.799783254380003</v>
      </c>
      <c r="AN6961">
        <v>1.0000000470230199</v>
      </c>
    </row>
    <row r="6962" spans="1:40" x14ac:dyDescent="0.25">
      <c r="A6962" t="str">
        <f>"20190312164201961"</f>
        <v>20190312164201961</v>
      </c>
      <c r="B6962" t="str">
        <f>"1552380121952794"</f>
        <v>1552380121952794</v>
      </c>
      <c r="C6962" t="s">
        <v>40</v>
      </c>
      <c r="D6962">
        <v>6.0341940000000003</v>
      </c>
      <c r="E6962">
        <v>0.60785769999999995</v>
      </c>
      <c r="F6962" t="s">
        <v>50</v>
      </c>
      <c r="G6962">
        <v>-172.1078</v>
      </c>
      <c r="H6962" s="1">
        <v>-3.4808549999999998E-6</v>
      </c>
      <c r="I6962">
        <v>136.79300000000001</v>
      </c>
      <c r="J6962">
        <v>-184.0575</v>
      </c>
      <c r="K6962">
        <v>1.090492</v>
      </c>
      <c r="L6962">
        <v>131.7859</v>
      </c>
      <c r="M6962">
        <v>0.43934899999999999</v>
      </c>
      <c r="N6962">
        <v>0</v>
      </c>
      <c r="O6962">
        <v>0.89814839999999996</v>
      </c>
      <c r="P6962">
        <v>0.78899149999999996</v>
      </c>
      <c r="Q6962">
        <v>0.14883469999999999</v>
      </c>
      <c r="R6962">
        <v>0.59610459999999998</v>
      </c>
      <c r="S6962">
        <v>2.909897</v>
      </c>
      <c r="T6962">
        <v>-0.26342569999999998</v>
      </c>
      <c r="U6962">
        <v>1.2595209999999999</v>
      </c>
      <c r="V6962">
        <v>0.45384560000000002</v>
      </c>
      <c r="W6962">
        <v>0.1435197</v>
      </c>
      <c r="X6962">
        <v>0.87944659999999997</v>
      </c>
      <c r="Y6962">
        <v>0.64605559999999995</v>
      </c>
      <c r="Z6962">
        <v>-8.7777910000000001E-2</v>
      </c>
      <c r="AA6962">
        <v>0.75822639999999997</v>
      </c>
      <c r="AB6962">
        <v>45</v>
      </c>
      <c r="AC6962">
        <v>11.9497</v>
      </c>
      <c r="AD6962">
        <v>-1.090495480855</v>
      </c>
      <c r="AE6962">
        <v>5.0071000000000003</v>
      </c>
      <c r="AF6962">
        <v>8.4739973474096608</v>
      </c>
      <c r="AG6962">
        <v>-1.090495480855</v>
      </c>
      <c r="AH6962">
        <v>9.6801045878276799</v>
      </c>
      <c r="AI6962">
        <v>94.844996747507693</v>
      </c>
      <c r="AJ6962">
        <v>48.800983890744298</v>
      </c>
      <c r="AK6962">
        <v>12.911322018637501</v>
      </c>
      <c r="AL6962">
        <v>81.748432547208097</v>
      </c>
      <c r="AM6962">
        <v>62.7036340870714</v>
      </c>
      <c r="AN6962">
        <v>1.0000000275895</v>
      </c>
    </row>
    <row r="6963" spans="1:40" x14ac:dyDescent="0.25">
      <c r="A6963" t="str">
        <f>"20190312164201972"</f>
        <v>20190312164201972</v>
      </c>
      <c r="B6963" t="str">
        <f>"1552380121963530"</f>
        <v>1552380121963530</v>
      </c>
      <c r="C6963" t="s">
        <v>40</v>
      </c>
      <c r="D6963">
        <v>6.1145009999999997</v>
      </c>
      <c r="E6963">
        <v>0.60730059999999997</v>
      </c>
      <c r="F6963" t="s">
        <v>50</v>
      </c>
      <c r="G6963">
        <v>-171.47880000000001</v>
      </c>
      <c r="H6963" s="1">
        <v>-3.315191E-6</v>
      </c>
      <c r="I6963">
        <v>137.09139999999999</v>
      </c>
      <c r="J6963">
        <v>-183.9564</v>
      </c>
      <c r="K6963">
        <v>1.090444</v>
      </c>
      <c r="L6963">
        <v>131.99639999999999</v>
      </c>
      <c r="M6963">
        <v>0.44694270000000003</v>
      </c>
      <c r="N6963">
        <v>0</v>
      </c>
      <c r="O6963">
        <v>0.89439340000000001</v>
      </c>
      <c r="P6963">
        <v>0.79465280000000005</v>
      </c>
      <c r="Q6963">
        <v>0.1492589</v>
      </c>
      <c r="R6963">
        <v>0.58842919999999999</v>
      </c>
      <c r="S6963">
        <v>2.919632</v>
      </c>
      <c r="T6963">
        <v>-0.25311489999999998</v>
      </c>
      <c r="U6963">
        <v>1.231476</v>
      </c>
      <c r="V6963">
        <v>0.45488440000000002</v>
      </c>
      <c r="W6963">
        <v>0.14385899999999999</v>
      </c>
      <c r="X6963">
        <v>0.87885429999999998</v>
      </c>
      <c r="Y6963">
        <v>0.64697919999999998</v>
      </c>
      <c r="Z6963">
        <v>-8.4362419999999994E-2</v>
      </c>
      <c r="AA6963">
        <v>0.75782640000000001</v>
      </c>
      <c r="AB6963">
        <v>45</v>
      </c>
      <c r="AC6963">
        <v>12.477599999999899</v>
      </c>
      <c r="AD6963">
        <v>-1.0904473151909999</v>
      </c>
      <c r="AE6963">
        <v>5.09499999999999</v>
      </c>
      <c r="AF6963">
        <v>8.8262779009853798</v>
      </c>
      <c r="AG6963">
        <v>-1.0904473151909999</v>
      </c>
      <c r="AH6963">
        <v>10.069326856401201</v>
      </c>
      <c r="AI6963">
        <v>94.655715979591093</v>
      </c>
      <c r="AJ6963">
        <v>48.763784466202601</v>
      </c>
      <c r="AK6963">
        <v>13.4344184940649</v>
      </c>
      <c r="AL6963">
        <v>81.728788465350206</v>
      </c>
      <c r="AM6963">
        <v>62.634460379017398</v>
      </c>
      <c r="AN6963">
        <v>1.0000000549364201</v>
      </c>
    </row>
    <row r="6964" spans="1:40" x14ac:dyDescent="0.25">
      <c r="A6964" t="str">
        <f>"20190312164201986"</f>
        <v>20190312164201986</v>
      </c>
      <c r="B6964" t="str">
        <f>"1552380121973290"</f>
        <v>1552380121973290</v>
      </c>
      <c r="C6964" t="s">
        <v>40</v>
      </c>
      <c r="D6964">
        <v>6.2998260000000004</v>
      </c>
      <c r="E6964">
        <v>0.60675480000000004</v>
      </c>
      <c r="F6964" t="s">
        <v>50</v>
      </c>
      <c r="G6964">
        <v>-170.84440000000001</v>
      </c>
      <c r="H6964" s="1">
        <v>-3.1183479999999999E-6</v>
      </c>
      <c r="I6964">
        <v>137.3897</v>
      </c>
      <c r="J6964">
        <v>-183.84010000000001</v>
      </c>
      <c r="K6964">
        <v>1.090387</v>
      </c>
      <c r="L6964">
        <v>132.23339999999999</v>
      </c>
      <c r="M6964">
        <v>0.45548430000000001</v>
      </c>
      <c r="N6964">
        <v>0</v>
      </c>
      <c r="O6964">
        <v>0.89007329999999996</v>
      </c>
      <c r="P6964">
        <v>0.80109300000000006</v>
      </c>
      <c r="Q6964">
        <v>0.1493987</v>
      </c>
      <c r="R6964">
        <v>0.57959439999999995</v>
      </c>
      <c r="S6964">
        <v>2.9288940000000001</v>
      </c>
      <c r="T6964">
        <v>-0.2435783</v>
      </c>
      <c r="U6964">
        <v>1.204742</v>
      </c>
      <c r="V6964">
        <v>0.45620339999999998</v>
      </c>
      <c r="W6964">
        <v>0.14389869999999999</v>
      </c>
      <c r="X6964">
        <v>0.87816380000000005</v>
      </c>
      <c r="Y6964">
        <v>0.64671610000000002</v>
      </c>
      <c r="Z6964">
        <v>-8.1146120000000002E-2</v>
      </c>
      <c r="AA6964">
        <v>0.75840200000000002</v>
      </c>
      <c r="AB6964">
        <v>45</v>
      </c>
      <c r="AC6964">
        <v>12.995699999999999</v>
      </c>
      <c r="AD6964">
        <v>-1.090390118348</v>
      </c>
      <c r="AE6964">
        <v>5.1563000000000097</v>
      </c>
      <c r="AF6964">
        <v>9.1641717858925809</v>
      </c>
      <c r="AG6964">
        <v>-1.090390118348</v>
      </c>
      <c r="AH6964">
        <v>10.446876215123201</v>
      </c>
      <c r="AI6964">
        <v>94.4864502096775</v>
      </c>
      <c r="AJ6964">
        <v>48.742228051435298</v>
      </c>
      <c r="AK6964">
        <v>13.939448259728501</v>
      </c>
      <c r="AL6964">
        <v>81.726489606439998</v>
      </c>
      <c r="AM6964">
        <v>62.548261699617903</v>
      </c>
      <c r="AN6964">
        <v>1.0000000188318401</v>
      </c>
    </row>
    <row r="6965" spans="1:40" x14ac:dyDescent="0.25">
      <c r="A6965" t="str">
        <f>"20190312164202004"</f>
        <v>20190312164202004</v>
      </c>
      <c r="B6965" t="str">
        <f>"1552380121992810"</f>
        <v>1552380121992810</v>
      </c>
      <c r="C6965" t="s">
        <v>40</v>
      </c>
      <c r="D6965">
        <v>6.3616970000000004</v>
      </c>
      <c r="E6965">
        <v>0.605545</v>
      </c>
      <c r="F6965" t="s">
        <v>50</v>
      </c>
      <c r="G6965">
        <v>-170.2372</v>
      </c>
      <c r="H6965" s="1">
        <v>-2.894415E-6</v>
      </c>
      <c r="I6965">
        <v>137.66569999999999</v>
      </c>
      <c r="J6965">
        <v>-183.67769999999999</v>
      </c>
      <c r="K6965">
        <v>1.09032</v>
      </c>
      <c r="L6965">
        <v>132.55600000000001</v>
      </c>
      <c r="M6965">
        <v>0.4670899</v>
      </c>
      <c r="N6965">
        <v>0</v>
      </c>
      <c r="O6965">
        <v>0.88403759999999998</v>
      </c>
      <c r="P6965">
        <v>0.81055959999999905</v>
      </c>
      <c r="Q6965">
        <v>0.14922820000000001</v>
      </c>
      <c r="R6965">
        <v>0.56632499999999997</v>
      </c>
      <c r="S6965">
        <v>2.9394990000000001</v>
      </c>
      <c r="T6965">
        <v>-0.2356259</v>
      </c>
      <c r="U6965">
        <v>1.173889</v>
      </c>
      <c r="V6965">
        <v>0.45921709999999899</v>
      </c>
      <c r="W6965">
        <v>0.1435292</v>
      </c>
      <c r="X6965">
        <v>0.87665219999999899</v>
      </c>
      <c r="Y6965">
        <v>0.64477969999999996</v>
      </c>
      <c r="Z6965">
        <v>-7.8371140000000006E-2</v>
      </c>
      <c r="AA6965">
        <v>0.76034009999999996</v>
      </c>
      <c r="AB6965">
        <v>45</v>
      </c>
      <c r="AC6965">
        <v>13.440499999999901</v>
      </c>
      <c r="AD6965">
        <v>-1.0903228944149901</v>
      </c>
      <c r="AE6965">
        <v>5.1096999999999699</v>
      </c>
      <c r="AF6965">
        <v>9.4423726416557603</v>
      </c>
      <c r="AG6965">
        <v>-1.0903228944149901</v>
      </c>
      <c r="AH6965">
        <v>10.735008860854499</v>
      </c>
      <c r="AI6965">
        <v>94.361126893521899</v>
      </c>
      <c r="AJ6965">
        <v>48.665566182407602</v>
      </c>
      <c r="AK6965">
        <v>14.338326972160999</v>
      </c>
      <c r="AL6965">
        <v>81.747882546201595</v>
      </c>
      <c r="AM6965">
        <v>62.353084647927801</v>
      </c>
      <c r="AN6965">
        <v>1.0000000279749399</v>
      </c>
    </row>
    <row r="6966" spans="1:40" x14ac:dyDescent="0.25">
      <c r="A6966" t="str">
        <f>"20190312164202025"</f>
        <v>20190312164202025</v>
      </c>
      <c r="B6966" t="str">
        <f>"1552380122013305"</f>
        <v>1552380122013305</v>
      </c>
      <c r="C6966" t="s">
        <v>40</v>
      </c>
      <c r="D6966">
        <v>6.1333000000000002</v>
      </c>
      <c r="E6966">
        <v>0.6060297</v>
      </c>
      <c r="F6966" t="s">
        <v>41</v>
      </c>
      <c r="G6966">
        <v>-169.58690000000001</v>
      </c>
      <c r="H6966" s="1">
        <v>-5.8458139999999995E-7</v>
      </c>
      <c r="I6966">
        <v>137.95609999999999</v>
      </c>
      <c r="J6966">
        <v>-183.47489999999999</v>
      </c>
      <c r="K6966">
        <v>1.0902510000000001</v>
      </c>
      <c r="L6966">
        <v>132.94470000000001</v>
      </c>
      <c r="M6966">
        <v>0.48104770000000002</v>
      </c>
      <c r="N6966">
        <v>0</v>
      </c>
      <c r="O6966">
        <v>0.87651999999999997</v>
      </c>
      <c r="P6966">
        <v>0.82149019999999995</v>
      </c>
      <c r="Q6966">
        <v>0.14869260000000001</v>
      </c>
      <c r="R6966">
        <v>0.55049459999999995</v>
      </c>
      <c r="S6966">
        <v>2.9526059999999998</v>
      </c>
      <c r="T6966">
        <v>-0.22846710000000001</v>
      </c>
      <c r="U6966">
        <v>1.1315459999999999</v>
      </c>
      <c r="V6966">
        <v>0.46240799999999999</v>
      </c>
      <c r="W6966">
        <v>0.14278489999999999</v>
      </c>
      <c r="X6966">
        <v>0.87509509999999902</v>
      </c>
      <c r="Y6966">
        <v>0.64350160000000001</v>
      </c>
      <c r="Z6966">
        <v>-7.5871450000000007E-2</v>
      </c>
      <c r="AA6966">
        <v>0.76167530000000006</v>
      </c>
      <c r="AB6966">
        <v>45</v>
      </c>
      <c r="AC6966">
        <v>13.8879999999999</v>
      </c>
      <c r="AD6966">
        <v>-1.0902515845814</v>
      </c>
      <c r="AE6966">
        <v>5.0113999999999796</v>
      </c>
      <c r="AF6966">
        <v>9.7109290646268906</v>
      </c>
      <c r="AG6966">
        <v>-1.0902515845814</v>
      </c>
      <c r="AH6966">
        <v>11.015014181803499</v>
      </c>
      <c r="AI6966">
        <v>94.246156232294396</v>
      </c>
      <c r="AJ6966">
        <v>48.600328482504501</v>
      </c>
      <c r="AK6966">
        <v>14.7248541331053</v>
      </c>
      <c r="AL6966">
        <v>81.790971878239105</v>
      </c>
      <c r="AM6966">
        <v>62.1476304378359</v>
      </c>
      <c r="AN6966">
        <v>1.0000000600879999</v>
      </c>
    </row>
    <row r="6967" spans="1:40" x14ac:dyDescent="0.25">
      <c r="A6967" t="str">
        <f>"20190312164202036"</f>
        <v>20190312164202036</v>
      </c>
      <c r="B6967" t="str">
        <f>"1552380122032826"</f>
        <v>1552380122032826</v>
      </c>
      <c r="C6967" t="s">
        <v>40</v>
      </c>
      <c r="D6967">
        <v>6.1470159999999998</v>
      </c>
      <c r="E6967">
        <v>0.60721389999999997</v>
      </c>
      <c r="F6967" t="s">
        <v>41</v>
      </c>
      <c r="G6967">
        <v>-169.3638</v>
      </c>
      <c r="H6967" s="1">
        <v>-6.5373300000000005E-7</v>
      </c>
      <c r="I6967">
        <v>138.01830000000001</v>
      </c>
      <c r="J6967">
        <v>-183.364</v>
      </c>
      <c r="K6967">
        <v>1.090219</v>
      </c>
      <c r="L6967">
        <v>133.1523</v>
      </c>
      <c r="M6967">
        <v>0.4884812</v>
      </c>
      <c r="N6967">
        <v>0</v>
      </c>
      <c r="O6967">
        <v>0.87239880000000003</v>
      </c>
      <c r="P6967">
        <v>0.82687559999999904</v>
      </c>
      <c r="Q6967">
        <v>0.148671</v>
      </c>
      <c r="R6967">
        <v>0.54237780000000002</v>
      </c>
      <c r="S6967">
        <v>2.97641</v>
      </c>
      <c r="T6967">
        <v>-0.22996279999999999</v>
      </c>
      <c r="U6967">
        <v>1.07016</v>
      </c>
      <c r="V6967">
        <v>0.46360119999999999</v>
      </c>
      <c r="W6967">
        <v>0.142682</v>
      </c>
      <c r="X6967">
        <v>0.87448029999999999</v>
      </c>
      <c r="Y6967">
        <v>0.65276909999999999</v>
      </c>
      <c r="Z6967">
        <v>-7.6488730000000005E-2</v>
      </c>
      <c r="AA6967">
        <v>0.75368570000000001</v>
      </c>
      <c r="AB6967">
        <v>45</v>
      </c>
      <c r="AC6967">
        <v>14.0002</v>
      </c>
      <c r="AD6967">
        <v>-1.090219653733</v>
      </c>
      <c r="AE6967">
        <v>4.8660000000000103</v>
      </c>
      <c r="AF6967">
        <v>9.7853728428990898</v>
      </c>
      <c r="AG6967">
        <v>-1.090219653733</v>
      </c>
      <c r="AH6967">
        <v>11.0259707261038</v>
      </c>
      <c r="AI6967">
        <v>94.2295228719059</v>
      </c>
      <c r="AJ6967">
        <v>48.411457077143702</v>
      </c>
      <c r="AK6967">
        <v>14.782223480276199</v>
      </c>
      <c r="AL6967">
        <v>81.796928193342893</v>
      </c>
      <c r="AM6967">
        <v>62.069932810795201</v>
      </c>
      <c r="AN6967">
        <v>1.0000000104267599</v>
      </c>
    </row>
    <row r="6968" spans="1:40" x14ac:dyDescent="0.25">
      <c r="A6968" t="str">
        <f>"20190312164202048"</f>
        <v>20190312164202048</v>
      </c>
      <c r="B6968" t="str">
        <f>"1552380122042585"</f>
        <v>1552380122042585</v>
      </c>
      <c r="C6968" t="s">
        <v>40</v>
      </c>
      <c r="D6968">
        <v>6.0229400000000002</v>
      </c>
      <c r="E6968">
        <v>0.60746069999999996</v>
      </c>
      <c r="F6968" t="s">
        <v>41</v>
      </c>
      <c r="G6968">
        <v>-169.6037</v>
      </c>
      <c r="H6968" s="1">
        <v>-5.9185730000000001E-7</v>
      </c>
      <c r="I6968">
        <v>137.90450000000001</v>
      </c>
      <c r="J6968">
        <v>-183.2567</v>
      </c>
      <c r="K6968">
        <v>1.090195</v>
      </c>
      <c r="L6968">
        <v>133.34700000000001</v>
      </c>
      <c r="M6968">
        <v>0.49545850000000002</v>
      </c>
      <c r="N6968">
        <v>0</v>
      </c>
      <c r="O6968">
        <v>0.86845490000000003</v>
      </c>
      <c r="P6968">
        <v>0.832192499999999</v>
      </c>
      <c r="Q6968">
        <v>0.14863090000000001</v>
      </c>
      <c r="R6968">
        <v>0.53419519999999998</v>
      </c>
      <c r="S6968">
        <v>2.9927980000000001</v>
      </c>
      <c r="T6968">
        <v>-0.23711750000000001</v>
      </c>
      <c r="U6968">
        <v>1.0336000000000001</v>
      </c>
      <c r="V6968">
        <v>0.46523199999999998</v>
      </c>
      <c r="W6968">
        <v>0.14254</v>
      </c>
      <c r="X6968">
        <v>0.873637</v>
      </c>
      <c r="Y6968">
        <v>0.65602830000000001</v>
      </c>
      <c r="Z6968">
        <v>-7.8769110000000003E-2</v>
      </c>
      <c r="AA6968">
        <v>0.75061460000000002</v>
      </c>
      <c r="AB6968">
        <v>45</v>
      </c>
      <c r="AC6968">
        <v>13.652999999999899</v>
      </c>
      <c r="AD6968">
        <v>-1.0901955918573001</v>
      </c>
      <c r="AE6968">
        <v>4.5575000000000001</v>
      </c>
      <c r="AF6968">
        <v>9.5456744374693105</v>
      </c>
      <c r="AG6968">
        <v>-1.0901955918573001</v>
      </c>
      <c r="AH6968">
        <v>10.6629527644339</v>
      </c>
      <c r="AI6968">
        <v>94.356167423969694</v>
      </c>
      <c r="AJ6968">
        <v>48.164501315775198</v>
      </c>
      <c r="AK6968">
        <v>14.3529435500599</v>
      </c>
      <c r="AL6968">
        <v>81.805148428220207</v>
      </c>
      <c r="AM6968">
        <v>61.963661706576197</v>
      </c>
      <c r="AN6968">
        <v>1.0000000365964901</v>
      </c>
    </row>
    <row r="6969" spans="1:40" x14ac:dyDescent="0.25">
      <c r="A6969" t="str">
        <f>"20190312164202059"</f>
        <v>20190312164202059</v>
      </c>
      <c r="B6969" t="str">
        <f>"1552380122053322"</f>
        <v>1552380122053322</v>
      </c>
      <c r="C6969" t="s">
        <v>40</v>
      </c>
      <c r="D6969">
        <v>6.0530189999999999</v>
      </c>
      <c r="E6969">
        <v>0.60758959999999995</v>
      </c>
      <c r="F6969" t="s">
        <v>41</v>
      </c>
      <c r="G6969">
        <v>-169.1542</v>
      </c>
      <c r="H6969" s="1">
        <v>-7.2672310000000001E-7</v>
      </c>
      <c r="I6969">
        <v>138.04640000000001</v>
      </c>
      <c r="J6969">
        <v>-183.15090000000001</v>
      </c>
      <c r="K6969">
        <v>1.090176</v>
      </c>
      <c r="L6969">
        <v>133.53790000000001</v>
      </c>
      <c r="M6969">
        <v>0.50227739999999998</v>
      </c>
      <c r="N6969">
        <v>0</v>
      </c>
      <c r="O6969">
        <v>0.86452870000000004</v>
      </c>
      <c r="P6969">
        <v>0.83719059999999901</v>
      </c>
      <c r="Q6969">
        <v>0.14836150000000001</v>
      </c>
      <c r="R6969">
        <v>0.52640359999999997</v>
      </c>
      <c r="S6969">
        <v>3.0038450000000001</v>
      </c>
      <c r="T6969">
        <v>-0.23221220000000001</v>
      </c>
      <c r="U6969">
        <v>1.0009920000000001</v>
      </c>
      <c r="V6969">
        <v>0.46655039999999998</v>
      </c>
      <c r="W6969">
        <v>0.14218649999999999</v>
      </c>
      <c r="X6969">
        <v>0.87299130000000003</v>
      </c>
      <c r="Y6969">
        <v>0.65839539999999996</v>
      </c>
      <c r="Z6969">
        <v>-7.7112790000000001E-2</v>
      </c>
      <c r="AA6969">
        <v>0.74871160000000003</v>
      </c>
      <c r="AB6969">
        <v>44</v>
      </c>
      <c r="AC6969">
        <v>13.996700000000001</v>
      </c>
      <c r="AD6969">
        <v>-1.0901767267231</v>
      </c>
      <c r="AE6969">
        <v>4.50849999999999</v>
      </c>
      <c r="AF6969">
        <v>9.7837696211819996</v>
      </c>
      <c r="AG6969">
        <v>-1.0901767267231</v>
      </c>
      <c r="AH6969">
        <v>10.869890463467</v>
      </c>
      <c r="AI6969">
        <v>94.2631962597724</v>
      </c>
      <c r="AJ6969">
        <v>48.0102592341632</v>
      </c>
      <c r="AK6969">
        <v>14.665099794533401</v>
      </c>
      <c r="AL6969">
        <v>81.825610960957306</v>
      </c>
      <c r="AM6969">
        <v>61.878735330801199</v>
      </c>
      <c r="AN6969">
        <v>1.0000000431990399</v>
      </c>
    </row>
    <row r="6970" spans="1:40" x14ac:dyDescent="0.25">
      <c r="A6970" t="str">
        <f>"20190312164202069"</f>
        <v>20190312164202069</v>
      </c>
      <c r="B6970" t="str">
        <f>"1552380122063082"</f>
        <v>1552380122063082</v>
      </c>
      <c r="C6970" t="s">
        <v>40</v>
      </c>
      <c r="D6970">
        <v>6.0452690000000002</v>
      </c>
      <c r="E6970">
        <v>0.60751980000000005</v>
      </c>
      <c r="F6970" t="s">
        <v>41</v>
      </c>
      <c r="G6970">
        <v>-168.9419</v>
      </c>
      <c r="H6970" s="1">
        <v>-7.894408E-7</v>
      </c>
      <c r="I6970">
        <v>138.11709999999999</v>
      </c>
      <c r="J6970">
        <v>-183.03829999999999</v>
      </c>
      <c r="K6970">
        <v>1.090163</v>
      </c>
      <c r="L6970">
        <v>133.7347</v>
      </c>
      <c r="M6970">
        <v>0.50931249999999995</v>
      </c>
      <c r="N6970">
        <v>0</v>
      </c>
      <c r="O6970">
        <v>0.86040269999999996</v>
      </c>
      <c r="P6970">
        <v>0.84188130000000005</v>
      </c>
      <c r="Q6970">
        <v>0.14812790000000001</v>
      </c>
      <c r="R6970">
        <v>0.51893540000000005</v>
      </c>
      <c r="S6970">
        <v>3.0137019999999999</v>
      </c>
      <c r="T6970">
        <v>-0.23122480000000001</v>
      </c>
      <c r="U6970">
        <v>0.97123720000000002</v>
      </c>
      <c r="V6970">
        <v>0.46722780000000003</v>
      </c>
      <c r="W6970">
        <v>0.14190749999999999</v>
      </c>
      <c r="X6970">
        <v>0.87267430000000001</v>
      </c>
      <c r="Y6970">
        <v>0.65971119999999905</v>
      </c>
      <c r="Z6970">
        <v>-7.6714180000000007E-2</v>
      </c>
      <c r="AA6970">
        <v>0.74759350000000002</v>
      </c>
      <c r="AB6970">
        <v>44</v>
      </c>
      <c r="AC6970">
        <v>14.0963999999999</v>
      </c>
      <c r="AD6970">
        <v>-1.0901637894408001</v>
      </c>
      <c r="AE6970">
        <v>4.3823999999999899</v>
      </c>
      <c r="AF6970">
        <v>9.8444044725356701</v>
      </c>
      <c r="AG6970">
        <v>-1.0901637894408001</v>
      </c>
      <c r="AH6970">
        <v>10.892383278114901</v>
      </c>
      <c r="AI6970">
        <v>94.246564842368699</v>
      </c>
      <c r="AJ6970">
        <v>47.893105877787796</v>
      </c>
      <c r="AK6970">
        <v>14.7222542426099</v>
      </c>
      <c r="AL6970">
        <v>81.8417598400152</v>
      </c>
      <c r="AM6970">
        <v>61.835506562705497</v>
      </c>
      <c r="AN6970">
        <v>0.99999999476478996</v>
      </c>
    </row>
    <row r="6971" spans="1:40" x14ac:dyDescent="0.25">
      <c r="A6971" t="str">
        <f>"20190312164202082"</f>
        <v>20190312164202082</v>
      </c>
      <c r="B6971" t="str">
        <f>"1552380122072843"</f>
        <v>1552380122072843</v>
      </c>
      <c r="C6971" t="s">
        <v>40</v>
      </c>
      <c r="D6971">
        <v>6.0847220000000002</v>
      </c>
      <c r="E6971">
        <v>0.60739399999999999</v>
      </c>
      <c r="F6971" t="s">
        <v>41</v>
      </c>
      <c r="G6971">
        <v>-168.73750000000001</v>
      </c>
      <c r="H6971" s="1">
        <v>-8.4526980000000001E-7</v>
      </c>
      <c r="I6971">
        <v>138.20230000000001</v>
      </c>
      <c r="J6971">
        <v>-182.92269999999999</v>
      </c>
      <c r="K6971">
        <v>1.090141</v>
      </c>
      <c r="L6971">
        <v>133.9349</v>
      </c>
      <c r="M6971">
        <v>0.51644789999999996</v>
      </c>
      <c r="N6971">
        <v>0</v>
      </c>
      <c r="O6971">
        <v>0.85613850000000002</v>
      </c>
      <c r="P6971">
        <v>0.84669179999999999</v>
      </c>
      <c r="Q6971">
        <v>0.14744779999999999</v>
      </c>
      <c r="R6971">
        <v>0.51124579999999997</v>
      </c>
      <c r="S6971">
        <v>3.022049</v>
      </c>
      <c r="T6971">
        <v>-0.23037340000000001</v>
      </c>
      <c r="U6971">
        <v>0.94407649999999999</v>
      </c>
      <c r="V6971">
        <v>0.4679989</v>
      </c>
      <c r="W6971">
        <v>0.14117769999999999</v>
      </c>
      <c r="X6971">
        <v>0.87237940000000003</v>
      </c>
      <c r="Y6971">
        <v>0.66021390000000002</v>
      </c>
      <c r="Z6971">
        <v>-7.6340210000000006E-2</v>
      </c>
      <c r="AA6971">
        <v>0.74718799999999996</v>
      </c>
      <c r="AB6971">
        <v>44</v>
      </c>
      <c r="AC6971">
        <v>14.185199999999901</v>
      </c>
      <c r="AD6971">
        <v>-1.0901418452698</v>
      </c>
      <c r="AE6971">
        <v>4.2674000000000003</v>
      </c>
      <c r="AF6971">
        <v>9.8885840945117796</v>
      </c>
      <c r="AG6971">
        <v>-1.0901418452698</v>
      </c>
      <c r="AH6971">
        <v>10.921943886597001</v>
      </c>
      <c r="AI6971">
        <v>94.231673141341901</v>
      </c>
      <c r="AJ6971">
        <v>47.842722910920997</v>
      </c>
      <c r="AK6971">
        <v>14.773671273553299</v>
      </c>
      <c r="AL6971">
        <v>81.883999324247796</v>
      </c>
      <c r="AM6971">
        <v>61.7881069772926</v>
      </c>
      <c r="AN6971">
        <v>0.999999965461429</v>
      </c>
    </row>
    <row r="6972" spans="1:40" x14ac:dyDescent="0.25">
      <c r="A6972" t="str">
        <f>"20190312164202093"</f>
        <v>20190312164202093</v>
      </c>
      <c r="B6972" t="str">
        <f>"1552380122082602"</f>
        <v>1552380122082602</v>
      </c>
      <c r="C6972" t="s">
        <v>40</v>
      </c>
      <c r="D6972">
        <v>6.0327190000000002</v>
      </c>
      <c r="E6972">
        <v>0.60740760000000005</v>
      </c>
      <c r="F6972" t="s">
        <v>41</v>
      </c>
      <c r="G6972">
        <v>-168.5539</v>
      </c>
      <c r="H6972" s="1">
        <v>-9.0181759999999999E-7</v>
      </c>
      <c r="I6972">
        <v>138.27590000000001</v>
      </c>
      <c r="J6972">
        <v>-182.8047</v>
      </c>
      <c r="K6972">
        <v>1.090117</v>
      </c>
      <c r="L6972">
        <v>134.1345</v>
      </c>
      <c r="M6972">
        <v>0.52355459999999998</v>
      </c>
      <c r="N6972">
        <v>0</v>
      </c>
      <c r="O6972">
        <v>0.85181079999999998</v>
      </c>
      <c r="P6972">
        <v>0.85125790000000001</v>
      </c>
      <c r="Q6972">
        <v>0.14657800000000001</v>
      </c>
      <c r="R6972">
        <v>0.50386009999999903</v>
      </c>
      <c r="S6972">
        <v>3.0304259999999998</v>
      </c>
      <c r="T6972">
        <v>-0.22991510000000001</v>
      </c>
      <c r="U6972">
        <v>0.91552730000000004</v>
      </c>
      <c r="V6972">
        <v>0.46842279999999997</v>
      </c>
      <c r="W6972">
        <v>0.14027979999999901</v>
      </c>
      <c r="X6972">
        <v>0.87229679999999998</v>
      </c>
      <c r="Y6972">
        <v>0.66101549999999998</v>
      </c>
      <c r="Z6972">
        <v>-7.6103080000000004E-2</v>
      </c>
      <c r="AA6972">
        <v>0.74650319999999903</v>
      </c>
      <c r="AB6972">
        <v>44</v>
      </c>
      <c r="AC6972">
        <v>14.2507999999999</v>
      </c>
      <c r="AD6972">
        <v>-1.0901179018175999</v>
      </c>
      <c r="AE6972">
        <v>4.1414</v>
      </c>
      <c r="AF6972">
        <v>9.9187570212666696</v>
      </c>
      <c r="AG6972">
        <v>-1.0901179018175999</v>
      </c>
      <c r="AH6972">
        <v>10.931474680768</v>
      </c>
      <c r="AI6972">
        <v>94.223775431616005</v>
      </c>
      <c r="AJ6972">
        <v>47.780730863608603</v>
      </c>
      <c r="AK6972">
        <v>14.8009201262307</v>
      </c>
      <c r="AL6972">
        <v>81.935962814166899</v>
      </c>
      <c r="AM6972">
        <v>61.764231182449997</v>
      </c>
      <c r="AN6972">
        <v>1.0000000245690599</v>
      </c>
    </row>
    <row r="6973" spans="1:40" x14ac:dyDescent="0.25">
      <c r="A6973" t="str">
        <f>"20190312164202104"</f>
        <v>20190312164202104</v>
      </c>
      <c r="B6973" t="str">
        <f>"1552380122093338"</f>
        <v>1552380122093338</v>
      </c>
      <c r="C6973" t="s">
        <v>40</v>
      </c>
      <c r="D6973">
        <v>6.0515970000000001</v>
      </c>
      <c r="E6973">
        <v>0.60727019999999998</v>
      </c>
      <c r="F6973" t="s">
        <v>41</v>
      </c>
      <c r="G6973">
        <v>-168.31139999999999</v>
      </c>
      <c r="H6973" s="1">
        <v>-1.0008330000000001E-6</v>
      </c>
      <c r="I6973">
        <v>138.3639</v>
      </c>
      <c r="J6973">
        <v>-182.69130000000001</v>
      </c>
      <c r="K6973">
        <v>1.0900939999999999</v>
      </c>
      <c r="L6973">
        <v>134.3228</v>
      </c>
      <c r="M6973">
        <v>0.53025630000000001</v>
      </c>
      <c r="N6973">
        <v>0</v>
      </c>
      <c r="O6973">
        <v>0.84765489999999999</v>
      </c>
      <c r="P6973">
        <v>0.85555340000000002</v>
      </c>
      <c r="Q6973">
        <v>0.1456189</v>
      </c>
      <c r="R6973">
        <v>0.49681340000000002</v>
      </c>
      <c r="S6973">
        <v>3.0386959999999998</v>
      </c>
      <c r="T6973">
        <v>-0.2285565</v>
      </c>
      <c r="U6973">
        <v>0.88674929999999996</v>
      </c>
      <c r="V6973">
        <v>0.46884599999999998</v>
      </c>
      <c r="W6973">
        <v>0.13929439999999901</v>
      </c>
      <c r="X6973">
        <v>0.87222730000000004</v>
      </c>
      <c r="Y6973">
        <v>0.66221109999999905</v>
      </c>
      <c r="Z6973">
        <v>-7.5580359999999999E-2</v>
      </c>
      <c r="AA6973">
        <v>0.74549589999999999</v>
      </c>
      <c r="AB6973">
        <v>44</v>
      </c>
      <c r="AC6973">
        <v>14.379899999999999</v>
      </c>
      <c r="AD6973">
        <v>-1.0900950008329999</v>
      </c>
      <c r="AE6973">
        <v>4.0411000000000001</v>
      </c>
      <c r="AF6973">
        <v>9.9946963183124407</v>
      </c>
      <c r="AG6973">
        <v>-1.0900950008329999</v>
      </c>
      <c r="AH6973">
        <v>10.993648053851899</v>
      </c>
      <c r="AI6973">
        <v>94.196188535439305</v>
      </c>
      <c r="AJ6973">
        <v>47.724967564784599</v>
      </c>
      <c r="AK6973">
        <v>14.897736711933501</v>
      </c>
      <c r="AL6973">
        <v>81.992981572404105</v>
      </c>
      <c r="AM6973">
        <v>61.740756095416899</v>
      </c>
      <c r="AN6973">
        <v>0.99999998222632402</v>
      </c>
    </row>
    <row r="6974" spans="1:40" x14ac:dyDescent="0.25">
      <c r="A6974" t="str">
        <f>"20190312164202114"</f>
        <v>20190312164202114</v>
      </c>
      <c r="B6974" t="str">
        <f>"1552380122103099"</f>
        <v>1552380122103099</v>
      </c>
      <c r="C6974" t="s">
        <v>40</v>
      </c>
      <c r="D6974">
        <v>6.0041370000000001</v>
      </c>
      <c r="E6974">
        <v>0.60731769999999996</v>
      </c>
      <c r="F6974" t="s">
        <v>41</v>
      </c>
      <c r="G6974">
        <v>-168.1754</v>
      </c>
      <c r="H6974" s="1">
        <v>-1.0547159999999899E-6</v>
      </c>
      <c r="I6974">
        <v>138.42259999999999</v>
      </c>
      <c r="J6974">
        <v>-182.57470000000001</v>
      </c>
      <c r="K6974">
        <v>1.090069</v>
      </c>
      <c r="L6974">
        <v>134.5136</v>
      </c>
      <c r="M6974">
        <v>0.53703159999999905</v>
      </c>
      <c r="N6974">
        <v>0</v>
      </c>
      <c r="O6974">
        <v>0.84337850000000003</v>
      </c>
      <c r="P6974">
        <v>0.859440599999999</v>
      </c>
      <c r="Q6974">
        <v>0.144765899999999</v>
      </c>
      <c r="R6974">
        <v>0.49031069999999999</v>
      </c>
      <c r="S6974">
        <v>3.0458829999999999</v>
      </c>
      <c r="T6974">
        <v>-0.22873589999999999</v>
      </c>
      <c r="U6974">
        <v>0.86026000000000002</v>
      </c>
      <c r="V6974">
        <v>0.46855720000000001</v>
      </c>
      <c r="W6974">
        <v>0.13845579999999999</v>
      </c>
      <c r="X6974">
        <v>0.87251599999999996</v>
      </c>
      <c r="Y6974">
        <v>0.6626841</v>
      </c>
      <c r="Z6974">
        <v>-7.5540919999999998E-2</v>
      </c>
      <c r="AA6974">
        <v>0.74507939999999995</v>
      </c>
      <c r="AB6974">
        <v>44</v>
      </c>
      <c r="AC6974">
        <v>14.3993</v>
      </c>
      <c r="AD6974">
        <v>-1.090070054716</v>
      </c>
      <c r="AE6974">
        <v>3.90899999999999</v>
      </c>
      <c r="AF6974">
        <v>9.9930210929439998</v>
      </c>
      <c r="AG6974">
        <v>-1.090070054716</v>
      </c>
      <c r="AH6974">
        <v>10.9727862526049</v>
      </c>
      <c r="AI6974">
        <v>94.200757449158303</v>
      </c>
      <c r="AJ6974">
        <v>47.675575368460898</v>
      </c>
      <c r="AK6974">
        <v>14.881221772205601</v>
      </c>
      <c r="AL6974">
        <v>82.041500219783302</v>
      </c>
      <c r="AM6974">
        <v>61.763380523499002</v>
      </c>
      <c r="AN6974">
        <v>1.0000000142407399</v>
      </c>
    </row>
    <row r="6975" spans="1:40" x14ac:dyDescent="0.25">
      <c r="A6975" t="str">
        <f>"20190312164202126"</f>
        <v>20190312164202126</v>
      </c>
      <c r="B6975" t="str">
        <f>"1552380122122619"</f>
        <v>1552380122122619</v>
      </c>
      <c r="C6975" t="s">
        <v>40</v>
      </c>
      <c r="D6975">
        <v>6.0358210000000003</v>
      </c>
      <c r="E6975">
        <v>0.60722619999999905</v>
      </c>
      <c r="F6975" t="s">
        <v>41</v>
      </c>
      <c r="G6975">
        <v>-167.97200000000001</v>
      </c>
      <c r="H6975" s="1">
        <v>-1.1362649999999999E-6</v>
      </c>
      <c r="I6975">
        <v>138.50479999999999</v>
      </c>
      <c r="J6975">
        <v>-182.46430000000001</v>
      </c>
      <c r="K6975">
        <v>1.090055</v>
      </c>
      <c r="L6975">
        <v>134.69</v>
      </c>
      <c r="M6975">
        <v>0.54329899999999998</v>
      </c>
      <c r="N6975">
        <v>0</v>
      </c>
      <c r="O6975">
        <v>0.8393545</v>
      </c>
      <c r="P6975">
        <v>0.86321899999999996</v>
      </c>
      <c r="Q6975">
        <v>0.14331089999999999</v>
      </c>
      <c r="R6975">
        <v>0.48406070000000001</v>
      </c>
      <c r="S6975">
        <v>3.0529790000000001</v>
      </c>
      <c r="T6975">
        <v>-0.2279004</v>
      </c>
      <c r="U6975">
        <v>0.83444209999999996</v>
      </c>
      <c r="V6975">
        <v>0.46852880000000002</v>
      </c>
      <c r="W6975">
        <v>0.13700300000000001</v>
      </c>
      <c r="X6975">
        <v>0.87276049999999905</v>
      </c>
      <c r="Y6975">
        <v>0.6634485</v>
      </c>
      <c r="Z6975">
        <v>-7.5173279999999995E-2</v>
      </c>
      <c r="AA6975">
        <v>0.74443609999999905</v>
      </c>
      <c r="AB6975">
        <v>44</v>
      </c>
      <c r="AC6975">
        <v>14.4923</v>
      </c>
      <c r="AD6975">
        <v>-1.0900561362649901</v>
      </c>
      <c r="AE6975">
        <v>3.8147999999999902</v>
      </c>
      <c r="AF6975">
        <v>10.040045218856401</v>
      </c>
      <c r="AG6975">
        <v>-1.0900561362649901</v>
      </c>
      <c r="AH6975">
        <v>11.019039595837199</v>
      </c>
      <c r="AI6975">
        <v>94.182211109419498</v>
      </c>
      <c r="AJ6975">
        <v>47.661648935986499</v>
      </c>
      <c r="AK6975">
        <v>14.9469048298141</v>
      </c>
      <c r="AL6975">
        <v>82.125540131439905</v>
      </c>
      <c r="AM6975">
        <v>61.771518593009198</v>
      </c>
      <c r="AN6975">
        <v>0.99999997439934396</v>
      </c>
    </row>
    <row r="6976" spans="1:40" x14ac:dyDescent="0.25">
      <c r="A6976" t="str">
        <f>"20190312164202137"</f>
        <v>20190312164202137</v>
      </c>
      <c r="B6976" t="str">
        <f>"1552380122133354"</f>
        <v>1552380122133354</v>
      </c>
      <c r="C6976" t="s">
        <v>40</v>
      </c>
      <c r="D6976">
        <v>6.0474809999999897</v>
      </c>
      <c r="E6976">
        <v>0.60708479999999998</v>
      </c>
      <c r="F6976" t="s">
        <v>41</v>
      </c>
      <c r="G6976">
        <v>-167.88749999999999</v>
      </c>
      <c r="H6976" s="1">
        <v>-1.1678380000000001E-6</v>
      </c>
      <c r="I6976">
        <v>138.5521</v>
      </c>
      <c r="J6976">
        <v>-182.34059999999999</v>
      </c>
      <c r="K6976">
        <v>1.0900449999999999</v>
      </c>
      <c r="L6976">
        <v>134.8861</v>
      </c>
      <c r="M6976">
        <v>0.5502437</v>
      </c>
      <c r="N6976">
        <v>0</v>
      </c>
      <c r="O6976">
        <v>0.83481810000000001</v>
      </c>
      <c r="P6976">
        <v>0.86723609999999896</v>
      </c>
      <c r="Q6976">
        <v>0.14372289999999999</v>
      </c>
      <c r="R6976">
        <v>0.47670240000000003</v>
      </c>
      <c r="S6976">
        <v>3.0588839999999999</v>
      </c>
      <c r="T6976">
        <v>-0.22874330000000001</v>
      </c>
      <c r="U6976">
        <v>0.8104401</v>
      </c>
      <c r="V6976">
        <v>0.46867629999999999</v>
      </c>
      <c r="W6976">
        <v>0.13740450000000001</v>
      </c>
      <c r="X6976">
        <v>0.87261819999999901</v>
      </c>
      <c r="Y6976">
        <v>0.66305239999999999</v>
      </c>
      <c r="Z6976">
        <v>-7.5315179999999995E-2</v>
      </c>
      <c r="AA6976">
        <v>0.74477459999999995</v>
      </c>
      <c r="AB6976">
        <v>44</v>
      </c>
      <c r="AC6976">
        <v>14.453099999999999</v>
      </c>
      <c r="AD6976">
        <v>-1.090046167838</v>
      </c>
      <c r="AE6976">
        <v>3.6659999999999902</v>
      </c>
      <c r="AF6976">
        <v>9.9966522081933196</v>
      </c>
      <c r="AG6976">
        <v>-1.090046167838</v>
      </c>
      <c r="AH6976">
        <v>10.9563275917062</v>
      </c>
      <c r="AI6976">
        <v>94.203408050605503</v>
      </c>
      <c r="AJ6976">
        <v>47.6223930542833</v>
      </c>
      <c r="AK6976">
        <v>14.871528849327399</v>
      </c>
      <c r="AL6976">
        <v>82.1023164220572</v>
      </c>
      <c r="AM6976">
        <v>61.760107974429197</v>
      </c>
      <c r="AN6976">
        <v>0.99999999688658903</v>
      </c>
    </row>
    <row r="6977" spans="1:40" x14ac:dyDescent="0.25">
      <c r="A6977" t="str">
        <f>"20190312164202148"</f>
        <v>20190312164202148</v>
      </c>
      <c r="B6977" t="str">
        <f>"1552380122143114"</f>
        <v>1552380122143114</v>
      </c>
      <c r="C6977" t="s">
        <v>40</v>
      </c>
      <c r="D6977">
        <v>6.3080339999999904</v>
      </c>
      <c r="E6977">
        <v>0.6069021</v>
      </c>
      <c r="F6977" t="s">
        <v>41</v>
      </c>
      <c r="G6977">
        <v>-167.51159999999999</v>
      </c>
      <c r="H6977" s="1">
        <v>-1.3227249999999999E-6</v>
      </c>
      <c r="I6977">
        <v>138.6806</v>
      </c>
      <c r="J6977">
        <v>-182.21870000000001</v>
      </c>
      <c r="K6977">
        <v>1.090039</v>
      </c>
      <c r="L6977">
        <v>135.0736</v>
      </c>
      <c r="M6977">
        <v>0.55689469999999996</v>
      </c>
      <c r="N6977">
        <v>0</v>
      </c>
      <c r="O6977">
        <v>0.83039589999999996</v>
      </c>
      <c r="P6977">
        <v>0.87115469999999895</v>
      </c>
      <c r="Q6977">
        <v>0.1443654</v>
      </c>
      <c r="R6977">
        <v>0.469306</v>
      </c>
      <c r="S6977">
        <v>3.0654300000000001</v>
      </c>
      <c r="T6977">
        <v>-0.22533300000000001</v>
      </c>
      <c r="U6977">
        <v>0.78439329999999996</v>
      </c>
      <c r="V6977">
        <v>0.46907569999999998</v>
      </c>
      <c r="W6977">
        <v>0.13802420000000001</v>
      </c>
      <c r="X6977">
        <v>0.87230580000000002</v>
      </c>
      <c r="Y6977">
        <v>0.66350540000000002</v>
      </c>
      <c r="Z6977">
        <v>-7.4081179999999996E-2</v>
      </c>
      <c r="AA6977">
        <v>0.74449489999999996</v>
      </c>
      <c r="AB6977">
        <v>44</v>
      </c>
      <c r="AC6977">
        <v>14.707100000000001</v>
      </c>
      <c r="AD6977">
        <v>-1.090040322725</v>
      </c>
      <c r="AE6977">
        <v>3.60699999999999</v>
      </c>
      <c r="AF6977">
        <v>10.1529745402297</v>
      </c>
      <c r="AG6977">
        <v>-1.090040322725</v>
      </c>
      <c r="AH6977">
        <v>11.1296143208247</v>
      </c>
      <c r="AI6977">
        <v>94.138498051508506</v>
      </c>
      <c r="AJ6977">
        <v>47.627411020276703</v>
      </c>
      <c r="AK6977">
        <v>15.104283989981999</v>
      </c>
      <c r="AL6977">
        <v>82.066469096326998</v>
      </c>
      <c r="AM6977">
        <v>61.731201891719799</v>
      </c>
      <c r="AN6977">
        <v>1.00000005041488</v>
      </c>
    </row>
    <row r="6978" spans="1:40" x14ac:dyDescent="0.25">
      <c r="A6978" t="str">
        <f>"20190312164202160"</f>
        <v>20190312164202160</v>
      </c>
      <c r="B6978" t="str">
        <f>"1552380122152874"</f>
        <v>1552380122152874</v>
      </c>
      <c r="C6978" t="s">
        <v>40</v>
      </c>
      <c r="D6978">
        <v>6.3262019999999897</v>
      </c>
      <c r="E6978">
        <v>0.60673940000000004</v>
      </c>
      <c r="F6978" t="s">
        <v>41</v>
      </c>
      <c r="G6978">
        <v>-167.15379999999999</v>
      </c>
      <c r="H6978" s="1">
        <v>-1.4712359999999999E-6</v>
      </c>
      <c r="I6978">
        <v>138.79679999999999</v>
      </c>
      <c r="J6978">
        <v>-182.08959999999999</v>
      </c>
      <c r="K6978">
        <v>1.0900259999999999</v>
      </c>
      <c r="L6978">
        <v>135.2704</v>
      </c>
      <c r="M6978">
        <v>0.56385819999999998</v>
      </c>
      <c r="N6978">
        <v>0</v>
      </c>
      <c r="O6978">
        <v>0.82568319999999995</v>
      </c>
      <c r="P6978">
        <v>0.87526380000000004</v>
      </c>
      <c r="Q6978">
        <v>0.1458296</v>
      </c>
      <c r="R6978">
        <v>0.46113680000000001</v>
      </c>
      <c r="S6978">
        <v>3.0715940000000002</v>
      </c>
      <c r="T6978">
        <v>-0.22224940000000001</v>
      </c>
      <c r="U6978">
        <v>0.75913999999999904</v>
      </c>
      <c r="V6978">
        <v>0.4697711</v>
      </c>
      <c r="W6978">
        <v>0.1394484</v>
      </c>
      <c r="X6978">
        <v>0.87170479999999995</v>
      </c>
      <c r="Y6978">
        <v>0.66343359999999996</v>
      </c>
      <c r="Z6978">
        <v>-7.2928610000000005E-2</v>
      </c>
      <c r="AA6978">
        <v>0.74467269999999997</v>
      </c>
      <c r="AB6978">
        <v>44</v>
      </c>
      <c r="AC6978">
        <v>14.9358</v>
      </c>
      <c r="AD6978">
        <v>-1.0900274712360001</v>
      </c>
      <c r="AE6978">
        <v>3.52639999999999</v>
      </c>
      <c r="AF6978">
        <v>10.293528798950801</v>
      </c>
      <c r="AG6978">
        <v>-1.0900274712360001</v>
      </c>
      <c r="AH6978">
        <v>11.2782279720074</v>
      </c>
      <c r="AI6978">
        <v>94.083207595184305</v>
      </c>
      <c r="AJ6978">
        <v>47.613601168880699</v>
      </c>
      <c r="AK6978">
        <v>15.308276232530201</v>
      </c>
      <c r="AL6978">
        <v>81.984071204606295</v>
      </c>
      <c r="AM6978">
        <v>61.679294545952501</v>
      </c>
      <c r="AN6978">
        <v>1.0000000005003999</v>
      </c>
    </row>
    <row r="6979" spans="1:40" x14ac:dyDescent="0.25">
      <c r="A6979" t="str">
        <f>"20190312164202172"</f>
        <v>20190312164202172</v>
      </c>
      <c r="B6979" t="str">
        <f>"1552380122162633"</f>
        <v>1552380122162633</v>
      </c>
      <c r="C6979" t="s">
        <v>40</v>
      </c>
      <c r="D6979">
        <v>6.2282570000000002</v>
      </c>
      <c r="E6979">
        <v>0.60657369999999899</v>
      </c>
      <c r="F6979" t="s">
        <v>41</v>
      </c>
      <c r="G6979">
        <v>-166.60740000000001</v>
      </c>
      <c r="H6979" s="1">
        <v>-1.7025319999999901E-6</v>
      </c>
      <c r="I6979">
        <v>138.94909999999999</v>
      </c>
      <c r="J6979">
        <v>-181.9562</v>
      </c>
      <c r="K6979">
        <v>1.0900270000000001</v>
      </c>
      <c r="L6979">
        <v>135.46879999999999</v>
      </c>
      <c r="M6979">
        <v>0.57087889999999997</v>
      </c>
      <c r="N6979">
        <v>0</v>
      </c>
      <c r="O6979">
        <v>0.82084460000000004</v>
      </c>
      <c r="P6979">
        <v>0.87923639999999903</v>
      </c>
      <c r="Q6979">
        <v>0.14682220000000001</v>
      </c>
      <c r="R6979">
        <v>0.45319599999999999</v>
      </c>
      <c r="S6979">
        <v>3.0783079999999998</v>
      </c>
      <c r="T6979">
        <v>-0.21672920000000001</v>
      </c>
      <c r="U6979">
        <v>0.73141480000000003</v>
      </c>
      <c r="V6979">
        <v>0.47014010000000001</v>
      </c>
      <c r="W6979">
        <v>0.14042199999999999</v>
      </c>
      <c r="X6979">
        <v>0.8713495</v>
      </c>
      <c r="Y6979">
        <v>0.66393230000000003</v>
      </c>
      <c r="Z6979">
        <v>-7.0990049999999999E-2</v>
      </c>
      <c r="AA6979">
        <v>0.7444153</v>
      </c>
      <c r="AB6979">
        <v>44</v>
      </c>
      <c r="AC6979">
        <v>15.348799999999899</v>
      </c>
      <c r="AD6979">
        <v>-1.0900287025319999</v>
      </c>
      <c r="AE6979">
        <v>3.4803000000000002</v>
      </c>
      <c r="AF6979">
        <v>10.5631331753381</v>
      </c>
      <c r="AG6979">
        <v>-1.0900287025319999</v>
      </c>
      <c r="AH6979">
        <v>11.5654239608838</v>
      </c>
      <c r="AI6979">
        <v>93.980868340811298</v>
      </c>
      <c r="AJ6979">
        <v>47.593382314614402</v>
      </c>
      <c r="AK6979">
        <v>15.701177549701701</v>
      </c>
      <c r="AL6979">
        <v>81.927733715300306</v>
      </c>
      <c r="AM6979">
        <v>61.650742508835897</v>
      </c>
      <c r="AN6979">
        <v>1.0000000014311301</v>
      </c>
    </row>
    <row r="6980" spans="1:40" x14ac:dyDescent="0.25">
      <c r="A6980" t="str">
        <f>"20190312164202186"</f>
        <v>20190312164202186</v>
      </c>
      <c r="B6980" t="str">
        <f>"1552380122173369"</f>
        <v>1552380122173369</v>
      </c>
      <c r="C6980" t="s">
        <v>40</v>
      </c>
      <c r="D6980">
        <v>6.0507619999999998</v>
      </c>
      <c r="E6980">
        <v>0.60657369999999899</v>
      </c>
      <c r="F6980" t="s">
        <v>41</v>
      </c>
      <c r="G6980">
        <v>-166.1156</v>
      </c>
      <c r="H6980" s="1">
        <v>-1.9109939999999998E-6</v>
      </c>
      <c r="I6980">
        <v>139.08439999999999</v>
      </c>
      <c r="J6980">
        <v>-181.81290000000001</v>
      </c>
      <c r="K6980">
        <v>1.0900289999999999</v>
      </c>
      <c r="L6980">
        <v>135.6782</v>
      </c>
      <c r="M6980">
        <v>0.57828259999999998</v>
      </c>
      <c r="N6980">
        <v>0</v>
      </c>
      <c r="O6980">
        <v>0.81564539999999996</v>
      </c>
      <c r="P6980">
        <v>0.88297879999999995</v>
      </c>
      <c r="Q6980">
        <v>0.14781240000000001</v>
      </c>
      <c r="R6980">
        <v>0.44553320000000002</v>
      </c>
      <c r="S6980">
        <v>3.0846100000000001</v>
      </c>
      <c r="T6980">
        <v>-0.21225930000000001</v>
      </c>
      <c r="U6980">
        <v>0.704071</v>
      </c>
      <c r="V6980">
        <v>0.46974539999999998</v>
      </c>
      <c r="W6980">
        <v>0.1414369</v>
      </c>
      <c r="X6980">
        <v>0.87139820000000001</v>
      </c>
      <c r="Y6980">
        <v>0.66390539999999998</v>
      </c>
      <c r="Z6980">
        <v>-6.9371859999999994E-2</v>
      </c>
      <c r="AA6980">
        <v>0.74459200000000003</v>
      </c>
      <c r="AB6980">
        <v>44</v>
      </c>
      <c r="AC6980">
        <v>15.6973</v>
      </c>
      <c r="AD6980">
        <v>-1.0900309109940001</v>
      </c>
      <c r="AE6980">
        <v>3.4061999999999801</v>
      </c>
      <c r="AF6980">
        <v>10.785703826756301</v>
      </c>
      <c r="AG6980">
        <v>-1.0900309109940001</v>
      </c>
      <c r="AH6980">
        <v>11.8032198501626</v>
      </c>
      <c r="AI6980">
        <v>93.900041979261502</v>
      </c>
      <c r="AJ6980">
        <v>47.579139751564298</v>
      </c>
      <c r="AK6980">
        <v>16.026090392129301</v>
      </c>
      <c r="AL6980">
        <v>81.868997849246895</v>
      </c>
      <c r="AM6980">
        <v>61.6721854897783</v>
      </c>
      <c r="AN6980">
        <v>0.99999998023300396</v>
      </c>
    </row>
    <row r="6981" spans="1:40" x14ac:dyDescent="0.25">
      <c r="A6981" t="str">
        <f>"20190312164202199"</f>
        <v>20190312164202199</v>
      </c>
      <c r="B6981" t="str">
        <f>"1552380122192889"</f>
        <v>1552380122192889</v>
      </c>
      <c r="C6981" t="s">
        <v>40</v>
      </c>
      <c r="D6981">
        <v>6.0123089999999904</v>
      </c>
      <c r="E6981">
        <v>0.60596139999999998</v>
      </c>
      <c r="F6981" t="s">
        <v>41</v>
      </c>
      <c r="G6981">
        <v>-165.6557</v>
      </c>
      <c r="H6981" s="1">
        <v>-2.1048479999999998E-6</v>
      </c>
      <c r="I6981">
        <v>139.21729999999999</v>
      </c>
      <c r="J6981">
        <v>-181.6611</v>
      </c>
      <c r="K6981">
        <v>1.0900379999999901</v>
      </c>
      <c r="L6981">
        <v>135.89660000000001</v>
      </c>
      <c r="M6981">
        <v>0.58598989999999995</v>
      </c>
      <c r="N6981">
        <v>0</v>
      </c>
      <c r="O6981">
        <v>0.81012580000000001</v>
      </c>
      <c r="P6981">
        <v>0.8869437</v>
      </c>
      <c r="Q6981">
        <v>0.14881759999999999</v>
      </c>
      <c r="R6981">
        <v>0.43724619999999997</v>
      </c>
      <c r="S6981">
        <v>3.090897</v>
      </c>
      <c r="T6981">
        <v>-0.2085245</v>
      </c>
      <c r="U6981">
        <v>0.67703250000000004</v>
      </c>
      <c r="V6981">
        <v>0.46955400000000003</v>
      </c>
      <c r="W6981">
        <v>0.14245739999999901</v>
      </c>
      <c r="X6981">
        <v>0.87133510000000003</v>
      </c>
      <c r="Y6981">
        <v>0.66346569999999905</v>
      </c>
      <c r="Z6981">
        <v>-6.796692E-2</v>
      </c>
      <c r="AA6981">
        <v>0.74511329999999998</v>
      </c>
      <c r="AB6981">
        <v>44</v>
      </c>
      <c r="AC6981">
        <v>16.005400000000002</v>
      </c>
      <c r="AD6981">
        <v>-1.09004010484799</v>
      </c>
      <c r="AE6981">
        <v>3.32069999999998</v>
      </c>
      <c r="AF6981">
        <v>10.9734138561513</v>
      </c>
      <c r="AG6981">
        <v>-1.09004010484799</v>
      </c>
      <c r="AH6981">
        <v>12.0176307400921</v>
      </c>
      <c r="AI6981">
        <v>93.832001810344195</v>
      </c>
      <c r="AJ6981">
        <v>47.600496541781801</v>
      </c>
      <c r="AK6981">
        <v>16.310347871635301</v>
      </c>
      <c r="AL6981">
        <v>81.809929247952795</v>
      </c>
      <c r="AM6981">
        <v>61.680204886594602</v>
      </c>
      <c r="AN6981">
        <v>0.99999996311138395</v>
      </c>
    </row>
    <row r="6982" spans="1:40" x14ac:dyDescent="0.25">
      <c r="A6982" t="str">
        <f>"20190312164202215"</f>
        <v>20190312164202215</v>
      </c>
      <c r="B6982" t="str">
        <f>"1552380122202650"</f>
        <v>1552380122202650</v>
      </c>
      <c r="C6982" t="s">
        <v>40</v>
      </c>
      <c r="D6982">
        <v>6.5489100000000002</v>
      </c>
      <c r="E6982">
        <v>0.60562179999999999</v>
      </c>
      <c r="F6982" t="s">
        <v>41</v>
      </c>
      <c r="G6982">
        <v>-165.44450000000001</v>
      </c>
      <c r="H6982" s="1">
        <v>-2.1877339999999999E-6</v>
      </c>
      <c r="I6982">
        <v>139.31280000000001</v>
      </c>
      <c r="J6982">
        <v>-181.46860000000001</v>
      </c>
      <c r="K6982">
        <v>1.090047</v>
      </c>
      <c r="L6982">
        <v>136.16560000000001</v>
      </c>
      <c r="M6982">
        <v>0.59549779999999997</v>
      </c>
      <c r="N6982">
        <v>0</v>
      </c>
      <c r="O6982">
        <v>0.80316239999999905</v>
      </c>
      <c r="P6982">
        <v>0.89145779999999997</v>
      </c>
      <c r="Q6982">
        <v>0.15062509999999901</v>
      </c>
      <c r="R6982">
        <v>0.42733500000000002</v>
      </c>
      <c r="S6982">
        <v>3.095825</v>
      </c>
      <c r="T6982">
        <v>-0.20809340000000001</v>
      </c>
      <c r="U6982">
        <v>0.65216059999999998</v>
      </c>
      <c r="V6982">
        <v>0.4688331</v>
      </c>
      <c r="W6982">
        <v>0.14431250000000001</v>
      </c>
      <c r="X6982">
        <v>0.87141809999999997</v>
      </c>
      <c r="Y6982">
        <v>0.66065499999999999</v>
      </c>
      <c r="Z6982">
        <v>-6.7532190000000006E-2</v>
      </c>
      <c r="AA6982">
        <v>0.74764589999999997</v>
      </c>
      <c r="AB6982">
        <v>44</v>
      </c>
      <c r="AC6982">
        <v>16.024100000000001</v>
      </c>
      <c r="AD6982">
        <v>-1.0900491877339999</v>
      </c>
      <c r="AE6982">
        <v>3.14719999999999</v>
      </c>
      <c r="AF6982">
        <v>10.9487392807718</v>
      </c>
      <c r="AG6982">
        <v>-1.0900491877339999</v>
      </c>
      <c r="AH6982">
        <v>12.018366406502301</v>
      </c>
      <c r="AI6982">
        <v>93.835813386322798</v>
      </c>
      <c r="AJ6982">
        <v>47.666460021741401</v>
      </c>
      <c r="AK6982">
        <v>16.294300541936</v>
      </c>
      <c r="AL6982">
        <v>81.702530705787396</v>
      </c>
      <c r="AM6982">
        <v>61.7192303299949</v>
      </c>
      <c r="AN6982">
        <v>1.0000000391597299</v>
      </c>
    </row>
    <row r="6983" spans="1:40" x14ac:dyDescent="0.25">
      <c r="A6983" t="str">
        <f>"20190312164202229"</f>
        <v>20190312164202229</v>
      </c>
      <c r="B6983" t="str">
        <f>"1552380122223147"</f>
        <v>1552380122223147</v>
      </c>
      <c r="C6983" t="s">
        <v>40</v>
      </c>
      <c r="D6983">
        <v>5.9803300000000004</v>
      </c>
      <c r="E6983">
        <v>0.60515180000000002</v>
      </c>
      <c r="F6983" t="s">
        <v>41</v>
      </c>
      <c r="G6983">
        <v>-164.5453</v>
      </c>
      <c r="H6983" s="1">
        <v>-2.5722230000000001E-6</v>
      </c>
      <c r="I6983">
        <v>139.54150000000001</v>
      </c>
      <c r="J6983">
        <v>-181.2979</v>
      </c>
      <c r="K6983">
        <v>1.0900510000000001</v>
      </c>
      <c r="L6983">
        <v>136.39830000000001</v>
      </c>
      <c r="M6983">
        <v>0.60372219999999999</v>
      </c>
      <c r="N6983">
        <v>0</v>
      </c>
      <c r="O6983">
        <v>0.7969986</v>
      </c>
      <c r="P6983">
        <v>0.89568159999999897</v>
      </c>
      <c r="Q6983">
        <v>0.1509605</v>
      </c>
      <c r="R6983">
        <v>0.41828890000000002</v>
      </c>
      <c r="S6983">
        <v>3.1023559999999999</v>
      </c>
      <c r="T6983">
        <v>-0.19982639999999999</v>
      </c>
      <c r="U6983">
        <v>0.61886600000000003</v>
      </c>
      <c r="V6983">
        <v>0.46866639999999998</v>
      </c>
      <c r="W6983">
        <v>0.144667299999999</v>
      </c>
      <c r="X6983">
        <v>0.87144889999999997</v>
      </c>
      <c r="Y6983">
        <v>0.66118269999999901</v>
      </c>
      <c r="Z6983">
        <v>-6.4685019999999996E-2</v>
      </c>
      <c r="AA6983">
        <v>0.74743119999999996</v>
      </c>
      <c r="AB6983">
        <v>44</v>
      </c>
      <c r="AC6983">
        <v>16.752600000000001</v>
      </c>
      <c r="AD6983">
        <v>-1.090053572223</v>
      </c>
      <c r="AE6983">
        <v>3.1432000000000002</v>
      </c>
      <c r="AF6983">
        <v>11.409308436749599</v>
      </c>
      <c r="AG6983">
        <v>-1.090053572223</v>
      </c>
      <c r="AH6983">
        <v>12.5696085917095</v>
      </c>
      <c r="AI6983">
        <v>93.674110497923607</v>
      </c>
      <c r="AJ6983">
        <v>47.770287255628602</v>
      </c>
      <c r="AK6983">
        <v>17.0104554890214</v>
      </c>
      <c r="AL6983">
        <v>81.681986282837698</v>
      </c>
      <c r="AM6983">
        <v>61.728575888906803</v>
      </c>
      <c r="AN6983">
        <v>1.0000000037447201</v>
      </c>
    </row>
    <row r="6984" spans="1:40" x14ac:dyDescent="0.25">
      <c r="A6984" t="str">
        <f>"20190312164202249"</f>
        <v>20190312164202249</v>
      </c>
      <c r="B6984" t="str">
        <f>"1552380122242666"</f>
        <v>1552380122242666</v>
      </c>
      <c r="C6984" t="s">
        <v>40</v>
      </c>
      <c r="D6984">
        <v>6.1001919999999998</v>
      </c>
      <c r="E6984">
        <v>0.60523159999999998</v>
      </c>
      <c r="F6984" t="s">
        <v>41</v>
      </c>
      <c r="G6984">
        <v>-163.8603</v>
      </c>
      <c r="H6984" s="1">
        <v>-2.9081530000000001E-6</v>
      </c>
      <c r="I6984">
        <v>139.71190000000001</v>
      </c>
      <c r="J6984">
        <v>-181.06960000000001</v>
      </c>
      <c r="K6984">
        <v>1.0900620000000001</v>
      </c>
      <c r="L6984">
        <v>136.7022</v>
      </c>
      <c r="M6984">
        <v>0.614456</v>
      </c>
      <c r="N6984">
        <v>0</v>
      </c>
      <c r="O6984">
        <v>0.78875269999999897</v>
      </c>
      <c r="P6984">
        <v>0.90098270000000003</v>
      </c>
      <c r="Q6984">
        <v>0.15149979999999999</v>
      </c>
      <c r="R6984">
        <v>0.40654430000000003</v>
      </c>
      <c r="S6984">
        <v>3.1064609999999999</v>
      </c>
      <c r="T6984">
        <v>-0.194191</v>
      </c>
      <c r="U6984">
        <v>0.59030150000000003</v>
      </c>
      <c r="V6984">
        <v>0.46821200000000002</v>
      </c>
      <c r="W6984">
        <v>0.14524899999999999</v>
      </c>
      <c r="X6984">
        <v>0.87159640000000005</v>
      </c>
      <c r="Y6984">
        <v>0.65799859999999999</v>
      </c>
      <c r="Z6984">
        <v>-6.2545870000000003E-2</v>
      </c>
      <c r="AA6984">
        <v>0.75041709999999995</v>
      </c>
      <c r="AB6984">
        <v>44</v>
      </c>
      <c r="AC6984">
        <v>17.209299999999999</v>
      </c>
      <c r="AD6984">
        <v>-1.0900649081530001</v>
      </c>
      <c r="AE6984">
        <v>3.0097</v>
      </c>
      <c r="AF6984">
        <v>11.6809141349162</v>
      </c>
      <c r="AG6984">
        <v>-1.0900649081530001</v>
      </c>
      <c r="AH6984">
        <v>12.900072427742099</v>
      </c>
      <c r="AI6984">
        <v>93.584182826642405</v>
      </c>
      <c r="AJ6984">
        <v>47.839407262286599</v>
      </c>
      <c r="AK6984">
        <v>17.436853648874401</v>
      </c>
      <c r="AL6984">
        <v>81.648301651243003</v>
      </c>
      <c r="AM6984">
        <v>61.755796992964399</v>
      </c>
      <c r="AN6984">
        <v>1.00000001671898</v>
      </c>
    </row>
    <row r="6985" spans="1:40" x14ac:dyDescent="0.25">
      <c r="A6985" t="str">
        <f>"20190312164202263"</f>
        <v>20190312164202263</v>
      </c>
      <c r="B6985" t="str">
        <f>"1552380122253402"</f>
        <v>1552380122253402</v>
      </c>
      <c r="C6985" t="s">
        <v>40</v>
      </c>
      <c r="D6985">
        <v>5.8889050000000003</v>
      </c>
      <c r="E6985">
        <v>0.60510459999999899</v>
      </c>
      <c r="F6985" t="s">
        <v>41</v>
      </c>
      <c r="G6985">
        <v>-162.70570000000001</v>
      </c>
      <c r="H6985" s="1">
        <v>-3.514594E-6</v>
      </c>
      <c r="I6985">
        <v>139.93969999999999</v>
      </c>
      <c r="J6985">
        <v>-180.90700000000001</v>
      </c>
      <c r="K6985">
        <v>1.090079</v>
      </c>
      <c r="L6985">
        <v>136.91380000000001</v>
      </c>
      <c r="M6985">
        <v>0.62193009999999904</v>
      </c>
      <c r="N6985">
        <v>0</v>
      </c>
      <c r="O6985">
        <v>0.78287269999999998</v>
      </c>
      <c r="P6985">
        <v>0.90468979999999999</v>
      </c>
      <c r="Q6985">
        <v>0.15209139999999999</v>
      </c>
      <c r="R6985">
        <v>0.39800039999999998</v>
      </c>
      <c r="S6985">
        <v>3.1131129999999998</v>
      </c>
      <c r="T6985">
        <v>-0.18479100000000001</v>
      </c>
      <c r="U6985">
        <v>0.54882810000000004</v>
      </c>
      <c r="V6985">
        <v>0.46811730000000001</v>
      </c>
      <c r="W6985">
        <v>0.1458585</v>
      </c>
      <c r="X6985">
        <v>0.87154549999999997</v>
      </c>
      <c r="Y6985">
        <v>0.66102939999999999</v>
      </c>
      <c r="Z6985">
        <v>-5.9446890000000002E-2</v>
      </c>
      <c r="AA6985">
        <v>0.74800149999999999</v>
      </c>
      <c r="AB6985">
        <v>44</v>
      </c>
      <c r="AC6985">
        <v>18.2013</v>
      </c>
      <c r="AD6985">
        <v>-1.0900825145940001</v>
      </c>
      <c r="AE6985">
        <v>3.0258999999999698</v>
      </c>
      <c r="AF6985">
        <v>12.3263166684797</v>
      </c>
      <c r="AG6985">
        <v>-1.0900825145940001</v>
      </c>
      <c r="AH6985">
        <v>13.643354980856</v>
      </c>
      <c r="AI6985">
        <v>93.392850492742795</v>
      </c>
      <c r="AJ6985">
        <v>47.903238187706798</v>
      </c>
      <c r="AK6985">
        <v>18.419215445667401</v>
      </c>
      <c r="AL6985">
        <v>81.613004107872499</v>
      </c>
      <c r="AM6985">
        <v>61.759233530661703</v>
      </c>
      <c r="AN6985">
        <v>1.0000000335758901</v>
      </c>
    </row>
    <row r="6986" spans="1:40" x14ac:dyDescent="0.25">
      <c r="A6986" t="str">
        <f>"20190312164202282"</f>
        <v>20190312164202282</v>
      </c>
      <c r="B6986" t="str">
        <f>"1552380122272922"</f>
        <v>1552380122272922</v>
      </c>
      <c r="C6986" t="s">
        <v>40</v>
      </c>
      <c r="D6986">
        <v>5.972175</v>
      </c>
      <c r="E6986">
        <v>0.60478259999999995</v>
      </c>
      <c r="F6986" t="s">
        <v>41</v>
      </c>
      <c r="G6986">
        <v>-162.05860000000001</v>
      </c>
      <c r="H6986" s="1">
        <v>-3.8523380000000001E-6</v>
      </c>
      <c r="I6986">
        <v>140.05950000000001</v>
      </c>
      <c r="J6986">
        <v>-180.6652</v>
      </c>
      <c r="K6986">
        <v>1.0901110000000001</v>
      </c>
      <c r="L6986">
        <v>137.2201</v>
      </c>
      <c r="M6986">
        <v>0.63276089999999996</v>
      </c>
      <c r="N6986">
        <v>0</v>
      </c>
      <c r="O6986">
        <v>0.77414459999999996</v>
      </c>
      <c r="P6986">
        <v>0.90966060000000004</v>
      </c>
      <c r="Q6986">
        <v>0.15431639999999999</v>
      </c>
      <c r="R6986">
        <v>0.38562160000000001</v>
      </c>
      <c r="S6986">
        <v>3.1174620000000002</v>
      </c>
      <c r="T6986">
        <v>-0.1802967</v>
      </c>
      <c r="U6986">
        <v>0.52029420000000004</v>
      </c>
      <c r="V6986">
        <v>0.46769090000000002</v>
      </c>
      <c r="W6986">
        <v>0.1481277</v>
      </c>
      <c r="X6986">
        <v>0.87139169999999999</v>
      </c>
      <c r="Y6986">
        <v>0.65754309999999905</v>
      </c>
      <c r="Z6986">
        <v>-5.7654530000000002E-2</v>
      </c>
      <c r="AA6986">
        <v>0.75120779999999998</v>
      </c>
      <c r="AB6986">
        <v>43</v>
      </c>
      <c r="AC6986">
        <v>18.606599999999901</v>
      </c>
      <c r="AD6986">
        <v>-1.090114852338</v>
      </c>
      <c r="AE6986">
        <v>2.8394000000000101</v>
      </c>
      <c r="AF6986">
        <v>12.5673603249432</v>
      </c>
      <c r="AG6986">
        <v>-1.090114852338</v>
      </c>
      <c r="AH6986">
        <v>13.9271107876926</v>
      </c>
      <c r="AI6986">
        <v>93.3257935191602</v>
      </c>
      <c r="AJ6986">
        <v>47.937958954458601</v>
      </c>
      <c r="AK6986">
        <v>18.790724063242202</v>
      </c>
      <c r="AL6986">
        <v>81.481560787972199</v>
      </c>
      <c r="AM6986">
        <v>61.776780251168702</v>
      </c>
      <c r="AN6986">
        <v>1.0000000441394901</v>
      </c>
    </row>
    <row r="6987" spans="1:40" x14ac:dyDescent="0.25">
      <c r="A6987" t="str">
        <f>"20190312164202295"</f>
        <v>20190312164202295</v>
      </c>
      <c r="B6987" t="str">
        <f>"1552380122282684"</f>
        <v>1552380122282684</v>
      </c>
      <c r="C6987" t="s">
        <v>40</v>
      </c>
      <c r="D6987">
        <v>5.9557690000000001</v>
      </c>
      <c r="E6987">
        <v>0.60458780000000001</v>
      </c>
      <c r="F6987" t="s">
        <v>41</v>
      </c>
      <c r="G6987">
        <v>-160.4152</v>
      </c>
      <c r="H6987" s="1">
        <v>-4.6790420000000003E-6</v>
      </c>
      <c r="I6987">
        <v>140.33349999999999</v>
      </c>
      <c r="J6987">
        <v>-180.50219999999999</v>
      </c>
      <c r="K6987">
        <v>1.090131</v>
      </c>
      <c r="L6987">
        <v>137.42179999999999</v>
      </c>
      <c r="M6987">
        <v>0.639899</v>
      </c>
      <c r="N6987">
        <v>0</v>
      </c>
      <c r="O6987">
        <v>0.76825489999999996</v>
      </c>
      <c r="P6987">
        <v>0.91308679999999998</v>
      </c>
      <c r="Q6987">
        <v>0.1553725</v>
      </c>
      <c r="R6987">
        <v>0.37700430000000001</v>
      </c>
      <c r="S6987">
        <v>3.122925</v>
      </c>
      <c r="T6987">
        <v>-0.168116299999999</v>
      </c>
      <c r="U6987">
        <v>0.48014829999999997</v>
      </c>
      <c r="V6987">
        <v>0.46777210000000002</v>
      </c>
      <c r="W6987">
        <v>0.1491953</v>
      </c>
      <c r="X6987">
        <v>0.87116589999999905</v>
      </c>
      <c r="Y6987">
        <v>0.66046530000000003</v>
      </c>
      <c r="Z6987">
        <v>-5.3687640000000002E-2</v>
      </c>
      <c r="AA6987">
        <v>0.74893469999999995</v>
      </c>
      <c r="AB6987">
        <v>43</v>
      </c>
      <c r="AC6987">
        <v>20.0869999999999</v>
      </c>
      <c r="AD6987">
        <v>-1.090135679042</v>
      </c>
      <c r="AE6987">
        <v>2.91169999999999</v>
      </c>
      <c r="AF6987">
        <v>13.5318356250998</v>
      </c>
      <c r="AG6987">
        <v>-1.090135679042</v>
      </c>
      <c r="AH6987">
        <v>15.049533015288199</v>
      </c>
      <c r="AI6987">
        <v>93.083218079070406</v>
      </c>
      <c r="AJ6987">
        <v>48.039604658485999</v>
      </c>
      <c r="AK6987">
        <v>20.267891236181701</v>
      </c>
      <c r="AL6987">
        <v>81.419704094973596</v>
      </c>
      <c r="AM6987">
        <v>61.766447107530603</v>
      </c>
      <c r="AN6987">
        <v>1.00000000020165</v>
      </c>
    </row>
    <row r="6988" spans="1:40" x14ac:dyDescent="0.25">
      <c r="A6988" t="str">
        <f>"20190312164202307"</f>
        <v>20190312164202307</v>
      </c>
      <c r="B6988" t="str">
        <f>"1552380122303178"</f>
        <v>1552380122303178</v>
      </c>
      <c r="C6988" t="s">
        <v>40</v>
      </c>
      <c r="D6988">
        <v>6.3856349999999997</v>
      </c>
      <c r="E6988">
        <v>0.60465309999999906</v>
      </c>
      <c r="F6988" t="s">
        <v>41</v>
      </c>
      <c r="G6988">
        <v>-159.76490000000001</v>
      </c>
      <c r="H6988" s="1">
        <v>-2.9699280000000001E-7</v>
      </c>
      <c r="I6988">
        <v>140.41980000000001</v>
      </c>
      <c r="J6988">
        <v>-180.36699999999999</v>
      </c>
      <c r="K6988">
        <v>1.0901510000000001</v>
      </c>
      <c r="L6988">
        <v>137.58529999999999</v>
      </c>
      <c r="M6988">
        <v>0.64570559999999999</v>
      </c>
      <c r="N6988">
        <v>0</v>
      </c>
      <c r="O6988">
        <v>0.76338079999999997</v>
      </c>
      <c r="P6988">
        <v>0.9157845</v>
      </c>
      <c r="Q6988">
        <v>0.15631049999999999</v>
      </c>
      <c r="R6988">
        <v>0.3700079</v>
      </c>
      <c r="S6988">
        <v>3.1268919999999998</v>
      </c>
      <c r="T6988">
        <v>-0.1643763</v>
      </c>
      <c r="U6988">
        <v>0.45205689999999998</v>
      </c>
      <c r="V6988">
        <v>0.4677499</v>
      </c>
      <c r="W6988">
        <v>0.150149</v>
      </c>
      <c r="X6988">
        <v>0.87101399999999995</v>
      </c>
      <c r="Y6988">
        <v>0.66158309999999998</v>
      </c>
      <c r="Z6988">
        <v>-5.2388219999999999E-2</v>
      </c>
      <c r="AA6988">
        <v>0.74803969999999997</v>
      </c>
      <c r="AB6988">
        <v>43</v>
      </c>
      <c r="AC6988">
        <v>20.6021</v>
      </c>
      <c r="AD6988">
        <v>-1.0901512969928</v>
      </c>
      <c r="AE6988">
        <v>2.8345000000000198</v>
      </c>
      <c r="AF6988">
        <v>13.8610882407453</v>
      </c>
      <c r="AG6988">
        <v>-1.0901512969928</v>
      </c>
      <c r="AH6988">
        <v>15.426731642047301</v>
      </c>
      <c r="AI6988">
        <v>93.008972342483702</v>
      </c>
      <c r="AJ6988">
        <v>48.0599565591559</v>
      </c>
      <c r="AK6988">
        <v>20.767817560442101</v>
      </c>
      <c r="AL6988">
        <v>81.364438922886393</v>
      </c>
      <c r="AM6988">
        <v>61.763416174730899</v>
      </c>
      <c r="AN6988">
        <v>1.0000000396735</v>
      </c>
    </row>
    <row r="6989" spans="1:40" x14ac:dyDescent="0.25">
      <c r="A6989" t="str">
        <f>"20190312164202317"</f>
        <v>20190312164202317</v>
      </c>
      <c r="B6989" t="str">
        <f>"1552380122312938"</f>
        <v>1552380122312938</v>
      </c>
      <c r="C6989" t="s">
        <v>40</v>
      </c>
      <c r="D6989">
        <v>6.053496</v>
      </c>
      <c r="E6989">
        <v>0.60471980000000003</v>
      </c>
      <c r="F6989" t="s">
        <v>41</v>
      </c>
      <c r="G6989">
        <v>-159.3845</v>
      </c>
      <c r="H6989" s="1">
        <v>-4.6905230000000001E-7</v>
      </c>
      <c r="I6989">
        <v>140.45310000000001</v>
      </c>
      <c r="J6989">
        <v>-180.22309999999999</v>
      </c>
      <c r="K6989">
        <v>1.0901700000000001</v>
      </c>
      <c r="L6989">
        <v>137.75810000000001</v>
      </c>
      <c r="M6989">
        <v>0.65181909999999998</v>
      </c>
      <c r="N6989">
        <v>0</v>
      </c>
      <c r="O6989">
        <v>0.75816729999999999</v>
      </c>
      <c r="P6989">
        <v>0.91866800000000004</v>
      </c>
      <c r="Q6989">
        <v>0.1569603</v>
      </c>
      <c r="R6989">
        <v>0.36250860000000001</v>
      </c>
      <c r="S6989">
        <v>3.1307680000000002</v>
      </c>
      <c r="T6989">
        <v>-0.1626599</v>
      </c>
      <c r="U6989">
        <v>0.42790220000000001</v>
      </c>
      <c r="V6989">
        <v>0.46781420000000001</v>
      </c>
      <c r="W6989">
        <v>0.15081129999999901</v>
      </c>
      <c r="X6989">
        <v>0.870865</v>
      </c>
      <c r="Y6989">
        <v>0.66139590000000004</v>
      </c>
      <c r="Z6989">
        <v>-5.1680549999999999E-2</v>
      </c>
      <c r="AA6989">
        <v>0.74825439999999999</v>
      </c>
      <c r="AB6989">
        <v>43</v>
      </c>
      <c r="AC6989">
        <v>20.8385999999999</v>
      </c>
      <c r="AD6989">
        <v>-1.0901704690523</v>
      </c>
      <c r="AE6989">
        <v>2.6949999999999901</v>
      </c>
      <c r="AF6989">
        <v>14.0069947796094</v>
      </c>
      <c r="AG6989">
        <v>-1.0901704690523</v>
      </c>
      <c r="AH6989">
        <v>15.586756945216599</v>
      </c>
      <c r="AI6989">
        <v>92.977986955177599</v>
      </c>
      <c r="AJ6989">
        <v>48.055640812940602</v>
      </c>
      <c r="AK6989">
        <v>20.984074115310801</v>
      </c>
      <c r="AL6989">
        <v>81.326054600688195</v>
      </c>
      <c r="AM6989">
        <v>61.756047175517203</v>
      </c>
      <c r="AN6989">
        <v>1.0000000110771601</v>
      </c>
    </row>
    <row r="6990" spans="1:40" x14ac:dyDescent="0.25">
      <c r="A6990" t="str">
        <f>"20190312164202329"</f>
        <v>20190312164202329</v>
      </c>
      <c r="B6990" t="str">
        <f>"1552380122322697"</f>
        <v>1552380122322697</v>
      </c>
      <c r="C6990" t="s">
        <v>40</v>
      </c>
      <c r="D6990">
        <v>5.9862129999999896</v>
      </c>
      <c r="E6990">
        <v>0.60477829999999999</v>
      </c>
      <c r="F6990" t="s">
        <v>41</v>
      </c>
      <c r="G6990">
        <v>-158.90600000000001</v>
      </c>
      <c r="H6990" s="1">
        <v>-6.840586E-7</v>
      </c>
      <c r="I6990">
        <v>140.4897</v>
      </c>
      <c r="J6990">
        <v>-180.09229999999999</v>
      </c>
      <c r="K6990">
        <v>1.090179</v>
      </c>
      <c r="L6990">
        <v>137.91069999999999</v>
      </c>
      <c r="M6990">
        <v>0.65725929999999999</v>
      </c>
      <c r="N6990">
        <v>0</v>
      </c>
      <c r="O6990">
        <v>0.75345589999999996</v>
      </c>
      <c r="P6990">
        <v>0.92126260000000004</v>
      </c>
      <c r="Q6990">
        <v>0.15752849999999999</v>
      </c>
      <c r="R6990">
        <v>0.35561229999999999</v>
      </c>
      <c r="S6990">
        <v>3.1344910000000001</v>
      </c>
      <c r="T6990">
        <v>-0.16029979999999999</v>
      </c>
      <c r="U6990">
        <v>0.40165709999999999</v>
      </c>
      <c r="V6990">
        <v>0.46802329999999998</v>
      </c>
      <c r="W6990">
        <v>0.15138409999999999</v>
      </c>
      <c r="X6990">
        <v>0.87065319999999902</v>
      </c>
      <c r="Y6990">
        <v>0.66233030000000004</v>
      </c>
      <c r="Z6990">
        <v>-5.0817330000000001E-2</v>
      </c>
      <c r="AA6990">
        <v>0.74748649999999905</v>
      </c>
      <c r="AB6990">
        <v>43</v>
      </c>
      <c r="AC6990">
        <v>21.1862999999999</v>
      </c>
      <c r="AD6990">
        <v>-1.0901796840586</v>
      </c>
      <c r="AE6990">
        <v>2.5790000000000002</v>
      </c>
      <c r="AF6990">
        <v>14.232978711914299</v>
      </c>
      <c r="AG6990">
        <v>-1.0901796840586</v>
      </c>
      <c r="AH6990">
        <v>15.8292499115597</v>
      </c>
      <c r="AI6990">
        <v>92.931729540825401</v>
      </c>
      <c r="AJ6990">
        <v>48.039488269313203</v>
      </c>
      <c r="AK6990">
        <v>21.3150493201389</v>
      </c>
      <c r="AL6990">
        <v>81.292854083374095</v>
      </c>
      <c r="AM6990">
        <v>61.7395602896109</v>
      </c>
      <c r="AN6990">
        <v>0.99999997487296899</v>
      </c>
    </row>
    <row r="6991" spans="1:40" x14ac:dyDescent="0.25">
      <c r="A6991" t="str">
        <f>"20190312164202340"</f>
        <v>20190312164202340</v>
      </c>
      <c r="B6991" t="str">
        <f>"1552380122333434"</f>
        <v>1552380122333434</v>
      </c>
      <c r="C6991" t="s">
        <v>40</v>
      </c>
      <c r="D6991">
        <v>6.1473040000000001</v>
      </c>
      <c r="E6991">
        <v>0.60480029999999996</v>
      </c>
      <c r="F6991" t="s">
        <v>41</v>
      </c>
      <c r="G6991">
        <v>-158.4169</v>
      </c>
      <c r="H6991" s="1">
        <v>-9.0142649999999995E-7</v>
      </c>
      <c r="I6991">
        <v>140.5181</v>
      </c>
      <c r="J6991">
        <v>-179.9393</v>
      </c>
      <c r="K6991">
        <v>1.0902019999999999</v>
      </c>
      <c r="L6991">
        <v>138.0882</v>
      </c>
      <c r="M6991">
        <v>0.66356099999999996</v>
      </c>
      <c r="N6991">
        <v>0</v>
      </c>
      <c r="O6991">
        <v>0.74791189999999996</v>
      </c>
      <c r="P6991">
        <v>0.92414719999999995</v>
      </c>
      <c r="Q6991">
        <v>0.15841150000000001</v>
      </c>
      <c r="R6991">
        <v>0.34764620000000002</v>
      </c>
      <c r="S6991">
        <v>3.13768</v>
      </c>
      <c r="T6991">
        <v>-0.15781199999999901</v>
      </c>
      <c r="U6991">
        <v>0.37744139999999998</v>
      </c>
      <c r="V6991">
        <v>0.46815469999999998</v>
      </c>
      <c r="W6991">
        <v>0.15227859999999999</v>
      </c>
      <c r="X6991">
        <v>0.87042659999999905</v>
      </c>
      <c r="Y6991">
        <v>0.66188019999999903</v>
      </c>
      <c r="Z6991">
        <v>-4.9858270000000003E-2</v>
      </c>
      <c r="AA6991">
        <v>0.74794969999999905</v>
      </c>
      <c r="AB6991">
        <v>43</v>
      </c>
      <c r="AC6991">
        <v>21.522400000000001</v>
      </c>
      <c r="AD6991">
        <v>-1.0902029014265</v>
      </c>
      <c r="AE6991">
        <v>2.4298999999999999</v>
      </c>
      <c r="AF6991">
        <v>14.4501406636626</v>
      </c>
      <c r="AG6991">
        <v>-1.0902029014265</v>
      </c>
      <c r="AH6991">
        <v>16.060618580051798</v>
      </c>
      <c r="AI6991">
        <v>92.888813869163798</v>
      </c>
      <c r="AJ6991">
        <v>48.021492648469099</v>
      </c>
      <c r="AK6991">
        <v>21.631887960596998</v>
      </c>
      <c r="AL6991">
        <v>81.241002343833102</v>
      </c>
      <c r="AM6991">
        <v>61.726630921441199</v>
      </c>
      <c r="AN6991">
        <v>1.0000000305687999</v>
      </c>
    </row>
    <row r="6992" spans="1:40" x14ac:dyDescent="0.25">
      <c r="A6992" t="str">
        <f>"20190312164202351"</f>
        <v>20190312164202351</v>
      </c>
      <c r="B6992" t="str">
        <f>"1552380122343194"</f>
        <v>1552380122343194</v>
      </c>
      <c r="C6992" t="s">
        <v>40</v>
      </c>
      <c r="D6992">
        <v>6.1661590000000004</v>
      </c>
      <c r="E6992">
        <v>0.60504749999999996</v>
      </c>
      <c r="F6992" t="s">
        <v>41</v>
      </c>
      <c r="G6992">
        <v>-157.9366</v>
      </c>
      <c r="H6992" s="1">
        <v>-1.1138569999999999E-6</v>
      </c>
      <c r="I6992">
        <v>140.5421</v>
      </c>
      <c r="J6992">
        <v>-179.7944</v>
      </c>
      <c r="K6992">
        <v>1.090219</v>
      </c>
      <c r="L6992">
        <v>138.25219999999999</v>
      </c>
      <c r="M6992">
        <v>0.66941740000000005</v>
      </c>
      <c r="N6992">
        <v>0</v>
      </c>
      <c r="O6992">
        <v>0.74267450000000002</v>
      </c>
      <c r="P6992">
        <v>0.92665949999999997</v>
      </c>
      <c r="Q6992">
        <v>0.15945210000000001</v>
      </c>
      <c r="R6992">
        <v>0.34040740000000003</v>
      </c>
      <c r="S6992">
        <v>3.1411289999999998</v>
      </c>
      <c r="T6992">
        <v>-0.15563869999999999</v>
      </c>
      <c r="U6992">
        <v>0.35032649999999999</v>
      </c>
      <c r="V6992">
        <v>0.4680339</v>
      </c>
      <c r="W6992">
        <v>0.15334410000000001</v>
      </c>
      <c r="X6992">
        <v>0.87030450000000004</v>
      </c>
      <c r="Y6992">
        <v>0.66251119999999997</v>
      </c>
      <c r="Z6992">
        <v>-4.9035330000000002E-2</v>
      </c>
      <c r="AA6992">
        <v>0.74744529999999998</v>
      </c>
      <c r="AB6992">
        <v>43</v>
      </c>
      <c r="AC6992">
        <v>21.857800000000001</v>
      </c>
      <c r="AD6992">
        <v>-1.090220113857</v>
      </c>
      <c r="AE6992">
        <v>2.28990000000001</v>
      </c>
      <c r="AF6992">
        <v>14.666555785886899</v>
      </c>
      <c r="AG6992">
        <v>-1.090220113857</v>
      </c>
      <c r="AH6992">
        <v>16.2951155343629</v>
      </c>
      <c r="AI6992">
        <v>92.846884638795999</v>
      </c>
      <c r="AJ6992">
        <v>48.010938567820403</v>
      </c>
      <c r="AK6992">
        <v>21.9505632910736</v>
      </c>
      <c r="AL6992">
        <v>81.179228202498805</v>
      </c>
      <c r="AM6992">
        <v>61.729446045285698</v>
      </c>
      <c r="AN6992">
        <v>1.00000003363713</v>
      </c>
    </row>
    <row r="6993" spans="1:40" x14ac:dyDescent="0.25">
      <c r="A6993" t="str">
        <f>"20190312164202362"</f>
        <v>20190312164202362</v>
      </c>
      <c r="B6993" t="str">
        <f>"1552380122352954"</f>
        <v>1552380122352954</v>
      </c>
      <c r="C6993" t="s">
        <v>40</v>
      </c>
      <c r="D6993">
        <v>6.0293519999999896</v>
      </c>
      <c r="E6993">
        <v>0.60504749999999996</v>
      </c>
      <c r="F6993" t="s">
        <v>41</v>
      </c>
      <c r="G6993">
        <v>-157.87110000000001</v>
      </c>
      <c r="H6993" s="1">
        <v>-1.1343540000000001E-6</v>
      </c>
      <c r="I6993">
        <v>140.51339999999999</v>
      </c>
      <c r="J6993">
        <v>-179.65119999999999</v>
      </c>
      <c r="K6993">
        <v>1.09023799999999</v>
      </c>
      <c r="L6993">
        <v>138.41239999999999</v>
      </c>
      <c r="M6993">
        <v>0.67513029999999996</v>
      </c>
      <c r="N6993">
        <v>0</v>
      </c>
      <c r="O6993">
        <v>0.7374849</v>
      </c>
      <c r="P6993">
        <v>0.92931090000000005</v>
      </c>
      <c r="Q6993">
        <v>0.16001319999999999</v>
      </c>
      <c r="R6993">
        <v>0.33283190000000001</v>
      </c>
      <c r="S6993">
        <v>3.1451720000000001</v>
      </c>
      <c r="T6993">
        <v>-0.156405399999999</v>
      </c>
      <c r="U6993">
        <v>0.32440190000000002</v>
      </c>
      <c r="V6993">
        <v>0.46837060000000003</v>
      </c>
      <c r="W6993">
        <v>0.15390619999999999</v>
      </c>
      <c r="X6993">
        <v>0.87002400000000002</v>
      </c>
      <c r="Y6993">
        <v>0.66292289999999998</v>
      </c>
      <c r="Z6993">
        <v>-4.9118380000000003E-2</v>
      </c>
      <c r="AA6993">
        <v>0.74707469999999998</v>
      </c>
      <c r="AB6993">
        <v>43</v>
      </c>
      <c r="AC6993">
        <v>21.780099999999901</v>
      </c>
      <c r="AD6993">
        <v>-1.0902391343540001</v>
      </c>
      <c r="AE6993">
        <v>2.1009999999999902</v>
      </c>
      <c r="AF6993">
        <v>14.6100832960721</v>
      </c>
      <c r="AG6993">
        <v>-1.0902391343540001</v>
      </c>
      <c r="AH6993">
        <v>16.216164886967299</v>
      </c>
      <c r="AI6993">
        <v>92.859494649856501</v>
      </c>
      <c r="AJ6993">
        <v>47.982476701322497</v>
      </c>
      <c r="AK6993">
        <v>21.8542251962762</v>
      </c>
      <c r="AL6993">
        <v>81.146634586401106</v>
      </c>
      <c r="AM6993">
        <v>61.704546945534602</v>
      </c>
      <c r="AN6993">
        <v>0.99999994895939803</v>
      </c>
    </row>
    <row r="6994" spans="1:40" x14ac:dyDescent="0.25">
      <c r="A6994" t="str">
        <f>"20190312164202374"</f>
        <v>20190312164202374</v>
      </c>
      <c r="B6994" t="str">
        <f>"1552380122362714"</f>
        <v>1552380122362714</v>
      </c>
      <c r="C6994" t="s">
        <v>40</v>
      </c>
      <c r="D6994">
        <v>6.1263880000000004</v>
      </c>
      <c r="E6994">
        <v>0.60498249999999998</v>
      </c>
      <c r="F6994" t="s">
        <v>41</v>
      </c>
      <c r="G6994">
        <v>-157.39189999999999</v>
      </c>
      <c r="H6994" s="1">
        <v>-1.3422909999999901E-6</v>
      </c>
      <c r="I6994">
        <v>140.5224</v>
      </c>
      <c r="J6994">
        <v>-179.4896</v>
      </c>
      <c r="K6994">
        <v>1.090263</v>
      </c>
      <c r="L6994">
        <v>138.59</v>
      </c>
      <c r="M6994">
        <v>0.68148199999999903</v>
      </c>
      <c r="N6994">
        <v>0</v>
      </c>
      <c r="O6994">
        <v>0.73161940000000003</v>
      </c>
      <c r="P6994">
        <v>0.93191029999999997</v>
      </c>
      <c r="Q6994">
        <v>0.161274799999999</v>
      </c>
      <c r="R6994">
        <v>0.32485910000000001</v>
      </c>
      <c r="S6994">
        <v>3.1478730000000001</v>
      </c>
      <c r="T6994">
        <v>-0.1541796</v>
      </c>
      <c r="U6994">
        <v>0.29840090000000002</v>
      </c>
      <c r="V6994">
        <v>0.46819440000000001</v>
      </c>
      <c r="W6994">
        <v>0.15519839999999999</v>
      </c>
      <c r="X6994">
        <v>0.86988940000000003</v>
      </c>
      <c r="Y6994">
        <v>0.66268119999999997</v>
      </c>
      <c r="Z6994">
        <v>-4.824399E-2</v>
      </c>
      <c r="AA6994">
        <v>0.74734599999999995</v>
      </c>
      <c r="AB6994">
        <v>43</v>
      </c>
      <c r="AC6994">
        <v>22.0977</v>
      </c>
      <c r="AD6994">
        <v>-1.0902643422910001</v>
      </c>
      <c r="AE6994">
        <v>1.9323999999999999</v>
      </c>
      <c r="AF6994">
        <v>14.816757840034301</v>
      </c>
      <c r="AG6994">
        <v>-1.0902643422910001</v>
      </c>
      <c r="AH6994">
        <v>16.435858256732001</v>
      </c>
      <c r="AI6994">
        <v>92.820655090323498</v>
      </c>
      <c r="AJ6994">
        <v>47.965664025284703</v>
      </c>
      <c r="AK6994">
        <v>22.155415271704399</v>
      </c>
      <c r="AL6994">
        <v>81.071697505398504</v>
      </c>
      <c r="AM6994">
        <v>61.709844755388701</v>
      </c>
      <c r="AN6994">
        <v>1.00000005389313</v>
      </c>
    </row>
    <row r="6995" spans="1:40" x14ac:dyDescent="0.25">
      <c r="A6995" t="str">
        <f>"20190312164202386"</f>
        <v>20190312164202386</v>
      </c>
      <c r="B6995" t="str">
        <f>"1552380122373449"</f>
        <v>1552380122373449</v>
      </c>
      <c r="C6995" t="s">
        <v>40</v>
      </c>
      <c r="D6995">
        <v>6.0895330000000003</v>
      </c>
      <c r="E6995">
        <v>0.60498949999999996</v>
      </c>
      <c r="F6995" t="s">
        <v>41</v>
      </c>
      <c r="G6995">
        <v>-156.75790000000001</v>
      </c>
      <c r="H6995" s="1">
        <v>-1.62225599999999E-6</v>
      </c>
      <c r="I6995">
        <v>140.5523</v>
      </c>
      <c r="J6995">
        <v>-179.34739999999999</v>
      </c>
      <c r="K6995">
        <v>1.0902860000000001</v>
      </c>
      <c r="L6995">
        <v>138.7433</v>
      </c>
      <c r="M6995">
        <v>0.68698110000000001</v>
      </c>
      <c r="N6995">
        <v>0</v>
      </c>
      <c r="O6995">
        <v>0.7264581</v>
      </c>
      <c r="P6995">
        <v>0.93420740000000002</v>
      </c>
      <c r="Q6995">
        <v>0.16257849999999999</v>
      </c>
      <c r="R6995">
        <v>0.31752930000000001</v>
      </c>
      <c r="S6995">
        <v>3.1505580000000002</v>
      </c>
      <c r="T6995">
        <v>-0.15110779999999999</v>
      </c>
      <c r="U6995">
        <v>0.27197270000000001</v>
      </c>
      <c r="V6995">
        <v>0.46835710000000003</v>
      </c>
      <c r="W6995">
        <v>0.15651209999999999</v>
      </c>
      <c r="X6995">
        <v>0.86956639999999996</v>
      </c>
      <c r="Y6995">
        <v>0.66337819999999903</v>
      </c>
      <c r="Z6995">
        <v>-4.7150400000000002E-2</v>
      </c>
      <c r="AA6995">
        <v>0.7467973</v>
      </c>
      <c r="AB6995">
        <v>43</v>
      </c>
      <c r="AC6995">
        <v>22.589499999999902</v>
      </c>
      <c r="AD6995">
        <v>-1.0902876222560001</v>
      </c>
      <c r="AE6995">
        <v>1.8089999999999899</v>
      </c>
      <c r="AF6995">
        <v>15.134937753068501</v>
      </c>
      <c r="AG6995">
        <v>-1.0902876222560001</v>
      </c>
      <c r="AH6995">
        <v>16.796500393268101</v>
      </c>
      <c r="AI6995">
        <v>92.760811552492996</v>
      </c>
      <c r="AJ6995">
        <v>47.978717762402702</v>
      </c>
      <c r="AK6995">
        <v>22.6357569643597</v>
      </c>
      <c r="AL6995">
        <v>80.995496980537595</v>
      </c>
      <c r="AM6995">
        <v>61.692653369746402</v>
      </c>
      <c r="AN6995">
        <v>1.0000000672878799</v>
      </c>
    </row>
    <row r="6996" spans="1:40" x14ac:dyDescent="0.25">
      <c r="A6996" t="str">
        <f>"20190312164202398"</f>
        <v>20190312164202398</v>
      </c>
      <c r="B6996" t="str">
        <f>"1552380122392970"</f>
        <v>1552380122392970</v>
      </c>
      <c r="C6996" t="s">
        <v>40</v>
      </c>
      <c r="D6996">
        <v>6.2198799999999999</v>
      </c>
      <c r="E6996">
        <v>0.6048789</v>
      </c>
      <c r="F6996" t="s">
        <v>41</v>
      </c>
      <c r="G6996">
        <v>-155.96600000000001</v>
      </c>
      <c r="H6996" s="1">
        <v>-1.9683280000000002E-6</v>
      </c>
      <c r="I6996">
        <v>140.5763</v>
      </c>
      <c r="J6996">
        <v>-179.16929999999999</v>
      </c>
      <c r="K6996">
        <v>1.090311</v>
      </c>
      <c r="L6996">
        <v>138.93299999999999</v>
      </c>
      <c r="M6996">
        <v>0.69377999999999995</v>
      </c>
      <c r="N6996">
        <v>0</v>
      </c>
      <c r="O6996">
        <v>0.71996769999999999</v>
      </c>
      <c r="P6996">
        <v>0.93693349999999997</v>
      </c>
      <c r="Q6996">
        <v>0.16384470000000001</v>
      </c>
      <c r="R6996">
        <v>0.308724</v>
      </c>
      <c r="S6996">
        <v>3.152847</v>
      </c>
      <c r="T6996">
        <v>-0.14701910000000001</v>
      </c>
      <c r="U6996">
        <v>0.24717710000000001</v>
      </c>
      <c r="V6996">
        <v>0.46825879999999998</v>
      </c>
      <c r="W6996">
        <v>0.157808</v>
      </c>
      <c r="X6996">
        <v>0.86938510000000002</v>
      </c>
      <c r="Y6996">
        <v>0.66231289999999998</v>
      </c>
      <c r="Z6996">
        <v>-4.5664780000000002E-2</v>
      </c>
      <c r="AA6996">
        <v>0.74783440000000001</v>
      </c>
      <c r="AB6996">
        <v>43</v>
      </c>
      <c r="AC6996">
        <v>23.203299999999899</v>
      </c>
      <c r="AD6996">
        <v>-1.090312968328</v>
      </c>
      <c r="AE6996">
        <v>1.64330000000001</v>
      </c>
      <c r="AF6996">
        <v>15.5338685122376</v>
      </c>
      <c r="AG6996">
        <v>-1.090312968328</v>
      </c>
      <c r="AH6996">
        <v>17.245948581066202</v>
      </c>
      <c r="AI6996">
        <v>92.689500201720705</v>
      </c>
      <c r="AJ6996">
        <v>47.989824758740603</v>
      </c>
      <c r="AK6996">
        <v>23.236019361869499</v>
      </c>
      <c r="AL6996">
        <v>80.920313016572806</v>
      </c>
      <c r="AM6996">
        <v>61.692686575488402</v>
      </c>
      <c r="AN6996">
        <v>1.0000000603717201</v>
      </c>
    </row>
    <row r="6997" spans="1:40" x14ac:dyDescent="0.25">
      <c r="A6997" t="str">
        <f>"20190312164202411"</f>
        <v>20190312164202411</v>
      </c>
      <c r="B6997" t="str">
        <f>"1552380122402730"</f>
        <v>1552380122402730</v>
      </c>
      <c r="C6997" t="s">
        <v>40</v>
      </c>
      <c r="D6997">
        <v>6.0284769999999996</v>
      </c>
      <c r="E6997">
        <v>0.60484199999999999</v>
      </c>
      <c r="F6997" t="s">
        <v>41</v>
      </c>
      <c r="G6997">
        <v>-155.6001</v>
      </c>
      <c r="H6997" s="1">
        <v>-2.1235160000000001E-6</v>
      </c>
      <c r="I6997">
        <v>140.56950000000001</v>
      </c>
      <c r="J6997">
        <v>-178.98920000000001</v>
      </c>
      <c r="K6997">
        <v>1.0903419999999999</v>
      </c>
      <c r="L6997">
        <v>139.11969999999999</v>
      </c>
      <c r="M6997">
        <v>0.70052000000000003</v>
      </c>
      <c r="N6997">
        <v>0</v>
      </c>
      <c r="O6997">
        <v>0.71341129999999997</v>
      </c>
      <c r="P6997">
        <v>0.93971280000000001</v>
      </c>
      <c r="Q6997">
        <v>0.16492119999999999</v>
      </c>
      <c r="R6997">
        <v>0.29956759999999999</v>
      </c>
      <c r="S6997">
        <v>3.1552730000000002</v>
      </c>
      <c r="T6997">
        <v>-0.1459628</v>
      </c>
      <c r="U6997">
        <v>0.21908569999999999</v>
      </c>
      <c r="V6997">
        <v>0.46847499999999997</v>
      </c>
      <c r="W6997">
        <v>0.15889800000000001</v>
      </c>
      <c r="X6997">
        <v>0.86907000000000001</v>
      </c>
      <c r="Y6997">
        <v>0.6619659</v>
      </c>
      <c r="Z6997">
        <v>-4.5139079999999998E-2</v>
      </c>
      <c r="AA6997">
        <v>0.74817349999999905</v>
      </c>
      <c r="AB6997">
        <v>43</v>
      </c>
      <c r="AC6997">
        <v>23.389099999999999</v>
      </c>
      <c r="AD6997">
        <v>-1.0903441235160001</v>
      </c>
      <c r="AE6997">
        <v>1.44980000000001</v>
      </c>
      <c r="AF6997">
        <v>15.639054480143599</v>
      </c>
      <c r="AG6997">
        <v>-1.0903441235160001</v>
      </c>
      <c r="AH6997">
        <v>17.383955020200101</v>
      </c>
      <c r="AI6997">
        <v>92.669713678385406</v>
      </c>
      <c r="AJ6997">
        <v>48.024634987796603</v>
      </c>
      <c r="AK6997">
        <v>23.4087754375347</v>
      </c>
      <c r="AL6997">
        <v>80.857062301399793</v>
      </c>
      <c r="AM6997">
        <v>61.672968862896496</v>
      </c>
      <c r="AN6997">
        <v>1.00000003246449</v>
      </c>
    </row>
    <row r="6998" spans="1:40" x14ac:dyDescent="0.25">
      <c r="A6998" t="str">
        <f>"20190312164202424"</f>
        <v>20190312164202424</v>
      </c>
      <c r="B6998" t="str">
        <f>"1552380122413466"</f>
        <v>1552380122413466</v>
      </c>
      <c r="C6998" t="s">
        <v>40</v>
      </c>
      <c r="D6998">
        <v>6.1109499999999999</v>
      </c>
      <c r="E6998">
        <v>0.60467490000000002</v>
      </c>
      <c r="F6998" t="s">
        <v>41</v>
      </c>
      <c r="G6998">
        <v>-155.03620000000001</v>
      </c>
      <c r="H6998" s="1">
        <v>-2.3610599999999999E-6</v>
      </c>
      <c r="I6998">
        <v>140.5531</v>
      </c>
      <c r="J6998">
        <v>-178.8304</v>
      </c>
      <c r="K6998">
        <v>1.090368</v>
      </c>
      <c r="L6998">
        <v>139.28190000000001</v>
      </c>
      <c r="M6998">
        <v>0.70637620000000001</v>
      </c>
      <c r="N6998">
        <v>0</v>
      </c>
      <c r="O6998">
        <v>0.70761309999999999</v>
      </c>
      <c r="P6998">
        <v>0.94188490000000002</v>
      </c>
      <c r="Q6998">
        <v>0.16606290000000001</v>
      </c>
      <c r="R6998">
        <v>0.29202040000000001</v>
      </c>
      <c r="S6998">
        <v>3.1574399999999998</v>
      </c>
      <c r="T6998">
        <v>-0.1437271</v>
      </c>
      <c r="U6998">
        <v>0.1889496</v>
      </c>
      <c r="V6998">
        <v>0.46818720000000003</v>
      </c>
      <c r="W6998">
        <v>0.16007759999999999</v>
      </c>
      <c r="X6998">
        <v>0.86900859999999902</v>
      </c>
      <c r="Y6998">
        <v>0.66298409999999997</v>
      </c>
      <c r="Z6998">
        <v>-4.4307850000000003E-2</v>
      </c>
      <c r="AA6998">
        <v>0.74732109999999996</v>
      </c>
      <c r="AB6998">
        <v>43</v>
      </c>
      <c r="AC6998">
        <v>23.794199999999901</v>
      </c>
      <c r="AD6998">
        <v>-1.09037036106</v>
      </c>
      <c r="AE6998">
        <v>1.2711999999999899</v>
      </c>
      <c r="AF6998">
        <v>15.908352659162899</v>
      </c>
      <c r="AG6998">
        <v>-1.09037036106</v>
      </c>
      <c r="AH6998">
        <v>17.672969514900899</v>
      </c>
      <c r="AI6998">
        <v>92.625493699943206</v>
      </c>
      <c r="AJ6998">
        <v>48.007987384217301</v>
      </c>
      <c r="AK6998">
        <v>23.803328408590101</v>
      </c>
      <c r="AL6998">
        <v>80.788599752013198</v>
      </c>
      <c r="AM6998">
        <v>61.685982536445302</v>
      </c>
      <c r="AN6998">
        <v>1.00000001956977</v>
      </c>
    </row>
    <row r="6999" spans="1:40" x14ac:dyDescent="0.25">
      <c r="A6999" t="str">
        <f>"20190312164202436"</f>
        <v>20190312164202436</v>
      </c>
      <c r="B6999" t="str">
        <f>"1552380122432986"</f>
        <v>1552380122432986</v>
      </c>
      <c r="C6999" t="s">
        <v>40</v>
      </c>
      <c r="D6999">
        <v>5.963902</v>
      </c>
      <c r="E6999">
        <v>0.60464929999999995</v>
      </c>
      <c r="F6999" t="s">
        <v>41</v>
      </c>
      <c r="G6999">
        <v>-154.51669999999999</v>
      </c>
      <c r="H6999" s="1">
        <v>-2.5843829999999999E-6</v>
      </c>
      <c r="I6999">
        <v>140.5548</v>
      </c>
      <c r="J6999">
        <v>-178.64619999999999</v>
      </c>
      <c r="K6999">
        <v>1.090398</v>
      </c>
      <c r="L6999">
        <v>139.46729999999999</v>
      </c>
      <c r="M6999">
        <v>0.71307509999999996</v>
      </c>
      <c r="N6999">
        <v>0</v>
      </c>
      <c r="O6999">
        <v>0.70086179999999998</v>
      </c>
      <c r="P6999">
        <v>0.94438029999999995</v>
      </c>
      <c r="Q6999">
        <v>0.16687829999999901</v>
      </c>
      <c r="R6999">
        <v>0.28336840000000002</v>
      </c>
      <c r="S6999">
        <v>3.158798</v>
      </c>
      <c r="T6999">
        <v>-0.1416587</v>
      </c>
      <c r="U6999">
        <v>0.16537479999999999</v>
      </c>
      <c r="V6999">
        <v>0.4678215</v>
      </c>
      <c r="W6999">
        <v>0.16094029999999901</v>
      </c>
      <c r="X6999">
        <v>0.86904619999999999</v>
      </c>
      <c r="Y6999">
        <v>0.66149099999999905</v>
      </c>
      <c r="Z6999">
        <v>-4.3445650000000002E-2</v>
      </c>
      <c r="AA6999">
        <v>0.74869359999999996</v>
      </c>
      <c r="AB6999">
        <v>43</v>
      </c>
      <c r="AC6999">
        <v>24.1295</v>
      </c>
      <c r="AD6999">
        <v>-1.090400584383</v>
      </c>
      <c r="AE6999">
        <v>1.0874999999999999</v>
      </c>
      <c r="AF6999">
        <v>16.105708196476499</v>
      </c>
      <c r="AG6999">
        <v>-1.090400584383</v>
      </c>
      <c r="AH6999">
        <v>17.934628310509101</v>
      </c>
      <c r="AI6999">
        <v>92.590048876593499</v>
      </c>
      <c r="AJ6999">
        <v>48.075432170750098</v>
      </c>
      <c r="AK6999">
        <v>24.1295193193024</v>
      </c>
      <c r="AL6999">
        <v>80.738521360369802</v>
      </c>
      <c r="AM6999">
        <v>61.705707743615001</v>
      </c>
      <c r="AN6999">
        <v>1.00000001688038</v>
      </c>
    </row>
    <row r="7000" spans="1:40" x14ac:dyDescent="0.25">
      <c r="A7000" t="str">
        <f>"20190312164202449"</f>
        <v>20190312164202449</v>
      </c>
      <c r="B7000" t="str">
        <f>"1552380122442746"</f>
        <v>1552380122442746</v>
      </c>
      <c r="C7000" t="s">
        <v>40</v>
      </c>
      <c r="D7000">
        <v>6.0399279999999997</v>
      </c>
      <c r="E7000">
        <v>0.60451339999999998</v>
      </c>
      <c r="F7000" t="s">
        <v>41</v>
      </c>
      <c r="G7000">
        <v>-153.70160000000001</v>
      </c>
      <c r="H7000" s="1">
        <v>-2.931508E-6</v>
      </c>
      <c r="I7000">
        <v>140.5453</v>
      </c>
      <c r="J7000">
        <v>-178.47409999999999</v>
      </c>
      <c r="K7000">
        <v>1.090433</v>
      </c>
      <c r="L7000">
        <v>139.63589999999999</v>
      </c>
      <c r="M7000">
        <v>0.71921650000000004</v>
      </c>
      <c r="N7000">
        <v>0</v>
      </c>
      <c r="O7000">
        <v>0.69455789999999995</v>
      </c>
      <c r="P7000">
        <v>0.94618559999999996</v>
      </c>
      <c r="Q7000">
        <v>0.169295</v>
      </c>
      <c r="R7000">
        <v>0.27581220000000001</v>
      </c>
      <c r="S7000">
        <v>3.1601409999999999</v>
      </c>
      <c r="T7000">
        <v>-0.1381387</v>
      </c>
      <c r="U7000">
        <v>0.1365662</v>
      </c>
      <c r="V7000">
        <v>0.46692250000000002</v>
      </c>
      <c r="W7000">
        <v>0.1634285</v>
      </c>
      <c r="X7000">
        <v>0.86906530000000004</v>
      </c>
      <c r="Y7000">
        <v>0.66178769999999998</v>
      </c>
      <c r="Z7000">
        <v>-4.2201040000000002E-2</v>
      </c>
      <c r="AA7000">
        <v>0.74850260000000002</v>
      </c>
      <c r="AB7000">
        <v>43</v>
      </c>
      <c r="AC7000">
        <v>24.772499999999901</v>
      </c>
      <c r="AD7000">
        <v>-1.0904359315079999</v>
      </c>
      <c r="AE7000">
        <v>0.90940000000000498</v>
      </c>
      <c r="AF7000">
        <v>16.522533054916199</v>
      </c>
      <c r="AG7000">
        <v>-1.0904359315079999</v>
      </c>
      <c r="AH7000">
        <v>18.4157120309895</v>
      </c>
      <c r="AI7000">
        <v>92.523591667258898</v>
      </c>
      <c r="AJ7000">
        <v>48.101620825770603</v>
      </c>
      <c r="AK7000">
        <v>24.765330578852701</v>
      </c>
      <c r="AL7000">
        <v>80.594044964582295</v>
      </c>
      <c r="AM7000">
        <v>61.752206495799697</v>
      </c>
      <c r="AN7000">
        <v>0.99999999564129505</v>
      </c>
    </row>
    <row r="7001" spans="1:40" x14ac:dyDescent="0.25">
      <c r="A7001" t="str">
        <f>"20190312164202463"</f>
        <v>20190312164202463</v>
      </c>
      <c r="B7001" t="str">
        <f>"1552380122453482"</f>
        <v>1552380122453482</v>
      </c>
      <c r="C7001" t="s">
        <v>40</v>
      </c>
      <c r="D7001">
        <v>5.8428329999999997</v>
      </c>
      <c r="E7001">
        <v>0.60454049999999904</v>
      </c>
      <c r="F7001" t="s">
        <v>41</v>
      </c>
      <c r="G7001">
        <v>-152.309</v>
      </c>
      <c r="H7001" s="1">
        <v>-3.5361950000000002E-6</v>
      </c>
      <c r="I7001">
        <v>140.57259999999999</v>
      </c>
      <c r="J7001">
        <v>-178.2901</v>
      </c>
      <c r="K7001">
        <v>1.0904560000000001</v>
      </c>
      <c r="L7001">
        <v>139.81379999999999</v>
      </c>
      <c r="M7001">
        <v>0.72569209999999995</v>
      </c>
      <c r="N7001">
        <v>0</v>
      </c>
      <c r="O7001">
        <v>0.68778899999999998</v>
      </c>
      <c r="P7001">
        <v>0.94844899999999999</v>
      </c>
      <c r="Q7001">
        <v>0.17068889999999901</v>
      </c>
      <c r="R7001">
        <v>0.26703900000000003</v>
      </c>
      <c r="S7001">
        <v>3.1612239999999998</v>
      </c>
      <c r="T7001">
        <v>-0.13174449999999999</v>
      </c>
      <c r="U7001">
        <v>0.11317439999999999</v>
      </c>
      <c r="V7001">
        <v>0.46671309999999999</v>
      </c>
      <c r="W7001">
        <v>0.1648589</v>
      </c>
      <c r="X7001">
        <v>0.868907599999999</v>
      </c>
      <c r="Y7001">
        <v>0.66042270000000003</v>
      </c>
      <c r="Z7001">
        <v>-4.0036139999999998E-2</v>
      </c>
      <c r="AA7001">
        <v>0.74982599999999999</v>
      </c>
      <c r="AB7001">
        <v>43</v>
      </c>
      <c r="AC7001">
        <v>25.981100000000001</v>
      </c>
      <c r="AD7001">
        <v>-1.09045953619499</v>
      </c>
      <c r="AE7001">
        <v>0.75880000000000702</v>
      </c>
      <c r="AF7001">
        <v>17.291173688508</v>
      </c>
      <c r="AG7001">
        <v>-1.09045953619499</v>
      </c>
      <c r="AH7001">
        <v>19.345198556348599</v>
      </c>
      <c r="AI7001">
        <v>92.4065657518005</v>
      </c>
      <c r="AJ7001">
        <v>48.208938880287803</v>
      </c>
      <c r="AK7001">
        <v>25.969414639355701</v>
      </c>
      <c r="AL7001">
        <v>80.5109621780704</v>
      </c>
      <c r="AM7001">
        <v>61.758586308839199</v>
      </c>
      <c r="AN7001">
        <v>0.99999999597928901</v>
      </c>
    </row>
    <row r="7002" spans="1:40" x14ac:dyDescent="0.25">
      <c r="A7002" t="str">
        <f>"20190312164202474"</f>
        <v>20190312164202474</v>
      </c>
      <c r="B7002" t="str">
        <f>"1552380122463242"</f>
        <v>1552380122463242</v>
      </c>
      <c r="C7002" t="s">
        <v>40</v>
      </c>
      <c r="D7002">
        <v>5.9264409999999996</v>
      </c>
      <c r="E7002">
        <v>0.60453080000000003</v>
      </c>
      <c r="F7002" t="s">
        <v>41</v>
      </c>
      <c r="G7002">
        <v>-151.1318</v>
      </c>
      <c r="H7002" s="1">
        <v>-4.0319060000000001E-6</v>
      </c>
      <c r="I7002">
        <v>140.5377</v>
      </c>
      <c r="J7002">
        <v>-178.11580000000001</v>
      </c>
      <c r="K7002">
        <v>1.0904849999999999</v>
      </c>
      <c r="L7002">
        <v>139.97919999999999</v>
      </c>
      <c r="M7002">
        <v>0.73173489999999997</v>
      </c>
      <c r="N7002">
        <v>0</v>
      </c>
      <c r="O7002">
        <v>0.68135639999999997</v>
      </c>
      <c r="P7002">
        <v>0.95048299999999997</v>
      </c>
      <c r="Q7002">
        <v>0.171872</v>
      </c>
      <c r="R7002">
        <v>0.25892470000000001</v>
      </c>
      <c r="S7002">
        <v>3.162201</v>
      </c>
      <c r="T7002">
        <v>-0.12696840000000001</v>
      </c>
      <c r="U7002">
        <v>8.4289550000000005E-2</v>
      </c>
      <c r="V7002">
        <v>0.46637020000000001</v>
      </c>
      <c r="W7002">
        <v>0.16608439999999999</v>
      </c>
      <c r="X7002">
        <v>0.86885829999999997</v>
      </c>
      <c r="Y7002">
        <v>0.66073090000000001</v>
      </c>
      <c r="Z7002">
        <v>-3.8425319999999999E-2</v>
      </c>
      <c r="AA7002">
        <v>0.74963869999999999</v>
      </c>
      <c r="AB7002">
        <v>43</v>
      </c>
      <c r="AC7002">
        <v>26.984000000000002</v>
      </c>
      <c r="AD7002">
        <v>-1.0904890319060001</v>
      </c>
      <c r="AE7002">
        <v>0.55850000000000899</v>
      </c>
      <c r="AF7002">
        <v>17.9505978956383</v>
      </c>
      <c r="AG7002">
        <v>-1.0904890319060001</v>
      </c>
      <c r="AH7002">
        <v>20.096061602944602</v>
      </c>
      <c r="AI7002">
        <v>92.317480392501096</v>
      </c>
      <c r="AJ7002">
        <v>48.227509824850301</v>
      </c>
      <c r="AK7002">
        <v>26.967847950642</v>
      </c>
      <c r="AL7002">
        <v>80.439764439794104</v>
      </c>
      <c r="AM7002">
        <v>61.7747826567891</v>
      </c>
      <c r="AN7002">
        <v>0.99999996842514405</v>
      </c>
    </row>
    <row r="7003" spans="1:40" x14ac:dyDescent="0.25">
      <c r="A7003" t="str">
        <f>"20190312164202486"</f>
        <v>20190312164202486</v>
      </c>
      <c r="B7003" t="str">
        <f>"1552380122482762"</f>
        <v>1552380122482762</v>
      </c>
      <c r="C7003" t="s">
        <v>40</v>
      </c>
      <c r="D7003">
        <v>6.0752199999999998</v>
      </c>
      <c r="E7003">
        <v>0.60397019999999901</v>
      </c>
      <c r="F7003" t="s">
        <v>41</v>
      </c>
      <c r="G7003">
        <v>-150.14500000000001</v>
      </c>
      <c r="H7003" s="1">
        <v>-4.3825290000000001E-6</v>
      </c>
      <c r="I7003">
        <v>140.49469999999999</v>
      </c>
      <c r="J7003">
        <v>-177.9513</v>
      </c>
      <c r="K7003">
        <v>1.090508</v>
      </c>
      <c r="L7003">
        <v>140.1319</v>
      </c>
      <c r="M7003">
        <v>0.73734350000000004</v>
      </c>
      <c r="N7003">
        <v>0</v>
      </c>
      <c r="O7003">
        <v>0.67528269999999901</v>
      </c>
      <c r="P7003">
        <v>0.95240590000000003</v>
      </c>
      <c r="Q7003">
        <v>0.17300399999999999</v>
      </c>
      <c r="R7003">
        <v>0.25098330000000002</v>
      </c>
      <c r="S7003">
        <v>3.1627200000000002</v>
      </c>
      <c r="T7003">
        <v>-0.12330380000000001</v>
      </c>
      <c r="U7003">
        <v>5.8288569999999998E-2</v>
      </c>
      <c r="V7003">
        <v>0.46634520000000002</v>
      </c>
      <c r="W7003">
        <v>0.1672401</v>
      </c>
      <c r="X7003">
        <v>0.86865009999999998</v>
      </c>
      <c r="Y7003">
        <v>0.66075220000000001</v>
      </c>
      <c r="Z7003">
        <v>-3.7164259999999998E-2</v>
      </c>
      <c r="AA7003">
        <v>0.74968349999999995</v>
      </c>
      <c r="AB7003">
        <v>43</v>
      </c>
      <c r="AC7003">
        <v>27.8063</v>
      </c>
      <c r="AD7003">
        <v>-1.090512382529</v>
      </c>
      <c r="AE7003">
        <v>0.36279999999999202</v>
      </c>
      <c r="AF7003">
        <v>18.484122399672</v>
      </c>
      <c r="AG7003">
        <v>-1.090512382529</v>
      </c>
      <c r="AH7003">
        <v>20.7192230368581</v>
      </c>
      <c r="AI7003">
        <v>92.249143977719299</v>
      </c>
      <c r="AJ7003">
        <v>48.263072260408499</v>
      </c>
      <c r="AK7003">
        <v>27.787374856102801</v>
      </c>
      <c r="AL7003">
        <v>80.372609218595599</v>
      </c>
      <c r="AM7003">
        <v>61.770340494883698</v>
      </c>
      <c r="AN7003">
        <v>1.0000000464205201</v>
      </c>
    </row>
    <row r="7004" spans="1:40" x14ac:dyDescent="0.25">
      <c r="A7004" t="str">
        <f>"20190312164202506"</f>
        <v>20190312164202506</v>
      </c>
      <c r="B7004" t="str">
        <f>"1552380122503258"</f>
        <v>1552380122503258</v>
      </c>
      <c r="C7004" t="s">
        <v>40</v>
      </c>
      <c r="D7004">
        <v>6.0871979999999999</v>
      </c>
      <c r="E7004">
        <v>0.60356519999999902</v>
      </c>
      <c r="F7004" t="s">
        <v>41</v>
      </c>
      <c r="G7004">
        <v>-149.71440000000001</v>
      </c>
      <c r="H7004" s="1">
        <v>-3.3123679999999998E-7</v>
      </c>
      <c r="I7004">
        <v>140.46719999999999</v>
      </c>
      <c r="J7004">
        <v>-177.68799999999999</v>
      </c>
      <c r="K7004">
        <v>1.090554</v>
      </c>
      <c r="L7004">
        <v>140.3717</v>
      </c>
      <c r="M7004">
        <v>0.74617149999999999</v>
      </c>
      <c r="N7004">
        <v>0</v>
      </c>
      <c r="O7004">
        <v>0.66551459999999996</v>
      </c>
      <c r="P7004">
        <v>0.95507379999999997</v>
      </c>
      <c r="Q7004">
        <v>0.17483080000000001</v>
      </c>
      <c r="R7004">
        <v>0.2393083</v>
      </c>
      <c r="S7004">
        <v>3.162201</v>
      </c>
      <c r="T7004">
        <v>-0.1221241</v>
      </c>
      <c r="U7004">
        <v>3.7551880000000003E-2</v>
      </c>
      <c r="V7004">
        <v>0.4653892</v>
      </c>
      <c r="W7004">
        <v>0.16915359999999999</v>
      </c>
      <c r="X7004">
        <v>0.86879219999999902</v>
      </c>
      <c r="Y7004">
        <v>0.65580090000000002</v>
      </c>
      <c r="Z7004">
        <v>-3.6462120000000001E-2</v>
      </c>
      <c r="AA7004">
        <v>0.75405279999999997</v>
      </c>
      <c r="AB7004">
        <v>43</v>
      </c>
      <c r="AC7004">
        <v>27.973599999999902</v>
      </c>
      <c r="AD7004">
        <v>-1.0905543312368</v>
      </c>
      <c r="AE7004">
        <v>9.5499999999986998E-2</v>
      </c>
      <c r="AF7004">
        <v>18.520385392602002</v>
      </c>
      <c r="AG7004">
        <v>-1.0905543312368</v>
      </c>
      <c r="AH7004">
        <v>20.908216955712199</v>
      </c>
      <c r="AI7004">
        <v>92.235929247870004</v>
      </c>
      <c r="AJ7004">
        <v>48.465651092103599</v>
      </c>
      <c r="AK7004">
        <v>27.952594157019099</v>
      </c>
      <c r="AL7004">
        <v>80.261388449556307</v>
      </c>
      <c r="AM7004">
        <v>61.823213295853101</v>
      </c>
      <c r="AN7004">
        <v>0.99999996732521901</v>
      </c>
    </row>
    <row r="7005" spans="1:40" x14ac:dyDescent="0.25">
      <c r="A7005" t="str">
        <f>"20190312164202517"</f>
        <v>20190312164202517</v>
      </c>
      <c r="B7005" t="str">
        <f>"1552380122513018"</f>
        <v>1552380122513018</v>
      </c>
      <c r="C7005" t="s">
        <v>40</v>
      </c>
      <c r="D7005">
        <v>6.5547880000000003</v>
      </c>
      <c r="E7005">
        <v>0.60332969999999997</v>
      </c>
      <c r="F7005" t="s">
        <v>41</v>
      </c>
      <c r="G7005">
        <v>-148.26329999999999</v>
      </c>
      <c r="H7005" s="1">
        <v>-9.3515720000000002E-7</v>
      </c>
      <c r="I7005">
        <v>140.3972</v>
      </c>
      <c r="J7005">
        <v>-177.50880000000001</v>
      </c>
      <c r="K7005">
        <v>1.0905830000000001</v>
      </c>
      <c r="L7005">
        <v>140.53200000000001</v>
      </c>
      <c r="M7005">
        <v>0.75207230000000003</v>
      </c>
      <c r="N7005">
        <v>0</v>
      </c>
      <c r="O7005">
        <v>0.6588387</v>
      </c>
      <c r="P7005">
        <v>0.95688519999999999</v>
      </c>
      <c r="Q7005">
        <v>0.17534459999999999</v>
      </c>
      <c r="R7005">
        <v>0.23157130000000001</v>
      </c>
      <c r="S7005">
        <v>3.161896</v>
      </c>
      <c r="T7005">
        <v>-0.1171881</v>
      </c>
      <c r="U7005">
        <v>2.746582E-3</v>
      </c>
      <c r="V7005">
        <v>0.46463169999999998</v>
      </c>
      <c r="W7005">
        <v>0.16973350000000001</v>
      </c>
      <c r="X7005">
        <v>0.86908449999999904</v>
      </c>
      <c r="Y7005">
        <v>0.65745050000000005</v>
      </c>
      <c r="Z7005">
        <v>-3.4864409999999998E-2</v>
      </c>
      <c r="AA7005">
        <v>0.75269069999999905</v>
      </c>
      <c r="AB7005">
        <v>42</v>
      </c>
      <c r="AC7005">
        <v>29.2455</v>
      </c>
      <c r="AD7005">
        <v>-1.0905839351572</v>
      </c>
      <c r="AE7005">
        <v>-0.13480000000001199</v>
      </c>
      <c r="AF7005">
        <v>19.3456336630761</v>
      </c>
      <c r="AG7005">
        <v>-1.0905839351572</v>
      </c>
      <c r="AH7005">
        <v>21.878987758559099</v>
      </c>
      <c r="AI7005">
        <v>92.138552005476697</v>
      </c>
      <c r="AJ7005">
        <v>48.516543995761999</v>
      </c>
      <c r="AK7005">
        <v>29.225554237426302</v>
      </c>
      <c r="AL7005">
        <v>80.227675182223294</v>
      </c>
      <c r="AM7005">
        <v>61.870059373647798</v>
      </c>
      <c r="AN7005">
        <v>0.99999997290369402</v>
      </c>
    </row>
    <row r="7006" spans="1:40" x14ac:dyDescent="0.25">
      <c r="A7006" t="str">
        <f>"20190312164202529"</f>
        <v>20190312164202529</v>
      </c>
      <c r="B7006" t="str">
        <f>"1552380122522778"</f>
        <v>1552380122522778</v>
      </c>
      <c r="C7006" t="s">
        <v>40</v>
      </c>
      <c r="D7006">
        <v>5.885688</v>
      </c>
      <c r="E7006">
        <v>0.6032457</v>
      </c>
      <c r="F7006" t="s">
        <v>41</v>
      </c>
      <c r="G7006">
        <v>-147.56659999999999</v>
      </c>
      <c r="H7006" s="1">
        <v>-1.2155310000000001E-6</v>
      </c>
      <c r="I7006">
        <v>140.32759999999999</v>
      </c>
      <c r="J7006">
        <v>-177.34559999999999</v>
      </c>
      <c r="K7006">
        <v>1.090598</v>
      </c>
      <c r="L7006">
        <v>140.6739</v>
      </c>
      <c r="M7006">
        <v>0.75735810000000003</v>
      </c>
      <c r="N7006">
        <v>0</v>
      </c>
      <c r="O7006">
        <v>0.65275559999999999</v>
      </c>
      <c r="P7006">
        <v>0.95847819999999995</v>
      </c>
      <c r="Q7006">
        <v>0.17524389999999901</v>
      </c>
      <c r="R7006">
        <v>0.2249651</v>
      </c>
      <c r="S7006">
        <v>3.1614840000000002</v>
      </c>
      <c r="T7006">
        <v>-0.1151503</v>
      </c>
      <c r="U7006">
        <v>-2.157593E-2</v>
      </c>
      <c r="V7006">
        <v>0.46362140000000002</v>
      </c>
      <c r="W7006">
        <v>0.16971049999999999</v>
      </c>
      <c r="X7006">
        <v>0.86962839999999997</v>
      </c>
      <c r="Y7006">
        <v>0.65720400000000001</v>
      </c>
      <c r="Z7006">
        <v>-3.4107800000000001E-2</v>
      </c>
      <c r="AA7006">
        <v>0.75294069999999902</v>
      </c>
      <c r="AB7006">
        <v>42</v>
      </c>
      <c r="AC7006">
        <v>29.779</v>
      </c>
      <c r="AD7006">
        <v>-1.090599215531</v>
      </c>
      <c r="AE7006">
        <v>-0.34630000000001299</v>
      </c>
      <c r="AF7006">
        <v>19.677434692068399</v>
      </c>
      <c r="AG7006">
        <v>-1.090599215531</v>
      </c>
      <c r="AH7006">
        <v>22.3009706520096</v>
      </c>
      <c r="AI7006">
        <v>92.100079915983599</v>
      </c>
      <c r="AJ7006">
        <v>48.576178874721698</v>
      </c>
      <c r="AK7006">
        <v>29.761117834035201</v>
      </c>
      <c r="AL7006">
        <v>80.229012704192201</v>
      </c>
      <c r="AM7006">
        <v>61.936768132555997</v>
      </c>
      <c r="AN7006">
        <v>1.0000000052173801</v>
      </c>
    </row>
    <row r="7007" spans="1:40" x14ac:dyDescent="0.25">
      <c r="A7007" t="str">
        <f>"20190312164202541"</f>
        <v>20190312164202541</v>
      </c>
      <c r="B7007" t="str">
        <f>"1552380122533515"</f>
        <v>1552380122533515</v>
      </c>
      <c r="C7007" t="s">
        <v>40</v>
      </c>
      <c r="D7007">
        <v>5.8616449999999896</v>
      </c>
      <c r="E7007">
        <v>0.60322869999999995</v>
      </c>
      <c r="F7007" t="s">
        <v>41</v>
      </c>
      <c r="G7007">
        <v>-147.00530000000001</v>
      </c>
      <c r="H7007" s="1">
        <v>-1.4358019999999999E-6</v>
      </c>
      <c r="I7007">
        <v>140.25059999999999</v>
      </c>
      <c r="J7007">
        <v>-177.17429999999999</v>
      </c>
      <c r="K7007">
        <v>1.0906169999999999</v>
      </c>
      <c r="L7007">
        <v>140.82159999999999</v>
      </c>
      <c r="M7007">
        <v>0.76284130000000006</v>
      </c>
      <c r="N7007">
        <v>0</v>
      </c>
      <c r="O7007">
        <v>0.64633869999999904</v>
      </c>
      <c r="P7007">
        <v>0.96016769999999996</v>
      </c>
      <c r="Q7007">
        <v>0.17478170000000001</v>
      </c>
      <c r="R7007">
        <v>0.21801209999999999</v>
      </c>
      <c r="S7007">
        <v>3.1611020000000001</v>
      </c>
      <c r="T7007">
        <v>-0.1136277</v>
      </c>
      <c r="U7007">
        <v>-4.4097900000000002E-2</v>
      </c>
      <c r="V7007">
        <v>0.46260859999999898</v>
      </c>
      <c r="W7007">
        <v>0.16932800000000001</v>
      </c>
      <c r="X7007">
        <v>0.87024210000000002</v>
      </c>
      <c r="Y7007">
        <v>0.6562346</v>
      </c>
      <c r="Z7007">
        <v>-3.3481869999999997E-2</v>
      </c>
      <c r="AA7007">
        <v>0.75381369999999903</v>
      </c>
      <c r="AB7007">
        <v>42</v>
      </c>
      <c r="AC7007">
        <v>30.168999999999901</v>
      </c>
      <c r="AD7007">
        <v>-1.0906184358019999</v>
      </c>
      <c r="AE7007">
        <v>-0.57099999999999795</v>
      </c>
      <c r="AF7007">
        <v>19.912146602382901</v>
      </c>
      <c r="AG7007">
        <v>-1.0906184358019999</v>
      </c>
      <c r="AH7007">
        <v>22.619168332102099</v>
      </c>
      <c r="AI7007">
        <v>92.072689545980396</v>
      </c>
      <c r="AJ7007">
        <v>48.641833983101201</v>
      </c>
      <c r="AK7007">
        <v>30.1547642491741</v>
      </c>
      <c r="AL7007">
        <v>80.251250139224098</v>
      </c>
      <c r="AM7007">
        <v>62.0055094143435</v>
      </c>
      <c r="AN7007">
        <v>1.0000000004951799</v>
      </c>
    </row>
    <row r="7008" spans="1:40" x14ac:dyDescent="0.25">
      <c r="A7008" t="str">
        <f>"20190312164202552"</f>
        <v>20190312164202552</v>
      </c>
      <c r="B7008" t="str">
        <f>"1552380122543274"</f>
        <v>1552380122543274</v>
      </c>
      <c r="C7008" t="s">
        <v>40</v>
      </c>
      <c r="D7008">
        <v>5.9094379999999997</v>
      </c>
      <c r="E7008">
        <v>0.60326759999999902</v>
      </c>
      <c r="F7008" t="s">
        <v>41</v>
      </c>
      <c r="G7008">
        <v>-146.7903</v>
      </c>
      <c r="H7008" s="1">
        <v>-1.505812E-6</v>
      </c>
      <c r="I7008">
        <v>140.167</v>
      </c>
      <c r="J7008">
        <v>-177.00030000000001</v>
      </c>
      <c r="K7008">
        <v>1.090633</v>
      </c>
      <c r="L7008">
        <v>140.9682</v>
      </c>
      <c r="M7008">
        <v>0.76832400000000001</v>
      </c>
      <c r="N7008">
        <v>0</v>
      </c>
      <c r="O7008">
        <v>0.63981140000000003</v>
      </c>
      <c r="P7008">
        <v>0.96198729999999999</v>
      </c>
      <c r="Q7008">
        <v>0.17325960000000001</v>
      </c>
      <c r="R7008">
        <v>0.2110957</v>
      </c>
      <c r="S7008">
        <v>3.160568</v>
      </c>
      <c r="T7008">
        <v>-0.1134471</v>
      </c>
      <c r="U7008">
        <v>-6.8084720000000001E-2</v>
      </c>
      <c r="V7008">
        <v>0.46155079999999998</v>
      </c>
      <c r="W7008">
        <v>0.16789019999999999</v>
      </c>
      <c r="X7008">
        <v>0.87108189999999996</v>
      </c>
      <c r="Y7008">
        <v>0.65553240000000002</v>
      </c>
      <c r="Z7008">
        <v>-3.3254690000000003E-2</v>
      </c>
      <c r="AA7008">
        <v>0.75443439999999995</v>
      </c>
      <c r="AB7008">
        <v>42</v>
      </c>
      <c r="AC7008">
        <v>30.21</v>
      </c>
      <c r="AD7008">
        <v>-1.0906345058119999</v>
      </c>
      <c r="AE7008">
        <v>-0.80119999999999403</v>
      </c>
      <c r="AF7008">
        <v>19.921525249125501</v>
      </c>
      <c r="AG7008">
        <v>-1.0906345058119999</v>
      </c>
      <c r="AH7008">
        <v>22.6725500442354</v>
      </c>
      <c r="AI7008">
        <v>92.069544638365201</v>
      </c>
      <c r="AJ7008">
        <v>48.695431423846003</v>
      </c>
      <c r="AK7008">
        <v>30.2010128536308</v>
      </c>
      <c r="AL7008">
        <v>80.334826269619498</v>
      </c>
      <c r="AM7008">
        <v>62.082706636509201</v>
      </c>
      <c r="AN7008">
        <v>0.999999968372144</v>
      </c>
    </row>
    <row r="7009" spans="1:40" x14ac:dyDescent="0.25">
      <c r="A7009" t="str">
        <f>"20190312164202564"</f>
        <v>20190312164202564</v>
      </c>
      <c r="B7009" t="str">
        <f>"1552380122553034"</f>
        <v>1552380122553034</v>
      </c>
      <c r="C7009" t="s">
        <v>40</v>
      </c>
      <c r="D7009">
        <v>6.021738</v>
      </c>
      <c r="E7009">
        <v>0.60316689999999995</v>
      </c>
      <c r="F7009" t="s">
        <v>41</v>
      </c>
      <c r="G7009">
        <v>-147.47</v>
      </c>
      <c r="H7009" s="1">
        <v>-1.198008E-6</v>
      </c>
      <c r="I7009">
        <v>140.10599999999999</v>
      </c>
      <c r="J7009">
        <v>-176.8271</v>
      </c>
      <c r="K7009">
        <v>1.090649</v>
      </c>
      <c r="L7009">
        <v>141.11179999999999</v>
      </c>
      <c r="M7009">
        <v>0.77370410000000001</v>
      </c>
      <c r="N7009">
        <v>0</v>
      </c>
      <c r="O7009">
        <v>0.63329460000000004</v>
      </c>
      <c r="P7009">
        <v>0.96391610000000005</v>
      </c>
      <c r="Q7009">
        <v>0.1710016</v>
      </c>
      <c r="R7009">
        <v>0.20402029999999999</v>
      </c>
      <c r="S7009">
        <v>3.159805</v>
      </c>
      <c r="T7009">
        <v>-0.1167002</v>
      </c>
      <c r="U7009">
        <v>-9.2254639999999999E-2</v>
      </c>
      <c r="V7009">
        <v>0.4607348</v>
      </c>
      <c r="W7009">
        <v>0.16570299999999999</v>
      </c>
      <c r="X7009">
        <v>0.87193229999999999</v>
      </c>
      <c r="Y7009">
        <v>0.65488290000000005</v>
      </c>
      <c r="Z7009">
        <v>-3.4029110000000001E-2</v>
      </c>
      <c r="AA7009">
        <v>0.75496390000000002</v>
      </c>
      <c r="AB7009">
        <v>42</v>
      </c>
      <c r="AC7009">
        <v>29.357099999999999</v>
      </c>
      <c r="AD7009">
        <v>-1.0906501980079999</v>
      </c>
      <c r="AE7009">
        <v>-1.00579999999999</v>
      </c>
      <c r="AF7009">
        <v>19.346312952697001</v>
      </c>
      <c r="AG7009">
        <v>-1.0906501980079999</v>
      </c>
      <c r="AH7009">
        <v>22.049875374322902</v>
      </c>
      <c r="AI7009">
        <v>92.129308181059201</v>
      </c>
      <c r="AJ7009">
        <v>48.736649382116497</v>
      </c>
      <c r="AK7009">
        <v>29.354153824310501</v>
      </c>
      <c r="AL7009">
        <v>80.461924291295105</v>
      </c>
      <c r="AM7009">
        <v>62.147730527847401</v>
      </c>
      <c r="AN7009">
        <v>0.99999998796166401</v>
      </c>
    </row>
    <row r="7010" spans="1:40" x14ac:dyDescent="0.25">
      <c r="A7010" t="str">
        <f>"20190312164202576"</f>
        <v>20190312164202576</v>
      </c>
      <c r="B7010" t="str">
        <f>"1552380122573530"</f>
        <v>1552380122573530</v>
      </c>
      <c r="C7010" t="s">
        <v>40</v>
      </c>
      <c r="D7010">
        <v>6.2010779999999999</v>
      </c>
      <c r="E7010">
        <v>0.60303660000000003</v>
      </c>
      <c r="F7010" t="s">
        <v>41</v>
      </c>
      <c r="G7010">
        <v>-149.05179999999999</v>
      </c>
      <c r="H7010" s="1">
        <v>-5.1804270000000005E-7</v>
      </c>
      <c r="I7010">
        <v>140.1009</v>
      </c>
      <c r="J7010">
        <v>-176.64439999999999</v>
      </c>
      <c r="K7010">
        <v>1.0906670000000001</v>
      </c>
      <c r="L7010">
        <v>141.2612</v>
      </c>
      <c r="M7010">
        <v>0.779304</v>
      </c>
      <c r="N7010">
        <v>0</v>
      </c>
      <c r="O7010">
        <v>0.62639060000000002</v>
      </c>
      <c r="P7010">
        <v>0.96587199999999995</v>
      </c>
      <c r="Q7010">
        <v>0.1690904</v>
      </c>
      <c r="R7010">
        <v>0.19621369999999999</v>
      </c>
      <c r="S7010">
        <v>3.15863</v>
      </c>
      <c r="T7010">
        <v>-0.124029399999999</v>
      </c>
      <c r="U7010">
        <v>-0.1149597</v>
      </c>
      <c r="V7010">
        <v>0.46015470000000003</v>
      </c>
      <c r="W7010">
        <v>0.16384949999999901</v>
      </c>
      <c r="X7010">
        <v>0.872588699999999</v>
      </c>
      <c r="Y7010">
        <v>0.65349429999999997</v>
      </c>
      <c r="Z7010">
        <v>-3.5949120000000001E-2</v>
      </c>
      <c r="AA7010">
        <v>0.75607729999999995</v>
      </c>
      <c r="AB7010">
        <v>42</v>
      </c>
      <c r="AC7010">
        <v>27.592600000000001</v>
      </c>
      <c r="AD7010">
        <v>-1.0906675180426999</v>
      </c>
      <c r="AE7010">
        <v>-1.1603000000000001</v>
      </c>
      <c r="AF7010">
        <v>18.1625557491097</v>
      </c>
      <c r="AG7010">
        <v>-1.0906675180426999</v>
      </c>
      <c r="AH7010">
        <v>20.747189752467001</v>
      </c>
      <c r="AI7010">
        <v>92.265109678590093</v>
      </c>
      <c r="AJ7010">
        <v>48.800368800569302</v>
      </c>
      <c r="AK7010">
        <v>27.595540755696401</v>
      </c>
      <c r="AL7010">
        <v>80.569594107188394</v>
      </c>
      <c r="AM7010">
        <v>62.195331408837298</v>
      </c>
      <c r="AN7010">
        <v>1.0000000229750099</v>
      </c>
    </row>
    <row r="7011" spans="1:40" x14ac:dyDescent="0.25">
      <c r="A7011" t="str">
        <f>"20190312164202588"</f>
        <v>20190312164202588</v>
      </c>
      <c r="B7011" t="str">
        <f>"1552380122583290"</f>
        <v>1552380122583290</v>
      </c>
      <c r="C7011" t="s">
        <v>40</v>
      </c>
      <c r="D7011">
        <v>6.0072359999999998</v>
      </c>
      <c r="E7011">
        <v>0.60291779999999995</v>
      </c>
      <c r="F7011" t="s">
        <v>41</v>
      </c>
      <c r="G7011">
        <v>-150.43989999999999</v>
      </c>
      <c r="H7011" s="1">
        <v>-4.213162E-6</v>
      </c>
      <c r="I7011">
        <v>140.10570000000001</v>
      </c>
      <c r="J7011">
        <v>-176.47409999999999</v>
      </c>
      <c r="K7011">
        <v>1.090681</v>
      </c>
      <c r="L7011">
        <v>141.39680000000001</v>
      </c>
      <c r="M7011">
        <v>0.78443839999999998</v>
      </c>
      <c r="N7011">
        <v>0</v>
      </c>
      <c r="O7011">
        <v>0.61994839999999996</v>
      </c>
      <c r="P7011">
        <v>0.96759859999999998</v>
      </c>
      <c r="Q7011">
        <v>0.167521</v>
      </c>
      <c r="R7011">
        <v>0.18891720000000001</v>
      </c>
      <c r="S7011">
        <v>3.1572879999999999</v>
      </c>
      <c r="T7011">
        <v>-0.13141079999999999</v>
      </c>
      <c r="U7011">
        <v>-0.13922119999999999</v>
      </c>
      <c r="V7011">
        <v>0.45964430000000001</v>
      </c>
      <c r="W7011">
        <v>0.1623299</v>
      </c>
      <c r="X7011">
        <v>0.87314150000000001</v>
      </c>
      <c r="Y7011">
        <v>0.65296489999999996</v>
      </c>
      <c r="Z7011">
        <v>-3.7890300000000002E-2</v>
      </c>
      <c r="AA7011">
        <v>0.7564398</v>
      </c>
      <c r="AB7011">
        <v>42</v>
      </c>
      <c r="AC7011">
        <v>26.034199999999998</v>
      </c>
      <c r="AD7011">
        <v>-1.090685213162</v>
      </c>
      <c r="AE7011">
        <v>-1.2910999999999999</v>
      </c>
      <c r="AF7011">
        <v>17.1254137186699</v>
      </c>
      <c r="AG7011">
        <v>-1.090685213162</v>
      </c>
      <c r="AH7011">
        <v>19.5906548925133</v>
      </c>
      <c r="AI7011">
        <v>92.400214079471695</v>
      </c>
      <c r="AJ7011">
        <v>48.8412671296241</v>
      </c>
      <c r="AK7011">
        <v>26.043485718839001</v>
      </c>
      <c r="AL7011">
        <v>80.657841899974997</v>
      </c>
      <c r="AM7011">
        <v>62.236519270999302</v>
      </c>
      <c r="AN7011">
        <v>0.99999997898937398</v>
      </c>
    </row>
    <row r="7012" spans="1:40" x14ac:dyDescent="0.25">
      <c r="A7012" t="str">
        <f>"20190312164202602"</f>
        <v>20190312164202602</v>
      </c>
      <c r="B7012" t="str">
        <f>"1552380122593051"</f>
        <v>1552380122593051</v>
      </c>
      <c r="C7012" t="s">
        <v>40</v>
      </c>
      <c r="D7012">
        <v>6.0347179999999998</v>
      </c>
      <c r="E7012">
        <v>0.60280269999999903</v>
      </c>
      <c r="F7012" t="s">
        <v>41</v>
      </c>
      <c r="G7012">
        <v>-151.41489999999999</v>
      </c>
      <c r="H7012" s="1">
        <v>-3.797636E-6</v>
      </c>
      <c r="I7012">
        <v>140.11369999999999</v>
      </c>
      <c r="J7012">
        <v>-176.2525</v>
      </c>
      <c r="K7012">
        <v>1.090695</v>
      </c>
      <c r="L7012">
        <v>141.571</v>
      </c>
      <c r="M7012">
        <v>0.79102340000000004</v>
      </c>
      <c r="N7012">
        <v>0</v>
      </c>
      <c r="O7012">
        <v>0.611523699999999</v>
      </c>
      <c r="P7012">
        <v>0.96972170000000002</v>
      </c>
      <c r="Q7012">
        <v>0.1660402</v>
      </c>
      <c r="R7012">
        <v>0.1790832</v>
      </c>
      <c r="S7012">
        <v>3.1557919999999999</v>
      </c>
      <c r="T7012">
        <v>-0.13735349999999999</v>
      </c>
      <c r="U7012">
        <v>-0.1615906</v>
      </c>
      <c r="V7012">
        <v>0.45925369999999999</v>
      </c>
      <c r="W7012">
        <v>0.16089700000000001</v>
      </c>
      <c r="X7012">
        <v>0.87361219999999995</v>
      </c>
      <c r="Y7012">
        <v>0.65014559999999999</v>
      </c>
      <c r="Z7012">
        <v>-3.9275589999999999E-2</v>
      </c>
      <c r="AA7012">
        <v>0.75879379999999996</v>
      </c>
      <c r="AB7012">
        <v>42</v>
      </c>
      <c r="AC7012">
        <v>24.837599999999998</v>
      </c>
      <c r="AD7012">
        <v>-1.0906987976360001</v>
      </c>
      <c r="AE7012">
        <v>-1.4573</v>
      </c>
      <c r="AF7012">
        <v>16.3128115971117</v>
      </c>
      <c r="AG7012">
        <v>-1.0906987976360001</v>
      </c>
      <c r="AH7012">
        <v>18.7229770089094</v>
      </c>
      <c r="AI7012">
        <v>92.5149326044573</v>
      </c>
      <c r="AJ7012">
        <v>48.935264416917398</v>
      </c>
      <c r="AK7012">
        <v>24.856534636714301</v>
      </c>
      <c r="AL7012">
        <v>80.741035249737607</v>
      </c>
      <c r="AM7012">
        <v>62.269312694380297</v>
      </c>
      <c r="AN7012">
        <v>1.0000000407807601</v>
      </c>
    </row>
    <row r="7013" spans="1:40" x14ac:dyDescent="0.25">
      <c r="A7013" t="str">
        <f>"20190312164202617"</f>
        <v>20190312164202617</v>
      </c>
      <c r="B7013" t="str">
        <f>"1552380122612570"</f>
        <v>1552380122612570</v>
      </c>
      <c r="C7013" t="s">
        <v>40</v>
      </c>
      <c r="D7013">
        <v>6.0895519999999896</v>
      </c>
      <c r="E7013">
        <v>0.60254980000000002</v>
      </c>
      <c r="F7013" t="s">
        <v>41</v>
      </c>
      <c r="G7013">
        <v>-152.29249999999999</v>
      </c>
      <c r="H7013" s="1">
        <v>-3.420804E-6</v>
      </c>
      <c r="I7013">
        <v>140.11240000000001</v>
      </c>
      <c r="J7013">
        <v>-176.03639999999999</v>
      </c>
      <c r="K7013">
        <v>1.090705</v>
      </c>
      <c r="L7013">
        <v>141.7373</v>
      </c>
      <c r="M7013">
        <v>0.79732950000000002</v>
      </c>
      <c r="N7013">
        <v>0</v>
      </c>
      <c r="O7013">
        <v>0.60327810000000004</v>
      </c>
      <c r="P7013">
        <v>0.97164499999999998</v>
      </c>
      <c r="Q7013">
        <v>0.16369800000000001</v>
      </c>
      <c r="R7013">
        <v>0.17061370000000001</v>
      </c>
      <c r="S7013">
        <v>3.1536710000000001</v>
      </c>
      <c r="T7013">
        <v>-0.14356050000000001</v>
      </c>
      <c r="U7013">
        <v>-0.19198609999999999</v>
      </c>
      <c r="V7013">
        <v>0.45793250000000002</v>
      </c>
      <c r="W7013">
        <v>0.15865409999999999</v>
      </c>
      <c r="X7013">
        <v>0.87471520000000003</v>
      </c>
      <c r="Y7013">
        <v>0.64948280000000003</v>
      </c>
      <c r="Z7013">
        <v>-4.0768020000000002E-2</v>
      </c>
      <c r="AA7013">
        <v>0.75928260000000003</v>
      </c>
      <c r="AB7013">
        <v>42</v>
      </c>
      <c r="AC7013">
        <v>23.7439</v>
      </c>
      <c r="AD7013">
        <v>-1.0907084208040001</v>
      </c>
      <c r="AE7013">
        <v>-1.62489999999999</v>
      </c>
      <c r="AF7013">
        <v>15.589521861937801</v>
      </c>
      <c r="AG7013">
        <v>-1.0907084208040001</v>
      </c>
      <c r="AH7013">
        <v>17.916698372227</v>
      </c>
      <c r="AI7013">
        <v>92.629485651879605</v>
      </c>
      <c r="AJ7013">
        <v>48.973101202714403</v>
      </c>
      <c r="AK7013">
        <v>23.774585533809201</v>
      </c>
      <c r="AL7013">
        <v>80.871215895231302</v>
      </c>
      <c r="AM7013">
        <v>62.366960952648903</v>
      </c>
      <c r="AN7013">
        <v>0.99999998955705005</v>
      </c>
    </row>
    <row r="7014" spans="1:40" x14ac:dyDescent="0.25">
      <c r="A7014" t="str">
        <f>"20190312164202639"</f>
        <v>20190312164202639</v>
      </c>
      <c r="B7014" t="str">
        <f>"1552380122633069"</f>
        <v>1552380122633069</v>
      </c>
      <c r="C7014" t="s">
        <v>40</v>
      </c>
      <c r="D7014">
        <v>6.0276589999999999</v>
      </c>
      <c r="E7014">
        <v>0.60228899999999996</v>
      </c>
      <c r="F7014" t="s">
        <v>41</v>
      </c>
      <c r="G7014">
        <v>-153.53829999999999</v>
      </c>
      <c r="H7014" s="1">
        <v>-2.9043470000000001E-6</v>
      </c>
      <c r="I7014">
        <v>140.18</v>
      </c>
      <c r="J7014">
        <v>-175.69460000000001</v>
      </c>
      <c r="K7014">
        <v>1.0907260000000001</v>
      </c>
      <c r="L7014">
        <v>141.9922</v>
      </c>
      <c r="M7014">
        <v>0.80706909999999998</v>
      </c>
      <c r="N7014">
        <v>0</v>
      </c>
      <c r="O7014">
        <v>0.59018459999999995</v>
      </c>
      <c r="P7014">
        <v>0.97391839999999996</v>
      </c>
      <c r="Q7014">
        <v>0.16330140000000001</v>
      </c>
      <c r="R7014">
        <v>0.15753039999999999</v>
      </c>
      <c r="S7014">
        <v>3.1516109999999999</v>
      </c>
      <c r="T7014">
        <v>-0.15279029999999999</v>
      </c>
      <c r="U7014">
        <v>-0.21815490000000001</v>
      </c>
      <c r="V7014">
        <v>0.45542880000000002</v>
      </c>
      <c r="W7014">
        <v>0.15842579999999901</v>
      </c>
      <c r="X7014">
        <v>0.87606280000000003</v>
      </c>
      <c r="Y7014">
        <v>0.64322849999999998</v>
      </c>
      <c r="Z7014">
        <v>-4.2751039999999997E-2</v>
      </c>
      <c r="AA7014">
        <v>0.76447989999999999</v>
      </c>
      <c r="AB7014">
        <v>42</v>
      </c>
      <c r="AC7014">
        <v>22.156300000000002</v>
      </c>
      <c r="AD7014">
        <v>-1.0907289043469901</v>
      </c>
      <c r="AE7014">
        <v>-1.81219999999998</v>
      </c>
      <c r="AF7014">
        <v>14.5062940658096</v>
      </c>
      <c r="AG7014">
        <v>-1.0907289043469901</v>
      </c>
      <c r="AH7014">
        <v>16.774454283387801</v>
      </c>
      <c r="AI7014">
        <v>92.815715711187806</v>
      </c>
      <c r="AJ7014">
        <v>49.147246314926498</v>
      </c>
      <c r="AK7014">
        <v>22.203706302597102</v>
      </c>
      <c r="AL7014">
        <v>80.884464888276298</v>
      </c>
      <c r="AM7014">
        <v>62.531944972463798</v>
      </c>
      <c r="AN7014">
        <v>1.00000007775945</v>
      </c>
    </row>
    <row r="7015" spans="1:40" x14ac:dyDescent="0.25">
      <c r="A7015" t="str">
        <f>"20190312164202654"</f>
        <v>20190312164202654</v>
      </c>
      <c r="B7015" t="str">
        <f>"1552380122642827"</f>
        <v>1552380122642827</v>
      </c>
      <c r="C7015" t="s">
        <v>40</v>
      </c>
      <c r="D7015">
        <v>6.2039369999999998</v>
      </c>
      <c r="E7015">
        <v>0.60213919999999999</v>
      </c>
      <c r="F7015" t="s">
        <v>41</v>
      </c>
      <c r="G7015">
        <v>-153.30510000000001</v>
      </c>
      <c r="H7015" s="1">
        <v>-2.9947969999999998E-6</v>
      </c>
      <c r="I7015">
        <v>140.1439</v>
      </c>
      <c r="J7015">
        <v>-175.46039999999999</v>
      </c>
      <c r="K7015">
        <v>1.0907389999999999</v>
      </c>
      <c r="L7015">
        <v>142.16159999999999</v>
      </c>
      <c r="M7015">
        <v>0.81358430000000004</v>
      </c>
      <c r="N7015">
        <v>0</v>
      </c>
      <c r="O7015">
        <v>0.58116999999999996</v>
      </c>
      <c r="P7015">
        <v>0.97532260000000004</v>
      </c>
      <c r="Q7015">
        <v>0.16327420000000001</v>
      </c>
      <c r="R7015">
        <v>0.14861869999999999</v>
      </c>
      <c r="S7015">
        <v>3.1480709999999998</v>
      </c>
      <c r="T7015">
        <v>-0.15336159999999999</v>
      </c>
      <c r="U7015">
        <v>-0.2598724</v>
      </c>
      <c r="V7015">
        <v>0.4536868</v>
      </c>
      <c r="W7015">
        <v>0.158513299999999</v>
      </c>
      <c r="X7015">
        <v>0.87695029999999996</v>
      </c>
      <c r="Y7015">
        <v>0.64484609999999998</v>
      </c>
      <c r="Z7015">
        <v>-4.2641230000000002E-2</v>
      </c>
      <c r="AA7015">
        <v>0.76312209999999903</v>
      </c>
      <c r="AB7015">
        <v>42</v>
      </c>
      <c r="AC7015">
        <v>22.155299999999901</v>
      </c>
      <c r="AD7015">
        <v>-1.0907419947969901</v>
      </c>
      <c r="AE7015">
        <v>-2.0176999999999898</v>
      </c>
      <c r="AF7015">
        <v>14.485083255089499</v>
      </c>
      <c r="AG7015">
        <v>-1.0907419947969901</v>
      </c>
      <c r="AH7015">
        <v>16.814871705061201</v>
      </c>
      <c r="AI7015">
        <v>92.813629311819298</v>
      </c>
      <c r="AJ7015">
        <v>49.256917794714603</v>
      </c>
      <c r="AK7015">
        <v>22.220424511331</v>
      </c>
      <c r="AL7015">
        <v>80.879386666433604</v>
      </c>
      <c r="AM7015">
        <v>62.6453917035358</v>
      </c>
      <c r="AN7015">
        <v>1.00000000372061</v>
      </c>
    </row>
    <row r="7016" spans="1:40" x14ac:dyDescent="0.25">
      <c r="A7016" t="str">
        <f>"20190312164202667"</f>
        <v>20190312164202667</v>
      </c>
      <c r="B7016" t="str">
        <f>"1552380122663322"</f>
        <v>1552380122663322</v>
      </c>
      <c r="C7016" t="s">
        <v>40</v>
      </c>
      <c r="D7016">
        <v>6.1668440000000002</v>
      </c>
      <c r="E7016">
        <v>0.60173149999999997</v>
      </c>
      <c r="F7016" t="s">
        <v>41</v>
      </c>
      <c r="G7016">
        <v>-153.18</v>
      </c>
      <c r="H7016" s="1">
        <v>-3.0422970000000002E-6</v>
      </c>
      <c r="I7016">
        <v>140.1206</v>
      </c>
      <c r="J7016">
        <v>-175.27440000000001</v>
      </c>
      <c r="K7016">
        <v>1.0907439999999999</v>
      </c>
      <c r="L7016">
        <v>142.29310000000001</v>
      </c>
      <c r="M7016">
        <v>0.81866749999999999</v>
      </c>
      <c r="N7016">
        <v>0</v>
      </c>
      <c r="O7016">
        <v>0.57398729999999998</v>
      </c>
      <c r="P7016">
        <v>0.97639160000000003</v>
      </c>
      <c r="Q7016">
        <v>0.16285810000000001</v>
      </c>
      <c r="R7016">
        <v>0.141904799999999</v>
      </c>
      <c r="S7016">
        <v>3.1455839999999999</v>
      </c>
      <c r="T7016">
        <v>-0.15399209999999999</v>
      </c>
      <c r="U7016">
        <v>-0.28814699999999999</v>
      </c>
      <c r="V7016">
        <v>0.4520168</v>
      </c>
      <c r="W7016">
        <v>0.1582026</v>
      </c>
      <c r="X7016">
        <v>0.87786839999999999</v>
      </c>
      <c r="Y7016">
        <v>0.64497930000000003</v>
      </c>
      <c r="Z7016">
        <v>-4.2561420000000003E-2</v>
      </c>
      <c r="AA7016">
        <v>0.76301399999999997</v>
      </c>
      <c r="AB7016">
        <v>42</v>
      </c>
      <c r="AC7016">
        <v>22.0944</v>
      </c>
      <c r="AD7016">
        <v>-1.090747042297</v>
      </c>
      <c r="AE7016">
        <v>-2.1725000000000101</v>
      </c>
      <c r="AF7016">
        <v>14.4279630859228</v>
      </c>
      <c r="AG7016">
        <v>-1.090747042297</v>
      </c>
      <c r="AH7016">
        <v>16.8031329909684</v>
      </c>
      <c r="AI7016">
        <v>92.8194952568047</v>
      </c>
      <c r="AJ7016">
        <v>49.349054850228001</v>
      </c>
      <c r="AK7016">
        <v>22.174334854312999</v>
      </c>
      <c r="AL7016">
        <v>80.897416745110704</v>
      </c>
      <c r="AM7016">
        <v>62.755939468572997</v>
      </c>
      <c r="AN7016">
        <v>1.0000000889237699</v>
      </c>
    </row>
    <row r="7017" spans="1:40" x14ac:dyDescent="0.25">
      <c r="A7017" t="str">
        <f>"20190312164202678"</f>
        <v>20190312164202678</v>
      </c>
      <c r="B7017" t="str">
        <f>"1552380122673082"</f>
        <v>1552380122673082</v>
      </c>
      <c r="C7017" t="s">
        <v>40</v>
      </c>
      <c r="D7017">
        <v>5.9250590000000001</v>
      </c>
      <c r="E7017">
        <v>0.60163149999999999</v>
      </c>
      <c r="F7017" t="s">
        <v>41</v>
      </c>
      <c r="G7017">
        <v>-153.34870000000001</v>
      </c>
      <c r="H7017" s="1">
        <v>-2.9778399999999999E-6</v>
      </c>
      <c r="I7017">
        <v>140.15039999999999</v>
      </c>
      <c r="J7017">
        <v>-175.0829</v>
      </c>
      <c r="K7017">
        <v>1.0907560000000001</v>
      </c>
      <c r="L7017">
        <v>142.4271</v>
      </c>
      <c r="M7017">
        <v>0.82382670000000002</v>
      </c>
      <c r="N7017">
        <v>0</v>
      </c>
      <c r="O7017">
        <v>0.56655719999999898</v>
      </c>
      <c r="P7017">
        <v>0.97739359999999997</v>
      </c>
      <c r="Q7017">
        <v>0.1623106</v>
      </c>
      <c r="R7017">
        <v>0.135488</v>
      </c>
      <c r="S7017">
        <v>3.143265</v>
      </c>
      <c r="T7017">
        <v>-0.15636900000000001</v>
      </c>
      <c r="U7017">
        <v>-0.30717470000000002</v>
      </c>
      <c r="V7017">
        <v>0.44985979999999998</v>
      </c>
      <c r="W7017">
        <v>0.15778729999999999</v>
      </c>
      <c r="X7017">
        <v>0.87905029999999995</v>
      </c>
      <c r="Y7017">
        <v>0.64266630000000002</v>
      </c>
      <c r="Z7017">
        <v>-4.2880740000000001E-2</v>
      </c>
      <c r="AA7017">
        <v>0.76494530000000005</v>
      </c>
      <c r="AB7017">
        <v>42</v>
      </c>
      <c r="AC7017">
        <v>21.734199999999898</v>
      </c>
      <c r="AD7017">
        <v>-1.09075897784</v>
      </c>
      <c r="AE7017">
        <v>-2.2766999999999999</v>
      </c>
      <c r="AF7017">
        <v>14.156294413269601</v>
      </c>
      <c r="AG7017">
        <v>-1.09075897784</v>
      </c>
      <c r="AH7017">
        <v>16.5767154008402</v>
      </c>
      <c r="AI7017">
        <v>92.864550993303297</v>
      </c>
      <c r="AJ7017">
        <v>49.503113964579299</v>
      </c>
      <c r="AK7017">
        <v>21.8260834815447</v>
      </c>
      <c r="AL7017">
        <v>80.921513999275106</v>
      </c>
      <c r="AM7017">
        <v>62.898603577020097</v>
      </c>
      <c r="AN7017">
        <v>1.0000000508136999</v>
      </c>
    </row>
    <row r="7018" spans="1:40" x14ac:dyDescent="0.25">
      <c r="A7018" t="str">
        <f>"20190312164202690"</f>
        <v>20190312164202690</v>
      </c>
      <c r="B7018" t="str">
        <f>"1552380122682843"</f>
        <v>1552380122682843</v>
      </c>
      <c r="C7018" t="s">
        <v>40</v>
      </c>
      <c r="D7018">
        <v>5.9894239999999996</v>
      </c>
      <c r="E7018">
        <v>0.60156690000000002</v>
      </c>
      <c r="F7018" t="s">
        <v>41</v>
      </c>
      <c r="G7018">
        <v>-153.30760000000001</v>
      </c>
      <c r="H7018" s="1">
        <v>-2.9964409999999999E-6</v>
      </c>
      <c r="I7018">
        <v>140.154</v>
      </c>
      <c r="J7018">
        <v>-174.8897</v>
      </c>
      <c r="K7018">
        <v>1.0907629999999999</v>
      </c>
      <c r="L7018">
        <v>142.5582</v>
      </c>
      <c r="M7018">
        <v>0.82893719999999904</v>
      </c>
      <c r="N7018">
        <v>0</v>
      </c>
      <c r="O7018">
        <v>0.55905309999999997</v>
      </c>
      <c r="P7018">
        <v>0.97838210000000003</v>
      </c>
      <c r="Q7018">
        <v>0.161443</v>
      </c>
      <c r="R7018">
        <v>0.12924730000000001</v>
      </c>
      <c r="S7018">
        <v>3.14093</v>
      </c>
      <c r="T7018">
        <v>-0.1573341</v>
      </c>
      <c r="U7018">
        <v>-0.32786559999999998</v>
      </c>
      <c r="V7018">
        <v>0.44751999999999997</v>
      </c>
      <c r="W7018">
        <v>0.15706120000000001</v>
      </c>
      <c r="X7018">
        <v>0.88037359999999898</v>
      </c>
      <c r="Y7018">
        <v>0.64075109999999902</v>
      </c>
      <c r="Z7018">
        <v>-4.2809149999999997E-2</v>
      </c>
      <c r="AA7018">
        <v>0.76655430000000002</v>
      </c>
      <c r="AB7018">
        <v>42</v>
      </c>
      <c r="AC7018">
        <v>21.582100000000001</v>
      </c>
      <c r="AD7018">
        <v>-1.0907659964409999</v>
      </c>
      <c r="AE7018">
        <v>-2.4041999999999999</v>
      </c>
      <c r="AF7018">
        <v>14.0253538025887</v>
      </c>
      <c r="AG7018">
        <v>-1.0907659964409999</v>
      </c>
      <c r="AH7018">
        <v>16.507153087854999</v>
      </c>
      <c r="AI7018">
        <v>92.882770601970606</v>
      </c>
      <c r="AJ7018">
        <v>49.647004371062998</v>
      </c>
      <c r="AK7018">
        <v>21.6883937351908</v>
      </c>
      <c r="AL7018">
        <v>80.963641500744004</v>
      </c>
      <c r="AM7018">
        <v>63.054419480621803</v>
      </c>
      <c r="AN7018">
        <v>1.0000000232611901</v>
      </c>
    </row>
    <row r="7019" spans="1:40" x14ac:dyDescent="0.25">
      <c r="A7019" t="str">
        <f>"20190312164202702"</f>
        <v>20190312164202702</v>
      </c>
      <c r="B7019" t="str">
        <f>"1552380122692603"</f>
        <v>1552380122692603</v>
      </c>
      <c r="C7019" t="s">
        <v>40</v>
      </c>
      <c r="D7019">
        <v>6.0938850000000002</v>
      </c>
      <c r="E7019">
        <v>0.60152850000000002</v>
      </c>
      <c r="F7019" t="s">
        <v>41</v>
      </c>
      <c r="G7019">
        <v>-153.45509999999999</v>
      </c>
      <c r="H7019" s="1">
        <v>-2.9405660000000002E-6</v>
      </c>
      <c r="I7019">
        <v>140.18190000000001</v>
      </c>
      <c r="J7019">
        <v>-174.71440000000001</v>
      </c>
      <c r="K7019">
        <v>1.0907639999999901</v>
      </c>
      <c r="L7019">
        <v>142.67570000000001</v>
      </c>
      <c r="M7019">
        <v>0.83350590000000002</v>
      </c>
      <c r="N7019">
        <v>0</v>
      </c>
      <c r="O7019">
        <v>0.5522184</v>
      </c>
      <c r="P7019">
        <v>0.97932669999999999</v>
      </c>
      <c r="Q7019">
        <v>0.15987470000000001</v>
      </c>
      <c r="R7019">
        <v>0.12393270000000001</v>
      </c>
      <c r="S7019">
        <v>3.1386259999999999</v>
      </c>
      <c r="T7019">
        <v>-0.15971859999999999</v>
      </c>
      <c r="U7019">
        <v>-0.34796139999999998</v>
      </c>
      <c r="V7019">
        <v>0.44512429999999997</v>
      </c>
      <c r="W7019">
        <v>0.15563650000000001</v>
      </c>
      <c r="X7019">
        <v>0.88183989999999901</v>
      </c>
      <c r="Y7019">
        <v>0.63931949999999904</v>
      </c>
      <c r="Z7019">
        <v>-4.3153200000000003E-2</v>
      </c>
      <c r="AA7019">
        <v>0.76772940000000001</v>
      </c>
      <c r="AB7019">
        <v>42</v>
      </c>
      <c r="AC7019">
        <v>21.2593</v>
      </c>
      <c r="AD7019">
        <v>-1.0907669405660001</v>
      </c>
      <c r="AE7019">
        <v>-2.49379999999999</v>
      </c>
      <c r="AF7019">
        <v>13.784808394881599</v>
      </c>
      <c r="AG7019">
        <v>-1.0907669405660001</v>
      </c>
      <c r="AH7019">
        <v>16.302932989513501</v>
      </c>
      <c r="AI7019">
        <v>92.924737298405702</v>
      </c>
      <c r="AJ7019">
        <v>49.784089805591698</v>
      </c>
      <c r="AK7019">
        <v>21.3774727005509</v>
      </c>
      <c r="AL7019">
        <v>81.046286851466107</v>
      </c>
      <c r="AM7019">
        <v>63.216830478339801</v>
      </c>
      <c r="AN7019">
        <v>0.99999998590737404</v>
      </c>
    </row>
    <row r="7020" spans="1:40" x14ac:dyDescent="0.25">
      <c r="A7020" t="str">
        <f>"20190312164202717"</f>
        <v>20190312164202717</v>
      </c>
      <c r="B7020" t="str">
        <f>"1552380122713098"</f>
        <v>1552380122713098</v>
      </c>
      <c r="C7020" t="s">
        <v>40</v>
      </c>
      <c r="D7020">
        <v>6.4990030000000001</v>
      </c>
      <c r="E7020">
        <v>0.60132010000000002</v>
      </c>
      <c r="F7020" t="s">
        <v>41</v>
      </c>
      <c r="G7020">
        <v>-154.00129999999999</v>
      </c>
      <c r="H7020" s="1">
        <v>-2.728722E-6</v>
      </c>
      <c r="I7020">
        <v>140.2663</v>
      </c>
      <c r="J7020">
        <v>-174.47559999999999</v>
      </c>
      <c r="K7020">
        <v>1.0907629999999999</v>
      </c>
      <c r="L7020">
        <v>142.83269999999999</v>
      </c>
      <c r="M7020">
        <v>0.83962159999999997</v>
      </c>
      <c r="N7020">
        <v>0</v>
      </c>
      <c r="O7020">
        <v>0.54287430000000003</v>
      </c>
      <c r="P7020">
        <v>0.98051690000000002</v>
      </c>
      <c r="Q7020">
        <v>0.15659809999999999</v>
      </c>
      <c r="R7020">
        <v>0.11859020000000001</v>
      </c>
      <c r="S7020">
        <v>3.1364589999999999</v>
      </c>
      <c r="T7020">
        <v>-0.1651676</v>
      </c>
      <c r="U7020">
        <v>-0.36483759999999998</v>
      </c>
      <c r="V7020">
        <v>0.44020320000000002</v>
      </c>
      <c r="W7020">
        <v>0.15264659999999999</v>
      </c>
      <c r="X7020">
        <v>0.88482769999999999</v>
      </c>
      <c r="Y7020">
        <v>0.6347815</v>
      </c>
      <c r="Z7020">
        <v>-4.4108519999999998E-2</v>
      </c>
      <c r="AA7020">
        <v>0.77143169999999905</v>
      </c>
      <c r="AB7020">
        <v>42</v>
      </c>
      <c r="AC7020">
        <v>20.474299999999999</v>
      </c>
      <c r="AD7020">
        <v>-1.0907657287219901</v>
      </c>
      <c r="AE7020">
        <v>-2.5663999999999798</v>
      </c>
      <c r="AF7020">
        <v>13.234937670297301</v>
      </c>
      <c r="AG7020">
        <v>-1.0907657287219901</v>
      </c>
      <c r="AH7020">
        <v>15.755957326788799</v>
      </c>
      <c r="AI7020">
        <v>93.034347688668404</v>
      </c>
      <c r="AJ7020">
        <v>49.969882477119903</v>
      </c>
      <c r="AK7020">
        <v>20.605910227291499</v>
      </c>
      <c r="AL7020">
        <v>81.2196673728711</v>
      </c>
      <c r="AM7020">
        <v>63.549581266806697</v>
      </c>
      <c r="AN7020">
        <v>0.99999995023454302</v>
      </c>
    </row>
    <row r="7021" spans="1:40" x14ac:dyDescent="0.25">
      <c r="A7021" t="str">
        <f>"20190312164202732"</f>
        <v>20190312164202732</v>
      </c>
      <c r="B7021" t="str">
        <f>"1552380122722859"</f>
        <v>1552380122722859</v>
      </c>
      <c r="C7021" t="s">
        <v>40</v>
      </c>
      <c r="D7021">
        <v>6.0821719999999999</v>
      </c>
      <c r="E7021">
        <v>0.60114429999999996</v>
      </c>
      <c r="F7021" t="s">
        <v>41</v>
      </c>
      <c r="G7021">
        <v>-154.98330000000001</v>
      </c>
      <c r="H7021" s="1">
        <v>-2.3604939999999999E-6</v>
      </c>
      <c r="I7021">
        <v>140.4657</v>
      </c>
      <c r="J7021">
        <v>-174.2474</v>
      </c>
      <c r="K7021">
        <v>1.0907610000000001</v>
      </c>
      <c r="L7021">
        <v>142.97799999999901</v>
      </c>
      <c r="M7021">
        <v>0.84534349999999903</v>
      </c>
      <c r="N7021">
        <v>0</v>
      </c>
      <c r="O7021">
        <v>0.53392039999999996</v>
      </c>
      <c r="P7021">
        <v>0.9815701</v>
      </c>
      <c r="Q7021">
        <v>0.15531679999999901</v>
      </c>
      <c r="R7021">
        <v>0.1113406</v>
      </c>
      <c r="S7021">
        <v>3.1336210000000002</v>
      </c>
      <c r="T7021">
        <v>-0.17535339999999999</v>
      </c>
      <c r="U7021">
        <v>-0.38050840000000002</v>
      </c>
      <c r="V7021">
        <v>0.43737979999999999</v>
      </c>
      <c r="W7021">
        <v>0.1515311</v>
      </c>
      <c r="X7021">
        <v>0.88641819999999905</v>
      </c>
      <c r="Y7021">
        <v>0.63027290000000002</v>
      </c>
      <c r="Z7021">
        <v>-4.6302709999999997E-2</v>
      </c>
      <c r="AA7021">
        <v>0.7749916</v>
      </c>
      <c r="AB7021">
        <v>42</v>
      </c>
      <c r="AC7021">
        <v>19.2640999999999</v>
      </c>
      <c r="AD7021">
        <v>-1.0907633604939999</v>
      </c>
      <c r="AE7021">
        <v>-2.5122999999999802</v>
      </c>
      <c r="AF7021">
        <v>12.372257220154401</v>
      </c>
      <c r="AG7021">
        <v>-1.0907633604939999</v>
      </c>
      <c r="AH7021">
        <v>14.8988632669209</v>
      </c>
      <c r="AI7021">
        <v>93.223670415495405</v>
      </c>
      <c r="AJ7021">
        <v>50.293210641031202</v>
      </c>
      <c r="AK7021">
        <v>19.396871914735801</v>
      </c>
      <c r="AL7021">
        <v>81.284333478207799</v>
      </c>
      <c r="AM7021">
        <v>63.7371737273047</v>
      </c>
      <c r="AN7021">
        <v>0.99999999450324395</v>
      </c>
    </row>
    <row r="7022" spans="1:40" x14ac:dyDescent="0.25">
      <c r="A7022" t="str">
        <f>"20190312164202746"</f>
        <v>20190312164202746</v>
      </c>
      <c r="B7022" t="str">
        <f>"1552380122743355"</f>
        <v>1552380122743355</v>
      </c>
      <c r="C7022" t="s">
        <v>40</v>
      </c>
      <c r="D7022">
        <v>5.7924930000000003</v>
      </c>
      <c r="E7022">
        <v>0.54645730000000003</v>
      </c>
      <c r="F7022" t="s">
        <v>41</v>
      </c>
      <c r="G7022">
        <v>-155.15110000000001</v>
      </c>
      <c r="H7022" s="1">
        <v>-2.303008E-6</v>
      </c>
      <c r="I7022">
        <v>140.52019999999999</v>
      </c>
      <c r="J7022">
        <v>-174.01679999999999</v>
      </c>
      <c r="K7022">
        <v>1.0907659999999999</v>
      </c>
      <c r="L7022">
        <v>143.12190000000001</v>
      </c>
      <c r="M7022">
        <v>0.85101119999999997</v>
      </c>
      <c r="N7022">
        <v>0</v>
      </c>
      <c r="O7022">
        <v>0.52483959999999996</v>
      </c>
      <c r="P7022">
        <v>0.98240320000000003</v>
      </c>
      <c r="Q7022">
        <v>0.1550697</v>
      </c>
      <c r="R7022">
        <v>0.1041035</v>
      </c>
      <c r="S7022">
        <v>3.130325</v>
      </c>
      <c r="T7022">
        <v>-0.1788015</v>
      </c>
      <c r="U7022">
        <v>-0.40287780000000001</v>
      </c>
      <c r="V7022">
        <v>0.4344228</v>
      </c>
      <c r="W7022">
        <v>0.151453799999999</v>
      </c>
      <c r="X7022">
        <v>0.88788440000000002</v>
      </c>
      <c r="Y7022">
        <v>0.62746610000000003</v>
      </c>
      <c r="Z7022">
        <v>-4.6721499999999999E-2</v>
      </c>
      <c r="AA7022">
        <v>0.77724090000000001</v>
      </c>
      <c r="AB7022">
        <v>42</v>
      </c>
      <c r="AC7022">
        <v>18.865699999999901</v>
      </c>
      <c r="AD7022">
        <v>-1.090768303008</v>
      </c>
      <c r="AE7022">
        <v>-2.6017000000000201</v>
      </c>
      <c r="AF7022">
        <v>12.077880194803599</v>
      </c>
      <c r="AG7022">
        <v>-1.090768303008</v>
      </c>
      <c r="AH7022">
        <v>14.643783544298399</v>
      </c>
      <c r="AI7022">
        <v>93.288791041029</v>
      </c>
      <c r="AJ7022">
        <v>50.484915400360499</v>
      </c>
      <c r="AK7022">
        <v>19.0132943485116</v>
      </c>
      <c r="AL7022">
        <v>81.288814777011694</v>
      </c>
      <c r="AM7022">
        <v>63.928487893045101</v>
      </c>
      <c r="AN7022">
        <v>1.0000000652288099</v>
      </c>
    </row>
    <row r="7023" spans="1:40" x14ac:dyDescent="0.25">
      <c r="A7023" t="str">
        <f>"20190312164202758"</f>
        <v>20190312164202758</v>
      </c>
      <c r="B7023" t="str">
        <f>"1552380122753116"</f>
        <v>1552380122753116</v>
      </c>
      <c r="C7023" t="s">
        <v>40</v>
      </c>
      <c r="D7023">
        <v>5.9809279999999996</v>
      </c>
      <c r="E7023">
        <v>0.54378559999999998</v>
      </c>
      <c r="F7023" t="s">
        <v>41</v>
      </c>
      <c r="G7023">
        <v>-129.2989</v>
      </c>
      <c r="H7023" s="1">
        <v>-1.209016E-6</v>
      </c>
      <c r="I7023">
        <v>143.09620000000001</v>
      </c>
      <c r="J7023">
        <v>-173.81469999999999</v>
      </c>
      <c r="K7023">
        <v>1.0907720000000001</v>
      </c>
      <c r="L7023">
        <v>143.24590000000001</v>
      </c>
      <c r="M7023">
        <v>0.85588989999999998</v>
      </c>
      <c r="N7023">
        <v>0</v>
      </c>
      <c r="O7023">
        <v>0.516845</v>
      </c>
      <c r="P7023">
        <v>0.98310710000000001</v>
      </c>
      <c r="Q7023">
        <v>0.15472159999999999</v>
      </c>
      <c r="R7023">
        <v>9.7784399999999994E-2</v>
      </c>
      <c r="S7023">
        <v>3.0657199999999998</v>
      </c>
      <c r="T7023">
        <v>-7.4779509999999993E-2</v>
      </c>
      <c r="U7023">
        <v>-1.7547610000000001E-3</v>
      </c>
      <c r="V7023">
        <v>0.43182009999999998</v>
      </c>
      <c r="W7023">
        <v>0.15125439999999901</v>
      </c>
      <c r="X7023">
        <v>0.88918699999999995</v>
      </c>
      <c r="Y7023">
        <v>0.517123</v>
      </c>
      <c r="Z7023">
        <v>-1.84245E-2</v>
      </c>
      <c r="AA7023">
        <v>0.85571280000000005</v>
      </c>
      <c r="AB7023">
        <v>41</v>
      </c>
      <c r="AC7023">
        <v>44.515799999999899</v>
      </c>
      <c r="AD7023">
        <v>-1.0907732090159901</v>
      </c>
      <c r="AE7023">
        <v>-0.149699999999995</v>
      </c>
      <c r="AF7023">
        <v>23.125756569701998</v>
      </c>
      <c r="AG7023">
        <v>-1.0907732090159901</v>
      </c>
      <c r="AH7023">
        <v>38.006589056710403</v>
      </c>
      <c r="AI7023">
        <v>91.404475372690897</v>
      </c>
      <c r="AJ7023">
        <v>58.6808656917473</v>
      </c>
      <c r="AK7023">
        <v>44.502710196574299</v>
      </c>
      <c r="AL7023">
        <v>81.300372192802797</v>
      </c>
      <c r="AM7023">
        <v>64.097179637821498</v>
      </c>
      <c r="AN7023">
        <v>1.00000000662618</v>
      </c>
    </row>
    <row r="7024" spans="1:40" x14ac:dyDescent="0.25">
      <c r="A7024" t="str">
        <f>"20190312164202772"</f>
        <v>20190312164202772</v>
      </c>
      <c r="B7024" t="str">
        <f>"1552380122762874"</f>
        <v>1552380122762874</v>
      </c>
      <c r="C7024" t="s">
        <v>40</v>
      </c>
      <c r="D7024">
        <v>5.9761899999999999</v>
      </c>
      <c r="E7024">
        <v>0.540969699999999</v>
      </c>
      <c r="F7024" t="s">
        <v>41</v>
      </c>
      <c r="G7024">
        <v>-132.7337</v>
      </c>
      <c r="H7024" s="1">
        <v>-3.99011E-6</v>
      </c>
      <c r="I7024">
        <v>143.249</v>
      </c>
      <c r="J7024">
        <v>-173.58770000000001</v>
      </c>
      <c r="K7024">
        <v>1.0907750000000001</v>
      </c>
      <c r="L7024">
        <v>143.3809</v>
      </c>
      <c r="M7024">
        <v>0.86125479999999999</v>
      </c>
      <c r="N7024">
        <v>0</v>
      </c>
      <c r="O7024">
        <v>0.50785469999999999</v>
      </c>
      <c r="P7024">
        <v>0.98371240000000004</v>
      </c>
      <c r="Q7024">
        <v>0.153194</v>
      </c>
      <c r="R7024">
        <v>9.4030180000000005E-2</v>
      </c>
      <c r="S7024">
        <v>3.0643310000000001</v>
      </c>
      <c r="T7024">
        <v>-8.1363679999999994E-2</v>
      </c>
      <c r="U7024">
        <v>2.2888180000000001E-4</v>
      </c>
      <c r="V7024">
        <v>0.42593530000000002</v>
      </c>
      <c r="W7024">
        <v>0.1500543</v>
      </c>
      <c r="X7024">
        <v>0.89222349999999995</v>
      </c>
      <c r="Y7024">
        <v>0.50752810000000004</v>
      </c>
      <c r="Z7024">
        <v>-1.971883E-2</v>
      </c>
      <c r="AA7024">
        <v>0.86140949999999905</v>
      </c>
      <c r="AB7024">
        <v>41</v>
      </c>
      <c r="AC7024">
        <v>40.853999999999999</v>
      </c>
      <c r="AD7024">
        <v>-1.09077899011</v>
      </c>
      <c r="AE7024">
        <v>-0.13190000000000099</v>
      </c>
      <c r="AF7024">
        <v>20.8500104510296</v>
      </c>
      <c r="AG7024">
        <v>-1.09077899011</v>
      </c>
      <c r="AH7024">
        <v>35.099383502124603</v>
      </c>
      <c r="AI7024">
        <v>91.5304837229302</v>
      </c>
      <c r="AJ7024">
        <v>59.288509747987597</v>
      </c>
      <c r="AK7024">
        <v>40.839679930706197</v>
      </c>
      <c r="AL7024">
        <v>81.369926433087301</v>
      </c>
      <c r="AM7024">
        <v>64.480828558657294</v>
      </c>
      <c r="AN7024">
        <v>0.99999997334341395</v>
      </c>
    </row>
    <row r="7025" spans="1:40" x14ac:dyDescent="0.25">
      <c r="A7025" t="str">
        <f>"20190312164202790"</f>
        <v>20190312164202790</v>
      </c>
      <c r="B7025" t="str">
        <f>"1552380122783371"</f>
        <v>1552380122783371</v>
      </c>
      <c r="C7025" t="s">
        <v>40</v>
      </c>
      <c r="D7025">
        <v>5.9212339999999903</v>
      </c>
      <c r="E7025">
        <v>0.53784319999999997</v>
      </c>
      <c r="F7025" t="s">
        <v>41</v>
      </c>
      <c r="G7025">
        <v>-136.65479999999999</v>
      </c>
      <c r="H7025" s="1">
        <v>-2.4554030000000001E-6</v>
      </c>
      <c r="I7025">
        <v>143.51740000000001</v>
      </c>
      <c r="J7025">
        <v>-173.32050000000001</v>
      </c>
      <c r="K7025">
        <v>1.090776</v>
      </c>
      <c r="L7025">
        <v>143.536</v>
      </c>
      <c r="M7025">
        <v>0.86743429999999999</v>
      </c>
      <c r="N7025">
        <v>0</v>
      </c>
      <c r="O7025">
        <v>0.4972259</v>
      </c>
      <c r="P7025">
        <v>0.98470590000000002</v>
      </c>
      <c r="Q7025">
        <v>0.15220110000000001</v>
      </c>
      <c r="R7025">
        <v>8.478898E-2</v>
      </c>
      <c r="S7025">
        <v>3.0626829999999998</v>
      </c>
      <c r="T7025">
        <v>-9.0453149999999996E-2</v>
      </c>
      <c r="U7025">
        <v>1.132202E-2</v>
      </c>
      <c r="V7025">
        <v>0.42336659999999998</v>
      </c>
      <c r="W7025">
        <v>0.14920839999999999</v>
      </c>
      <c r="X7025">
        <v>0.89358689999999996</v>
      </c>
      <c r="Y7025">
        <v>0.49367939999999999</v>
      </c>
      <c r="Z7025">
        <v>-2.144865E-2</v>
      </c>
      <c r="AA7025">
        <v>0.86937949999999997</v>
      </c>
      <c r="AB7025">
        <v>41</v>
      </c>
      <c r="AC7025">
        <v>36.665700000000001</v>
      </c>
      <c r="AD7025">
        <v>-1.090778455403</v>
      </c>
      <c r="AE7025">
        <v>-1.8599999999992099E-2</v>
      </c>
      <c r="AF7025">
        <v>18.234090477019201</v>
      </c>
      <c r="AG7025">
        <v>-1.090778455403</v>
      </c>
      <c r="AH7025">
        <v>31.7728721853798</v>
      </c>
      <c r="AI7025">
        <v>91.705513019649899</v>
      </c>
      <c r="AJ7025">
        <v>60.1489754311892</v>
      </c>
      <c r="AK7025">
        <v>36.649519233836799</v>
      </c>
      <c r="AL7025">
        <v>81.418944903076607</v>
      </c>
      <c r="AM7025">
        <v>64.649184655734999</v>
      </c>
      <c r="AN7025">
        <v>0.99999998623886499</v>
      </c>
    </row>
    <row r="7026" spans="1:40" x14ac:dyDescent="0.25">
      <c r="A7026" t="str">
        <f>"20190312164202802"</f>
        <v>20190312164202802</v>
      </c>
      <c r="B7026" t="str">
        <f>"1552380122793131"</f>
        <v>1552380122793131</v>
      </c>
      <c r="C7026" t="s">
        <v>40</v>
      </c>
      <c r="D7026">
        <v>5.9171909999999999</v>
      </c>
      <c r="E7026">
        <v>0.53736319999999904</v>
      </c>
      <c r="F7026" t="s">
        <v>41</v>
      </c>
      <c r="G7026">
        <v>-144.85929999999999</v>
      </c>
      <c r="H7026" s="1">
        <v>-3.2549299999999999E-6</v>
      </c>
      <c r="I7026">
        <v>143.62739999999999</v>
      </c>
      <c r="J7026">
        <v>-173.10550000000001</v>
      </c>
      <c r="K7026">
        <v>1.0907739999999999</v>
      </c>
      <c r="L7026">
        <v>143.65799999999999</v>
      </c>
      <c r="M7026">
        <v>0.87229760000000001</v>
      </c>
      <c r="N7026">
        <v>0</v>
      </c>
      <c r="O7026">
        <v>0.48864380000000002</v>
      </c>
      <c r="P7026">
        <v>0.98546250000000002</v>
      </c>
      <c r="Q7026">
        <v>0.1508013</v>
      </c>
      <c r="R7026">
        <v>7.8248719999999994E-2</v>
      </c>
      <c r="S7026">
        <v>3.063904</v>
      </c>
      <c r="T7026">
        <v>-0.1174246</v>
      </c>
      <c r="U7026">
        <v>9.8419189999999993E-3</v>
      </c>
      <c r="V7026">
        <v>0.420518</v>
      </c>
      <c r="W7026">
        <v>0.1479692</v>
      </c>
      <c r="X7026">
        <v>0.89513670000000001</v>
      </c>
      <c r="Y7026">
        <v>0.48522779999999999</v>
      </c>
      <c r="Z7026">
        <v>-2.7376609999999999E-2</v>
      </c>
      <c r="AA7026">
        <v>0.87395909999999999</v>
      </c>
      <c r="AB7026">
        <v>41</v>
      </c>
      <c r="AC7026">
        <v>28.246200000000002</v>
      </c>
      <c r="AD7026">
        <v>-1.0907772549300001</v>
      </c>
      <c r="AE7026">
        <v>-3.0599999999992598E-2</v>
      </c>
      <c r="AF7026">
        <v>13.810669367820999</v>
      </c>
      <c r="AG7026">
        <v>-1.0907772549300001</v>
      </c>
      <c r="AH7026">
        <v>24.591459587999999</v>
      </c>
      <c r="AI7026">
        <v>92.214772879139005</v>
      </c>
      <c r="AJ7026">
        <v>60.681246315932</v>
      </c>
      <c r="AK7026">
        <v>28.225241683205802</v>
      </c>
      <c r="AL7026">
        <v>81.490742913285899</v>
      </c>
      <c r="AM7026">
        <v>64.836765046715996</v>
      </c>
      <c r="AN7026">
        <v>0.99999999207976498</v>
      </c>
    </row>
    <row r="7027" spans="1:40" x14ac:dyDescent="0.25">
      <c r="A7027" t="str">
        <f>"20190312164202819"</f>
        <v>20190312164202819</v>
      </c>
      <c r="B7027" t="str">
        <f>"1552380122812650"</f>
        <v>1552380122812650</v>
      </c>
      <c r="C7027" t="s">
        <v>40</v>
      </c>
      <c r="D7027">
        <v>5.9427370000000002</v>
      </c>
      <c r="E7027">
        <v>0.53657319999999997</v>
      </c>
      <c r="F7027" t="s">
        <v>41</v>
      </c>
      <c r="G7027">
        <v>-145.83539999999999</v>
      </c>
      <c r="H7027" s="1">
        <v>-2.8285090000000001E-6</v>
      </c>
      <c r="I7027">
        <v>143.5986</v>
      </c>
      <c r="J7027">
        <v>-172.83869999999999</v>
      </c>
      <c r="K7027">
        <v>1.0907750000000001</v>
      </c>
      <c r="L7027">
        <v>143.8056</v>
      </c>
      <c r="M7027">
        <v>0.87819599999999898</v>
      </c>
      <c r="N7027">
        <v>0</v>
      </c>
      <c r="O7027">
        <v>0.47796169999999999</v>
      </c>
      <c r="P7027">
        <v>0.98613729999999999</v>
      </c>
      <c r="Q7027">
        <v>0.1489664</v>
      </c>
      <c r="R7027">
        <v>7.3090260000000004E-2</v>
      </c>
      <c r="S7027">
        <v>3.0635530000000002</v>
      </c>
      <c r="T7027">
        <v>-0.12253940000000001</v>
      </c>
      <c r="U7027">
        <v>-6.6680910000000001E-3</v>
      </c>
      <c r="V7027">
        <v>0.41430679999999998</v>
      </c>
      <c r="W7027">
        <v>0.146476</v>
      </c>
      <c r="X7027">
        <v>0.89827319999999999</v>
      </c>
      <c r="Y7027">
        <v>0.479209</v>
      </c>
      <c r="Z7027">
        <v>-2.8076859999999999E-2</v>
      </c>
      <c r="AA7027">
        <v>0.87725159999999902</v>
      </c>
      <c r="AB7027">
        <v>41</v>
      </c>
      <c r="AC7027">
        <v>27.003299999999999</v>
      </c>
      <c r="AD7027">
        <v>-1.090777828509</v>
      </c>
      <c r="AE7027">
        <v>-0.206999999999993</v>
      </c>
      <c r="AF7027">
        <v>13.0691296049086</v>
      </c>
      <c r="AG7027">
        <v>-1.090777828509</v>
      </c>
      <c r="AH7027">
        <v>23.580609192403799</v>
      </c>
      <c r="AI7027">
        <v>92.3168640362166</v>
      </c>
      <c r="AJ7027">
        <v>61.0033745725054</v>
      </c>
      <c r="AK7027">
        <v>26.982162159210802</v>
      </c>
      <c r="AL7027">
        <v>81.577239928141097</v>
      </c>
      <c r="AM7027">
        <v>65.239628168862097</v>
      </c>
      <c r="AN7027">
        <v>1.00000004247023</v>
      </c>
    </row>
    <row r="7028" spans="1:40" x14ac:dyDescent="0.25">
      <c r="A7028" t="str">
        <f>"20190312164202840"</f>
        <v>20190312164202840</v>
      </c>
      <c r="B7028" t="str">
        <f>"1552380122833146"</f>
        <v>1552380122833146</v>
      </c>
      <c r="C7028" t="s">
        <v>40</v>
      </c>
      <c r="D7028">
        <v>6.0581430000000003</v>
      </c>
      <c r="E7028">
        <v>0.53629490000000002</v>
      </c>
      <c r="F7028" t="s">
        <v>41</v>
      </c>
      <c r="G7028">
        <v>-150.82329999999999</v>
      </c>
      <c r="H7028" s="1">
        <v>-4.7201949999999998E-6</v>
      </c>
      <c r="I7028">
        <v>143.69970000000001</v>
      </c>
      <c r="J7028">
        <v>-172.47579999999999</v>
      </c>
      <c r="K7028">
        <v>1.0907830000000001</v>
      </c>
      <c r="L7028">
        <v>143.99870000000001</v>
      </c>
      <c r="M7028">
        <v>0.88597879999999996</v>
      </c>
      <c r="N7028">
        <v>0</v>
      </c>
      <c r="O7028">
        <v>0.4633758</v>
      </c>
      <c r="P7028">
        <v>0.98677539999999997</v>
      </c>
      <c r="Q7028">
        <v>0.14893819999999999</v>
      </c>
      <c r="R7028">
        <v>6.3966830000000002E-2</v>
      </c>
      <c r="S7028">
        <v>3.0662229999999999</v>
      </c>
      <c r="T7028">
        <v>-0.15191959999999999</v>
      </c>
      <c r="U7028">
        <v>-1.473999E-2</v>
      </c>
      <c r="V7028">
        <v>0.40774050000000001</v>
      </c>
      <c r="W7028">
        <v>0.14680480000000001</v>
      </c>
      <c r="X7028">
        <v>0.9012192</v>
      </c>
      <c r="Y7028">
        <v>0.46659830000000002</v>
      </c>
      <c r="Z7028">
        <v>-3.381315E-2</v>
      </c>
      <c r="AA7028">
        <v>0.88382280000000002</v>
      </c>
      <c r="AB7028">
        <v>41</v>
      </c>
      <c r="AC7028">
        <v>21.6525</v>
      </c>
      <c r="AD7028">
        <v>-1.090787720195</v>
      </c>
      <c r="AE7028">
        <v>-0.29900000000000598</v>
      </c>
      <c r="AF7028">
        <v>10.2737549281192</v>
      </c>
      <c r="AG7028">
        <v>-1.090787720195</v>
      </c>
      <c r="AH7028">
        <v>18.999987043672899</v>
      </c>
      <c r="AI7028">
        <v>92.890980796986597</v>
      </c>
      <c r="AJ7028">
        <v>61.598832716696201</v>
      </c>
      <c r="AK7028">
        <v>21.627282904547201</v>
      </c>
      <c r="AL7028">
        <v>81.558194886542196</v>
      </c>
      <c r="AM7028">
        <v>65.656477162369001</v>
      </c>
      <c r="AN7028">
        <v>1.0000000055459599</v>
      </c>
    </row>
    <row r="7029" spans="1:40" x14ac:dyDescent="0.25">
      <c r="A7029" t="str">
        <f>"20190312164202862"</f>
        <v>20190312164202862</v>
      </c>
      <c r="B7029" t="str">
        <f>"1552380122852666"</f>
        <v>1552380122852666</v>
      </c>
      <c r="C7029" t="s">
        <v>40</v>
      </c>
      <c r="D7029">
        <v>5.9542519999999897</v>
      </c>
      <c r="E7029">
        <v>0.53561230000000004</v>
      </c>
      <c r="F7029" t="s">
        <v>41</v>
      </c>
      <c r="G7029">
        <v>-152.05459999999999</v>
      </c>
      <c r="H7029" s="1">
        <v>-4.306223E-6</v>
      </c>
      <c r="I7029">
        <v>143.72810000000001</v>
      </c>
      <c r="J7029">
        <v>-172.13069999999999</v>
      </c>
      <c r="K7029">
        <v>1.090787</v>
      </c>
      <c r="L7029">
        <v>144.1754</v>
      </c>
      <c r="M7029">
        <v>0.89312969999999903</v>
      </c>
      <c r="N7029">
        <v>0</v>
      </c>
      <c r="O7029">
        <v>0.44943820000000001</v>
      </c>
      <c r="P7029">
        <v>0.98713649999999997</v>
      </c>
      <c r="Q7029">
        <v>0.14972859999999999</v>
      </c>
      <c r="R7029">
        <v>5.6060119999999998E-2</v>
      </c>
      <c r="S7029">
        <v>3.0675659999999998</v>
      </c>
      <c r="T7029">
        <v>-0.16385150000000001</v>
      </c>
      <c r="U7029">
        <v>-4.0649409999999997E-2</v>
      </c>
      <c r="V7029">
        <v>0.40079900000000002</v>
      </c>
      <c r="W7029">
        <v>0.1479674</v>
      </c>
      <c r="X7029">
        <v>0.9041382</v>
      </c>
      <c r="Y7029">
        <v>0.4600457</v>
      </c>
      <c r="Z7029">
        <v>-3.5610459999999997E-2</v>
      </c>
      <c r="AA7029">
        <v>0.88718090000000005</v>
      </c>
      <c r="AB7029">
        <v>41</v>
      </c>
      <c r="AC7029">
        <v>20.0761</v>
      </c>
      <c r="AD7029">
        <v>-1.0907913062229999</v>
      </c>
      <c r="AE7029">
        <v>-0.44729999999998399</v>
      </c>
      <c r="AF7029">
        <v>9.3962684536257601</v>
      </c>
      <c r="AG7029">
        <v>-1.0907913062229999</v>
      </c>
      <c r="AH7029">
        <v>17.680238886583901</v>
      </c>
      <c r="AI7029">
        <v>93.118369738783898</v>
      </c>
      <c r="AJ7029">
        <v>62.011322845768802</v>
      </c>
      <c r="AK7029">
        <v>20.051696527052499</v>
      </c>
      <c r="AL7029">
        <v>81.4908475810781</v>
      </c>
      <c r="AM7029">
        <v>66.092579531001903</v>
      </c>
      <c r="AN7029">
        <v>1.0000000372814899</v>
      </c>
    </row>
    <row r="7030" spans="1:40" x14ac:dyDescent="0.25">
      <c r="A7030" t="str">
        <f>"20190312164202884"</f>
        <v>20190312164202884</v>
      </c>
      <c r="B7030" t="str">
        <f>"1552380122873171"</f>
        <v>1552380122873171</v>
      </c>
      <c r="C7030" t="s">
        <v>40</v>
      </c>
      <c r="D7030">
        <v>5.9135679999999997</v>
      </c>
      <c r="E7030">
        <v>0.53481459999999903</v>
      </c>
      <c r="F7030" t="s">
        <v>41</v>
      </c>
      <c r="G7030">
        <v>-151.9385</v>
      </c>
      <c r="H7030" s="1">
        <v>-4.3556180000000004E-6</v>
      </c>
      <c r="I7030">
        <v>143.78389999999999</v>
      </c>
      <c r="J7030">
        <v>-171.74969999999999</v>
      </c>
      <c r="K7030">
        <v>1.0907880000000001</v>
      </c>
      <c r="L7030">
        <v>144.36250000000001</v>
      </c>
      <c r="M7030">
        <v>0.90073879999999995</v>
      </c>
      <c r="N7030">
        <v>0</v>
      </c>
      <c r="O7030">
        <v>0.43398690000000001</v>
      </c>
      <c r="P7030">
        <v>0.9877707</v>
      </c>
      <c r="Q7030">
        <v>0.1488775</v>
      </c>
      <c r="R7030">
        <v>4.6309349999999999E-2</v>
      </c>
      <c r="S7030">
        <v>3.0676269999999999</v>
      </c>
      <c r="T7030">
        <v>-0.16571440000000001</v>
      </c>
      <c r="U7030">
        <v>-5.9478759999999999E-2</v>
      </c>
      <c r="V7030">
        <v>0.39414830000000001</v>
      </c>
      <c r="W7030">
        <v>0.14747449999999901</v>
      </c>
      <c r="X7030">
        <v>0.90713750000000004</v>
      </c>
      <c r="Y7030">
        <v>0.45018150000000001</v>
      </c>
      <c r="Z7030">
        <v>-3.4991550000000003E-2</v>
      </c>
      <c r="AA7030">
        <v>0.89225119999999902</v>
      </c>
      <c r="AB7030">
        <v>41</v>
      </c>
      <c r="AC7030">
        <v>19.8111999999999</v>
      </c>
      <c r="AD7030">
        <v>-1.0907923556179999</v>
      </c>
      <c r="AE7030">
        <v>-0.57860000000002199</v>
      </c>
      <c r="AF7030">
        <v>9.09290888709962</v>
      </c>
      <c r="AG7030">
        <v>-1.0907923556179999</v>
      </c>
      <c r="AH7030">
        <v>17.543333313216699</v>
      </c>
      <c r="AI7030">
        <v>93.159669792482902</v>
      </c>
      <c r="AJ7030">
        <v>62.6017798106421</v>
      </c>
      <c r="AK7030">
        <v>19.789880336444401</v>
      </c>
      <c r="AL7030">
        <v>81.519401851682701</v>
      </c>
      <c r="AM7030">
        <v>66.515210129721197</v>
      </c>
      <c r="AN7030">
        <v>1.0000000272246901</v>
      </c>
    </row>
    <row r="7031" spans="1:40" x14ac:dyDescent="0.25">
      <c r="A7031" t="str">
        <f>"20190312164202896"</f>
        <v>20190312164202896</v>
      </c>
      <c r="B7031" t="str">
        <f>"1552380122892683"</f>
        <v>1552380122892683</v>
      </c>
      <c r="C7031" t="s">
        <v>40</v>
      </c>
      <c r="D7031">
        <v>6.0866480000000003</v>
      </c>
      <c r="E7031">
        <v>0.53394169999999996</v>
      </c>
      <c r="F7031" t="s">
        <v>41</v>
      </c>
      <c r="G7031">
        <v>-151.84450000000001</v>
      </c>
      <c r="H7031" s="1">
        <v>-4.3948730000000004E-6</v>
      </c>
      <c r="I7031">
        <v>143.82490000000001</v>
      </c>
      <c r="J7031">
        <v>-171.5455</v>
      </c>
      <c r="K7031">
        <v>1.0907880000000001</v>
      </c>
      <c r="L7031">
        <v>144.46</v>
      </c>
      <c r="M7031">
        <v>0.90469869999999997</v>
      </c>
      <c r="N7031">
        <v>0</v>
      </c>
      <c r="O7031">
        <v>0.42567060000000001</v>
      </c>
      <c r="P7031">
        <v>0.9881316</v>
      </c>
      <c r="Q7031">
        <v>0.1480648</v>
      </c>
      <c r="R7031">
        <v>4.09027E-2</v>
      </c>
      <c r="S7031">
        <v>3.0663299999999998</v>
      </c>
      <c r="T7031">
        <v>-0.16803299999999999</v>
      </c>
      <c r="U7031">
        <v>-8.2809450000000007E-2</v>
      </c>
      <c r="V7031">
        <v>0.39076300000000003</v>
      </c>
      <c r="W7031">
        <v>0.14684440000000001</v>
      </c>
      <c r="X7031">
        <v>0.90870289999999998</v>
      </c>
      <c r="Y7031">
        <v>0.44872899999999999</v>
      </c>
      <c r="Z7031">
        <v>-3.5043020000000001E-2</v>
      </c>
      <c r="AA7031">
        <v>0.89298060000000001</v>
      </c>
      <c r="AB7031">
        <v>41</v>
      </c>
      <c r="AC7031">
        <v>19.701000000000001</v>
      </c>
      <c r="AD7031">
        <v>-1.0907923948729901</v>
      </c>
      <c r="AE7031">
        <v>-0.635099999999994</v>
      </c>
      <c r="AF7031">
        <v>8.9348046115806898</v>
      </c>
      <c r="AG7031">
        <v>-1.0907923948729901</v>
      </c>
      <c r="AH7031">
        <v>17.502378411409399</v>
      </c>
      <c r="AI7031">
        <v>93.177118427476998</v>
      </c>
      <c r="AJ7031">
        <v>62.956102765874398</v>
      </c>
      <c r="AK7031">
        <v>19.6813061444612</v>
      </c>
      <c r="AL7031">
        <v>81.555900899657004</v>
      </c>
      <c r="AM7031">
        <v>66.731190866464701</v>
      </c>
      <c r="AN7031">
        <v>0.99999998022438397</v>
      </c>
    </row>
    <row r="7032" spans="1:40" x14ac:dyDescent="0.25">
      <c r="A7032" t="str">
        <f>"20190312164202908"</f>
        <v>20190312164202908</v>
      </c>
      <c r="B7032" t="str">
        <f>"1552380122903419"</f>
        <v>1552380122903419</v>
      </c>
      <c r="C7032" t="s">
        <v>40</v>
      </c>
      <c r="D7032">
        <v>6.323245</v>
      </c>
      <c r="E7032">
        <v>0.53360649999999998</v>
      </c>
      <c r="F7032" t="s">
        <v>41</v>
      </c>
      <c r="G7032">
        <v>-151.12989999999999</v>
      </c>
      <c r="H7032" s="1">
        <v>-4.6409059999999996E-6</v>
      </c>
      <c r="I7032">
        <v>143.8408</v>
      </c>
      <c r="J7032">
        <v>-171.35839999999999</v>
      </c>
      <c r="K7032">
        <v>1.0907880000000001</v>
      </c>
      <c r="L7032">
        <v>144.5462</v>
      </c>
      <c r="M7032">
        <v>0.90824990000000005</v>
      </c>
      <c r="N7032">
        <v>0</v>
      </c>
      <c r="O7032">
        <v>0.41803980000000002</v>
      </c>
      <c r="P7032">
        <v>0.98843749999999997</v>
      </c>
      <c r="Q7032">
        <v>0.1472041</v>
      </c>
      <c r="R7032">
        <v>3.6364349999999997E-2</v>
      </c>
      <c r="S7032">
        <v>3.0644230000000001</v>
      </c>
      <c r="T7032">
        <v>-0.1637295</v>
      </c>
      <c r="U7032">
        <v>-9.2941280000000001E-2</v>
      </c>
      <c r="V7032">
        <v>0.3872931</v>
      </c>
      <c r="W7032">
        <v>0.1461694</v>
      </c>
      <c r="X7032">
        <v>0.91029579999999999</v>
      </c>
      <c r="Y7032">
        <v>0.44424970000000003</v>
      </c>
      <c r="Z7032">
        <v>-3.3674259999999998E-2</v>
      </c>
      <c r="AA7032">
        <v>0.89526989999999995</v>
      </c>
      <c r="AB7032">
        <v>41</v>
      </c>
      <c r="AC7032">
        <v>20.2285</v>
      </c>
      <c r="AD7032">
        <v>-1.09079264090599</v>
      </c>
      <c r="AE7032">
        <v>-0.70539999999999703</v>
      </c>
      <c r="AF7032">
        <v>9.0721280502934505</v>
      </c>
      <c r="AG7032">
        <v>-1.09079264090599</v>
      </c>
      <c r="AH7032">
        <v>18.028226852538701</v>
      </c>
      <c r="AI7032">
        <v>93.093672759338702</v>
      </c>
      <c r="AJ7032">
        <v>63.287637046084299</v>
      </c>
      <c r="AK7032">
        <v>20.2116377216933</v>
      </c>
      <c r="AL7032">
        <v>81.594997086799296</v>
      </c>
      <c r="AM7032">
        <v>66.952259874628893</v>
      </c>
      <c r="AN7032">
        <v>0.99999994115080304</v>
      </c>
    </row>
    <row r="7033" spans="1:40" x14ac:dyDescent="0.25">
      <c r="A7033" t="str">
        <f>"20190312164202920"</f>
        <v>20190312164202920</v>
      </c>
      <c r="B7033" t="str">
        <f>"1552380122913179"</f>
        <v>1552380122913179</v>
      </c>
      <c r="C7033" t="s">
        <v>40</v>
      </c>
      <c r="D7033">
        <v>5.9105730000000003</v>
      </c>
      <c r="E7033">
        <v>0.53318589999999999</v>
      </c>
      <c r="F7033" t="s">
        <v>41</v>
      </c>
      <c r="G7033">
        <v>-151.01599999999999</v>
      </c>
      <c r="H7033" s="1">
        <v>-4.6816140000000002E-6</v>
      </c>
      <c r="I7033">
        <v>143.8518</v>
      </c>
      <c r="J7033">
        <v>-171.1533</v>
      </c>
      <c r="K7033">
        <v>1.090786</v>
      </c>
      <c r="L7033">
        <v>144.6397</v>
      </c>
      <c r="M7033">
        <v>0.91206390000000004</v>
      </c>
      <c r="N7033">
        <v>0</v>
      </c>
      <c r="O7033">
        <v>0.4096514</v>
      </c>
      <c r="P7033">
        <v>0.98871030000000004</v>
      </c>
      <c r="Q7033">
        <v>0.146625799999999</v>
      </c>
      <c r="R7033">
        <v>3.0864019999999999E-2</v>
      </c>
      <c r="S7033">
        <v>3.0634000000000001</v>
      </c>
      <c r="T7033">
        <v>-0.1642644</v>
      </c>
      <c r="U7033">
        <v>-0.10456849999999999</v>
      </c>
      <c r="V7033">
        <v>0.38396999999999998</v>
      </c>
      <c r="W7033">
        <v>0.14576889999999901</v>
      </c>
      <c r="X7033">
        <v>0.91176670000000004</v>
      </c>
      <c r="Y7033">
        <v>0.43940380000000001</v>
      </c>
      <c r="Z7033">
        <v>-3.3250719999999998E-2</v>
      </c>
      <c r="AA7033">
        <v>0.89767399999999997</v>
      </c>
      <c r="AB7033">
        <v>41</v>
      </c>
      <c r="AC7033">
        <v>20.1373</v>
      </c>
      <c r="AD7033">
        <v>-1.0907906816140001</v>
      </c>
      <c r="AE7033">
        <v>-0.78790000000000704</v>
      </c>
      <c r="AF7033">
        <v>8.9431463908342792</v>
      </c>
      <c r="AG7033">
        <v>-1.0907906816140001</v>
      </c>
      <c r="AH7033">
        <v>17.993958383958901</v>
      </c>
      <c r="AI7033">
        <v>93.107241842518306</v>
      </c>
      <c r="AJ7033">
        <v>63.572242988013002</v>
      </c>
      <c r="AK7033">
        <v>20.123424907371799</v>
      </c>
      <c r="AL7033">
        <v>81.618193191550702</v>
      </c>
      <c r="AM7033">
        <v>67.162703897274397</v>
      </c>
      <c r="AN7033">
        <v>1.00000002416804</v>
      </c>
    </row>
    <row r="7034" spans="1:40" x14ac:dyDescent="0.25">
      <c r="A7034" t="str">
        <f>"20190312164202931"</f>
        <v>20190312164202931</v>
      </c>
      <c r="B7034" t="str">
        <f>"1552380122922939"</f>
        <v>1552380122922939</v>
      </c>
      <c r="C7034" t="s">
        <v>40</v>
      </c>
      <c r="D7034">
        <v>5.9740199999999897</v>
      </c>
      <c r="E7034">
        <v>0.5328581</v>
      </c>
      <c r="F7034" t="s">
        <v>41</v>
      </c>
      <c r="G7034">
        <v>-150.8409</v>
      </c>
      <c r="H7034" s="1">
        <v>-4.7414250000000001E-6</v>
      </c>
      <c r="I7034">
        <v>143.85310000000001</v>
      </c>
      <c r="J7034">
        <v>-170.95949999999999</v>
      </c>
      <c r="K7034">
        <v>1.0907819999999999</v>
      </c>
      <c r="L7034">
        <v>144.7251</v>
      </c>
      <c r="M7034">
        <v>0.91558830000000002</v>
      </c>
      <c r="N7034">
        <v>0</v>
      </c>
      <c r="O7034">
        <v>0.40171240000000003</v>
      </c>
      <c r="P7034">
        <v>0.98884740000000004</v>
      </c>
      <c r="Q7034">
        <v>0.14660379999999901</v>
      </c>
      <c r="R7034">
        <v>2.6228520000000002E-2</v>
      </c>
      <c r="S7034">
        <v>3.0623469999999999</v>
      </c>
      <c r="T7034">
        <v>-0.16445019999999999</v>
      </c>
      <c r="U7034">
        <v>-0.118576</v>
      </c>
      <c r="V7034">
        <v>0.38031510000000002</v>
      </c>
      <c r="W7034">
        <v>0.14594019999999999</v>
      </c>
      <c r="X7034">
        <v>0.91326989999999997</v>
      </c>
      <c r="Y7034">
        <v>0.4357241</v>
      </c>
      <c r="Z7034">
        <v>-3.2806349999999998E-2</v>
      </c>
      <c r="AA7034">
        <v>0.89948220000000001</v>
      </c>
      <c r="AB7034">
        <v>41</v>
      </c>
      <c r="AC7034">
        <v>20.118599999999901</v>
      </c>
      <c r="AD7034">
        <v>-1.0907867414250001</v>
      </c>
      <c r="AE7034">
        <v>-0.87199999999998501</v>
      </c>
      <c r="AF7034">
        <v>8.8557451375485101</v>
      </c>
      <c r="AG7034">
        <v>-1.0907867414250001</v>
      </c>
      <c r="AH7034">
        <v>18.020128432982201</v>
      </c>
      <c r="AI7034">
        <v>93.109588022946994</v>
      </c>
      <c r="AJ7034">
        <v>63.828823210215397</v>
      </c>
      <c r="AK7034">
        <v>20.108184065142598</v>
      </c>
      <c r="AL7034">
        <v>81.608272243503095</v>
      </c>
      <c r="AM7034">
        <v>67.391576998412901</v>
      </c>
      <c r="AN7034">
        <v>1.00000001375503</v>
      </c>
    </row>
    <row r="7035" spans="1:40" x14ac:dyDescent="0.25">
      <c r="A7035" t="str">
        <f>"20190312164202952"</f>
        <v>20190312164202952</v>
      </c>
      <c r="B7035" t="str">
        <f>"1552380122942459"</f>
        <v>1552380122942459</v>
      </c>
      <c r="C7035" t="s">
        <v>40</v>
      </c>
      <c r="D7035">
        <v>6.1163959999999999</v>
      </c>
      <c r="E7035">
        <v>0.53222999999999998</v>
      </c>
      <c r="F7035" t="s">
        <v>41</v>
      </c>
      <c r="G7035">
        <v>-150.37270000000001</v>
      </c>
      <c r="H7035" s="1">
        <v>-4.8987759999999998E-6</v>
      </c>
      <c r="I7035">
        <v>143.84200000000001</v>
      </c>
      <c r="J7035">
        <v>-170.6157</v>
      </c>
      <c r="K7035">
        <v>1.0907899999999999</v>
      </c>
      <c r="L7035">
        <v>144.8723</v>
      </c>
      <c r="M7035">
        <v>0.92165969999999997</v>
      </c>
      <c r="N7035">
        <v>0</v>
      </c>
      <c r="O7035">
        <v>0.38757999999999998</v>
      </c>
      <c r="P7035">
        <v>0.98888050000000005</v>
      </c>
      <c r="Q7035">
        <v>0.14745529999999901</v>
      </c>
      <c r="R7035">
        <v>1.9304620000000002E-2</v>
      </c>
      <c r="S7035">
        <v>3.061356</v>
      </c>
      <c r="T7035">
        <v>-0.16220490000000001</v>
      </c>
      <c r="U7035">
        <v>-0.13131709999999999</v>
      </c>
      <c r="V7035">
        <v>0.37262410000000001</v>
      </c>
      <c r="W7035">
        <v>0.14719670000000001</v>
      </c>
      <c r="X7035">
        <v>0.91623379999999999</v>
      </c>
      <c r="Y7035">
        <v>0.4256703</v>
      </c>
      <c r="Z7035">
        <v>-3.1404319999999999E-2</v>
      </c>
      <c r="AA7035">
        <v>0.90433319999999995</v>
      </c>
      <c r="AB7035">
        <v>41</v>
      </c>
      <c r="AC7035">
        <v>20.242999999999899</v>
      </c>
      <c r="AD7035">
        <v>-1.0907948987760001</v>
      </c>
      <c r="AE7035">
        <v>-1.03029999999998</v>
      </c>
      <c r="AF7035">
        <v>8.7713953465738399</v>
      </c>
      <c r="AG7035">
        <v>-1.0907948987760001</v>
      </c>
      <c r="AH7035">
        <v>18.208070232229598</v>
      </c>
      <c r="AI7035">
        <v>93.089326841669404</v>
      </c>
      <c r="AJ7035">
        <v>64.278432659333404</v>
      </c>
      <c r="AK7035">
        <v>20.240084768075899</v>
      </c>
      <c r="AL7035">
        <v>81.535493859375293</v>
      </c>
      <c r="AM7035">
        <v>67.868863730013103</v>
      </c>
      <c r="AN7035">
        <v>0.99999998232706999</v>
      </c>
    </row>
    <row r="7036" spans="1:40" x14ac:dyDescent="0.25">
      <c r="A7036" t="str">
        <f>"20190312164202965"</f>
        <v>20190312164202965</v>
      </c>
      <c r="B7036" t="str">
        <f>"1552380122953194"</f>
        <v>1552380122953194</v>
      </c>
      <c r="C7036" t="s">
        <v>40</v>
      </c>
      <c r="D7036">
        <v>5.9156969999999998</v>
      </c>
      <c r="E7036">
        <v>0.53195689999999995</v>
      </c>
      <c r="F7036" t="s">
        <v>41</v>
      </c>
      <c r="G7036">
        <v>-149.2722</v>
      </c>
      <c r="H7036" s="1">
        <v>-1.4163999999999999E-6</v>
      </c>
      <c r="I7036">
        <v>143.83250000000001</v>
      </c>
      <c r="J7036">
        <v>-170.38980000000001</v>
      </c>
      <c r="K7036">
        <v>1.090797</v>
      </c>
      <c r="L7036">
        <v>144.96539999999999</v>
      </c>
      <c r="M7036">
        <v>0.92552129999999999</v>
      </c>
      <c r="N7036">
        <v>0</v>
      </c>
      <c r="O7036">
        <v>0.37826599999999999</v>
      </c>
      <c r="P7036">
        <v>0.98891280000000004</v>
      </c>
      <c r="Q7036">
        <v>0.14789389999999999</v>
      </c>
      <c r="R7036">
        <v>1.3390630000000001E-2</v>
      </c>
      <c r="S7036">
        <v>3.0599669999999999</v>
      </c>
      <c r="T7036">
        <v>-0.156384</v>
      </c>
      <c r="U7036">
        <v>-0.1490631</v>
      </c>
      <c r="V7036">
        <v>0.36885010000000001</v>
      </c>
      <c r="W7036">
        <v>0.14783299999999999</v>
      </c>
      <c r="X7036">
        <v>0.91765730000000001</v>
      </c>
      <c r="Y7036">
        <v>0.42189149999999997</v>
      </c>
      <c r="Z7036">
        <v>-2.9749870000000001E-2</v>
      </c>
      <c r="AA7036">
        <v>0.90615809999999997</v>
      </c>
      <c r="AB7036">
        <v>41</v>
      </c>
      <c r="AC7036">
        <v>21.117599999999999</v>
      </c>
      <c r="AD7036">
        <v>-1.0907984164</v>
      </c>
      <c r="AE7036">
        <v>-1.13289999999997</v>
      </c>
      <c r="AF7036">
        <v>9.0140813457128193</v>
      </c>
      <c r="AG7036">
        <v>-1.0907984164</v>
      </c>
      <c r="AH7036">
        <v>19.068628953961301</v>
      </c>
      <c r="AI7036">
        <v>92.960503984938597</v>
      </c>
      <c r="AJ7036">
        <v>64.699062489807105</v>
      </c>
      <c r="AK7036">
        <v>21.1200405746816</v>
      </c>
      <c r="AL7036">
        <v>81.498633069334304</v>
      </c>
      <c r="AM7036">
        <v>68.102460180514299</v>
      </c>
      <c r="AN7036">
        <v>0.99999995620114901</v>
      </c>
    </row>
    <row r="7037" spans="1:40" x14ac:dyDescent="0.25">
      <c r="A7037" t="str">
        <f>"20190312164202986"</f>
        <v>20190312164202986</v>
      </c>
      <c r="B7037" t="str">
        <f>"1552380122972715"</f>
        <v>1552380122972715</v>
      </c>
      <c r="C7037" t="s">
        <v>40</v>
      </c>
      <c r="D7037">
        <v>5.8580489999999896</v>
      </c>
      <c r="E7037">
        <v>0.53134899999999996</v>
      </c>
      <c r="F7037" t="s">
        <v>41</v>
      </c>
      <c r="G7037">
        <v>-148.63839999999999</v>
      </c>
      <c r="H7037" s="1">
        <v>-1.6759919999999999E-6</v>
      </c>
      <c r="I7037">
        <v>143.78620000000001</v>
      </c>
      <c r="J7037">
        <v>-170.0352</v>
      </c>
      <c r="K7037">
        <v>1.090802</v>
      </c>
      <c r="L7037">
        <v>145.10640000000001</v>
      </c>
      <c r="M7037">
        <v>0.93138089999999996</v>
      </c>
      <c r="N7037">
        <v>0</v>
      </c>
      <c r="O7037">
        <v>0.3635988</v>
      </c>
      <c r="P7037">
        <v>0.98898629999999998</v>
      </c>
      <c r="Q7037">
        <v>0.14789959999999999</v>
      </c>
      <c r="R7037">
        <v>5.6509289999999998E-3</v>
      </c>
      <c r="S7037">
        <v>3.0588229999999998</v>
      </c>
      <c r="T7037">
        <v>-0.1533948</v>
      </c>
      <c r="U7037">
        <v>-0.165817299999999</v>
      </c>
      <c r="V7037">
        <v>0.36151250000000001</v>
      </c>
      <c r="W7037">
        <v>0.1482243</v>
      </c>
      <c r="X7037">
        <v>0.92050980000000004</v>
      </c>
      <c r="Y7037">
        <v>0.4125876</v>
      </c>
      <c r="Z7037">
        <v>-2.826528E-2</v>
      </c>
      <c r="AA7037">
        <v>0.91047929999999999</v>
      </c>
      <c r="AB7037">
        <v>41</v>
      </c>
      <c r="AC7037">
        <v>21.396799999999999</v>
      </c>
      <c r="AD7037">
        <v>-1.0908036759919999</v>
      </c>
      <c r="AE7037">
        <v>-1.32019999999999</v>
      </c>
      <c r="AF7037">
        <v>8.9876569043247603</v>
      </c>
      <c r="AG7037">
        <v>-1.0908036759919999</v>
      </c>
      <c r="AH7037">
        <v>19.4014820670468</v>
      </c>
      <c r="AI7037">
        <v>92.920397264877195</v>
      </c>
      <c r="AJ7037">
        <v>65.144262842046601</v>
      </c>
      <c r="AK7037">
        <v>21.4099354433252</v>
      </c>
      <c r="AL7037">
        <v>81.475963953876303</v>
      </c>
      <c r="AM7037">
        <v>68.558537705447904</v>
      </c>
      <c r="AN7037">
        <v>1.00000001133139</v>
      </c>
    </row>
    <row r="7038" spans="1:40" x14ac:dyDescent="0.25">
      <c r="A7038" t="str">
        <f>"20190312164203009"</f>
        <v>20190312164203009</v>
      </c>
      <c r="B7038" t="str">
        <f>"1552380123002970"</f>
        <v>1552380123002970</v>
      </c>
      <c r="C7038" t="s">
        <v>40</v>
      </c>
      <c r="D7038">
        <v>5.9717960000000003</v>
      </c>
      <c r="E7038">
        <v>0.53061800000000003</v>
      </c>
      <c r="F7038" t="s">
        <v>41</v>
      </c>
      <c r="G7038">
        <v>-148.59129999999999</v>
      </c>
      <c r="H7038" s="1">
        <v>-1.700689E-6</v>
      </c>
      <c r="I7038">
        <v>143.8031</v>
      </c>
      <c r="J7038">
        <v>-169.64349999999999</v>
      </c>
      <c r="K7038">
        <v>1.0907929999999999</v>
      </c>
      <c r="L7038">
        <v>145.25450000000001</v>
      </c>
      <c r="M7038">
        <v>0.93756870000000003</v>
      </c>
      <c r="N7038">
        <v>0</v>
      </c>
      <c r="O7038">
        <v>0.34733199999999997</v>
      </c>
      <c r="P7038">
        <v>0.98913039999999997</v>
      </c>
      <c r="Q7038">
        <v>0.1469821</v>
      </c>
      <c r="R7038">
        <v>-4.1809259999999997E-3</v>
      </c>
      <c r="S7038">
        <v>3.0577390000000002</v>
      </c>
      <c r="T7038">
        <v>-0.15553989999999901</v>
      </c>
      <c r="U7038">
        <v>-0.1858368</v>
      </c>
      <c r="V7038">
        <v>0.35462559999999999</v>
      </c>
      <c r="W7038">
        <v>0.1476693</v>
      </c>
      <c r="X7038">
        <v>0.92327380000000003</v>
      </c>
      <c r="Y7038">
        <v>0.40267770000000003</v>
      </c>
      <c r="Z7038">
        <v>-2.763175E-2</v>
      </c>
      <c r="AA7038">
        <v>0.91492470000000004</v>
      </c>
      <c r="AB7038">
        <v>40</v>
      </c>
      <c r="AC7038">
        <v>21.052199999999999</v>
      </c>
      <c r="AD7038">
        <v>-1.090794700689</v>
      </c>
      <c r="AE7038">
        <v>-1.4514</v>
      </c>
      <c r="AF7038">
        <v>8.6511857132739198</v>
      </c>
      <c r="AG7038">
        <v>-1.090794700689</v>
      </c>
      <c r="AH7038">
        <v>19.185632909239299</v>
      </c>
      <c r="AI7038">
        <v>92.966941142559506</v>
      </c>
      <c r="AJ7038">
        <v>65.728434034343806</v>
      </c>
      <c r="AK7038">
        <v>21.0741869938722</v>
      </c>
      <c r="AL7038">
        <v>81.508117053759193</v>
      </c>
      <c r="AM7038">
        <v>68.988426548901401</v>
      </c>
      <c r="AN7038">
        <v>1.0000000240521401</v>
      </c>
    </row>
    <row r="7039" spans="1:40" x14ac:dyDescent="0.25">
      <c r="A7039" t="str">
        <f>"20190312164203031"</f>
        <v>20190312164203031</v>
      </c>
      <c r="B7039" t="str">
        <f>"1552380123022490"</f>
        <v>1552380123022490</v>
      </c>
      <c r="C7039" t="s">
        <v>40</v>
      </c>
      <c r="D7039">
        <v>5.9497960000000001</v>
      </c>
      <c r="E7039">
        <v>0.53001929999999997</v>
      </c>
      <c r="F7039" t="s">
        <v>41</v>
      </c>
      <c r="G7039">
        <v>-148.13550000000001</v>
      </c>
      <c r="H7039" s="1">
        <v>-1.887342E-6</v>
      </c>
      <c r="I7039">
        <v>143.7697</v>
      </c>
      <c r="J7039">
        <v>-169.25890000000001</v>
      </c>
      <c r="K7039">
        <v>1.090795</v>
      </c>
      <c r="L7039">
        <v>145.39250000000001</v>
      </c>
      <c r="M7039">
        <v>0.94335559999999996</v>
      </c>
      <c r="N7039">
        <v>0</v>
      </c>
      <c r="O7039">
        <v>0.3312927</v>
      </c>
      <c r="P7039">
        <v>0.98921769999999998</v>
      </c>
      <c r="Q7039">
        <v>0.14580119999999999</v>
      </c>
      <c r="R7039">
        <v>-1.3807410000000001E-2</v>
      </c>
      <c r="S7039">
        <v>3.0550989999999998</v>
      </c>
      <c r="T7039">
        <v>-0.154941</v>
      </c>
      <c r="U7039">
        <v>-0.21090700000000001</v>
      </c>
      <c r="V7039">
        <v>0.3478501</v>
      </c>
      <c r="W7039">
        <v>0.14684440000000001</v>
      </c>
      <c r="X7039">
        <v>0.925979</v>
      </c>
      <c r="Y7039">
        <v>0.39461829999999998</v>
      </c>
      <c r="Z7039">
        <v>-2.6566240000000001E-2</v>
      </c>
      <c r="AA7039">
        <v>0.91846099999999997</v>
      </c>
      <c r="AB7039">
        <v>40</v>
      </c>
      <c r="AC7039">
        <v>21.1234</v>
      </c>
      <c r="AD7039">
        <v>-1.090796887342</v>
      </c>
      <c r="AE7039">
        <v>-1.62280000000001</v>
      </c>
      <c r="AF7039">
        <v>8.5077397594118498</v>
      </c>
      <c r="AG7039">
        <v>-1.090796887342</v>
      </c>
      <c r="AH7039">
        <v>19.341138157204099</v>
      </c>
      <c r="AI7039">
        <v>92.955216290471498</v>
      </c>
      <c r="AJ7039">
        <v>66.256365577057394</v>
      </c>
      <c r="AK7039">
        <v>21.157766868915299</v>
      </c>
      <c r="AL7039">
        <v>81.555901400959797</v>
      </c>
      <c r="AM7039">
        <v>69.410980863045694</v>
      </c>
      <c r="AN7039">
        <v>1.0000000391611801</v>
      </c>
    </row>
    <row r="7040" spans="1:40" x14ac:dyDescent="0.25">
      <c r="A7040" t="str">
        <f>"20190312164203052"</f>
        <v>20190312164203052</v>
      </c>
      <c r="B7040" t="str">
        <f>"1552380123042987"</f>
        <v>1552380123042987</v>
      </c>
      <c r="C7040" t="s">
        <v>40</v>
      </c>
      <c r="D7040">
        <v>5.9090790000000002</v>
      </c>
      <c r="E7040">
        <v>0.52973800000000004</v>
      </c>
      <c r="F7040" t="s">
        <v>41</v>
      </c>
      <c r="G7040">
        <v>-148.08959999999999</v>
      </c>
      <c r="H7040" s="1">
        <v>-1.903284E-6</v>
      </c>
      <c r="I7040">
        <v>143.75559999999999</v>
      </c>
      <c r="J7040">
        <v>-168.88220000000001</v>
      </c>
      <c r="K7040">
        <v>1.0907990000000001</v>
      </c>
      <c r="L7040">
        <v>145.5204</v>
      </c>
      <c r="M7040">
        <v>0.9487466</v>
      </c>
      <c r="N7040">
        <v>0</v>
      </c>
      <c r="O7040">
        <v>0.31552229999999998</v>
      </c>
      <c r="P7040">
        <v>0.98919040000000003</v>
      </c>
      <c r="Q7040">
        <v>0.14486840000000001</v>
      </c>
      <c r="R7040">
        <v>-2.270604E-2</v>
      </c>
      <c r="S7040">
        <v>3.0525820000000001</v>
      </c>
      <c r="T7040">
        <v>-0.15729089999999901</v>
      </c>
      <c r="U7040">
        <v>-0.23602290000000001</v>
      </c>
      <c r="V7040">
        <v>0.34072459999999999</v>
      </c>
      <c r="W7040">
        <v>0.146285</v>
      </c>
      <c r="X7040">
        <v>0.9287128</v>
      </c>
      <c r="Y7040">
        <v>0.38686340000000002</v>
      </c>
      <c r="Z7040">
        <v>-2.6008050000000001E-2</v>
      </c>
      <c r="AA7040">
        <v>0.92177019999999998</v>
      </c>
      <c r="AB7040">
        <v>40</v>
      </c>
      <c r="AC7040">
        <v>20.7926</v>
      </c>
      <c r="AD7040">
        <v>-1.090800903284</v>
      </c>
      <c r="AE7040">
        <v>-1.7647999999999999</v>
      </c>
      <c r="AF7040">
        <v>8.2137738864163392</v>
      </c>
      <c r="AG7040">
        <v>-1.090800903284</v>
      </c>
      <c r="AH7040">
        <v>19.120948652711899</v>
      </c>
      <c r="AI7040">
        <v>93.000464027446597</v>
      </c>
      <c r="AJ7040">
        <v>66.753121485262199</v>
      </c>
      <c r="AK7040">
        <v>20.839064409119299</v>
      </c>
      <c r="AL7040">
        <v>81.588302305824499</v>
      </c>
      <c r="AM7040">
        <v>69.853007183395107</v>
      </c>
      <c r="AN7040">
        <v>1.0000000095769901</v>
      </c>
    </row>
    <row r="7041" spans="1:40" x14ac:dyDescent="0.25">
      <c r="A7041" t="str">
        <f>"20190312164203067"</f>
        <v>20190312164203067</v>
      </c>
      <c r="B7041" t="str">
        <f>"1552380123062506"</f>
        <v>1552380123062506</v>
      </c>
      <c r="C7041" t="s">
        <v>40</v>
      </c>
      <c r="D7041">
        <v>5.891286</v>
      </c>
      <c r="E7041">
        <v>0.52939720000000001</v>
      </c>
      <c r="F7041" t="s">
        <v>41</v>
      </c>
      <c r="G7041">
        <v>-148.4067</v>
      </c>
      <c r="H7041" s="1">
        <v>-1.7687750000000001E-6</v>
      </c>
      <c r="I7041">
        <v>143.76130000000001</v>
      </c>
      <c r="J7041">
        <v>-168.63399999999999</v>
      </c>
      <c r="K7041">
        <v>1.090795</v>
      </c>
      <c r="L7041">
        <v>145.60059999999999</v>
      </c>
      <c r="M7041">
        <v>0.95214940000000003</v>
      </c>
      <c r="N7041">
        <v>0</v>
      </c>
      <c r="O7041">
        <v>0.30509989999999998</v>
      </c>
      <c r="P7041">
        <v>0.98907449999999997</v>
      </c>
      <c r="Q7041">
        <v>0.1445128</v>
      </c>
      <c r="R7041">
        <v>-2.9116240000000002E-2</v>
      </c>
      <c r="S7041">
        <v>3.0505680000000002</v>
      </c>
      <c r="T7041">
        <v>-0.16251399999999999</v>
      </c>
      <c r="U7041">
        <v>-0.26206970000000002</v>
      </c>
      <c r="V7041">
        <v>0.33654959999999901</v>
      </c>
      <c r="W7041">
        <v>0.14614769999999999</v>
      </c>
      <c r="X7041">
        <v>0.93025550000000001</v>
      </c>
      <c r="Y7041">
        <v>0.38457370000000002</v>
      </c>
      <c r="Z7041">
        <v>-2.6287870000000001E-2</v>
      </c>
      <c r="AA7041">
        <v>0.92271990000000004</v>
      </c>
      <c r="AB7041">
        <v>40</v>
      </c>
      <c r="AC7041">
        <v>20.2273</v>
      </c>
      <c r="AD7041">
        <v>-1.090796768775</v>
      </c>
      <c r="AE7041">
        <v>-1.83929999999998</v>
      </c>
      <c r="AF7041">
        <v>7.9011366076460199</v>
      </c>
      <c r="AG7041">
        <v>-1.090796768775</v>
      </c>
      <c r="AH7041">
        <v>18.647501464994299</v>
      </c>
      <c r="AI7041">
        <v>93.082988056759902</v>
      </c>
      <c r="AJ7041">
        <v>67.037131004787497</v>
      </c>
      <c r="AK7041">
        <v>20.2816939176791</v>
      </c>
      <c r="AL7041">
        <v>81.596254733450294</v>
      </c>
      <c r="AM7041">
        <v>70.110793281297603</v>
      </c>
      <c r="AN7041">
        <v>1.0000000393778401</v>
      </c>
    </row>
    <row r="7042" spans="1:40" x14ac:dyDescent="0.25">
      <c r="A7042" t="str">
        <f>"20190312164203081"</f>
        <v>20190312164203081</v>
      </c>
      <c r="B7042" t="str">
        <f>"1552380123073243"</f>
        <v>1552380123073243</v>
      </c>
      <c r="C7042" t="s">
        <v>40</v>
      </c>
      <c r="D7042">
        <v>5.9413780000000003</v>
      </c>
      <c r="E7042">
        <v>0.50410999999999995</v>
      </c>
      <c r="F7042" t="s">
        <v>41</v>
      </c>
      <c r="G7042">
        <v>-148.6258</v>
      </c>
      <c r="H7042" s="1">
        <v>-1.6765669999999999E-6</v>
      </c>
      <c r="I7042">
        <v>143.768</v>
      </c>
      <c r="J7042">
        <v>-168.39330000000001</v>
      </c>
      <c r="K7042">
        <v>1.090797</v>
      </c>
      <c r="L7042">
        <v>145.67599999999999</v>
      </c>
      <c r="M7042">
        <v>0.95533809999999997</v>
      </c>
      <c r="N7042">
        <v>0</v>
      </c>
      <c r="O7042">
        <v>0.29496359999999999</v>
      </c>
      <c r="P7042">
        <v>0.98892089999999999</v>
      </c>
      <c r="Q7042">
        <v>0.14419760000000001</v>
      </c>
      <c r="R7042">
        <v>-3.5248830000000002E-2</v>
      </c>
      <c r="S7042">
        <v>3.0492249999999999</v>
      </c>
      <c r="T7042">
        <v>-0.16623560000000001</v>
      </c>
      <c r="U7042">
        <v>-0.27926640000000003</v>
      </c>
      <c r="V7042">
        <v>0.33242100000000002</v>
      </c>
      <c r="W7042">
        <v>0.1460477</v>
      </c>
      <c r="X7042">
        <v>0.93175450000000004</v>
      </c>
      <c r="Y7042">
        <v>0.37993640000000001</v>
      </c>
      <c r="Z7042">
        <v>-2.6236849999999999E-2</v>
      </c>
      <c r="AA7042">
        <v>0.92464049999999998</v>
      </c>
      <c r="AB7042">
        <v>40</v>
      </c>
      <c r="AC7042">
        <v>19.767499999999998</v>
      </c>
      <c r="AD7042">
        <v>-1.0907986765669999</v>
      </c>
      <c r="AE7042">
        <v>-1.9080000000000099</v>
      </c>
      <c r="AF7042">
        <v>7.6317003677284303</v>
      </c>
      <c r="AG7042">
        <v>-1.0907986765669999</v>
      </c>
      <c r="AH7042">
        <v>18.269721178040601</v>
      </c>
      <c r="AI7042">
        <v>93.153343201113898</v>
      </c>
      <c r="AJ7042">
        <v>67.328537058989696</v>
      </c>
      <c r="AK7042">
        <v>19.829659709105801</v>
      </c>
      <c r="AL7042">
        <v>81.602046546024098</v>
      </c>
      <c r="AM7042">
        <v>70.365182113167904</v>
      </c>
      <c r="AN7042">
        <v>1.00000005009326</v>
      </c>
    </row>
    <row r="7043" spans="1:40" x14ac:dyDescent="0.25">
      <c r="A7043" t="str">
        <f>"20190312164203093"</f>
        <v>20190312164203093</v>
      </c>
      <c r="B7043" t="str">
        <f>"1552380123083003"</f>
        <v>1552380123083003</v>
      </c>
      <c r="C7043" t="s">
        <v>40</v>
      </c>
      <c r="D7043">
        <v>5.8265269999999996</v>
      </c>
      <c r="E7043">
        <v>0.50287090000000001</v>
      </c>
      <c r="F7043" t="s">
        <v>41</v>
      </c>
      <c r="G7043">
        <v>-153.83070000000001</v>
      </c>
      <c r="H7043" s="1">
        <v>-3.9697100000000001E-6</v>
      </c>
      <c r="I7043">
        <v>145.23840000000001</v>
      </c>
      <c r="J7043">
        <v>-168.1591</v>
      </c>
      <c r="K7043">
        <v>1.0908009999999999</v>
      </c>
      <c r="L7043">
        <v>145.74619999999999</v>
      </c>
      <c r="M7043">
        <v>0.95833369999999996</v>
      </c>
      <c r="N7043">
        <v>0</v>
      </c>
      <c r="O7043">
        <v>0.28508020000000001</v>
      </c>
      <c r="P7043">
        <v>0.98880800000000002</v>
      </c>
      <c r="Q7043">
        <v>0.14338600000000001</v>
      </c>
      <c r="R7043">
        <v>-4.1222259999999997E-2</v>
      </c>
      <c r="S7043">
        <v>3.063812</v>
      </c>
      <c r="T7043">
        <v>-0.229493</v>
      </c>
      <c r="U7043">
        <v>-9.2041020000000001E-2</v>
      </c>
      <c r="V7043">
        <v>0.32841300000000001</v>
      </c>
      <c r="W7043">
        <v>0.14544570000000001</v>
      </c>
      <c r="X7043">
        <v>0.93326869999999995</v>
      </c>
      <c r="Y7043">
        <v>0.31212109999999998</v>
      </c>
      <c r="Z7043">
        <v>-3.2789789999999999E-2</v>
      </c>
      <c r="AA7043">
        <v>0.94947630000000005</v>
      </c>
      <c r="AB7043">
        <v>40</v>
      </c>
      <c r="AC7043">
        <v>14.328399999999901</v>
      </c>
      <c r="AD7043">
        <v>-1.09080496971</v>
      </c>
      <c r="AE7043">
        <v>-0.50779999999997405</v>
      </c>
      <c r="AF7043">
        <v>4.5458171345601102</v>
      </c>
      <c r="AG7043">
        <v>-1.09080496971</v>
      </c>
      <c r="AH7043">
        <v>13.5106345722683</v>
      </c>
      <c r="AI7043">
        <v>94.375830983221206</v>
      </c>
      <c r="AJ7043">
        <v>71.403861793395606</v>
      </c>
      <c r="AK7043">
        <v>14.296557468431899</v>
      </c>
      <c r="AL7043">
        <v>81.636910535699002</v>
      </c>
      <c r="AM7043">
        <v>70.613262044247506</v>
      </c>
      <c r="AN7043">
        <v>1.00000000830858</v>
      </c>
    </row>
    <row r="7044" spans="1:40" x14ac:dyDescent="0.25">
      <c r="A7044" t="str">
        <f>"20190312164203111"</f>
        <v>20190312164203111</v>
      </c>
      <c r="B7044" t="str">
        <f>"1552380123103503"</f>
        <v>1552380123103503</v>
      </c>
      <c r="C7044" t="s">
        <v>40</v>
      </c>
      <c r="D7044">
        <v>5.883203</v>
      </c>
      <c r="E7044">
        <v>0.50301370000000001</v>
      </c>
      <c r="F7044" t="s">
        <v>41</v>
      </c>
      <c r="G7044">
        <v>-152.28059999999999</v>
      </c>
      <c r="H7044" s="1">
        <v>-4.4930710000000001E-6</v>
      </c>
      <c r="I7044">
        <v>145.215</v>
      </c>
      <c r="J7044">
        <v>-167.87309999999999</v>
      </c>
      <c r="K7044">
        <v>1.0908059999999999</v>
      </c>
      <c r="L7044">
        <v>145.82810000000001</v>
      </c>
      <c r="M7044">
        <v>0.96185080000000001</v>
      </c>
      <c r="N7044">
        <v>0</v>
      </c>
      <c r="O7044">
        <v>0.27297880000000002</v>
      </c>
      <c r="P7044">
        <v>0.98878840000000001</v>
      </c>
      <c r="Q7044">
        <v>0.14224790000000001</v>
      </c>
      <c r="R7044">
        <v>-4.5422400000000002E-2</v>
      </c>
      <c r="S7044">
        <v>3.060165</v>
      </c>
      <c r="T7044">
        <v>-0.21022370000000001</v>
      </c>
      <c r="U7044">
        <v>-0.1023712</v>
      </c>
      <c r="V7044">
        <v>0.32058399999999998</v>
      </c>
      <c r="W7044">
        <v>0.14471539999999999</v>
      </c>
      <c r="X7044">
        <v>0.93610009999999999</v>
      </c>
      <c r="Y7044">
        <v>0.30368610000000001</v>
      </c>
      <c r="Z7044">
        <v>-2.8984340000000001E-2</v>
      </c>
      <c r="AA7044">
        <v>0.95233120000000004</v>
      </c>
      <c r="AB7044">
        <v>40</v>
      </c>
      <c r="AC7044">
        <v>15.592499999999999</v>
      </c>
      <c r="AD7044">
        <v>-1.0908104930710001</v>
      </c>
      <c r="AE7044">
        <v>-0.61310000000000198</v>
      </c>
      <c r="AF7044">
        <v>4.8233526210474702</v>
      </c>
      <c r="AG7044">
        <v>-1.0908104930710001</v>
      </c>
      <c r="AH7044">
        <v>14.760583055152001</v>
      </c>
      <c r="AI7044">
        <v>94.018138710998898</v>
      </c>
      <c r="AJ7044">
        <v>71.904031700900703</v>
      </c>
      <c r="AK7044">
        <v>15.5669332293423</v>
      </c>
      <c r="AL7044">
        <v>81.6792012046689</v>
      </c>
      <c r="AM7044">
        <v>71.095326975823696</v>
      </c>
      <c r="AN7044">
        <v>1.0000000226365799</v>
      </c>
    </row>
    <row r="7045" spans="1:40" x14ac:dyDescent="0.25">
      <c r="A7045" t="str">
        <f>"20190312164203131"</f>
        <v>20190312164203131</v>
      </c>
      <c r="B7045" t="str">
        <f>"1552380123123022"</f>
        <v>1552380123123022</v>
      </c>
      <c r="C7045" t="s">
        <v>40</v>
      </c>
      <c r="D7045">
        <v>5.9696699999999998</v>
      </c>
      <c r="E7045">
        <v>0.50303729999999902</v>
      </c>
      <c r="F7045" t="s">
        <v>41</v>
      </c>
      <c r="G7045">
        <v>-151.37469999999999</v>
      </c>
      <c r="H7045" s="1">
        <v>-4.7970510000000003E-6</v>
      </c>
      <c r="I7045">
        <v>145.1908</v>
      </c>
      <c r="J7045">
        <v>-167.51070000000001</v>
      </c>
      <c r="K7045">
        <v>1.090811</v>
      </c>
      <c r="L7045">
        <v>145.92670000000001</v>
      </c>
      <c r="M7045">
        <v>0.96608530000000004</v>
      </c>
      <c r="N7045">
        <v>0</v>
      </c>
      <c r="O7045">
        <v>0.25759199999999999</v>
      </c>
      <c r="P7045">
        <v>0.98862419999999995</v>
      </c>
      <c r="Q7045">
        <v>0.140648</v>
      </c>
      <c r="R7045">
        <v>-5.329557E-2</v>
      </c>
      <c r="S7045">
        <v>3.0576780000000001</v>
      </c>
      <c r="T7045">
        <v>-0.2021617</v>
      </c>
      <c r="U7045">
        <v>-0.1181183</v>
      </c>
      <c r="V7045">
        <v>0.3130618</v>
      </c>
      <c r="W7045">
        <v>0.14350789999999999</v>
      </c>
      <c r="X7045">
        <v>0.93882790000000005</v>
      </c>
      <c r="Y7045">
        <v>0.29354520000000001</v>
      </c>
      <c r="Z7045">
        <v>-2.6573699999999999E-2</v>
      </c>
      <c r="AA7045">
        <v>0.95557579999999998</v>
      </c>
      <c r="AB7045">
        <v>40</v>
      </c>
      <c r="AC7045">
        <v>16.135999999999999</v>
      </c>
      <c r="AD7045">
        <v>-1.090815797051</v>
      </c>
      <c r="AE7045">
        <v>-0.73590000000001499</v>
      </c>
      <c r="AF7045">
        <v>4.8461385637209604</v>
      </c>
      <c r="AG7045">
        <v>-1.090815797051</v>
      </c>
      <c r="AH7045">
        <v>15.331777730879899</v>
      </c>
      <c r="AI7045">
        <v>93.880951027723498</v>
      </c>
      <c r="AJ7045">
        <v>72.459057701072496</v>
      </c>
      <c r="AK7045">
        <v>16.116399922780001</v>
      </c>
      <c r="AL7045">
        <v>81.749115620452699</v>
      </c>
      <c r="AM7045">
        <v>71.558506060195398</v>
      </c>
      <c r="AN7045">
        <v>1.0000000169000201</v>
      </c>
    </row>
    <row r="7046" spans="1:40" x14ac:dyDescent="0.25">
      <c r="A7046" t="str">
        <f>"20190312164203152"</f>
        <v>20190312164203152</v>
      </c>
      <c r="B7046" t="str">
        <f>"1552380123142539"</f>
        <v>1552380123142539</v>
      </c>
      <c r="C7046" t="s">
        <v>40</v>
      </c>
      <c r="D7046">
        <v>5.8768659999999997</v>
      </c>
      <c r="E7046">
        <v>0.50294850000000002</v>
      </c>
      <c r="F7046" t="s">
        <v>41</v>
      </c>
      <c r="G7046">
        <v>-151.0283</v>
      </c>
      <c r="H7046" s="1">
        <v>-4.9082150000000001E-6</v>
      </c>
      <c r="I7046">
        <v>145.15299999999999</v>
      </c>
      <c r="J7046">
        <v>-167.13460000000001</v>
      </c>
      <c r="K7046">
        <v>1.0908100000000001</v>
      </c>
      <c r="L7046">
        <v>146.0223</v>
      </c>
      <c r="M7046">
        <v>0.970217</v>
      </c>
      <c r="N7046">
        <v>0</v>
      </c>
      <c r="O7046">
        <v>0.241564</v>
      </c>
      <c r="P7046">
        <v>0.98838510000000002</v>
      </c>
      <c r="Q7046">
        <v>0.1388607</v>
      </c>
      <c r="R7046">
        <v>-6.1746959999999997E-2</v>
      </c>
      <c r="S7046">
        <v>3.0555569999999999</v>
      </c>
      <c r="T7046">
        <v>-0.20221910000000001</v>
      </c>
      <c r="U7046">
        <v>-0.1434174</v>
      </c>
      <c r="V7046">
        <v>0.30550559999999899</v>
      </c>
      <c r="W7046">
        <v>0.14211379999999901</v>
      </c>
      <c r="X7046">
        <v>0.94152530000000001</v>
      </c>
      <c r="Y7046">
        <v>0.28568739999999998</v>
      </c>
      <c r="Z7046">
        <v>-2.5303780000000001E-2</v>
      </c>
      <c r="AA7046">
        <v>0.95798870000000003</v>
      </c>
      <c r="AB7046">
        <v>40</v>
      </c>
      <c r="AC7046">
        <v>16.106300000000001</v>
      </c>
      <c r="AD7046">
        <v>-1.090814908215</v>
      </c>
      <c r="AE7046">
        <v>-0.86930000000000895</v>
      </c>
      <c r="AF7046">
        <v>4.7133269516308296</v>
      </c>
      <c r="AG7046">
        <v>-1.090814908215</v>
      </c>
      <c r="AH7046">
        <v>15.348928417593401</v>
      </c>
      <c r="AI7046">
        <v>93.8865223200592</v>
      </c>
      <c r="AJ7046">
        <v>72.929400017903006</v>
      </c>
      <c r="AK7046">
        <v>16.0933194737866</v>
      </c>
      <c r="AL7046">
        <v>81.829818307109207</v>
      </c>
      <c r="AM7046">
        <v>72.022819134056107</v>
      </c>
      <c r="AN7046">
        <v>0.99999994716094298</v>
      </c>
    </row>
    <row r="7047" spans="1:40" x14ac:dyDescent="0.25">
      <c r="A7047" t="str">
        <f>"20190312164203176"</f>
        <v>20190312164203176</v>
      </c>
      <c r="B7047" t="str">
        <f>"1552380123162701"</f>
        <v>1552380123162701</v>
      </c>
      <c r="C7047" t="s">
        <v>40</v>
      </c>
      <c r="D7047">
        <v>5.9274519999999997</v>
      </c>
      <c r="E7047">
        <v>0.50265079999999995</v>
      </c>
      <c r="F7047" t="s">
        <v>41</v>
      </c>
      <c r="G7047">
        <v>-150.82329999999999</v>
      </c>
      <c r="H7047" s="1">
        <v>-4.9717460000000002E-6</v>
      </c>
      <c r="I7047">
        <v>145.11779999999999</v>
      </c>
      <c r="J7047">
        <v>-166.74010000000001</v>
      </c>
      <c r="K7047">
        <v>1.0908119999999999</v>
      </c>
      <c r="L7047">
        <v>146.1156</v>
      </c>
      <c r="M7047">
        <v>0.9742634</v>
      </c>
      <c r="N7047">
        <v>0</v>
      </c>
      <c r="O7047">
        <v>0.22468830000000001</v>
      </c>
      <c r="P7047">
        <v>0.98842580000000002</v>
      </c>
      <c r="Q7047">
        <v>0.1362971</v>
      </c>
      <c r="R7047">
        <v>-6.6614499999999993E-2</v>
      </c>
      <c r="S7047">
        <v>3.0533600000000001</v>
      </c>
      <c r="T7047">
        <v>-0.2041925</v>
      </c>
      <c r="U7047">
        <v>-0.169326799999999</v>
      </c>
      <c r="V7047">
        <v>0.29372359999999997</v>
      </c>
      <c r="W7047">
        <v>0.1401599</v>
      </c>
      <c r="X7047">
        <v>0.94555889999999998</v>
      </c>
      <c r="Y7047">
        <v>0.27722000000000002</v>
      </c>
      <c r="Z7047">
        <v>-2.4178370000000001E-2</v>
      </c>
      <c r="AA7047">
        <v>0.96050219999999997</v>
      </c>
      <c r="AB7047">
        <v>40</v>
      </c>
      <c r="AC7047">
        <v>15.9168</v>
      </c>
      <c r="AD7047">
        <v>-1.0908169717459999</v>
      </c>
      <c r="AE7047">
        <v>-0.99780000000001201</v>
      </c>
      <c r="AF7047">
        <v>4.5279969518359504</v>
      </c>
      <c r="AG7047">
        <v>-1.0908169717459999</v>
      </c>
      <c r="AH7047">
        <v>15.2142763117497</v>
      </c>
      <c r="AI7047">
        <v>93.931080083641305</v>
      </c>
      <c r="AJ7047">
        <v>73.426204913012597</v>
      </c>
      <c r="AK7047">
        <v>15.9112174817627</v>
      </c>
      <c r="AL7047">
        <v>81.942900862139396</v>
      </c>
      <c r="AM7047">
        <v>72.743381710481003</v>
      </c>
      <c r="AN7047">
        <v>0.99999999206708901</v>
      </c>
    </row>
    <row r="7048" spans="1:40" x14ac:dyDescent="0.25">
      <c r="A7048" t="str">
        <f>"20190312164203199"</f>
        <v>20190312164203199</v>
      </c>
      <c r="B7048" t="str">
        <f>"1552380123192957"</f>
        <v>1552380123192957</v>
      </c>
      <c r="C7048" t="s">
        <v>40</v>
      </c>
      <c r="D7048">
        <v>5.8608370000000001</v>
      </c>
      <c r="E7048">
        <v>0.50226110000000002</v>
      </c>
      <c r="F7048" t="s">
        <v>41</v>
      </c>
      <c r="G7048">
        <v>-150.9357</v>
      </c>
      <c r="H7048" s="1">
        <v>-4.942735E-6</v>
      </c>
      <c r="I7048">
        <v>145.16980000000001</v>
      </c>
      <c r="J7048">
        <v>-166.3312</v>
      </c>
      <c r="K7048">
        <v>1.0908100000000001</v>
      </c>
      <c r="L7048">
        <v>146.2046</v>
      </c>
      <c r="M7048">
        <v>0.97814820000000002</v>
      </c>
      <c r="N7048">
        <v>0</v>
      </c>
      <c r="O7048">
        <v>0.2071238</v>
      </c>
      <c r="P7048">
        <v>0.98804320000000001</v>
      </c>
      <c r="Q7048">
        <v>0.13445579999999999</v>
      </c>
      <c r="R7048">
        <v>-7.5447689999999998E-2</v>
      </c>
      <c r="S7048">
        <v>3.0518800000000001</v>
      </c>
      <c r="T7048">
        <v>-0.21063950000000001</v>
      </c>
      <c r="U7048">
        <v>-0.1826324</v>
      </c>
      <c r="V7048">
        <v>0.28510760000000002</v>
      </c>
      <c r="W7048">
        <v>0.13876369999999999</v>
      </c>
      <c r="X7048">
        <v>0.94839779999999996</v>
      </c>
      <c r="Y7048">
        <v>0.26411240000000002</v>
      </c>
      <c r="Z7048">
        <v>-2.3307560000000001E-2</v>
      </c>
      <c r="AA7048">
        <v>0.96421029999999996</v>
      </c>
      <c r="AB7048">
        <v>40</v>
      </c>
      <c r="AC7048">
        <v>15.395499999999901</v>
      </c>
      <c r="AD7048">
        <v>-1.090814942735</v>
      </c>
      <c r="AE7048">
        <v>-1.03479999999999</v>
      </c>
      <c r="AF7048">
        <v>4.1807532748184997</v>
      </c>
      <c r="AG7048">
        <v>-1.090814942735</v>
      </c>
      <c r="AH7048">
        <v>14.7733374745776</v>
      </c>
      <c r="AI7048">
        <v>94.063843506629595</v>
      </c>
      <c r="AJ7048">
        <v>74.198850426559204</v>
      </c>
      <c r="AK7048">
        <v>15.392208266586</v>
      </c>
      <c r="AL7048">
        <v>82.023687166130898</v>
      </c>
      <c r="AM7048">
        <v>73.268157032038303</v>
      </c>
      <c r="AN7048">
        <v>1.00000004753014</v>
      </c>
    </row>
    <row r="7049" spans="1:40" x14ac:dyDescent="0.25">
      <c r="A7049" t="str">
        <f>"20190312164203221"</f>
        <v>20190312164203221</v>
      </c>
      <c r="B7049" t="str">
        <f>"1552380123212477"</f>
        <v>1552380123212477</v>
      </c>
      <c r="C7049" t="s">
        <v>40</v>
      </c>
      <c r="D7049">
        <v>5.9283710000000003</v>
      </c>
      <c r="E7049">
        <v>0.50177399999999905</v>
      </c>
      <c r="F7049" t="s">
        <v>41</v>
      </c>
      <c r="G7049">
        <v>-150.84899999999999</v>
      </c>
      <c r="H7049" s="1">
        <v>-4.9687350000000003E-6</v>
      </c>
      <c r="I7049">
        <v>145.15010000000001</v>
      </c>
      <c r="J7049">
        <v>-165.9374</v>
      </c>
      <c r="K7049">
        <v>1.09081299999999</v>
      </c>
      <c r="L7049">
        <v>146.2824</v>
      </c>
      <c r="M7049">
        <v>0.98159130000000006</v>
      </c>
      <c r="N7049">
        <v>0</v>
      </c>
      <c r="O7049">
        <v>0.19013769999999999</v>
      </c>
      <c r="P7049">
        <v>0.98763060000000003</v>
      </c>
      <c r="Q7049">
        <v>0.1327014</v>
      </c>
      <c r="R7049">
        <v>-8.3522529999999998E-2</v>
      </c>
      <c r="S7049">
        <v>3.0496979999999998</v>
      </c>
      <c r="T7049">
        <v>-0.21486830000000001</v>
      </c>
      <c r="U7049">
        <v>-0.20771790000000001</v>
      </c>
      <c r="V7049">
        <v>0.27636149999999998</v>
      </c>
      <c r="W7049">
        <v>0.1374602</v>
      </c>
      <c r="X7049">
        <v>0.95117249999999998</v>
      </c>
      <c r="Y7049">
        <v>0.25534400000000002</v>
      </c>
      <c r="Z7049">
        <v>-2.2300190000000001E-2</v>
      </c>
      <c r="AA7049">
        <v>0.96659309999999998</v>
      </c>
      <c r="AB7049">
        <v>40</v>
      </c>
      <c r="AC7049">
        <v>15.0884</v>
      </c>
      <c r="AD7049">
        <v>-1.0908179687349999</v>
      </c>
      <c r="AE7049">
        <v>-1.1322999999999801</v>
      </c>
      <c r="AF7049">
        <v>3.9603953698634</v>
      </c>
      <c r="AG7049">
        <v>-1.0908179687349999</v>
      </c>
      <c r="AH7049">
        <v>14.5222533912582</v>
      </c>
      <c r="AI7049">
        <v>94.144814255461199</v>
      </c>
      <c r="AJ7049">
        <v>74.745686222639605</v>
      </c>
      <c r="AK7049">
        <v>15.0920660907134</v>
      </c>
      <c r="AL7049">
        <v>82.099094936739803</v>
      </c>
      <c r="AM7049">
        <v>73.7988699652485</v>
      </c>
      <c r="AN7049">
        <v>1.00000005501126</v>
      </c>
    </row>
    <row r="7050" spans="1:40" x14ac:dyDescent="0.25">
      <c r="A7050" t="str">
        <f>"20190312164203243"</f>
        <v>20190312164203243</v>
      </c>
      <c r="B7050" t="str">
        <f>"1552380123232974"</f>
        <v>1552380123232974</v>
      </c>
      <c r="C7050" t="s">
        <v>40</v>
      </c>
      <c r="D7050">
        <v>5.8661770000000004</v>
      </c>
      <c r="E7050">
        <v>0.50142770000000003</v>
      </c>
      <c r="F7050" t="s">
        <v>41</v>
      </c>
      <c r="G7050">
        <v>-150.80510000000001</v>
      </c>
      <c r="H7050" s="1">
        <v>-4.9826039999999996E-6</v>
      </c>
      <c r="I7050">
        <v>145.14410000000001</v>
      </c>
      <c r="J7050">
        <v>-165.54429999999999</v>
      </c>
      <c r="K7050">
        <v>1.0908009999999999</v>
      </c>
      <c r="L7050">
        <v>146.35299999999901</v>
      </c>
      <c r="M7050">
        <v>0.98473679999999997</v>
      </c>
      <c r="N7050">
        <v>0</v>
      </c>
      <c r="O7050">
        <v>0.1731104</v>
      </c>
      <c r="P7050">
        <v>0.9871799</v>
      </c>
      <c r="Q7050">
        <v>0.1303879</v>
      </c>
      <c r="R7050">
        <v>-9.2060119999999995E-2</v>
      </c>
      <c r="S7050">
        <v>3.0476839999999998</v>
      </c>
      <c r="T7050">
        <v>-0.21969269999999999</v>
      </c>
      <c r="U7050">
        <v>-0.22924800000000001</v>
      </c>
      <c r="V7050">
        <v>0.2680399</v>
      </c>
      <c r="W7050">
        <v>0.135576</v>
      </c>
      <c r="X7050">
        <v>0.95382060000000002</v>
      </c>
      <c r="Y7050">
        <v>0.24544640000000001</v>
      </c>
      <c r="Z7050">
        <v>-2.1242540000000001E-2</v>
      </c>
      <c r="AA7050">
        <v>0.96917739999999997</v>
      </c>
      <c r="AB7050">
        <v>39</v>
      </c>
      <c r="AC7050">
        <v>14.739199999999901</v>
      </c>
      <c r="AD7050">
        <v>-1.090805982604</v>
      </c>
      <c r="AE7050">
        <v>-1.2088999999999701</v>
      </c>
      <c r="AF7050">
        <v>3.7223165288480602</v>
      </c>
      <c r="AG7050">
        <v>-1.090805982604</v>
      </c>
      <c r="AH7050">
        <v>14.2298763281688</v>
      </c>
      <c r="AI7050">
        <v>94.241333305612599</v>
      </c>
      <c r="AJ7050">
        <v>75.340774539472605</v>
      </c>
      <c r="AK7050">
        <v>14.749063643079101</v>
      </c>
      <c r="AL7050">
        <v>82.208071422082796</v>
      </c>
      <c r="AM7050">
        <v>74.303728877900696</v>
      </c>
      <c r="AN7050">
        <v>0.99999998837618398</v>
      </c>
    </row>
    <row r="7051" spans="1:40" x14ac:dyDescent="0.25">
      <c r="A7051" t="str">
        <f>"20190312164203265"</f>
        <v>20190312164203265</v>
      </c>
      <c r="B7051" t="str">
        <f>"1552380123253223"</f>
        <v>1552380123253223</v>
      </c>
      <c r="C7051" t="s">
        <v>40</v>
      </c>
      <c r="D7051">
        <v>5.860487</v>
      </c>
      <c r="E7051">
        <v>0.50107440000000003</v>
      </c>
      <c r="F7051" t="s">
        <v>41</v>
      </c>
      <c r="G7051">
        <v>-150.93469999999999</v>
      </c>
      <c r="H7051" s="1">
        <v>-4.9380629999999998E-6</v>
      </c>
      <c r="I7051">
        <v>145.14150000000001</v>
      </c>
      <c r="J7051">
        <v>-165.16040000000001</v>
      </c>
      <c r="K7051">
        <v>1.090794</v>
      </c>
      <c r="L7051">
        <v>146.4152</v>
      </c>
      <c r="M7051">
        <v>0.98752549999999995</v>
      </c>
      <c r="N7051">
        <v>0</v>
      </c>
      <c r="O7051">
        <v>0.1564198</v>
      </c>
      <c r="P7051">
        <v>0.98685210000000001</v>
      </c>
      <c r="Q7051">
        <v>0.1275057</v>
      </c>
      <c r="R7051">
        <v>-9.9326100000000001E-2</v>
      </c>
      <c r="S7051">
        <v>3.0454409999999998</v>
      </c>
      <c r="T7051">
        <v>-0.22738269999999999</v>
      </c>
      <c r="U7051">
        <v>-0.25253300000000001</v>
      </c>
      <c r="V7051">
        <v>0.25882240000000001</v>
      </c>
      <c r="W7051">
        <v>0.13316710000000001</v>
      </c>
      <c r="X7051">
        <v>0.95670140000000004</v>
      </c>
      <c r="Y7051">
        <v>0.23644370000000001</v>
      </c>
      <c r="Z7051">
        <v>-2.042689E-2</v>
      </c>
      <c r="AA7051">
        <v>0.97143049999999997</v>
      </c>
      <c r="AB7051">
        <v>39</v>
      </c>
      <c r="AC7051">
        <v>14.2257</v>
      </c>
      <c r="AD7051">
        <v>-1.0907989380630001</v>
      </c>
      <c r="AE7051">
        <v>-1.2736999999999901</v>
      </c>
      <c r="AF7051">
        <v>3.4633596884067099</v>
      </c>
      <c r="AG7051">
        <v>-1.0907989380630001</v>
      </c>
      <c r="AH7051">
        <v>13.770946469523899</v>
      </c>
      <c r="AI7051">
        <v>94.392720398772596</v>
      </c>
      <c r="AJ7051">
        <v>75.883027462397607</v>
      </c>
      <c r="AK7051">
        <v>14.241617510699101</v>
      </c>
      <c r="AL7051">
        <v>82.347354815059703</v>
      </c>
      <c r="AM7051">
        <v>74.861792044149794</v>
      </c>
      <c r="AN7051">
        <v>1.00000004001306</v>
      </c>
    </row>
    <row r="7052" spans="1:40" x14ac:dyDescent="0.25">
      <c r="A7052" t="str">
        <f>"20190312164203288"</f>
        <v>20190312164203288</v>
      </c>
      <c r="B7052" t="str">
        <f>"1552380123283478"</f>
        <v>1552380123283478</v>
      </c>
      <c r="C7052" t="s">
        <v>40</v>
      </c>
      <c r="D7052">
        <v>6.2255549999999999</v>
      </c>
      <c r="E7052">
        <v>0.50077340000000004</v>
      </c>
      <c r="F7052" t="s">
        <v>41</v>
      </c>
      <c r="G7052">
        <v>-151.11359999999999</v>
      </c>
      <c r="H7052" s="1">
        <v>-4.8795569999999997E-6</v>
      </c>
      <c r="I7052">
        <v>145.155</v>
      </c>
      <c r="J7052">
        <v>-164.7569</v>
      </c>
      <c r="K7052">
        <v>1.090795</v>
      </c>
      <c r="L7052">
        <v>146.47319999999999</v>
      </c>
      <c r="M7052">
        <v>0.99015500000000001</v>
      </c>
      <c r="N7052">
        <v>0</v>
      </c>
      <c r="O7052">
        <v>0.13880490000000001</v>
      </c>
      <c r="P7052">
        <v>0.98620870000000005</v>
      </c>
      <c r="Q7052">
        <v>0.1249347</v>
      </c>
      <c r="R7052">
        <v>-0.1085536</v>
      </c>
      <c r="S7052">
        <v>3.0430299999999999</v>
      </c>
      <c r="T7052">
        <v>-0.23630370000000001</v>
      </c>
      <c r="U7052">
        <v>-0.27299499999999999</v>
      </c>
      <c r="V7052">
        <v>0.25063920000000001</v>
      </c>
      <c r="W7052">
        <v>0.13101460000000001</v>
      </c>
      <c r="X7052">
        <v>0.95917419999999998</v>
      </c>
      <c r="Y7052">
        <v>0.2256698</v>
      </c>
      <c r="Z7052">
        <v>-1.946486E-2</v>
      </c>
      <c r="AA7052">
        <v>0.97400940000000003</v>
      </c>
      <c r="AB7052">
        <v>39</v>
      </c>
      <c r="AC7052">
        <v>13.6433</v>
      </c>
      <c r="AD7052">
        <v>-1.090799879557</v>
      </c>
      <c r="AE7052">
        <v>-1.31819999999999</v>
      </c>
      <c r="AF7052">
        <v>3.1793659941246801</v>
      </c>
      <c r="AG7052">
        <v>-1.090799879557</v>
      </c>
      <c r="AH7052">
        <v>13.2443061746356</v>
      </c>
      <c r="AI7052">
        <v>94.578744829014298</v>
      </c>
      <c r="AJ7052">
        <v>76.501270446095205</v>
      </c>
      <c r="AK7052">
        <v>13.6641815909088</v>
      </c>
      <c r="AL7052">
        <v>82.471773832809603</v>
      </c>
      <c r="AM7052">
        <v>75.355647350275703</v>
      </c>
      <c r="AN7052">
        <v>0.99999998996771999</v>
      </c>
    </row>
    <row r="7053" spans="1:40" x14ac:dyDescent="0.25">
      <c r="A7053" t="str">
        <f>"20190312164203312"</f>
        <v>20190312164203312</v>
      </c>
      <c r="B7053" t="str">
        <f>"1552380123302998"</f>
        <v>1552380123302998</v>
      </c>
      <c r="C7053" t="s">
        <v>40</v>
      </c>
      <c r="D7053">
        <v>5.8148669999999996</v>
      </c>
      <c r="E7053">
        <v>0.50107919999999995</v>
      </c>
      <c r="F7053" t="s">
        <v>41</v>
      </c>
      <c r="G7053">
        <v>-151.16210000000001</v>
      </c>
      <c r="H7053" s="1">
        <v>-4.8582770000000001E-6</v>
      </c>
      <c r="I7053">
        <v>145.12809999999999</v>
      </c>
      <c r="J7053">
        <v>-164.32740000000001</v>
      </c>
      <c r="K7053">
        <v>1.0907960000000001</v>
      </c>
      <c r="L7053">
        <v>146.52699999999999</v>
      </c>
      <c r="M7053">
        <v>0.99261239999999995</v>
      </c>
      <c r="N7053">
        <v>0</v>
      </c>
      <c r="O7053">
        <v>0.1199756</v>
      </c>
      <c r="P7053">
        <v>0.98517370000000004</v>
      </c>
      <c r="Q7053">
        <v>0.1233566</v>
      </c>
      <c r="R7053">
        <v>-0.119232199999999</v>
      </c>
      <c r="S7053">
        <v>3.039749</v>
      </c>
      <c r="T7053">
        <v>-0.2438978</v>
      </c>
      <c r="U7053">
        <v>-0.30076599999999998</v>
      </c>
      <c r="V7053">
        <v>0.24274789999999999</v>
      </c>
      <c r="W7053">
        <v>0.12983690000000001</v>
      </c>
      <c r="X7053">
        <v>0.96136149999999998</v>
      </c>
      <c r="Y7053">
        <v>0.2160928</v>
      </c>
      <c r="Z7053">
        <v>-1.822035E-2</v>
      </c>
      <c r="AA7053">
        <v>0.97620280000000004</v>
      </c>
      <c r="AB7053">
        <v>39</v>
      </c>
      <c r="AC7053">
        <v>13.1653</v>
      </c>
      <c r="AD7053">
        <v>-1.0908008582769999</v>
      </c>
      <c r="AE7053">
        <v>-1.39890000000002</v>
      </c>
      <c r="AF7053">
        <v>2.9485495866015499</v>
      </c>
      <c r="AG7053">
        <v>-1.0908008582769999</v>
      </c>
      <c r="AH7053">
        <v>12.8153197709784</v>
      </c>
      <c r="AI7053">
        <v>94.741812501076396</v>
      </c>
      <c r="AJ7053">
        <v>77.042878738540296</v>
      </c>
      <c r="AK7053">
        <v>13.195310227861199</v>
      </c>
      <c r="AL7053">
        <v>82.539832868343396</v>
      </c>
      <c r="AM7053">
        <v>75.828791537935004</v>
      </c>
      <c r="AN7053">
        <v>1.0000000486191301</v>
      </c>
    </row>
    <row r="7054" spans="1:40" x14ac:dyDescent="0.25">
      <c r="A7054" t="str">
        <f>"20190312164203332"</f>
        <v>20190312164203332</v>
      </c>
      <c r="B7054" t="str">
        <f>"1552380123323494"</f>
        <v>1552380123323494</v>
      </c>
      <c r="C7054" t="s">
        <v>40</v>
      </c>
      <c r="D7054">
        <v>6.0871250000000003</v>
      </c>
      <c r="E7054">
        <v>0.52198359999999899</v>
      </c>
      <c r="F7054" t="s">
        <v>41</v>
      </c>
      <c r="G7054">
        <v>-150.93770000000001</v>
      </c>
      <c r="H7054" s="1">
        <v>-4.9194650000000002E-6</v>
      </c>
      <c r="I7054">
        <v>145.04259999999999</v>
      </c>
      <c r="J7054">
        <v>-163.98320000000001</v>
      </c>
      <c r="K7054">
        <v>1.090794</v>
      </c>
      <c r="L7054">
        <v>146.56389999999999</v>
      </c>
      <c r="M7054">
        <v>0.99432640000000005</v>
      </c>
      <c r="N7054">
        <v>0</v>
      </c>
      <c r="O7054">
        <v>0.10482610000000001</v>
      </c>
      <c r="P7054">
        <v>0.98443840000000005</v>
      </c>
      <c r="Q7054">
        <v>0.12182800000000001</v>
      </c>
      <c r="R7054">
        <v>-0.12664510000000001</v>
      </c>
      <c r="S7054">
        <v>3.0353850000000002</v>
      </c>
      <c r="T7054">
        <v>-0.24728069999999999</v>
      </c>
      <c r="U7054">
        <v>-0.33650210000000003</v>
      </c>
      <c r="V7054">
        <v>0.23525940000000001</v>
      </c>
      <c r="W7054">
        <v>0.1286851</v>
      </c>
      <c r="X7054">
        <v>0.96337589999999995</v>
      </c>
      <c r="Y7054">
        <v>0.21274090000000001</v>
      </c>
      <c r="Z7054">
        <v>-1.712665E-2</v>
      </c>
      <c r="AA7054">
        <v>0.97695849999999995</v>
      </c>
      <c r="AB7054">
        <v>39</v>
      </c>
      <c r="AC7054">
        <v>13.045500000000001</v>
      </c>
      <c r="AD7054">
        <v>-1.0907989194650001</v>
      </c>
      <c r="AE7054">
        <v>-1.5212999999999901</v>
      </c>
      <c r="AF7054">
        <v>2.8609143298489399</v>
      </c>
      <c r="AG7054">
        <v>-1.0907989194650001</v>
      </c>
      <c r="AH7054">
        <v>12.726323328006201</v>
      </c>
      <c r="AI7054">
        <v>94.780238131107495</v>
      </c>
      <c r="AJ7054">
        <v>77.330366059806295</v>
      </c>
      <c r="AK7054">
        <v>13.0894605898943</v>
      </c>
      <c r="AL7054">
        <v>82.6063839837052</v>
      </c>
      <c r="AM7054">
        <v>76.276779707453599</v>
      </c>
      <c r="AN7054">
        <v>0.99999998247558897</v>
      </c>
    </row>
    <row r="7055" spans="1:40" x14ac:dyDescent="0.25">
      <c r="A7055" t="str">
        <f>"20190312164203354"</f>
        <v>20190312164203354</v>
      </c>
      <c r="B7055" t="str">
        <f>"1552380123343015"</f>
        <v>1552380123343015</v>
      </c>
      <c r="C7055" t="s">
        <v>40</v>
      </c>
      <c r="D7055">
        <v>5.9528119999999998</v>
      </c>
      <c r="E7055">
        <v>0.5227562</v>
      </c>
      <c r="F7055" t="s">
        <v>41</v>
      </c>
      <c r="G7055">
        <v>-145.81479999999999</v>
      </c>
      <c r="H7055" s="1">
        <v>-2.7757290000000001E-6</v>
      </c>
      <c r="I7055">
        <v>143.36699999999999</v>
      </c>
      <c r="J7055">
        <v>-163.5864</v>
      </c>
      <c r="K7055">
        <v>1.090797</v>
      </c>
      <c r="L7055">
        <v>146.59989999999999</v>
      </c>
      <c r="M7055">
        <v>0.99601839999999997</v>
      </c>
      <c r="N7055">
        <v>0</v>
      </c>
      <c r="O7055">
        <v>8.7297390000000002E-2</v>
      </c>
      <c r="P7055">
        <v>0.98322209999999999</v>
      </c>
      <c r="Q7055">
        <v>0.121694899999999</v>
      </c>
      <c r="R7055">
        <v>-0.13588410000000001</v>
      </c>
      <c r="S7055">
        <v>3.0017550000000002</v>
      </c>
      <c r="T7055">
        <v>-0.1802204</v>
      </c>
      <c r="U7055">
        <v>-0.52818299999999996</v>
      </c>
      <c r="V7055">
        <v>0.22731560000000001</v>
      </c>
      <c r="W7055">
        <v>0.12894610000000001</v>
      </c>
      <c r="X7055">
        <v>0.9652463</v>
      </c>
      <c r="Y7055">
        <v>0.25801940000000001</v>
      </c>
      <c r="Z7055">
        <v>-1.28822E-2</v>
      </c>
      <c r="AA7055">
        <v>0.96605379999999996</v>
      </c>
      <c r="AB7055">
        <v>39</v>
      </c>
      <c r="AC7055">
        <v>17.771599999999999</v>
      </c>
      <c r="AD7055">
        <v>-1.090799775729</v>
      </c>
      <c r="AE7055">
        <v>-3.2328999999999701</v>
      </c>
      <c r="AF7055">
        <v>4.7548818039962599</v>
      </c>
      <c r="AG7055">
        <v>-1.090799775729</v>
      </c>
      <c r="AH7055">
        <v>17.358161585829201</v>
      </c>
      <c r="AI7055">
        <v>93.468338179935799</v>
      </c>
      <c r="AJ7055">
        <v>74.680881450298202</v>
      </c>
      <c r="AK7055">
        <v>18.0306549731412</v>
      </c>
      <c r="AL7055">
        <v>82.591303900244</v>
      </c>
      <c r="AM7055">
        <v>76.748297805920203</v>
      </c>
      <c r="AN7055">
        <v>0.999999949186128</v>
      </c>
    </row>
    <row r="7056" spans="1:40" x14ac:dyDescent="0.25">
      <c r="A7056" t="str">
        <f>"20190312164203377"</f>
        <v>20190312164203377</v>
      </c>
      <c r="B7056" t="str">
        <f>"1552380123373271"</f>
        <v>1552380123373271</v>
      </c>
      <c r="C7056" t="s">
        <v>40</v>
      </c>
      <c r="D7056">
        <v>5.9293469999999999</v>
      </c>
      <c r="E7056">
        <v>0.52279200000000003</v>
      </c>
      <c r="F7056" t="s">
        <v>41</v>
      </c>
      <c r="G7056">
        <v>-144.8339</v>
      </c>
      <c r="H7056" s="1">
        <v>-3.11806E-6</v>
      </c>
      <c r="I7056">
        <v>143.072</v>
      </c>
      <c r="J7056">
        <v>-163.18360000000001</v>
      </c>
      <c r="K7056">
        <v>1.0908070000000001</v>
      </c>
      <c r="L7056">
        <v>146.6293</v>
      </c>
      <c r="M7056">
        <v>0.99742339999999996</v>
      </c>
      <c r="N7056">
        <v>0</v>
      </c>
      <c r="O7056">
        <v>6.9430240000000004E-2</v>
      </c>
      <c r="P7056">
        <v>0.98198220000000003</v>
      </c>
      <c r="Q7056">
        <v>0.12056509999999999</v>
      </c>
      <c r="R7056">
        <v>-0.14551729999999999</v>
      </c>
      <c r="S7056">
        <v>2.9948579999999998</v>
      </c>
      <c r="T7056">
        <v>-0.17420550000000001</v>
      </c>
      <c r="U7056">
        <v>-0.56341549999999996</v>
      </c>
      <c r="V7056">
        <v>0.21941759999999999</v>
      </c>
      <c r="W7056">
        <v>0.1282056</v>
      </c>
      <c r="X7056">
        <v>0.96717070000000005</v>
      </c>
      <c r="Y7056">
        <v>0.25215579999999999</v>
      </c>
      <c r="Z7056">
        <v>-1.126893E-2</v>
      </c>
      <c r="AA7056">
        <v>0.96762099999999995</v>
      </c>
      <c r="AB7056">
        <v>39</v>
      </c>
      <c r="AC7056">
        <v>18.349699999999999</v>
      </c>
      <c r="AD7056">
        <v>-1.0908101180599901</v>
      </c>
      <c r="AE7056">
        <v>-3.5572999999999899</v>
      </c>
      <c r="AF7056">
        <v>4.8065743650510004</v>
      </c>
      <c r="AG7056">
        <v>-1.0908101180599901</v>
      </c>
      <c r="AH7056">
        <v>17.9970854629467</v>
      </c>
      <c r="AI7056">
        <v>93.351293668708195</v>
      </c>
      <c r="AJ7056">
        <v>75.046734296434906</v>
      </c>
      <c r="AK7056">
        <v>18.6597992754755</v>
      </c>
      <c r="AL7056">
        <v>82.634086625382295</v>
      </c>
      <c r="AM7056">
        <v>77.217925928654196</v>
      </c>
      <c r="AN7056">
        <v>0.99999996099980404</v>
      </c>
    </row>
    <row r="7057" spans="1:40" x14ac:dyDescent="0.25">
      <c r="A7057" t="str">
        <f>"20190312164203400"</f>
        <v>20190312164203400</v>
      </c>
      <c r="B7057" t="str">
        <f>"1552380123392791"</f>
        <v>1552380123392791</v>
      </c>
      <c r="C7057" t="s">
        <v>40</v>
      </c>
      <c r="D7057">
        <v>5.9271510000000003</v>
      </c>
      <c r="E7057">
        <v>0.52222060000000003</v>
      </c>
      <c r="F7057" t="s">
        <v>41</v>
      </c>
      <c r="G7057">
        <v>-145.13399999999999</v>
      </c>
      <c r="H7057" s="1">
        <v>-2.981363E-6</v>
      </c>
      <c r="I7057">
        <v>143.0421</v>
      </c>
      <c r="J7057">
        <v>-162.78370000000001</v>
      </c>
      <c r="K7057">
        <v>1.0908059999999999</v>
      </c>
      <c r="L7057">
        <v>146.6508</v>
      </c>
      <c r="M7057">
        <v>0.99850369999999999</v>
      </c>
      <c r="N7057">
        <v>0</v>
      </c>
      <c r="O7057">
        <v>5.1616839999999997E-2</v>
      </c>
      <c r="P7057">
        <v>0.98056120000000002</v>
      </c>
      <c r="Q7057">
        <v>0.1196412</v>
      </c>
      <c r="R7057">
        <v>-0.15551779999999901</v>
      </c>
      <c r="S7057">
        <v>2.9891969999999999</v>
      </c>
      <c r="T7057">
        <v>-0.1806488</v>
      </c>
      <c r="U7057">
        <v>-0.5940704</v>
      </c>
      <c r="V7057">
        <v>0.2119598</v>
      </c>
      <c r="W7057">
        <v>0.1276447</v>
      </c>
      <c r="X7057">
        <v>0.9689065</v>
      </c>
      <c r="Y7057">
        <v>0.24478040000000001</v>
      </c>
      <c r="Z7057">
        <v>-1.0408270000000001E-2</v>
      </c>
      <c r="AA7057">
        <v>0.96952269999999896</v>
      </c>
      <c r="AB7057">
        <v>39</v>
      </c>
      <c r="AC7057">
        <v>17.649699999999999</v>
      </c>
      <c r="AD7057">
        <v>-1.090808981363</v>
      </c>
      <c r="AE7057">
        <v>-3.60869999999999</v>
      </c>
      <c r="AF7057">
        <v>4.4985647936466497</v>
      </c>
      <c r="AG7057">
        <v>-1.090808981363</v>
      </c>
      <c r="AH7057">
        <v>17.376157108915301</v>
      </c>
      <c r="AI7057">
        <v>93.4777341773259</v>
      </c>
      <c r="AJ7057">
        <v>75.485212098687398</v>
      </c>
      <c r="AK7057">
        <v>17.982151854273901</v>
      </c>
      <c r="AL7057">
        <v>82.666490098991602</v>
      </c>
      <c r="AM7057">
        <v>77.660263555681595</v>
      </c>
      <c r="AN7057">
        <v>0.99999996599818897</v>
      </c>
    </row>
    <row r="7058" spans="1:40" x14ac:dyDescent="0.25">
      <c r="A7058" t="str">
        <f>"20190312164203422"</f>
        <v>20190312164203422</v>
      </c>
      <c r="B7058" t="str">
        <f>"1552380123413286"</f>
        <v>1552380123413286</v>
      </c>
      <c r="C7058" t="s">
        <v>40</v>
      </c>
      <c r="D7058">
        <v>5.9279909999999996</v>
      </c>
      <c r="E7058">
        <v>0.52208129999999997</v>
      </c>
      <c r="F7058" t="s">
        <v>41</v>
      </c>
      <c r="G7058">
        <v>-145.11340000000001</v>
      </c>
      <c r="H7058" s="1">
        <v>-2.9735169999999998E-6</v>
      </c>
      <c r="I7058">
        <v>142.9795</v>
      </c>
      <c r="J7058">
        <v>-162.3914</v>
      </c>
      <c r="K7058">
        <v>1.0908089999999999</v>
      </c>
      <c r="L7058">
        <v>146.6645</v>
      </c>
      <c r="M7058">
        <v>0.9992567</v>
      </c>
      <c r="N7058">
        <v>0</v>
      </c>
      <c r="O7058">
        <v>3.4066369999999999E-2</v>
      </c>
      <c r="P7058">
        <v>0.97918590000000005</v>
      </c>
      <c r="Q7058">
        <v>0.1186962</v>
      </c>
      <c r="R7058">
        <v>-0.1646408</v>
      </c>
      <c r="S7058">
        <v>2.9836269999999998</v>
      </c>
      <c r="T7058">
        <v>-0.1841824</v>
      </c>
      <c r="U7058">
        <v>-0.61988829999999995</v>
      </c>
      <c r="V7058">
        <v>0.2039012</v>
      </c>
      <c r="W7058">
        <v>0.12708949999999999</v>
      </c>
      <c r="X7058">
        <v>0.97070719999999999</v>
      </c>
      <c r="Y7058">
        <v>0.23616679999999901</v>
      </c>
      <c r="Z7058">
        <v>-9.2864320000000007E-3</v>
      </c>
      <c r="AA7058">
        <v>0.97166819999999998</v>
      </c>
      <c r="AB7058">
        <v>39</v>
      </c>
      <c r="AC7058">
        <v>17.277999999999899</v>
      </c>
      <c r="AD7058">
        <v>-1.0908119735170001</v>
      </c>
      <c r="AE7058">
        <v>-3.6850000000000001</v>
      </c>
      <c r="AF7058">
        <v>4.2553321280342198</v>
      </c>
      <c r="AG7058">
        <v>-1.0908119735170001</v>
      </c>
      <c r="AH7058">
        <v>17.077308211956101</v>
      </c>
      <c r="AI7058">
        <v>93.546639737874997</v>
      </c>
      <c r="AJ7058">
        <v>76.0079571677811</v>
      </c>
      <c r="AK7058">
        <v>17.633269068655199</v>
      </c>
      <c r="AL7058">
        <v>82.698561835367002</v>
      </c>
      <c r="AM7058">
        <v>78.137242367714293</v>
      </c>
      <c r="AN7058">
        <v>0.99999995425176402</v>
      </c>
    </row>
    <row r="7059" spans="1:40" x14ac:dyDescent="0.25">
      <c r="A7059" t="str">
        <f>"20190312164203444"</f>
        <v>20190312164203444</v>
      </c>
      <c r="B7059" t="str">
        <f>"1552380123432806"</f>
        <v>1552380123432806</v>
      </c>
      <c r="C7059" t="s">
        <v>40</v>
      </c>
      <c r="D7059">
        <v>6.1738410000000004</v>
      </c>
      <c r="E7059">
        <v>0.52157469999999995</v>
      </c>
      <c r="F7059" t="s">
        <v>41</v>
      </c>
      <c r="G7059">
        <v>-145.0093</v>
      </c>
      <c r="H7059" s="1">
        <v>-2.9937229999999998E-6</v>
      </c>
      <c r="I7059">
        <v>142.88749999999999</v>
      </c>
      <c r="J7059">
        <v>-162.00370000000001</v>
      </c>
      <c r="K7059">
        <v>1.0908059999999999</v>
      </c>
      <c r="L7059">
        <v>146.6713</v>
      </c>
      <c r="M7059">
        <v>0.99969889999999995</v>
      </c>
      <c r="N7059">
        <v>0</v>
      </c>
      <c r="O7059">
        <v>1.6646009999999999E-2</v>
      </c>
      <c r="P7059">
        <v>0.97779119999999997</v>
      </c>
      <c r="Q7059">
        <v>0.118025</v>
      </c>
      <c r="R7059">
        <v>-0.17319039999999999</v>
      </c>
      <c r="S7059">
        <v>2.977646</v>
      </c>
      <c r="T7059">
        <v>-0.18686069999999999</v>
      </c>
      <c r="U7059">
        <v>-0.64701839999999999</v>
      </c>
      <c r="V7059">
        <v>0.19541700000000001</v>
      </c>
      <c r="W7059">
        <v>0.1268251</v>
      </c>
      <c r="X7059">
        <v>0.97248520000000005</v>
      </c>
      <c r="Y7059">
        <v>0.22811629999999999</v>
      </c>
      <c r="Z7059">
        <v>-8.1005739999999993E-3</v>
      </c>
      <c r="AA7059">
        <v>0.97360020000000003</v>
      </c>
      <c r="AB7059">
        <v>39</v>
      </c>
      <c r="AC7059">
        <v>16.994399999999999</v>
      </c>
      <c r="AD7059">
        <v>-1.0908089937230001</v>
      </c>
      <c r="AE7059">
        <v>-3.78380000000001</v>
      </c>
      <c r="AF7059">
        <v>4.0503118043498603</v>
      </c>
      <c r="AG7059">
        <v>-1.0908089937230001</v>
      </c>
      <c r="AH7059">
        <v>16.862857359344599</v>
      </c>
      <c r="AI7059">
        <v>93.599058101958605</v>
      </c>
      <c r="AJ7059">
        <v>76.493902880189907</v>
      </c>
      <c r="AK7059">
        <v>17.376732958034601</v>
      </c>
      <c r="AL7059">
        <v>82.713834297181904</v>
      </c>
      <c r="AM7059">
        <v>78.637960520296602</v>
      </c>
      <c r="AN7059">
        <v>0.99999993704902301</v>
      </c>
    </row>
    <row r="7060" spans="1:40" x14ac:dyDescent="0.25">
      <c r="A7060" t="str">
        <f>"20190312164203466"</f>
        <v>20190312164203466</v>
      </c>
      <c r="B7060" t="str">
        <f>"1552380123452835"</f>
        <v>1552380123452835</v>
      </c>
      <c r="C7060" t="s">
        <v>40</v>
      </c>
      <c r="D7060">
        <v>5.925675</v>
      </c>
      <c r="E7060">
        <v>0.52114609999999995</v>
      </c>
      <c r="F7060" t="s">
        <v>41</v>
      </c>
      <c r="G7060">
        <v>-144.75919999999999</v>
      </c>
      <c r="H7060" s="1">
        <v>-3.0738110000000002E-6</v>
      </c>
      <c r="I7060">
        <v>142.7852</v>
      </c>
      <c r="J7060">
        <v>-161.6215</v>
      </c>
      <c r="K7060">
        <v>1.0908059999999999</v>
      </c>
      <c r="L7060">
        <v>146.6712</v>
      </c>
      <c r="M7060">
        <v>0.99983750000000005</v>
      </c>
      <c r="N7060">
        <v>0</v>
      </c>
      <c r="O7060">
        <v>-5.9361289999999996E-4</v>
      </c>
      <c r="P7060">
        <v>0.97631979999999996</v>
      </c>
      <c r="Q7060">
        <v>0.116951</v>
      </c>
      <c r="R7060">
        <v>-0.18199570000000001</v>
      </c>
      <c r="S7060">
        <v>2.9721980000000001</v>
      </c>
      <c r="T7060">
        <v>-0.18800720000000001</v>
      </c>
      <c r="U7060">
        <v>-0.6697845</v>
      </c>
      <c r="V7060">
        <v>0.18734700000000001</v>
      </c>
      <c r="W7060">
        <v>0.12613540000000001</v>
      </c>
      <c r="X7060">
        <v>0.97416170000000002</v>
      </c>
      <c r="Y7060">
        <v>0.2188427</v>
      </c>
      <c r="Z7060">
        <v>-6.7921379999999996E-3</v>
      </c>
      <c r="AA7060">
        <v>0.97573650000000001</v>
      </c>
      <c r="AB7060">
        <v>39</v>
      </c>
      <c r="AC7060">
        <v>16.862300000000001</v>
      </c>
      <c r="AD7060">
        <v>-1.0908090738109999</v>
      </c>
      <c r="AE7060">
        <v>-3.8859999999999899</v>
      </c>
      <c r="AF7060">
        <v>3.8606471249768899</v>
      </c>
      <c r="AG7060">
        <v>-1.0908090738109999</v>
      </c>
      <c r="AH7060">
        <v>16.797855272433399</v>
      </c>
      <c r="AI7060">
        <v>93.621273266170107</v>
      </c>
      <c r="AJ7060">
        <v>77.056499543995798</v>
      </c>
      <c r="AK7060">
        <v>17.2702751110896</v>
      </c>
      <c r="AL7060">
        <v>82.753671784232594</v>
      </c>
      <c r="AM7060">
        <v>79.114007204726605</v>
      </c>
      <c r="AN7060">
        <v>1.00000002764452</v>
      </c>
    </row>
    <row r="7061" spans="1:40" x14ac:dyDescent="0.25">
      <c r="A7061" t="str">
        <f>"20190312164203488"</f>
        <v>20190312164203488</v>
      </c>
      <c r="B7061" t="str">
        <f>"1552380123483094"</f>
        <v>1552380123483094</v>
      </c>
      <c r="C7061" t="s">
        <v>40</v>
      </c>
      <c r="D7061">
        <v>6.5174089999999998</v>
      </c>
      <c r="E7061">
        <v>0.52030750000000003</v>
      </c>
      <c r="F7061" t="s">
        <v>41</v>
      </c>
      <c r="G7061">
        <v>-144.6885</v>
      </c>
      <c r="H7061" s="1">
        <v>-3.0846789999999999E-6</v>
      </c>
      <c r="I7061">
        <v>142.7122</v>
      </c>
      <c r="J7061">
        <v>-161.2166</v>
      </c>
      <c r="K7061">
        <v>1.0908040000000001</v>
      </c>
      <c r="L7061">
        <v>146.66390000000001</v>
      </c>
      <c r="M7061">
        <v>0.99965879999999996</v>
      </c>
      <c r="N7061">
        <v>0</v>
      </c>
      <c r="O7061">
        <v>-1.8924989999999999E-2</v>
      </c>
      <c r="P7061">
        <v>0.97452810000000001</v>
      </c>
      <c r="Q7061">
        <v>0.11561349999999999</v>
      </c>
      <c r="R7061">
        <v>-0.19216810000000001</v>
      </c>
      <c r="S7061">
        <v>2.9663849999999998</v>
      </c>
      <c r="T7061">
        <v>-0.19109190000000001</v>
      </c>
      <c r="U7061">
        <v>-0.69355769999999906</v>
      </c>
      <c r="V7061">
        <v>0.17956529999999901</v>
      </c>
      <c r="W7061">
        <v>0.12516559999999999</v>
      </c>
      <c r="X7061">
        <v>0.97575089999999998</v>
      </c>
      <c r="Y7061">
        <v>0.20882120000000001</v>
      </c>
      <c r="Z7061">
        <v>-5.4287469999999899E-3</v>
      </c>
      <c r="AA7061">
        <v>0.9779388</v>
      </c>
      <c r="AB7061">
        <v>39</v>
      </c>
      <c r="AC7061">
        <v>16.528099999999899</v>
      </c>
      <c r="AD7061">
        <v>-1.0908070846789999</v>
      </c>
      <c r="AE7061">
        <v>-3.95170000000001</v>
      </c>
      <c r="AF7061">
        <v>3.6232191904</v>
      </c>
      <c r="AG7061">
        <v>-1.0908070846789999</v>
      </c>
      <c r="AH7061">
        <v>16.531824208285599</v>
      </c>
      <c r="AI7061">
        <v>93.687753231248095</v>
      </c>
      <c r="AJ7061">
        <v>77.638150236231397</v>
      </c>
      <c r="AK7061">
        <v>16.959327494076099</v>
      </c>
      <c r="AL7061">
        <v>82.809680725160803</v>
      </c>
      <c r="AM7061">
        <v>79.572650335534505</v>
      </c>
      <c r="AN7061">
        <v>0.99999997161912901</v>
      </c>
    </row>
    <row r="7062" spans="1:40" x14ac:dyDescent="0.25">
      <c r="A7062" t="str">
        <f>"20190312164203511"</f>
        <v>20190312164203511</v>
      </c>
      <c r="B7062" t="str">
        <f>"1552380123503586"</f>
        <v>1552380123503586</v>
      </c>
      <c r="C7062" t="s">
        <v>40</v>
      </c>
      <c r="D7062">
        <v>5.9199859999999997</v>
      </c>
      <c r="E7062">
        <v>0.51986759999999999</v>
      </c>
      <c r="F7062" t="s">
        <v>41</v>
      </c>
      <c r="G7062">
        <v>-144.7774</v>
      </c>
      <c r="H7062" s="1">
        <v>-3.0372100000000002E-6</v>
      </c>
      <c r="I7062">
        <v>142.67699999999999</v>
      </c>
      <c r="J7062">
        <v>-160.83070000000001</v>
      </c>
      <c r="K7062">
        <v>1.090814</v>
      </c>
      <c r="L7062">
        <v>146.6499</v>
      </c>
      <c r="M7062">
        <v>0.99917290000000003</v>
      </c>
      <c r="N7062">
        <v>0</v>
      </c>
      <c r="O7062">
        <v>-3.6468929999999997E-2</v>
      </c>
      <c r="P7062">
        <v>0.97279230000000005</v>
      </c>
      <c r="Q7062">
        <v>0.1134445</v>
      </c>
      <c r="R7062">
        <v>-0.20200370000000001</v>
      </c>
      <c r="S7062">
        <v>2.960159</v>
      </c>
      <c r="T7062">
        <v>-0.19641710000000001</v>
      </c>
      <c r="U7062">
        <v>-0.71789550000000002</v>
      </c>
      <c r="V7062">
        <v>0.17217209999999999</v>
      </c>
      <c r="W7062">
        <v>0.1233431</v>
      </c>
      <c r="X7062">
        <v>0.97731429999999997</v>
      </c>
      <c r="Y7062">
        <v>0.1997447</v>
      </c>
      <c r="Z7062">
        <v>-4.1451750000000001E-3</v>
      </c>
      <c r="AA7062">
        <v>0.97983920000000002</v>
      </c>
      <c r="AB7062">
        <v>38</v>
      </c>
      <c r="AC7062">
        <v>16.0533</v>
      </c>
      <c r="AD7062">
        <v>-1.0908170372099999</v>
      </c>
      <c r="AE7062">
        <v>-3.9728999999999801</v>
      </c>
      <c r="AF7062">
        <v>3.3700528474776901</v>
      </c>
      <c r="AG7062">
        <v>-1.0908170372099999</v>
      </c>
      <c r="AH7062">
        <v>16.117406625184501</v>
      </c>
      <c r="AI7062">
        <v>93.790122113704996</v>
      </c>
      <c r="AJ7062">
        <v>78.189947955808407</v>
      </c>
      <c r="AK7062">
        <v>16.502058487504002</v>
      </c>
      <c r="AL7062">
        <v>82.914918025621205</v>
      </c>
      <c r="AM7062">
        <v>80.008800698009395</v>
      </c>
      <c r="AN7062">
        <v>0.99999999666025496</v>
      </c>
    </row>
    <row r="7063" spans="1:40" x14ac:dyDescent="0.25">
      <c r="A7063" t="str">
        <f>"20190312164203532"</f>
        <v>20190312164203532</v>
      </c>
      <c r="B7063" t="str">
        <f>"1552380123523107"</f>
        <v>1552380123523107</v>
      </c>
      <c r="C7063" t="s">
        <v>40</v>
      </c>
      <c r="D7063">
        <v>5.9274060000000004</v>
      </c>
      <c r="E7063">
        <v>0.51981049999999995</v>
      </c>
      <c r="F7063" t="s">
        <v>41</v>
      </c>
      <c r="G7063">
        <v>-144.95189999999999</v>
      </c>
      <c r="H7063" s="1">
        <v>-2.9542250000000001E-6</v>
      </c>
      <c r="I7063">
        <v>142.64660000000001</v>
      </c>
      <c r="J7063">
        <v>-160.44489999999999</v>
      </c>
      <c r="K7063">
        <v>1.0908119999999999</v>
      </c>
      <c r="L7063">
        <v>146.62899999999999</v>
      </c>
      <c r="M7063">
        <v>0.99837549999999997</v>
      </c>
      <c r="N7063">
        <v>0</v>
      </c>
      <c r="O7063">
        <v>-5.4069880000000001E-2</v>
      </c>
      <c r="P7063">
        <v>0.97094639999999999</v>
      </c>
      <c r="Q7063">
        <v>0.1122026</v>
      </c>
      <c r="R7063">
        <v>-0.21136170000000001</v>
      </c>
      <c r="S7063">
        <v>2.9529719999999999</v>
      </c>
      <c r="T7063">
        <v>-0.2028586</v>
      </c>
      <c r="U7063">
        <v>-0.74449160000000003</v>
      </c>
      <c r="V7063">
        <v>0.16428010000000001</v>
      </c>
      <c r="W7063">
        <v>0.1224676</v>
      </c>
      <c r="X7063">
        <v>0.97878180000000004</v>
      </c>
      <c r="Y7063">
        <v>0.19136739999999999</v>
      </c>
      <c r="Z7063">
        <v>-2.8183729999999999E-3</v>
      </c>
      <c r="AA7063">
        <v>0.98151440000000001</v>
      </c>
      <c r="AB7063">
        <v>38</v>
      </c>
      <c r="AC7063">
        <v>15.492999999999901</v>
      </c>
      <c r="AD7063">
        <v>-1.0908149542250001</v>
      </c>
      <c r="AE7063">
        <v>-3.9823999999999802</v>
      </c>
      <c r="AF7063">
        <v>3.1242053146641999</v>
      </c>
      <c r="AG7063">
        <v>-1.0908149542250001</v>
      </c>
      <c r="AH7063">
        <v>15.6130919914849</v>
      </c>
      <c r="AI7063">
        <v>93.919057147100006</v>
      </c>
      <c r="AJ7063">
        <v>78.684468068851302</v>
      </c>
      <c r="AK7063">
        <v>15.959924111571</v>
      </c>
      <c r="AL7063">
        <v>82.965463993081201</v>
      </c>
      <c r="AM7063">
        <v>80.472202579621793</v>
      </c>
      <c r="AN7063">
        <v>1.0000000381584999</v>
      </c>
    </row>
    <row r="7064" spans="1:40" x14ac:dyDescent="0.25">
      <c r="A7064" t="str">
        <f>"20190312164203555"</f>
        <v>20190312164203555</v>
      </c>
      <c r="B7064" t="str">
        <f>"1552380123543603"</f>
        <v>1552380123543603</v>
      </c>
      <c r="C7064" t="s">
        <v>40</v>
      </c>
      <c r="D7064">
        <v>5.9262680000000003</v>
      </c>
      <c r="E7064">
        <v>0.51913580000000004</v>
      </c>
      <c r="F7064" t="s">
        <v>41</v>
      </c>
      <c r="G7064">
        <v>-145.07089999999999</v>
      </c>
      <c r="H7064" s="1">
        <v>-2.8887130000000001E-6</v>
      </c>
      <c r="I7064">
        <v>142.59209999999999</v>
      </c>
      <c r="J7064">
        <v>-160.065</v>
      </c>
      <c r="K7064">
        <v>1.090819</v>
      </c>
      <c r="L7064">
        <v>146.60169999999999</v>
      </c>
      <c r="M7064">
        <v>0.99728240000000001</v>
      </c>
      <c r="N7064">
        <v>0</v>
      </c>
      <c r="O7064">
        <v>-7.1454599999999993E-2</v>
      </c>
      <c r="P7064">
        <v>0.96888399999999997</v>
      </c>
      <c r="Q7064">
        <v>0.1112818</v>
      </c>
      <c r="R7064">
        <v>-0.22108820000000001</v>
      </c>
      <c r="S7064">
        <v>2.945557</v>
      </c>
      <c r="T7064">
        <v>-0.2089925</v>
      </c>
      <c r="U7064">
        <v>-0.7734375</v>
      </c>
      <c r="V7064">
        <v>0.1569787</v>
      </c>
      <c r="W7064">
        <v>0.1218803</v>
      </c>
      <c r="X7064">
        <v>0.98005249999999999</v>
      </c>
      <c r="Y7064">
        <v>0.1839326</v>
      </c>
      <c r="Z7064">
        <v>-1.443188E-3</v>
      </c>
      <c r="AA7064">
        <v>0.98293779999999997</v>
      </c>
      <c r="AB7064">
        <v>38</v>
      </c>
      <c r="AC7064">
        <v>14.9941</v>
      </c>
      <c r="AD7064">
        <v>-1.0908218887129999</v>
      </c>
      <c r="AE7064">
        <v>-4.0095999999999998</v>
      </c>
      <c r="AF7064">
        <v>2.9133873035861502</v>
      </c>
      <c r="AG7064">
        <v>-1.0908218887129999</v>
      </c>
      <c r="AH7064">
        <v>15.167393748761301</v>
      </c>
      <c r="AI7064">
        <v>94.039963386007003</v>
      </c>
      <c r="AJ7064">
        <v>79.126929022690504</v>
      </c>
      <c r="AK7064">
        <v>15.4831376375577</v>
      </c>
      <c r="AL7064">
        <v>82.999367597795697</v>
      </c>
      <c r="AM7064">
        <v>80.900015785911904</v>
      </c>
      <c r="AN7064">
        <v>1.0000000112690099</v>
      </c>
    </row>
    <row r="7065" spans="1:40" x14ac:dyDescent="0.25">
      <c r="A7065" t="str">
        <f>"20190312164203577"</f>
        <v>20190312164203577</v>
      </c>
      <c r="B7065" t="str">
        <f>"1552380123572882"</f>
        <v>1552380123572882</v>
      </c>
      <c r="C7065" t="s">
        <v>40</v>
      </c>
      <c r="D7065">
        <v>6.1678620000000004</v>
      </c>
      <c r="E7065">
        <v>0.51852569999999998</v>
      </c>
      <c r="F7065" t="s">
        <v>41</v>
      </c>
      <c r="G7065">
        <v>-144.85470000000001</v>
      </c>
      <c r="H7065" s="1">
        <v>-2.948324E-6</v>
      </c>
      <c r="I7065">
        <v>142.4676</v>
      </c>
      <c r="J7065">
        <v>-159.6722</v>
      </c>
      <c r="K7065">
        <v>1.0908329999999999</v>
      </c>
      <c r="L7065">
        <v>146.56649999999999</v>
      </c>
      <c r="M7065">
        <v>0.99582680000000001</v>
      </c>
      <c r="N7065">
        <v>0</v>
      </c>
      <c r="O7065">
        <v>-8.9488479999999995E-2</v>
      </c>
      <c r="P7065">
        <v>0.96645219999999998</v>
      </c>
      <c r="Q7065">
        <v>0.1104496</v>
      </c>
      <c r="R7065">
        <v>-0.23188500000000001</v>
      </c>
      <c r="S7065">
        <v>2.938339</v>
      </c>
      <c r="T7065">
        <v>-0.2107251</v>
      </c>
      <c r="U7065">
        <v>-0.7986145</v>
      </c>
      <c r="V7065">
        <v>0.15011769999999999</v>
      </c>
      <c r="W7065">
        <v>0.1213545</v>
      </c>
      <c r="X7065">
        <v>0.98119199999999995</v>
      </c>
      <c r="Y7065">
        <v>0.17465139999999901</v>
      </c>
      <c r="Z7065">
        <v>1.2815839999999999E-4</v>
      </c>
      <c r="AA7065">
        <v>0.98463029999999996</v>
      </c>
      <c r="AB7065">
        <v>38</v>
      </c>
      <c r="AC7065">
        <v>14.8174999999999</v>
      </c>
      <c r="AD7065">
        <v>-1.090835948324</v>
      </c>
      <c r="AE7065">
        <v>-4.09889999999998</v>
      </c>
      <c r="AF7065">
        <v>2.7424345848672198</v>
      </c>
      <c r="AG7065">
        <v>-1.090835948324</v>
      </c>
      <c r="AH7065">
        <v>15.0491310572814</v>
      </c>
      <c r="AI7065">
        <v>94.078891155241706</v>
      </c>
      <c r="AJ7065">
        <v>79.672198973991598</v>
      </c>
      <c r="AK7065">
        <v>15.3358148168809</v>
      </c>
      <c r="AL7065">
        <v>83.029718864492594</v>
      </c>
      <c r="AM7065">
        <v>81.301470650449303</v>
      </c>
      <c r="AN7065">
        <v>0.99999998969376902</v>
      </c>
    </row>
    <row r="7066" spans="1:40" x14ac:dyDescent="0.25">
      <c r="A7066" t="str">
        <f>"20190312164203601"</f>
        <v>20190312164203601</v>
      </c>
      <c r="B7066" t="str">
        <f>"1552380123593378"</f>
        <v>1552380123593378</v>
      </c>
      <c r="C7066" t="s">
        <v>40</v>
      </c>
      <c r="D7066">
        <v>5.9168919999999998</v>
      </c>
      <c r="E7066">
        <v>0.5179182</v>
      </c>
      <c r="F7066" t="s">
        <v>41</v>
      </c>
      <c r="G7066">
        <v>-144.68279999999999</v>
      </c>
      <c r="H7066" s="1">
        <v>-2.9890230000000001E-6</v>
      </c>
      <c r="I7066">
        <v>142.3434</v>
      </c>
      <c r="J7066">
        <v>-159.2834</v>
      </c>
      <c r="K7066">
        <v>1.090849</v>
      </c>
      <c r="L7066">
        <v>146.52379999999999</v>
      </c>
      <c r="M7066">
        <v>0.99405619999999995</v>
      </c>
      <c r="N7066">
        <v>0</v>
      </c>
      <c r="O7066">
        <v>-0.10739079999999999</v>
      </c>
      <c r="P7066">
        <v>0.96393620000000002</v>
      </c>
      <c r="Q7066">
        <v>0.1100093</v>
      </c>
      <c r="R7066">
        <v>-0.24233160000000001</v>
      </c>
      <c r="S7066">
        <v>2.9304199999999998</v>
      </c>
      <c r="T7066">
        <v>-0.21325740000000001</v>
      </c>
      <c r="U7066">
        <v>-0.82559199999999999</v>
      </c>
      <c r="V7066">
        <v>0.143041</v>
      </c>
      <c r="W7066">
        <v>0.12122529999999999</v>
      </c>
      <c r="X7066">
        <v>0.98226460000000004</v>
      </c>
      <c r="Y7066">
        <v>0.16607959999999999</v>
      </c>
      <c r="Z7066">
        <v>1.69805E-3</v>
      </c>
      <c r="AA7066">
        <v>0.98611090000000001</v>
      </c>
      <c r="AB7066">
        <v>38</v>
      </c>
      <c r="AC7066">
        <v>14.6006</v>
      </c>
      <c r="AD7066">
        <v>-1.090851989023</v>
      </c>
      <c r="AE7066">
        <v>-4.1803999999999899</v>
      </c>
      <c r="AF7066">
        <v>2.5747127304970099</v>
      </c>
      <c r="AG7066">
        <v>-1.090851989023</v>
      </c>
      <c r="AH7066">
        <v>14.8883341624541</v>
      </c>
      <c r="AI7066">
        <v>94.129434448761302</v>
      </c>
      <c r="AJ7066">
        <v>80.188599639629103</v>
      </c>
      <c r="AK7066">
        <v>15.1486500335653</v>
      </c>
      <c r="AL7066">
        <v>83.037176769494394</v>
      </c>
      <c r="AM7066">
        <v>81.714616672518204</v>
      </c>
      <c r="AN7066">
        <v>1.00000002272712</v>
      </c>
    </row>
    <row r="7067" spans="1:40" x14ac:dyDescent="0.25">
      <c r="A7067" t="str">
        <f>"20190312164203622"</f>
        <v>20190312164203622</v>
      </c>
      <c r="B7067" t="str">
        <f>"1552380123612899"</f>
        <v>1552380123612899</v>
      </c>
      <c r="C7067" t="s">
        <v>40</v>
      </c>
      <c r="D7067">
        <v>6.6758189999999997</v>
      </c>
      <c r="E7067">
        <v>0.51730180000000003</v>
      </c>
      <c r="F7067" t="s">
        <v>42</v>
      </c>
      <c r="G7067">
        <v>-158.2697</v>
      </c>
      <c r="H7067">
        <v>1.016391</v>
      </c>
      <c r="I7067">
        <v>146.22799999999901</v>
      </c>
      <c r="J7067">
        <v>-158.89660000000001</v>
      </c>
      <c r="K7067">
        <v>1.0908610000000001</v>
      </c>
      <c r="L7067">
        <v>146.47409999999999</v>
      </c>
      <c r="M7067">
        <v>0.99196589999999996</v>
      </c>
      <c r="N7067">
        <v>0</v>
      </c>
      <c r="O7067">
        <v>-0.1252424</v>
      </c>
      <c r="P7067">
        <v>0.9614722</v>
      </c>
      <c r="Q7067">
        <v>0.1089391</v>
      </c>
      <c r="R7067">
        <v>-0.2523957</v>
      </c>
      <c r="S7067">
        <v>2.9223479999999999</v>
      </c>
      <c r="T7067">
        <v>-0.21426990000000001</v>
      </c>
      <c r="U7067">
        <v>-0.85258480000000003</v>
      </c>
      <c r="V7067">
        <v>0.13556940000000001</v>
      </c>
      <c r="W7067">
        <v>0.1204798</v>
      </c>
      <c r="X7067">
        <v>0.98341520000000004</v>
      </c>
      <c r="Y7067">
        <v>0.15753510000000001</v>
      </c>
      <c r="Z7067">
        <v>3.2776469999999999E-3</v>
      </c>
      <c r="AA7067">
        <v>0.98750789999999999</v>
      </c>
      <c r="AB7067">
        <v>38</v>
      </c>
      <c r="AC7067">
        <v>0.62690000000000601</v>
      </c>
      <c r="AD7067">
        <v>-7.4469999999999995E-2</v>
      </c>
      <c r="AE7067">
        <v>-0.246100000000012</v>
      </c>
      <c r="AF7067">
        <v>0.163633934688521</v>
      </c>
      <c r="AG7067">
        <v>-7.4469999999999995E-2</v>
      </c>
      <c r="AH7067">
        <v>0.64490414157031895</v>
      </c>
      <c r="AI7067">
        <v>96.386405443742703</v>
      </c>
      <c r="AJ7067">
        <v>75.762590943722302</v>
      </c>
      <c r="AK7067">
        <v>0.66949473283678396</v>
      </c>
      <c r="AL7067">
        <v>83.0802056527357</v>
      </c>
      <c r="AM7067">
        <v>82.150921977083499</v>
      </c>
      <c r="AN7067">
        <v>0.99999995000771802</v>
      </c>
    </row>
    <row r="7068" spans="1:40" x14ac:dyDescent="0.25">
      <c r="A7068" t="str">
        <f>"20190312164203645"</f>
        <v>20190312164203645</v>
      </c>
      <c r="B7068" t="str">
        <f>"1552380123633394"</f>
        <v>1552380123633394</v>
      </c>
      <c r="C7068" t="s">
        <v>40</v>
      </c>
      <c r="D7068">
        <v>5.9123210000000004</v>
      </c>
      <c r="E7068">
        <v>0.51658519999999997</v>
      </c>
      <c r="F7068" t="s">
        <v>42</v>
      </c>
      <c r="G7068">
        <v>-157.93520000000001</v>
      </c>
      <c r="H7068">
        <v>1.019242</v>
      </c>
      <c r="I7068">
        <v>146.1841</v>
      </c>
      <c r="J7068">
        <v>-158.5187</v>
      </c>
      <c r="K7068">
        <v>1.090873</v>
      </c>
      <c r="L7068">
        <v>146.4187</v>
      </c>
      <c r="M7068">
        <v>0.98960389999999998</v>
      </c>
      <c r="N7068">
        <v>0</v>
      </c>
      <c r="O7068">
        <v>-0.14271639999999999</v>
      </c>
      <c r="P7068">
        <v>0.95894210000000002</v>
      </c>
      <c r="Q7068">
        <v>0.1075922</v>
      </c>
      <c r="R7068">
        <v>-0.262401</v>
      </c>
      <c r="S7068">
        <v>2.9140320000000002</v>
      </c>
      <c r="T7068">
        <v>-0.21694430000000001</v>
      </c>
      <c r="U7068">
        <v>-0.87902829999999998</v>
      </c>
      <c r="V7068">
        <v>0.12837229999999999</v>
      </c>
      <c r="W7068">
        <v>0.1194402</v>
      </c>
      <c r="X7068">
        <v>0.98450729999999997</v>
      </c>
      <c r="Y7068">
        <v>0.149168</v>
      </c>
      <c r="Z7068">
        <v>4.8763629999999999E-3</v>
      </c>
      <c r="AA7068">
        <v>0.98879980000000001</v>
      </c>
      <c r="AB7068">
        <v>38</v>
      </c>
      <c r="AC7068">
        <v>0.58349999999998603</v>
      </c>
      <c r="AD7068">
        <v>-7.1631E-2</v>
      </c>
      <c r="AE7068">
        <v>-0.2346</v>
      </c>
      <c r="AF7068">
        <v>0.14700251169009301</v>
      </c>
      <c r="AG7068">
        <v>-7.1631E-2</v>
      </c>
      <c r="AH7068">
        <v>0.60318651157772196</v>
      </c>
      <c r="AI7068">
        <v>96.581533473285702</v>
      </c>
      <c r="AJ7068">
        <v>76.303452863091394</v>
      </c>
      <c r="AK7068">
        <v>0.62495976378763496</v>
      </c>
      <c r="AL7068">
        <v>83.140204069418303</v>
      </c>
      <c r="AM7068">
        <v>82.570978027611105</v>
      </c>
      <c r="AN7068">
        <v>1.0000000162683</v>
      </c>
    </row>
    <row r="7069" spans="1:40" x14ac:dyDescent="0.25">
      <c r="A7069" t="str">
        <f>"20190312164203667"</f>
        <v>20190312164203667</v>
      </c>
      <c r="B7069" t="str">
        <f>"1552380123663181"</f>
        <v>1552380123663181</v>
      </c>
      <c r="C7069" t="s">
        <v>40</v>
      </c>
      <c r="D7069">
        <v>6.0431350000000004</v>
      </c>
      <c r="E7069">
        <v>0.51632670000000003</v>
      </c>
      <c r="F7069" t="s">
        <v>42</v>
      </c>
      <c r="G7069">
        <v>-157.5976</v>
      </c>
      <c r="H7069">
        <v>1.02084</v>
      </c>
      <c r="I7069">
        <v>146.13200000000001</v>
      </c>
      <c r="J7069">
        <v>-158.1422</v>
      </c>
      <c r="K7069">
        <v>1.0908949999999999</v>
      </c>
      <c r="L7069">
        <v>146.35659999999999</v>
      </c>
      <c r="M7069">
        <v>0.98693180000000003</v>
      </c>
      <c r="N7069">
        <v>0</v>
      </c>
      <c r="O7069">
        <v>-0.1601591</v>
      </c>
      <c r="P7069">
        <v>0.95618159999999996</v>
      </c>
      <c r="Q7069">
        <v>0.1066575</v>
      </c>
      <c r="R7069">
        <v>-0.272655599999999</v>
      </c>
      <c r="S7069">
        <v>2.9057770000000001</v>
      </c>
      <c r="T7069">
        <v>-0.2208185</v>
      </c>
      <c r="U7069">
        <v>-0.90429689999999996</v>
      </c>
      <c r="V7069">
        <v>0.1214615</v>
      </c>
      <c r="W7069">
        <v>0.118794899999999</v>
      </c>
      <c r="X7069">
        <v>0.98546180000000005</v>
      </c>
      <c r="Y7069">
        <v>0.14041239999999999</v>
      </c>
      <c r="Z7069">
        <v>6.5607800000000004E-3</v>
      </c>
      <c r="AA7069">
        <v>0.99007140000000005</v>
      </c>
      <c r="AB7069">
        <v>38</v>
      </c>
      <c r="AC7069">
        <v>0.54460000000000197</v>
      </c>
      <c r="AD7069">
        <v>-7.00550000000002E-2</v>
      </c>
      <c r="AE7069">
        <v>-0.22459999999998101</v>
      </c>
      <c r="AF7069">
        <v>0.13258835192829499</v>
      </c>
      <c r="AG7069">
        <v>-7.00550000000002E-2</v>
      </c>
      <c r="AH7069">
        <v>0.56554716597919796</v>
      </c>
      <c r="AI7069">
        <v>96.876728147790004</v>
      </c>
      <c r="AJ7069">
        <v>76.805717454626802</v>
      </c>
      <c r="AK7069">
        <v>0.58509056652723701</v>
      </c>
      <c r="AL7069">
        <v>83.177442340047307</v>
      </c>
      <c r="AM7069">
        <v>82.973538964258793</v>
      </c>
      <c r="AN7069">
        <v>1.00000004175374</v>
      </c>
    </row>
    <row r="7070" spans="1:40" x14ac:dyDescent="0.25">
      <c r="A7070" t="str">
        <f>"20190312164203690"</f>
        <v>20190312164203690</v>
      </c>
      <c r="B7070" t="str">
        <f>"1552380123682701"</f>
        <v>1552380123682701</v>
      </c>
      <c r="C7070" t="s">
        <v>40</v>
      </c>
      <c r="D7070">
        <v>5.8607209999999998</v>
      </c>
      <c r="E7070">
        <v>0.51680360000000003</v>
      </c>
      <c r="F7070" t="s">
        <v>42</v>
      </c>
      <c r="G7070">
        <v>-157.26060000000001</v>
      </c>
      <c r="H7070">
        <v>1.022769</v>
      </c>
      <c r="I7070">
        <v>146.0728</v>
      </c>
      <c r="J7070">
        <v>-157.74950000000001</v>
      </c>
      <c r="K7070">
        <v>1.090927</v>
      </c>
      <c r="L7070">
        <v>146.28440000000001</v>
      </c>
      <c r="M7070">
        <v>0.98380540000000005</v>
      </c>
      <c r="N7070">
        <v>0</v>
      </c>
      <c r="O7070">
        <v>-0.1783652</v>
      </c>
      <c r="P7070">
        <v>0.95409719999999998</v>
      </c>
      <c r="Q7070">
        <v>0.10507379999999999</v>
      </c>
      <c r="R7070">
        <v>-0.2804604</v>
      </c>
      <c r="S7070">
        <v>2.8965909999999999</v>
      </c>
      <c r="T7070">
        <v>-0.2238338</v>
      </c>
      <c r="U7070">
        <v>-0.93235780000000001</v>
      </c>
      <c r="V7070">
        <v>0.1111765</v>
      </c>
      <c r="W7070">
        <v>0.1176547</v>
      </c>
      <c r="X7070">
        <v>0.98681160000000001</v>
      </c>
      <c r="Y7070">
        <v>0.13179199999999999</v>
      </c>
      <c r="Z7070">
        <v>8.3203589999999994E-3</v>
      </c>
      <c r="AA7070">
        <v>0.99124250000000003</v>
      </c>
      <c r="AB7070">
        <v>38</v>
      </c>
      <c r="AC7070">
        <v>0.488900000000001</v>
      </c>
      <c r="AD7070">
        <v>-6.8157999999999899E-2</v>
      </c>
      <c r="AE7070">
        <v>-0.21160000000000401</v>
      </c>
      <c r="AF7070">
        <v>0.119040809550091</v>
      </c>
      <c r="AG7070">
        <v>-6.8157999999999899E-2</v>
      </c>
      <c r="AH7070">
        <v>0.51045007511094698</v>
      </c>
      <c r="AI7070">
        <v>97.408943835067404</v>
      </c>
      <c r="AJ7070">
        <v>76.872812822717194</v>
      </c>
      <c r="AK7070">
        <v>0.52855984191301597</v>
      </c>
      <c r="AL7070">
        <v>83.243232020589303</v>
      </c>
      <c r="AM7070">
        <v>83.572028517222407</v>
      </c>
      <c r="AN7070">
        <v>0.99999998823944902</v>
      </c>
    </row>
    <row r="7071" spans="1:40" x14ac:dyDescent="0.25">
      <c r="A7071" t="str">
        <f>"20190312164203722"</f>
        <v>20190312164203722</v>
      </c>
      <c r="B7071" t="str">
        <f>"1552380123712958"</f>
        <v>1552380123712958</v>
      </c>
      <c r="C7071" t="s">
        <v>40</v>
      </c>
      <c r="D7071">
        <v>5.9728479999999999</v>
      </c>
      <c r="E7071">
        <v>0.54013889999999998</v>
      </c>
      <c r="F7071" t="s">
        <v>42</v>
      </c>
      <c r="G7071">
        <v>-156.92400000000001</v>
      </c>
      <c r="H7071">
        <v>1.0242690000000001</v>
      </c>
      <c r="I7071">
        <v>146.01009999999999</v>
      </c>
      <c r="J7071">
        <v>-157.20490000000001</v>
      </c>
      <c r="K7071">
        <v>1.090991</v>
      </c>
      <c r="L7071">
        <v>146.17179999999999</v>
      </c>
      <c r="M7071">
        <v>0.97889409999999999</v>
      </c>
      <c r="N7071">
        <v>0</v>
      </c>
      <c r="O7071">
        <v>-0.20360900000000001</v>
      </c>
      <c r="P7071">
        <v>0.94979329999999995</v>
      </c>
      <c r="Q7071">
        <v>0.10365679999999999</v>
      </c>
      <c r="R7071">
        <v>-0.29520859999999999</v>
      </c>
      <c r="S7071">
        <v>2.8879090000000001</v>
      </c>
      <c r="T7071">
        <v>-0.23283609999999999</v>
      </c>
      <c r="U7071">
        <v>-0.95956419999999998</v>
      </c>
      <c r="V7071">
        <v>0.1009499</v>
      </c>
      <c r="W7071">
        <v>0.11665499999999999</v>
      </c>
      <c r="X7071">
        <v>0.98802869999999998</v>
      </c>
      <c r="Y7071">
        <v>0.1157063</v>
      </c>
      <c r="Z7071">
        <v>1.121546E-2</v>
      </c>
      <c r="AA7071">
        <v>0.9932202</v>
      </c>
      <c r="AB7071">
        <v>38</v>
      </c>
      <c r="AC7071">
        <v>0.28090000000000198</v>
      </c>
      <c r="AD7071">
        <v>-6.6721999999999906E-2</v>
      </c>
      <c r="AE7071">
        <v>-0.16169999999999601</v>
      </c>
      <c r="AF7071">
        <v>9.6998514960498106E-2</v>
      </c>
      <c r="AG7071">
        <v>-6.6721999999999906E-2</v>
      </c>
      <c r="AH7071">
        <v>0.29542332589386999</v>
      </c>
      <c r="AI7071">
        <v>102.110966178666</v>
      </c>
      <c r="AJ7071">
        <v>71.823059494977301</v>
      </c>
      <c r="AK7071">
        <v>0.31801804771229197</v>
      </c>
      <c r="AL7071">
        <v>83.300907812691605</v>
      </c>
      <c r="AM7071">
        <v>84.166160045511404</v>
      </c>
      <c r="AN7071">
        <v>0.99999999167934905</v>
      </c>
    </row>
    <row r="7072" spans="1:40" x14ac:dyDescent="0.25">
      <c r="A7072" t="str">
        <f>"20190312164203745"</f>
        <v>20190312164203745</v>
      </c>
      <c r="B7072" t="str">
        <f>"1552380123733454"</f>
        <v>1552380123733454</v>
      </c>
      <c r="C7072" t="s">
        <v>40</v>
      </c>
      <c r="D7072">
        <v>6.114471</v>
      </c>
      <c r="E7072">
        <v>0.54028399999999999</v>
      </c>
      <c r="F7072" t="s">
        <v>41</v>
      </c>
      <c r="G7072">
        <v>-142.2133</v>
      </c>
      <c r="H7072" s="1">
        <v>-3.3863659999999998E-6</v>
      </c>
      <c r="I7072">
        <v>139.8553</v>
      </c>
      <c r="J7072">
        <v>-156.83459999999999</v>
      </c>
      <c r="K7072">
        <v>1.091037</v>
      </c>
      <c r="L7072">
        <v>146.08629999999999</v>
      </c>
      <c r="M7072">
        <v>0.97517109999999996</v>
      </c>
      <c r="N7072">
        <v>0</v>
      </c>
      <c r="O7072">
        <v>-0.22075719999999999</v>
      </c>
      <c r="P7072">
        <v>0.94673470000000004</v>
      </c>
      <c r="Q7072">
        <v>0.1026854</v>
      </c>
      <c r="R7072">
        <v>-0.30520419999999998</v>
      </c>
      <c r="S7072">
        <v>2.8126069999999999</v>
      </c>
      <c r="T7072">
        <v>-0.2046839</v>
      </c>
      <c r="U7072">
        <v>-1.1850430000000001</v>
      </c>
      <c r="V7072">
        <v>9.3929750000000006E-2</v>
      </c>
      <c r="W7072">
        <v>0.1159631</v>
      </c>
      <c r="X7072">
        <v>0.98880219999999996</v>
      </c>
      <c r="Y7072">
        <v>0.17531920000000001</v>
      </c>
      <c r="Z7072">
        <v>9.0180950000000003E-3</v>
      </c>
      <c r="AA7072">
        <v>0.98447039999999997</v>
      </c>
      <c r="AB7072">
        <v>38</v>
      </c>
      <c r="AC7072">
        <v>14.6212999999999</v>
      </c>
      <c r="AD7072">
        <v>-1.0910403863660001</v>
      </c>
      <c r="AE7072">
        <v>-6.2309999999999901</v>
      </c>
      <c r="AF7072">
        <v>2.8356097534090301</v>
      </c>
      <c r="AG7072">
        <v>-1.0910403863660001</v>
      </c>
      <c r="AH7072">
        <v>15.562874954847601</v>
      </c>
      <c r="AI7072">
        <v>93.945432554702805</v>
      </c>
      <c r="AJ7072">
        <v>79.673786243933506</v>
      </c>
      <c r="AK7072">
        <v>15.856674577556699</v>
      </c>
      <c r="AL7072">
        <v>83.340821809513102</v>
      </c>
      <c r="AM7072">
        <v>84.573558418508199</v>
      </c>
      <c r="AN7072">
        <v>1.0000000146107499</v>
      </c>
    </row>
    <row r="7073" spans="1:40" x14ac:dyDescent="0.25">
      <c r="A7073" t="str">
        <f>"20190312164203768"</f>
        <v>20190312164203768</v>
      </c>
      <c r="B7073" t="str">
        <f>"1552380123763241"</f>
        <v>1552380123763241</v>
      </c>
      <c r="C7073" t="s">
        <v>40</v>
      </c>
      <c r="D7073">
        <v>6.0193469999999998</v>
      </c>
      <c r="E7073">
        <v>0.53919340000000004</v>
      </c>
      <c r="F7073" t="s">
        <v>41</v>
      </c>
      <c r="G7073">
        <v>-141.46850000000001</v>
      </c>
      <c r="H7073" s="1">
        <v>-3.6798279999999998E-6</v>
      </c>
      <c r="I7073">
        <v>139.40459999999999</v>
      </c>
      <c r="J7073">
        <v>-156.45410000000001</v>
      </c>
      <c r="K7073">
        <v>1.0911029999999999</v>
      </c>
      <c r="L7073">
        <v>145.9913</v>
      </c>
      <c r="M7073">
        <v>0.97102169999999999</v>
      </c>
      <c r="N7073">
        <v>0</v>
      </c>
      <c r="O7073">
        <v>-0.23835200000000001</v>
      </c>
      <c r="P7073">
        <v>0.9434323</v>
      </c>
      <c r="Q7073">
        <v>0.1017108</v>
      </c>
      <c r="R7073">
        <v>-0.31558019999999998</v>
      </c>
      <c r="S7073">
        <v>2.7980960000000001</v>
      </c>
      <c r="T7073">
        <v>-0.19867309999999999</v>
      </c>
      <c r="U7073">
        <v>-1.2167049999999999</v>
      </c>
      <c r="V7073">
        <v>8.6808759999999999E-2</v>
      </c>
      <c r="W7073">
        <v>0.1152654</v>
      </c>
      <c r="X7073">
        <v>0.98953429999999998</v>
      </c>
      <c r="Y7073">
        <v>0.16879040000000001</v>
      </c>
      <c r="Z7073">
        <v>1.013556E-2</v>
      </c>
      <c r="AA7073">
        <v>0.98559989999999997</v>
      </c>
      <c r="AB7073">
        <v>38</v>
      </c>
      <c r="AC7073">
        <v>14.9856</v>
      </c>
      <c r="AD7073">
        <v>-1.091106679828</v>
      </c>
      <c r="AE7073">
        <v>-6.5867000000000004</v>
      </c>
      <c r="AF7073">
        <v>2.8119185654625398</v>
      </c>
      <c r="AG7073">
        <v>-1.091106679828</v>
      </c>
      <c r="AH7073">
        <v>16.052435501288802</v>
      </c>
      <c r="AI7073">
        <v>93.830348699489903</v>
      </c>
      <c r="AJ7073">
        <v>80.064257377417803</v>
      </c>
      <c r="AK7073">
        <v>16.333342748151601</v>
      </c>
      <c r="AL7073">
        <v>83.381066868049601</v>
      </c>
      <c r="AM7073">
        <v>84.986454975452602</v>
      </c>
      <c r="AN7073">
        <v>1.0000000020631901</v>
      </c>
    </row>
    <row r="7074" spans="1:40" x14ac:dyDescent="0.25">
      <c r="A7074" t="str">
        <f>"20190312164203790"</f>
        <v>20190312164203790</v>
      </c>
      <c r="B7074" t="str">
        <f>"1552380123782761"</f>
        <v>1552380123782761</v>
      </c>
      <c r="C7074" t="s">
        <v>40</v>
      </c>
      <c r="D7074">
        <v>5.972181</v>
      </c>
      <c r="E7074">
        <v>0.53786889999999998</v>
      </c>
      <c r="F7074" t="s">
        <v>41</v>
      </c>
      <c r="G7074">
        <v>-141.82470000000001</v>
      </c>
      <c r="H7074" s="1">
        <v>-3.512382E-6</v>
      </c>
      <c r="I7074">
        <v>139.4872</v>
      </c>
      <c r="J7074">
        <v>-156.08529999999999</v>
      </c>
      <c r="K7074">
        <v>1.091183</v>
      </c>
      <c r="L7074">
        <v>145.8922</v>
      </c>
      <c r="M7074">
        <v>0.96669269999999996</v>
      </c>
      <c r="N7074">
        <v>0</v>
      </c>
      <c r="O7074">
        <v>-0.25534699999999999</v>
      </c>
      <c r="P7074">
        <v>0.94032039999999995</v>
      </c>
      <c r="Q7074">
        <v>0.1019138</v>
      </c>
      <c r="R7074">
        <v>-0.3246715</v>
      </c>
      <c r="S7074">
        <v>2.7877040000000002</v>
      </c>
      <c r="T7074">
        <v>-0.20791580000000001</v>
      </c>
      <c r="U7074">
        <v>-1.239395</v>
      </c>
      <c r="V7074">
        <v>7.8982189999999994E-2</v>
      </c>
      <c r="W7074">
        <v>0.11577369999999999</v>
      </c>
      <c r="X7074">
        <v>0.99013039999999997</v>
      </c>
      <c r="Y7074">
        <v>0.15962519999999999</v>
      </c>
      <c r="Z7074">
        <v>1.209698E-2</v>
      </c>
      <c r="AA7074">
        <v>0.98710359999999997</v>
      </c>
      <c r="AB7074">
        <v>37</v>
      </c>
      <c r="AC7074">
        <v>14.260599999999901</v>
      </c>
      <c r="AD7074">
        <v>-1.0911865123819999</v>
      </c>
      <c r="AE7074">
        <v>-6.4050000000000002</v>
      </c>
      <c r="AF7074">
        <v>2.5382851423951398</v>
      </c>
      <c r="AG7074">
        <v>-1.0911865123819999</v>
      </c>
      <c r="AH7074">
        <v>15.348672939129401</v>
      </c>
      <c r="AI7074">
        <v>94.012186697885099</v>
      </c>
      <c r="AJ7074">
        <v>80.609705674666898</v>
      </c>
      <c r="AK7074">
        <v>15.5953627871002</v>
      </c>
      <c r="AL7074">
        <v>83.351746935902298</v>
      </c>
      <c r="AM7074">
        <v>85.439202646495104</v>
      </c>
      <c r="AN7074">
        <v>0.99999997247652195</v>
      </c>
    </row>
    <row r="7075" spans="1:40" x14ac:dyDescent="0.25">
      <c r="A7075" t="str">
        <f>"20190312164203812"</f>
        <v>20190312164203812</v>
      </c>
      <c r="B7075" t="str">
        <f>"1552380123803258"</f>
        <v>1552380123803258</v>
      </c>
      <c r="C7075" t="s">
        <v>40</v>
      </c>
      <c r="D7075">
        <v>5.9142869999999998</v>
      </c>
      <c r="E7075">
        <v>0.53751530000000003</v>
      </c>
      <c r="F7075" t="s">
        <v>41</v>
      </c>
      <c r="G7075">
        <v>-141.4091</v>
      </c>
      <c r="H7075" s="1">
        <v>-3.7311959999999998E-6</v>
      </c>
      <c r="I7075">
        <v>139.25880000000001</v>
      </c>
      <c r="J7075">
        <v>-155.7251</v>
      </c>
      <c r="K7075">
        <v>1.0912839999999999</v>
      </c>
      <c r="L7075">
        <v>145.7886</v>
      </c>
      <c r="M7075">
        <v>0.96217790000000003</v>
      </c>
      <c r="N7075">
        <v>0</v>
      </c>
      <c r="O7075">
        <v>-0.27187</v>
      </c>
      <c r="P7075">
        <v>0.93684829999999997</v>
      </c>
      <c r="Q7075">
        <v>0.10317610000000001</v>
      </c>
      <c r="R7075">
        <v>-0.33417069999999999</v>
      </c>
      <c r="S7075">
        <v>2.779099</v>
      </c>
      <c r="T7075">
        <v>-0.2066277</v>
      </c>
      <c r="U7075">
        <v>-1.2561040000000001</v>
      </c>
      <c r="V7075">
        <v>7.2095370000000006E-2</v>
      </c>
      <c r="W7075">
        <v>0.11729290000000001</v>
      </c>
      <c r="X7075">
        <v>0.99047700000000005</v>
      </c>
      <c r="Y7075">
        <v>0.14883299999999999</v>
      </c>
      <c r="Z7075">
        <v>1.352663E-2</v>
      </c>
      <c r="AA7075">
        <v>0.98876980000000003</v>
      </c>
      <c r="AB7075">
        <v>37</v>
      </c>
      <c r="AC7075">
        <v>14.316000000000001</v>
      </c>
      <c r="AD7075">
        <v>-1.0912877311960001</v>
      </c>
      <c r="AE7075">
        <v>-6.5297999999999901</v>
      </c>
      <c r="AF7075">
        <v>2.3796511813198502</v>
      </c>
      <c r="AG7075">
        <v>-1.0912877311960001</v>
      </c>
      <c r="AH7075">
        <v>15.4776827080762</v>
      </c>
      <c r="AI7075">
        <v>93.986402529423998</v>
      </c>
      <c r="AJ7075">
        <v>81.259373465665604</v>
      </c>
      <c r="AK7075">
        <v>15.6975256224954</v>
      </c>
      <c r="AL7075">
        <v>83.264106430240005</v>
      </c>
      <c r="AM7075">
        <v>85.8368661074812</v>
      </c>
      <c r="AN7075">
        <v>1.0000000271474201</v>
      </c>
    </row>
    <row r="7076" spans="1:40" x14ac:dyDescent="0.25">
      <c r="A7076" t="str">
        <f>"20190312164203836"</f>
        <v>20190312164203836</v>
      </c>
      <c r="B7076" t="str">
        <f>"1552380123822777"</f>
        <v>1552380123822777</v>
      </c>
      <c r="C7076" t="s">
        <v>40</v>
      </c>
      <c r="D7076">
        <v>6.1907579999999998</v>
      </c>
      <c r="E7076">
        <v>0.53659049999999997</v>
      </c>
      <c r="F7076" t="s">
        <v>41</v>
      </c>
      <c r="G7076">
        <v>-140.90719999999999</v>
      </c>
      <c r="H7076" s="1">
        <v>-4.0048689999999998E-6</v>
      </c>
      <c r="I7076">
        <v>138.9298</v>
      </c>
      <c r="J7076">
        <v>-155.34219999999999</v>
      </c>
      <c r="K7076">
        <v>1.091412</v>
      </c>
      <c r="L7076">
        <v>145.6712</v>
      </c>
      <c r="M7076">
        <v>0.95707660000000006</v>
      </c>
      <c r="N7076">
        <v>0</v>
      </c>
      <c r="O7076">
        <v>-0.28932140000000001</v>
      </c>
      <c r="P7076">
        <v>0.93307700000000005</v>
      </c>
      <c r="Q7076">
        <v>0.1045992</v>
      </c>
      <c r="R7076">
        <v>-0.34413169999999998</v>
      </c>
      <c r="S7076">
        <v>2.7677149999999999</v>
      </c>
      <c r="T7076">
        <v>-0.20383229999999999</v>
      </c>
      <c r="U7076">
        <v>-1.2810969999999999</v>
      </c>
      <c r="V7076">
        <v>6.4696420000000004E-2</v>
      </c>
      <c r="W7076">
        <v>0.1189862</v>
      </c>
      <c r="X7076">
        <v>0.9907859</v>
      </c>
      <c r="Y7076">
        <v>0.13979629999999901</v>
      </c>
      <c r="Z7076">
        <v>1.482757E-2</v>
      </c>
      <c r="AA7076">
        <v>0.99006930000000004</v>
      </c>
      <c r="AB7076">
        <v>37</v>
      </c>
      <c r="AC7076">
        <v>14.435</v>
      </c>
      <c r="AD7076">
        <v>-1.091416004869</v>
      </c>
      <c r="AE7076">
        <v>-6.7413999999999898</v>
      </c>
      <c r="AF7076">
        <v>2.2653886231488598</v>
      </c>
      <c r="AG7076">
        <v>-1.091416004869</v>
      </c>
      <c r="AH7076">
        <v>15.694521414100199</v>
      </c>
      <c r="AI7076">
        <v>93.937338497264705</v>
      </c>
      <c r="AJ7076">
        <v>81.786504697466398</v>
      </c>
      <c r="AK7076">
        <v>15.894690211741301</v>
      </c>
      <c r="AL7076">
        <v>83.166403220596706</v>
      </c>
      <c r="AM7076">
        <v>86.263999308546005</v>
      </c>
      <c r="AN7076">
        <v>1.0000000210950299</v>
      </c>
    </row>
    <row r="7077" spans="1:40" x14ac:dyDescent="0.25">
      <c r="A7077" t="str">
        <f>"20190312164203860"</f>
        <v>20190312164203860</v>
      </c>
      <c r="B7077" t="str">
        <f>"1552380123853035"</f>
        <v>1552380123853035</v>
      </c>
      <c r="C7077" t="s">
        <v>40</v>
      </c>
      <c r="D7077">
        <v>5.9803009999999999</v>
      </c>
      <c r="E7077">
        <v>0.53489240000000005</v>
      </c>
      <c r="F7077" t="s">
        <v>41</v>
      </c>
      <c r="G7077">
        <v>-140.27629999999999</v>
      </c>
      <c r="H7077" s="1">
        <v>-4.3437310000000002E-6</v>
      </c>
      <c r="I7077">
        <v>138.54509999999999</v>
      </c>
      <c r="J7077">
        <v>-154.9571</v>
      </c>
      <c r="K7077">
        <v>1.0915680000000001</v>
      </c>
      <c r="L7077">
        <v>145.54509999999999</v>
      </c>
      <c r="M7077">
        <v>0.95164729999999997</v>
      </c>
      <c r="N7077">
        <v>0</v>
      </c>
      <c r="O7077">
        <v>-0.30671320000000002</v>
      </c>
      <c r="P7077">
        <v>0.92961349999999998</v>
      </c>
      <c r="Q7077">
        <v>0.1039781</v>
      </c>
      <c r="R7077">
        <v>-0.3535644</v>
      </c>
      <c r="S7077">
        <v>2.756653</v>
      </c>
      <c r="T7077">
        <v>-0.1996996</v>
      </c>
      <c r="U7077">
        <v>-1.303879</v>
      </c>
      <c r="V7077">
        <v>5.6571160000000002E-2</v>
      </c>
      <c r="W7077">
        <v>0.1186585</v>
      </c>
      <c r="X7077">
        <v>0.99132229999999999</v>
      </c>
      <c r="Y7077">
        <v>0.13000809999999999</v>
      </c>
      <c r="Z7077">
        <v>1.6000799999999999E-2</v>
      </c>
      <c r="AA7077">
        <v>0.99138380000000004</v>
      </c>
      <c r="AB7077">
        <v>37</v>
      </c>
      <c r="AC7077">
        <v>14.6808</v>
      </c>
      <c r="AD7077">
        <v>-1.0915723437309901</v>
      </c>
      <c r="AE7077">
        <v>-7</v>
      </c>
      <c r="AF7077">
        <v>2.1493721910253298</v>
      </c>
      <c r="AG7077">
        <v>-1.0915723437309901</v>
      </c>
      <c r="AH7077">
        <v>16.048022703205302</v>
      </c>
      <c r="AI7077">
        <v>93.856880954614795</v>
      </c>
      <c r="AJ7077">
        <v>82.371557691125005</v>
      </c>
      <c r="AK7077">
        <v>16.228073320013799</v>
      </c>
      <c r="AL7077">
        <v>83.185312999581598</v>
      </c>
      <c r="AM7077">
        <v>86.733880520364593</v>
      </c>
      <c r="AN7077">
        <v>1.00000001912164</v>
      </c>
    </row>
    <row r="7078" spans="1:40" x14ac:dyDescent="0.25">
      <c r="A7078" t="str">
        <f>"20190312164203882"</f>
        <v>20190312164203882</v>
      </c>
      <c r="B7078" t="str">
        <f>"1552380123873530"</f>
        <v>1552380123873530</v>
      </c>
      <c r="C7078" t="s">
        <v>40</v>
      </c>
      <c r="D7078">
        <v>5.9176859999999998</v>
      </c>
      <c r="E7078">
        <v>0.53437049999999997</v>
      </c>
      <c r="F7078" t="s">
        <v>42</v>
      </c>
      <c r="G7078">
        <v>-154.0137</v>
      </c>
      <c r="H7078">
        <v>1.022071</v>
      </c>
      <c r="I7078">
        <v>145.09180000000001</v>
      </c>
      <c r="J7078">
        <v>-154.6019</v>
      </c>
      <c r="K7078">
        <v>1.091739</v>
      </c>
      <c r="L7078">
        <v>145.42140000000001</v>
      </c>
      <c r="M7078">
        <v>0.94639549999999995</v>
      </c>
      <c r="N7078">
        <v>0</v>
      </c>
      <c r="O7078">
        <v>-0.32255869999999998</v>
      </c>
      <c r="P7078">
        <v>0.92692660000000004</v>
      </c>
      <c r="Q7078">
        <v>0.1020976</v>
      </c>
      <c r="R7078">
        <v>-0.3610854</v>
      </c>
      <c r="S7078">
        <v>2.747665</v>
      </c>
      <c r="T7078">
        <v>-0.20239560000000001</v>
      </c>
      <c r="U7078">
        <v>-1.320206</v>
      </c>
      <c r="V7078">
        <v>4.7841540000000002E-2</v>
      </c>
      <c r="W7078">
        <v>0.11709260000000001</v>
      </c>
      <c r="X7078">
        <v>0.99196799999999996</v>
      </c>
      <c r="Y7078">
        <v>0.11955880000000001</v>
      </c>
      <c r="Z7078">
        <v>1.7627319999999998E-2</v>
      </c>
      <c r="AA7078">
        <v>0.99267059999999996</v>
      </c>
      <c r="AB7078">
        <v>37</v>
      </c>
      <c r="AC7078">
        <v>0.58819999999999995</v>
      </c>
      <c r="AD7078">
        <v>-6.9667999999999994E-2</v>
      </c>
      <c r="AE7078">
        <v>-0.329599999999999</v>
      </c>
      <c r="AF7078">
        <v>0.120929654381517</v>
      </c>
      <c r="AG7078">
        <v>-6.9667999999999994E-2</v>
      </c>
      <c r="AH7078">
        <v>0.65607730605744596</v>
      </c>
      <c r="AI7078">
        <v>95.961762604876995</v>
      </c>
      <c r="AJ7078">
        <v>79.556332792720895</v>
      </c>
      <c r="AK7078">
        <v>0.67075706709391403</v>
      </c>
      <c r="AL7078">
        <v>83.275662231194801</v>
      </c>
      <c r="AM7078">
        <v>87.238826270184902</v>
      </c>
      <c r="AN7078">
        <v>1.0000000014741599</v>
      </c>
    </row>
    <row r="7079" spans="1:40" x14ac:dyDescent="0.25">
      <c r="A7079" t="str">
        <f>"20190312164203901"</f>
        <v>20190312164203901</v>
      </c>
      <c r="B7079" t="str">
        <f>"1552380123893050"</f>
        <v>1552380123893050</v>
      </c>
      <c r="C7079" t="s">
        <v>40</v>
      </c>
      <c r="D7079">
        <v>5.983473</v>
      </c>
      <c r="E7079">
        <v>0.52335429999999905</v>
      </c>
      <c r="F7079" t="s">
        <v>42</v>
      </c>
      <c r="G7079">
        <v>-153.69640000000001</v>
      </c>
      <c r="H7079">
        <v>1.02288</v>
      </c>
      <c r="I7079">
        <v>144.9785</v>
      </c>
      <c r="J7079">
        <v>-154.29</v>
      </c>
      <c r="K7079">
        <v>1.0919000000000001</v>
      </c>
      <c r="L7079">
        <v>145.3075</v>
      </c>
      <c r="M7079">
        <v>0.94159729999999997</v>
      </c>
      <c r="N7079">
        <v>0</v>
      </c>
      <c r="O7079">
        <v>-0.33631280000000002</v>
      </c>
      <c r="P7079">
        <v>0.92485229999999996</v>
      </c>
      <c r="Q7079">
        <v>0.1004495</v>
      </c>
      <c r="R7079">
        <v>-0.36682219999999999</v>
      </c>
      <c r="S7079">
        <v>2.7378999999999998</v>
      </c>
      <c r="T7079">
        <v>-0.20792089999999999</v>
      </c>
      <c r="U7079">
        <v>-1.3387450000000001</v>
      </c>
      <c r="V7079">
        <v>3.9344320000000002E-2</v>
      </c>
      <c r="W7079">
        <v>0.11574570000000001</v>
      </c>
      <c r="X7079">
        <v>0.99249940000000003</v>
      </c>
      <c r="Y7079">
        <v>0.1119786</v>
      </c>
      <c r="Z7079">
        <v>1.9313770000000001E-2</v>
      </c>
      <c r="AA7079">
        <v>0.99352289999999999</v>
      </c>
      <c r="AB7079">
        <v>37</v>
      </c>
      <c r="AC7079">
        <v>0.59359999999998003</v>
      </c>
      <c r="AD7079">
        <v>-6.9019999999999998E-2</v>
      </c>
      <c r="AE7079">
        <v>-0.32900000000000701</v>
      </c>
      <c r="AF7079">
        <v>0.109038385227886</v>
      </c>
      <c r="AG7079">
        <v>-6.9019999999999998E-2</v>
      </c>
      <c r="AH7079">
        <v>0.662820386394392</v>
      </c>
      <c r="AI7079">
        <v>95.866538103154497</v>
      </c>
      <c r="AJ7079">
        <v>80.658132773152005</v>
      </c>
      <c r="AK7079">
        <v>0.67526586947151102</v>
      </c>
      <c r="AL7079">
        <v>83.353362598844996</v>
      </c>
      <c r="AM7079">
        <v>87.729889038763702</v>
      </c>
      <c r="AN7079">
        <v>1.0000000507925499</v>
      </c>
    </row>
    <row r="7080" spans="1:40" x14ac:dyDescent="0.25">
      <c r="A7080" t="str">
        <f>"20190312164203924"</f>
        <v>20190312164203924</v>
      </c>
      <c r="B7080" t="str">
        <f>"1552380123913546"</f>
        <v>1552380123913546</v>
      </c>
      <c r="C7080" t="s">
        <v>40</v>
      </c>
      <c r="D7080">
        <v>6.0391599999999999</v>
      </c>
      <c r="E7080">
        <v>0.52336050000000001</v>
      </c>
      <c r="F7080" t="s">
        <v>42</v>
      </c>
      <c r="G7080">
        <v>-153.37710000000001</v>
      </c>
      <c r="H7080">
        <v>1.0124040000000001</v>
      </c>
      <c r="I7080">
        <v>144.8869</v>
      </c>
      <c r="J7080">
        <v>-153.9374</v>
      </c>
      <c r="K7080">
        <v>1.0921149999999999</v>
      </c>
      <c r="L7080">
        <v>145.1722</v>
      </c>
      <c r="M7080">
        <v>0.93598769999999998</v>
      </c>
      <c r="N7080">
        <v>0</v>
      </c>
      <c r="O7080">
        <v>-0.35162789999999999</v>
      </c>
      <c r="P7080">
        <v>0.9212418</v>
      </c>
      <c r="Q7080">
        <v>0.1011195</v>
      </c>
      <c r="R7080">
        <v>-0.3756176</v>
      </c>
      <c r="S7080">
        <v>2.7647550000000001</v>
      </c>
      <c r="T7080">
        <v>-0.2407619</v>
      </c>
      <c r="U7080">
        <v>-1.2736510000000001</v>
      </c>
      <c r="V7080">
        <v>3.2592089999999997E-2</v>
      </c>
      <c r="W7080">
        <v>0.116619</v>
      </c>
      <c r="X7080">
        <v>0.99264180000000002</v>
      </c>
      <c r="Y7080">
        <v>7.3070239999999995E-2</v>
      </c>
      <c r="Z7080">
        <v>2.5062379999999999E-2</v>
      </c>
      <c r="AA7080">
        <v>0.9970118</v>
      </c>
      <c r="AB7080">
        <v>37</v>
      </c>
      <c r="AC7080">
        <v>0.56029999999998303</v>
      </c>
      <c r="AD7080">
        <v>-7.9710999999999796E-2</v>
      </c>
      <c r="AE7080">
        <v>-0.28530000000000599</v>
      </c>
      <c r="AF7080">
        <v>6.8922420605508294E-2</v>
      </c>
      <c r="AG7080">
        <v>-7.9710999999999796E-2</v>
      </c>
      <c r="AH7080">
        <v>0.61495863045894605</v>
      </c>
      <c r="AI7080">
        <v>97.340056165814403</v>
      </c>
      <c r="AJ7080">
        <v>83.605175006900595</v>
      </c>
      <c r="AK7080">
        <v>0.62392167838524804</v>
      </c>
      <c r="AL7080">
        <v>83.302984619883901</v>
      </c>
      <c r="AM7080">
        <v>88.119443902822297</v>
      </c>
      <c r="AN7080">
        <v>0.99999998929940304</v>
      </c>
    </row>
    <row r="7081" spans="1:40" x14ac:dyDescent="0.25">
      <c r="A7081" t="str">
        <f>"20190312164203946"</f>
        <v>20190312164203946</v>
      </c>
      <c r="B7081" t="str">
        <f>"1552380123933065"</f>
        <v>1552380123933065</v>
      </c>
      <c r="C7081" t="s">
        <v>40</v>
      </c>
      <c r="D7081">
        <v>5.9886980000000003</v>
      </c>
      <c r="E7081">
        <v>0.52275159999999998</v>
      </c>
      <c r="F7081" t="s">
        <v>42</v>
      </c>
      <c r="G7081">
        <v>-153.0633</v>
      </c>
      <c r="H7081">
        <v>1.0164329999999999</v>
      </c>
      <c r="I7081">
        <v>144.75989999999999</v>
      </c>
      <c r="J7081">
        <v>-153.58750000000001</v>
      </c>
      <c r="K7081">
        <v>1.092381</v>
      </c>
      <c r="L7081">
        <v>145.03149999999999</v>
      </c>
      <c r="M7081">
        <v>0.93025760000000002</v>
      </c>
      <c r="N7081">
        <v>0</v>
      </c>
      <c r="O7081">
        <v>-0.36652370000000001</v>
      </c>
      <c r="P7081">
        <v>0.91772030000000004</v>
      </c>
      <c r="Q7081">
        <v>0.10303660000000001</v>
      </c>
      <c r="R7081">
        <v>-0.38363160000000002</v>
      </c>
      <c r="S7081">
        <v>2.7533110000000001</v>
      </c>
      <c r="T7081">
        <v>-0.2382456</v>
      </c>
      <c r="U7081">
        <v>-1.2982479999999901</v>
      </c>
      <c r="V7081">
        <v>2.54699E-2</v>
      </c>
      <c r="W7081">
        <v>0.11874419999999999</v>
      </c>
      <c r="X7081">
        <v>0.99259819999999999</v>
      </c>
      <c r="Y7081">
        <v>6.6077609999999995E-2</v>
      </c>
      <c r="Z7081">
        <v>2.623619E-2</v>
      </c>
      <c r="AA7081">
        <v>0.99746950000000001</v>
      </c>
      <c r="AB7081">
        <v>37</v>
      </c>
      <c r="AC7081">
        <v>0.52420000000000699</v>
      </c>
      <c r="AD7081">
        <v>-7.5948000000000099E-2</v>
      </c>
      <c r="AE7081">
        <v>-0.271600000000006</v>
      </c>
      <c r="AF7081">
        <v>5.9549286169139001E-2</v>
      </c>
      <c r="AG7081">
        <v>-7.5948000000000099E-2</v>
      </c>
      <c r="AH7081">
        <v>0.57771105138535905</v>
      </c>
      <c r="AI7081">
        <v>97.450334959273704</v>
      </c>
      <c r="AJ7081">
        <v>84.114851626207894</v>
      </c>
      <c r="AK7081">
        <v>0.58571688987089199</v>
      </c>
      <c r="AL7081">
        <v>83.180367957437099</v>
      </c>
      <c r="AM7081">
        <v>88.530122645359299</v>
      </c>
      <c r="AN7081">
        <v>1.00000004374144</v>
      </c>
    </row>
    <row r="7082" spans="1:40" x14ac:dyDescent="0.25">
      <c r="A7082" t="str">
        <f>"20190312164203969"</f>
        <v>20190312164203969</v>
      </c>
      <c r="B7082" t="str">
        <f>"1552380123963324"</f>
        <v>1552380123963324</v>
      </c>
      <c r="C7082" t="s">
        <v>40</v>
      </c>
      <c r="D7082">
        <v>5.9760260000000001</v>
      </c>
      <c r="E7082">
        <v>0.52209399999999995</v>
      </c>
      <c r="F7082" t="s">
        <v>42</v>
      </c>
      <c r="G7082">
        <v>-152.7508</v>
      </c>
      <c r="H7082">
        <v>1.0209619999999999</v>
      </c>
      <c r="I7082">
        <v>144.6301</v>
      </c>
      <c r="J7082">
        <v>-153.2338</v>
      </c>
      <c r="K7082">
        <v>1.092706</v>
      </c>
      <c r="L7082">
        <v>144.8826</v>
      </c>
      <c r="M7082">
        <v>0.92434669999999997</v>
      </c>
      <c r="N7082">
        <v>0</v>
      </c>
      <c r="O7082">
        <v>-0.38118970000000002</v>
      </c>
      <c r="P7082">
        <v>0.91489540000000003</v>
      </c>
      <c r="Q7082">
        <v>0.10296329999999999</v>
      </c>
      <c r="R7082">
        <v>-0.39034000000000002</v>
      </c>
      <c r="S7082">
        <v>2.7448429999999999</v>
      </c>
      <c r="T7082">
        <v>-0.23418</v>
      </c>
      <c r="U7082">
        <v>-1.316681</v>
      </c>
      <c r="V7082">
        <v>1.6926219999999999E-2</v>
      </c>
      <c r="W7082">
        <v>0.1189204</v>
      </c>
      <c r="X7082">
        <v>0.99275950000000002</v>
      </c>
      <c r="Y7082">
        <v>5.6974370000000003E-2</v>
      </c>
      <c r="Z7082">
        <v>2.7252760000000001E-2</v>
      </c>
      <c r="AA7082">
        <v>0.99800359999999999</v>
      </c>
      <c r="AB7082">
        <v>37</v>
      </c>
      <c r="AC7082">
        <v>0.48300000000000398</v>
      </c>
      <c r="AD7082">
        <v>-7.1743999999999794E-2</v>
      </c>
      <c r="AE7082">
        <v>-0.252499999999997</v>
      </c>
      <c r="AF7082">
        <v>4.8450212794045502E-2</v>
      </c>
      <c r="AG7082">
        <v>-7.1743999999999794E-2</v>
      </c>
      <c r="AH7082">
        <v>0.53354001273654905</v>
      </c>
      <c r="AI7082">
        <v>97.627490870285897</v>
      </c>
      <c r="AJ7082">
        <v>84.811261290703399</v>
      </c>
      <c r="AK7082">
        <v>0.54051787190314604</v>
      </c>
      <c r="AL7082">
        <v>83.170200040169306</v>
      </c>
      <c r="AM7082">
        <v>89.023220614224499</v>
      </c>
      <c r="AN7082">
        <v>0.99999999164994902</v>
      </c>
    </row>
    <row r="7083" spans="1:40" x14ac:dyDescent="0.25">
      <c r="A7083" t="str">
        <f>"20190312164203993"</f>
        <v>20190312164203993</v>
      </c>
      <c r="B7083" t="str">
        <f>"1552380123982842"</f>
        <v>1552380123982842</v>
      </c>
      <c r="C7083" t="s">
        <v>40</v>
      </c>
      <c r="D7083">
        <v>5.9315829999999998</v>
      </c>
      <c r="E7083">
        <v>0.52217740000000001</v>
      </c>
      <c r="F7083" t="s">
        <v>42</v>
      </c>
      <c r="G7083">
        <v>-152.4409</v>
      </c>
      <c r="H7083">
        <v>1.024527</v>
      </c>
      <c r="I7083">
        <v>144.49639999999999</v>
      </c>
      <c r="J7083">
        <v>-152.8639</v>
      </c>
      <c r="K7083">
        <v>1.0931310000000001</v>
      </c>
      <c r="L7083">
        <v>144.72020000000001</v>
      </c>
      <c r="M7083">
        <v>0.91810239999999999</v>
      </c>
      <c r="N7083">
        <v>0</v>
      </c>
      <c r="O7083">
        <v>-0.39599889999999999</v>
      </c>
      <c r="P7083">
        <v>0.91233949999999997</v>
      </c>
      <c r="Q7083">
        <v>0.10050000000000001</v>
      </c>
      <c r="R7083">
        <v>-0.3969086</v>
      </c>
      <c r="S7083">
        <v>2.7367710000000001</v>
      </c>
      <c r="T7083">
        <v>-0.23521220000000001</v>
      </c>
      <c r="U7083">
        <v>-1.3330690000000001</v>
      </c>
      <c r="V7083">
        <v>7.763598E-3</v>
      </c>
      <c r="W7083">
        <v>0.116701</v>
      </c>
      <c r="X7083">
        <v>0.99313680000000004</v>
      </c>
      <c r="Y7083">
        <v>4.69848E-2</v>
      </c>
      <c r="Z7083">
        <v>2.8883820000000001E-2</v>
      </c>
      <c r="AA7083">
        <v>0.99847790000000003</v>
      </c>
      <c r="AB7083">
        <v>37</v>
      </c>
      <c r="AC7083">
        <v>0.42300000000000099</v>
      </c>
      <c r="AD7083">
        <v>-6.8603999999999804E-2</v>
      </c>
      <c r="AE7083">
        <v>-0.22380000000001099</v>
      </c>
      <c r="AF7083">
        <v>3.7204373655966801E-2</v>
      </c>
      <c r="AG7083">
        <v>-6.8603999999999804E-2</v>
      </c>
      <c r="AH7083">
        <v>0.46744055915746702</v>
      </c>
      <c r="AI7083">
        <v>98.323465540581196</v>
      </c>
      <c r="AJ7083">
        <v>85.449326430204493</v>
      </c>
      <c r="AK7083">
        <v>0.473910698951372</v>
      </c>
      <c r="AL7083">
        <v>83.298254475170594</v>
      </c>
      <c r="AM7083">
        <v>89.552113728292596</v>
      </c>
      <c r="AN7083">
        <v>1.0000000501845701</v>
      </c>
    </row>
    <row r="7084" spans="1:40" x14ac:dyDescent="0.25">
      <c r="A7084" t="str">
        <f>"20190312164204016"</f>
        <v>20190312164204016</v>
      </c>
      <c r="B7084" t="str">
        <f>"1552380124013097"</f>
        <v>1552380124013097</v>
      </c>
      <c r="C7084" t="s">
        <v>40</v>
      </c>
      <c r="D7084">
        <v>5.9972539999999999</v>
      </c>
      <c r="E7084">
        <v>0.52374049999999905</v>
      </c>
      <c r="F7084" t="s">
        <v>42</v>
      </c>
      <c r="G7084">
        <v>-152.13419999999999</v>
      </c>
      <c r="H7084">
        <v>1.026667</v>
      </c>
      <c r="I7084">
        <v>144.3579</v>
      </c>
      <c r="J7084">
        <v>-152.518</v>
      </c>
      <c r="K7084">
        <v>1.0936349999999999</v>
      </c>
      <c r="L7084">
        <v>144.56209999999999</v>
      </c>
      <c r="M7084">
        <v>0.91229930000000004</v>
      </c>
      <c r="N7084">
        <v>0</v>
      </c>
      <c r="O7084">
        <v>-0.40919709999999998</v>
      </c>
      <c r="P7084">
        <v>0.91063119999999997</v>
      </c>
      <c r="Q7084">
        <v>9.8219890000000004E-2</v>
      </c>
      <c r="R7084">
        <v>-0.40137790000000001</v>
      </c>
      <c r="S7084">
        <v>2.7267459999999999</v>
      </c>
      <c r="T7084">
        <v>-0.2482644</v>
      </c>
      <c r="U7084">
        <v>-1.3535919999999999</v>
      </c>
      <c r="V7084">
        <v>-2.0357539999999999E-3</v>
      </c>
      <c r="W7084">
        <v>0.114661</v>
      </c>
      <c r="X7084">
        <v>0.99340260000000002</v>
      </c>
      <c r="Y7084">
        <v>4.0236470000000003E-2</v>
      </c>
      <c r="Z7084">
        <v>3.1815870000000003E-2</v>
      </c>
      <c r="AA7084">
        <v>0.99868349999999995</v>
      </c>
      <c r="AB7084">
        <v>37</v>
      </c>
      <c r="AC7084">
        <v>0.38380000000000702</v>
      </c>
      <c r="AD7084">
        <v>-6.6968000000000097E-2</v>
      </c>
      <c r="AE7084">
        <v>-0.204199999999985</v>
      </c>
      <c r="AF7084">
        <v>2.8567712476693399E-2</v>
      </c>
      <c r="AG7084">
        <v>-6.6968000000000097E-2</v>
      </c>
      <c r="AH7084">
        <v>0.42370270107833102</v>
      </c>
      <c r="AI7084">
        <v>98.961526753808599</v>
      </c>
      <c r="AJ7084">
        <v>86.142729823985505</v>
      </c>
      <c r="AK7084">
        <v>0.429912556366087</v>
      </c>
      <c r="AL7084">
        <v>83.415927608446694</v>
      </c>
      <c r="AM7084">
        <v>90.117414579999704</v>
      </c>
      <c r="AN7084">
        <v>1.00000000745105</v>
      </c>
    </row>
    <row r="7085" spans="1:40" x14ac:dyDescent="0.25">
      <c r="A7085" t="str">
        <f>"20190312164204038"</f>
        <v>20190312164204038</v>
      </c>
      <c r="B7085" t="str">
        <f>"1552380124033593"</f>
        <v>1552380124033593</v>
      </c>
      <c r="C7085" t="s">
        <v>40</v>
      </c>
      <c r="D7085">
        <v>5.9774570000000002</v>
      </c>
      <c r="E7085">
        <v>0.52001140000000001</v>
      </c>
      <c r="F7085" t="s">
        <v>42</v>
      </c>
      <c r="G7085">
        <v>-151.83770000000001</v>
      </c>
      <c r="H7085">
        <v>1.01251</v>
      </c>
      <c r="I7085">
        <v>144.2176</v>
      </c>
      <c r="J7085">
        <v>-152.18049999999999</v>
      </c>
      <c r="K7085">
        <v>1.09429</v>
      </c>
      <c r="L7085">
        <v>144.4024</v>
      </c>
      <c r="M7085">
        <v>0.90678550000000002</v>
      </c>
      <c r="N7085">
        <v>0</v>
      </c>
      <c r="O7085">
        <v>-0.42128090000000001</v>
      </c>
      <c r="P7085">
        <v>0.90929720000000003</v>
      </c>
      <c r="Q7085">
        <v>9.6597660000000002E-2</v>
      </c>
      <c r="R7085">
        <v>-0.40478120000000001</v>
      </c>
      <c r="S7085">
        <v>2.7220460000000002</v>
      </c>
      <c r="T7085">
        <v>-0.32444299999999998</v>
      </c>
      <c r="U7085">
        <v>-1.3779300000000001</v>
      </c>
      <c r="V7085">
        <v>-1.1843329999999999E-2</v>
      </c>
      <c r="W7085">
        <v>0.1132341</v>
      </c>
      <c r="X7085">
        <v>0.99349770000000004</v>
      </c>
      <c r="Y7085">
        <v>3.5633749999999999E-2</v>
      </c>
      <c r="Z7085">
        <v>4.2943660000000002E-2</v>
      </c>
      <c r="AA7085">
        <v>0.99844180000000005</v>
      </c>
      <c r="AB7085">
        <v>37</v>
      </c>
      <c r="AC7085">
        <v>0.34279999999998201</v>
      </c>
      <c r="AD7085">
        <v>-8.1779999999999894E-2</v>
      </c>
      <c r="AE7085">
        <v>-0.184799999999995</v>
      </c>
      <c r="AF7085">
        <v>2.2183661479699801E-2</v>
      </c>
      <c r="AG7085">
        <v>-8.1779999999999894E-2</v>
      </c>
      <c r="AH7085">
        <v>0.37233090112862999</v>
      </c>
      <c r="AI7085">
        <v>102.36667109405801</v>
      </c>
      <c r="AJ7085">
        <v>86.590319564113699</v>
      </c>
      <c r="AK7085">
        <v>0.38185125791583202</v>
      </c>
      <c r="AL7085">
        <v>83.498218589292804</v>
      </c>
      <c r="AM7085">
        <v>90.682981635406904</v>
      </c>
      <c r="AN7085">
        <v>0.999999952886793</v>
      </c>
    </row>
    <row r="7086" spans="1:40" x14ac:dyDescent="0.25">
      <c r="A7086" t="str">
        <f>"20190312164204060"</f>
        <v>20190312164204060</v>
      </c>
      <c r="B7086" t="str">
        <f>"1552380124053114"</f>
        <v>1552380124053114</v>
      </c>
      <c r="C7086" t="s">
        <v>40</v>
      </c>
      <c r="D7086">
        <v>6.0101300000000002</v>
      </c>
      <c r="E7086">
        <v>0.51926949999999905</v>
      </c>
      <c r="F7086" t="s">
        <v>42</v>
      </c>
      <c r="G7086">
        <v>-151.53</v>
      </c>
      <c r="H7086">
        <v>1.0191190000000001</v>
      </c>
      <c r="I7086">
        <v>144.078</v>
      </c>
      <c r="J7086">
        <v>-151.84569999999999</v>
      </c>
      <c r="K7086">
        <v>1.09514</v>
      </c>
      <c r="L7086">
        <v>144.23869999999999</v>
      </c>
      <c r="M7086">
        <v>0.9016364</v>
      </c>
      <c r="N7086">
        <v>0</v>
      </c>
      <c r="O7086">
        <v>-0.43219770000000002</v>
      </c>
      <c r="P7086">
        <v>0.90827789999999997</v>
      </c>
      <c r="Q7086">
        <v>9.7287090000000007E-2</v>
      </c>
      <c r="R7086">
        <v>-0.40689890000000001</v>
      </c>
      <c r="S7086">
        <v>2.7271580000000002</v>
      </c>
      <c r="T7086">
        <v>-0.31522539999999999</v>
      </c>
      <c r="U7086">
        <v>-1.3603670000000001</v>
      </c>
      <c r="V7086">
        <v>-2.1708470000000001E-2</v>
      </c>
      <c r="W7086">
        <v>0.11405559999999999</v>
      </c>
      <c r="X7086">
        <v>0.99323709999999998</v>
      </c>
      <c r="Y7086">
        <v>1.76995E-2</v>
      </c>
      <c r="Z7086">
        <v>4.3745060000000002E-2</v>
      </c>
      <c r="AA7086">
        <v>0.99888589999999999</v>
      </c>
      <c r="AB7086">
        <v>37</v>
      </c>
      <c r="AC7086">
        <v>0.31569999999999199</v>
      </c>
      <c r="AD7086">
        <v>-7.6020999999999894E-2</v>
      </c>
      <c r="AE7086">
        <v>-0.16069999999999099</v>
      </c>
      <c r="AF7086">
        <v>8.0772618476815296E-3</v>
      </c>
      <c r="AG7086">
        <v>-7.6020999999999894E-2</v>
      </c>
      <c r="AH7086">
        <v>0.33855493132959602</v>
      </c>
      <c r="AI7086">
        <v>102.652112777593</v>
      </c>
      <c r="AJ7086">
        <v>88.633293469534806</v>
      </c>
      <c r="AK7086">
        <v>0.34707906322269499</v>
      </c>
      <c r="AL7086">
        <v>83.450843074993202</v>
      </c>
      <c r="AM7086">
        <v>91.252073360572595</v>
      </c>
      <c r="AN7086">
        <v>0.99999993718875302</v>
      </c>
    </row>
    <row r="7087" spans="1:40" x14ac:dyDescent="0.25">
      <c r="A7087" t="str">
        <f>"20190312164204083"</f>
        <v>20190312164204083</v>
      </c>
      <c r="B7087" t="str">
        <f>"1552380124073610"</f>
        <v>1552380124073610</v>
      </c>
      <c r="C7087" t="s">
        <v>40</v>
      </c>
      <c r="D7087">
        <v>6.0403060000000002</v>
      </c>
      <c r="E7087">
        <v>0.51777229999999996</v>
      </c>
      <c r="F7087" t="s">
        <v>42</v>
      </c>
      <c r="G7087">
        <v>-150.94470000000001</v>
      </c>
      <c r="H7087">
        <v>0.98930940000000001</v>
      </c>
      <c r="I7087">
        <v>143.78919999999999</v>
      </c>
      <c r="J7087">
        <v>-151.50739999999999</v>
      </c>
      <c r="K7087">
        <v>1.0961719999999999</v>
      </c>
      <c r="L7087">
        <v>144.06899999999999</v>
      </c>
      <c r="M7087">
        <v>0.896846699999999</v>
      </c>
      <c r="N7087">
        <v>0</v>
      </c>
      <c r="O7087">
        <v>-0.4420578</v>
      </c>
      <c r="P7087">
        <v>0.90786770000000006</v>
      </c>
      <c r="Q7087">
        <v>9.7904279999999996E-2</v>
      </c>
      <c r="R7087">
        <v>-0.40766560000000002</v>
      </c>
      <c r="S7087">
        <v>2.7276919999999998</v>
      </c>
      <c r="T7087">
        <v>-0.3203454</v>
      </c>
      <c r="U7087">
        <v>-1.360687</v>
      </c>
      <c r="V7087">
        <v>-3.2006069999999998E-2</v>
      </c>
      <c r="W7087">
        <v>0.11475200000000001</v>
      </c>
      <c r="X7087">
        <v>0.99287840000000005</v>
      </c>
      <c r="Y7087">
        <v>6.9132309999999997E-3</v>
      </c>
      <c r="Z7087">
        <v>4.5985190000000002E-2</v>
      </c>
      <c r="AA7087">
        <v>0.99891819999999998</v>
      </c>
      <c r="AB7087">
        <v>37</v>
      </c>
      <c r="AC7087">
        <v>0.562699999999978</v>
      </c>
      <c r="AD7087">
        <v>-0.106862599999999</v>
      </c>
      <c r="AE7087">
        <v>-0.279799999999994</v>
      </c>
      <c r="AF7087">
        <v>2.1304527470780901E-3</v>
      </c>
      <c r="AG7087">
        <v>-0.106862599999999</v>
      </c>
      <c r="AH7087">
        <v>0.61076127945772996</v>
      </c>
      <c r="AI7087">
        <v>99.924309072779906</v>
      </c>
      <c r="AJ7087">
        <v>89.800142117894097</v>
      </c>
      <c r="AK7087">
        <v>0.62004313929960597</v>
      </c>
      <c r="AL7087">
        <v>83.410678758836895</v>
      </c>
      <c r="AM7087">
        <v>91.846326732114804</v>
      </c>
      <c r="AN7087">
        <v>0.99999996360370103</v>
      </c>
    </row>
    <row r="7088" spans="1:40" x14ac:dyDescent="0.25">
      <c r="A7088" t="str">
        <f>"20190312164204102"</f>
        <v>20190312164204102</v>
      </c>
      <c r="B7088" t="str">
        <f>"1552380124093129"</f>
        <v>1552380124093129</v>
      </c>
      <c r="C7088" t="s">
        <v>40</v>
      </c>
      <c r="D7088">
        <v>5.9847650000000003</v>
      </c>
      <c r="E7088">
        <v>0.51651950000000002</v>
      </c>
      <c r="F7088" t="s">
        <v>42</v>
      </c>
      <c r="G7088">
        <v>-150.64340000000001</v>
      </c>
      <c r="H7088">
        <v>0.99423720000000004</v>
      </c>
      <c r="I7088">
        <v>143.64189999999999</v>
      </c>
      <c r="J7088">
        <v>-151.21690000000001</v>
      </c>
      <c r="K7088">
        <v>1.0971109999999999</v>
      </c>
      <c r="L7088">
        <v>143.9203</v>
      </c>
      <c r="M7088">
        <v>0.89306090000000005</v>
      </c>
      <c r="N7088">
        <v>0</v>
      </c>
      <c r="O7088">
        <v>-0.44966270000000003</v>
      </c>
      <c r="P7088">
        <v>0.90792360000000005</v>
      </c>
      <c r="Q7088">
        <v>0.10082240000000001</v>
      </c>
      <c r="R7088">
        <v>-0.4068292</v>
      </c>
      <c r="S7088">
        <v>2.7327880000000002</v>
      </c>
      <c r="T7088">
        <v>-0.32233099999999998</v>
      </c>
      <c r="U7088">
        <v>-1.3504640000000001</v>
      </c>
      <c r="V7088">
        <v>-4.1393550000000001E-2</v>
      </c>
      <c r="W7088">
        <v>0.1177111</v>
      </c>
      <c r="X7088">
        <v>0.99218479999999998</v>
      </c>
      <c r="Y7088">
        <v>-5.2076589999999999E-3</v>
      </c>
      <c r="Z7088">
        <v>4.7640830000000002E-2</v>
      </c>
      <c r="AA7088">
        <v>0.99885089999999999</v>
      </c>
      <c r="AB7088">
        <v>37</v>
      </c>
      <c r="AC7088">
        <v>0.57349999999999501</v>
      </c>
      <c r="AD7088">
        <v>-0.1028738</v>
      </c>
      <c r="AE7088">
        <v>-0.27840000000000398</v>
      </c>
      <c r="AF7088">
        <v>-9.01966575630383E-3</v>
      </c>
      <c r="AG7088">
        <v>-0.1028738</v>
      </c>
      <c r="AH7088">
        <v>0.62125709229264603</v>
      </c>
      <c r="AI7088">
        <v>99.401302933870895</v>
      </c>
      <c r="AJ7088">
        <v>90.831785232143602</v>
      </c>
      <c r="AK7088">
        <v>0.62978150800155197</v>
      </c>
      <c r="AL7088">
        <v>83.239978028209705</v>
      </c>
      <c r="AM7088">
        <v>92.388971452157705</v>
      </c>
      <c r="AN7088">
        <v>1.0000000031979199</v>
      </c>
    </row>
    <row r="7089" spans="1:40" x14ac:dyDescent="0.25">
      <c r="A7089" t="str">
        <f>"20190312164204125"</f>
        <v>20190312164204125</v>
      </c>
      <c r="B7089" t="str">
        <f>"1552380124113627"</f>
        <v>1552380124113627</v>
      </c>
      <c r="C7089" t="s">
        <v>40</v>
      </c>
      <c r="D7089">
        <v>5.9934620000000001</v>
      </c>
      <c r="E7089">
        <v>0.51519229999999905</v>
      </c>
      <c r="F7089" t="s">
        <v>42</v>
      </c>
      <c r="G7089">
        <v>-150.34299999999999</v>
      </c>
      <c r="H7089">
        <v>0.99995120000000004</v>
      </c>
      <c r="I7089">
        <v>143.4931</v>
      </c>
      <c r="J7089">
        <v>-150.89160000000001</v>
      </c>
      <c r="K7089">
        <v>1.0982379999999901</v>
      </c>
      <c r="L7089">
        <v>143.7508</v>
      </c>
      <c r="M7089">
        <v>0.88931099999999996</v>
      </c>
      <c r="N7089">
        <v>0</v>
      </c>
      <c r="O7089">
        <v>-0.45703909999999998</v>
      </c>
      <c r="P7089">
        <v>0.90894870000000005</v>
      </c>
      <c r="Q7089">
        <v>0.101148</v>
      </c>
      <c r="R7089">
        <v>-0.40445170000000003</v>
      </c>
      <c r="S7089">
        <v>2.7384029999999999</v>
      </c>
      <c r="T7089">
        <v>-0.30438710000000002</v>
      </c>
      <c r="U7089">
        <v>-1.338257</v>
      </c>
      <c r="V7089">
        <v>-5.2505240000000002E-2</v>
      </c>
      <c r="W7089">
        <v>0.1180553</v>
      </c>
      <c r="X7089">
        <v>0.99161790000000005</v>
      </c>
      <c r="Y7089">
        <v>-1.8045229999999999E-2</v>
      </c>
      <c r="Z7089">
        <v>4.6311520000000002E-2</v>
      </c>
      <c r="AA7089">
        <v>0.99876399999999999</v>
      </c>
      <c r="AB7089">
        <v>37</v>
      </c>
      <c r="AC7089">
        <v>0.54860000000002096</v>
      </c>
      <c r="AD7089">
        <v>-9.8286799999999896E-2</v>
      </c>
      <c r="AE7089">
        <v>-0.25769999999999899</v>
      </c>
      <c r="AF7089">
        <v>-2.10064264669266E-2</v>
      </c>
      <c r="AG7089">
        <v>-9.8286799999999896E-2</v>
      </c>
      <c r="AH7089">
        <v>0.59020809531707596</v>
      </c>
      <c r="AI7089">
        <v>99.448776124882201</v>
      </c>
      <c r="AJ7089">
        <v>92.038385714373106</v>
      </c>
      <c r="AK7089">
        <v>0.59870456886928802</v>
      </c>
      <c r="AL7089">
        <v>83.220118032844098</v>
      </c>
      <c r="AM7089">
        <v>93.0309275248554</v>
      </c>
      <c r="AN7089">
        <v>0.99999995684297704</v>
      </c>
    </row>
    <row r="7090" spans="1:40" x14ac:dyDescent="0.25">
      <c r="A7090" t="str">
        <f>"20190312164204147"</f>
        <v>20190312164204147</v>
      </c>
      <c r="B7090" t="str">
        <f>"1552380124142906"</f>
        <v>1552380124142906</v>
      </c>
      <c r="C7090" t="s">
        <v>40</v>
      </c>
      <c r="D7090">
        <v>6.1835120000000003</v>
      </c>
      <c r="E7090">
        <v>0.51365109999999903</v>
      </c>
      <c r="F7090" t="s">
        <v>42</v>
      </c>
      <c r="G7090">
        <v>-150.04249999999999</v>
      </c>
      <c r="H7090">
        <v>1.005892</v>
      </c>
      <c r="I7090">
        <v>143.34219999999999</v>
      </c>
      <c r="J7090">
        <v>-150.55959999999999</v>
      </c>
      <c r="K7090">
        <v>1.0994889999999999</v>
      </c>
      <c r="L7090">
        <v>143.5752</v>
      </c>
      <c r="M7090">
        <v>0.88613489999999995</v>
      </c>
      <c r="N7090">
        <v>0</v>
      </c>
      <c r="O7090">
        <v>-0.46317269999999999</v>
      </c>
      <c r="P7090">
        <v>0.91059780000000001</v>
      </c>
      <c r="Q7090">
        <v>9.7274970000000002E-2</v>
      </c>
      <c r="R7090">
        <v>-0.40168320000000002</v>
      </c>
      <c r="S7090">
        <v>2.746048</v>
      </c>
      <c r="T7090">
        <v>-0.298682</v>
      </c>
      <c r="U7090">
        <v>-1.320816</v>
      </c>
      <c r="V7090">
        <v>-6.3032630000000006E-2</v>
      </c>
      <c r="W7090">
        <v>0.1141148</v>
      </c>
      <c r="X7090">
        <v>0.99146590000000001</v>
      </c>
      <c r="Y7090">
        <v>-3.118715E-2</v>
      </c>
      <c r="Z7090">
        <v>4.6625130000000001E-2</v>
      </c>
      <c r="AA7090">
        <v>0.99842549999999997</v>
      </c>
      <c r="AB7090">
        <v>37</v>
      </c>
      <c r="AC7090">
        <v>0.517099999999999</v>
      </c>
      <c r="AD7090">
        <v>-9.3596999999999902E-2</v>
      </c>
      <c r="AE7090">
        <v>-0.23300000000000401</v>
      </c>
      <c r="AF7090">
        <v>-3.2165112985696402E-2</v>
      </c>
      <c r="AG7090">
        <v>-9.3596999999999902E-2</v>
      </c>
      <c r="AH7090">
        <v>0.55119561564211095</v>
      </c>
      <c r="AI7090">
        <v>99.621249135290299</v>
      </c>
      <c r="AJ7090">
        <v>93.339717358118705</v>
      </c>
      <c r="AK7090">
        <v>0.56001035669482802</v>
      </c>
      <c r="AL7090">
        <v>83.447429059153094</v>
      </c>
      <c r="AM7090">
        <v>93.637694218707693</v>
      </c>
      <c r="AN7090">
        <v>0.99999996544328196</v>
      </c>
    </row>
    <row r="7091" spans="1:40" x14ac:dyDescent="0.25">
      <c r="A7091" t="str">
        <f>"20190312164204192"</f>
        <v>20190312164204192</v>
      </c>
      <c r="B7091" t="str">
        <f>"1552380124182922"</f>
        <v>1552380124182922</v>
      </c>
      <c r="C7091" t="s">
        <v>40</v>
      </c>
      <c r="D7091">
        <v>5.9764569999999999</v>
      </c>
      <c r="E7091">
        <v>0.51215949999999999</v>
      </c>
      <c r="F7091" t="s">
        <v>42</v>
      </c>
      <c r="G7091">
        <v>-149.7379</v>
      </c>
      <c r="H7091">
        <v>1.007312</v>
      </c>
      <c r="I7091">
        <v>143.18729999999999</v>
      </c>
      <c r="J7091">
        <v>-149.91149999999999</v>
      </c>
      <c r="K7091">
        <v>1.102366</v>
      </c>
      <c r="L7091">
        <v>143.2278</v>
      </c>
      <c r="M7091">
        <v>0.88215859999999902</v>
      </c>
      <c r="N7091">
        <v>0</v>
      </c>
      <c r="O7091">
        <v>-0.47071020000000002</v>
      </c>
      <c r="P7091">
        <v>0.91477160000000002</v>
      </c>
      <c r="Q7091">
        <v>9.3708529999999998E-2</v>
      </c>
      <c r="R7091">
        <v>-0.39295249999999998</v>
      </c>
      <c r="S7091">
        <v>2.7542879999999998</v>
      </c>
      <c r="T7091">
        <v>-0.30902410000000002</v>
      </c>
      <c r="U7091">
        <v>-1.2995300000000001</v>
      </c>
      <c r="V7091">
        <v>-8.2005869999999995E-2</v>
      </c>
      <c r="W7091">
        <v>0.11015220000000001</v>
      </c>
      <c r="X7091">
        <v>0.99052589999999996</v>
      </c>
      <c r="Y7091">
        <v>-4.6910390000000003E-2</v>
      </c>
      <c r="Z7091">
        <v>4.9714960000000002E-2</v>
      </c>
      <c r="AA7091">
        <v>0.99766120000000003</v>
      </c>
      <c r="AB7091">
        <v>37</v>
      </c>
      <c r="AC7091">
        <v>0.17359999999999301</v>
      </c>
      <c r="AD7091">
        <v>-9.5053999999999902E-2</v>
      </c>
      <c r="AE7091">
        <v>-4.0500000000008599E-2</v>
      </c>
      <c r="AF7091">
        <v>-3.5810935289466501E-2</v>
      </c>
      <c r="AG7091">
        <v>-9.5053999999999902E-2</v>
      </c>
      <c r="AH7091">
        <v>0.13409788348110799</v>
      </c>
      <c r="AI7091">
        <v>124.40493675414</v>
      </c>
      <c r="AJ7091">
        <v>104.951958542997</v>
      </c>
      <c r="AK7091">
        <v>0.168225825474031</v>
      </c>
      <c r="AL7091">
        <v>83.675910786759104</v>
      </c>
      <c r="AM7091">
        <v>94.732737547132302</v>
      </c>
      <c r="AN7091">
        <v>1.00000001422505</v>
      </c>
    </row>
    <row r="7092" spans="1:40" x14ac:dyDescent="0.25">
      <c r="A7092" t="str">
        <f>"20190312164204215"</f>
        <v>20190312164204215</v>
      </c>
      <c r="B7092" t="str">
        <f>"1552380124203418"</f>
        <v>1552380124203418</v>
      </c>
      <c r="C7092" t="s">
        <v>40</v>
      </c>
      <c r="D7092">
        <v>5.9906379999999997</v>
      </c>
      <c r="E7092">
        <v>0.51148190000000004</v>
      </c>
      <c r="F7092" t="s">
        <v>41</v>
      </c>
      <c r="G7092">
        <v>-140.3237</v>
      </c>
      <c r="H7092" s="1">
        <v>-4.2669050000000001E-6</v>
      </c>
      <c r="I7092">
        <v>138.86359999999999</v>
      </c>
      <c r="J7092">
        <v>-149.5872</v>
      </c>
      <c r="K7092">
        <v>1.1039920000000001</v>
      </c>
      <c r="L7092">
        <v>143.0532</v>
      </c>
      <c r="M7092">
        <v>0.88134230000000002</v>
      </c>
      <c r="N7092">
        <v>0</v>
      </c>
      <c r="O7092">
        <v>-0.47224050000000001</v>
      </c>
      <c r="P7092">
        <v>0.9180604</v>
      </c>
      <c r="Q7092">
        <v>9.0671719999999997E-2</v>
      </c>
      <c r="R7092">
        <v>-0.38593280000000002</v>
      </c>
      <c r="S7092">
        <v>2.7704620000000002</v>
      </c>
      <c r="T7092">
        <v>-0.3185366</v>
      </c>
      <c r="U7092">
        <v>-1.2610319999999999</v>
      </c>
      <c r="V7092">
        <v>-9.1929350000000007E-2</v>
      </c>
      <c r="W7092">
        <v>0.1068231</v>
      </c>
      <c r="X7092">
        <v>0.99001910000000004</v>
      </c>
      <c r="Y7092">
        <v>-6.2085990000000001E-2</v>
      </c>
      <c r="Z7092">
        <v>5.2117820000000002E-2</v>
      </c>
      <c r="AA7092">
        <v>0.99670910000000001</v>
      </c>
      <c r="AB7092">
        <v>37</v>
      </c>
      <c r="AC7092">
        <v>9.2634999999999899</v>
      </c>
      <c r="AD7092">
        <v>-1.1039962669050001</v>
      </c>
      <c r="AE7092">
        <v>-4.1896000000000102</v>
      </c>
      <c r="AF7092">
        <v>-0.67425448492770801</v>
      </c>
      <c r="AG7092">
        <v>-1.1039962669050001</v>
      </c>
      <c r="AH7092">
        <v>10.025736467779501</v>
      </c>
      <c r="AI7092">
        <v>96.269828402005103</v>
      </c>
      <c r="AJ7092">
        <v>93.847483068125499</v>
      </c>
      <c r="AK7092">
        <v>10.1088485293405</v>
      </c>
      <c r="AL7092">
        <v>83.867786654456907</v>
      </c>
      <c r="AM7092">
        <v>95.305052514434806</v>
      </c>
      <c r="AN7092">
        <v>0.999999999224921</v>
      </c>
    </row>
    <row r="7093" spans="1:40" x14ac:dyDescent="0.25">
      <c r="A7093" t="str">
        <f>"20190312164204239"</f>
        <v>20190312164204239</v>
      </c>
      <c r="B7093" t="str">
        <f>"1552380124232697"</f>
        <v>1552380124232697</v>
      </c>
      <c r="C7093" t="s">
        <v>40</v>
      </c>
      <c r="D7093">
        <v>5.9860499999999996</v>
      </c>
      <c r="E7093">
        <v>0.51063910000000001</v>
      </c>
      <c r="F7093" t="s">
        <v>41</v>
      </c>
      <c r="G7093">
        <v>-140.2081</v>
      </c>
      <c r="H7093" s="1">
        <v>-4.3122010000000002E-6</v>
      </c>
      <c r="I7093">
        <v>138.8879</v>
      </c>
      <c r="J7093">
        <v>-149.24199999999999</v>
      </c>
      <c r="K7093">
        <v>1.1057809999999999</v>
      </c>
      <c r="L7093">
        <v>142.86789999999999</v>
      </c>
      <c r="M7093">
        <v>0.88133909999999904</v>
      </c>
      <c r="N7093">
        <v>0</v>
      </c>
      <c r="O7093">
        <v>-0.47224919999999998</v>
      </c>
      <c r="P7093">
        <v>0.92212620000000001</v>
      </c>
      <c r="Q7093">
        <v>8.3860019999999993E-2</v>
      </c>
      <c r="R7093">
        <v>-0.37769170000000002</v>
      </c>
      <c r="S7093">
        <v>2.780945</v>
      </c>
      <c r="T7093">
        <v>-0.32733800000000002</v>
      </c>
      <c r="U7093">
        <v>-1.235001</v>
      </c>
      <c r="V7093">
        <v>-0.1016386</v>
      </c>
      <c r="W7093">
        <v>9.9625340000000007E-2</v>
      </c>
      <c r="X7093">
        <v>0.98982040000000004</v>
      </c>
      <c r="Y7093">
        <v>-7.1085830000000003E-2</v>
      </c>
      <c r="Z7093">
        <v>5.3995410000000001E-2</v>
      </c>
      <c r="AA7093">
        <v>0.99600770000000005</v>
      </c>
      <c r="AB7093">
        <v>37</v>
      </c>
      <c r="AC7093">
        <v>9.0339000000000098</v>
      </c>
      <c r="AD7093">
        <v>-1.105785312201</v>
      </c>
      <c r="AE7093">
        <v>-3.97999999999998</v>
      </c>
      <c r="AF7093">
        <v>-0.74920612068218395</v>
      </c>
      <c r="AG7093">
        <v>-1.105785312201</v>
      </c>
      <c r="AH7093">
        <v>9.72060626667656</v>
      </c>
      <c r="AI7093">
        <v>96.470859766414094</v>
      </c>
      <c r="AJ7093">
        <v>94.407302308634897</v>
      </c>
      <c r="AK7093">
        <v>9.8119446166240998</v>
      </c>
      <c r="AL7093">
        <v>84.282403803667407</v>
      </c>
      <c r="AM7093">
        <v>95.862804851261799</v>
      </c>
      <c r="AN7093">
        <v>1.00000001881811</v>
      </c>
    </row>
    <row r="7094" spans="1:40" x14ac:dyDescent="0.25">
      <c r="A7094" t="str">
        <f>"20190312164204261"</f>
        <v>20190312164204261</v>
      </c>
      <c r="B7094" t="str">
        <f>"1552380124253194"</f>
        <v>1552380124253194</v>
      </c>
      <c r="C7094" t="s">
        <v>40</v>
      </c>
      <c r="D7094">
        <v>6.0473939999999997</v>
      </c>
      <c r="E7094">
        <v>0.51025290000000001</v>
      </c>
      <c r="F7094" t="s">
        <v>41</v>
      </c>
      <c r="G7094">
        <v>-140.3201</v>
      </c>
      <c r="H7094" s="1">
        <v>-4.238984E-6</v>
      </c>
      <c r="I7094">
        <v>139.02959999999999</v>
      </c>
      <c r="J7094">
        <v>-148.90549999999999</v>
      </c>
      <c r="K7094">
        <v>1.1075299999999999</v>
      </c>
      <c r="L7094">
        <v>142.68899999999999</v>
      </c>
      <c r="M7094">
        <v>0.88226389999999999</v>
      </c>
      <c r="N7094">
        <v>0</v>
      </c>
      <c r="O7094">
        <v>-0.47052090000000002</v>
      </c>
      <c r="P7094">
        <v>0.92652089999999998</v>
      </c>
      <c r="Q7094">
        <v>7.8646850000000004E-2</v>
      </c>
      <c r="R7094">
        <v>-0.36793150000000002</v>
      </c>
      <c r="S7094">
        <v>2.7927249999999999</v>
      </c>
      <c r="T7094">
        <v>-0.34613290000000002</v>
      </c>
      <c r="U7094">
        <v>-1.2014469999999999</v>
      </c>
      <c r="V7094">
        <v>-0.11081539999999999</v>
      </c>
      <c r="W7094">
        <v>9.3980469999999997E-2</v>
      </c>
      <c r="X7094">
        <v>0.98938749999999998</v>
      </c>
      <c r="Y7094">
        <v>-8.0364169999999999E-2</v>
      </c>
      <c r="Z7094">
        <v>5.739644E-2</v>
      </c>
      <c r="AA7094">
        <v>0.99511170000000004</v>
      </c>
      <c r="AB7094">
        <v>37</v>
      </c>
      <c r="AC7094">
        <v>8.5853999999999893</v>
      </c>
      <c r="AD7094">
        <v>-1.1075342389839999</v>
      </c>
      <c r="AE7094">
        <v>-3.6594000000000002</v>
      </c>
      <c r="AF7094">
        <v>-0.79987837617991098</v>
      </c>
      <c r="AG7094">
        <v>-1.1075342389839999</v>
      </c>
      <c r="AH7094">
        <v>9.1683204335230801</v>
      </c>
      <c r="AI7094">
        <v>96.862145996353405</v>
      </c>
      <c r="AJ7094">
        <v>94.986072051076704</v>
      </c>
      <c r="AK7094">
        <v>9.2695489145351093</v>
      </c>
      <c r="AL7094">
        <v>84.607357509280007</v>
      </c>
      <c r="AM7094">
        <v>96.390724086245001</v>
      </c>
      <c r="AN7094">
        <v>1.0000000033874099</v>
      </c>
    </row>
    <row r="7095" spans="1:40" x14ac:dyDescent="0.25">
      <c r="A7095" t="str">
        <f>"20190312164204303"</f>
        <v>20190312164204303</v>
      </c>
      <c r="B7095" t="str">
        <f>"1552380124293210"</f>
        <v>1552380124293210</v>
      </c>
      <c r="C7095" t="s">
        <v>40</v>
      </c>
      <c r="D7095">
        <v>5.9815180000000003</v>
      </c>
      <c r="E7095">
        <v>0.5095866</v>
      </c>
      <c r="F7095" t="s">
        <v>41</v>
      </c>
      <c r="G7095">
        <v>-140.2824</v>
      </c>
      <c r="H7095" s="1">
        <v>-4.2429310000000003E-6</v>
      </c>
      <c r="I7095">
        <v>139.09870000000001</v>
      </c>
      <c r="J7095">
        <v>-148.3015</v>
      </c>
      <c r="K7095">
        <v>1.1104290000000001</v>
      </c>
      <c r="L7095">
        <v>142.3732</v>
      </c>
      <c r="M7095">
        <v>0.88551489999999999</v>
      </c>
      <c r="N7095">
        <v>0</v>
      </c>
      <c r="O7095">
        <v>-0.4643756</v>
      </c>
      <c r="P7095">
        <v>0.93551530000000005</v>
      </c>
      <c r="Q7095">
        <v>8.3048880000000005E-2</v>
      </c>
      <c r="R7095">
        <v>-0.34338629999999998</v>
      </c>
      <c r="S7095">
        <v>2.8047789999999999</v>
      </c>
      <c r="T7095">
        <v>-0.36023719999999998</v>
      </c>
      <c r="U7095">
        <v>-1.16777</v>
      </c>
      <c r="V7095">
        <v>-0.1304778</v>
      </c>
      <c r="W7095">
        <v>9.7507099999999999E-2</v>
      </c>
      <c r="X7095">
        <v>0.98664479999999999</v>
      </c>
      <c r="Y7095">
        <v>-8.486879E-2</v>
      </c>
      <c r="Z7095">
        <v>5.9283530000000001E-2</v>
      </c>
      <c r="AA7095">
        <v>0.99462689999999998</v>
      </c>
      <c r="AB7095">
        <v>37</v>
      </c>
      <c r="AC7095">
        <v>8.0190999999999999</v>
      </c>
      <c r="AD7095">
        <v>-1.110433242931</v>
      </c>
      <c r="AE7095">
        <v>-3.2744999999999802</v>
      </c>
      <c r="AF7095">
        <v>-0.81101720514108799</v>
      </c>
      <c r="AG7095">
        <v>-1.110433242931</v>
      </c>
      <c r="AH7095">
        <v>8.4831557544888696</v>
      </c>
      <c r="AI7095">
        <v>97.424066277946295</v>
      </c>
      <c r="AJ7095">
        <v>95.461064711174402</v>
      </c>
      <c r="AK7095">
        <v>8.5938781960741508</v>
      </c>
      <c r="AL7095">
        <v>84.404363963368496</v>
      </c>
      <c r="AM7095">
        <v>97.533307506206498</v>
      </c>
      <c r="AN7095">
        <v>1.00000002610514</v>
      </c>
    </row>
    <row r="7096" spans="1:40" x14ac:dyDescent="0.25">
      <c r="A7096" t="str">
        <f>"20190312164204326"</f>
        <v>20190312164204326</v>
      </c>
      <c r="B7096" t="str">
        <f>"1552380124323466"</f>
        <v>1552380124323466</v>
      </c>
      <c r="C7096" t="s">
        <v>40</v>
      </c>
      <c r="D7096">
        <v>5.9847070000000002</v>
      </c>
      <c r="E7096">
        <v>0.50918289999999999</v>
      </c>
      <c r="F7096" t="s">
        <v>41</v>
      </c>
      <c r="G7096">
        <v>-139.0959</v>
      </c>
      <c r="H7096" s="1">
        <v>-5.133145E-7</v>
      </c>
      <c r="I7096">
        <v>138.8092</v>
      </c>
      <c r="J7096">
        <v>-147.9787</v>
      </c>
      <c r="K7096">
        <v>1.1117889999999999</v>
      </c>
      <c r="L7096">
        <v>142.20820000000001</v>
      </c>
      <c r="M7096">
        <v>0.88792199999999999</v>
      </c>
      <c r="N7096">
        <v>0</v>
      </c>
      <c r="O7096">
        <v>-0.45975759999999999</v>
      </c>
      <c r="P7096">
        <v>0.94021909999999997</v>
      </c>
      <c r="Q7096">
        <v>8.9982179999999995E-2</v>
      </c>
      <c r="R7096">
        <v>-0.32846890000000001</v>
      </c>
      <c r="S7096">
        <v>2.8343509999999998</v>
      </c>
      <c r="T7096">
        <v>-0.34189550000000002</v>
      </c>
      <c r="U7096">
        <v>-1.0973360000000001</v>
      </c>
      <c r="V7096">
        <v>-0.1410739</v>
      </c>
      <c r="W7096">
        <v>0.1039231</v>
      </c>
      <c r="X7096">
        <v>0.9845294</v>
      </c>
      <c r="Y7096">
        <v>-0.1049365</v>
      </c>
      <c r="Z7096">
        <v>5.6767520000000002E-2</v>
      </c>
      <c r="AA7096">
        <v>0.9928574</v>
      </c>
      <c r="AB7096">
        <v>36</v>
      </c>
      <c r="AC7096">
        <v>8.8827999999999996</v>
      </c>
      <c r="AD7096">
        <v>-1.1117895133144999</v>
      </c>
      <c r="AE7096">
        <v>-3.399</v>
      </c>
      <c r="AF7096">
        <v>-1.0516335518473301</v>
      </c>
      <c r="AG7096">
        <v>-1.1117895133144999</v>
      </c>
      <c r="AH7096">
        <v>9.3235731414384109</v>
      </c>
      <c r="AI7096">
        <v>96.757675025230895</v>
      </c>
      <c r="AJ7096">
        <v>96.435362623298104</v>
      </c>
      <c r="AK7096">
        <v>9.4483345184767202</v>
      </c>
      <c r="AL7096">
        <v>84.034874686617599</v>
      </c>
      <c r="AM7096">
        <v>98.154444656433199</v>
      </c>
      <c r="AN7096">
        <v>0.99999999771959003</v>
      </c>
    </row>
    <row r="7097" spans="1:40" x14ac:dyDescent="0.25">
      <c r="A7097" t="str">
        <f>"20190312164204348"</f>
        <v>20190312164204348</v>
      </c>
      <c r="B7097" t="str">
        <f>"1552380124342986"</f>
        <v>1552380124342986</v>
      </c>
      <c r="C7097" t="s">
        <v>40</v>
      </c>
      <c r="D7097">
        <v>5.8585599999999998</v>
      </c>
      <c r="E7097">
        <v>0.50891359999999997</v>
      </c>
      <c r="F7097" t="s">
        <v>41</v>
      </c>
      <c r="G7097">
        <v>-137.98220000000001</v>
      </c>
      <c r="H7097" s="1">
        <v>-1.0414629999999999E-6</v>
      </c>
      <c r="I7097">
        <v>138.52529999999999</v>
      </c>
      <c r="J7097">
        <v>-147.6534</v>
      </c>
      <c r="K7097">
        <v>1.1129800000000001</v>
      </c>
      <c r="L7097">
        <v>142.04499999999999</v>
      </c>
      <c r="M7097">
        <v>0.890683</v>
      </c>
      <c r="N7097">
        <v>0</v>
      </c>
      <c r="O7097">
        <v>-0.45438640000000002</v>
      </c>
      <c r="P7097">
        <v>0.94489780000000001</v>
      </c>
      <c r="Q7097">
        <v>9.6854140000000005E-2</v>
      </c>
      <c r="R7097">
        <v>-0.31270969999999998</v>
      </c>
      <c r="S7097">
        <v>2.8538209999999999</v>
      </c>
      <c r="T7097">
        <v>-0.317395599999999</v>
      </c>
      <c r="U7097">
        <v>-1.0513920000000001</v>
      </c>
      <c r="V7097">
        <v>-0.15162039999999999</v>
      </c>
      <c r="W7097">
        <v>0.11025600000000001</v>
      </c>
      <c r="X7097">
        <v>0.98227019999999998</v>
      </c>
      <c r="Y7097">
        <v>-0.1156401</v>
      </c>
      <c r="Z7097">
        <v>5.2650530000000001E-2</v>
      </c>
      <c r="AA7097">
        <v>0.99189479999999997</v>
      </c>
      <c r="AB7097">
        <v>36</v>
      </c>
      <c r="AC7097">
        <v>9.6712000000000007</v>
      </c>
      <c r="AD7097">
        <v>-1.1129810414629999</v>
      </c>
      <c r="AE7097">
        <v>-3.5196999999999998</v>
      </c>
      <c r="AF7097">
        <v>-1.2451000458349299</v>
      </c>
      <c r="AG7097">
        <v>-1.1129810414629999</v>
      </c>
      <c r="AH7097">
        <v>10.096309335290499</v>
      </c>
      <c r="AI7097">
        <v>96.243760505725902</v>
      </c>
      <c r="AJ7097">
        <v>97.030350366881606</v>
      </c>
      <c r="AK7097">
        <v>10.2334971107959</v>
      </c>
      <c r="AL7097">
        <v>83.669926556603897</v>
      </c>
      <c r="AM7097">
        <v>98.774759411119405</v>
      </c>
      <c r="AN7097">
        <v>0.99999993852009805</v>
      </c>
    </row>
    <row r="7098" spans="1:40" x14ac:dyDescent="0.25">
      <c r="A7098" t="str">
        <f>"20190312164204371"</f>
        <v>20190312164204371</v>
      </c>
      <c r="B7098" t="str">
        <f>"1552380124363482"</f>
        <v>1552380124363482</v>
      </c>
      <c r="C7098" t="s">
        <v>40</v>
      </c>
      <c r="D7098">
        <v>5.9218970000000004</v>
      </c>
      <c r="E7098">
        <v>0.50865090000000002</v>
      </c>
      <c r="F7098" t="s">
        <v>41</v>
      </c>
      <c r="G7098">
        <v>-136.78639999999999</v>
      </c>
      <c r="H7098" s="1">
        <v>-1.6048460000000001E-6</v>
      </c>
      <c r="I7098">
        <v>138.2413</v>
      </c>
      <c r="J7098">
        <v>-147.33160000000001</v>
      </c>
      <c r="K7098">
        <v>1.11402</v>
      </c>
      <c r="L7098">
        <v>141.88659999999999</v>
      </c>
      <c r="M7098">
        <v>0.89370849999999902</v>
      </c>
      <c r="N7098">
        <v>0</v>
      </c>
      <c r="O7098">
        <v>-0.44840799999999997</v>
      </c>
      <c r="P7098">
        <v>0.95002830000000005</v>
      </c>
      <c r="Q7098">
        <v>9.6146229999999999E-2</v>
      </c>
      <c r="R7098">
        <v>-0.29698920000000001</v>
      </c>
      <c r="S7098">
        <v>2.8723450000000001</v>
      </c>
      <c r="T7098">
        <v>-0.29417910000000003</v>
      </c>
      <c r="U7098">
        <v>-1.005371</v>
      </c>
      <c r="V7098">
        <v>-0.16164779999999901</v>
      </c>
      <c r="W7098">
        <v>0.10901520000000001</v>
      </c>
      <c r="X7098">
        <v>0.98080869999999998</v>
      </c>
      <c r="Y7098">
        <v>-0.1255336</v>
      </c>
      <c r="Z7098">
        <v>4.866359E-2</v>
      </c>
      <c r="AA7098">
        <v>0.99089519999999998</v>
      </c>
      <c r="AB7098">
        <v>36</v>
      </c>
      <c r="AC7098">
        <v>10.545199999999999</v>
      </c>
      <c r="AD7098">
        <v>-1.1140216048459901</v>
      </c>
      <c r="AE7098">
        <v>-3.64529999999999</v>
      </c>
      <c r="AF7098">
        <v>-1.4563563367030401</v>
      </c>
      <c r="AG7098">
        <v>-1.1140216048459901</v>
      </c>
      <c r="AH7098">
        <v>10.9509370362011</v>
      </c>
      <c r="AI7098">
        <v>95.758274910927994</v>
      </c>
      <c r="AJ7098">
        <v>97.575269419187507</v>
      </c>
      <c r="AK7098">
        <v>11.103379660551999</v>
      </c>
      <c r="AL7098">
        <v>83.741450809092001</v>
      </c>
      <c r="AM7098">
        <v>99.358827939660102</v>
      </c>
      <c r="AN7098">
        <v>1.00000001553578</v>
      </c>
    </row>
    <row r="7099" spans="1:40" x14ac:dyDescent="0.25">
      <c r="A7099" t="str">
        <f>"20190312164204392"</f>
        <v>20190312164204392</v>
      </c>
      <c r="B7099" t="str">
        <f>"1552380124383002"</f>
        <v>1552380124383002</v>
      </c>
      <c r="C7099" t="s">
        <v>40</v>
      </c>
      <c r="D7099">
        <v>5.9171690000000003</v>
      </c>
      <c r="E7099">
        <v>0.50872309999999998</v>
      </c>
      <c r="F7099" t="s">
        <v>41</v>
      </c>
      <c r="G7099">
        <v>-136.42750000000001</v>
      </c>
      <c r="H7099" s="1">
        <v>-1.7511019999999999E-6</v>
      </c>
      <c r="I7099">
        <v>138.28469999999999</v>
      </c>
      <c r="J7099">
        <v>-147.0145</v>
      </c>
      <c r="K7099">
        <v>1.114946</v>
      </c>
      <c r="L7099">
        <v>141.7337</v>
      </c>
      <c r="M7099">
        <v>0.89694569999999996</v>
      </c>
      <c r="N7099">
        <v>0</v>
      </c>
      <c r="O7099">
        <v>-0.4418977</v>
      </c>
      <c r="P7099">
        <v>0.95530000000000004</v>
      </c>
      <c r="Q7099">
        <v>9.0441149999999998E-2</v>
      </c>
      <c r="R7099">
        <v>-0.28146549999999998</v>
      </c>
      <c r="S7099">
        <v>2.8893430000000002</v>
      </c>
      <c r="T7099">
        <v>-0.29518749999999999</v>
      </c>
      <c r="U7099">
        <v>-0.95437620000000001</v>
      </c>
      <c r="V7099">
        <v>-0.17093829999999999</v>
      </c>
      <c r="W7099">
        <v>0.1027928</v>
      </c>
      <c r="X7099">
        <v>0.97990489999999997</v>
      </c>
      <c r="Y7099">
        <v>-0.13578760000000001</v>
      </c>
      <c r="Z7099">
        <v>4.867635E-2</v>
      </c>
      <c r="AA7099">
        <v>0.98954149999999996</v>
      </c>
      <c r="AB7099">
        <v>36</v>
      </c>
      <c r="AC7099">
        <v>10.5869999999999</v>
      </c>
      <c r="AD7099">
        <v>-1.1149477511020001</v>
      </c>
      <c r="AE7099">
        <v>-3.4490000000000101</v>
      </c>
      <c r="AF7099">
        <v>-1.56924122612774</v>
      </c>
      <c r="AG7099">
        <v>-1.1149477511020001</v>
      </c>
      <c r="AH7099">
        <v>10.9118437494852</v>
      </c>
      <c r="AI7099">
        <v>95.775101699038004</v>
      </c>
      <c r="AJ7099">
        <v>98.183644179931093</v>
      </c>
      <c r="AK7099">
        <v>11.080341173747501</v>
      </c>
      <c r="AL7099">
        <v>84.099984469188797</v>
      </c>
      <c r="AM7099">
        <v>99.895319679211994</v>
      </c>
      <c r="AN7099">
        <v>0.99999993759136796</v>
      </c>
    </row>
    <row r="7100" spans="1:40" x14ac:dyDescent="0.25">
      <c r="A7100" t="str">
        <f>"20190312164204415"</f>
        <v>20190312164204415</v>
      </c>
      <c r="B7100" t="str">
        <f>"1552380124413258"</f>
        <v>1552380124413258</v>
      </c>
      <c r="C7100" t="s">
        <v>40</v>
      </c>
      <c r="D7100">
        <v>5.8519249999999996</v>
      </c>
      <c r="E7100">
        <v>0.48133429999999999</v>
      </c>
      <c r="F7100" t="s">
        <v>41</v>
      </c>
      <c r="G7100">
        <v>-136.67240000000001</v>
      </c>
      <c r="H7100" s="1">
        <v>-1.604499E-6</v>
      </c>
      <c r="I7100">
        <v>138.5188</v>
      </c>
      <c r="J7100">
        <v>-146.68899999999999</v>
      </c>
      <c r="K7100">
        <v>1.115834</v>
      </c>
      <c r="L7100">
        <v>141.5805</v>
      </c>
      <c r="M7100">
        <v>0.90050149999999995</v>
      </c>
      <c r="N7100">
        <v>0</v>
      </c>
      <c r="O7100">
        <v>-0.4346061</v>
      </c>
      <c r="P7100">
        <v>0.96032569999999995</v>
      </c>
      <c r="Q7100">
        <v>8.4609649999999995E-2</v>
      </c>
      <c r="R7100">
        <v>-0.26573669999999999</v>
      </c>
      <c r="S7100">
        <v>2.9040530000000002</v>
      </c>
      <c r="T7100">
        <v>-0.31307590000000002</v>
      </c>
      <c r="U7100">
        <v>-0.90274049999999995</v>
      </c>
      <c r="V7100">
        <v>-0.1794637</v>
      </c>
      <c r="W7100">
        <v>9.6445929999999999E-2</v>
      </c>
      <c r="X7100">
        <v>0.97902549999999999</v>
      </c>
      <c r="Y7100">
        <v>-0.14487829999999999</v>
      </c>
      <c r="Z7100">
        <v>5.1342550000000001E-2</v>
      </c>
      <c r="AA7100">
        <v>0.98811649999999995</v>
      </c>
      <c r="AB7100">
        <v>36</v>
      </c>
      <c r="AC7100">
        <v>10.016599999999899</v>
      </c>
      <c r="AD7100">
        <v>-1.1158356044990001</v>
      </c>
      <c r="AE7100">
        <v>-3.0617000000000001</v>
      </c>
      <c r="AF7100">
        <v>-1.5784668211905499</v>
      </c>
      <c r="AG7100">
        <v>-1.1158356044990001</v>
      </c>
      <c r="AH7100">
        <v>10.235541357583401</v>
      </c>
      <c r="AI7100">
        <v>96.149448721828804</v>
      </c>
      <c r="AJ7100">
        <v>98.766766504633907</v>
      </c>
      <c r="AK7100">
        <v>10.4164750988358</v>
      </c>
      <c r="AL7100">
        <v>84.465452219882806</v>
      </c>
      <c r="AM7100">
        <v>100.387481466522</v>
      </c>
      <c r="AN7100">
        <v>0.99999998334075202</v>
      </c>
    </row>
    <row r="7101" spans="1:40" x14ac:dyDescent="0.25">
      <c r="A7101" t="str">
        <f>"20190312164204440"</f>
        <v>20190312164204440</v>
      </c>
      <c r="B7101" t="str">
        <f>"1552380124432778"</f>
        <v>1552380124432778</v>
      </c>
      <c r="C7101" t="s">
        <v>40</v>
      </c>
      <c r="D7101">
        <v>5.9501299999999997</v>
      </c>
      <c r="E7101">
        <v>0.47796509999999998</v>
      </c>
      <c r="F7101" t="s">
        <v>41</v>
      </c>
      <c r="G7101">
        <v>-134.75460000000001</v>
      </c>
      <c r="H7101" s="1">
        <v>-2.3420659999999999E-6</v>
      </c>
      <c r="I7101">
        <v>138.9991</v>
      </c>
      <c r="J7101">
        <v>-146.3322</v>
      </c>
      <c r="K7101">
        <v>1.1167229999999999</v>
      </c>
      <c r="L7101">
        <v>141.41720000000001</v>
      </c>
      <c r="M7101">
        <v>0.90464339999999999</v>
      </c>
      <c r="N7101">
        <v>0</v>
      </c>
      <c r="O7101">
        <v>-0.42591709999999999</v>
      </c>
      <c r="P7101">
        <v>0.96469649999999996</v>
      </c>
      <c r="Q7101">
        <v>8.0840019999999999E-2</v>
      </c>
      <c r="R7101">
        <v>-0.25065009999999999</v>
      </c>
      <c r="S7101">
        <v>2.970596</v>
      </c>
      <c r="T7101">
        <v>-0.27774169999999998</v>
      </c>
      <c r="U7101">
        <v>-0.6425476</v>
      </c>
      <c r="V7101">
        <v>-0.1856814</v>
      </c>
      <c r="W7101">
        <v>9.2175889999999996E-2</v>
      </c>
      <c r="X7101">
        <v>0.97827710000000001</v>
      </c>
      <c r="Y7101">
        <v>-0.2225066</v>
      </c>
      <c r="Z7101">
        <v>4.8130340000000001E-2</v>
      </c>
      <c r="AA7101">
        <v>0.97374240000000001</v>
      </c>
      <c r="AB7101">
        <v>36</v>
      </c>
      <c r="AC7101">
        <v>11.577599999999901</v>
      </c>
      <c r="AD7101">
        <v>-1.1167253420659999</v>
      </c>
      <c r="AE7101">
        <v>-2.4180999999999999</v>
      </c>
      <c r="AF7101">
        <v>-2.7196295291610002</v>
      </c>
      <c r="AG7101">
        <v>-1.1167253420659999</v>
      </c>
      <c r="AH7101">
        <v>11.4030896636379</v>
      </c>
      <c r="AI7101">
        <v>95.441576003265297</v>
      </c>
      <c r="AJ7101">
        <v>103.414407770002</v>
      </c>
      <c r="AK7101">
        <v>11.775988881723</v>
      </c>
      <c r="AL7101">
        <v>84.7112033004598</v>
      </c>
      <c r="AM7101">
        <v>100.747155890698</v>
      </c>
      <c r="AN7101">
        <v>1.0000000306938299</v>
      </c>
    </row>
    <row r="7102" spans="1:40" x14ac:dyDescent="0.25">
      <c r="A7102" t="str">
        <f>"20190312164204462"</f>
        <v>20190312164204462</v>
      </c>
      <c r="B7102" t="str">
        <f>"1552380124453274"</f>
        <v>1552380124453274</v>
      </c>
      <c r="C7102" t="s">
        <v>40</v>
      </c>
      <c r="D7102">
        <v>5.9135799999999996</v>
      </c>
      <c r="E7102">
        <v>0.47735379999999999</v>
      </c>
      <c r="F7102" t="s">
        <v>41</v>
      </c>
      <c r="G7102">
        <v>-134.649</v>
      </c>
      <c r="H7102" s="1">
        <v>-2.3516749999999998E-6</v>
      </c>
      <c r="I7102">
        <v>139.20009999999999</v>
      </c>
      <c r="J7102">
        <v>-146.00620000000001</v>
      </c>
      <c r="K7102">
        <v>1.117469</v>
      </c>
      <c r="L7102">
        <v>141.27250000000001</v>
      </c>
      <c r="M7102">
        <v>0.90863070000000001</v>
      </c>
      <c r="N7102">
        <v>0</v>
      </c>
      <c r="O7102">
        <v>-0.41734260000000001</v>
      </c>
      <c r="P7102">
        <v>0.96834620000000005</v>
      </c>
      <c r="Q7102">
        <v>7.6785939999999997E-2</v>
      </c>
      <c r="R7102">
        <v>-0.23750760000000001</v>
      </c>
      <c r="S7102">
        <v>2.98645</v>
      </c>
      <c r="T7102">
        <v>-0.28545520000000002</v>
      </c>
      <c r="U7102">
        <v>-0.56671139999999998</v>
      </c>
      <c r="V7102">
        <v>-0.18997240000000001</v>
      </c>
      <c r="W7102">
        <v>8.7719389999999994E-2</v>
      </c>
      <c r="X7102">
        <v>0.97786280000000003</v>
      </c>
      <c r="Y7102">
        <v>-0.2379116</v>
      </c>
      <c r="Z7102">
        <v>4.9376759999999999E-2</v>
      </c>
      <c r="AA7102">
        <v>0.97003090000000003</v>
      </c>
      <c r="AB7102">
        <v>36</v>
      </c>
      <c r="AC7102">
        <v>11.357200000000001</v>
      </c>
      <c r="AD7102">
        <v>-1.1174713516749999</v>
      </c>
      <c r="AE7102">
        <v>-2.0724000000000098</v>
      </c>
      <c r="AF7102">
        <v>-2.83058437921233</v>
      </c>
      <c r="AG7102">
        <v>-1.1174713516749999</v>
      </c>
      <c r="AH7102">
        <v>11.081778160086801</v>
      </c>
      <c r="AI7102">
        <v>95.580190971206306</v>
      </c>
      <c r="AJ7102">
        <v>104.32851635621699</v>
      </c>
      <c r="AK7102">
        <v>11.4920301661208</v>
      </c>
      <c r="AL7102">
        <v>84.967580873251194</v>
      </c>
      <c r="AM7102">
        <v>100.994078772352</v>
      </c>
      <c r="AN7102">
        <v>0.99999992988378295</v>
      </c>
    </row>
    <row r="7103" spans="1:40" x14ac:dyDescent="0.25">
      <c r="A7103" t="str">
        <f>"20190312164204486"</f>
        <v>20190312164204486</v>
      </c>
      <c r="B7103" t="str">
        <f>"1552380124483530"</f>
        <v>1552380124483530</v>
      </c>
      <c r="C7103" t="s">
        <v>40</v>
      </c>
      <c r="D7103">
        <v>5.7510589999999997</v>
      </c>
      <c r="E7103">
        <v>0.47774179999999999</v>
      </c>
      <c r="F7103" t="s">
        <v>41</v>
      </c>
      <c r="G7103">
        <v>-134.75210000000001</v>
      </c>
      <c r="H7103" s="1">
        <v>-2.2861450000000002E-6</v>
      </c>
      <c r="I7103">
        <v>139.3203</v>
      </c>
      <c r="J7103">
        <v>-145.65049999999999</v>
      </c>
      <c r="K7103">
        <v>1.1181950000000001</v>
      </c>
      <c r="L7103">
        <v>141.11940000000001</v>
      </c>
      <c r="M7103">
        <v>0.91312550000000003</v>
      </c>
      <c r="N7103">
        <v>0</v>
      </c>
      <c r="O7103">
        <v>-0.40741250000000001</v>
      </c>
      <c r="P7103">
        <v>0.97185010000000005</v>
      </c>
      <c r="Q7103">
        <v>7.3882980000000001E-2</v>
      </c>
      <c r="R7103">
        <v>-0.2237169</v>
      </c>
      <c r="S7103">
        <v>2.9942630000000001</v>
      </c>
      <c r="T7103">
        <v>-0.29731239999999998</v>
      </c>
      <c r="U7103">
        <v>-0.51937869999999997</v>
      </c>
      <c r="V7103">
        <v>-0.19340869999999999</v>
      </c>
      <c r="W7103">
        <v>8.4440490000000007E-2</v>
      </c>
      <c r="X7103">
        <v>0.97747779999999995</v>
      </c>
      <c r="Y7103">
        <v>-0.242425</v>
      </c>
      <c r="Z7103">
        <v>5.072571E-2</v>
      </c>
      <c r="AA7103">
        <v>0.96884320000000002</v>
      </c>
      <c r="AB7103">
        <v>36</v>
      </c>
      <c r="AC7103">
        <v>10.898399999999899</v>
      </c>
      <c r="AD7103">
        <v>-1.118197286145</v>
      </c>
      <c r="AE7103">
        <v>-1.7991000000000099</v>
      </c>
      <c r="AF7103">
        <v>-2.7692645534793598</v>
      </c>
      <c r="AG7103">
        <v>-1.118197286145</v>
      </c>
      <c r="AH7103">
        <v>10.5773460327619</v>
      </c>
      <c r="AI7103">
        <v>95.839298509789501</v>
      </c>
      <c r="AJ7103">
        <v>104.671360692726</v>
      </c>
      <c r="AK7103">
        <v>10.990879875364101</v>
      </c>
      <c r="AL7103">
        <v>85.156148292139306</v>
      </c>
      <c r="AM7103">
        <v>101.192265810831</v>
      </c>
      <c r="AN7103">
        <v>0.99999998553998404</v>
      </c>
    </row>
    <row r="7104" spans="1:40" x14ac:dyDescent="0.25">
      <c r="A7104" t="str">
        <f>"20190312164204505"</f>
        <v>20190312164204505</v>
      </c>
      <c r="B7104" t="str">
        <f>"1552380124493290"</f>
        <v>1552380124493290</v>
      </c>
      <c r="C7104" t="s">
        <v>40</v>
      </c>
      <c r="D7104">
        <v>5.8657349999999999</v>
      </c>
      <c r="E7104">
        <v>0.47797820000000002</v>
      </c>
      <c r="F7104" t="s">
        <v>41</v>
      </c>
      <c r="G7104">
        <v>-134.4956</v>
      </c>
      <c r="H7104" s="1">
        <v>-2.392902E-6</v>
      </c>
      <c r="I7104">
        <v>139.33869999999999</v>
      </c>
      <c r="J7104">
        <v>-145.3629</v>
      </c>
      <c r="K7104">
        <v>1.118733</v>
      </c>
      <c r="L7104">
        <v>140.99940000000001</v>
      </c>
      <c r="M7104">
        <v>0.91684279999999996</v>
      </c>
      <c r="N7104">
        <v>0</v>
      </c>
      <c r="O7104">
        <v>-0.398976</v>
      </c>
      <c r="P7104">
        <v>0.97455559999999997</v>
      </c>
      <c r="Q7104">
        <v>7.3953720000000001E-2</v>
      </c>
      <c r="R7104">
        <v>-0.21159510000000001</v>
      </c>
      <c r="S7104">
        <v>2.9995419999999999</v>
      </c>
      <c r="T7104">
        <v>-0.30068329999999999</v>
      </c>
      <c r="U7104">
        <v>-0.47883609999999999</v>
      </c>
      <c r="V7104">
        <v>-0.19668250000000001</v>
      </c>
      <c r="W7104">
        <v>8.4213839999999998E-2</v>
      </c>
      <c r="X7104">
        <v>0.97684389999999999</v>
      </c>
      <c r="Y7104">
        <v>-0.2464616</v>
      </c>
      <c r="Z7104">
        <v>5.0726779999999999E-2</v>
      </c>
      <c r="AA7104">
        <v>0.96782409999999996</v>
      </c>
      <c r="AB7104">
        <v>36</v>
      </c>
      <c r="AC7104">
        <v>10.8673</v>
      </c>
      <c r="AD7104">
        <v>-1.1187353929019901</v>
      </c>
      <c r="AE7104">
        <v>-1.6607000000000101</v>
      </c>
      <c r="AF7104">
        <v>-2.7846593994510802</v>
      </c>
      <c r="AG7104">
        <v>-1.1187353929019901</v>
      </c>
      <c r="AH7104">
        <v>10.518413436891301</v>
      </c>
      <c r="AI7104">
        <v>95.870385421976906</v>
      </c>
      <c r="AJ7104">
        <v>104.828381203284</v>
      </c>
      <c r="AK7104">
        <v>10.9381405220293</v>
      </c>
      <c r="AL7104">
        <v>85.169180826523004</v>
      </c>
      <c r="AM7104">
        <v>101.38400452808401</v>
      </c>
      <c r="AN7104">
        <v>0.99999999081050195</v>
      </c>
    </row>
    <row r="7105" spans="1:40" x14ac:dyDescent="0.25">
      <c r="A7105" t="str">
        <f>"20190312164204527"</f>
        <v>20190312164204527</v>
      </c>
      <c r="B7105" t="str">
        <f>"1552380124523546"</f>
        <v>1552380124523546</v>
      </c>
      <c r="C7105" t="s">
        <v>40</v>
      </c>
      <c r="D7105">
        <v>5.8742109999999998</v>
      </c>
      <c r="E7105">
        <v>0.47909410000000002</v>
      </c>
      <c r="F7105" t="s">
        <v>41</v>
      </c>
      <c r="G7105">
        <v>-134.1549</v>
      </c>
      <c r="H7105" s="1">
        <v>-2.5383010000000001E-6</v>
      </c>
      <c r="I7105">
        <v>139.34309999999999</v>
      </c>
      <c r="J7105">
        <v>-145.0471</v>
      </c>
      <c r="K7105">
        <v>1.1192850000000001</v>
      </c>
      <c r="L7105">
        <v>140.8715</v>
      </c>
      <c r="M7105">
        <v>0.92099799999999998</v>
      </c>
      <c r="N7105">
        <v>0</v>
      </c>
      <c r="O7105">
        <v>-0.38928610000000002</v>
      </c>
      <c r="P7105">
        <v>0.97720469999999904</v>
      </c>
      <c r="Q7105">
        <v>7.6606560000000004E-2</v>
      </c>
      <c r="R7105">
        <v>-0.19799639999999999</v>
      </c>
      <c r="S7105">
        <v>3.0047000000000001</v>
      </c>
      <c r="T7105">
        <v>-0.29991459999999998</v>
      </c>
      <c r="U7105">
        <v>-0.44401550000000001</v>
      </c>
      <c r="V7105">
        <v>-0.20008590000000001</v>
      </c>
      <c r="W7105">
        <v>8.6561289999999999E-2</v>
      </c>
      <c r="X7105">
        <v>0.97594709999999996</v>
      </c>
      <c r="Y7105">
        <v>-0.2475185</v>
      </c>
      <c r="Z7105">
        <v>4.9748960000000002E-2</v>
      </c>
      <c r="AA7105">
        <v>0.9676051</v>
      </c>
      <c r="AB7105">
        <v>36</v>
      </c>
      <c r="AC7105">
        <v>10.892200000000001</v>
      </c>
      <c r="AD7105">
        <v>-1.1192875383009999</v>
      </c>
      <c r="AE7105">
        <v>-1.5284</v>
      </c>
      <c r="AF7105">
        <v>-2.8038033006910998</v>
      </c>
      <c r="AG7105">
        <v>-1.1192875383009999</v>
      </c>
      <c r="AH7105">
        <v>10.5189113568187</v>
      </c>
      <c r="AI7105">
        <v>95.870371444567297</v>
      </c>
      <c r="AJ7105">
        <v>104.925112594767</v>
      </c>
      <c r="AK7105">
        <v>10.943564943608299</v>
      </c>
      <c r="AL7105">
        <v>85.034188761564295</v>
      </c>
      <c r="AM7105">
        <v>101.586069609783</v>
      </c>
      <c r="AN7105">
        <v>0.99999998315184102</v>
      </c>
    </row>
    <row r="7106" spans="1:40" x14ac:dyDescent="0.25">
      <c r="A7106" t="str">
        <f>"20190312164204549"</f>
        <v>20190312164204549</v>
      </c>
      <c r="B7106" t="str">
        <f>"1552380124543066"</f>
        <v>1552380124543066</v>
      </c>
      <c r="C7106" t="s">
        <v>40</v>
      </c>
      <c r="D7106">
        <v>5.8669909999999996</v>
      </c>
      <c r="E7106">
        <v>0.47989389999999998</v>
      </c>
      <c r="F7106" t="s">
        <v>41</v>
      </c>
      <c r="G7106">
        <v>-133.3964</v>
      </c>
      <c r="H7106" s="1">
        <v>-2.8753880000000001E-6</v>
      </c>
      <c r="I7106">
        <v>139.27709999999999</v>
      </c>
      <c r="J7106">
        <v>-144.7114</v>
      </c>
      <c r="K7106">
        <v>1.119818</v>
      </c>
      <c r="L7106">
        <v>140.74019999999999</v>
      </c>
      <c r="M7106">
        <v>0.92546859999999997</v>
      </c>
      <c r="N7106">
        <v>0</v>
      </c>
      <c r="O7106">
        <v>-0.37853330000000002</v>
      </c>
      <c r="P7106">
        <v>0.97966730000000002</v>
      </c>
      <c r="Q7106">
        <v>7.9272579999999995E-2</v>
      </c>
      <c r="R7106">
        <v>-0.18430489999999999</v>
      </c>
      <c r="S7106">
        <v>3.009201</v>
      </c>
      <c r="T7106">
        <v>-0.2890954</v>
      </c>
      <c r="U7106">
        <v>-0.41180420000000001</v>
      </c>
      <c r="V7106">
        <v>-0.2024716</v>
      </c>
      <c r="W7106">
        <v>8.8956709999999994E-2</v>
      </c>
      <c r="X7106">
        <v>0.97523950000000004</v>
      </c>
      <c r="Y7106">
        <v>-0.2468612</v>
      </c>
      <c r="Z7106">
        <v>4.696707E-2</v>
      </c>
      <c r="AA7106">
        <v>0.96791199999999999</v>
      </c>
      <c r="AB7106">
        <v>36</v>
      </c>
      <c r="AC7106">
        <v>11.3149999999999</v>
      </c>
      <c r="AD7106">
        <v>-1.1198208753879999</v>
      </c>
      <c r="AE7106">
        <v>-1.4630999999999901</v>
      </c>
      <c r="AF7106">
        <v>-2.9014230131955299</v>
      </c>
      <c r="AG7106">
        <v>-1.1198208753879999</v>
      </c>
      <c r="AH7106">
        <v>10.921511569042</v>
      </c>
      <c r="AI7106">
        <v>95.659318266105799</v>
      </c>
      <c r="AJ7106">
        <v>104.87762500000299</v>
      </c>
      <c r="AK7106">
        <v>11.3556888495226</v>
      </c>
      <c r="AL7106">
        <v>84.896410093377597</v>
      </c>
      <c r="AM7106">
        <v>101.728683033105</v>
      </c>
      <c r="AN7106">
        <v>1.0000000637104101</v>
      </c>
    </row>
    <row r="7107" spans="1:40" x14ac:dyDescent="0.25">
      <c r="A7107" t="str">
        <f>"20190312164204571"</f>
        <v>20190312164204571</v>
      </c>
      <c r="B7107" t="str">
        <f>"1552380124563562"</f>
        <v>1552380124563562</v>
      </c>
      <c r="C7107" t="s">
        <v>40</v>
      </c>
      <c r="D7107">
        <v>5.9301309999999896</v>
      </c>
      <c r="E7107">
        <v>0.48062120000000003</v>
      </c>
      <c r="F7107" t="s">
        <v>41</v>
      </c>
      <c r="G7107">
        <v>-132.61920000000001</v>
      </c>
      <c r="H7107" s="1">
        <v>-3.2178279999999998E-6</v>
      </c>
      <c r="I7107">
        <v>139.22620000000001</v>
      </c>
      <c r="J7107">
        <v>-144.38890000000001</v>
      </c>
      <c r="K7107">
        <v>1.120279</v>
      </c>
      <c r="L7107">
        <v>140.61859999999999</v>
      </c>
      <c r="M7107">
        <v>0.92978729999999998</v>
      </c>
      <c r="N7107">
        <v>0</v>
      </c>
      <c r="O7107">
        <v>-0.3677956</v>
      </c>
      <c r="P7107">
        <v>0.98197590000000001</v>
      </c>
      <c r="Q7107">
        <v>8.0248669999999994E-2</v>
      </c>
      <c r="R7107">
        <v>-0.1711242</v>
      </c>
      <c r="S7107">
        <v>3.013855</v>
      </c>
      <c r="T7107">
        <v>-0.27910359999999901</v>
      </c>
      <c r="U7107">
        <v>-0.37733460000000002</v>
      </c>
      <c r="V7107">
        <v>-0.20438629999999999</v>
      </c>
      <c r="W7107">
        <v>8.9704709999999993E-2</v>
      </c>
      <c r="X7107">
        <v>0.97477139999999995</v>
      </c>
      <c r="Y7107">
        <v>-0.24696199999999999</v>
      </c>
      <c r="Z7107">
        <v>4.441933E-2</v>
      </c>
      <c r="AA7107">
        <v>0.96800660000000005</v>
      </c>
      <c r="AB7107">
        <v>36</v>
      </c>
      <c r="AC7107">
        <v>11.7697</v>
      </c>
      <c r="AD7107">
        <v>-1.1202822178280001</v>
      </c>
      <c r="AE7107">
        <v>-1.3923999999999801</v>
      </c>
      <c r="AF7107">
        <v>-3.0076717117042202</v>
      </c>
      <c r="AG7107">
        <v>-1.1202822178280001</v>
      </c>
      <c r="AH7107">
        <v>11.355250174240499</v>
      </c>
      <c r="AI7107">
        <v>95.447763255695406</v>
      </c>
      <c r="AJ7107">
        <v>104.835298237532</v>
      </c>
      <c r="AK7107">
        <v>11.8001198253474</v>
      </c>
      <c r="AL7107">
        <v>84.853380433436001</v>
      </c>
      <c r="AM7107">
        <v>101.842005645336</v>
      </c>
      <c r="AN7107">
        <v>0.99999998844091698</v>
      </c>
    </row>
    <row r="7108" spans="1:40" x14ac:dyDescent="0.25">
      <c r="A7108" t="str">
        <f>"20190312164204593"</f>
        <v>20190312164204593</v>
      </c>
      <c r="B7108" t="str">
        <f>"1552380124583082"</f>
        <v>1552380124583082</v>
      </c>
      <c r="C7108" t="s">
        <v>40</v>
      </c>
      <c r="D7108">
        <v>5.9271659999999997</v>
      </c>
      <c r="E7108">
        <v>0.4809621</v>
      </c>
      <c r="F7108" t="s">
        <v>41</v>
      </c>
      <c r="G7108">
        <v>-132.09469999999999</v>
      </c>
      <c r="H7108" s="1">
        <v>-3.443349E-6</v>
      </c>
      <c r="I7108">
        <v>139.22329999999999</v>
      </c>
      <c r="J7108">
        <v>-144.0573</v>
      </c>
      <c r="K7108">
        <v>1.120708</v>
      </c>
      <c r="L7108">
        <v>140.4982</v>
      </c>
      <c r="M7108">
        <v>0.9342201</v>
      </c>
      <c r="N7108">
        <v>0</v>
      </c>
      <c r="O7108">
        <v>-0.35638320000000001</v>
      </c>
      <c r="P7108">
        <v>0.98447490000000004</v>
      </c>
      <c r="Q7108">
        <v>8.0023549999999999E-2</v>
      </c>
      <c r="R7108">
        <v>-0.1562231</v>
      </c>
      <c r="S7108">
        <v>3.0178530000000001</v>
      </c>
      <c r="T7108">
        <v>-0.27499590000000002</v>
      </c>
      <c r="U7108">
        <v>-0.34249879999999999</v>
      </c>
      <c r="V7108">
        <v>-0.2073229</v>
      </c>
      <c r="W7108">
        <v>8.923739E-2</v>
      </c>
      <c r="X7108">
        <v>0.974194</v>
      </c>
      <c r="Y7108">
        <v>-0.2463968</v>
      </c>
      <c r="Z7108">
        <v>4.2765350000000001E-2</v>
      </c>
      <c r="AA7108">
        <v>0.96822509999999995</v>
      </c>
      <c r="AB7108">
        <v>36</v>
      </c>
      <c r="AC7108">
        <v>11.9626</v>
      </c>
      <c r="AD7108">
        <v>-1.120711443349</v>
      </c>
      <c r="AE7108">
        <v>-1.2748999999999999</v>
      </c>
      <c r="AF7108">
        <v>-3.0461411957562898</v>
      </c>
      <c r="AG7108">
        <v>-1.120711443349</v>
      </c>
      <c r="AH7108">
        <v>11.531284813570901</v>
      </c>
      <c r="AI7108">
        <v>95.368064395787101</v>
      </c>
      <c r="AJ7108">
        <v>104.797419151808</v>
      </c>
      <c r="AK7108">
        <v>11.979378104702599</v>
      </c>
      <c r="AL7108">
        <v>84.880263893256497</v>
      </c>
      <c r="AM7108">
        <v>102.014155561932</v>
      </c>
      <c r="AN7108">
        <v>1.0000000231372099</v>
      </c>
    </row>
    <row r="7109" spans="1:40" x14ac:dyDescent="0.25">
      <c r="A7109" t="str">
        <f>"20190312164204617"</f>
        <v>20190312164204617</v>
      </c>
      <c r="B7109" t="str">
        <f>"1552380124613339"</f>
        <v>1552380124613339</v>
      </c>
      <c r="C7109" t="s">
        <v>40</v>
      </c>
      <c r="D7109">
        <v>5.8789379999999998</v>
      </c>
      <c r="E7109">
        <v>0.4874889</v>
      </c>
      <c r="F7109" t="s">
        <v>41</v>
      </c>
      <c r="G7109">
        <v>-131.75620000000001</v>
      </c>
      <c r="H7109" s="1">
        <v>-3.5786969999999998E-6</v>
      </c>
      <c r="I7109">
        <v>139.279</v>
      </c>
      <c r="J7109">
        <v>-143.7192</v>
      </c>
      <c r="K7109">
        <v>1.1210869999999999</v>
      </c>
      <c r="L7109">
        <v>140.38040000000001</v>
      </c>
      <c r="M7109">
        <v>0.93869979999999997</v>
      </c>
      <c r="N7109">
        <v>0</v>
      </c>
      <c r="O7109">
        <v>-0.3444082</v>
      </c>
      <c r="P7109">
        <v>0.98699740000000002</v>
      </c>
      <c r="Q7109">
        <v>7.8079830000000003E-2</v>
      </c>
      <c r="R7109">
        <v>-0.1404986</v>
      </c>
      <c r="S7109">
        <v>3.0221559999999998</v>
      </c>
      <c r="T7109">
        <v>-0.27533780000000002</v>
      </c>
      <c r="U7109">
        <v>-0.29954530000000001</v>
      </c>
      <c r="V7109">
        <v>-0.2104982</v>
      </c>
      <c r="W7109">
        <v>8.7059129999999998E-2</v>
      </c>
      <c r="X7109">
        <v>0.97371010000000002</v>
      </c>
      <c r="Y7109">
        <v>-0.2478061</v>
      </c>
      <c r="Z7109">
        <v>4.1852680000000003E-2</v>
      </c>
      <c r="AA7109">
        <v>0.96790520000000002</v>
      </c>
      <c r="AB7109">
        <v>36</v>
      </c>
      <c r="AC7109">
        <v>11.9629999999999</v>
      </c>
      <c r="AD7109">
        <v>-1.121090578697</v>
      </c>
      <c r="AE7109">
        <v>-1.1014000000000099</v>
      </c>
      <c r="AF7109">
        <v>-3.0599723608149798</v>
      </c>
      <c r="AG7109">
        <v>-1.121090578697</v>
      </c>
      <c r="AH7109">
        <v>11.5100734089282</v>
      </c>
      <c r="AI7109">
        <v>95.377472107125001</v>
      </c>
      <c r="AJ7109">
        <v>104.887813183334</v>
      </c>
      <c r="AK7109">
        <v>11.962527526133799</v>
      </c>
      <c r="AL7109">
        <v>85.005556982258796</v>
      </c>
      <c r="AM7109">
        <v>102.198573517391</v>
      </c>
      <c r="AN7109">
        <v>1.0000000715808</v>
      </c>
    </row>
    <row r="7110" spans="1:40" x14ac:dyDescent="0.25">
      <c r="A7110" t="str">
        <f>"20190312164204642"</f>
        <v>20190312164204642</v>
      </c>
      <c r="B7110" t="str">
        <f>"1552380124632858"</f>
        <v>1552380124632858</v>
      </c>
      <c r="C7110" t="s">
        <v>40</v>
      </c>
      <c r="D7110">
        <v>5.8944710000000002</v>
      </c>
      <c r="E7110">
        <v>0.48973899999999998</v>
      </c>
      <c r="F7110" t="s">
        <v>41</v>
      </c>
      <c r="G7110">
        <v>-134.6985</v>
      </c>
      <c r="H7110" s="1">
        <v>-2.2803259999999999E-6</v>
      </c>
      <c r="I7110">
        <v>139.48259999999999</v>
      </c>
      <c r="J7110">
        <v>-143.34450000000001</v>
      </c>
      <c r="K7110">
        <v>1.1214280000000001</v>
      </c>
      <c r="L7110">
        <v>140.2561</v>
      </c>
      <c r="M7110">
        <v>0.94358280000000005</v>
      </c>
      <c r="N7110">
        <v>0</v>
      </c>
      <c r="O7110">
        <v>-0.3307929</v>
      </c>
      <c r="P7110">
        <v>0.9893942</v>
      </c>
      <c r="Q7110">
        <v>7.5644520000000007E-2</v>
      </c>
      <c r="R7110">
        <v>-0.1240047</v>
      </c>
      <c r="S7110">
        <v>3.0263979999999999</v>
      </c>
      <c r="T7110">
        <v>-0.37612089999999998</v>
      </c>
      <c r="U7110">
        <v>-0.30122379999999999</v>
      </c>
      <c r="V7110">
        <v>-0.21274299999999999</v>
      </c>
      <c r="W7110">
        <v>8.4428130000000004E-2</v>
      </c>
      <c r="X7110">
        <v>0.97345380000000004</v>
      </c>
      <c r="Y7110">
        <v>-0.23156209999999999</v>
      </c>
      <c r="Z7110">
        <v>5.4397960000000002E-2</v>
      </c>
      <c r="AA7110">
        <v>0.97129799999999999</v>
      </c>
      <c r="AB7110">
        <v>36</v>
      </c>
      <c r="AC7110">
        <v>8.6460000000000097</v>
      </c>
      <c r="AD7110">
        <v>-1.1214302803259999</v>
      </c>
      <c r="AE7110">
        <v>-0.77350000000001196</v>
      </c>
      <c r="AF7110">
        <v>-2.09544391918512</v>
      </c>
      <c r="AG7110">
        <v>-1.1214302803259999</v>
      </c>
      <c r="AH7110">
        <v>8.2769025854652298</v>
      </c>
      <c r="AI7110">
        <v>97.482696870409299</v>
      </c>
      <c r="AJ7110">
        <v>104.206932286406</v>
      </c>
      <c r="AK7110">
        <v>8.6113650196332401</v>
      </c>
      <c r="AL7110">
        <v>85.156859061347106</v>
      </c>
      <c r="AM7110">
        <v>102.327851663178</v>
      </c>
      <c r="AN7110">
        <v>0.99999999695936803</v>
      </c>
    </row>
    <row r="7111" spans="1:40" x14ac:dyDescent="0.25">
      <c r="A7111" t="str">
        <f>"20190312164204664"</f>
        <v>20190312164204664</v>
      </c>
      <c r="B7111" t="str">
        <f>"1552380124653458"</f>
        <v>1552380124653458</v>
      </c>
      <c r="C7111" t="s">
        <v>40</v>
      </c>
      <c r="D7111">
        <v>5.9159050000000004</v>
      </c>
      <c r="E7111">
        <v>0.49127490000000001</v>
      </c>
      <c r="F7111" t="s">
        <v>41</v>
      </c>
      <c r="G7111">
        <v>-132.11949999999999</v>
      </c>
      <c r="H7111" s="1">
        <v>-3.4280890000000002E-6</v>
      </c>
      <c r="I7111">
        <v>139.24940000000001</v>
      </c>
      <c r="J7111">
        <v>-143.00989999999999</v>
      </c>
      <c r="K7111">
        <v>1.121678</v>
      </c>
      <c r="L7111">
        <v>140.15029999999999</v>
      </c>
      <c r="M7111">
        <v>0.94783779999999995</v>
      </c>
      <c r="N7111">
        <v>0</v>
      </c>
      <c r="O7111">
        <v>-0.31839339999999999</v>
      </c>
      <c r="P7111">
        <v>0.99125200000000002</v>
      </c>
      <c r="Q7111">
        <v>7.2844839999999994E-2</v>
      </c>
      <c r="R7111">
        <v>-0.11006100000000001</v>
      </c>
      <c r="S7111">
        <v>3.0212859999999999</v>
      </c>
      <c r="T7111">
        <v>-0.30183989999999999</v>
      </c>
      <c r="U7111">
        <v>-0.27096559999999997</v>
      </c>
      <c r="V7111">
        <v>-0.21373420000000001</v>
      </c>
      <c r="W7111">
        <v>8.1505220000000003E-2</v>
      </c>
      <c r="X7111">
        <v>0.97348579999999996</v>
      </c>
      <c r="Y7111">
        <v>-0.22983339999999999</v>
      </c>
      <c r="Z7111">
        <v>4.2564100000000001E-2</v>
      </c>
      <c r="AA7111">
        <v>0.97229880000000002</v>
      </c>
      <c r="AB7111">
        <v>36</v>
      </c>
      <c r="AC7111">
        <v>10.8904</v>
      </c>
      <c r="AD7111">
        <v>-1.121681428089</v>
      </c>
      <c r="AE7111">
        <v>-0.90089999999997805</v>
      </c>
      <c r="AF7111">
        <v>-2.58657092830004</v>
      </c>
      <c r="AG7111">
        <v>-1.121681428089</v>
      </c>
      <c r="AH7111">
        <v>10.499760158677899</v>
      </c>
      <c r="AI7111">
        <v>95.922007242421799</v>
      </c>
      <c r="AJ7111">
        <v>103.83901576284499</v>
      </c>
      <c r="AK7111">
        <v>10.8716825644886</v>
      </c>
      <c r="AL7111">
        <v>85.324908953991198</v>
      </c>
      <c r="AM7111">
        <v>102.38312619100201</v>
      </c>
      <c r="AN7111">
        <v>1.00000000596926</v>
      </c>
    </row>
    <row r="7112" spans="1:40" x14ac:dyDescent="0.25">
      <c r="A7112" t="str">
        <f>"20190312164204686"</f>
        <v>20190312164204686</v>
      </c>
      <c r="B7112" t="str">
        <f>"1552380124682725"</f>
        <v>1552380124682725</v>
      </c>
      <c r="C7112" t="s">
        <v>40</v>
      </c>
      <c r="D7112">
        <v>5.8606109999999996</v>
      </c>
      <c r="E7112">
        <v>0.49256129999999998</v>
      </c>
      <c r="F7112" t="s">
        <v>41</v>
      </c>
      <c r="G7112">
        <v>-131.9127</v>
      </c>
      <c r="H7112" s="1">
        <v>-3.5131249999999999E-6</v>
      </c>
      <c r="I7112">
        <v>139.27010000000001</v>
      </c>
      <c r="J7112">
        <v>-142.66759999999999</v>
      </c>
      <c r="K7112">
        <v>1.121891</v>
      </c>
      <c r="L7112">
        <v>140.0471</v>
      </c>
      <c r="M7112">
        <v>0.95206109999999999</v>
      </c>
      <c r="N7112">
        <v>0</v>
      </c>
      <c r="O7112">
        <v>-0.30553079999999999</v>
      </c>
      <c r="P7112">
        <v>0.99272260000000001</v>
      </c>
      <c r="Q7112">
        <v>7.0819339999999995E-2</v>
      </c>
      <c r="R7112">
        <v>-9.7400089999999995E-2</v>
      </c>
      <c r="S7112">
        <v>3.0222929999999999</v>
      </c>
      <c r="T7112">
        <v>-0.30548750000000002</v>
      </c>
      <c r="U7112">
        <v>-0.23970030000000001</v>
      </c>
      <c r="V7112">
        <v>-0.21301239999999999</v>
      </c>
      <c r="W7112">
        <v>7.9426769999999994E-2</v>
      </c>
      <c r="X7112">
        <v>0.97381569999999995</v>
      </c>
      <c r="Y7112">
        <v>-0.22668759999999999</v>
      </c>
      <c r="Z7112">
        <v>4.1699380000000001E-2</v>
      </c>
      <c r="AA7112">
        <v>0.97307440000000001</v>
      </c>
      <c r="AB7112">
        <v>36</v>
      </c>
      <c r="AC7112">
        <v>10.7548999999999</v>
      </c>
      <c r="AD7112">
        <v>-1.121894513125</v>
      </c>
      <c r="AE7112">
        <v>-0.77699999999998604</v>
      </c>
      <c r="AF7112">
        <v>-2.5192245820111498</v>
      </c>
      <c r="AG7112">
        <v>-1.121894513125</v>
      </c>
      <c r="AH7112">
        <v>10.3657179510377</v>
      </c>
      <c r="AI7112">
        <v>96.003717529816996</v>
      </c>
      <c r="AJ7112">
        <v>103.660001566348</v>
      </c>
      <c r="AK7112">
        <v>10.726287728457301</v>
      </c>
      <c r="AL7112">
        <v>85.444382571214604</v>
      </c>
      <c r="AM7112">
        <v>102.338537889154</v>
      </c>
      <c r="AN7112">
        <v>0.99999995595643998</v>
      </c>
    </row>
    <row r="7113" spans="1:40" x14ac:dyDescent="0.25">
      <c r="A7113" t="str">
        <f>"20190312164204706"</f>
        <v>20190312164204706</v>
      </c>
      <c r="B7113" t="str">
        <f>"1552380124693461"</f>
        <v>1552380124693461</v>
      </c>
      <c r="C7113" t="s">
        <v>40</v>
      </c>
      <c r="D7113">
        <v>6.2777949999999896</v>
      </c>
      <c r="E7113">
        <v>0.4927301</v>
      </c>
      <c r="F7113" t="s">
        <v>41</v>
      </c>
      <c r="G7113">
        <v>-131.45509999999999</v>
      </c>
      <c r="H7113" s="1">
        <v>-3.709775E-6</v>
      </c>
      <c r="I7113">
        <v>139.26820000000001</v>
      </c>
      <c r="J7113">
        <v>-142.37870000000001</v>
      </c>
      <c r="K7113">
        <v>1.1220410000000001</v>
      </c>
      <c r="L7113">
        <v>139.9639</v>
      </c>
      <c r="M7113">
        <v>0.95551160000000002</v>
      </c>
      <c r="N7113">
        <v>0</v>
      </c>
      <c r="O7113">
        <v>-0.29456080000000001</v>
      </c>
      <c r="P7113">
        <v>0.99379169999999994</v>
      </c>
      <c r="Q7113">
        <v>6.9722240000000005E-2</v>
      </c>
      <c r="R7113">
        <v>-8.6701210000000001E-2</v>
      </c>
      <c r="S7113">
        <v>3.0229490000000001</v>
      </c>
      <c r="T7113">
        <v>-0.30246790000000001</v>
      </c>
      <c r="U7113">
        <v>-0.2099915</v>
      </c>
      <c r="V7113">
        <v>-0.2123255</v>
      </c>
      <c r="W7113">
        <v>7.8299720000000003E-2</v>
      </c>
      <c r="X7113">
        <v>0.97405699999999995</v>
      </c>
      <c r="Y7113">
        <v>-0.22512699999999999</v>
      </c>
      <c r="Z7113">
        <v>4.0180720000000003E-2</v>
      </c>
      <c r="AA7113">
        <v>0.97350049999999999</v>
      </c>
      <c r="AB7113">
        <v>36</v>
      </c>
      <c r="AC7113">
        <v>10.9236</v>
      </c>
      <c r="AD7113">
        <v>-1.1220447097749999</v>
      </c>
      <c r="AE7113">
        <v>-0.695699999999987</v>
      </c>
      <c r="AF7113">
        <v>-2.5266597144087002</v>
      </c>
      <c r="AG7113">
        <v>-1.1220447097749999</v>
      </c>
      <c r="AH7113">
        <v>10.5331001040788</v>
      </c>
      <c r="AI7113">
        <v>95.914004992069593</v>
      </c>
      <c r="AJ7113">
        <v>103.489127456004</v>
      </c>
      <c r="AK7113">
        <v>10.889866456742901</v>
      </c>
      <c r="AL7113">
        <v>85.509159743103993</v>
      </c>
      <c r="AM7113">
        <v>102.29700863673</v>
      </c>
      <c r="AN7113">
        <v>1.0000000016756601</v>
      </c>
    </row>
    <row r="7114" spans="1:40" x14ac:dyDescent="0.25">
      <c r="A7114" t="str">
        <f>"20190312164204728"</f>
        <v>20190312164204728</v>
      </c>
      <c r="B7114" t="str">
        <f>"1552380124722740"</f>
        <v>1552380124722740</v>
      </c>
      <c r="C7114" t="s">
        <v>40</v>
      </c>
      <c r="D7114">
        <v>5.9225130000000004</v>
      </c>
      <c r="E7114">
        <v>0.49379869999999998</v>
      </c>
      <c r="F7114" t="s">
        <v>41</v>
      </c>
      <c r="G7114">
        <v>-131.19</v>
      </c>
      <c r="H7114" s="1">
        <v>-3.8176910000000003E-6</v>
      </c>
      <c r="I7114">
        <v>139.30099999999999</v>
      </c>
      <c r="J7114">
        <v>-142.03399999999999</v>
      </c>
      <c r="K7114">
        <v>1.1221859999999999</v>
      </c>
      <c r="L7114">
        <v>139.86930000000001</v>
      </c>
      <c r="M7114">
        <v>0.95948169999999999</v>
      </c>
      <c r="N7114">
        <v>0</v>
      </c>
      <c r="O7114">
        <v>-0.28135769999999999</v>
      </c>
      <c r="P7114">
        <v>0.99487130000000001</v>
      </c>
      <c r="Q7114">
        <v>6.8342780000000006E-2</v>
      </c>
      <c r="R7114">
        <v>-7.4569239999999995E-2</v>
      </c>
      <c r="S7114">
        <v>3.024384</v>
      </c>
      <c r="T7114">
        <v>-0.30329420000000001</v>
      </c>
      <c r="U7114">
        <v>-0.17916869999999999</v>
      </c>
      <c r="V7114">
        <v>-0.21079700000000001</v>
      </c>
      <c r="W7114">
        <v>7.6922480000000001E-2</v>
      </c>
      <c r="X7114">
        <v>0.97449859999999999</v>
      </c>
      <c r="Y7114">
        <v>-0.22167480000000001</v>
      </c>
      <c r="Z7114">
        <v>3.8852480000000002E-2</v>
      </c>
      <c r="AA7114">
        <v>0.9743463</v>
      </c>
      <c r="AB7114">
        <v>36</v>
      </c>
      <c r="AC7114">
        <v>10.8439999999999</v>
      </c>
      <c r="AD7114">
        <v>-1.1221898176909999</v>
      </c>
      <c r="AE7114">
        <v>-0.56829999999999303</v>
      </c>
      <c r="AF7114">
        <v>-2.4795796845681202</v>
      </c>
      <c r="AG7114">
        <v>-1.1221898176909999</v>
      </c>
      <c r="AH7114">
        <v>10.4540970924175</v>
      </c>
      <c r="AI7114">
        <v>95.962736432476007</v>
      </c>
      <c r="AJ7114">
        <v>103.34326072245899</v>
      </c>
      <c r="AK7114">
        <v>10.8025817014612</v>
      </c>
      <c r="AL7114">
        <v>85.588308438666601</v>
      </c>
      <c r="AM7114">
        <v>102.205782232427</v>
      </c>
      <c r="AN7114">
        <v>0.99999998227015496</v>
      </c>
    </row>
    <row r="7115" spans="1:40" x14ac:dyDescent="0.25">
      <c r="A7115" t="str">
        <f>"20190312164204750"</f>
        <v>20190312164204750</v>
      </c>
      <c r="B7115" t="str">
        <f>"1552380124743237"</f>
        <v>1552380124743237</v>
      </c>
      <c r="C7115" t="s">
        <v>40</v>
      </c>
      <c r="D7115">
        <v>5.8647580000000001</v>
      </c>
      <c r="E7115">
        <v>0.50163170000000001</v>
      </c>
      <c r="F7115" t="s">
        <v>41</v>
      </c>
      <c r="G7115">
        <v>-130.89609999999999</v>
      </c>
      <c r="H7115" s="1">
        <v>-3.9409239999999996E-6</v>
      </c>
      <c r="I7115">
        <v>139.31710000000001</v>
      </c>
      <c r="J7115">
        <v>-141.69890000000001</v>
      </c>
      <c r="K7115">
        <v>1.122309</v>
      </c>
      <c r="L7115">
        <v>139.78229999999999</v>
      </c>
      <c r="M7115">
        <v>0.96317450000000004</v>
      </c>
      <c r="N7115">
        <v>0</v>
      </c>
      <c r="O7115">
        <v>-0.26844190000000001</v>
      </c>
      <c r="P7115">
        <v>0.99564960000000002</v>
      </c>
      <c r="Q7115">
        <v>6.800581E-2</v>
      </c>
      <c r="R7115">
        <v>-6.369437E-2</v>
      </c>
      <c r="S7115">
        <v>3.0251619999999999</v>
      </c>
      <c r="T7115">
        <v>-0.304797599999999</v>
      </c>
      <c r="U7115">
        <v>-0.14997859999999999</v>
      </c>
      <c r="V7115">
        <v>-0.20837230000000001</v>
      </c>
      <c r="W7115">
        <v>7.6629610000000001E-2</v>
      </c>
      <c r="X7115">
        <v>0.97504310000000005</v>
      </c>
      <c r="Y7115">
        <v>-0.2180221</v>
      </c>
      <c r="Z7115">
        <v>3.7616690000000001E-2</v>
      </c>
      <c r="AA7115">
        <v>0.97521860000000005</v>
      </c>
      <c r="AB7115">
        <v>36</v>
      </c>
      <c r="AC7115">
        <v>10.8028</v>
      </c>
      <c r="AD7115">
        <v>-1.122312940924</v>
      </c>
      <c r="AE7115">
        <v>-0.46519999999998102</v>
      </c>
      <c r="AF7115">
        <v>-2.4260058839579601</v>
      </c>
      <c r="AG7115">
        <v>-1.122312940924</v>
      </c>
      <c r="AH7115">
        <v>10.4188461231409</v>
      </c>
      <c r="AI7115">
        <v>95.989159825450301</v>
      </c>
      <c r="AJ7115">
        <v>103.107639383169</v>
      </c>
      <c r="AK7115">
        <v>10.756274700101899</v>
      </c>
      <c r="AL7115">
        <v>85.605138758714403</v>
      </c>
      <c r="AM7115">
        <v>102.06298170176299</v>
      </c>
      <c r="AN7115">
        <v>1.00000007969682</v>
      </c>
    </row>
    <row r="7116" spans="1:40" x14ac:dyDescent="0.25">
      <c r="A7116" t="str">
        <f>"20190312164204772"</f>
        <v>20190312164204772</v>
      </c>
      <c r="B7116" t="str">
        <f>"1552380124762756"</f>
        <v>1552380124762756</v>
      </c>
      <c r="C7116" t="s">
        <v>40</v>
      </c>
      <c r="D7116">
        <v>5.8628589999999896</v>
      </c>
      <c r="E7116">
        <v>0.50188959999999905</v>
      </c>
      <c r="F7116" t="s">
        <v>41</v>
      </c>
      <c r="G7116">
        <v>-130.07759999999999</v>
      </c>
      <c r="H7116" s="1">
        <v>-4.3313990000000003E-6</v>
      </c>
      <c r="I7116">
        <v>139.09530000000001</v>
      </c>
      <c r="J7116">
        <v>-141.3614</v>
      </c>
      <c r="K7116">
        <v>1.122417</v>
      </c>
      <c r="L7116">
        <v>139.6994</v>
      </c>
      <c r="M7116">
        <v>0.96672159999999996</v>
      </c>
      <c r="N7116">
        <v>0</v>
      </c>
      <c r="O7116">
        <v>-0.2553725</v>
      </c>
      <c r="P7116">
        <v>0.99607140000000005</v>
      </c>
      <c r="Q7116">
        <v>7.1059670000000005E-2</v>
      </c>
      <c r="R7116">
        <v>-5.284668E-2</v>
      </c>
      <c r="S7116">
        <v>3.0216059999999998</v>
      </c>
      <c r="T7116">
        <v>-0.29180719999999999</v>
      </c>
      <c r="U7116">
        <v>-0.17861939999999901</v>
      </c>
      <c r="V7116">
        <v>-0.205844</v>
      </c>
      <c r="W7116">
        <v>7.9738580000000003E-2</v>
      </c>
      <c r="X7116">
        <v>0.97533069999999999</v>
      </c>
      <c r="Y7116">
        <v>-0.19583919999999999</v>
      </c>
      <c r="Z7116">
        <v>3.375906E-2</v>
      </c>
      <c r="AA7116">
        <v>0.98005469999999895</v>
      </c>
      <c r="AB7116">
        <v>36</v>
      </c>
      <c r="AC7116">
        <v>11.283799999999999</v>
      </c>
      <c r="AD7116">
        <v>-1.1224213313989999</v>
      </c>
      <c r="AE7116">
        <v>-0.60409999999998798</v>
      </c>
      <c r="AF7116">
        <v>-2.2753949070841402</v>
      </c>
      <c r="AG7116">
        <v>-1.1224213313989999</v>
      </c>
      <c r="AH7116">
        <v>10.955765755718501</v>
      </c>
      <c r="AI7116">
        <v>95.728161660906693</v>
      </c>
      <c r="AJ7116">
        <v>101.7329168804</v>
      </c>
      <c r="AK7116">
        <v>11.2457127351955</v>
      </c>
      <c r="AL7116">
        <v>85.426460456968599</v>
      </c>
      <c r="AM7116">
        <v>101.917412114304</v>
      </c>
      <c r="AN7116">
        <v>0.99999998391945299</v>
      </c>
    </row>
    <row r="7117" spans="1:40" x14ac:dyDescent="0.25">
      <c r="A7117" t="str">
        <f>"20190312164204794"</f>
        <v>20190312164204794</v>
      </c>
      <c r="B7117" t="str">
        <f>"1552380124783254"</f>
        <v>1552380124783254</v>
      </c>
      <c r="C7117" t="s">
        <v>40</v>
      </c>
      <c r="D7117">
        <v>5.7708130000000004</v>
      </c>
      <c r="E7117">
        <v>0.50233409999999901</v>
      </c>
      <c r="F7117" t="s">
        <v>41</v>
      </c>
      <c r="G7117">
        <v>-129.34780000000001</v>
      </c>
      <c r="H7117" s="1">
        <v>-3.5099460000000001E-7</v>
      </c>
      <c r="I7117">
        <v>139.11519999999999</v>
      </c>
      <c r="J7117">
        <v>-141.01949999999999</v>
      </c>
      <c r="K7117">
        <v>1.1225050000000001</v>
      </c>
      <c r="L7117">
        <v>139.62029999999999</v>
      </c>
      <c r="M7117">
        <v>0.97013150000000004</v>
      </c>
      <c r="N7117">
        <v>0</v>
      </c>
      <c r="O7117">
        <v>-0.242094</v>
      </c>
      <c r="P7117">
        <v>0.99621340000000003</v>
      </c>
      <c r="Q7117">
        <v>7.6475219999999997E-2</v>
      </c>
      <c r="R7117">
        <v>-4.1356259999999999E-2</v>
      </c>
      <c r="S7117">
        <v>3.0242</v>
      </c>
      <c r="T7117">
        <v>-0.28254590000000002</v>
      </c>
      <c r="U7117">
        <v>-0.14706420000000001</v>
      </c>
      <c r="V7117">
        <v>-0.20380529999999999</v>
      </c>
      <c r="W7117">
        <v>8.5199720000000007E-2</v>
      </c>
      <c r="X7117">
        <v>0.97529710000000003</v>
      </c>
      <c r="Y7117">
        <v>-0.19284190000000001</v>
      </c>
      <c r="Z7117">
        <v>3.133859E-2</v>
      </c>
      <c r="AA7117">
        <v>0.98072930000000003</v>
      </c>
      <c r="AB7117">
        <v>36</v>
      </c>
      <c r="AC7117">
        <v>11.6716999999999</v>
      </c>
      <c r="AD7117">
        <v>-1.1225053509945999</v>
      </c>
      <c r="AE7117">
        <v>-0.505099999999998</v>
      </c>
      <c r="AF7117">
        <v>-2.3145421695577002</v>
      </c>
      <c r="AG7117">
        <v>-1.1225053509945999</v>
      </c>
      <c r="AH7117">
        <v>11.3420032508298</v>
      </c>
      <c r="AI7117">
        <v>95.538675444514894</v>
      </c>
      <c r="AJ7117">
        <v>101.53388170201001</v>
      </c>
      <c r="AK7117">
        <v>11.6300542328703</v>
      </c>
      <c r="AL7117">
        <v>85.112490418787104</v>
      </c>
      <c r="AM7117">
        <v>101.803102704388</v>
      </c>
      <c r="AN7117">
        <v>1.0000000129322799</v>
      </c>
    </row>
    <row r="7118" spans="1:40" x14ac:dyDescent="0.25">
      <c r="A7118" t="str">
        <f>"20190312164204818"</f>
        <v>20190312164204818</v>
      </c>
      <c r="B7118" t="str">
        <f>"1552380124813508"</f>
        <v>1552380124813508</v>
      </c>
      <c r="C7118" t="s">
        <v>40</v>
      </c>
      <c r="D7118">
        <v>5.8093370000000002</v>
      </c>
      <c r="E7118">
        <v>0.50242240000000005</v>
      </c>
      <c r="F7118" t="s">
        <v>41</v>
      </c>
      <c r="G7118">
        <v>-128.43620000000001</v>
      </c>
      <c r="H7118" s="1">
        <v>-7.3903750000000002E-7</v>
      </c>
      <c r="I7118">
        <v>139.13220000000001</v>
      </c>
      <c r="J7118">
        <v>-140.67519999999999</v>
      </c>
      <c r="K7118">
        <v>1.122566</v>
      </c>
      <c r="L7118">
        <v>139.54560000000001</v>
      </c>
      <c r="M7118">
        <v>0.97337269999999998</v>
      </c>
      <c r="N7118">
        <v>0</v>
      </c>
      <c r="O7118">
        <v>-0.22871330000000001</v>
      </c>
      <c r="P7118">
        <v>0.99632940000000003</v>
      </c>
      <c r="Q7118">
        <v>7.9910469999999997E-2</v>
      </c>
      <c r="R7118">
        <v>-3.069995E-2</v>
      </c>
      <c r="S7118">
        <v>3.0272519999999998</v>
      </c>
      <c r="T7118">
        <v>-0.27004889999999998</v>
      </c>
      <c r="U7118">
        <v>-0.1174316</v>
      </c>
      <c r="V7118">
        <v>-0.20086180000000001</v>
      </c>
      <c r="W7118">
        <v>8.8721599999999998E-2</v>
      </c>
      <c r="X7118">
        <v>0.97559370000000001</v>
      </c>
      <c r="Y7118">
        <v>-0.18919250000000001</v>
      </c>
      <c r="Z7118">
        <v>2.861615E-2</v>
      </c>
      <c r="AA7118">
        <v>0.98152300000000003</v>
      </c>
      <c r="AB7118">
        <v>36</v>
      </c>
      <c r="AC7118">
        <v>12.2389999999999</v>
      </c>
      <c r="AD7118">
        <v>-1.1225667390375</v>
      </c>
      <c r="AE7118">
        <v>-0.41339999999999499</v>
      </c>
      <c r="AF7118">
        <v>-2.3771372390116099</v>
      </c>
      <c r="AG7118">
        <v>-1.1225667390375</v>
      </c>
      <c r="AH7118">
        <v>11.9090025695942</v>
      </c>
      <c r="AI7118">
        <v>95.2813260202322</v>
      </c>
      <c r="AJ7118">
        <v>101.28835812963</v>
      </c>
      <c r="AK7118">
        <v>12.195707430866401</v>
      </c>
      <c r="AL7118">
        <v>84.909934187273905</v>
      </c>
      <c r="AM7118">
        <v>101.633874773586</v>
      </c>
      <c r="AN7118">
        <v>1.00000002624274</v>
      </c>
    </row>
    <row r="7119" spans="1:40" x14ac:dyDescent="0.25">
      <c r="A7119" t="str">
        <f>"20190312164204840"</f>
        <v>20190312164204840</v>
      </c>
      <c r="B7119" t="str">
        <f>"1552380124833029"</f>
        <v>1552380124833029</v>
      </c>
      <c r="C7119" t="s">
        <v>40</v>
      </c>
      <c r="D7119">
        <v>5.8273270000000004</v>
      </c>
      <c r="E7119">
        <v>0.4998763</v>
      </c>
      <c r="F7119" t="s">
        <v>41</v>
      </c>
      <c r="G7119">
        <v>-127.5898</v>
      </c>
      <c r="H7119" s="1">
        <v>-1.0948639999999999E-6</v>
      </c>
      <c r="I7119">
        <v>139.17320000000001</v>
      </c>
      <c r="J7119">
        <v>-140.33439999999999</v>
      </c>
      <c r="K7119">
        <v>1.1225969999999901</v>
      </c>
      <c r="L7119">
        <v>139.4768</v>
      </c>
      <c r="M7119">
        <v>0.97638369999999997</v>
      </c>
      <c r="N7119">
        <v>0</v>
      </c>
      <c r="O7119">
        <v>-0.21549599999999999</v>
      </c>
      <c r="P7119">
        <v>0.99641469999999999</v>
      </c>
      <c r="Q7119">
        <v>8.1655779999999997E-2</v>
      </c>
      <c r="R7119">
        <v>-2.2140900000000002E-2</v>
      </c>
      <c r="S7119">
        <v>3.029236</v>
      </c>
      <c r="T7119">
        <v>-0.25987090000000002</v>
      </c>
      <c r="U7119">
        <v>-8.6196899999999896E-2</v>
      </c>
      <c r="V7119">
        <v>-0.1960402</v>
      </c>
      <c r="W7119">
        <v>9.0628390000000003E-2</v>
      </c>
      <c r="X7119">
        <v>0.97639889999999996</v>
      </c>
      <c r="Y7119">
        <v>-0.18619659999999999</v>
      </c>
      <c r="Z7119">
        <v>2.6297919999999999E-2</v>
      </c>
      <c r="AA7119">
        <v>0.98216049999999999</v>
      </c>
      <c r="AB7119">
        <v>35</v>
      </c>
      <c r="AC7119">
        <v>12.744599999999901</v>
      </c>
      <c r="AD7119">
        <v>-1.12259809486399</v>
      </c>
      <c r="AE7119">
        <v>-0.30359999999998799</v>
      </c>
      <c r="AF7119">
        <v>-2.4314155628328602</v>
      </c>
      <c r="AG7119">
        <v>-1.12259809486399</v>
      </c>
      <c r="AH7119">
        <v>12.4142573003701</v>
      </c>
      <c r="AI7119">
        <v>95.071262292091603</v>
      </c>
      <c r="AJ7119">
        <v>101.08148900446901</v>
      </c>
      <c r="AK7119">
        <v>12.699834347013001</v>
      </c>
      <c r="AL7119">
        <v>84.800241273532905</v>
      </c>
      <c r="AM7119">
        <v>101.352831795401</v>
      </c>
      <c r="AN7119">
        <v>1.00000003850562</v>
      </c>
    </row>
    <row r="7120" spans="1:40" x14ac:dyDescent="0.25">
      <c r="A7120" t="str">
        <f>"20190312164204864"</f>
        <v>20190312164204864</v>
      </c>
      <c r="B7120" t="str">
        <f>"1552380124853524"</f>
        <v>1552380124853524</v>
      </c>
      <c r="C7120" t="s">
        <v>40</v>
      </c>
      <c r="D7120">
        <v>5.8231609999999998</v>
      </c>
      <c r="E7120">
        <v>0.49815320000000002</v>
      </c>
      <c r="F7120" t="s">
        <v>41</v>
      </c>
      <c r="G7120">
        <v>-126.73560000000001</v>
      </c>
      <c r="H7120" s="1">
        <v>-1.437953E-6</v>
      </c>
      <c r="I7120">
        <v>139.3049</v>
      </c>
      <c r="J7120">
        <v>-139.97299999999899</v>
      </c>
      <c r="K7120">
        <v>1.122595</v>
      </c>
      <c r="L7120">
        <v>139.4091</v>
      </c>
      <c r="M7120">
        <v>0.97935939999999999</v>
      </c>
      <c r="N7120">
        <v>0</v>
      </c>
      <c r="O7120">
        <v>-0.2015411</v>
      </c>
      <c r="P7120">
        <v>0.99642960000000003</v>
      </c>
      <c r="Q7120">
        <v>8.358053E-2</v>
      </c>
      <c r="R7120">
        <v>-1.192385E-2</v>
      </c>
      <c r="S7120">
        <v>3.0304410000000002</v>
      </c>
      <c r="T7120">
        <v>-0.25016559999999999</v>
      </c>
      <c r="U7120">
        <v>-3.82843E-2</v>
      </c>
      <c r="V7120">
        <v>-0.19214000000000001</v>
      </c>
      <c r="W7120">
        <v>9.2692460000000004E-2</v>
      </c>
      <c r="X7120">
        <v>0.97698019999999997</v>
      </c>
      <c r="Y7120">
        <v>-0.18785940000000001</v>
      </c>
      <c r="Z7120">
        <v>2.425942E-2</v>
      </c>
      <c r="AA7120">
        <v>0.98189630000000006</v>
      </c>
      <c r="AB7120">
        <v>35</v>
      </c>
      <c r="AC7120">
        <v>13.2373999999999</v>
      </c>
      <c r="AD7120">
        <v>-1.122596437953</v>
      </c>
      <c r="AE7120">
        <v>-0.10419999999999099</v>
      </c>
      <c r="AF7120">
        <v>-2.5478117790207202</v>
      </c>
      <c r="AG7120">
        <v>-1.122596437953</v>
      </c>
      <c r="AH7120">
        <v>12.8939813880798</v>
      </c>
      <c r="AI7120">
        <v>94.8819058133505</v>
      </c>
      <c r="AJ7120">
        <v>101.177484080407</v>
      </c>
      <c r="AK7120">
        <v>13.1911456538077</v>
      </c>
      <c r="AL7120">
        <v>84.681478554211395</v>
      </c>
      <c r="AM7120">
        <v>101.12620664779</v>
      </c>
      <c r="AN7120">
        <v>0.99999999146644503</v>
      </c>
    </row>
    <row r="7121" spans="1:40" x14ac:dyDescent="0.25">
      <c r="A7121" t="str">
        <f>"20190312164204890"</f>
        <v>20190312164204890</v>
      </c>
      <c r="B7121" t="str">
        <f>"1552380124882804"</f>
        <v>1552380124882804</v>
      </c>
      <c r="C7121" t="s">
        <v>40</v>
      </c>
      <c r="D7121">
        <v>5.6907569999999996</v>
      </c>
      <c r="E7121">
        <v>0.49640889999999999</v>
      </c>
      <c r="F7121" t="s">
        <v>41</v>
      </c>
      <c r="G7121">
        <v>-126.1939</v>
      </c>
      <c r="H7121" s="1">
        <v>-1.6458110000000001E-6</v>
      </c>
      <c r="I7121">
        <v>139.44309999999999</v>
      </c>
      <c r="J7121">
        <v>-139.56460000000001</v>
      </c>
      <c r="K7121">
        <v>1.1225689999999999</v>
      </c>
      <c r="L7121">
        <v>139.33879999999999</v>
      </c>
      <c r="M7121">
        <v>0.98245490000000002</v>
      </c>
      <c r="N7121">
        <v>0</v>
      </c>
      <c r="O7121">
        <v>-0.18586520000000001</v>
      </c>
      <c r="P7121">
        <v>0.99620649999999999</v>
      </c>
      <c r="Q7121">
        <v>8.7017929999999993E-2</v>
      </c>
      <c r="R7121">
        <v>-8.3392949999999905E-4</v>
      </c>
      <c r="S7121">
        <v>3.0315699999999999</v>
      </c>
      <c r="T7121">
        <v>-0.24698580000000001</v>
      </c>
      <c r="U7121">
        <v>7.492065E-3</v>
      </c>
      <c r="V7121">
        <v>-0.18743940000000001</v>
      </c>
      <c r="W7121">
        <v>9.6301639999999994E-2</v>
      </c>
      <c r="X7121">
        <v>0.97754410000000003</v>
      </c>
      <c r="Y7121">
        <v>-0.18708440000000001</v>
      </c>
      <c r="Z7121">
        <v>2.2662069999999999E-2</v>
      </c>
      <c r="AA7121">
        <v>0.98208240000000002</v>
      </c>
      <c r="AB7121">
        <v>35</v>
      </c>
      <c r="AC7121">
        <v>13.370699999999999</v>
      </c>
      <c r="AD7121">
        <v>-1.1225706458110001</v>
      </c>
      <c r="AE7121">
        <v>0.10429999999999399</v>
      </c>
      <c r="AF7121">
        <v>-2.5698107697444801</v>
      </c>
      <c r="AG7121">
        <v>-1.1225706458110001</v>
      </c>
      <c r="AH7121">
        <v>13.026459158606899</v>
      </c>
      <c r="AI7121">
        <v>94.832676298954198</v>
      </c>
      <c r="AJ7121">
        <v>101.159796048861</v>
      </c>
      <c r="AK7121">
        <v>13.324891386348501</v>
      </c>
      <c r="AL7121">
        <v>84.473758187958097</v>
      </c>
      <c r="AM7121">
        <v>100.854445377677</v>
      </c>
      <c r="AN7121">
        <v>1.0000000009919201</v>
      </c>
    </row>
    <row r="7122" spans="1:40" x14ac:dyDescent="0.25">
      <c r="A7122" t="str">
        <f>"20190312164204910"</f>
        <v>20190312164204910</v>
      </c>
      <c r="B7122" t="str">
        <f>"1552380124903300"</f>
        <v>1552380124903300</v>
      </c>
      <c r="C7122" t="s">
        <v>40</v>
      </c>
      <c r="D7122">
        <v>5.6906780000000001</v>
      </c>
      <c r="E7122">
        <v>0.49580960000000002</v>
      </c>
      <c r="F7122" t="s">
        <v>41</v>
      </c>
      <c r="G7122">
        <v>-124.8134</v>
      </c>
      <c r="H7122" s="1">
        <v>-2.209793E-6</v>
      </c>
      <c r="I7122">
        <v>139.60239999999999</v>
      </c>
      <c r="J7122">
        <v>-139.25360000000001</v>
      </c>
      <c r="K7122">
        <v>1.1225350000000001</v>
      </c>
      <c r="L7122">
        <v>139.28960000000001</v>
      </c>
      <c r="M7122">
        <v>0.98462079999999996</v>
      </c>
      <c r="N7122">
        <v>0</v>
      </c>
      <c r="O7122">
        <v>-0.17402670000000001</v>
      </c>
      <c r="P7122">
        <v>0.99582479999999995</v>
      </c>
      <c r="Q7122">
        <v>9.109188E-2</v>
      </c>
      <c r="R7122">
        <v>5.9598079999999996E-3</v>
      </c>
      <c r="S7122">
        <v>3.0316160000000001</v>
      </c>
      <c r="T7122">
        <v>-0.23070689999999999</v>
      </c>
      <c r="U7122">
        <v>5.4183960000000003E-2</v>
      </c>
      <c r="V7122">
        <v>-0.1823834</v>
      </c>
      <c r="W7122">
        <v>0.1005619</v>
      </c>
      <c r="X7122">
        <v>0.97807140000000004</v>
      </c>
      <c r="Y7122">
        <v>-0.19056590000000001</v>
      </c>
      <c r="Z7122">
        <v>2.0419110000000001E-2</v>
      </c>
      <c r="AA7122">
        <v>0.98146199999999995</v>
      </c>
      <c r="AB7122">
        <v>35</v>
      </c>
      <c r="AC7122">
        <v>14.440200000000001</v>
      </c>
      <c r="AD7122">
        <v>-1.122537209793</v>
      </c>
      <c r="AE7122">
        <v>0.31279999999998098</v>
      </c>
      <c r="AF7122">
        <v>-2.8043645787703899</v>
      </c>
      <c r="AG7122">
        <v>-1.122537209793</v>
      </c>
      <c r="AH7122">
        <v>14.0803135861561</v>
      </c>
      <c r="AI7122">
        <v>94.470756005695904</v>
      </c>
      <c r="AJ7122">
        <v>101.26415381945201</v>
      </c>
      <c r="AK7122">
        <v>14.4006868295413</v>
      </c>
      <c r="AL7122">
        <v>84.228472099082893</v>
      </c>
      <c r="AM7122">
        <v>100.562771617933</v>
      </c>
      <c r="AN7122">
        <v>1.0000000319125599</v>
      </c>
    </row>
    <row r="7123" spans="1:40" x14ac:dyDescent="0.25">
      <c r="A7123" t="str">
        <f>"20190312164204929"</f>
        <v>20190312164204929</v>
      </c>
      <c r="B7123" t="str">
        <f>"1552380124922820"</f>
        <v>1552380124922820</v>
      </c>
      <c r="C7123" t="s">
        <v>40</v>
      </c>
      <c r="D7123">
        <v>5.6752830000000003</v>
      </c>
      <c r="E7123">
        <v>0.49523620000000002</v>
      </c>
      <c r="F7123" t="s">
        <v>41</v>
      </c>
      <c r="G7123">
        <v>-123.508</v>
      </c>
      <c r="H7123" s="1">
        <v>-2.789057E-6</v>
      </c>
      <c r="I7123">
        <v>139.6978</v>
      </c>
      <c r="J7123">
        <v>-138.96029999999999</v>
      </c>
      <c r="K7123">
        <v>1.122466</v>
      </c>
      <c r="L7123">
        <v>139.2467</v>
      </c>
      <c r="M7123">
        <v>0.98650939999999998</v>
      </c>
      <c r="N7123">
        <v>0</v>
      </c>
      <c r="O7123">
        <v>-0.1629815</v>
      </c>
      <c r="P7123">
        <v>0.99549359999999998</v>
      </c>
      <c r="Q7123">
        <v>9.4096109999999997E-2</v>
      </c>
      <c r="R7123">
        <v>1.177564E-2</v>
      </c>
      <c r="S7123">
        <v>3.0318909999999999</v>
      </c>
      <c r="T7123">
        <v>-0.2161497</v>
      </c>
      <c r="U7123">
        <v>7.8598020000000005E-2</v>
      </c>
      <c r="V7123">
        <v>-0.17715520000000001</v>
      </c>
      <c r="W7123">
        <v>0.1037632</v>
      </c>
      <c r="X7123">
        <v>0.9786977</v>
      </c>
      <c r="Y7123">
        <v>-0.18762709999999999</v>
      </c>
      <c r="Z7123">
        <v>1.824957E-2</v>
      </c>
      <c r="AA7123">
        <v>0.98207080000000002</v>
      </c>
      <c r="AB7123">
        <v>35</v>
      </c>
      <c r="AC7123">
        <v>15.4522999999999</v>
      </c>
      <c r="AD7123">
        <v>-1.122468789057</v>
      </c>
      <c r="AE7123">
        <v>0.451099999999996</v>
      </c>
      <c r="AF7123">
        <v>-2.9482596889188399</v>
      </c>
      <c r="AG7123">
        <v>-1.122468789057</v>
      </c>
      <c r="AH7123">
        <v>15.092539471567999</v>
      </c>
      <c r="AI7123">
        <v>94.174773754867104</v>
      </c>
      <c r="AJ7123">
        <v>101.05327837118401</v>
      </c>
      <c r="AK7123">
        <v>15.4187197612691</v>
      </c>
      <c r="AL7123">
        <v>84.044085959269196</v>
      </c>
      <c r="AM7123">
        <v>100.260080483398</v>
      </c>
      <c r="AN7123">
        <v>0.99999997727328405</v>
      </c>
    </row>
    <row r="7124" spans="1:40" x14ac:dyDescent="0.25">
      <c r="A7124" t="str">
        <f>"20190312164204952"</f>
        <v>20190312164204952</v>
      </c>
      <c r="B7124" t="str">
        <f>"1552380124943317"</f>
        <v>1552380124943317</v>
      </c>
      <c r="C7124" t="s">
        <v>40</v>
      </c>
      <c r="D7124">
        <v>5.77156</v>
      </c>
      <c r="E7124">
        <v>0.49474639999999998</v>
      </c>
      <c r="F7124" t="s">
        <v>41</v>
      </c>
      <c r="G7124">
        <v>-122.61020000000001</v>
      </c>
      <c r="H7124" s="1">
        <v>-3.1988059999999999E-6</v>
      </c>
      <c r="I7124">
        <v>139.7903</v>
      </c>
      <c r="J7124">
        <v>-138.6164</v>
      </c>
      <c r="K7124">
        <v>1.1223529999999999</v>
      </c>
      <c r="L7124">
        <v>139.20050000000001</v>
      </c>
      <c r="M7124">
        <v>0.98853550000000001</v>
      </c>
      <c r="N7124">
        <v>0</v>
      </c>
      <c r="O7124">
        <v>-0.1502049</v>
      </c>
      <c r="P7124">
        <v>0.99525949999999996</v>
      </c>
      <c r="Q7124">
        <v>9.5399800000000007E-2</v>
      </c>
      <c r="R7124">
        <v>1.8903449999999999E-2</v>
      </c>
      <c r="S7124">
        <v>3.0320429999999998</v>
      </c>
      <c r="T7124">
        <v>-0.20815620000000001</v>
      </c>
      <c r="U7124">
        <v>0.1008148</v>
      </c>
      <c r="V7124">
        <v>-0.17148160000000001</v>
      </c>
      <c r="W7124">
        <v>0.1052893</v>
      </c>
      <c r="X7124">
        <v>0.97954490000000005</v>
      </c>
      <c r="Y7124">
        <v>-0.1822134</v>
      </c>
      <c r="Z7124">
        <v>1.6520750000000001E-2</v>
      </c>
      <c r="AA7124">
        <v>0.9831202</v>
      </c>
      <c r="AB7124">
        <v>35</v>
      </c>
      <c r="AC7124">
        <v>16.0061999999999</v>
      </c>
      <c r="AD7124">
        <v>-1.122356198806</v>
      </c>
      <c r="AE7124">
        <v>0.58979999999999599</v>
      </c>
      <c r="AF7124">
        <v>-2.9730026264184999</v>
      </c>
      <c r="AG7124">
        <v>-1.122356198806</v>
      </c>
      <c r="AH7124">
        <v>15.6590748765906</v>
      </c>
      <c r="AI7124">
        <v>94.027925421924806</v>
      </c>
      <c r="AJ7124">
        <v>100.75012138207801</v>
      </c>
      <c r="AK7124">
        <v>15.978268180386699</v>
      </c>
      <c r="AL7124">
        <v>83.956165339121796</v>
      </c>
      <c r="AM7124">
        <v>99.929721235683402</v>
      </c>
      <c r="AN7124">
        <v>0.99999999347452995</v>
      </c>
    </row>
    <row r="7125" spans="1:40" x14ac:dyDescent="0.25">
      <c r="A7125" t="str">
        <f>"20190312164204973"</f>
        <v>20190312164204973</v>
      </c>
      <c r="B7125" t="str">
        <f>"1552380124962837"</f>
        <v>1552380124962837</v>
      </c>
      <c r="C7125" t="s">
        <v>40</v>
      </c>
      <c r="D7125">
        <v>5.803375</v>
      </c>
      <c r="E7125">
        <v>0.49457869999999998</v>
      </c>
      <c r="F7125" t="s">
        <v>41</v>
      </c>
      <c r="G7125">
        <v>-122.4435</v>
      </c>
      <c r="H7125" s="1">
        <v>-3.2947430000000001E-6</v>
      </c>
      <c r="I7125">
        <v>139.88200000000001</v>
      </c>
      <c r="J7125">
        <v>-138.28190000000001</v>
      </c>
      <c r="K7125">
        <v>1.1222049999999999</v>
      </c>
      <c r="L7125">
        <v>139.15969999999999</v>
      </c>
      <c r="M7125">
        <v>0.99031429999999998</v>
      </c>
      <c r="N7125">
        <v>0</v>
      </c>
      <c r="O7125">
        <v>-0.13799439999999999</v>
      </c>
      <c r="P7125">
        <v>0.99482979999999999</v>
      </c>
      <c r="Q7125">
        <v>9.8036479999999995E-2</v>
      </c>
      <c r="R7125">
        <v>2.6505319999999999E-2</v>
      </c>
      <c r="S7125">
        <v>3.0320279999999999</v>
      </c>
      <c r="T7125">
        <v>-0.2104143</v>
      </c>
      <c r="U7125">
        <v>0.1277771</v>
      </c>
      <c r="V7125">
        <v>-0.16687289999999999</v>
      </c>
      <c r="W7125">
        <v>0.1081145</v>
      </c>
      <c r="X7125">
        <v>0.98003300000000004</v>
      </c>
      <c r="Y7125">
        <v>-0.17883019999999999</v>
      </c>
      <c r="Z7125">
        <v>1.574072E-2</v>
      </c>
      <c r="AA7125">
        <v>0.98375400000000002</v>
      </c>
      <c r="AB7125">
        <v>35</v>
      </c>
      <c r="AC7125">
        <v>15.8384</v>
      </c>
      <c r="AD7125">
        <v>-1.1222082947430001</v>
      </c>
      <c r="AE7125">
        <v>0.72230000000001804</v>
      </c>
      <c r="AF7125">
        <v>-2.88679332167909</v>
      </c>
      <c r="AG7125">
        <v>-1.1222082947430001</v>
      </c>
      <c r="AH7125">
        <v>15.5094537292614</v>
      </c>
      <c r="AI7125">
        <v>94.068862661125706</v>
      </c>
      <c r="AJ7125">
        <v>100.543873921931</v>
      </c>
      <c r="AK7125">
        <v>15.8156910098478</v>
      </c>
      <c r="AL7125">
        <v>83.793363833202605</v>
      </c>
      <c r="AM7125">
        <v>99.663232312718407</v>
      </c>
      <c r="AN7125">
        <v>0.99999999547682905</v>
      </c>
    </row>
    <row r="7126" spans="1:40" x14ac:dyDescent="0.25">
      <c r="A7126" t="str">
        <f>"20190312164204997"</f>
        <v>20190312164204997</v>
      </c>
      <c r="B7126" t="str">
        <f>"1552380124993093"</f>
        <v>1552380124993093</v>
      </c>
      <c r="C7126" t="s">
        <v>40</v>
      </c>
      <c r="D7126">
        <v>5.8637739999999896</v>
      </c>
      <c r="E7126">
        <v>0.49439499999999997</v>
      </c>
      <c r="F7126" t="s">
        <v>41</v>
      </c>
      <c r="G7126">
        <v>-121.5458</v>
      </c>
      <c r="H7126" s="1">
        <v>-3.7140750000000001E-6</v>
      </c>
      <c r="I7126">
        <v>140.01079999999999</v>
      </c>
      <c r="J7126">
        <v>-137.9162</v>
      </c>
      <c r="K7126">
        <v>1.12201</v>
      </c>
      <c r="L7126">
        <v>139.11959999999999</v>
      </c>
      <c r="M7126">
        <v>0.99204939999999997</v>
      </c>
      <c r="N7126">
        <v>0</v>
      </c>
      <c r="O7126">
        <v>-0.1249141</v>
      </c>
      <c r="P7126">
        <v>0.99425260000000004</v>
      </c>
      <c r="Q7126">
        <v>0.1012933</v>
      </c>
      <c r="R7126">
        <v>3.4659009999999997E-2</v>
      </c>
      <c r="S7126">
        <v>3.0315249999999998</v>
      </c>
      <c r="T7126">
        <v>-0.2032738</v>
      </c>
      <c r="U7126">
        <v>0.1541595</v>
      </c>
      <c r="V7126">
        <v>-0.16196669999999999</v>
      </c>
      <c r="W7126">
        <v>0.1115758</v>
      </c>
      <c r="X7126">
        <v>0.98046809999999995</v>
      </c>
      <c r="Y7126">
        <v>-0.17448559999999999</v>
      </c>
      <c r="Z7126">
        <v>1.419188E-2</v>
      </c>
      <c r="AA7126">
        <v>0.98455740000000003</v>
      </c>
      <c r="AB7126">
        <v>35</v>
      </c>
      <c r="AC7126">
        <v>16.3704</v>
      </c>
      <c r="AD7126">
        <v>-1.1220137140749999</v>
      </c>
      <c r="AE7126">
        <v>0.89119999999999699</v>
      </c>
      <c r="AF7126">
        <v>-2.9156952783696801</v>
      </c>
      <c r="AG7126">
        <v>-1.1220137140749999</v>
      </c>
      <c r="AH7126">
        <v>16.055612867380098</v>
      </c>
      <c r="AI7126">
        <v>93.9333742131777</v>
      </c>
      <c r="AJ7126">
        <v>100.292731253627</v>
      </c>
      <c r="AK7126">
        <v>16.3567386198491</v>
      </c>
      <c r="AL7126">
        <v>83.593838703332096</v>
      </c>
      <c r="AM7126">
        <v>99.380163033829803</v>
      </c>
      <c r="AN7126">
        <v>1.0000000330860599</v>
      </c>
    </row>
    <row r="7127" spans="1:40" x14ac:dyDescent="0.25">
      <c r="A7127" t="str">
        <f>"20190312164205019"</f>
        <v>20190312164205019</v>
      </c>
      <c r="B7127" t="str">
        <f>"1552380125012612"</f>
        <v>1552380125012612</v>
      </c>
      <c r="C7127" t="s">
        <v>40</v>
      </c>
      <c r="D7127">
        <v>5.924283</v>
      </c>
      <c r="E7127">
        <v>0.49441689999999999</v>
      </c>
      <c r="F7127" t="s">
        <v>41</v>
      </c>
      <c r="G7127">
        <v>-120.54040000000001</v>
      </c>
      <c r="H7127" s="1">
        <v>-4.1820919999999999E-6</v>
      </c>
      <c r="I7127">
        <v>140.14869999999999</v>
      </c>
      <c r="J7127">
        <v>-137.5866</v>
      </c>
      <c r="K7127">
        <v>1.121802</v>
      </c>
      <c r="L7127">
        <v>139.08760000000001</v>
      </c>
      <c r="M7127">
        <v>0.99342909999999995</v>
      </c>
      <c r="N7127">
        <v>0</v>
      </c>
      <c r="O7127">
        <v>-0.1134266</v>
      </c>
      <c r="P7127">
        <v>0.99386960000000002</v>
      </c>
      <c r="Q7127">
        <v>0.10315489999999999</v>
      </c>
      <c r="R7127">
        <v>3.9781499999999997E-2</v>
      </c>
      <c r="S7127">
        <v>3.0310359999999998</v>
      </c>
      <c r="T7127">
        <v>-0.1957246</v>
      </c>
      <c r="U7127">
        <v>0.1795197</v>
      </c>
      <c r="V7127">
        <v>-0.15563589999999999</v>
      </c>
      <c r="W7127">
        <v>0.1136847</v>
      </c>
      <c r="X7127">
        <v>0.98125090000000004</v>
      </c>
      <c r="Y7127">
        <v>-0.17139190000000001</v>
      </c>
      <c r="Z7127">
        <v>1.2828600000000001E-2</v>
      </c>
      <c r="AA7127">
        <v>0.98511939999999998</v>
      </c>
      <c r="AB7127">
        <v>35</v>
      </c>
      <c r="AC7127">
        <v>17.046199999999999</v>
      </c>
      <c r="AD7127">
        <v>-1.121806182092</v>
      </c>
      <c r="AE7127">
        <v>1.0610999999999799</v>
      </c>
      <c r="AF7127">
        <v>-2.9751329523633099</v>
      </c>
      <c r="AG7127">
        <v>-1.121806182092</v>
      </c>
      <c r="AH7127">
        <v>16.7435583967269</v>
      </c>
      <c r="AI7127">
        <v>93.774104618545493</v>
      </c>
      <c r="AJ7127">
        <v>100.07562338362899</v>
      </c>
      <c r="AK7127">
        <v>17.042787711493101</v>
      </c>
      <c r="AL7127">
        <v>83.472233861749601</v>
      </c>
      <c r="AM7127">
        <v>99.012589528167993</v>
      </c>
      <c r="AN7127">
        <v>1.00000003656685</v>
      </c>
    </row>
    <row r="7128" spans="1:40" x14ac:dyDescent="0.25">
      <c r="A7128" t="str">
        <f>"20190312164205040"</f>
        <v>20190312164205040</v>
      </c>
      <c r="B7128" t="str">
        <f>"1552380125033108"</f>
        <v>1552380125033108</v>
      </c>
      <c r="C7128" t="s">
        <v>40</v>
      </c>
      <c r="D7128">
        <v>5.8648959999999999</v>
      </c>
      <c r="E7128">
        <v>0.49443609999999999</v>
      </c>
      <c r="F7128" t="s">
        <v>41</v>
      </c>
      <c r="G7128">
        <v>-119.6134</v>
      </c>
      <c r="H7128" s="1">
        <v>-3.1682600000000001E-7</v>
      </c>
      <c r="I7128">
        <v>140.25020000000001</v>
      </c>
      <c r="J7128">
        <v>-137.2433</v>
      </c>
      <c r="K7128">
        <v>1.121545</v>
      </c>
      <c r="L7128">
        <v>139.05840000000001</v>
      </c>
      <c r="M7128">
        <v>0.99468889999999999</v>
      </c>
      <c r="N7128">
        <v>0</v>
      </c>
      <c r="O7128">
        <v>-0.1017941</v>
      </c>
      <c r="P7128">
        <v>0.99359699999999995</v>
      </c>
      <c r="Q7128">
        <v>0.1036232</v>
      </c>
      <c r="R7128">
        <v>4.5024660000000001E-2</v>
      </c>
      <c r="S7128">
        <v>3.0302889999999998</v>
      </c>
      <c r="T7128">
        <v>-0.18913650000000001</v>
      </c>
      <c r="U7128">
        <v>0.19601440000000001</v>
      </c>
      <c r="V7128">
        <v>-0.14925639999999901</v>
      </c>
      <c r="W7128">
        <v>0.1144033</v>
      </c>
      <c r="X7128">
        <v>0.98215810000000003</v>
      </c>
      <c r="Y7128">
        <v>-0.16529050000000001</v>
      </c>
      <c r="Z7128">
        <v>1.1486369999999999E-2</v>
      </c>
      <c r="AA7128">
        <v>0.986178</v>
      </c>
      <c r="AB7128">
        <v>35</v>
      </c>
      <c r="AC7128">
        <v>17.629899999999999</v>
      </c>
      <c r="AD7128">
        <v>-1.1215453168259999</v>
      </c>
      <c r="AE7128">
        <v>1.1918</v>
      </c>
      <c r="AF7128">
        <v>-2.9684769194902199</v>
      </c>
      <c r="AG7128">
        <v>-1.1215453168259999</v>
      </c>
      <c r="AH7128">
        <v>17.347083307081899</v>
      </c>
      <c r="AI7128">
        <v>93.646353213011693</v>
      </c>
      <c r="AJ7128">
        <v>99.710543836774093</v>
      </c>
      <c r="AK7128">
        <v>17.634937436296202</v>
      </c>
      <c r="AL7128">
        <v>83.430790886928307</v>
      </c>
      <c r="AM7128">
        <v>98.640998984296701</v>
      </c>
      <c r="AN7128">
        <v>1.00000006069372</v>
      </c>
    </row>
    <row r="7129" spans="1:40" x14ac:dyDescent="0.25">
      <c r="A7129" t="str">
        <f>"20190312164205063"</f>
        <v>20190312164205063</v>
      </c>
      <c r="B7129" t="str">
        <f>"1552380125053604"</f>
        <v>1552380125053604</v>
      </c>
      <c r="C7129" t="s">
        <v>40</v>
      </c>
      <c r="D7129">
        <v>5.8042230000000004</v>
      </c>
      <c r="E7129">
        <v>0.49432749999999998</v>
      </c>
      <c r="F7129" t="s">
        <v>41</v>
      </c>
      <c r="G7129">
        <v>-119.14149999999999</v>
      </c>
      <c r="H7129" s="1">
        <v>-5.4250349999999998E-7</v>
      </c>
      <c r="I7129">
        <v>140.33750000000001</v>
      </c>
      <c r="J7129">
        <v>-136.89580000000001</v>
      </c>
      <c r="K7129">
        <v>1.121291</v>
      </c>
      <c r="L7129">
        <v>139.03270000000001</v>
      </c>
      <c r="M7129">
        <v>0.99579700000000004</v>
      </c>
      <c r="N7129">
        <v>0</v>
      </c>
      <c r="O7129">
        <v>-9.03196E-2</v>
      </c>
      <c r="P7129">
        <v>0.993116</v>
      </c>
      <c r="Q7129">
        <v>0.1054073</v>
      </c>
      <c r="R7129">
        <v>5.1091320000000003E-2</v>
      </c>
      <c r="S7129">
        <v>3.0292210000000002</v>
      </c>
      <c r="T7129">
        <v>-0.1876835</v>
      </c>
      <c r="U7129">
        <v>0.21406559999999999</v>
      </c>
      <c r="V7129">
        <v>-0.1438808</v>
      </c>
      <c r="W7129">
        <v>0.1163969</v>
      </c>
      <c r="X7129">
        <v>0.98272590000000004</v>
      </c>
      <c r="Y7129">
        <v>-0.15983049999999999</v>
      </c>
      <c r="Z7129">
        <v>1.052354E-2</v>
      </c>
      <c r="AA7129">
        <v>0.98708839999999998</v>
      </c>
      <c r="AB7129">
        <v>35</v>
      </c>
      <c r="AC7129">
        <v>17.754300000000001</v>
      </c>
      <c r="AD7129">
        <v>-1.1212915425034999</v>
      </c>
      <c r="AE7129">
        <v>1.3048</v>
      </c>
      <c r="AF7129">
        <v>-2.8917398284223799</v>
      </c>
      <c r="AG7129">
        <v>-1.1212915425034999</v>
      </c>
      <c r="AH7129">
        <v>17.494450780978202</v>
      </c>
      <c r="AI7129">
        <v>93.6183420221315</v>
      </c>
      <c r="AJ7129">
        <v>99.385821345507594</v>
      </c>
      <c r="AK7129">
        <v>17.767252519358301</v>
      </c>
      <c r="AL7129">
        <v>83.315797736148198</v>
      </c>
      <c r="AM7129">
        <v>98.3294891641753</v>
      </c>
      <c r="AN7129">
        <v>1.0000000587345199</v>
      </c>
    </row>
    <row r="7130" spans="1:40" x14ac:dyDescent="0.25">
      <c r="A7130" t="str">
        <f>"20190312164205087"</f>
        <v>20190312164205087</v>
      </c>
      <c r="B7130" t="str">
        <f>"1552380125083509"</f>
        <v>1552380125083509</v>
      </c>
      <c r="C7130" t="s">
        <v>40</v>
      </c>
      <c r="D7130">
        <v>5.7568830000000002</v>
      </c>
      <c r="E7130">
        <v>0.49426819999999999</v>
      </c>
      <c r="F7130" t="s">
        <v>41</v>
      </c>
      <c r="G7130">
        <v>-118.2145</v>
      </c>
      <c r="H7130" s="1">
        <v>-9.7784380000000005E-7</v>
      </c>
      <c r="I7130">
        <v>140.47909999999999</v>
      </c>
      <c r="J7130">
        <v>-136.53380000000001</v>
      </c>
      <c r="K7130">
        <v>1.1210230000000001</v>
      </c>
      <c r="L7130">
        <v>139.00989999999999</v>
      </c>
      <c r="M7130">
        <v>0.99678279999999997</v>
      </c>
      <c r="N7130">
        <v>0</v>
      </c>
      <c r="O7130">
        <v>-7.8706780000000004E-2</v>
      </c>
      <c r="P7130">
        <v>0.99244120000000002</v>
      </c>
      <c r="Q7130">
        <v>0.1084965</v>
      </c>
      <c r="R7130">
        <v>5.7351060000000002E-2</v>
      </c>
      <c r="S7130">
        <v>3.0280300000000002</v>
      </c>
      <c r="T7130">
        <v>-0.18174870000000001</v>
      </c>
      <c r="U7130">
        <v>0.2344513</v>
      </c>
      <c r="V7130">
        <v>-0.138590299999999</v>
      </c>
      <c r="W7130">
        <v>0.11968819999999999</v>
      </c>
      <c r="X7130">
        <v>0.98309080000000004</v>
      </c>
      <c r="Y7130">
        <v>-0.15501879999999901</v>
      </c>
      <c r="Z7130">
        <v>9.3544950000000009E-3</v>
      </c>
      <c r="AA7130">
        <v>0.98786719999999895</v>
      </c>
      <c r="AB7130">
        <v>35</v>
      </c>
      <c r="AC7130">
        <v>18.319299999999998</v>
      </c>
      <c r="AD7130">
        <v>-1.12102397784379</v>
      </c>
      <c r="AE7130">
        <v>1.4692000000000001</v>
      </c>
      <c r="AF7130">
        <v>-2.8958848685605099</v>
      </c>
      <c r="AG7130">
        <v>-1.12102397784379</v>
      </c>
      <c r="AH7130">
        <v>18.0795387281152</v>
      </c>
      <c r="AI7130">
        <v>93.5035439732128</v>
      </c>
      <c r="AJ7130">
        <v>99.100036924299403</v>
      </c>
      <c r="AK7130">
        <v>18.344278796188</v>
      </c>
      <c r="AL7130">
        <v>83.125892134879294</v>
      </c>
      <c r="AM7130">
        <v>98.024339664286501</v>
      </c>
      <c r="AN7130">
        <v>1.0000000287589801</v>
      </c>
    </row>
    <row r="7131" spans="1:40" x14ac:dyDescent="0.25">
      <c r="A7131" t="str">
        <f>"20190312164205111"</f>
        <v>20190312164205111</v>
      </c>
      <c r="B7131" t="str">
        <f>"1552380125103030"</f>
        <v>1552380125103030</v>
      </c>
      <c r="C7131" t="s">
        <v>40</v>
      </c>
      <c r="D7131">
        <v>5.8596969999999997</v>
      </c>
      <c r="E7131">
        <v>0.49429299999999998</v>
      </c>
      <c r="F7131" t="s">
        <v>41</v>
      </c>
      <c r="G7131">
        <v>-117.02549999999999</v>
      </c>
      <c r="H7131" s="1">
        <v>-1.5306860000000001E-6</v>
      </c>
      <c r="I7131">
        <v>140.63980000000001</v>
      </c>
      <c r="J7131">
        <v>-136.1652</v>
      </c>
      <c r="K7131">
        <v>1.1207400000000001</v>
      </c>
      <c r="L7131">
        <v>138.99080000000001</v>
      </c>
      <c r="M7131">
        <v>0.99762079999999997</v>
      </c>
      <c r="N7131">
        <v>0</v>
      </c>
      <c r="O7131">
        <v>-6.7266469999999995E-2</v>
      </c>
      <c r="P7131">
        <v>0.99186050000000003</v>
      </c>
      <c r="Q7131">
        <v>0.1108007</v>
      </c>
      <c r="R7131">
        <v>6.2738840000000004E-2</v>
      </c>
      <c r="S7131">
        <v>3.0272519999999998</v>
      </c>
      <c r="T7131">
        <v>-0.17395829999999901</v>
      </c>
      <c r="U7131">
        <v>0.25292969999999998</v>
      </c>
      <c r="V7131">
        <v>-0.1325942</v>
      </c>
      <c r="W7131">
        <v>0.1222126</v>
      </c>
      <c r="X7131">
        <v>0.98360709999999996</v>
      </c>
      <c r="Y7131">
        <v>-0.1497568</v>
      </c>
      <c r="Z7131">
        <v>8.1482949999999998E-3</v>
      </c>
      <c r="AA7131">
        <v>0.98868929999999999</v>
      </c>
      <c r="AB7131">
        <v>35</v>
      </c>
      <c r="AC7131">
        <v>19.139700000000001</v>
      </c>
      <c r="AD7131">
        <v>-1.120741530686</v>
      </c>
      <c r="AE7131">
        <v>1.649</v>
      </c>
      <c r="AF7131">
        <v>-2.92292282544605</v>
      </c>
      <c r="AG7131">
        <v>-1.120741530686</v>
      </c>
      <c r="AH7131">
        <v>18.921006401460598</v>
      </c>
      <c r="AI7131">
        <v>93.350173961383405</v>
      </c>
      <c r="AJ7131">
        <v>98.781652921006895</v>
      </c>
      <c r="AK7131">
        <v>19.178217400640602</v>
      </c>
      <c r="AL7131">
        <v>82.980184969959296</v>
      </c>
      <c r="AM7131">
        <v>97.677420143652498</v>
      </c>
      <c r="AN7131">
        <v>1.0000000343213999</v>
      </c>
    </row>
    <row r="7132" spans="1:40" x14ac:dyDescent="0.25">
      <c r="A7132" t="str">
        <f>"20190312164205131"</f>
        <v>20190312164205131</v>
      </c>
      <c r="B7132" t="str">
        <f>"1552380125123525"</f>
        <v>1552380125123525</v>
      </c>
      <c r="C7132" t="s">
        <v>40</v>
      </c>
      <c r="D7132">
        <v>5.9187969999999996</v>
      </c>
      <c r="E7132">
        <v>0.4943419</v>
      </c>
      <c r="F7132" t="s">
        <v>41</v>
      </c>
      <c r="G7132">
        <v>-115.8528</v>
      </c>
      <c r="H7132" s="1">
        <v>-2.0763509999999998E-6</v>
      </c>
      <c r="I7132">
        <v>140.79990000000001</v>
      </c>
      <c r="J7132">
        <v>-135.85419999999999</v>
      </c>
      <c r="K7132">
        <v>1.1204799999999999</v>
      </c>
      <c r="L7132">
        <v>138.9778</v>
      </c>
      <c r="M7132">
        <v>0.99820660000000005</v>
      </c>
      <c r="N7132">
        <v>0</v>
      </c>
      <c r="O7132">
        <v>-5.7941310000000003E-2</v>
      </c>
      <c r="P7132">
        <v>0.99173529999999999</v>
      </c>
      <c r="Q7132">
        <v>0.1103933</v>
      </c>
      <c r="R7132">
        <v>6.5381259999999997E-2</v>
      </c>
      <c r="S7132">
        <v>3.0262449999999999</v>
      </c>
      <c r="T7132">
        <v>-0.16697379999999901</v>
      </c>
      <c r="U7132">
        <v>0.26953129999999997</v>
      </c>
      <c r="V7132">
        <v>-0.1259208</v>
      </c>
      <c r="W7132">
        <v>0.12203509999999999</v>
      </c>
      <c r="X7132">
        <v>0.98450570000000004</v>
      </c>
      <c r="Y7132">
        <v>-0.14597570000000001</v>
      </c>
      <c r="Z7132">
        <v>7.2054060000000001E-3</v>
      </c>
      <c r="AA7132">
        <v>0.98926190000000003</v>
      </c>
      <c r="AB7132">
        <v>35</v>
      </c>
      <c r="AC7132">
        <v>20.001399999999901</v>
      </c>
      <c r="AD7132">
        <v>-1.1204820763509999</v>
      </c>
      <c r="AE7132">
        <v>1.8221000000000001</v>
      </c>
      <c r="AF7132">
        <v>-2.9688363855487498</v>
      </c>
      <c r="AG7132">
        <v>-1.1204820763509999</v>
      </c>
      <c r="AH7132">
        <v>19.800575119023598</v>
      </c>
      <c r="AI7132">
        <v>93.203091451653293</v>
      </c>
      <c r="AJ7132">
        <v>98.527228450383902</v>
      </c>
      <c r="AK7132">
        <v>20.053235265454799</v>
      </c>
      <c r="AL7132">
        <v>82.990431732449494</v>
      </c>
      <c r="AM7132">
        <v>97.288703372535593</v>
      </c>
      <c r="AN7132">
        <v>1.0000000434185601</v>
      </c>
    </row>
    <row r="7133" spans="1:40" x14ac:dyDescent="0.25">
      <c r="A7133" t="str">
        <f>"20190312164205151"</f>
        <v>20190312164205151</v>
      </c>
      <c r="B7133" t="str">
        <f>"1552380125143045"</f>
        <v>1552380125143045</v>
      </c>
      <c r="C7133" t="s">
        <v>40</v>
      </c>
      <c r="D7133">
        <v>5.917713</v>
      </c>
      <c r="E7133">
        <v>0.49440679999999998</v>
      </c>
      <c r="F7133" t="s">
        <v>41</v>
      </c>
      <c r="G7133">
        <v>-115.65819999999999</v>
      </c>
      <c r="H7133" s="1">
        <v>-2.1709510000000002E-6</v>
      </c>
      <c r="I7133">
        <v>140.8416</v>
      </c>
      <c r="J7133">
        <v>-135.5274</v>
      </c>
      <c r="K7133">
        <v>1.1201749999999999</v>
      </c>
      <c r="L7133">
        <v>138.96700000000001</v>
      </c>
      <c r="M7133">
        <v>0.99871129999999997</v>
      </c>
      <c r="N7133">
        <v>0</v>
      </c>
      <c r="O7133">
        <v>-4.8481419999999997E-2</v>
      </c>
      <c r="P7133">
        <v>0.99183619999999995</v>
      </c>
      <c r="Q7133">
        <v>0.10863109999999999</v>
      </c>
      <c r="R7133">
        <v>6.6787260000000001E-2</v>
      </c>
      <c r="S7133">
        <v>3.0252840000000001</v>
      </c>
      <c r="T7133">
        <v>-0.16784389999999999</v>
      </c>
      <c r="U7133">
        <v>0.27920529999999999</v>
      </c>
      <c r="V7133">
        <v>-0.11784459999999999</v>
      </c>
      <c r="W7133">
        <v>0.12053800000000001</v>
      </c>
      <c r="X7133">
        <v>0.98568920000000004</v>
      </c>
      <c r="Y7133">
        <v>-0.139786299999999</v>
      </c>
      <c r="Z7133">
        <v>6.5495479999999997E-3</v>
      </c>
      <c r="AA7133">
        <v>0.99016000000000004</v>
      </c>
      <c r="AB7133">
        <v>35</v>
      </c>
      <c r="AC7133">
        <v>19.869199999999999</v>
      </c>
      <c r="AD7133">
        <v>-1.120177170951</v>
      </c>
      <c r="AE7133">
        <v>1.8745999999999801</v>
      </c>
      <c r="AF7133">
        <v>-2.8268849078920599</v>
      </c>
      <c r="AG7133">
        <v>-1.120177170951</v>
      </c>
      <c r="AH7133">
        <v>19.692896470509901</v>
      </c>
      <c r="AI7133">
        <v>93.222644097937106</v>
      </c>
      <c r="AJ7133">
        <v>98.168915802968598</v>
      </c>
      <c r="AK7133">
        <v>19.9262702625205</v>
      </c>
      <c r="AL7133">
        <v>83.0768467603055</v>
      </c>
      <c r="AM7133">
        <v>96.817667649928296</v>
      </c>
      <c r="AN7133">
        <v>0.99999997909489902</v>
      </c>
    </row>
    <row r="7134" spans="1:40" x14ac:dyDescent="0.25">
      <c r="A7134" t="str">
        <f>"20190312164205174"</f>
        <v>20190312164205174</v>
      </c>
      <c r="B7134" t="str">
        <f>"1552380125163258"</f>
        <v>1552380125163258</v>
      </c>
      <c r="C7134" t="s">
        <v>40</v>
      </c>
      <c r="D7134">
        <v>5.8457840000000001</v>
      </c>
      <c r="E7134">
        <v>0.49448160000000002</v>
      </c>
      <c r="F7134" t="s">
        <v>41</v>
      </c>
      <c r="G7134">
        <v>-115.9183</v>
      </c>
      <c r="H7134" s="1">
        <v>-2.0521810000000001E-6</v>
      </c>
      <c r="I7134">
        <v>140.81450000000001</v>
      </c>
      <c r="J7134">
        <v>-135.1815</v>
      </c>
      <c r="K7134">
        <v>1.1198220000000001</v>
      </c>
      <c r="L7134">
        <v>138.95869999999999</v>
      </c>
      <c r="M7134">
        <v>0.99913320000000005</v>
      </c>
      <c r="N7134">
        <v>0</v>
      </c>
      <c r="O7134">
        <v>-3.8848019999999997E-2</v>
      </c>
      <c r="P7134">
        <v>0.99169030000000002</v>
      </c>
      <c r="Q7134">
        <v>0.1095411</v>
      </c>
      <c r="R7134">
        <v>6.7461060000000003E-2</v>
      </c>
      <c r="S7134">
        <v>3.0244140000000002</v>
      </c>
      <c r="T7134">
        <v>-0.17277010000000001</v>
      </c>
      <c r="U7134">
        <v>0.28495789999999999</v>
      </c>
      <c r="V7134">
        <v>-0.1089022</v>
      </c>
      <c r="W7134">
        <v>0.1217251</v>
      </c>
      <c r="X7134">
        <v>0.98657150000000005</v>
      </c>
      <c r="Y7134">
        <v>-0.13213749999999999</v>
      </c>
      <c r="Z7134">
        <v>5.9761459999999999E-3</v>
      </c>
      <c r="AA7134">
        <v>0.99121340000000002</v>
      </c>
      <c r="AB7134">
        <v>35</v>
      </c>
      <c r="AC7134">
        <v>19.263200000000001</v>
      </c>
      <c r="AD7134">
        <v>-1.1198240521809999</v>
      </c>
      <c r="AE7134">
        <v>1.8558000000000101</v>
      </c>
      <c r="AF7134">
        <v>-2.5941336263105201</v>
      </c>
      <c r="AG7134">
        <v>-1.1198240521809999</v>
      </c>
      <c r="AH7134">
        <v>19.112557843817999</v>
      </c>
      <c r="AI7134">
        <v>93.322785973888102</v>
      </c>
      <c r="AJ7134">
        <v>97.729480304975695</v>
      </c>
      <c r="AK7134">
        <v>19.320284742008599</v>
      </c>
      <c r="AL7134">
        <v>83.0083265776167</v>
      </c>
      <c r="AM7134">
        <v>96.299064327388194</v>
      </c>
      <c r="AN7134">
        <v>1.00000000687355</v>
      </c>
    </row>
    <row r="7135" spans="1:40" x14ac:dyDescent="0.25">
      <c r="A7135" t="str">
        <f>"20190312164205197"</f>
        <v>20190312164205197</v>
      </c>
      <c r="B7135" t="str">
        <f>"1552380125193514"</f>
        <v>1552380125193514</v>
      </c>
      <c r="C7135" t="s">
        <v>40</v>
      </c>
      <c r="D7135">
        <v>5.8656329999999999</v>
      </c>
      <c r="E7135">
        <v>0.49459110000000001</v>
      </c>
      <c r="F7135" t="s">
        <v>41</v>
      </c>
      <c r="G7135">
        <v>-115.2831</v>
      </c>
      <c r="H7135" s="1">
        <v>-2.3332470000000002E-6</v>
      </c>
      <c r="I7135">
        <v>140.8468</v>
      </c>
      <c r="J7135">
        <v>-134.83330000000001</v>
      </c>
      <c r="K7135">
        <v>1.1194539999999999</v>
      </c>
      <c r="L7135">
        <v>138.95339999999999</v>
      </c>
      <c r="M7135">
        <v>0.99945229999999996</v>
      </c>
      <c r="N7135">
        <v>0</v>
      </c>
      <c r="O7135">
        <v>-2.9547739999999999E-2</v>
      </c>
      <c r="P7135">
        <v>0.99148910000000001</v>
      </c>
      <c r="Q7135">
        <v>0.1104194</v>
      </c>
      <c r="R7135">
        <v>6.8971580000000005E-2</v>
      </c>
      <c r="S7135">
        <v>3.0244140000000002</v>
      </c>
      <c r="T7135">
        <v>-0.17020539999999901</v>
      </c>
      <c r="U7135">
        <v>0.2869873</v>
      </c>
      <c r="V7135">
        <v>-0.1011143</v>
      </c>
      <c r="W7135">
        <v>0.12283819999999999</v>
      </c>
      <c r="X7135">
        <v>0.98726219999999998</v>
      </c>
      <c r="Y7135">
        <v>-0.1236032</v>
      </c>
      <c r="Z7135">
        <v>5.1259119999999998E-3</v>
      </c>
      <c r="AA7135">
        <v>0.99231849999999999</v>
      </c>
      <c r="AB7135">
        <v>35</v>
      </c>
      <c r="AC7135">
        <v>19.5502</v>
      </c>
      <c r="AD7135">
        <v>-1.119456333247</v>
      </c>
      <c r="AE7135">
        <v>1.89340000000001</v>
      </c>
      <c r="AF7135">
        <v>-2.46230314576778</v>
      </c>
      <c r="AG7135">
        <v>-1.119456333247</v>
      </c>
      <c r="AH7135">
        <v>19.422619322582101</v>
      </c>
      <c r="AI7135">
        <v>93.272556384674601</v>
      </c>
      <c r="AJ7135">
        <v>97.2251314564202</v>
      </c>
      <c r="AK7135">
        <v>19.610055089510698</v>
      </c>
      <c r="AL7135">
        <v>82.9440682813824</v>
      </c>
      <c r="AM7135">
        <v>95.847780084846804</v>
      </c>
      <c r="AN7135">
        <v>0.999999988296284</v>
      </c>
    </row>
    <row r="7136" spans="1:40" x14ac:dyDescent="0.25">
      <c r="A7136" t="str">
        <f>"20190312164205219"</f>
        <v>20190312164205219</v>
      </c>
      <c r="B7136" t="str">
        <f>"1552380125213034"</f>
        <v>1552380125213034</v>
      </c>
      <c r="C7136" t="s">
        <v>40</v>
      </c>
      <c r="D7136">
        <v>5.8679519999999998</v>
      </c>
      <c r="E7136">
        <v>0.49461860000000002</v>
      </c>
      <c r="F7136" t="s">
        <v>41</v>
      </c>
      <c r="G7136">
        <v>-114.6746</v>
      </c>
      <c r="H7136" s="1">
        <v>-2.6080319999999999E-6</v>
      </c>
      <c r="I7136">
        <v>140.89840000000001</v>
      </c>
      <c r="J7136">
        <v>-134.4819</v>
      </c>
      <c r="K7136">
        <v>1.1190709999999999</v>
      </c>
      <c r="L7136">
        <v>138.9512</v>
      </c>
      <c r="M7136">
        <v>0.9996775</v>
      </c>
      <c r="N7136">
        <v>0</v>
      </c>
      <c r="O7136">
        <v>-2.060853E-2</v>
      </c>
      <c r="P7136">
        <v>0.99142810000000003</v>
      </c>
      <c r="Q7136">
        <v>0.1101222</v>
      </c>
      <c r="R7136">
        <v>7.0311490000000004E-2</v>
      </c>
      <c r="S7136">
        <v>3.0241389999999999</v>
      </c>
      <c r="T7136">
        <v>-0.1679368</v>
      </c>
      <c r="U7136">
        <v>0.29179379999999999</v>
      </c>
      <c r="V7136">
        <v>-9.34807E-2</v>
      </c>
      <c r="W7136">
        <v>0.1227615</v>
      </c>
      <c r="X7136">
        <v>0.98802380000000001</v>
      </c>
      <c r="Y7136">
        <v>-0.11632820000000001</v>
      </c>
      <c r="Z7136">
        <v>4.3612859999999998E-3</v>
      </c>
      <c r="AA7136">
        <v>0.99320129999999995</v>
      </c>
      <c r="AB7136">
        <v>35</v>
      </c>
      <c r="AC7136">
        <v>19.807300000000001</v>
      </c>
      <c r="AD7136">
        <v>-1.1190736080319901</v>
      </c>
      <c r="AE7136">
        <v>1.9472</v>
      </c>
      <c r="AF7136">
        <v>-2.3476087428959</v>
      </c>
      <c r="AG7136">
        <v>-1.1190736080319901</v>
      </c>
      <c r="AH7136">
        <v>19.700675890913001</v>
      </c>
      <c r="AI7136">
        <v>93.228333670858902</v>
      </c>
      <c r="AJ7136">
        <v>96.795541986717197</v>
      </c>
      <c r="AK7136">
        <v>19.871593371159602</v>
      </c>
      <c r="AL7136">
        <v>82.948496665234202</v>
      </c>
      <c r="AM7136">
        <v>95.404882780536695</v>
      </c>
      <c r="AN7136">
        <v>1.0000000282605801</v>
      </c>
    </row>
    <row r="7137" spans="1:40" x14ac:dyDescent="0.25">
      <c r="A7137" t="str">
        <f>"20190312164205242"</f>
        <v>20190312164205242</v>
      </c>
      <c r="B7137" t="str">
        <f>"1552380125233531"</f>
        <v>1552380125233531</v>
      </c>
      <c r="C7137" t="s">
        <v>40</v>
      </c>
      <c r="D7137">
        <v>5.8707890000000003</v>
      </c>
      <c r="E7137">
        <v>0.49466529999999997</v>
      </c>
      <c r="F7137" t="s">
        <v>41</v>
      </c>
      <c r="G7137">
        <v>-114.5361</v>
      </c>
      <c r="H7137" s="1">
        <v>-2.6690350000000001E-6</v>
      </c>
      <c r="I7137">
        <v>140.90440000000001</v>
      </c>
      <c r="J7137">
        <v>-134.14410000000001</v>
      </c>
      <c r="K7137">
        <v>1.118695</v>
      </c>
      <c r="L7137">
        <v>138.95179999999999</v>
      </c>
      <c r="M7137">
        <v>0.99981330000000002</v>
      </c>
      <c r="N7137">
        <v>0</v>
      </c>
      <c r="O7137">
        <v>-1.2430470000000001E-2</v>
      </c>
      <c r="P7137">
        <v>0.99150130000000003</v>
      </c>
      <c r="Q7137">
        <v>0.109697</v>
      </c>
      <c r="R7137">
        <v>6.9942820000000003E-2</v>
      </c>
      <c r="S7137">
        <v>3.0237729999999998</v>
      </c>
      <c r="T7137">
        <v>-0.169651</v>
      </c>
      <c r="U7137">
        <v>0.29611209999999999</v>
      </c>
      <c r="V7137">
        <v>-8.4890729999999998E-2</v>
      </c>
      <c r="W7137">
        <v>0.1225637</v>
      </c>
      <c r="X7137">
        <v>0.98882340000000002</v>
      </c>
      <c r="Y7137">
        <v>-0.1096367</v>
      </c>
      <c r="Z7137">
        <v>3.7612740000000002E-3</v>
      </c>
      <c r="AA7137">
        <v>0.99396459999999998</v>
      </c>
      <c r="AB7137">
        <v>35</v>
      </c>
      <c r="AC7137">
        <v>19.608000000000001</v>
      </c>
      <c r="AD7137">
        <v>-1.1186976690349999</v>
      </c>
      <c r="AE7137">
        <v>1.9526000000000101</v>
      </c>
      <c r="AF7137">
        <v>-2.1891565732923999</v>
      </c>
      <c r="AG7137">
        <v>-1.1186976690349999</v>
      </c>
      <c r="AH7137">
        <v>19.519297745598301</v>
      </c>
      <c r="AI7137">
        <v>93.259777090635495</v>
      </c>
      <c r="AJ7137">
        <v>96.399178253250994</v>
      </c>
      <c r="AK7137">
        <v>19.673506943562799</v>
      </c>
      <c r="AL7137">
        <v>82.959915850026306</v>
      </c>
      <c r="AM7137">
        <v>94.906825376833893</v>
      </c>
      <c r="AN7137">
        <v>1.00000000649259</v>
      </c>
    </row>
    <row r="7138" spans="1:40" x14ac:dyDescent="0.25">
      <c r="A7138" t="str">
        <f>"20190312164205266"</f>
        <v>20190312164205266</v>
      </c>
      <c r="B7138" t="str">
        <f>"1552380125253051"</f>
        <v>1552380125253051</v>
      </c>
      <c r="C7138" t="s">
        <v>40</v>
      </c>
      <c r="D7138">
        <v>5.9797479999999998</v>
      </c>
      <c r="E7138">
        <v>0.49478430000000001</v>
      </c>
      <c r="F7138" t="s">
        <v>41</v>
      </c>
      <c r="G7138">
        <v>-114.4417</v>
      </c>
      <c r="H7138" s="1">
        <v>-2.7012719999999999E-6</v>
      </c>
      <c r="I7138">
        <v>140.8733</v>
      </c>
      <c r="J7138">
        <v>-133.78030000000001</v>
      </c>
      <c r="K7138">
        <v>1.118322</v>
      </c>
      <c r="L7138">
        <v>138.95519999999999</v>
      </c>
      <c r="M7138">
        <v>0.99988330000000003</v>
      </c>
      <c r="N7138">
        <v>0</v>
      </c>
      <c r="O7138">
        <v>-4.012336E-3</v>
      </c>
      <c r="P7138">
        <v>0.99156029999999995</v>
      </c>
      <c r="Q7138">
        <v>0.1107452</v>
      </c>
      <c r="R7138">
        <v>6.740604E-2</v>
      </c>
      <c r="S7138">
        <v>3.0239259999999999</v>
      </c>
      <c r="T7138">
        <v>-0.1716973</v>
      </c>
      <c r="U7138">
        <v>0.29492190000000001</v>
      </c>
      <c r="V7138">
        <v>-7.3916300000000004E-2</v>
      </c>
      <c r="W7138">
        <v>0.1238698</v>
      </c>
      <c r="X7138">
        <v>0.98954160000000002</v>
      </c>
      <c r="Y7138">
        <v>-0.1008945</v>
      </c>
      <c r="Z7138">
        <v>3.082446E-3</v>
      </c>
      <c r="AA7138">
        <v>0.99489240000000001</v>
      </c>
      <c r="AB7138">
        <v>35</v>
      </c>
      <c r="AC7138">
        <v>19.3386</v>
      </c>
      <c r="AD7138">
        <v>-1.1183247012719999</v>
      </c>
      <c r="AE7138">
        <v>1.9180999999999999</v>
      </c>
      <c r="AF7138">
        <v>-1.9890989050357999</v>
      </c>
      <c r="AG7138">
        <v>-1.1183247012719999</v>
      </c>
      <c r="AH7138">
        <v>19.266943531868002</v>
      </c>
      <c r="AI7138">
        <v>93.304408057687496</v>
      </c>
      <c r="AJ7138">
        <v>95.894274023036601</v>
      </c>
      <c r="AK7138">
        <v>19.401605027720802</v>
      </c>
      <c r="AL7138">
        <v>82.884506881853397</v>
      </c>
      <c r="AM7138">
        <v>94.271918854730302</v>
      </c>
      <c r="AN7138">
        <v>0.99999996244414402</v>
      </c>
    </row>
    <row r="7139" spans="1:40" x14ac:dyDescent="0.25">
      <c r="A7139" t="str">
        <f>"20190312164205288"</f>
        <v>20190312164205288</v>
      </c>
      <c r="B7139" t="str">
        <f>"1552380125282801"</f>
        <v>1552380125282801</v>
      </c>
      <c r="C7139" t="s">
        <v>40</v>
      </c>
      <c r="D7139">
        <v>5.8722329999999996</v>
      </c>
      <c r="E7139">
        <v>0.49579590000000001</v>
      </c>
      <c r="F7139" t="s">
        <v>41</v>
      </c>
      <c r="G7139">
        <v>-113.7448</v>
      </c>
      <c r="H7139" s="1">
        <v>-2.9954149999999999E-6</v>
      </c>
      <c r="I7139">
        <v>140.8552</v>
      </c>
      <c r="J7139">
        <v>-133.43680000000001</v>
      </c>
      <c r="K7139">
        <v>1.117966</v>
      </c>
      <c r="L7139">
        <v>138.96100000000001</v>
      </c>
      <c r="M7139">
        <v>0.99988569999999999</v>
      </c>
      <c r="N7139">
        <v>0</v>
      </c>
      <c r="O7139">
        <v>3.5647230000000001E-3</v>
      </c>
      <c r="P7139">
        <v>0.99151440000000002</v>
      </c>
      <c r="Q7139">
        <v>0.1121352</v>
      </c>
      <c r="R7139">
        <v>6.5764619999999996E-2</v>
      </c>
      <c r="S7139">
        <v>3.0248870000000001</v>
      </c>
      <c r="T7139">
        <v>-0.16883979999999901</v>
      </c>
      <c r="U7139">
        <v>0.28684999999999999</v>
      </c>
      <c r="V7139">
        <v>-6.4679769999999998E-2</v>
      </c>
      <c r="W7139">
        <v>0.12545990000000001</v>
      </c>
      <c r="X7139">
        <v>0.98998799999999998</v>
      </c>
      <c r="Y7139">
        <v>-9.0722220000000006E-2</v>
      </c>
      <c r="Z7139">
        <v>2.3259119999999999E-3</v>
      </c>
      <c r="AA7139">
        <v>0.99587349999999997</v>
      </c>
      <c r="AB7139">
        <v>35</v>
      </c>
      <c r="AC7139">
        <v>19.692</v>
      </c>
      <c r="AD7139">
        <v>-1.1179689954150001</v>
      </c>
      <c r="AE7139">
        <v>1.8941999999999799</v>
      </c>
      <c r="AF7139">
        <v>-1.8181773357603399</v>
      </c>
      <c r="AG7139">
        <v>-1.1179689954150001</v>
      </c>
      <c r="AH7139">
        <v>19.635918701977499</v>
      </c>
      <c r="AI7139">
        <v>93.244760962125596</v>
      </c>
      <c r="AJ7139">
        <v>95.290187426229707</v>
      </c>
      <c r="AK7139">
        <v>19.751580361319299</v>
      </c>
      <c r="AL7139">
        <v>82.7926844419801</v>
      </c>
      <c r="AM7139">
        <v>93.738043729839802</v>
      </c>
      <c r="AN7139">
        <v>0.99999994964963002</v>
      </c>
    </row>
    <row r="7140" spans="1:40" x14ac:dyDescent="0.25">
      <c r="A7140" t="str">
        <f>"20190312164205310"</f>
        <v>20190312164205310</v>
      </c>
      <c r="B7140" t="str">
        <f>"1552380125303296"</f>
        <v>1552380125303296</v>
      </c>
      <c r="C7140" t="s">
        <v>40</v>
      </c>
      <c r="D7140">
        <v>5.8614810000000004</v>
      </c>
      <c r="E7140">
        <v>0.49621549999999998</v>
      </c>
      <c r="F7140" t="s">
        <v>41</v>
      </c>
      <c r="G7140">
        <v>-113.11369999999999</v>
      </c>
      <c r="H7140" s="1">
        <v>-3.251701E-6</v>
      </c>
      <c r="I7140">
        <v>140.80090000000001</v>
      </c>
      <c r="J7140">
        <v>-133.09289999999999</v>
      </c>
      <c r="K7140">
        <v>1.1176010000000001</v>
      </c>
      <c r="L7140">
        <v>138.96899999999999</v>
      </c>
      <c r="M7140">
        <v>0.99983500000000003</v>
      </c>
      <c r="N7140">
        <v>0</v>
      </c>
      <c r="O7140">
        <v>1.0752889999999999E-2</v>
      </c>
      <c r="P7140">
        <v>0.99164280000000005</v>
      </c>
      <c r="Q7140">
        <v>0.11138190000000001</v>
      </c>
      <c r="R7140">
        <v>6.5106819999999996E-2</v>
      </c>
      <c r="S7140">
        <v>3.0263209999999998</v>
      </c>
      <c r="T7140">
        <v>-0.16647719999999999</v>
      </c>
      <c r="U7140">
        <v>0.27398679999999997</v>
      </c>
      <c r="V7140">
        <v>-5.6761310000000002E-2</v>
      </c>
      <c r="W7140">
        <v>0.12486849999999999</v>
      </c>
      <c r="X7140">
        <v>0.99054830000000005</v>
      </c>
      <c r="Y7140">
        <v>-7.9347539999999994E-2</v>
      </c>
      <c r="Z7140">
        <v>1.5865089999999901E-3</v>
      </c>
      <c r="AA7140">
        <v>0.99684569999999995</v>
      </c>
      <c r="AB7140">
        <v>35</v>
      </c>
      <c r="AC7140">
        <v>19.979199999999899</v>
      </c>
      <c r="AD7140">
        <v>-1.1176042517010001</v>
      </c>
      <c r="AE7140">
        <v>1.8319000000000101</v>
      </c>
      <c r="AF7140">
        <v>-1.61193503958092</v>
      </c>
      <c r="AG7140">
        <v>-1.1176042517010001</v>
      </c>
      <c r="AH7140">
        <v>19.9358836422339</v>
      </c>
      <c r="AI7140">
        <v>93.1982232645137</v>
      </c>
      <c r="AJ7140">
        <v>94.6226490330682</v>
      </c>
      <c r="AK7140">
        <v>20.032144928388</v>
      </c>
      <c r="AL7140">
        <v>82.826837834768696</v>
      </c>
      <c r="AM7140">
        <v>93.279628918041197</v>
      </c>
      <c r="AN7140">
        <v>0.99999996161902704</v>
      </c>
    </row>
    <row r="7141" spans="1:40" x14ac:dyDescent="0.25">
      <c r="A7141" t="str">
        <f>"20190312164205331"</f>
        <v>20190312164205331</v>
      </c>
      <c r="B7141" t="str">
        <f>"1552380125322817"</f>
        <v>1552380125322817</v>
      </c>
      <c r="C7141" t="s">
        <v>40</v>
      </c>
      <c r="D7141">
        <v>5.8548499999999999</v>
      </c>
      <c r="E7141">
        <v>0.49633500000000003</v>
      </c>
      <c r="F7141" t="s">
        <v>41</v>
      </c>
      <c r="G7141">
        <v>-113.27200000000001</v>
      </c>
      <c r="H7141" s="1">
        <v>-3.1632519999999998E-6</v>
      </c>
      <c r="I7141">
        <v>140.72370000000001</v>
      </c>
      <c r="J7141">
        <v>-132.75890000000001</v>
      </c>
      <c r="K7141">
        <v>1.1172169999999999</v>
      </c>
      <c r="L7141">
        <v>138.97890000000001</v>
      </c>
      <c r="M7141">
        <v>0.99974339999999995</v>
      </c>
      <c r="N7141">
        <v>0</v>
      </c>
      <c r="O7141">
        <v>1.7336440000000002E-2</v>
      </c>
      <c r="P7141">
        <v>0.99213470000000004</v>
      </c>
      <c r="Q7141">
        <v>0.10809879999999999</v>
      </c>
      <c r="R7141">
        <v>6.3117210000000007E-2</v>
      </c>
      <c r="S7141">
        <v>3.0268549999999999</v>
      </c>
      <c r="T7141">
        <v>-0.1706693</v>
      </c>
      <c r="U7141">
        <v>0.26795960000000002</v>
      </c>
      <c r="V7141">
        <v>-4.805355E-2</v>
      </c>
      <c r="W7141">
        <v>0.1217516</v>
      </c>
      <c r="X7141">
        <v>0.99139670000000002</v>
      </c>
      <c r="Y7141">
        <v>-7.0814269999999999E-2</v>
      </c>
      <c r="Z7141">
        <v>1.016245E-3</v>
      </c>
      <c r="AA7141">
        <v>0.99748899999999996</v>
      </c>
      <c r="AB7141">
        <v>35</v>
      </c>
      <c r="AC7141">
        <v>19.486899999999999</v>
      </c>
      <c r="AD7141">
        <v>-1.11722016325199</v>
      </c>
      <c r="AE7141">
        <v>1.7447999999999899</v>
      </c>
      <c r="AF7141">
        <v>-1.4020963794507399</v>
      </c>
      <c r="AG7141">
        <v>-1.11722016325199</v>
      </c>
      <c r="AH7141">
        <v>19.4507974114501</v>
      </c>
      <c r="AI7141">
        <v>93.2788694277221</v>
      </c>
      <c r="AJ7141">
        <v>94.122992641440206</v>
      </c>
      <c r="AK7141">
        <v>19.533242820681899</v>
      </c>
      <c r="AL7141">
        <v>83.0067968575527</v>
      </c>
      <c r="AM7141">
        <v>92.774986512040698</v>
      </c>
      <c r="AN7141">
        <v>1.0000000062705201</v>
      </c>
    </row>
    <row r="7142" spans="1:40" x14ac:dyDescent="0.25">
      <c r="A7142" t="str">
        <f>"20190312164205353"</f>
        <v>20190312164205353</v>
      </c>
      <c r="B7142" t="str">
        <f>"1552380125343313"</f>
        <v>1552380125343313</v>
      </c>
      <c r="C7142" t="s">
        <v>40</v>
      </c>
      <c r="D7142">
        <v>5.8045159999999996</v>
      </c>
      <c r="E7142">
        <v>0.49651129999999999</v>
      </c>
      <c r="F7142" t="s">
        <v>41</v>
      </c>
      <c r="G7142">
        <v>-114.1035</v>
      </c>
      <c r="H7142" s="1">
        <v>-2.7711180000000001E-6</v>
      </c>
      <c r="I7142">
        <v>140.59059999999999</v>
      </c>
      <c r="J7142">
        <v>-132.43010000000001</v>
      </c>
      <c r="K7142">
        <v>1.116819</v>
      </c>
      <c r="L7142">
        <v>138.99039999999999</v>
      </c>
      <c r="M7142">
        <v>0.99961990000000001</v>
      </c>
      <c r="N7142">
        <v>0</v>
      </c>
      <c r="O7142">
        <v>2.3426470000000001E-2</v>
      </c>
      <c r="P7142">
        <v>0.99254920000000002</v>
      </c>
      <c r="Q7142">
        <v>0.10575619999999999</v>
      </c>
      <c r="R7142">
        <v>6.051409E-2</v>
      </c>
      <c r="S7142">
        <v>3.0268860000000002</v>
      </c>
      <c r="T7142">
        <v>-0.18127170000000001</v>
      </c>
      <c r="U7142">
        <v>0.26150509999999999</v>
      </c>
      <c r="V7142">
        <v>-3.9233490000000003E-2</v>
      </c>
      <c r="W7142">
        <v>0.1195595</v>
      </c>
      <c r="X7142">
        <v>0.99205149999999998</v>
      </c>
      <c r="Y7142">
        <v>-6.2638159999999998E-2</v>
      </c>
      <c r="Z7142">
        <v>4.7166889999999999E-4</v>
      </c>
      <c r="AA7142">
        <v>0.99803620000000004</v>
      </c>
      <c r="AB7142">
        <v>35</v>
      </c>
      <c r="AC7142">
        <v>18.326599999999999</v>
      </c>
      <c r="AD7142">
        <v>-1.116821771118</v>
      </c>
      <c r="AE7142">
        <v>1.6002000000000001</v>
      </c>
      <c r="AF7142">
        <v>-1.1660901368087799</v>
      </c>
      <c r="AG7142">
        <v>-1.116821771118</v>
      </c>
      <c r="AH7142">
        <v>18.291645173525499</v>
      </c>
      <c r="AI7142">
        <v>93.486875237420506</v>
      </c>
      <c r="AJ7142">
        <v>93.647662837731005</v>
      </c>
      <c r="AK7142">
        <v>18.362770494393398</v>
      </c>
      <c r="AL7142">
        <v>83.133318958424297</v>
      </c>
      <c r="AM7142">
        <v>92.264743872117606</v>
      </c>
      <c r="AN7142">
        <v>0.99999995971503897</v>
      </c>
    </row>
    <row r="7143" spans="1:40" x14ac:dyDescent="0.25">
      <c r="A7143" t="str">
        <f>"20190312164205376"</f>
        <v>20190312164205376</v>
      </c>
      <c r="B7143" t="str">
        <f>"1552380125362832"</f>
        <v>1552380125362832</v>
      </c>
      <c r="C7143" t="s">
        <v>40</v>
      </c>
      <c r="D7143">
        <v>5.8540580000000002</v>
      </c>
      <c r="E7143">
        <v>0.49676700000000001</v>
      </c>
      <c r="F7143" t="s">
        <v>41</v>
      </c>
      <c r="G7143">
        <v>-114.4928</v>
      </c>
      <c r="H7143" s="1">
        <v>-2.579804E-6</v>
      </c>
      <c r="I7143">
        <v>140.49930000000001</v>
      </c>
      <c r="J7143">
        <v>-132.08449999999999</v>
      </c>
      <c r="K7143">
        <v>1.1163920000000001</v>
      </c>
      <c r="L7143">
        <v>139.0043</v>
      </c>
      <c r="M7143">
        <v>0.99946239999999997</v>
      </c>
      <c r="N7143">
        <v>0</v>
      </c>
      <c r="O7143">
        <v>2.9410209999999999E-2</v>
      </c>
      <c r="P7143">
        <v>0.99272700000000003</v>
      </c>
      <c r="Q7143">
        <v>0.1059514</v>
      </c>
      <c r="R7143">
        <v>5.7161740000000003E-2</v>
      </c>
      <c r="S7143">
        <v>3.0270999999999999</v>
      </c>
      <c r="T7143">
        <v>-0.18847539999999999</v>
      </c>
      <c r="U7143">
        <v>0.2546387</v>
      </c>
      <c r="V7143">
        <v>-2.980472E-2</v>
      </c>
      <c r="W7143">
        <v>0.11989420000000001</v>
      </c>
      <c r="X7143">
        <v>0.99233919999999998</v>
      </c>
      <c r="Y7143">
        <v>-5.442951E-2</v>
      </c>
      <c r="Z7143">
        <v>-1.3575370000000001E-4</v>
      </c>
      <c r="AA7143">
        <v>0.99851760000000001</v>
      </c>
      <c r="AB7143">
        <v>35</v>
      </c>
      <c r="AC7143">
        <v>17.5916999999999</v>
      </c>
      <c r="AD7143">
        <v>-1.116394579804</v>
      </c>
      <c r="AE7143">
        <v>1.4950000000000001</v>
      </c>
      <c r="AF7143">
        <v>-0.97303260688823601</v>
      </c>
      <c r="AG7143">
        <v>-1.116394579804</v>
      </c>
      <c r="AH7143">
        <v>17.557856895358601</v>
      </c>
      <c r="AI7143">
        <v>93.632624436186106</v>
      </c>
      <c r="AJ7143">
        <v>93.172009698204505</v>
      </c>
      <c r="AK7143">
        <v>17.620200568375299</v>
      </c>
      <c r="AL7143">
        <v>83.114003495746601</v>
      </c>
      <c r="AM7143">
        <v>91.720350711045896</v>
      </c>
      <c r="AN7143">
        <v>1.00000001419227</v>
      </c>
    </row>
    <row r="7144" spans="1:40" x14ac:dyDescent="0.25">
      <c r="A7144" t="str">
        <f>"20190312164205399"</f>
        <v>20190312164205399</v>
      </c>
      <c r="B7144" t="str">
        <f>"1552380125393088"</f>
        <v>1552380125393088</v>
      </c>
      <c r="C7144" t="s">
        <v>40</v>
      </c>
      <c r="D7144">
        <v>5.8910970000000002</v>
      </c>
      <c r="E7144">
        <v>0.49720950000000003</v>
      </c>
      <c r="F7144" t="s">
        <v>41</v>
      </c>
      <c r="G7144">
        <v>-114.18089999999999</v>
      </c>
      <c r="H7144" s="1">
        <v>-2.6991539999999999E-6</v>
      </c>
      <c r="I7144">
        <v>140.44489999999999</v>
      </c>
      <c r="J7144">
        <v>-131.7184</v>
      </c>
      <c r="K7144">
        <v>1.1159410000000001</v>
      </c>
      <c r="L7144">
        <v>139.02090000000001</v>
      </c>
      <c r="M7144">
        <v>0.99927429999999995</v>
      </c>
      <c r="N7144">
        <v>0</v>
      </c>
      <c r="O7144">
        <v>3.5250410000000003E-2</v>
      </c>
      <c r="P7144">
        <v>0.99295230000000001</v>
      </c>
      <c r="Q7144">
        <v>0.10528319999999999</v>
      </c>
      <c r="R7144">
        <v>5.4418019999999998E-2</v>
      </c>
      <c r="S7144">
        <v>3.0281069999999999</v>
      </c>
      <c r="T7144">
        <v>-0.1888196</v>
      </c>
      <c r="U7144">
        <v>0.24365229999999999</v>
      </c>
      <c r="V7144">
        <v>-2.1099469999999999E-2</v>
      </c>
      <c r="W7144">
        <v>0.1193351</v>
      </c>
      <c r="X7144">
        <v>0.99262980000000001</v>
      </c>
      <c r="Y7144">
        <v>-4.4995210000000001E-2</v>
      </c>
      <c r="Z7144">
        <v>-7.9227300000000002E-4</v>
      </c>
      <c r="AA7144">
        <v>0.99898690000000001</v>
      </c>
      <c r="AB7144">
        <v>35</v>
      </c>
      <c r="AC7144">
        <v>17.537500000000001</v>
      </c>
      <c r="AD7144">
        <v>-1.1159436991539999</v>
      </c>
      <c r="AE7144">
        <v>1.42399999999997</v>
      </c>
      <c r="AF7144">
        <v>-0.80162184152075</v>
      </c>
      <c r="AG7144">
        <v>-1.1159436991539999</v>
      </c>
      <c r="AH7144">
        <v>17.506380887963001</v>
      </c>
      <c r="AI7144">
        <v>93.643575191631399</v>
      </c>
      <c r="AJ7144">
        <v>92.621757632201096</v>
      </c>
      <c r="AK7144">
        <v>17.560219238691701</v>
      </c>
      <c r="AL7144">
        <v>83.146269032508499</v>
      </c>
      <c r="AM7144">
        <v>91.2177032757278</v>
      </c>
      <c r="AN7144">
        <v>0.99999998678716495</v>
      </c>
    </row>
    <row r="7145" spans="1:40" x14ac:dyDescent="0.25">
      <c r="A7145" t="str">
        <f>"20190312164205421"</f>
        <v>20190312164205421</v>
      </c>
      <c r="B7145" t="str">
        <f>"1552380125413585"</f>
        <v>1552380125413585</v>
      </c>
      <c r="C7145" t="s">
        <v>40</v>
      </c>
      <c r="D7145">
        <v>5.8339660000000002</v>
      </c>
      <c r="E7145">
        <v>0.49735049999999997</v>
      </c>
      <c r="F7145" t="s">
        <v>41</v>
      </c>
      <c r="G7145">
        <v>-114.173</v>
      </c>
      <c r="H7145" s="1">
        <v>-2.679042E-6</v>
      </c>
      <c r="I7145">
        <v>140.35650000000001</v>
      </c>
      <c r="J7145">
        <v>-131.38560000000001</v>
      </c>
      <c r="K7145">
        <v>1.1155280000000001</v>
      </c>
      <c r="L7145">
        <v>139.03749999999999</v>
      </c>
      <c r="M7145">
        <v>0.99909219999999999</v>
      </c>
      <c r="N7145">
        <v>0</v>
      </c>
      <c r="O7145">
        <v>4.0100669999999998E-2</v>
      </c>
      <c r="P7145">
        <v>0.99345309999999998</v>
      </c>
      <c r="Q7145">
        <v>0.1029733</v>
      </c>
      <c r="R7145">
        <v>4.9472759999999998E-2</v>
      </c>
      <c r="S7145">
        <v>3.0290680000000001</v>
      </c>
      <c r="T7145">
        <v>-0.19265699999999999</v>
      </c>
      <c r="U7145">
        <v>0.23057559999999999</v>
      </c>
      <c r="V7145">
        <v>-1.115843E-2</v>
      </c>
      <c r="W7145">
        <v>0.1171381</v>
      </c>
      <c r="X7145">
        <v>0.99305299999999996</v>
      </c>
      <c r="Y7145">
        <v>-3.5859679999999998E-2</v>
      </c>
      <c r="Z7145">
        <v>-1.405456E-3</v>
      </c>
      <c r="AA7145">
        <v>0.99935589999999996</v>
      </c>
      <c r="AB7145">
        <v>35</v>
      </c>
      <c r="AC7145">
        <v>17.212599999999998</v>
      </c>
      <c r="AD7145">
        <v>-1.1155306790420001</v>
      </c>
      <c r="AE7145">
        <v>1.3190000000000099</v>
      </c>
      <c r="AF7145">
        <v>-0.62502080472048904</v>
      </c>
      <c r="AG7145">
        <v>-1.1155306790420001</v>
      </c>
      <c r="AH7145">
        <v>17.1799125079832</v>
      </c>
      <c r="AI7145">
        <v>93.712680204013694</v>
      </c>
      <c r="AJ7145">
        <v>92.083553525253095</v>
      </c>
      <c r="AK7145">
        <v>17.227433165860099</v>
      </c>
      <c r="AL7145">
        <v>83.2730375563374</v>
      </c>
      <c r="AM7145">
        <v>90.643776354331393</v>
      </c>
      <c r="AN7145">
        <v>1.0000000529203299</v>
      </c>
    </row>
    <row r="7146" spans="1:40" x14ac:dyDescent="0.25">
      <c r="A7146" t="str">
        <f>"20190312164205442"</f>
        <v>20190312164205442</v>
      </c>
      <c r="B7146" t="str">
        <f>"1552380125433105"</f>
        <v>1552380125433105</v>
      </c>
      <c r="C7146" t="s">
        <v>40</v>
      </c>
      <c r="D7146">
        <v>5.8154729999999999</v>
      </c>
      <c r="E7146">
        <v>0.49756149999999999</v>
      </c>
      <c r="F7146" t="s">
        <v>41</v>
      </c>
      <c r="G7146">
        <v>-114.4936</v>
      </c>
      <c r="H7146" s="1">
        <v>-2.5088329999999999E-6</v>
      </c>
      <c r="I7146">
        <v>140.2337</v>
      </c>
      <c r="J7146">
        <v>-131.0599</v>
      </c>
      <c r="K7146">
        <v>1.1151470000000001</v>
      </c>
      <c r="L7146">
        <v>139.05500000000001</v>
      </c>
      <c r="M7146">
        <v>0.99890619999999997</v>
      </c>
      <c r="N7146">
        <v>0</v>
      </c>
      <c r="O7146">
        <v>4.4503429999999997E-2</v>
      </c>
      <c r="P7146">
        <v>0.99406919999999999</v>
      </c>
      <c r="Q7146">
        <v>9.8755949999999995E-2</v>
      </c>
      <c r="R7146">
        <v>4.553579E-2</v>
      </c>
      <c r="S7146">
        <v>3.0298310000000002</v>
      </c>
      <c r="T7146">
        <v>-0.20008609999999999</v>
      </c>
      <c r="U7146">
        <v>0.21455379999999999</v>
      </c>
      <c r="V7146">
        <v>-2.6525339999999998E-3</v>
      </c>
      <c r="W7146">
        <v>0.11299960000000001</v>
      </c>
      <c r="X7146">
        <v>0.99359149999999996</v>
      </c>
      <c r="Y7146">
        <v>-2.6209659999999999E-2</v>
      </c>
      <c r="Z7146">
        <v>-2.0671079999999998E-3</v>
      </c>
      <c r="AA7146">
        <v>0.99965440000000005</v>
      </c>
      <c r="AB7146">
        <v>35</v>
      </c>
      <c r="AC7146">
        <v>16.566299999999998</v>
      </c>
      <c r="AD7146">
        <v>-1.1151495088329999</v>
      </c>
      <c r="AE7146">
        <v>1.1786999999999901</v>
      </c>
      <c r="AF7146">
        <v>-0.43822319094349099</v>
      </c>
      <c r="AG7146">
        <v>-1.1151495088329999</v>
      </c>
      <c r="AH7146">
        <v>16.527830825230001</v>
      </c>
      <c r="AI7146">
        <v>93.858602203606097</v>
      </c>
      <c r="AJ7146">
        <v>91.5187993089489</v>
      </c>
      <c r="AK7146">
        <v>16.571203630984499</v>
      </c>
      <c r="AL7146">
        <v>83.511741596762107</v>
      </c>
      <c r="AM7146">
        <v>90.152958879142503</v>
      </c>
      <c r="AN7146">
        <v>1.0000000072045101</v>
      </c>
    </row>
    <row r="7147" spans="1:40" x14ac:dyDescent="0.25">
      <c r="A7147" t="str">
        <f>"20190312164205465"</f>
        <v>20190312164205465</v>
      </c>
      <c r="B7147" t="str">
        <f>"1552380125453601"</f>
        <v>1552380125453601</v>
      </c>
      <c r="C7147" t="s">
        <v>40</v>
      </c>
      <c r="D7147">
        <v>5.7716810000000001</v>
      </c>
      <c r="E7147">
        <v>0.49775930000000002</v>
      </c>
      <c r="F7147" t="s">
        <v>41</v>
      </c>
      <c r="G7147">
        <v>-115.2462</v>
      </c>
      <c r="H7147" s="1">
        <v>-2.1544710000000001E-6</v>
      </c>
      <c r="I7147">
        <v>140.11539999999999</v>
      </c>
      <c r="J7147">
        <v>-130.7088</v>
      </c>
      <c r="K7147">
        <v>1.114751</v>
      </c>
      <c r="L7147">
        <v>139.0752</v>
      </c>
      <c r="M7147">
        <v>0.99870329999999996</v>
      </c>
      <c r="N7147">
        <v>0</v>
      </c>
      <c r="O7147">
        <v>4.8857539999999998E-2</v>
      </c>
      <c r="P7147">
        <v>0.99445130000000004</v>
      </c>
      <c r="Q7147">
        <v>9.5710669999999998E-2</v>
      </c>
      <c r="R7147">
        <v>4.3658410000000002E-2</v>
      </c>
      <c r="S7147">
        <v>3.0297999999999998</v>
      </c>
      <c r="T7147">
        <v>-0.21365429999999999</v>
      </c>
      <c r="U7147">
        <v>0.20315549999999999</v>
      </c>
      <c r="V7147">
        <v>3.720817E-3</v>
      </c>
      <c r="W7147">
        <v>0.1099897</v>
      </c>
      <c r="X7147">
        <v>0.99392579999999997</v>
      </c>
      <c r="Y7147">
        <v>-1.8145049999999999E-2</v>
      </c>
      <c r="Z7147">
        <v>-2.7968540000000001E-3</v>
      </c>
      <c r="AA7147">
        <v>0.99983140000000004</v>
      </c>
      <c r="AB7147">
        <v>35</v>
      </c>
      <c r="AC7147">
        <v>15.462599999999901</v>
      </c>
      <c r="AD7147">
        <v>-1.1147531544710001</v>
      </c>
      <c r="AE7147">
        <v>1.04019999999999</v>
      </c>
      <c r="AF7147">
        <v>-0.28195671718924298</v>
      </c>
      <c r="AG7147">
        <v>-1.1147531544710001</v>
      </c>
      <c r="AH7147">
        <v>15.415197787258</v>
      </c>
      <c r="AI7147">
        <v>94.1354666389405</v>
      </c>
      <c r="AJ7147">
        <v>91.047870349598696</v>
      </c>
      <c r="AK7147">
        <v>15.4580237095838</v>
      </c>
      <c r="AL7147">
        <v>83.685278416100601</v>
      </c>
      <c r="AM7147">
        <v>89.785511036572601</v>
      </c>
      <c r="AN7147">
        <v>1.0000000372454301</v>
      </c>
    </row>
    <row r="7148" spans="1:40" x14ac:dyDescent="0.25">
      <c r="A7148" t="str">
        <f>"20190312164205488"</f>
        <v>20190312164205488</v>
      </c>
      <c r="B7148" t="str">
        <f>"1552380125482881"</f>
        <v>1552380125482881</v>
      </c>
      <c r="C7148" t="s">
        <v>40</v>
      </c>
      <c r="D7148">
        <v>5.8114980000000003</v>
      </c>
      <c r="E7148">
        <v>0.49810280000000001</v>
      </c>
      <c r="F7148" t="s">
        <v>41</v>
      </c>
      <c r="G7148">
        <v>-115.6216</v>
      </c>
      <c r="H7148" s="1">
        <v>-1.9757279999999999E-6</v>
      </c>
      <c r="I7148">
        <v>140.0489</v>
      </c>
      <c r="J7148">
        <v>-130.36510000000001</v>
      </c>
      <c r="K7148">
        <v>1.1143749999999999</v>
      </c>
      <c r="L7148">
        <v>139.096</v>
      </c>
      <c r="M7148">
        <v>0.99850729999999999</v>
      </c>
      <c r="N7148">
        <v>0</v>
      </c>
      <c r="O7148">
        <v>5.2724199999999999E-2</v>
      </c>
      <c r="P7148">
        <v>0.99483010000000005</v>
      </c>
      <c r="Q7148">
        <v>9.2388789999999998E-2</v>
      </c>
      <c r="R7148">
        <v>4.2160330000000003E-2</v>
      </c>
      <c r="S7148">
        <v>3.029709</v>
      </c>
      <c r="T7148">
        <v>-0.22385749999999999</v>
      </c>
      <c r="U7148">
        <v>0.1955414</v>
      </c>
      <c r="V7148">
        <v>9.2261319999999997E-3</v>
      </c>
      <c r="W7148">
        <v>0.10668519999999899</v>
      </c>
      <c r="X7148">
        <v>0.99425010000000003</v>
      </c>
      <c r="Y7148">
        <v>-1.1808509999999999E-2</v>
      </c>
      <c r="Z7148">
        <v>-3.448516E-3</v>
      </c>
      <c r="AA7148">
        <v>0.99992429999999999</v>
      </c>
      <c r="AB7148">
        <v>35</v>
      </c>
      <c r="AC7148">
        <v>14.743499999999999</v>
      </c>
      <c r="AD7148">
        <v>-1.114376975728</v>
      </c>
      <c r="AE7148">
        <v>0.95289999999999897</v>
      </c>
      <c r="AF7148">
        <v>-0.173170862964621</v>
      </c>
      <c r="AG7148">
        <v>-1.114376975728</v>
      </c>
      <c r="AH7148">
        <v>14.6896625561587</v>
      </c>
      <c r="AI7148">
        <v>94.337923023305507</v>
      </c>
      <c r="AJ7148">
        <v>90.675406937322506</v>
      </c>
      <c r="AK7148">
        <v>14.732888725759899</v>
      </c>
      <c r="AL7148">
        <v>83.875733510669093</v>
      </c>
      <c r="AM7148">
        <v>89.468339754054398</v>
      </c>
      <c r="AN7148">
        <v>1.00000005738036</v>
      </c>
    </row>
    <row r="7149" spans="1:40" x14ac:dyDescent="0.25">
      <c r="A7149" t="str">
        <f>"20190312164205511"</f>
        <v>20190312164205511</v>
      </c>
      <c r="B7149" t="str">
        <f>"1552380125503377"</f>
        <v>1552380125503377</v>
      </c>
      <c r="C7149" t="s">
        <v>40</v>
      </c>
      <c r="D7149">
        <v>5.7001189999999999</v>
      </c>
      <c r="E7149">
        <v>0.498222</v>
      </c>
      <c r="F7149" t="s">
        <v>41</v>
      </c>
      <c r="G7149">
        <v>-116.05110000000001</v>
      </c>
      <c r="H7149" s="1">
        <v>-1.773099E-6</v>
      </c>
      <c r="I7149">
        <v>139.97980000000001</v>
      </c>
      <c r="J7149">
        <v>-130.0127</v>
      </c>
      <c r="K7149">
        <v>1.1140019999999999</v>
      </c>
      <c r="L7149">
        <v>139.11840000000001</v>
      </c>
      <c r="M7149">
        <v>0.99831409999999998</v>
      </c>
      <c r="N7149">
        <v>0</v>
      </c>
      <c r="O7149">
        <v>5.6273799999999999E-2</v>
      </c>
      <c r="P7149">
        <v>0.99509630000000004</v>
      </c>
      <c r="Q7149">
        <v>9.0465299999999998E-2</v>
      </c>
      <c r="R7149">
        <v>3.9997339999999999E-2</v>
      </c>
      <c r="S7149">
        <v>3.0295719999999999</v>
      </c>
      <c r="T7149">
        <v>-0.23585919999999999</v>
      </c>
      <c r="U7149">
        <v>0.18705749999999999</v>
      </c>
      <c r="V7149">
        <v>1.506155E-2</v>
      </c>
      <c r="W7149">
        <v>0.1047691</v>
      </c>
      <c r="X7149">
        <v>0.99438249999999995</v>
      </c>
      <c r="Y7149">
        <v>-5.5091000000000003E-3</v>
      </c>
      <c r="Z7149">
        <v>-4.1531770000000001E-3</v>
      </c>
      <c r="AA7149">
        <v>0.99997619999999998</v>
      </c>
      <c r="AB7149">
        <v>34</v>
      </c>
      <c r="AC7149">
        <v>13.961599999999899</v>
      </c>
      <c r="AD7149">
        <v>-1.114003773099</v>
      </c>
      <c r="AE7149">
        <v>0.86140000000000305</v>
      </c>
      <c r="AF7149">
        <v>-7.3814828321082895E-2</v>
      </c>
      <c r="AG7149">
        <v>-1.114003773099</v>
      </c>
      <c r="AH7149">
        <v>13.899792867733</v>
      </c>
      <c r="AI7149">
        <v>94.582131846239605</v>
      </c>
      <c r="AJ7149">
        <v>90.304266287420106</v>
      </c>
      <c r="AK7149">
        <v>13.944557891924701</v>
      </c>
      <c r="AL7149">
        <v>83.9861363213884</v>
      </c>
      <c r="AM7149">
        <v>89.132228027783597</v>
      </c>
      <c r="AN7149">
        <v>0.99999998545473101</v>
      </c>
    </row>
    <row r="7150" spans="1:40" x14ac:dyDescent="0.25">
      <c r="A7150" t="str">
        <f>"20190312164205532"</f>
        <v>20190312164205532</v>
      </c>
      <c r="B7150" t="str">
        <f>"1552380125522897"</f>
        <v>1552380125522897</v>
      </c>
      <c r="C7150" t="s">
        <v>40</v>
      </c>
      <c r="D7150">
        <v>5.7297000000000002</v>
      </c>
      <c r="E7150">
        <v>0.49831370000000003</v>
      </c>
      <c r="F7150" t="s">
        <v>41</v>
      </c>
      <c r="G7150">
        <v>-116.0966</v>
      </c>
      <c r="H7150" s="1">
        <v>-1.7428169999999999E-6</v>
      </c>
      <c r="I7150">
        <v>139.93940000000001</v>
      </c>
      <c r="J7150">
        <v>-129.68559999999999</v>
      </c>
      <c r="K7150">
        <v>1.1136299999999999</v>
      </c>
      <c r="L7150">
        <v>139.13999999999999</v>
      </c>
      <c r="M7150">
        <v>0.99814650000000005</v>
      </c>
      <c r="N7150">
        <v>0</v>
      </c>
      <c r="O7150">
        <v>5.9179370000000002E-2</v>
      </c>
      <c r="P7150">
        <v>0.99511150000000004</v>
      </c>
      <c r="Q7150">
        <v>9.0524320000000005E-2</v>
      </c>
      <c r="R7150">
        <v>3.9474700000000001E-2</v>
      </c>
      <c r="S7150">
        <v>3.0296479999999999</v>
      </c>
      <c r="T7150">
        <v>-0.24252679999999999</v>
      </c>
      <c r="U7150">
        <v>0.1787415</v>
      </c>
      <c r="V7150">
        <v>1.858077E-2</v>
      </c>
      <c r="W7150">
        <v>0.1048065</v>
      </c>
      <c r="X7150">
        <v>0.99431899999999995</v>
      </c>
      <c r="Y7150">
        <v>1.0213590000000001E-4</v>
      </c>
      <c r="Z7150">
        <v>-4.7261439999999998E-3</v>
      </c>
      <c r="AA7150">
        <v>0.99998889999999996</v>
      </c>
      <c r="AB7150">
        <v>34</v>
      </c>
      <c r="AC7150">
        <v>13.589</v>
      </c>
      <c r="AD7150">
        <v>-1.1136317428169999</v>
      </c>
      <c r="AE7150">
        <v>0.79940000000001898</v>
      </c>
      <c r="AF7150">
        <v>6.2290881807671701E-3</v>
      </c>
      <c r="AG7150">
        <v>-1.1136317428169999</v>
      </c>
      <c r="AH7150">
        <v>13.5219914074182</v>
      </c>
      <c r="AI7150">
        <v>94.708087348611997</v>
      </c>
      <c r="AJ7150">
        <v>89.973605926303804</v>
      </c>
      <c r="AK7150">
        <v>13.567773070126099</v>
      </c>
      <c r="AL7150">
        <v>83.983981446562197</v>
      </c>
      <c r="AM7150">
        <v>88.929442354848504</v>
      </c>
      <c r="AN7150">
        <v>0.99999996060852003</v>
      </c>
    </row>
    <row r="7151" spans="1:40" x14ac:dyDescent="0.25">
      <c r="A7151" t="str">
        <f>"20190312164205555"</f>
        <v>20190312164205555</v>
      </c>
      <c r="B7151" t="str">
        <f>"1552380125543393"</f>
        <v>1552380125543393</v>
      </c>
      <c r="C7151" t="s">
        <v>40</v>
      </c>
      <c r="D7151">
        <v>5.6532850000000003</v>
      </c>
      <c r="E7151">
        <v>0.49842059999999999</v>
      </c>
      <c r="F7151" t="s">
        <v>41</v>
      </c>
      <c r="G7151">
        <v>-115.79770000000001</v>
      </c>
      <c r="H7151" s="1">
        <v>-1.8707980000000001E-6</v>
      </c>
      <c r="I7151">
        <v>139.9385</v>
      </c>
      <c r="J7151">
        <v>-129.3485</v>
      </c>
      <c r="K7151">
        <v>1.113221</v>
      </c>
      <c r="L7151">
        <v>139.1628</v>
      </c>
      <c r="M7151">
        <v>0.99799070000000001</v>
      </c>
      <c r="N7151">
        <v>0</v>
      </c>
      <c r="O7151">
        <v>6.1760059999999999E-2</v>
      </c>
      <c r="P7151">
        <v>0.99509910000000001</v>
      </c>
      <c r="Q7151">
        <v>9.0628390000000003E-2</v>
      </c>
      <c r="R7151">
        <v>3.9552520000000001E-2</v>
      </c>
      <c r="S7151">
        <v>3.029938</v>
      </c>
      <c r="T7151">
        <v>-0.24296129999999999</v>
      </c>
      <c r="U7151">
        <v>0.17420959999999999</v>
      </c>
      <c r="V7151">
        <v>2.118343E-2</v>
      </c>
      <c r="W7151">
        <v>0.1048748</v>
      </c>
      <c r="X7151">
        <v>0.99425980000000003</v>
      </c>
      <c r="Y7151">
        <v>4.1621640000000003E-3</v>
      </c>
      <c r="Z7151">
        <v>-5.1027679999999997E-3</v>
      </c>
      <c r="AA7151">
        <v>0.99997829999999999</v>
      </c>
      <c r="AB7151">
        <v>34</v>
      </c>
      <c r="AC7151">
        <v>13.550799999999899</v>
      </c>
      <c r="AD7151">
        <v>-1.1132228707979901</v>
      </c>
      <c r="AE7151">
        <v>0.77569999999999995</v>
      </c>
      <c r="AF7151">
        <v>6.2343741009564801E-2</v>
      </c>
      <c r="AG7151">
        <v>-1.1132228707979901</v>
      </c>
      <c r="AH7151">
        <v>13.4821460007447</v>
      </c>
      <c r="AI7151">
        <v>94.720163326215996</v>
      </c>
      <c r="AJ7151">
        <v>89.7350564384313</v>
      </c>
      <c r="AK7151">
        <v>13.528171076960399</v>
      </c>
      <c r="AL7151">
        <v>83.980046731163597</v>
      </c>
      <c r="AM7151">
        <v>88.779456300242501</v>
      </c>
      <c r="AN7151">
        <v>1.0000000056388201</v>
      </c>
    </row>
    <row r="7152" spans="1:40" x14ac:dyDescent="0.25">
      <c r="A7152" t="str">
        <f>"20190312164205577"</f>
        <v>20190312164205577</v>
      </c>
      <c r="B7152" t="str">
        <f>"1552380125572676"</f>
        <v>1552380125572676</v>
      </c>
      <c r="C7152" t="s">
        <v>40</v>
      </c>
      <c r="D7152">
        <v>5.6180110000000001</v>
      </c>
      <c r="E7152">
        <v>0.49850660000000002</v>
      </c>
      <c r="F7152" t="s">
        <v>41</v>
      </c>
      <c r="G7152">
        <v>-115.48860000000001</v>
      </c>
      <c r="H7152" s="1">
        <v>-2.006763E-6</v>
      </c>
      <c r="I7152">
        <v>139.9512</v>
      </c>
      <c r="J7152">
        <v>-129.00380000000001</v>
      </c>
      <c r="K7152">
        <v>1.112784</v>
      </c>
      <c r="L7152">
        <v>139.1866</v>
      </c>
      <c r="M7152">
        <v>0.99785380000000001</v>
      </c>
      <c r="N7152">
        <v>0</v>
      </c>
      <c r="O7152">
        <v>6.3941990000000004E-2</v>
      </c>
      <c r="P7152">
        <v>0.99495829999999996</v>
      </c>
      <c r="Q7152">
        <v>9.1855569999999997E-2</v>
      </c>
      <c r="R7152">
        <v>4.0256239999999999E-2</v>
      </c>
      <c r="S7152">
        <v>3.03009</v>
      </c>
      <c r="T7152">
        <v>-0.24337610000000001</v>
      </c>
      <c r="U7152">
        <v>0.172348</v>
      </c>
      <c r="V7152">
        <v>2.2755959999999999E-2</v>
      </c>
      <c r="W7152">
        <v>0.1060527</v>
      </c>
      <c r="X7152">
        <v>0.99410010000000004</v>
      </c>
      <c r="Y7152">
        <v>6.9471740000000004E-3</v>
      </c>
      <c r="Z7152">
        <v>-5.3973129999999999E-3</v>
      </c>
      <c r="AA7152">
        <v>0.99996130000000005</v>
      </c>
      <c r="AB7152">
        <v>34</v>
      </c>
      <c r="AC7152">
        <v>13.5152</v>
      </c>
      <c r="AD7152">
        <v>-1.112786006763</v>
      </c>
      <c r="AE7152">
        <v>0.76460000000000095</v>
      </c>
      <c r="AF7152">
        <v>0.10056030915560001</v>
      </c>
      <c r="AG7152">
        <v>-1.112786006763</v>
      </c>
      <c r="AH7152">
        <v>13.4455727171357</v>
      </c>
      <c r="AI7152">
        <v>94.731014098772206</v>
      </c>
      <c r="AJ7152">
        <v>89.571489143920601</v>
      </c>
      <c r="AK7152">
        <v>13.491917238273</v>
      </c>
      <c r="AL7152">
        <v>83.912179563187806</v>
      </c>
      <c r="AM7152">
        <v>88.688670481982101</v>
      </c>
      <c r="AN7152">
        <v>1.00000000885641</v>
      </c>
    </row>
    <row r="7153" spans="1:40" x14ac:dyDescent="0.25">
      <c r="A7153" t="str">
        <f>"20190312164205600"</f>
        <v>20190312164205600</v>
      </c>
      <c r="B7153" t="str">
        <f>"1552380125593169"</f>
        <v>1552380125593169</v>
      </c>
      <c r="C7153" t="s">
        <v>40</v>
      </c>
      <c r="D7153">
        <v>5.6287120000000002</v>
      </c>
      <c r="E7153">
        <v>0.49861100000000003</v>
      </c>
      <c r="F7153" t="s">
        <v>41</v>
      </c>
      <c r="G7153">
        <v>-114.9988</v>
      </c>
      <c r="H7153" s="1">
        <v>-2.22651E-6</v>
      </c>
      <c r="I7153">
        <v>139.9873</v>
      </c>
      <c r="J7153">
        <v>-128.66030000000001</v>
      </c>
      <c r="K7153">
        <v>1.1123459999999901</v>
      </c>
      <c r="L7153">
        <v>139.2106</v>
      </c>
      <c r="M7153">
        <v>0.99774669999999999</v>
      </c>
      <c r="N7153">
        <v>0</v>
      </c>
      <c r="O7153">
        <v>6.5599619999999997E-2</v>
      </c>
      <c r="P7153">
        <v>0.99467969999999895</v>
      </c>
      <c r="Q7153">
        <v>9.4296309999999994E-2</v>
      </c>
      <c r="R7153">
        <v>4.1480620000000003E-2</v>
      </c>
      <c r="S7153">
        <v>3.0304259999999998</v>
      </c>
      <c r="T7153">
        <v>-0.240786</v>
      </c>
      <c r="U7153">
        <v>0.17326349999999999</v>
      </c>
      <c r="V7153">
        <v>2.3275609999999999E-2</v>
      </c>
      <c r="W7153">
        <v>0.1084364</v>
      </c>
      <c r="X7153">
        <v>0.99383089999999996</v>
      </c>
      <c r="Y7153">
        <v>8.3089449999999999E-3</v>
      </c>
      <c r="Z7153">
        <v>-5.5244539999999998E-3</v>
      </c>
      <c r="AA7153">
        <v>0.99995020000000001</v>
      </c>
      <c r="AB7153">
        <v>34</v>
      </c>
      <c r="AC7153">
        <v>13.6615</v>
      </c>
      <c r="AD7153">
        <v>-1.11234822650999</v>
      </c>
      <c r="AE7153">
        <v>0.77670000000000505</v>
      </c>
      <c r="AF7153">
        <v>0.12045537077259499</v>
      </c>
      <c r="AG7153">
        <v>-1.11234822650999</v>
      </c>
      <c r="AH7153">
        <v>13.5931973238373</v>
      </c>
      <c r="AI7153">
        <v>94.677978352900794</v>
      </c>
      <c r="AJ7153">
        <v>89.492289888861293</v>
      </c>
      <c r="AK7153">
        <v>13.639165720752301</v>
      </c>
      <c r="AL7153">
        <v>83.774811480031701</v>
      </c>
      <c r="AM7153">
        <v>88.658372895191803</v>
      </c>
      <c r="AN7153">
        <v>1.00000003233032</v>
      </c>
    </row>
    <row r="7154" spans="1:40" x14ac:dyDescent="0.25">
      <c r="A7154" t="str">
        <f>"20190312164205621"</f>
        <v>20190312164205621</v>
      </c>
      <c r="B7154" t="str">
        <f>"1552380125613665"</f>
        <v>1552380125613665</v>
      </c>
      <c r="C7154" t="s">
        <v>40</v>
      </c>
      <c r="D7154">
        <v>5.6584919999999999</v>
      </c>
      <c r="E7154">
        <v>0.51508620000000005</v>
      </c>
      <c r="F7154" t="s">
        <v>42</v>
      </c>
      <c r="G7154">
        <v>-127.65170000000001</v>
      </c>
      <c r="H7154">
        <v>1.0343450000000001</v>
      </c>
      <c r="I7154">
        <v>139.2688</v>
      </c>
      <c r="J7154">
        <v>-128.32589999999999</v>
      </c>
      <c r="K7154">
        <v>1.111912</v>
      </c>
      <c r="L7154">
        <v>139.23400000000001</v>
      </c>
      <c r="M7154">
        <v>0.99767360000000005</v>
      </c>
      <c r="N7154">
        <v>0</v>
      </c>
      <c r="O7154">
        <v>6.6705819999999999E-2</v>
      </c>
      <c r="P7154">
        <v>0.99439120000000003</v>
      </c>
      <c r="Q7154">
        <v>9.6830860000000005E-2</v>
      </c>
      <c r="R7154">
        <v>4.254438E-2</v>
      </c>
      <c r="S7154">
        <v>3.0309599999999999</v>
      </c>
      <c r="T7154">
        <v>-0.23445340000000001</v>
      </c>
      <c r="U7154">
        <v>0.17510990000000001</v>
      </c>
      <c r="V7154">
        <v>2.3407979999999998E-2</v>
      </c>
      <c r="W7154">
        <v>0.1109147</v>
      </c>
      <c r="X7154">
        <v>0.99355420000000005</v>
      </c>
      <c r="Y7154">
        <v>8.8278290000000006E-3</v>
      </c>
      <c r="Z7154">
        <v>-5.4837169999999999E-3</v>
      </c>
      <c r="AA7154">
        <v>0.999946</v>
      </c>
      <c r="AB7154">
        <v>34</v>
      </c>
      <c r="AC7154">
        <v>0.67419999999998403</v>
      </c>
      <c r="AD7154">
        <v>-7.75669999999999E-2</v>
      </c>
      <c r="AE7154">
        <v>3.4799999999989902E-2</v>
      </c>
      <c r="AF7154">
        <v>1.01214192361782E-2</v>
      </c>
      <c r="AG7154">
        <v>-7.75669999999999E-2</v>
      </c>
      <c r="AH7154">
        <v>0.66622452407663901</v>
      </c>
      <c r="AI7154">
        <v>96.640158286072193</v>
      </c>
      <c r="AJ7154">
        <v>89.129617756809694</v>
      </c>
      <c r="AK7154">
        <v>0.67080116211698504</v>
      </c>
      <c r="AL7154">
        <v>83.631953158626004</v>
      </c>
      <c r="AM7154">
        <v>88.650370160031699</v>
      </c>
      <c r="AN7154">
        <v>0.99999997627070503</v>
      </c>
    </row>
    <row r="7155" spans="1:40" x14ac:dyDescent="0.25">
      <c r="A7155" t="str">
        <f>"20190312164205643"</f>
        <v>20190312164205643</v>
      </c>
      <c r="B7155" t="str">
        <f>"1552380125633185"</f>
        <v>1552380125633185</v>
      </c>
      <c r="C7155" t="s">
        <v>40</v>
      </c>
      <c r="D7155">
        <v>5.6058909999999997</v>
      </c>
      <c r="E7155">
        <v>0.51556469999999999</v>
      </c>
      <c r="F7155" t="s">
        <v>42</v>
      </c>
      <c r="G7155">
        <v>-127.3403</v>
      </c>
      <c r="H7155">
        <v>1.041423</v>
      </c>
      <c r="I7155">
        <v>139.24850000000001</v>
      </c>
      <c r="J7155">
        <v>-127.9875</v>
      </c>
      <c r="K7155">
        <v>1.1114949999999999</v>
      </c>
      <c r="L7155">
        <v>139.2577</v>
      </c>
      <c r="M7155">
        <v>0.99762669999999998</v>
      </c>
      <c r="N7155">
        <v>0</v>
      </c>
      <c r="O7155">
        <v>6.7410429999999993E-2</v>
      </c>
      <c r="P7155">
        <v>0.99415310000000001</v>
      </c>
      <c r="Q7155">
        <v>9.8607360000000005E-2</v>
      </c>
      <c r="R7155">
        <v>4.4002659999999999E-2</v>
      </c>
      <c r="S7155">
        <v>3.0361790000000002</v>
      </c>
      <c r="T7155">
        <v>-0.217113</v>
      </c>
      <c r="U7155">
        <v>4.4586180000000003E-2</v>
      </c>
      <c r="V7155">
        <v>2.2749390000000001E-2</v>
      </c>
      <c r="W7155">
        <v>0.11263860000000001</v>
      </c>
      <c r="X7155">
        <v>0.99337549999999997</v>
      </c>
      <c r="Y7155">
        <v>5.245408E-2</v>
      </c>
      <c r="Z7155">
        <v>-6.6841260000000003E-3</v>
      </c>
      <c r="AA7155">
        <v>0.99860099999999996</v>
      </c>
      <c r="AB7155">
        <v>34</v>
      </c>
      <c r="AC7155">
        <v>0.647199999999997</v>
      </c>
      <c r="AD7155">
        <v>-7.0072000000000106E-2</v>
      </c>
      <c r="AE7155">
        <v>-9.1999999999927695E-3</v>
      </c>
      <c r="AF7155">
        <v>5.2199618065199301E-2</v>
      </c>
      <c r="AG7155">
        <v>-7.0072000000000106E-2</v>
      </c>
      <c r="AH7155">
        <v>0.637634290183553</v>
      </c>
      <c r="AI7155">
        <v>96.250537842676806</v>
      </c>
      <c r="AJ7155">
        <v>85.319945451683395</v>
      </c>
      <c r="AK7155">
        <v>0.64359332915128598</v>
      </c>
      <c r="AL7155">
        <v>83.532557816919805</v>
      </c>
      <c r="AM7155">
        <v>88.688093035355905</v>
      </c>
      <c r="AN7155">
        <v>0.99999993647778895</v>
      </c>
    </row>
    <row r="7156" spans="1:40" x14ac:dyDescent="0.25">
      <c r="A7156" t="str">
        <f>"20190312164205678"</f>
        <v>20190312164205678</v>
      </c>
      <c r="B7156" t="str">
        <f>"1552380125673202"</f>
        <v>1552380125673202</v>
      </c>
      <c r="C7156" t="s">
        <v>40</v>
      </c>
      <c r="D7156">
        <v>5.5359590000000001</v>
      </c>
      <c r="E7156">
        <v>0.51471940000000005</v>
      </c>
      <c r="F7156" t="s">
        <v>42</v>
      </c>
      <c r="G7156">
        <v>-127.0331</v>
      </c>
      <c r="H7156">
        <v>1.044789</v>
      </c>
      <c r="I7156">
        <v>139.2714</v>
      </c>
      <c r="J7156">
        <v>-127.47150000000001</v>
      </c>
      <c r="K7156">
        <v>1.1109230000000001</v>
      </c>
      <c r="L7156">
        <v>139.29339999999999</v>
      </c>
      <c r="M7156">
        <v>0.99760420000000005</v>
      </c>
      <c r="N7156">
        <v>0</v>
      </c>
      <c r="O7156">
        <v>6.7749069999999995E-2</v>
      </c>
      <c r="P7156">
        <v>0.99399749999999998</v>
      </c>
      <c r="Q7156">
        <v>9.9440970000000004E-2</v>
      </c>
      <c r="R7156">
        <v>4.5615080000000002E-2</v>
      </c>
      <c r="S7156">
        <v>3.036743</v>
      </c>
      <c r="T7156">
        <v>-0.21229329999999999</v>
      </c>
      <c r="U7156">
        <v>4.4189449999999998E-2</v>
      </c>
      <c r="V7156">
        <v>2.1628310000000001E-2</v>
      </c>
      <c r="W7156">
        <v>0.1134028</v>
      </c>
      <c r="X7156">
        <v>0.99331369999999997</v>
      </c>
      <c r="Y7156">
        <v>5.2937680000000001E-2</v>
      </c>
      <c r="Z7156">
        <v>-6.5753869999999898E-3</v>
      </c>
      <c r="AA7156">
        <v>0.99857620000000002</v>
      </c>
      <c r="AB7156">
        <v>34</v>
      </c>
      <c r="AC7156">
        <v>0.43840000000000101</v>
      </c>
      <c r="AD7156">
        <v>-6.6133999999999901E-2</v>
      </c>
      <c r="AE7156">
        <v>-2.1999999999991301E-2</v>
      </c>
      <c r="AF7156">
        <v>5.0507060263627501E-2</v>
      </c>
      <c r="AG7156">
        <v>-6.6133999999999901E-2</v>
      </c>
      <c r="AH7156">
        <v>0.42622677319044799</v>
      </c>
      <c r="AI7156">
        <v>98.759446326826406</v>
      </c>
      <c r="AJ7156">
        <v>83.242072900455597</v>
      </c>
      <c r="AK7156">
        <v>0.43427402786353098</v>
      </c>
      <c r="AL7156">
        <v>83.4884907145711</v>
      </c>
      <c r="AM7156">
        <v>88.752644709322695</v>
      </c>
      <c r="AN7156">
        <v>1.0000000427244899</v>
      </c>
    </row>
    <row r="7157" spans="1:40" x14ac:dyDescent="0.25">
      <c r="A7157" t="str">
        <f>"20190312164205694"</f>
        <v>20190312164205694</v>
      </c>
      <c r="B7157" t="str">
        <f>"1552380125682961"</f>
        <v>1552380125682961</v>
      </c>
      <c r="C7157" t="s">
        <v>40</v>
      </c>
      <c r="D7157">
        <v>5.5266669999999998</v>
      </c>
      <c r="E7157">
        <v>0.51574169999999997</v>
      </c>
      <c r="F7157" t="s">
        <v>42</v>
      </c>
      <c r="G7157">
        <v>-126.72320000000001</v>
      </c>
      <c r="H7157">
        <v>1.050092</v>
      </c>
      <c r="I7157">
        <v>139.30760000000001</v>
      </c>
      <c r="J7157">
        <v>-127.21850000000001</v>
      </c>
      <c r="K7157">
        <v>1.110649</v>
      </c>
      <c r="L7157">
        <v>139.31059999999999</v>
      </c>
      <c r="M7157">
        <v>0.99761949999999999</v>
      </c>
      <c r="N7157">
        <v>0</v>
      </c>
      <c r="O7157">
        <v>6.7525189999999999E-2</v>
      </c>
      <c r="P7157">
        <v>0.99387939999999997</v>
      </c>
      <c r="Q7157">
        <v>9.981719E-2</v>
      </c>
      <c r="R7157">
        <v>4.733147E-2</v>
      </c>
      <c r="S7157">
        <v>3.0401919999999998</v>
      </c>
      <c r="T7157">
        <v>-0.24717829999999999</v>
      </c>
      <c r="U7157">
        <v>5.7754519999999997E-2</v>
      </c>
      <c r="V7157">
        <v>1.9762519999999999E-2</v>
      </c>
      <c r="W7157">
        <v>0.11374769999999899</v>
      </c>
      <c r="X7157">
        <v>0.99331309999999995</v>
      </c>
      <c r="Y7157">
        <v>4.8188090000000003E-2</v>
      </c>
      <c r="Z7157">
        <v>-7.4325540000000001E-3</v>
      </c>
      <c r="AA7157">
        <v>0.99881059999999999</v>
      </c>
      <c r="AB7157">
        <v>34</v>
      </c>
      <c r="AC7157">
        <v>0.49530000000000002</v>
      </c>
      <c r="AD7157">
        <v>-6.0556999999999903E-2</v>
      </c>
      <c r="AE7157">
        <v>-2.9999999999858998E-3</v>
      </c>
      <c r="AF7157">
        <v>3.5904952160800502E-2</v>
      </c>
      <c r="AG7157">
        <v>-6.0556999999999903E-2</v>
      </c>
      <c r="AH7157">
        <v>0.48669174395108</v>
      </c>
      <c r="AI7157">
        <v>97.073592378809806</v>
      </c>
      <c r="AJ7157">
        <v>85.780733368578197</v>
      </c>
      <c r="AK7157">
        <v>0.49175722614803802</v>
      </c>
      <c r="AL7157">
        <v>83.468600456671595</v>
      </c>
      <c r="AM7157">
        <v>88.860218774774197</v>
      </c>
      <c r="AN7157">
        <v>1.0000000055418199</v>
      </c>
    </row>
    <row r="7158" spans="1:40" x14ac:dyDescent="0.25">
      <c r="A7158" t="str">
        <f>"20190312164205712"</f>
        <v>20190312164205712</v>
      </c>
      <c r="B7158" t="str">
        <f>"1552380125703457"</f>
        <v>1552380125703457</v>
      </c>
      <c r="C7158" t="s">
        <v>40</v>
      </c>
      <c r="D7158">
        <v>5.6498010000000001</v>
      </c>
      <c r="E7158">
        <v>0.51527309999999904</v>
      </c>
      <c r="F7158" t="s">
        <v>42</v>
      </c>
      <c r="G7158">
        <v>-126.4225</v>
      </c>
      <c r="H7158">
        <v>1.0449759999999999</v>
      </c>
      <c r="I7158">
        <v>139.32480000000001</v>
      </c>
      <c r="J7158">
        <v>-126.9512</v>
      </c>
      <c r="K7158">
        <v>1.110341</v>
      </c>
      <c r="L7158">
        <v>139.32849999999999</v>
      </c>
      <c r="M7158">
        <v>0.99765280000000001</v>
      </c>
      <c r="N7158">
        <v>0</v>
      </c>
      <c r="O7158">
        <v>6.7035250000000005E-2</v>
      </c>
      <c r="P7158">
        <v>0.99383500000000002</v>
      </c>
      <c r="Q7158">
        <v>9.9704409999999993E-2</v>
      </c>
      <c r="R7158">
        <v>4.8491159999999998E-2</v>
      </c>
      <c r="S7158">
        <v>3.041077</v>
      </c>
      <c r="T7158">
        <v>-0.25101129999999999</v>
      </c>
      <c r="U7158">
        <v>5.46875E-2</v>
      </c>
      <c r="V7158">
        <v>1.8200850000000001E-2</v>
      </c>
      <c r="W7158">
        <v>0.113607</v>
      </c>
      <c r="X7158">
        <v>0.99335899999999999</v>
      </c>
      <c r="Y7158">
        <v>4.86983E-2</v>
      </c>
      <c r="Z7158">
        <v>-7.5260759999999996E-3</v>
      </c>
      <c r="AA7158">
        <v>0.99878520000000004</v>
      </c>
      <c r="AB7158">
        <v>34</v>
      </c>
      <c r="AC7158">
        <v>0.52869999999999995</v>
      </c>
      <c r="AD7158">
        <v>-6.5364999999999895E-2</v>
      </c>
      <c r="AE7158">
        <v>-3.69999999998071E-3</v>
      </c>
      <c r="AF7158">
        <v>3.8547492945463301E-2</v>
      </c>
      <c r="AG7158">
        <v>-6.5364999999999895E-2</v>
      </c>
      <c r="AH7158">
        <v>0.519324849498222</v>
      </c>
      <c r="AI7158">
        <v>97.154352138246196</v>
      </c>
      <c r="AJ7158">
        <v>85.754938576085195</v>
      </c>
      <c r="AK7158">
        <v>0.52483977721179997</v>
      </c>
      <c r="AL7158">
        <v>83.476714286387207</v>
      </c>
      <c r="AM7158">
        <v>88.9503138201664</v>
      </c>
      <c r="AN7158">
        <v>0.99999996213536002</v>
      </c>
    </row>
    <row r="7159" spans="1:40" x14ac:dyDescent="0.25">
      <c r="A7159" t="str">
        <f>"20190312164205733"</f>
        <v>20190312164205733</v>
      </c>
      <c r="B7159" t="str">
        <f>"1552380125722977"</f>
        <v>1552380125722977</v>
      </c>
      <c r="C7159" t="s">
        <v>40</v>
      </c>
      <c r="D7159">
        <v>5.5285359999999999</v>
      </c>
      <c r="E7159">
        <v>0.51554909999999998</v>
      </c>
      <c r="F7159" t="s">
        <v>42</v>
      </c>
      <c r="G7159">
        <v>-126.1164</v>
      </c>
      <c r="H7159">
        <v>1.0458609999999999</v>
      </c>
      <c r="I7159">
        <v>139.345</v>
      </c>
      <c r="J7159">
        <v>-126.616</v>
      </c>
      <c r="K7159">
        <v>1.1099300000000001</v>
      </c>
      <c r="L7159">
        <v>139.35040000000001</v>
      </c>
      <c r="M7159">
        <v>0.99771670000000001</v>
      </c>
      <c r="N7159">
        <v>0</v>
      </c>
      <c r="O7159">
        <v>6.608021E-2</v>
      </c>
      <c r="P7159">
        <v>0.99388279999999996</v>
      </c>
      <c r="Q7159">
        <v>9.888914E-2</v>
      </c>
      <c r="R7159">
        <v>4.917506E-2</v>
      </c>
      <c r="S7159">
        <v>3.0392459999999999</v>
      </c>
      <c r="T7159">
        <v>-0.23478959999999999</v>
      </c>
      <c r="U7159">
        <v>6.0012820000000001E-2</v>
      </c>
      <c r="V7159">
        <v>1.6681189999999999E-2</v>
      </c>
      <c r="W7159">
        <v>0.11276269999999999</v>
      </c>
      <c r="X7159">
        <v>0.99348190000000003</v>
      </c>
      <c r="Y7159">
        <v>4.6041180000000001E-2</v>
      </c>
      <c r="Z7159">
        <v>-6.8692359999999999E-3</v>
      </c>
      <c r="AA7159">
        <v>0.99891589999999997</v>
      </c>
      <c r="AB7159">
        <v>34</v>
      </c>
      <c r="AC7159">
        <v>0.49959999999999999</v>
      </c>
      <c r="AD7159">
        <v>-6.4068999999999696E-2</v>
      </c>
      <c r="AE7159">
        <v>-5.4000000000087303E-3</v>
      </c>
      <c r="AF7159">
        <v>3.7783777606902401E-2</v>
      </c>
      <c r="AG7159">
        <v>-6.4068999999999696E-2</v>
      </c>
      <c r="AH7159">
        <v>0.490092010598492</v>
      </c>
      <c r="AI7159">
        <v>97.426165715243599</v>
      </c>
      <c r="AJ7159">
        <v>85.591486672126507</v>
      </c>
      <c r="AK7159">
        <v>0.49570417535433398</v>
      </c>
      <c r="AL7159">
        <v>83.525402148551393</v>
      </c>
      <c r="AM7159">
        <v>89.038057984127903</v>
      </c>
      <c r="AN7159">
        <v>0.999999987119358</v>
      </c>
    </row>
    <row r="7160" spans="1:40" x14ac:dyDescent="0.25">
      <c r="A7160" t="str">
        <f>"20190312164205755"</f>
        <v>20190312164205755</v>
      </c>
      <c r="B7160" t="str">
        <f>"1552380125743473"</f>
        <v>1552380125743473</v>
      </c>
      <c r="C7160" t="s">
        <v>40</v>
      </c>
      <c r="D7160">
        <v>5.639659</v>
      </c>
      <c r="E7160">
        <v>0.51597629999999906</v>
      </c>
      <c r="F7160" t="s">
        <v>42</v>
      </c>
      <c r="G7160">
        <v>-125.8085</v>
      </c>
      <c r="H7160">
        <v>1.048907</v>
      </c>
      <c r="I7160">
        <v>139.36580000000001</v>
      </c>
      <c r="J7160">
        <v>-126.2841</v>
      </c>
      <c r="K7160">
        <v>1.1095410000000001</v>
      </c>
      <c r="L7160">
        <v>139.37139999999999</v>
      </c>
      <c r="M7160">
        <v>0.99780170000000001</v>
      </c>
      <c r="N7160">
        <v>0</v>
      </c>
      <c r="O7160">
        <v>6.4784739999999993E-2</v>
      </c>
      <c r="P7160">
        <v>0.99391669999999999</v>
      </c>
      <c r="Q7160">
        <v>9.9056179999999994E-2</v>
      </c>
      <c r="R7160">
        <v>4.8137569999999998E-2</v>
      </c>
      <c r="S7160">
        <v>3.0384220000000002</v>
      </c>
      <c r="T7160">
        <v>-0.22966800000000001</v>
      </c>
      <c r="U7160">
        <v>5.8532710000000002E-2</v>
      </c>
      <c r="V7160">
        <v>1.6534770000000001E-2</v>
      </c>
      <c r="W7160">
        <v>0.1129049</v>
      </c>
      <c r="X7160">
        <v>0.99346820000000002</v>
      </c>
      <c r="Y7160">
        <v>4.5245399999999998E-2</v>
      </c>
      <c r="Z7160">
        <v>-6.5940670000000003E-3</v>
      </c>
      <c r="AA7160">
        <v>0.99895409999999996</v>
      </c>
      <c r="AB7160">
        <v>34</v>
      </c>
      <c r="AC7160">
        <v>0.47560000000000002</v>
      </c>
      <c r="AD7160">
        <v>-6.0633999999999799E-2</v>
      </c>
      <c r="AE7160">
        <v>-5.5999999999869496E-3</v>
      </c>
      <c r="AF7160">
        <v>3.5820722064246503E-2</v>
      </c>
      <c r="AG7160">
        <v>-6.0633999999999799E-2</v>
      </c>
      <c r="AH7160">
        <v>0.466654120785569</v>
      </c>
      <c r="AI7160">
        <v>97.381690097074795</v>
      </c>
      <c r="AJ7160">
        <v>85.610540482509407</v>
      </c>
      <c r="AK7160">
        <v>0.47193821050149798</v>
      </c>
      <c r="AL7160">
        <v>83.517202340530403</v>
      </c>
      <c r="AM7160">
        <v>89.046486767309005</v>
      </c>
      <c r="AN7160">
        <v>0.99999998973710102</v>
      </c>
    </row>
    <row r="7161" spans="1:40" x14ac:dyDescent="0.25">
      <c r="A7161" t="str">
        <f>"20190312164205778"</f>
        <v>20190312164205778</v>
      </c>
      <c r="B7161" t="str">
        <f>"1552380125773730"</f>
        <v>1552380125773730</v>
      </c>
      <c r="C7161" t="s">
        <v>40</v>
      </c>
      <c r="D7161">
        <v>5.714289</v>
      </c>
      <c r="E7161">
        <v>0.51587780000000005</v>
      </c>
      <c r="F7161" t="s">
        <v>41</v>
      </c>
      <c r="G7161">
        <v>-111.0607</v>
      </c>
      <c r="H7161" s="1">
        <v>-3.821423E-6</v>
      </c>
      <c r="I7161">
        <v>139.63200000000001</v>
      </c>
      <c r="J7161">
        <v>-125.9348</v>
      </c>
      <c r="K7161">
        <v>1.109175</v>
      </c>
      <c r="L7161">
        <v>139.39269999999999</v>
      </c>
      <c r="M7161">
        <v>0.99791030000000003</v>
      </c>
      <c r="N7161">
        <v>0</v>
      </c>
      <c r="O7161">
        <v>6.3092700000000002E-2</v>
      </c>
      <c r="P7161">
        <v>0.99394640000000001</v>
      </c>
      <c r="Q7161">
        <v>9.9524500000000002E-2</v>
      </c>
      <c r="R7161">
        <v>4.6535720000000003E-2</v>
      </c>
      <c r="S7161">
        <v>3.037903</v>
      </c>
      <c r="T7161">
        <v>-0.22141420000000001</v>
      </c>
      <c r="U7161">
        <v>5.2001949999999998E-2</v>
      </c>
      <c r="V7161">
        <v>1.6551949999999999E-2</v>
      </c>
      <c r="W7161">
        <v>0.1133483</v>
      </c>
      <c r="X7161">
        <v>0.99341740000000001</v>
      </c>
      <c r="Y7161">
        <v>4.5720179999999999E-2</v>
      </c>
      <c r="Z7161">
        <v>-6.2533559999999998E-3</v>
      </c>
      <c r="AA7161">
        <v>0.99893469999999995</v>
      </c>
      <c r="AB7161">
        <v>34</v>
      </c>
      <c r="AC7161">
        <v>14.8741</v>
      </c>
      <c r="AD7161">
        <v>-1.1091788214229901</v>
      </c>
      <c r="AE7161">
        <v>0.239300000000014</v>
      </c>
      <c r="AF7161">
        <v>0.69584668767289204</v>
      </c>
      <c r="AG7161">
        <v>-1.1091788214229901</v>
      </c>
      <c r="AH7161">
        <v>14.777405902530299</v>
      </c>
      <c r="AI7161">
        <v>94.287787341515298</v>
      </c>
      <c r="AJ7161">
        <v>87.304016000146504</v>
      </c>
      <c r="AK7161">
        <v>14.835302675671199</v>
      </c>
      <c r="AL7161">
        <v>83.491633106684205</v>
      </c>
      <c r="AM7161">
        <v>89.045447427634699</v>
      </c>
      <c r="AN7161">
        <v>0.99999996739222496</v>
      </c>
    </row>
    <row r="7162" spans="1:40" x14ac:dyDescent="0.25">
      <c r="A7162" t="str">
        <f>"20190312164205801"</f>
        <v>20190312164205801</v>
      </c>
      <c r="B7162" t="str">
        <f>"1552380125793249"</f>
        <v>1552380125793249</v>
      </c>
      <c r="C7162" t="s">
        <v>40</v>
      </c>
      <c r="D7162">
        <v>5.644914</v>
      </c>
      <c r="E7162">
        <v>0.51592309999999997</v>
      </c>
      <c r="F7162" t="s">
        <v>42</v>
      </c>
      <c r="G7162">
        <v>-124.9021</v>
      </c>
      <c r="H7162">
        <v>1.038017</v>
      </c>
      <c r="I7162">
        <v>139.40870000000001</v>
      </c>
      <c r="J7162">
        <v>-125.5936</v>
      </c>
      <c r="K7162">
        <v>1.1088690000000001</v>
      </c>
      <c r="L7162">
        <v>139.41239999999999</v>
      </c>
      <c r="M7162">
        <v>0.99803220000000004</v>
      </c>
      <c r="N7162">
        <v>0</v>
      </c>
      <c r="O7162">
        <v>6.1137810000000001E-2</v>
      </c>
      <c r="P7162">
        <v>0.99409499999999995</v>
      </c>
      <c r="Q7162">
        <v>9.9186910000000003E-2</v>
      </c>
      <c r="R7162">
        <v>4.4014490000000003E-2</v>
      </c>
      <c r="S7162">
        <v>3.0370330000000001</v>
      </c>
      <c r="T7162">
        <v>-0.2093023</v>
      </c>
      <c r="U7162">
        <v>4.7149660000000003E-2</v>
      </c>
      <c r="V7162">
        <v>1.7210340000000001E-2</v>
      </c>
      <c r="W7162">
        <v>0.1129897</v>
      </c>
      <c r="X7162">
        <v>0.99344710000000003</v>
      </c>
      <c r="Y7162">
        <v>4.5389949999999998E-2</v>
      </c>
      <c r="Z7162">
        <v>-5.7682269999999999E-3</v>
      </c>
      <c r="AA7162">
        <v>0.99895270000000003</v>
      </c>
      <c r="AB7162">
        <v>34</v>
      </c>
      <c r="AC7162">
        <v>0.69149999999999001</v>
      </c>
      <c r="AD7162">
        <v>-7.0852000000000095E-2</v>
      </c>
      <c r="AE7162">
        <v>-3.69999999998071E-3</v>
      </c>
      <c r="AF7162">
        <v>4.5496350425336403E-2</v>
      </c>
      <c r="AG7162">
        <v>-7.0852000000000095E-2</v>
      </c>
      <c r="AH7162">
        <v>0.68281177959845396</v>
      </c>
      <c r="AI7162">
        <v>95.911084306529006</v>
      </c>
      <c r="AJ7162">
        <v>86.1879664663428</v>
      </c>
      <c r="AK7162">
        <v>0.687983902547459</v>
      </c>
      <c r="AL7162">
        <v>83.5123124622489</v>
      </c>
      <c r="AM7162">
        <v>89.007515128311397</v>
      </c>
      <c r="AN7162">
        <v>1.0000000043037001</v>
      </c>
    </row>
    <row r="7163" spans="1:40" x14ac:dyDescent="0.25">
      <c r="A7163" t="str">
        <f>"20190312164205822"</f>
        <v>20190312164205822</v>
      </c>
      <c r="B7163" t="str">
        <f>"1552380125813746"</f>
        <v>1552380125813746</v>
      </c>
      <c r="C7163" t="s">
        <v>40</v>
      </c>
      <c r="D7163">
        <v>5.5793100000000004</v>
      </c>
      <c r="E7163">
        <v>0.51655720000000005</v>
      </c>
      <c r="F7163" t="s">
        <v>42</v>
      </c>
      <c r="G7163">
        <v>-124.5963</v>
      </c>
      <c r="H7163">
        <v>1.0406799999999901</v>
      </c>
      <c r="I7163">
        <v>139.42490000000001</v>
      </c>
      <c r="J7163">
        <v>-125.2627</v>
      </c>
      <c r="K7163">
        <v>1.108643</v>
      </c>
      <c r="L7163">
        <v>139.4308</v>
      </c>
      <c r="M7163">
        <v>0.99815770000000004</v>
      </c>
      <c r="N7163">
        <v>0</v>
      </c>
      <c r="O7163">
        <v>5.9053679999999997E-2</v>
      </c>
      <c r="P7163">
        <v>0.99412489999999998</v>
      </c>
      <c r="Q7163">
        <v>0.10052220000000001</v>
      </c>
      <c r="R7163">
        <v>4.0142299999999999E-2</v>
      </c>
      <c r="S7163">
        <v>3.0368499999999998</v>
      </c>
      <c r="T7163">
        <v>-0.2076606</v>
      </c>
      <c r="U7163">
        <v>3.8223269999999997E-2</v>
      </c>
      <c r="V7163">
        <v>1.9067219999999999E-2</v>
      </c>
      <c r="W7163">
        <v>0.1142982</v>
      </c>
      <c r="X7163">
        <v>0.99326349999999997</v>
      </c>
      <c r="Y7163">
        <v>4.6245500000000002E-2</v>
      </c>
      <c r="Z7163">
        <v>-5.6107229999999998E-3</v>
      </c>
      <c r="AA7163">
        <v>0.99891439999999998</v>
      </c>
      <c r="AB7163">
        <v>34</v>
      </c>
      <c r="AC7163">
        <v>0.666399999999995</v>
      </c>
      <c r="AD7163">
        <v>-6.7963000000000204E-2</v>
      </c>
      <c r="AE7163">
        <v>-5.8999999999968999E-3</v>
      </c>
      <c r="AF7163">
        <v>4.4781156661235902E-2</v>
      </c>
      <c r="AG7163">
        <v>-6.7963000000000204E-2</v>
      </c>
      <c r="AH7163">
        <v>0.658044543260907</v>
      </c>
      <c r="AI7163">
        <v>95.883104294406195</v>
      </c>
      <c r="AJ7163">
        <v>86.106917790964999</v>
      </c>
      <c r="AK7163">
        <v>0.66305877739184904</v>
      </c>
      <c r="AL7163">
        <v>83.436852092763203</v>
      </c>
      <c r="AM7163">
        <v>88.900254496153494</v>
      </c>
      <c r="AN7163">
        <v>1.000000008917</v>
      </c>
    </row>
    <row r="7164" spans="1:40" x14ac:dyDescent="0.25">
      <c r="A7164" t="str">
        <f>"20190312164205844"</f>
        <v>20190312164205844</v>
      </c>
      <c r="B7164" t="str">
        <f>"1552380125833266"</f>
        <v>1552380125833266</v>
      </c>
      <c r="C7164" t="s">
        <v>40</v>
      </c>
      <c r="D7164">
        <v>5.6958479999999998</v>
      </c>
      <c r="E7164">
        <v>0.51680669999999995</v>
      </c>
      <c r="F7164" t="s">
        <v>42</v>
      </c>
      <c r="G7164">
        <v>-124.28919999999999</v>
      </c>
      <c r="H7164">
        <v>1.0440780000000001</v>
      </c>
      <c r="I7164">
        <v>139.43819999999999</v>
      </c>
      <c r="J7164">
        <v>-124.9243</v>
      </c>
      <c r="K7164">
        <v>1.1084799999999999</v>
      </c>
      <c r="L7164">
        <v>139.4487</v>
      </c>
      <c r="M7164">
        <v>0.99828930000000005</v>
      </c>
      <c r="N7164">
        <v>0</v>
      </c>
      <c r="O7164">
        <v>5.6789480000000003E-2</v>
      </c>
      <c r="P7164">
        <v>0.99408269999999999</v>
      </c>
      <c r="Q7164">
        <v>0.10226929999999999</v>
      </c>
      <c r="R7164">
        <v>3.6614750000000001E-2</v>
      </c>
      <c r="S7164">
        <v>3.0371700000000001</v>
      </c>
      <c r="T7164">
        <v>-0.2014312</v>
      </c>
      <c r="U7164">
        <v>2.3147580000000001E-2</v>
      </c>
      <c r="V7164">
        <v>2.038618E-2</v>
      </c>
      <c r="W7164">
        <v>0.116020899999999</v>
      </c>
      <c r="X7164">
        <v>0.99303750000000002</v>
      </c>
      <c r="Y7164">
        <v>4.8952250000000003E-2</v>
      </c>
      <c r="Z7164">
        <v>-5.3823439999999998E-3</v>
      </c>
      <c r="AA7164">
        <v>0.99878659999999997</v>
      </c>
      <c r="AB7164">
        <v>34</v>
      </c>
      <c r="AC7164">
        <v>0.63510000000000799</v>
      </c>
      <c r="AD7164">
        <v>-6.4401999999999807E-2</v>
      </c>
      <c r="AE7164">
        <v>-1.05000000000075E-2</v>
      </c>
      <c r="AF7164">
        <v>4.6079835377397099E-2</v>
      </c>
      <c r="AG7164">
        <v>-6.4401999999999807E-2</v>
      </c>
      <c r="AH7164">
        <v>0.62703257958278702</v>
      </c>
      <c r="AI7164">
        <v>95.848577204790701</v>
      </c>
      <c r="AJ7164">
        <v>85.796960688474897</v>
      </c>
      <c r="AK7164">
        <v>0.63201331053281795</v>
      </c>
      <c r="AL7164">
        <v>83.337487249264598</v>
      </c>
      <c r="AM7164">
        <v>88.8239336101974</v>
      </c>
      <c r="AN7164">
        <v>0.99999996098902499</v>
      </c>
    </row>
    <row r="7165" spans="1:40" x14ac:dyDescent="0.25">
      <c r="A7165" t="str">
        <f>"20190312164205869"</f>
        <v>20190312164205869</v>
      </c>
      <c r="B7165" t="str">
        <f>"1552380125863520"</f>
        <v>1552380125863520</v>
      </c>
      <c r="C7165" t="s">
        <v>40</v>
      </c>
      <c r="D7165">
        <v>5.7525639999999996</v>
      </c>
      <c r="E7165">
        <v>0.51722539999999995</v>
      </c>
      <c r="F7165" t="s">
        <v>42</v>
      </c>
      <c r="G7165">
        <v>-123.98269999999999</v>
      </c>
      <c r="H7165">
        <v>1.046608</v>
      </c>
      <c r="I7165">
        <v>139.45249999999999</v>
      </c>
      <c r="J7165">
        <v>-124.571</v>
      </c>
      <c r="K7165">
        <v>1.108355</v>
      </c>
      <c r="L7165">
        <v>139.4665</v>
      </c>
      <c r="M7165">
        <v>0.99842529999999996</v>
      </c>
      <c r="N7165">
        <v>0</v>
      </c>
      <c r="O7165">
        <v>5.4344530000000002E-2</v>
      </c>
      <c r="P7165">
        <v>0.99421139999999997</v>
      </c>
      <c r="Q7165">
        <v>0.1022449</v>
      </c>
      <c r="R7165">
        <v>3.3009950000000003E-2</v>
      </c>
      <c r="S7165">
        <v>3.0379330000000002</v>
      </c>
      <c r="T7165">
        <v>-0.1996455</v>
      </c>
      <c r="U7165">
        <v>1.2588500000000001E-2</v>
      </c>
      <c r="V7165">
        <v>2.1594060000000002E-2</v>
      </c>
      <c r="W7165">
        <v>0.11597639999999999</v>
      </c>
      <c r="X7165">
        <v>0.99301719999999905</v>
      </c>
      <c r="Y7165">
        <v>4.998677E-2</v>
      </c>
      <c r="Z7165">
        <v>-5.2071779999999998E-3</v>
      </c>
      <c r="AA7165">
        <v>0.99873630000000002</v>
      </c>
      <c r="AB7165">
        <v>34</v>
      </c>
      <c r="AC7165">
        <v>0.58830000000000304</v>
      </c>
      <c r="AD7165">
        <v>-6.1747000000000003E-2</v>
      </c>
      <c r="AE7165">
        <v>-1.4000000000009999E-2</v>
      </c>
      <c r="AF7165">
        <v>4.54528526530548E-2</v>
      </c>
      <c r="AG7165">
        <v>-6.1747000000000003E-2</v>
      </c>
      <c r="AH7165">
        <v>0.58028066832339398</v>
      </c>
      <c r="AI7165">
        <v>96.055512485069997</v>
      </c>
      <c r="AJ7165">
        <v>85.521218962375301</v>
      </c>
      <c r="AK7165">
        <v>0.58532410496505705</v>
      </c>
      <c r="AL7165">
        <v>83.340054462141893</v>
      </c>
      <c r="AM7165">
        <v>88.7542476296871</v>
      </c>
      <c r="AN7165">
        <v>0.99999999414004104</v>
      </c>
    </row>
    <row r="7166" spans="1:40" x14ac:dyDescent="0.25">
      <c r="A7166" t="str">
        <f>"20190312164205889"</f>
        <v>20190312164205889</v>
      </c>
      <c r="B7166" t="str">
        <f>"1552380125883041"</f>
        <v>1552380125883041</v>
      </c>
      <c r="C7166" t="s">
        <v>40</v>
      </c>
      <c r="D7166">
        <v>5.693797</v>
      </c>
      <c r="E7166">
        <v>0.51743359999999905</v>
      </c>
      <c r="F7166" t="s">
        <v>42</v>
      </c>
      <c r="G7166">
        <v>-123.6759</v>
      </c>
      <c r="H7166">
        <v>1.0497240000000001</v>
      </c>
      <c r="I7166">
        <v>139.46600000000001</v>
      </c>
      <c r="J7166">
        <v>-124.23390000000001</v>
      </c>
      <c r="K7166">
        <v>1.108276</v>
      </c>
      <c r="L7166">
        <v>139.48259999999999</v>
      </c>
      <c r="M7166">
        <v>0.99855150000000004</v>
      </c>
      <c r="N7166">
        <v>0</v>
      </c>
      <c r="O7166">
        <v>5.1978950000000003E-2</v>
      </c>
      <c r="P7166">
        <v>0.99419349999999995</v>
      </c>
      <c r="Q7166">
        <v>0.1033361</v>
      </c>
      <c r="R7166">
        <v>3.0024200000000001E-2</v>
      </c>
      <c r="S7166">
        <v>3.0379640000000001</v>
      </c>
      <c r="T7166">
        <v>-0.19903760000000001</v>
      </c>
      <c r="U7166">
        <v>-1.403809E-3</v>
      </c>
      <c r="V7166">
        <v>2.224899E-2</v>
      </c>
      <c r="W7166">
        <v>0.1170509</v>
      </c>
      <c r="X7166">
        <v>0.9928766</v>
      </c>
      <c r="Y7166">
        <v>5.22221E-2</v>
      </c>
      <c r="Z7166">
        <v>-5.1099120000000003E-3</v>
      </c>
      <c r="AA7166">
        <v>0.99862240000000002</v>
      </c>
      <c r="AB7166">
        <v>34</v>
      </c>
      <c r="AC7166">
        <v>0.55800000000000605</v>
      </c>
      <c r="AD7166">
        <v>-5.8552000000000097E-2</v>
      </c>
      <c r="AE7166">
        <v>-1.6599999999982601E-2</v>
      </c>
      <c r="AF7166">
        <v>4.50885920519042E-2</v>
      </c>
      <c r="AG7166">
        <v>-5.8552000000000097E-2</v>
      </c>
      <c r="AH7166">
        <v>0.55032845959399002</v>
      </c>
      <c r="AI7166">
        <v>96.052986964327005</v>
      </c>
      <c r="AJ7166">
        <v>85.316199336215405</v>
      </c>
      <c r="AK7166">
        <v>0.55526816159070203</v>
      </c>
      <c r="AL7166">
        <v>83.2780675717962</v>
      </c>
      <c r="AM7166">
        <v>88.716295745534296</v>
      </c>
      <c r="AN7166">
        <v>0.99999993678719301</v>
      </c>
    </row>
    <row r="7167" spans="1:40" x14ac:dyDescent="0.25">
      <c r="A7167" t="str">
        <f>"20190312164205913"</f>
        <v>20190312164205913</v>
      </c>
      <c r="B7167" t="str">
        <f>"1552380125903537"</f>
        <v>1552380125903537</v>
      </c>
      <c r="C7167" t="s">
        <v>40</v>
      </c>
      <c r="D7167">
        <v>5.6216239999999997</v>
      </c>
      <c r="E7167">
        <v>0.51757790000000004</v>
      </c>
      <c r="F7167" t="s">
        <v>41</v>
      </c>
      <c r="G7167">
        <v>-107.03270000000001</v>
      </c>
      <c r="H7167" s="1">
        <v>-1.420063E-6</v>
      </c>
      <c r="I7167">
        <v>139.40809999999999</v>
      </c>
      <c r="J7167">
        <v>-123.8921</v>
      </c>
      <c r="K7167">
        <v>1.108225</v>
      </c>
      <c r="L7167">
        <v>139.49809999999999</v>
      </c>
      <c r="M7167">
        <v>0.99867379999999994</v>
      </c>
      <c r="N7167">
        <v>0</v>
      </c>
      <c r="O7167">
        <v>4.9573720000000002E-2</v>
      </c>
      <c r="P7167">
        <v>0.99396320000000005</v>
      </c>
      <c r="Q7167">
        <v>0.106444899999999</v>
      </c>
      <c r="R7167">
        <v>2.658336E-2</v>
      </c>
      <c r="S7167">
        <v>3.0382690000000001</v>
      </c>
      <c r="T7167">
        <v>-0.19575580000000001</v>
      </c>
      <c r="U7167">
        <v>-1.3153079999999999E-2</v>
      </c>
      <c r="V7167">
        <v>2.3312929999999999E-2</v>
      </c>
      <c r="W7167">
        <v>0.12013989999999999</v>
      </c>
      <c r="X7167">
        <v>0.99248320000000001</v>
      </c>
      <c r="Y7167">
        <v>5.3687749999999999E-2</v>
      </c>
      <c r="Z7167">
        <v>-4.9178800000000003E-3</v>
      </c>
      <c r="AA7167">
        <v>0.99854560000000003</v>
      </c>
      <c r="AB7167">
        <v>34</v>
      </c>
      <c r="AC7167">
        <v>16.859399999999901</v>
      </c>
      <c r="AD7167">
        <v>-1.1082264200630001</v>
      </c>
      <c r="AE7167">
        <v>-9.0000000000003397E-2</v>
      </c>
      <c r="AF7167">
        <v>0.921770445794999</v>
      </c>
      <c r="AG7167">
        <v>-1.1082264200630001</v>
      </c>
      <c r="AH7167">
        <v>16.761781069607899</v>
      </c>
      <c r="AI7167">
        <v>93.776987497691806</v>
      </c>
      <c r="AJ7167">
        <v>86.852338456155593</v>
      </c>
      <c r="AK7167">
        <v>16.823647974750699</v>
      </c>
      <c r="AL7167">
        <v>83.099823295812001</v>
      </c>
      <c r="AM7167">
        <v>88.654398470366004</v>
      </c>
      <c r="AN7167">
        <v>0.99999999527971695</v>
      </c>
    </row>
    <row r="7168" spans="1:40" x14ac:dyDescent="0.25">
      <c r="A7168" t="str">
        <f>"20190312164205933"</f>
        <v>20190312164205933</v>
      </c>
      <c r="B7168" t="str">
        <f>"1552380125923058"</f>
        <v>1552380125923058</v>
      </c>
      <c r="C7168" t="s">
        <v>40</v>
      </c>
      <c r="D7168">
        <v>5.6556199999999999</v>
      </c>
      <c r="E7168">
        <v>0.51759390000000005</v>
      </c>
      <c r="F7168" t="s">
        <v>41</v>
      </c>
      <c r="G7168">
        <v>-105.6544</v>
      </c>
      <c r="H7168" s="1">
        <v>-2.082233E-6</v>
      </c>
      <c r="I7168">
        <v>139.34809999999999</v>
      </c>
      <c r="J7168">
        <v>-123.56659999999999</v>
      </c>
      <c r="K7168">
        <v>1.1081970000000001</v>
      </c>
      <c r="L7168">
        <v>139.5121</v>
      </c>
      <c r="M7168">
        <v>0.99878469999999997</v>
      </c>
      <c r="N7168">
        <v>0</v>
      </c>
      <c r="O7168">
        <v>4.7289860000000003E-2</v>
      </c>
      <c r="P7168">
        <v>0.99354549999999997</v>
      </c>
      <c r="Q7168">
        <v>0.1110059</v>
      </c>
      <c r="R7168">
        <v>2.3346349999999998E-2</v>
      </c>
      <c r="S7168">
        <v>3.038681</v>
      </c>
      <c r="T7168">
        <v>-0.18464800000000001</v>
      </c>
      <c r="U7168">
        <v>-2.4993899999999999E-2</v>
      </c>
      <c r="V7168">
        <v>2.4289359999999999E-2</v>
      </c>
      <c r="W7168">
        <v>0.12468029999999999</v>
      </c>
      <c r="X7168">
        <v>0.99189959999999999</v>
      </c>
      <c r="Y7168">
        <v>5.5319350000000003E-2</v>
      </c>
      <c r="Z7168">
        <v>-4.5497109999999997E-3</v>
      </c>
      <c r="AA7168">
        <v>0.99845830000000002</v>
      </c>
      <c r="AB7168">
        <v>34</v>
      </c>
      <c r="AC7168">
        <v>17.912199999999999</v>
      </c>
      <c r="AD7168">
        <v>-1.1081990822329999</v>
      </c>
      <c r="AE7168">
        <v>-0.16400000000001499</v>
      </c>
      <c r="AF7168">
        <v>1.00710899235375</v>
      </c>
      <c r="AG7168">
        <v>-1.1081990822329999</v>
      </c>
      <c r="AH7168">
        <v>17.816210471206201</v>
      </c>
      <c r="AI7168">
        <v>93.553652313255697</v>
      </c>
      <c r="AJ7168">
        <v>86.764645806165802</v>
      </c>
      <c r="AK7168">
        <v>17.879030434636501</v>
      </c>
      <c r="AL7168">
        <v>82.837705989259902</v>
      </c>
      <c r="AM7168">
        <v>88.597237318540806</v>
      </c>
      <c r="AN7168">
        <v>0.99999998334872897</v>
      </c>
    </row>
    <row r="7169" spans="1:40" x14ac:dyDescent="0.25">
      <c r="A7169" t="str">
        <f>"20190312164205957"</f>
        <v>20190312164205957</v>
      </c>
      <c r="B7169" t="str">
        <f>"1552380125943554"</f>
        <v>1552380125943554</v>
      </c>
      <c r="C7169" t="s">
        <v>40</v>
      </c>
      <c r="D7169">
        <v>5.6361800000000004</v>
      </c>
      <c r="E7169">
        <v>0.51763409999999999</v>
      </c>
      <c r="F7169" t="s">
        <v>41</v>
      </c>
      <c r="G7169">
        <v>-103.8647</v>
      </c>
      <c r="H7169" s="1">
        <v>-2.9388569999999998E-6</v>
      </c>
      <c r="I7169">
        <v>139.28829999999999</v>
      </c>
      <c r="J7169">
        <v>-123.2264</v>
      </c>
      <c r="K7169">
        <v>1.1081799999999999</v>
      </c>
      <c r="L7169">
        <v>139.52590000000001</v>
      </c>
      <c r="M7169">
        <v>0.99889450000000002</v>
      </c>
      <c r="N7169">
        <v>0</v>
      </c>
      <c r="O7169">
        <v>4.4912170000000001E-2</v>
      </c>
      <c r="P7169">
        <v>0.993251</v>
      </c>
      <c r="Q7169">
        <v>0.1141253</v>
      </c>
      <c r="R7169">
        <v>2.0693969999999999E-2</v>
      </c>
      <c r="S7169">
        <v>3.0393979999999998</v>
      </c>
      <c r="T7169">
        <v>-0.17096149999999999</v>
      </c>
      <c r="U7169">
        <v>-3.4530640000000001E-2</v>
      </c>
      <c r="V7169">
        <v>2.4587029999999999E-2</v>
      </c>
      <c r="W7169">
        <v>0.1277856</v>
      </c>
      <c r="X7169">
        <v>0.99149699999999996</v>
      </c>
      <c r="Y7169">
        <v>5.6102760000000002E-2</v>
      </c>
      <c r="Z7169">
        <v>-4.1004809999999996E-3</v>
      </c>
      <c r="AA7169">
        <v>0.99841659999999999</v>
      </c>
      <c r="AB7169">
        <v>34</v>
      </c>
      <c r="AC7169">
        <v>19.361699999999999</v>
      </c>
      <c r="AD7169">
        <v>-1.1081829388569999</v>
      </c>
      <c r="AE7169">
        <v>-0.23760000000001399</v>
      </c>
      <c r="AF7169">
        <v>1.1034058006899099</v>
      </c>
      <c r="AG7169">
        <v>-1.1081829388569999</v>
      </c>
      <c r="AH7169">
        <v>19.268374409341</v>
      </c>
      <c r="AI7169">
        <v>93.286256744879196</v>
      </c>
      <c r="AJ7169">
        <v>86.7225296964737</v>
      </c>
      <c r="AK7169">
        <v>19.331731070070202</v>
      </c>
      <c r="AL7169">
        <v>82.658350653882493</v>
      </c>
      <c r="AM7169">
        <v>88.579476895620601</v>
      </c>
      <c r="AN7169">
        <v>0.99999999131029005</v>
      </c>
    </row>
    <row r="7170" spans="1:40" x14ac:dyDescent="0.25">
      <c r="A7170" t="str">
        <f>"20190312164205979"</f>
        <v>20190312164205979</v>
      </c>
      <c r="B7170" t="str">
        <f>"1552380125972833"</f>
        <v>1552380125972833</v>
      </c>
      <c r="C7170" t="s">
        <v>40</v>
      </c>
      <c r="D7170">
        <v>5.6805389999999996</v>
      </c>
      <c r="E7170">
        <v>0.51763769999999998</v>
      </c>
      <c r="F7170" t="s">
        <v>41</v>
      </c>
      <c r="G7170">
        <v>-102.8185</v>
      </c>
      <c r="H7170" s="1">
        <v>-3.441415E-6</v>
      </c>
      <c r="I7170">
        <v>139.2432</v>
      </c>
      <c r="J7170">
        <v>-122.8768</v>
      </c>
      <c r="K7170">
        <v>1.1081620000000001</v>
      </c>
      <c r="L7170">
        <v>139.53919999999999</v>
      </c>
      <c r="M7170">
        <v>0.99900100000000003</v>
      </c>
      <c r="N7170">
        <v>0</v>
      </c>
      <c r="O7170">
        <v>4.2477149999999998E-2</v>
      </c>
      <c r="P7170">
        <v>0.99308790000000002</v>
      </c>
      <c r="Q7170">
        <v>0.115981399999999</v>
      </c>
      <c r="R7170">
        <v>1.8024430000000001E-2</v>
      </c>
      <c r="S7170">
        <v>3.040222</v>
      </c>
      <c r="T7170">
        <v>-0.16508919999999999</v>
      </c>
      <c r="U7170">
        <v>-4.2114260000000001E-2</v>
      </c>
      <c r="V7170">
        <v>2.484391E-2</v>
      </c>
      <c r="W7170">
        <v>0.12963169999999999</v>
      </c>
      <c r="X7170">
        <v>0.99125090000000005</v>
      </c>
      <c r="Y7170">
        <v>5.6170400000000002E-2</v>
      </c>
      <c r="Z7170">
        <v>-3.8285229999999999E-3</v>
      </c>
      <c r="AA7170">
        <v>0.99841389999999997</v>
      </c>
      <c r="AB7170">
        <v>34</v>
      </c>
      <c r="AC7170">
        <v>20.058299999999999</v>
      </c>
      <c r="AD7170">
        <v>-1.108165441415</v>
      </c>
      <c r="AE7170">
        <v>-0.29599999999999199</v>
      </c>
      <c r="AF7170">
        <v>1.1443422443598299</v>
      </c>
      <c r="AG7170">
        <v>-1.108165441415</v>
      </c>
      <c r="AH7170">
        <v>19.966688037864198</v>
      </c>
      <c r="AI7170">
        <v>93.171503739102604</v>
      </c>
      <c r="AJ7170">
        <v>86.719819877916706</v>
      </c>
      <c r="AK7170">
        <v>20.030131827303698</v>
      </c>
      <c r="AL7170">
        <v>82.551689597291301</v>
      </c>
      <c r="AM7170">
        <v>88.564285542113893</v>
      </c>
      <c r="AN7170">
        <v>0.999999972129893</v>
      </c>
    </row>
    <row r="7171" spans="1:40" x14ac:dyDescent="0.25">
      <c r="A7171" t="str">
        <f>"20190312164206001"</f>
        <v>20190312164206001</v>
      </c>
      <c r="B7171" t="str">
        <f>"1552380125993329"</f>
        <v>1552380125993329</v>
      </c>
      <c r="C7171" t="s">
        <v>40</v>
      </c>
      <c r="D7171">
        <v>5.6308429999999996</v>
      </c>
      <c r="E7171">
        <v>0.51749269999999903</v>
      </c>
      <c r="F7171" t="s">
        <v>41</v>
      </c>
      <c r="G7171">
        <v>-101.8223</v>
      </c>
      <c r="H7171" s="1">
        <v>-3.9219020000000001E-6</v>
      </c>
      <c r="I7171">
        <v>139.1892</v>
      </c>
      <c r="J7171">
        <v>-122.5479</v>
      </c>
      <c r="K7171">
        <v>1.1081490000000001</v>
      </c>
      <c r="L7171">
        <v>139.55080000000001</v>
      </c>
      <c r="M7171">
        <v>0.99909570000000003</v>
      </c>
      <c r="N7171">
        <v>0</v>
      </c>
      <c r="O7171">
        <v>4.0187439999999998E-2</v>
      </c>
      <c r="P7171">
        <v>0.99313399999999996</v>
      </c>
      <c r="Q7171">
        <v>0.1158831</v>
      </c>
      <c r="R7171">
        <v>1.5997190000000001E-2</v>
      </c>
      <c r="S7171">
        <v>3.0404819999999999</v>
      </c>
      <c r="T7171">
        <v>-0.1600299</v>
      </c>
      <c r="U7171">
        <v>-5.0537110000000003E-2</v>
      </c>
      <c r="V7171">
        <v>2.4601040000000001E-2</v>
      </c>
      <c r="W7171">
        <v>0.12953010000000001</v>
      </c>
      <c r="X7171">
        <v>0.99127019999999999</v>
      </c>
      <c r="Y7171">
        <v>5.6657430000000002E-2</v>
      </c>
      <c r="Z7171">
        <v>-3.6034259999999999E-3</v>
      </c>
      <c r="AA7171">
        <v>0.99838720000000003</v>
      </c>
      <c r="AB7171">
        <v>34</v>
      </c>
      <c r="AC7171">
        <v>20.7256</v>
      </c>
      <c r="AD7171">
        <v>-1.1081529219020001</v>
      </c>
      <c r="AE7171">
        <v>-0.36160000000000903</v>
      </c>
      <c r="AF7171">
        <v>1.1908934176249699</v>
      </c>
      <c r="AG7171">
        <v>-1.1081529219020001</v>
      </c>
      <c r="AH7171">
        <v>20.6353460277892</v>
      </c>
      <c r="AI7171">
        <v>93.068830939618195</v>
      </c>
      <c r="AJ7171">
        <v>86.697047620012</v>
      </c>
      <c r="AK7171">
        <v>20.699365587308701</v>
      </c>
      <c r="AL7171">
        <v>82.557560058105906</v>
      </c>
      <c r="AM7171">
        <v>88.578342731960603</v>
      </c>
      <c r="AN7171">
        <v>0.99999993369156304</v>
      </c>
    </row>
    <row r="7172" spans="1:40" x14ac:dyDescent="0.25">
      <c r="A7172" t="str">
        <f>"20190312164206023"</f>
        <v>20190312164206023</v>
      </c>
      <c r="B7172" t="str">
        <f>"1552380126012849"</f>
        <v>1552380126012849</v>
      </c>
      <c r="C7172" t="s">
        <v>40</v>
      </c>
      <c r="D7172">
        <v>5.7523720000000003</v>
      </c>
      <c r="E7172">
        <v>0.5173451</v>
      </c>
      <c r="F7172" t="s">
        <v>41</v>
      </c>
      <c r="G7172">
        <v>-101.6613</v>
      </c>
      <c r="H7172" s="1">
        <v>-4.0015120000000001E-6</v>
      </c>
      <c r="I7172">
        <v>139.16929999999999</v>
      </c>
      <c r="J7172">
        <v>-122.2137</v>
      </c>
      <c r="K7172">
        <v>1.1081299999999901</v>
      </c>
      <c r="L7172">
        <v>139.56190000000001</v>
      </c>
      <c r="M7172">
        <v>0.99918669999999998</v>
      </c>
      <c r="N7172">
        <v>0</v>
      </c>
      <c r="O7172">
        <v>3.785765E-2</v>
      </c>
      <c r="P7172">
        <v>0.99324460000000003</v>
      </c>
      <c r="Q7172">
        <v>0.1152373</v>
      </c>
      <c r="R7172">
        <v>1.361743E-2</v>
      </c>
      <c r="S7172">
        <v>3.040451</v>
      </c>
      <c r="T7172">
        <v>-0.16131319999999999</v>
      </c>
      <c r="U7172">
        <v>-5.5541989999999999E-2</v>
      </c>
      <c r="V7172">
        <v>2.4668780000000001E-2</v>
      </c>
      <c r="W7172">
        <v>0.1288813</v>
      </c>
      <c r="X7172">
        <v>0.99135320000000005</v>
      </c>
      <c r="Y7172">
        <v>5.5974589999999998E-2</v>
      </c>
      <c r="Z7172">
        <v>-3.4907100000000002E-3</v>
      </c>
      <c r="AA7172">
        <v>0.99842609999999998</v>
      </c>
      <c r="AB7172">
        <v>34</v>
      </c>
      <c r="AC7172">
        <v>20.552399999999999</v>
      </c>
      <c r="AD7172">
        <v>-1.10813400151199</v>
      </c>
      <c r="AE7172">
        <v>-0.39260000000001499</v>
      </c>
      <c r="AF7172">
        <v>1.16706752449019</v>
      </c>
      <c r="AG7172">
        <v>-1.10813400151199</v>
      </c>
      <c r="AH7172">
        <v>20.463332479079</v>
      </c>
      <c r="AI7172">
        <v>93.094644642794293</v>
      </c>
      <c r="AJ7172">
        <v>86.735835425431105</v>
      </c>
      <c r="AK7172">
        <v>20.526519035661099</v>
      </c>
      <c r="AL7172">
        <v>82.595048678247494</v>
      </c>
      <c r="AM7172">
        <v>88.574549057060693</v>
      </c>
      <c r="AN7172">
        <v>1.0000000526732999</v>
      </c>
    </row>
    <row r="7173" spans="1:40" x14ac:dyDescent="0.25">
      <c r="A7173" t="str">
        <f>"20190312164206046"</f>
        <v>20190312164206046</v>
      </c>
      <c r="B7173" t="str">
        <f>"1552380126033345"</f>
        <v>1552380126033345</v>
      </c>
      <c r="C7173" t="s">
        <v>40</v>
      </c>
      <c r="D7173">
        <v>5.7486430000000004</v>
      </c>
      <c r="E7173">
        <v>0.51732920000000004</v>
      </c>
      <c r="F7173" t="s">
        <v>41</v>
      </c>
      <c r="G7173">
        <v>-101.7248</v>
      </c>
      <c r="H7173" s="1">
        <v>-3.9751350000000002E-6</v>
      </c>
      <c r="I7173">
        <v>139.14879999999999</v>
      </c>
      <c r="J7173">
        <v>-121.8707</v>
      </c>
      <c r="K7173">
        <v>1.1081190000000001</v>
      </c>
      <c r="L7173">
        <v>139.57249999999999</v>
      </c>
      <c r="M7173">
        <v>0.99927500000000002</v>
      </c>
      <c r="N7173">
        <v>0</v>
      </c>
      <c r="O7173">
        <v>3.5457610000000001E-2</v>
      </c>
      <c r="P7173">
        <v>0.99322860000000002</v>
      </c>
      <c r="Q7173">
        <v>0.1156358</v>
      </c>
      <c r="R7173">
        <v>1.119906E-2</v>
      </c>
      <c r="S7173">
        <v>3.040314</v>
      </c>
      <c r="T7173">
        <v>-0.16443469999999999</v>
      </c>
      <c r="U7173">
        <v>-6.1294559999999998E-2</v>
      </c>
      <c r="V7173">
        <v>2.4706100000000002E-2</v>
      </c>
      <c r="W7173">
        <v>0.12927520000000001</v>
      </c>
      <c r="X7173">
        <v>0.99130090000000004</v>
      </c>
      <c r="Y7173">
        <v>5.5464810000000003E-2</v>
      </c>
      <c r="Z7173">
        <v>-3.4148289999999999E-3</v>
      </c>
      <c r="AA7173">
        <v>0.99845479999999998</v>
      </c>
      <c r="AB7173">
        <v>34</v>
      </c>
      <c r="AC7173">
        <v>20.145900000000001</v>
      </c>
      <c r="AD7173">
        <v>-1.1081229751349999</v>
      </c>
      <c r="AE7173">
        <v>-0.42369999999999602</v>
      </c>
      <c r="AF7173">
        <v>1.13439700818539</v>
      </c>
      <c r="AG7173">
        <v>-1.1081229751349999</v>
      </c>
      <c r="AH7173">
        <v>20.0575465771925</v>
      </c>
      <c r="AI7173">
        <v>93.157180634439101</v>
      </c>
      <c r="AJ7173">
        <v>86.762964399580497</v>
      </c>
      <c r="AK7173">
        <v>20.1201383642472</v>
      </c>
      <c r="AL7173">
        <v>82.5722888715012</v>
      </c>
      <c r="AM7173">
        <v>88.572318176964203</v>
      </c>
      <c r="AN7173">
        <v>0.99999997152652897</v>
      </c>
    </row>
    <row r="7174" spans="1:40" x14ac:dyDescent="0.25">
      <c r="A7174" t="str">
        <f>"20190312164206068"</f>
        <v>20190312164206068</v>
      </c>
      <c r="B7174" t="str">
        <f>"1552380126063606"</f>
        <v>1552380126063606</v>
      </c>
      <c r="C7174" t="s">
        <v>40</v>
      </c>
      <c r="D7174">
        <v>5.909732</v>
      </c>
      <c r="E7174">
        <v>0.51705649999999903</v>
      </c>
      <c r="F7174" t="s">
        <v>41</v>
      </c>
      <c r="G7174">
        <v>-101.5097</v>
      </c>
      <c r="H7174" s="1">
        <v>-4.0824199999999998E-6</v>
      </c>
      <c r="I7174">
        <v>139.1172</v>
      </c>
      <c r="J7174">
        <v>-121.5321</v>
      </c>
      <c r="K7174">
        <v>1.1081080000000001</v>
      </c>
      <c r="L7174">
        <v>139.58199999999999</v>
      </c>
      <c r="M7174">
        <v>0.99935669999999999</v>
      </c>
      <c r="N7174">
        <v>0</v>
      </c>
      <c r="O7174">
        <v>3.3073850000000002E-2</v>
      </c>
      <c r="P7174">
        <v>0.99306709999999998</v>
      </c>
      <c r="Q7174">
        <v>0.1171542</v>
      </c>
      <c r="R7174">
        <v>9.6312970000000005E-3</v>
      </c>
      <c r="S7174">
        <v>3.0404819999999999</v>
      </c>
      <c r="T7174">
        <v>-0.16547519999999999</v>
      </c>
      <c r="U7174">
        <v>-6.7993159999999997E-2</v>
      </c>
      <c r="V7174">
        <v>2.3910750000000001E-2</v>
      </c>
      <c r="W7174">
        <v>0.1307924</v>
      </c>
      <c r="X7174">
        <v>0.99112140000000004</v>
      </c>
      <c r="Y7174">
        <v>5.5282860000000003E-2</v>
      </c>
      <c r="Z7174">
        <v>-3.3016080000000001E-3</v>
      </c>
      <c r="AA7174">
        <v>0.9984653</v>
      </c>
      <c r="AB7174">
        <v>34</v>
      </c>
      <c r="AC7174">
        <v>20.022400000000001</v>
      </c>
      <c r="AD7174">
        <v>-1.1081120824199999</v>
      </c>
      <c r="AE7174">
        <v>-0.46479999999999599</v>
      </c>
      <c r="AF7174">
        <v>1.12338821106352</v>
      </c>
      <c r="AG7174">
        <v>-1.1081120824199999</v>
      </c>
      <c r="AH7174">
        <v>19.935043165258499</v>
      </c>
      <c r="AI7174">
        <v>93.176547659209405</v>
      </c>
      <c r="AJ7174">
        <v>86.774654592817797</v>
      </c>
      <c r="AK7174">
        <v>19.9973963170379</v>
      </c>
      <c r="AL7174">
        <v>82.4846155521128</v>
      </c>
      <c r="AM7174">
        <v>88.618010498284093</v>
      </c>
      <c r="AN7174">
        <v>1.0000000027006399</v>
      </c>
    </row>
    <row r="7175" spans="1:40" x14ac:dyDescent="0.25">
      <c r="A7175" t="str">
        <f>"20190312164206090"</f>
        <v>20190312164206090</v>
      </c>
      <c r="B7175" t="str">
        <f>"1552380126083121"</f>
        <v>1552380126083121</v>
      </c>
      <c r="C7175" t="s">
        <v>40</v>
      </c>
      <c r="D7175">
        <v>5.7492539999999996</v>
      </c>
      <c r="E7175">
        <v>0.51686500000000002</v>
      </c>
      <c r="F7175" t="s">
        <v>41</v>
      </c>
      <c r="G7175">
        <v>-100.8843</v>
      </c>
      <c r="H7175" s="1">
        <v>-4.3800210000000004E-6</v>
      </c>
      <c r="I7175">
        <v>139.1062</v>
      </c>
      <c r="J7175">
        <v>-121.193</v>
      </c>
      <c r="K7175">
        <v>1.1080939999999999</v>
      </c>
      <c r="L7175">
        <v>139.5909</v>
      </c>
      <c r="M7175">
        <v>0.99943329999999997</v>
      </c>
      <c r="N7175">
        <v>0</v>
      </c>
      <c r="O7175">
        <v>3.0669689999999999E-2</v>
      </c>
      <c r="P7175">
        <v>0.99303540000000001</v>
      </c>
      <c r="Q7175">
        <v>0.1175191</v>
      </c>
      <c r="R7175">
        <v>8.3728069999999995E-3</v>
      </c>
      <c r="S7175">
        <v>3.0408780000000002</v>
      </c>
      <c r="T7175">
        <v>-0.16319610000000001</v>
      </c>
      <c r="U7175">
        <v>-7.0083619999999999E-2</v>
      </c>
      <c r="V7175">
        <v>2.278531E-2</v>
      </c>
      <c r="W7175">
        <v>0.13115969999999999</v>
      </c>
      <c r="X7175">
        <v>0.99109939999999996</v>
      </c>
      <c r="Y7175">
        <v>5.3573519999999999E-2</v>
      </c>
      <c r="Z7175">
        <v>-3.081023E-3</v>
      </c>
      <c r="AA7175">
        <v>0.99855919999999998</v>
      </c>
      <c r="AB7175">
        <v>34</v>
      </c>
      <c r="AC7175">
        <v>20.308700000000002</v>
      </c>
      <c r="AD7175">
        <v>-1.108098380021</v>
      </c>
      <c r="AE7175">
        <v>-0.48470000000000302</v>
      </c>
      <c r="AF7175">
        <v>1.10410825569601</v>
      </c>
      <c r="AG7175">
        <v>-1.108098380021</v>
      </c>
      <c r="AH7175">
        <v>20.224102642465599</v>
      </c>
      <c r="AI7175">
        <v>93.131502150247996</v>
      </c>
      <c r="AJ7175">
        <v>86.875114435195698</v>
      </c>
      <c r="AK7175">
        <v>20.284507998792701</v>
      </c>
      <c r="AL7175">
        <v>82.463388146841197</v>
      </c>
      <c r="AM7175">
        <v>88.683005792636095</v>
      </c>
      <c r="AN7175">
        <v>1.0000000289681199</v>
      </c>
    </row>
    <row r="7176" spans="1:40" x14ac:dyDescent="0.25">
      <c r="A7176" t="str">
        <f>"20190312164206113"</f>
        <v>20190312164206113</v>
      </c>
      <c r="B7176" t="str">
        <f>"1552380126103617"</f>
        <v>1552380126103617</v>
      </c>
      <c r="C7176" t="s">
        <v>40</v>
      </c>
      <c r="D7176">
        <v>5.6903839999999999</v>
      </c>
      <c r="E7176">
        <v>0.51670550000000004</v>
      </c>
      <c r="F7176" t="s">
        <v>41</v>
      </c>
      <c r="G7176">
        <v>-100.6033</v>
      </c>
      <c r="H7176" s="1">
        <v>-4.5136420000000002E-6</v>
      </c>
      <c r="I7176">
        <v>139.1018</v>
      </c>
      <c r="J7176">
        <v>-120.8546</v>
      </c>
      <c r="K7176">
        <v>1.1080760000000001</v>
      </c>
      <c r="L7176">
        <v>139.59880000000001</v>
      </c>
      <c r="M7176">
        <v>0.99950450000000002</v>
      </c>
      <c r="N7176">
        <v>0</v>
      </c>
      <c r="O7176">
        <v>2.8256259999999998E-2</v>
      </c>
      <c r="P7176">
        <v>0.99314829999999998</v>
      </c>
      <c r="Q7176">
        <v>0.11662309999999999</v>
      </c>
      <c r="R7176">
        <v>7.4717280000000004E-3</v>
      </c>
      <c r="S7176">
        <v>3.0410159999999999</v>
      </c>
      <c r="T7176">
        <v>-0.16366169999999999</v>
      </c>
      <c r="U7176">
        <v>-7.2235110000000005E-2</v>
      </c>
      <c r="V7176">
        <v>2.1290690000000001E-2</v>
      </c>
      <c r="W7176">
        <v>0.1302719</v>
      </c>
      <c r="X7176">
        <v>0.99124970000000001</v>
      </c>
      <c r="Y7176">
        <v>5.187253E-2</v>
      </c>
      <c r="Z7176">
        <v>-2.9141420000000002E-3</v>
      </c>
      <c r="AA7176">
        <v>0.99864949999999997</v>
      </c>
      <c r="AB7176">
        <v>34</v>
      </c>
      <c r="AC7176">
        <v>20.251300000000001</v>
      </c>
      <c r="AD7176">
        <v>-1.108080513642</v>
      </c>
      <c r="AE7176">
        <v>-0.49700000000001399</v>
      </c>
      <c r="AF7176">
        <v>1.0658932986818499</v>
      </c>
      <c r="AG7176">
        <v>-1.108080513642</v>
      </c>
      <c r="AH7176">
        <v>20.168820614325099</v>
      </c>
      <c r="AI7176">
        <v>93.140310760997096</v>
      </c>
      <c r="AJ7176">
        <v>86.974814393309202</v>
      </c>
      <c r="AK7176">
        <v>20.227340307655702</v>
      </c>
      <c r="AL7176">
        <v>82.514695455632307</v>
      </c>
      <c r="AM7176">
        <v>88.769554085020999</v>
      </c>
      <c r="AN7176">
        <v>1.00000001458018</v>
      </c>
    </row>
    <row r="7177" spans="1:40" x14ac:dyDescent="0.25">
      <c r="A7177" t="str">
        <f>"20190312164206135"</f>
        <v>20190312164206135</v>
      </c>
      <c r="B7177" t="str">
        <f>"1552380126123137"</f>
        <v>1552380126123137</v>
      </c>
      <c r="C7177" t="s">
        <v>40</v>
      </c>
      <c r="D7177">
        <v>5.6896120000000003</v>
      </c>
      <c r="E7177">
        <v>0.51666859999999903</v>
      </c>
      <c r="F7177" t="s">
        <v>41</v>
      </c>
      <c r="G7177">
        <v>-100.8013</v>
      </c>
      <c r="H7177" s="1">
        <v>-4.4179249999999997E-6</v>
      </c>
      <c r="I7177">
        <v>139.1138</v>
      </c>
      <c r="J7177">
        <v>-120.52509999999999</v>
      </c>
      <c r="K7177">
        <v>1.108061</v>
      </c>
      <c r="L7177">
        <v>139.60570000000001</v>
      </c>
      <c r="M7177">
        <v>0.99956849999999997</v>
      </c>
      <c r="N7177">
        <v>0</v>
      </c>
      <c r="O7177">
        <v>2.589547E-2</v>
      </c>
      <c r="P7177">
        <v>0.99330909999999994</v>
      </c>
      <c r="Q7177">
        <v>0.1151963</v>
      </c>
      <c r="R7177">
        <v>8.170264E-3</v>
      </c>
      <c r="S7177">
        <v>3.0409700000000002</v>
      </c>
      <c r="T7177">
        <v>-0.16803409999999999</v>
      </c>
      <c r="U7177">
        <v>-7.3547360000000006E-2</v>
      </c>
      <c r="V7177">
        <v>1.824655E-2</v>
      </c>
      <c r="W7177">
        <v>0.1288619</v>
      </c>
      <c r="X7177">
        <v>0.99149469999999995</v>
      </c>
      <c r="Y7177">
        <v>4.9945059999999999E-2</v>
      </c>
      <c r="Z7177">
        <v>-2.8083779999999998E-3</v>
      </c>
      <c r="AA7177">
        <v>0.99874799999999997</v>
      </c>
      <c r="AB7177">
        <v>34</v>
      </c>
      <c r="AC7177">
        <v>19.723800000000001</v>
      </c>
      <c r="AD7177">
        <v>-1.108065417925</v>
      </c>
      <c r="AE7177">
        <v>-0.49190000000001499</v>
      </c>
      <c r="AF7177">
        <v>0.99938898170097801</v>
      </c>
      <c r="AG7177">
        <v>-1.108065417925</v>
      </c>
      <c r="AH7177">
        <v>19.642490298126301</v>
      </c>
      <c r="AI7177">
        <v>93.224565695980104</v>
      </c>
      <c r="AJ7177">
        <v>87.087363322757</v>
      </c>
      <c r="AK7177">
        <v>19.699086588446999</v>
      </c>
      <c r="AL7177">
        <v>82.596169416521803</v>
      </c>
      <c r="AM7177">
        <v>88.945700559288099</v>
      </c>
      <c r="AN7177">
        <v>1.0000000329933001</v>
      </c>
    </row>
    <row r="7178" spans="1:40" x14ac:dyDescent="0.25">
      <c r="A7178" t="str">
        <f>"20190312164206158"</f>
        <v>20190312164206158</v>
      </c>
      <c r="B7178" t="str">
        <f>"1552380126153397"</f>
        <v>1552380126153397</v>
      </c>
      <c r="C7178" t="s">
        <v>40</v>
      </c>
      <c r="D7178">
        <v>5.5793140000000001</v>
      </c>
      <c r="E7178">
        <v>0.5105343</v>
      </c>
      <c r="F7178" t="s">
        <v>41</v>
      </c>
      <c r="G7178">
        <v>-101.1789</v>
      </c>
      <c r="H7178" s="1">
        <v>-4.2328170000000002E-6</v>
      </c>
      <c r="I7178">
        <v>139.1508</v>
      </c>
      <c r="J7178">
        <v>-120.18980000000001</v>
      </c>
      <c r="K7178">
        <v>1.108061</v>
      </c>
      <c r="L7178">
        <v>139.61199999999999</v>
      </c>
      <c r="M7178">
        <v>0.99962819999999997</v>
      </c>
      <c r="N7178">
        <v>0</v>
      </c>
      <c r="O7178">
        <v>2.3483440000000001E-2</v>
      </c>
      <c r="P7178">
        <v>0.99320160000000002</v>
      </c>
      <c r="Q7178">
        <v>0.11602220000000001</v>
      </c>
      <c r="R7178">
        <v>9.4633970000000001E-3</v>
      </c>
      <c r="S7178">
        <v>3.040985</v>
      </c>
      <c r="T7178">
        <v>-0.1741742</v>
      </c>
      <c r="U7178">
        <v>-7.1502689999999994E-2</v>
      </c>
      <c r="V7178">
        <v>1.45608E-2</v>
      </c>
      <c r="W7178">
        <v>0.1297045</v>
      </c>
      <c r="X7178">
        <v>0.99144580000000004</v>
      </c>
      <c r="Y7178">
        <v>4.6863990000000001E-2</v>
      </c>
      <c r="Z7178">
        <v>-2.684667E-3</v>
      </c>
      <c r="AA7178">
        <v>0.9988977</v>
      </c>
      <c r="AB7178">
        <v>34</v>
      </c>
      <c r="AC7178">
        <v>19.010899999999999</v>
      </c>
      <c r="AD7178">
        <v>-1.108065232817</v>
      </c>
      <c r="AE7178">
        <v>-0.46119999999999101</v>
      </c>
      <c r="AF7178">
        <v>0.90448603813458694</v>
      </c>
      <c r="AG7178">
        <v>-1.108065232817</v>
      </c>
      <c r="AH7178">
        <v>18.930551018261401</v>
      </c>
      <c r="AI7178">
        <v>93.346073171313805</v>
      </c>
      <c r="AJ7178">
        <v>87.264535426622601</v>
      </c>
      <c r="AK7178">
        <v>18.984511197509299</v>
      </c>
      <c r="AL7178">
        <v>82.547483340441104</v>
      </c>
      <c r="AM7178">
        <v>89.158589998217394</v>
      </c>
      <c r="AN7178">
        <v>1.00000002427726</v>
      </c>
    </row>
    <row r="7179" spans="1:40" x14ac:dyDescent="0.25">
      <c r="A7179" t="str">
        <f>"20190312164206180"</f>
        <v>20190312164206180</v>
      </c>
      <c r="B7179" t="str">
        <f>"1552380126172913"</f>
        <v>1552380126172913</v>
      </c>
      <c r="C7179" t="s">
        <v>40</v>
      </c>
      <c r="D7179">
        <v>5.5756100000000002</v>
      </c>
      <c r="E7179">
        <v>0.51057819999999998</v>
      </c>
      <c r="F7179" t="s">
        <v>42</v>
      </c>
      <c r="G7179">
        <v>-119.45569999999999</v>
      </c>
      <c r="H7179">
        <v>1.0342690000000001</v>
      </c>
      <c r="I7179">
        <v>139.6096</v>
      </c>
      <c r="J7179">
        <v>-119.84990000000001</v>
      </c>
      <c r="K7179">
        <v>1.1080730000000001</v>
      </c>
      <c r="L7179">
        <v>139.61750000000001</v>
      </c>
      <c r="M7179">
        <v>0.99968279999999998</v>
      </c>
      <c r="N7179">
        <v>0</v>
      </c>
      <c r="O7179">
        <v>2.1032269999999999E-2</v>
      </c>
      <c r="P7179">
        <v>0.99279090000000003</v>
      </c>
      <c r="Q7179">
        <v>0.1193888</v>
      </c>
      <c r="R7179">
        <v>1.061928E-2</v>
      </c>
      <c r="S7179">
        <v>3.0565190000000002</v>
      </c>
      <c r="T7179">
        <v>-0.30724299999999999</v>
      </c>
      <c r="U7179">
        <v>-1.0025020000000001E-2</v>
      </c>
      <c r="V7179">
        <v>1.0979869999999999E-2</v>
      </c>
      <c r="W7179">
        <v>0.13308339999999999</v>
      </c>
      <c r="X7179">
        <v>0.99104400000000004</v>
      </c>
      <c r="Y7179">
        <v>2.4085949999999998E-2</v>
      </c>
      <c r="Z7179">
        <v>-3.316481E-3</v>
      </c>
      <c r="AA7179">
        <v>0.99970440000000005</v>
      </c>
      <c r="AB7179">
        <v>34</v>
      </c>
      <c r="AC7179">
        <v>0.39420000000001199</v>
      </c>
      <c r="AD7179">
        <v>-7.3803999999999703E-2</v>
      </c>
      <c r="AE7179">
        <v>-7.9000000000064505E-3</v>
      </c>
      <c r="AF7179">
        <v>1.5641891960148101E-2</v>
      </c>
      <c r="AG7179">
        <v>-7.3803999999999703E-2</v>
      </c>
      <c r="AH7179">
        <v>0.38061039235531902</v>
      </c>
      <c r="AI7179">
        <v>100.96497754338399</v>
      </c>
      <c r="AJ7179">
        <v>87.646647681565696</v>
      </c>
      <c r="AK7179">
        <v>0.388015424911127</v>
      </c>
      <c r="AL7179">
        <v>82.352193073839601</v>
      </c>
      <c r="AM7179">
        <v>89.365240622431102</v>
      </c>
      <c r="AN7179">
        <v>0.99999997941838803</v>
      </c>
    </row>
    <row r="7180" spans="1:40" x14ac:dyDescent="0.25">
      <c r="A7180" t="str">
        <f>"20190312164206202"</f>
        <v>20190312164206202</v>
      </c>
      <c r="B7180" t="str">
        <f>"1552380126193410"</f>
        <v>1552380126193410</v>
      </c>
      <c r="C7180" t="s">
        <v>40</v>
      </c>
      <c r="D7180">
        <v>5.780996</v>
      </c>
      <c r="E7180">
        <v>0.51121249999999996</v>
      </c>
      <c r="F7180" t="s">
        <v>42</v>
      </c>
      <c r="G7180">
        <v>-118.8653</v>
      </c>
      <c r="H7180">
        <v>1.0126250000000001</v>
      </c>
      <c r="I7180">
        <v>139.61500000000001</v>
      </c>
      <c r="J7180">
        <v>-119.51560000000001</v>
      </c>
      <c r="K7180">
        <v>1.1080859999999999</v>
      </c>
      <c r="L7180">
        <v>139.62209999999999</v>
      </c>
      <c r="M7180">
        <v>0.99973040000000002</v>
      </c>
      <c r="N7180">
        <v>0</v>
      </c>
      <c r="O7180">
        <v>1.862815E-2</v>
      </c>
      <c r="P7180">
        <v>0.99235810000000002</v>
      </c>
      <c r="Q7180">
        <v>0.12288019999999999</v>
      </c>
      <c r="R7180">
        <v>1.1227279999999999E-2</v>
      </c>
      <c r="S7180">
        <v>3.0575100000000002</v>
      </c>
      <c r="T7180">
        <v>-0.29641149999999999</v>
      </c>
      <c r="U7180">
        <v>-7.55310099999999E-3</v>
      </c>
      <c r="V7180">
        <v>7.9937440000000005E-3</v>
      </c>
      <c r="W7180">
        <v>0.13658310000000001</v>
      </c>
      <c r="X7180">
        <v>0.99059640000000004</v>
      </c>
      <c r="Y7180">
        <v>2.0914410000000001E-2</v>
      </c>
      <c r="Z7180">
        <v>-2.8131979999999998E-3</v>
      </c>
      <c r="AA7180">
        <v>0.99977729999999998</v>
      </c>
      <c r="AB7180">
        <v>34</v>
      </c>
      <c r="AC7180">
        <v>0.65030000000000099</v>
      </c>
      <c r="AD7180">
        <v>-9.5461000000000004E-2</v>
      </c>
      <c r="AE7180">
        <v>-7.0999999999799002E-3</v>
      </c>
      <c r="AF7180">
        <v>1.88085626302796E-2</v>
      </c>
      <c r="AG7180">
        <v>-9.5461000000000004E-2</v>
      </c>
      <c r="AH7180">
        <v>0.63634400797541202</v>
      </c>
      <c r="AI7180">
        <v>98.527923731791304</v>
      </c>
      <c r="AJ7180">
        <v>88.306988695315098</v>
      </c>
      <c r="AK7180">
        <v>0.64373928032661598</v>
      </c>
      <c r="AL7180">
        <v>82.149827416637606</v>
      </c>
      <c r="AM7180">
        <v>89.537654434799506</v>
      </c>
      <c r="AN7180">
        <v>1.00000003542085</v>
      </c>
    </row>
    <row r="7181" spans="1:40" x14ac:dyDescent="0.25">
      <c r="A7181" t="str">
        <f>"20190312164206224"</f>
        <v>20190312164206224</v>
      </c>
      <c r="B7181" t="str">
        <f>"1552380126212930"</f>
        <v>1552380126212930</v>
      </c>
      <c r="C7181" t="s">
        <v>40</v>
      </c>
      <c r="D7181">
        <v>5.5271350000000004</v>
      </c>
      <c r="E7181">
        <v>0.50958599999999998</v>
      </c>
      <c r="F7181" t="s">
        <v>42</v>
      </c>
      <c r="G7181">
        <v>-118.56229999999999</v>
      </c>
      <c r="H7181">
        <v>1.018499</v>
      </c>
      <c r="I7181">
        <v>139.6183</v>
      </c>
      <c r="J7181">
        <v>-119.1837</v>
      </c>
      <c r="K7181">
        <v>1.1081030000000001</v>
      </c>
      <c r="L7181">
        <v>139.6258</v>
      </c>
      <c r="M7181">
        <v>0.99977199999999999</v>
      </c>
      <c r="N7181">
        <v>0</v>
      </c>
      <c r="O7181">
        <v>1.625294E-2</v>
      </c>
      <c r="P7181">
        <v>0.99185880000000004</v>
      </c>
      <c r="Q7181">
        <v>0.1268194</v>
      </c>
      <c r="R7181">
        <v>1.153297E-2</v>
      </c>
      <c r="S7181">
        <v>3.0588229999999998</v>
      </c>
      <c r="T7181">
        <v>-0.28745759999999998</v>
      </c>
      <c r="U7181">
        <v>-1.190186E-2</v>
      </c>
      <c r="V7181">
        <v>5.3401669999999998E-3</v>
      </c>
      <c r="W7181">
        <v>0.14052679999999901</v>
      </c>
      <c r="X7181">
        <v>0.99006249999999996</v>
      </c>
      <c r="Y7181">
        <v>1.9985159999999998E-2</v>
      </c>
      <c r="Z7181">
        <v>-2.461141E-3</v>
      </c>
      <c r="AA7181">
        <v>0.99979720000000005</v>
      </c>
      <c r="AB7181">
        <v>33</v>
      </c>
      <c r="AC7181">
        <v>0.62140000000000795</v>
      </c>
      <c r="AD7181">
        <v>-8.9604000000000003E-2</v>
      </c>
      <c r="AE7181">
        <v>-7.4999999999931797E-3</v>
      </c>
      <c r="AF7181">
        <v>1.7241116396483999E-2</v>
      </c>
      <c r="AG7181">
        <v>-8.9604000000000003E-2</v>
      </c>
      <c r="AH7181">
        <v>0.60854451457619996</v>
      </c>
      <c r="AI7181">
        <v>98.372910298127806</v>
      </c>
      <c r="AJ7181">
        <v>88.377145800106007</v>
      </c>
      <c r="AK7181">
        <v>0.61534751086794803</v>
      </c>
      <c r="AL7181">
        <v>81.921669184687005</v>
      </c>
      <c r="AM7181">
        <v>89.690962879728403</v>
      </c>
      <c r="AN7181">
        <v>1.0000000264040301</v>
      </c>
    </row>
    <row r="7182" spans="1:40" x14ac:dyDescent="0.25">
      <c r="A7182" t="str">
        <f>"20190312164206248"</f>
        <v>20190312164206248</v>
      </c>
      <c r="B7182" t="str">
        <f>"1552380126243186"</f>
        <v>1552380126243186</v>
      </c>
      <c r="C7182" t="s">
        <v>40</v>
      </c>
      <c r="D7182">
        <v>5.56548</v>
      </c>
      <c r="E7182">
        <v>0.50893639999999996</v>
      </c>
      <c r="F7182" t="s">
        <v>42</v>
      </c>
      <c r="G7182">
        <v>-118.2585</v>
      </c>
      <c r="H7182">
        <v>1.026397</v>
      </c>
      <c r="I7182">
        <v>139.62629999999999</v>
      </c>
      <c r="J7182">
        <v>-118.8408</v>
      </c>
      <c r="K7182">
        <v>1.1081379999999901</v>
      </c>
      <c r="L7182">
        <v>139.62889999999999</v>
      </c>
      <c r="M7182">
        <v>0.99980829999999998</v>
      </c>
      <c r="N7182">
        <v>0</v>
      </c>
      <c r="O7182">
        <v>1.38335E-2</v>
      </c>
      <c r="P7182">
        <v>0.99162910000000004</v>
      </c>
      <c r="Q7182">
        <v>0.12865860000000001</v>
      </c>
      <c r="R7182">
        <v>1.0897779999999999E-2</v>
      </c>
      <c r="S7182">
        <v>3.0591430000000002</v>
      </c>
      <c r="T7182">
        <v>-0.27016469999999998</v>
      </c>
      <c r="U7182">
        <v>1.480103E-3</v>
      </c>
      <c r="V7182">
        <v>3.5740530000000002E-3</v>
      </c>
      <c r="W7182">
        <v>0.14236960000000001</v>
      </c>
      <c r="X7182">
        <v>0.98980710000000005</v>
      </c>
      <c r="Y7182">
        <v>1.3245639999999999E-2</v>
      </c>
      <c r="Z7182">
        <v>-1.803154E-3</v>
      </c>
      <c r="AA7182">
        <v>0.99991070000000004</v>
      </c>
      <c r="AB7182">
        <v>33</v>
      </c>
      <c r="AC7182">
        <v>0.58230000000000304</v>
      </c>
      <c r="AD7182">
        <v>-8.17409999999998E-2</v>
      </c>
      <c r="AE7182">
        <v>-2.6000000000010398E-3</v>
      </c>
      <c r="AF7182">
        <v>1.04498566191648E-2</v>
      </c>
      <c r="AG7182">
        <v>-8.17409999999998E-2</v>
      </c>
      <c r="AH7182">
        <v>0.57095754994801096</v>
      </c>
      <c r="AI7182">
        <v>98.1460282797037</v>
      </c>
      <c r="AJ7182">
        <v>88.951470489017794</v>
      </c>
      <c r="AK7182">
        <v>0.57687374218887499</v>
      </c>
      <c r="AL7182">
        <v>81.815011809849096</v>
      </c>
      <c r="AM7182">
        <v>89.793113968694499</v>
      </c>
      <c r="AN7182">
        <v>0.99999998603470797</v>
      </c>
    </row>
    <row r="7183" spans="1:40" x14ac:dyDescent="0.25">
      <c r="A7183" t="str">
        <f>"20190312164206270"</f>
        <v>20190312164206270</v>
      </c>
      <c r="B7183" t="str">
        <f>"1552380126263682"</f>
        <v>1552380126263682</v>
      </c>
      <c r="C7183" t="s">
        <v>40</v>
      </c>
      <c r="D7183">
        <v>5.4574499999999997</v>
      </c>
      <c r="E7183">
        <v>0.50769229999999999</v>
      </c>
      <c r="F7183" t="s">
        <v>42</v>
      </c>
      <c r="G7183">
        <v>-117.9555</v>
      </c>
      <c r="H7183">
        <v>1.032699</v>
      </c>
      <c r="I7183">
        <v>139.63050000000001</v>
      </c>
      <c r="J7183">
        <v>-118.5063</v>
      </c>
      <c r="K7183">
        <v>1.108185</v>
      </c>
      <c r="L7183">
        <v>139.6311</v>
      </c>
      <c r="M7183">
        <v>0.99983759999999999</v>
      </c>
      <c r="N7183">
        <v>0</v>
      </c>
      <c r="O7183">
        <v>1.1534819999999999E-2</v>
      </c>
      <c r="P7183">
        <v>0.99158279999999999</v>
      </c>
      <c r="Q7183">
        <v>0.12908319999999901</v>
      </c>
      <c r="R7183">
        <v>1.0052520000000001E-2</v>
      </c>
      <c r="S7183">
        <v>3.059097</v>
      </c>
      <c r="T7183">
        <v>-0.26069239999999999</v>
      </c>
      <c r="U7183">
        <v>5.8746340000000001E-3</v>
      </c>
      <c r="V7183">
        <v>2.1270830000000001E-3</v>
      </c>
      <c r="W7183">
        <v>0.14279910000000001</v>
      </c>
      <c r="X7183">
        <v>0.9897494</v>
      </c>
      <c r="Y7183">
        <v>9.5392740000000004E-3</v>
      </c>
      <c r="Z7183">
        <v>-1.3870060000000001E-3</v>
      </c>
      <c r="AA7183">
        <v>0.99995350000000005</v>
      </c>
      <c r="AB7183">
        <v>33</v>
      </c>
      <c r="AC7183">
        <v>0.55079999999999496</v>
      </c>
      <c r="AD7183">
        <v>-7.54859999999999E-2</v>
      </c>
      <c r="AE7183">
        <v>-5.9999999999149601E-4</v>
      </c>
      <c r="AF7183">
        <v>6.8257461244218397E-3</v>
      </c>
      <c r="AG7183">
        <v>-7.54859999999999E-2</v>
      </c>
      <c r="AH7183">
        <v>0.54060276547846697</v>
      </c>
      <c r="AI7183">
        <v>97.948362040408099</v>
      </c>
      <c r="AJ7183">
        <v>89.276611794206303</v>
      </c>
      <c r="AK7183">
        <v>0.54589016940142898</v>
      </c>
      <c r="AL7183">
        <v>81.790149284603103</v>
      </c>
      <c r="AM7183">
        <v>89.876865102475705</v>
      </c>
      <c r="AN7183">
        <v>0.99999999112162896</v>
      </c>
    </row>
    <row r="7184" spans="1:40" x14ac:dyDescent="0.25">
      <c r="A7184" t="str">
        <f>"20190312164206317"</f>
        <v>20190312164206317</v>
      </c>
      <c r="B7184" t="str">
        <f>"1552380126303698"</f>
        <v>1552380126303698</v>
      </c>
      <c r="C7184" t="s">
        <v>40</v>
      </c>
      <c r="D7184">
        <v>5.4575100000000001</v>
      </c>
      <c r="E7184">
        <v>0.50725310000000001</v>
      </c>
      <c r="F7184" t="s">
        <v>42</v>
      </c>
      <c r="G7184">
        <v>-117.65260000000001</v>
      </c>
      <c r="H7184">
        <v>1.035919</v>
      </c>
      <c r="I7184">
        <v>139.6354</v>
      </c>
      <c r="J7184">
        <v>-117.8075</v>
      </c>
      <c r="K7184">
        <v>1.1083459999999901</v>
      </c>
      <c r="L7184">
        <v>139.63380000000001</v>
      </c>
      <c r="M7184">
        <v>0.99987919999999997</v>
      </c>
      <c r="N7184">
        <v>0</v>
      </c>
      <c r="O7184">
        <v>7.0740169999999897E-3</v>
      </c>
      <c r="P7184">
        <v>0.99161239999999995</v>
      </c>
      <c r="Q7184">
        <v>0.12905030000000001</v>
      </c>
      <c r="R7184">
        <v>7.1411479999999999E-3</v>
      </c>
      <c r="S7184">
        <v>3.0590359999999999</v>
      </c>
      <c r="T7184">
        <v>-0.25899339999999998</v>
      </c>
      <c r="U7184">
        <v>1.531982E-2</v>
      </c>
      <c r="V7184">
        <v>5.548266E-4</v>
      </c>
      <c r="W7184">
        <v>0.14276559999999999</v>
      </c>
      <c r="X7184">
        <v>0.98975630000000003</v>
      </c>
      <c r="Y7184">
        <v>2.0341510000000001E-3</v>
      </c>
      <c r="Z7184">
        <v>-6.8385600000000005E-4</v>
      </c>
      <c r="AA7184">
        <v>0.99999769999999999</v>
      </c>
      <c r="AB7184">
        <v>33</v>
      </c>
      <c r="AC7184">
        <v>0.15489999999999701</v>
      </c>
      <c r="AD7184">
        <v>-7.2426999999999797E-2</v>
      </c>
      <c r="AE7184">
        <v>1.59999999999627E-3</v>
      </c>
      <c r="AF7184">
        <v>-4.1366274385198199E-4</v>
      </c>
      <c r="AG7184">
        <v>-7.2426999999999797E-2</v>
      </c>
      <c r="AH7184">
        <v>0.12711910090996201</v>
      </c>
      <c r="AI7184">
        <v>119.67250079775501</v>
      </c>
      <c r="AJ7184">
        <v>90.186447556151407</v>
      </c>
      <c r="AK7184">
        <v>0.146304843604109</v>
      </c>
      <c r="AL7184">
        <v>81.792088048489404</v>
      </c>
      <c r="AM7184">
        <v>89.967881771288702</v>
      </c>
      <c r="AN7184">
        <v>0.99999992888279998</v>
      </c>
    </row>
    <row r="7185" spans="1:40" x14ac:dyDescent="0.25">
      <c r="A7185" t="str">
        <f>"20190312164206338"</f>
        <v>20190312164206338</v>
      </c>
      <c r="B7185" t="str">
        <f>"1552380126333954"</f>
        <v>1552380126333954</v>
      </c>
      <c r="C7185" t="s">
        <v>40</v>
      </c>
      <c r="D7185">
        <v>5.4447989999999997</v>
      </c>
      <c r="E7185">
        <v>0.50612270000000004</v>
      </c>
      <c r="F7185" t="s">
        <v>41</v>
      </c>
      <c r="G7185">
        <v>-104.7239</v>
      </c>
      <c r="H7185" s="1">
        <v>-2.4909869999999998E-6</v>
      </c>
      <c r="I7185">
        <v>139.67830000000001</v>
      </c>
      <c r="J7185">
        <v>-117.4868</v>
      </c>
      <c r="K7185">
        <v>1.10846</v>
      </c>
      <c r="L7185">
        <v>139.63409999999999</v>
      </c>
      <c r="M7185">
        <v>0.99989059999999996</v>
      </c>
      <c r="N7185">
        <v>0</v>
      </c>
      <c r="O7185">
        <v>5.2497129999999996E-3</v>
      </c>
      <c r="P7185">
        <v>0.99166799999999999</v>
      </c>
      <c r="Q7185">
        <v>0.1287451</v>
      </c>
      <c r="R7185">
        <v>4.4625029999999996E-3</v>
      </c>
      <c r="S7185">
        <v>3.059021</v>
      </c>
      <c r="T7185">
        <v>-0.25913849999999999</v>
      </c>
      <c r="U7185">
        <v>1.0406489999999999E-2</v>
      </c>
      <c r="V7185">
        <v>1.38103799999999E-3</v>
      </c>
      <c r="W7185">
        <v>0.1424531</v>
      </c>
      <c r="X7185">
        <v>0.98980060000000003</v>
      </c>
      <c r="Y7185">
        <v>1.823014E-3</v>
      </c>
      <c r="Z7185">
        <v>-5.2104009999999999E-4</v>
      </c>
      <c r="AA7185">
        <v>0.99999819999999995</v>
      </c>
      <c r="AB7185">
        <v>33</v>
      </c>
      <c r="AC7185">
        <v>12.7629</v>
      </c>
      <c r="AD7185">
        <v>-1.108462490987</v>
      </c>
      <c r="AE7185">
        <v>4.4200000000017697E-2</v>
      </c>
      <c r="AF7185">
        <v>2.2637823730319601E-2</v>
      </c>
      <c r="AG7185">
        <v>-1.108462490987</v>
      </c>
      <c r="AH7185">
        <v>12.6674072325791</v>
      </c>
      <c r="AI7185">
        <v>95.000925537851501</v>
      </c>
      <c r="AJ7185">
        <v>89.897607272545997</v>
      </c>
      <c r="AK7185">
        <v>12.715832947982101</v>
      </c>
      <c r="AL7185">
        <v>81.810178548030194</v>
      </c>
      <c r="AM7185">
        <v>89.920057032295801</v>
      </c>
      <c r="AN7185">
        <v>1.00000001036296</v>
      </c>
    </row>
    <row r="7186" spans="1:40" x14ac:dyDescent="0.25">
      <c r="A7186" t="str">
        <f>"20190312164206360"</f>
        <v>20190312164206360</v>
      </c>
      <c r="B7186" t="str">
        <f>"1552380126353473"</f>
        <v>1552380126353473</v>
      </c>
      <c r="C7186" t="s">
        <v>40</v>
      </c>
      <c r="D7186">
        <v>5.4698460000000004</v>
      </c>
      <c r="E7186">
        <v>0.50574969999999997</v>
      </c>
      <c r="F7186" t="s">
        <v>41</v>
      </c>
      <c r="G7186">
        <v>-104.77589999999999</v>
      </c>
      <c r="H7186" s="1">
        <v>-2.467896E-6</v>
      </c>
      <c r="I7186">
        <v>139.68379999999999</v>
      </c>
      <c r="J7186">
        <v>-117.16459999999999</v>
      </c>
      <c r="K7186">
        <v>1.108598</v>
      </c>
      <c r="L7186">
        <v>139.63409999999999</v>
      </c>
      <c r="M7186">
        <v>0.99989799999999995</v>
      </c>
      <c r="N7186">
        <v>0</v>
      </c>
      <c r="O7186">
        <v>3.5982290000000001E-3</v>
      </c>
      <c r="P7186">
        <v>0.99175679999999999</v>
      </c>
      <c r="Q7186">
        <v>0.128114899999999</v>
      </c>
      <c r="R7186">
        <v>2.3173099999999999E-3</v>
      </c>
      <c r="S7186">
        <v>3.0598139999999998</v>
      </c>
      <c r="T7186">
        <v>-0.26683220000000002</v>
      </c>
      <c r="U7186">
        <v>1.196289E-2</v>
      </c>
      <c r="V7186">
        <v>1.8376620000000001E-3</v>
      </c>
      <c r="W7186">
        <v>0.1418179</v>
      </c>
      <c r="X7186">
        <v>0.98989110000000002</v>
      </c>
      <c r="Y7186">
        <v>-3.2350690000000002E-4</v>
      </c>
      <c r="Z7186">
        <v>-2.991394E-4</v>
      </c>
      <c r="AA7186">
        <v>0.99999990000000005</v>
      </c>
      <c r="AB7186">
        <v>33</v>
      </c>
      <c r="AC7186">
        <v>12.3887</v>
      </c>
      <c r="AD7186">
        <v>-1.108600467896</v>
      </c>
      <c r="AE7186">
        <v>4.9700000000001403E-2</v>
      </c>
      <c r="AF7186">
        <v>-5.0773832415546196E-3</v>
      </c>
      <c r="AG7186">
        <v>-1.108600467896</v>
      </c>
      <c r="AH7186">
        <v>12.290384578907901</v>
      </c>
      <c r="AI7186">
        <v>95.154166971060505</v>
      </c>
      <c r="AJ7186">
        <v>90.023669935818006</v>
      </c>
      <c r="AK7186">
        <v>12.3402825686731</v>
      </c>
      <c r="AL7186">
        <v>81.846946379031095</v>
      </c>
      <c r="AM7186">
        <v>89.893634607062396</v>
      </c>
      <c r="AN7186">
        <v>1.0000000418106201</v>
      </c>
    </row>
    <row r="7187" spans="1:40" x14ac:dyDescent="0.25">
      <c r="A7187" t="str">
        <f>"20190312164206381"</f>
        <v>20190312164206381</v>
      </c>
      <c r="B7187" t="str">
        <f>"1552380126372994"</f>
        <v>1552380126372994</v>
      </c>
      <c r="C7187" t="s">
        <v>40</v>
      </c>
      <c r="D7187">
        <v>5.6313599999999999</v>
      </c>
      <c r="E7187">
        <v>0.50542480000000001</v>
      </c>
      <c r="F7187" t="s">
        <v>42</v>
      </c>
      <c r="G7187">
        <v>-116.169</v>
      </c>
      <c r="H7187">
        <v>1.021917</v>
      </c>
      <c r="I7187">
        <v>139.63650000000001</v>
      </c>
      <c r="J7187">
        <v>-116.8426</v>
      </c>
      <c r="K7187">
        <v>1.1087370000000001</v>
      </c>
      <c r="L7187">
        <v>139.6336</v>
      </c>
      <c r="M7187">
        <v>0.99990219999999996</v>
      </c>
      <c r="N7187">
        <v>0</v>
      </c>
      <c r="O7187">
        <v>2.1142719999999999E-3</v>
      </c>
      <c r="P7187">
        <v>0.99173840000000002</v>
      </c>
      <c r="Q7187">
        <v>0.12827479999999999</v>
      </c>
      <c r="R7187">
        <v>7.7802969999999998E-4</v>
      </c>
      <c r="S7187">
        <v>3.059326</v>
      </c>
      <c r="T7187">
        <v>-0.26638319999999999</v>
      </c>
      <c r="U7187">
        <v>7.9803469999999901E-3</v>
      </c>
      <c r="V7187">
        <v>1.856674E-3</v>
      </c>
      <c r="W7187">
        <v>0.14197309999999999</v>
      </c>
      <c r="X7187">
        <v>0.98986879999999999</v>
      </c>
      <c r="Y7187">
        <v>-5.0015740000000002E-4</v>
      </c>
      <c r="Z7187">
        <v>-1.620305E-4</v>
      </c>
      <c r="AA7187">
        <v>0.99999990000000005</v>
      </c>
      <c r="AB7187">
        <v>33</v>
      </c>
      <c r="AC7187">
        <v>0.67360000000000697</v>
      </c>
      <c r="AD7187">
        <v>-8.6820000000000105E-2</v>
      </c>
      <c r="AE7187">
        <v>2.9000000000110001E-3</v>
      </c>
      <c r="AF7187">
        <v>-1.45157000152272E-3</v>
      </c>
      <c r="AG7187">
        <v>-8.6820000000000105E-2</v>
      </c>
      <c r="AH7187">
        <v>0.66259742007322098</v>
      </c>
      <c r="AI7187">
        <v>97.464908739723597</v>
      </c>
      <c r="AJ7187">
        <v>90.125519205456499</v>
      </c>
      <c r="AK7187">
        <v>0.66826279302618496</v>
      </c>
      <c r="AL7187">
        <v>81.837963039307894</v>
      </c>
      <c r="AM7187">
        <v>89.892531758372002</v>
      </c>
      <c r="AN7187">
        <v>1.0000000247876899</v>
      </c>
    </row>
    <row r="7188" spans="1:40" x14ac:dyDescent="0.25">
      <c r="A7188" t="str">
        <f>"20190312164206403"</f>
        <v>20190312164206403</v>
      </c>
      <c r="B7188" t="str">
        <f>"1552380126393490"</f>
        <v>1552380126393490</v>
      </c>
      <c r="C7188" t="s">
        <v>40</v>
      </c>
      <c r="D7188">
        <v>5.4805510000000002</v>
      </c>
      <c r="E7188">
        <v>0.50509119999999996</v>
      </c>
      <c r="F7188" t="s">
        <v>42</v>
      </c>
      <c r="G7188">
        <v>-115.8698</v>
      </c>
      <c r="H7188">
        <v>1.02504</v>
      </c>
      <c r="I7188">
        <v>139.63499999999999</v>
      </c>
      <c r="J7188">
        <v>-116.51649999999999</v>
      </c>
      <c r="K7188">
        <v>1.1088830000000001</v>
      </c>
      <c r="L7188">
        <v>139.63290000000001</v>
      </c>
      <c r="M7188">
        <v>0.99990420000000002</v>
      </c>
      <c r="N7188">
        <v>0</v>
      </c>
      <c r="O7188">
        <v>7.4901500000000001E-4</v>
      </c>
      <c r="P7188">
        <v>0.99146939999999995</v>
      </c>
      <c r="Q7188">
        <v>0.1303387</v>
      </c>
      <c r="R7188">
        <v>-6.0075340000000001E-4</v>
      </c>
      <c r="S7188">
        <v>3.0590359999999999</v>
      </c>
      <c r="T7188">
        <v>-0.2631869</v>
      </c>
      <c r="U7188">
        <v>4.2114259999999999E-3</v>
      </c>
      <c r="V7188">
        <v>1.8444119999999999E-3</v>
      </c>
      <c r="W7188">
        <v>0.144029399999999</v>
      </c>
      <c r="X7188">
        <v>0.98957169999999905</v>
      </c>
      <c r="Y7188">
        <v>-6.2807610000000002E-4</v>
      </c>
      <c r="Z7188" s="1">
        <v>-3.736075E-5</v>
      </c>
      <c r="AA7188">
        <v>0.99999979999999999</v>
      </c>
      <c r="AB7188">
        <v>33</v>
      </c>
      <c r="AC7188">
        <v>0.64669999999999495</v>
      </c>
      <c r="AD7188">
        <v>-8.3843000000000098E-2</v>
      </c>
      <c r="AE7188">
        <v>2.0999999999844398E-3</v>
      </c>
      <c r="AF7188">
        <v>-1.58885914532834E-3</v>
      </c>
      <c r="AG7188">
        <v>-8.3843000000000098E-2</v>
      </c>
      <c r="AH7188">
        <v>0.63601113729155101</v>
      </c>
      <c r="AI7188">
        <v>97.509765544457807</v>
      </c>
      <c r="AJ7188">
        <v>90.143133867559399</v>
      </c>
      <c r="AK7188">
        <v>0.64151565832898905</v>
      </c>
      <c r="AL7188">
        <v>81.718922141777995</v>
      </c>
      <c r="AM7188">
        <v>89.893209455250201</v>
      </c>
      <c r="AN7188">
        <v>1.00000000968043</v>
      </c>
    </row>
    <row r="7189" spans="1:40" x14ac:dyDescent="0.25">
      <c r="A7189" t="str">
        <f>"20190312164206449"</f>
        <v>20190312164206449</v>
      </c>
      <c r="B7189" t="str">
        <f>"1552380126443265"</f>
        <v>1552380126443265</v>
      </c>
      <c r="C7189" t="s">
        <v>40</v>
      </c>
      <c r="D7189">
        <v>5.5691680000000003</v>
      </c>
      <c r="E7189">
        <v>0.50460799999999995</v>
      </c>
      <c r="F7189" t="s">
        <v>42</v>
      </c>
      <c r="G7189">
        <v>-115.56950000000001</v>
      </c>
      <c r="H7189">
        <v>1.0302389999999999</v>
      </c>
      <c r="I7189">
        <v>139.63310000000001</v>
      </c>
      <c r="J7189">
        <v>-115.84010000000001</v>
      </c>
      <c r="K7189">
        <v>1.109105</v>
      </c>
      <c r="L7189">
        <v>139.6302</v>
      </c>
      <c r="M7189">
        <v>0.99990319999999999</v>
      </c>
      <c r="N7189">
        <v>0</v>
      </c>
      <c r="O7189">
        <v>-1.740744E-3</v>
      </c>
      <c r="P7189">
        <v>0.99073739999999999</v>
      </c>
      <c r="Q7189">
        <v>0.13572590000000001</v>
      </c>
      <c r="R7189">
        <v>-4.2781809999999998E-3</v>
      </c>
      <c r="S7189">
        <v>3.0592039999999998</v>
      </c>
      <c r="T7189">
        <v>-0.25408730000000002</v>
      </c>
      <c r="U7189">
        <v>8.3923339999999905E-4</v>
      </c>
      <c r="V7189">
        <v>3.0033870000000002E-3</v>
      </c>
      <c r="W7189">
        <v>0.14939469999999999</v>
      </c>
      <c r="X7189">
        <v>0.98877309999999996</v>
      </c>
      <c r="Y7189">
        <v>-2.0023509999999999E-3</v>
      </c>
      <c r="Z7189">
        <v>2.27357E-4</v>
      </c>
      <c r="AA7189">
        <v>0.99999800000000005</v>
      </c>
      <c r="AB7189">
        <v>33</v>
      </c>
      <c r="AC7189">
        <v>0.27060000000000101</v>
      </c>
      <c r="AD7189">
        <v>-7.8866000000000103E-2</v>
      </c>
      <c r="AE7189">
        <v>2.9000000000110001E-3</v>
      </c>
      <c r="AF7189">
        <v>-3.1071846974475401E-3</v>
      </c>
      <c r="AG7189">
        <v>-7.8866000000000103E-2</v>
      </c>
      <c r="AH7189">
        <v>0.24941139530412301</v>
      </c>
      <c r="AI7189">
        <v>107.546118426771</v>
      </c>
      <c r="AJ7189">
        <v>90.713757924941405</v>
      </c>
      <c r="AK7189">
        <v>0.26160188198920498</v>
      </c>
      <c r="AL7189">
        <v>81.408149995753007</v>
      </c>
      <c r="AM7189">
        <v>89.825965259248605</v>
      </c>
      <c r="AN7189">
        <v>1.00000002000258</v>
      </c>
    </row>
    <row r="7190" spans="1:40" x14ac:dyDescent="0.25">
      <c r="A7190" t="str">
        <f>"20190312164206470"</f>
        <v>20190312164206470</v>
      </c>
      <c r="B7190" t="str">
        <f>"1552380126463762"</f>
        <v>1552380126463762</v>
      </c>
      <c r="C7190" t="s">
        <v>40</v>
      </c>
      <c r="D7190">
        <v>5.5124510000000004</v>
      </c>
      <c r="E7190">
        <v>0.50430470000000005</v>
      </c>
      <c r="F7190" t="s">
        <v>41</v>
      </c>
      <c r="G7190">
        <v>-101.32380000000001</v>
      </c>
      <c r="H7190" s="1">
        <v>-4.0860609999999997E-6</v>
      </c>
      <c r="I7190">
        <v>139.59219999999999</v>
      </c>
      <c r="J7190">
        <v>-115.5133</v>
      </c>
      <c r="K7190">
        <v>1.109167</v>
      </c>
      <c r="L7190">
        <v>139.6284</v>
      </c>
      <c r="M7190">
        <v>0.99990049999999997</v>
      </c>
      <c r="N7190">
        <v>0</v>
      </c>
      <c r="O7190">
        <v>-2.8448459999999998E-3</v>
      </c>
      <c r="P7190">
        <v>0.99051710000000004</v>
      </c>
      <c r="Q7190">
        <v>0.1372688</v>
      </c>
      <c r="R7190">
        <v>-5.7697429999999999E-3</v>
      </c>
      <c r="S7190">
        <v>3.0600429999999998</v>
      </c>
      <c r="T7190">
        <v>-0.23380090000000001</v>
      </c>
      <c r="U7190">
        <v>-8.0108639999999995E-3</v>
      </c>
      <c r="V7190">
        <v>3.3837369999999999E-3</v>
      </c>
      <c r="W7190">
        <v>0.15093010000000001</v>
      </c>
      <c r="X7190">
        <v>0.98853860000000005</v>
      </c>
      <c r="Y7190">
        <v>-2.1830640000000001E-4</v>
      </c>
      <c r="Z7190">
        <v>2.2539009999999999E-4</v>
      </c>
      <c r="AA7190">
        <v>0.99999990000000005</v>
      </c>
      <c r="AB7190">
        <v>33</v>
      </c>
      <c r="AC7190">
        <v>14.189499999999899</v>
      </c>
      <c r="AD7190">
        <v>-1.109171086061</v>
      </c>
      <c r="AE7190">
        <v>-3.6200000000007997E-2</v>
      </c>
      <c r="AF7190">
        <v>-4.1456115595523702E-3</v>
      </c>
      <c r="AG7190">
        <v>-1.109171086061</v>
      </c>
      <c r="AH7190">
        <v>14.1033702293473</v>
      </c>
      <c r="AI7190">
        <v>94.496817302190905</v>
      </c>
      <c r="AJ7190">
        <v>90.016841792788398</v>
      </c>
      <c r="AK7190">
        <v>14.146919435350201</v>
      </c>
      <c r="AL7190">
        <v>81.319168549367902</v>
      </c>
      <c r="AM7190">
        <v>89.803879087878499</v>
      </c>
      <c r="AN7190">
        <v>0.99999995422602606</v>
      </c>
    </row>
    <row r="7191" spans="1:40" x14ac:dyDescent="0.25">
      <c r="A7191" t="str">
        <f>"20190312164206494"</f>
        <v>20190312164206494</v>
      </c>
      <c r="B7191" t="str">
        <f>"1552380126483283"</f>
        <v>1552380126483283</v>
      </c>
      <c r="C7191" t="s">
        <v>40</v>
      </c>
      <c r="D7191">
        <v>5.4282159999999999</v>
      </c>
      <c r="E7191">
        <v>0.50394779999999995</v>
      </c>
      <c r="F7191" t="s">
        <v>41</v>
      </c>
      <c r="G7191">
        <v>-100.5539</v>
      </c>
      <c r="H7191" s="1">
        <v>-4.4535739999999997E-6</v>
      </c>
      <c r="I7191">
        <v>139.572</v>
      </c>
      <c r="J7191">
        <v>-115.1807</v>
      </c>
      <c r="K7191">
        <v>1.1092040000000001</v>
      </c>
      <c r="L7191">
        <v>139.62629999999999</v>
      </c>
      <c r="M7191">
        <v>0.99989689999999998</v>
      </c>
      <c r="N7191">
        <v>0</v>
      </c>
      <c r="O7191">
        <v>-3.9458089999999998E-3</v>
      </c>
      <c r="P7191">
        <v>0.99059640000000004</v>
      </c>
      <c r="Q7191">
        <v>0.136588299999999</v>
      </c>
      <c r="R7191">
        <v>-7.891973E-3</v>
      </c>
      <c r="S7191">
        <v>3.0601039999999999</v>
      </c>
      <c r="T7191">
        <v>-0.22689329999999999</v>
      </c>
      <c r="U7191">
        <v>-1.1550899999999999E-2</v>
      </c>
      <c r="V7191">
        <v>4.3966379999999996E-3</v>
      </c>
      <c r="W7191">
        <v>0.15024470000000001</v>
      </c>
      <c r="X7191">
        <v>0.98863909999999999</v>
      </c>
      <c r="Y7191">
        <v>-1.6026540000000001E-4</v>
      </c>
      <c r="Z7191">
        <v>2.9812250000000001E-4</v>
      </c>
      <c r="AA7191">
        <v>0.99999990000000005</v>
      </c>
      <c r="AB7191">
        <v>33</v>
      </c>
      <c r="AC7191">
        <v>14.626799999999999</v>
      </c>
      <c r="AD7191">
        <v>-1.1092084535740001</v>
      </c>
      <c r="AE7191">
        <v>-5.42999999999835E-2</v>
      </c>
      <c r="AF7191">
        <v>-3.40092568468416E-3</v>
      </c>
      <c r="AG7191">
        <v>-1.1092084535740001</v>
      </c>
      <c r="AH7191">
        <v>14.5432662370395</v>
      </c>
      <c r="AI7191">
        <v>94.361479629104394</v>
      </c>
      <c r="AJ7191">
        <v>90.013398550328503</v>
      </c>
      <c r="AK7191">
        <v>14.5855047153395</v>
      </c>
      <c r="AL7191">
        <v>81.358892763275506</v>
      </c>
      <c r="AM7191">
        <v>89.745198080089096</v>
      </c>
      <c r="AN7191">
        <v>1.0000000351763001</v>
      </c>
    </row>
    <row r="7192" spans="1:40" x14ac:dyDescent="0.25">
      <c r="A7192" t="str">
        <f>"20190312164206516"</f>
        <v>20190312164206516</v>
      </c>
      <c r="B7192" t="str">
        <f>"1552380126503778"</f>
        <v>1552380126503778</v>
      </c>
      <c r="C7192" t="s">
        <v>40</v>
      </c>
      <c r="D7192">
        <v>5.605639</v>
      </c>
      <c r="E7192">
        <v>0.50368299999999999</v>
      </c>
      <c r="F7192" t="s">
        <v>41</v>
      </c>
      <c r="G7192">
        <v>-100.58329999999999</v>
      </c>
      <c r="H7192" s="1">
        <v>-4.4427039999999999E-6</v>
      </c>
      <c r="I7192">
        <v>139.5549</v>
      </c>
      <c r="J7192">
        <v>-114.84350000000001</v>
      </c>
      <c r="K7192">
        <v>1.109229</v>
      </c>
      <c r="L7192">
        <v>139.62370000000001</v>
      </c>
      <c r="M7192">
        <v>0.99989189999999994</v>
      </c>
      <c r="N7192">
        <v>0</v>
      </c>
      <c r="O7192">
        <v>-5.0621950000000002E-3</v>
      </c>
      <c r="P7192">
        <v>0.99072890000000002</v>
      </c>
      <c r="Q7192">
        <v>0.1355517</v>
      </c>
      <c r="R7192">
        <v>-9.0589940000000008E-3</v>
      </c>
      <c r="S7192">
        <v>3.060425</v>
      </c>
      <c r="T7192">
        <v>-0.2325518</v>
      </c>
      <c r="U7192">
        <v>-1.496887E-2</v>
      </c>
      <c r="V7192">
        <v>4.4422619999999998E-3</v>
      </c>
      <c r="W7192">
        <v>0.14920700000000001</v>
      </c>
      <c r="X7192">
        <v>0.98879600000000001</v>
      </c>
      <c r="Y7192">
        <v>-1.565828E-4</v>
      </c>
      <c r="Z7192">
        <v>3.9007860000000002E-4</v>
      </c>
      <c r="AA7192">
        <v>0.99999990000000005</v>
      </c>
      <c r="AB7192">
        <v>33</v>
      </c>
      <c r="AC7192">
        <v>14.260199999999999</v>
      </c>
      <c r="AD7192">
        <v>-1.109233442704</v>
      </c>
      <c r="AE7192">
        <v>-6.8800000000010103E-2</v>
      </c>
      <c r="AF7192">
        <v>-3.3752523291873601E-3</v>
      </c>
      <c r="AG7192">
        <v>-1.109233442704</v>
      </c>
      <c r="AH7192">
        <v>14.1746034460459</v>
      </c>
      <c r="AI7192">
        <v>94.474561523169598</v>
      </c>
      <c r="AJ7192">
        <v>90.013643253607398</v>
      </c>
      <c r="AK7192">
        <v>14.2179391289806</v>
      </c>
      <c r="AL7192">
        <v>81.419026110329995</v>
      </c>
      <c r="AM7192">
        <v>89.742594881319505</v>
      </c>
      <c r="AN7192">
        <v>0.999999996078338</v>
      </c>
    </row>
    <row r="7193" spans="1:40" x14ac:dyDescent="0.25">
      <c r="A7193" t="str">
        <f>"20190312164206539"</f>
        <v>20190312164206539</v>
      </c>
      <c r="B7193" t="str">
        <f>"1552380126533058"</f>
        <v>1552380126533058</v>
      </c>
      <c r="C7193" t="s">
        <v>40</v>
      </c>
      <c r="D7193">
        <v>5.5346149999999996</v>
      </c>
      <c r="E7193">
        <v>0.50320670000000001</v>
      </c>
      <c r="F7193" t="s">
        <v>41</v>
      </c>
      <c r="G7193">
        <v>-100.4114</v>
      </c>
      <c r="H7193" s="1">
        <v>-4.5250979999999996E-6</v>
      </c>
      <c r="I7193">
        <v>139.54849999999999</v>
      </c>
      <c r="J7193">
        <v>-114.50109999999999</v>
      </c>
      <c r="K7193">
        <v>1.1092409999999999</v>
      </c>
      <c r="L7193">
        <v>139.6207</v>
      </c>
      <c r="M7193">
        <v>0.99988540000000004</v>
      </c>
      <c r="N7193">
        <v>0</v>
      </c>
      <c r="O7193">
        <v>-6.2143939999999998E-3</v>
      </c>
      <c r="P7193">
        <v>0.99088589999999999</v>
      </c>
      <c r="Q7193">
        <v>0.13431189999999901</v>
      </c>
      <c r="R7193">
        <v>-1.026057E-2</v>
      </c>
      <c r="S7193">
        <v>3.0601039999999999</v>
      </c>
      <c r="T7193">
        <v>-0.2351965</v>
      </c>
      <c r="U7193">
        <v>-1.594543E-2</v>
      </c>
      <c r="V7193">
        <v>4.4914129999999997E-3</v>
      </c>
      <c r="W7193">
        <v>0.1479664</v>
      </c>
      <c r="X7193">
        <v>0.98898220000000003</v>
      </c>
      <c r="Y7193">
        <v>-9.8309560000000001E-4</v>
      </c>
      <c r="Z7193">
        <v>5.1469059999999895E-4</v>
      </c>
      <c r="AA7193">
        <v>0.99999939999999998</v>
      </c>
      <c r="AB7193">
        <v>33</v>
      </c>
      <c r="AC7193">
        <v>14.089699999999899</v>
      </c>
      <c r="AD7193">
        <v>-1.109245525098</v>
      </c>
      <c r="AE7193">
        <v>-7.2200000000009298E-2</v>
      </c>
      <c r="AF7193">
        <v>-1.5274019767205301E-2</v>
      </c>
      <c r="AG7193">
        <v>-1.109245525098</v>
      </c>
      <c r="AH7193">
        <v>14.0030876848435</v>
      </c>
      <c r="AI7193">
        <v>94.529187770424201</v>
      </c>
      <c r="AJ7193">
        <v>90.062495968138506</v>
      </c>
      <c r="AK7193">
        <v>14.0469613667884</v>
      </c>
      <c r="AL7193">
        <v>81.490905281720202</v>
      </c>
      <c r="AM7193">
        <v>89.739795883296495</v>
      </c>
      <c r="AN7193">
        <v>1.00000001011826</v>
      </c>
    </row>
    <row r="7194" spans="1:40" x14ac:dyDescent="0.25">
      <c r="A7194" t="str">
        <f>"20190312164206560"</f>
        <v>20190312164206560</v>
      </c>
      <c r="B7194" t="str">
        <f>"1552380126553554"</f>
        <v>1552380126553554</v>
      </c>
      <c r="C7194" t="s">
        <v>40</v>
      </c>
      <c r="D7194">
        <v>5.4969219999999996</v>
      </c>
      <c r="E7194">
        <v>0.50292519999999996</v>
      </c>
      <c r="F7194" t="s">
        <v>42</v>
      </c>
      <c r="G7194">
        <v>-113.49460000000001</v>
      </c>
      <c r="H7194">
        <v>1.0306409999999999</v>
      </c>
      <c r="I7194">
        <v>139.61539999999999</v>
      </c>
      <c r="J7194">
        <v>-114.1892</v>
      </c>
      <c r="K7194">
        <v>1.109246</v>
      </c>
      <c r="L7194">
        <v>139.61770000000001</v>
      </c>
      <c r="M7194">
        <v>0.9998783</v>
      </c>
      <c r="N7194">
        <v>0</v>
      </c>
      <c r="O7194">
        <v>-7.289841E-3</v>
      </c>
      <c r="P7194">
        <v>0.99098240000000004</v>
      </c>
      <c r="Q7194">
        <v>0.13356460000000001</v>
      </c>
      <c r="R7194">
        <v>-1.070689E-2</v>
      </c>
      <c r="S7194">
        <v>3.0597989999999999</v>
      </c>
      <c r="T7194">
        <v>-0.23894550000000001</v>
      </c>
      <c r="U7194">
        <v>-1.6067499999999998E-2</v>
      </c>
      <c r="V7194">
        <v>3.8673069999999999E-3</v>
      </c>
      <c r="W7194">
        <v>0.1472193</v>
      </c>
      <c r="X7194">
        <v>0.98909630000000004</v>
      </c>
      <c r="Y7194">
        <v>-2.0111650000000001E-3</v>
      </c>
      <c r="Z7194">
        <v>6.4686370000000004E-4</v>
      </c>
      <c r="AA7194">
        <v>0.99999780000000005</v>
      </c>
      <c r="AB7194">
        <v>33</v>
      </c>
      <c r="AC7194">
        <v>0.694599999999994</v>
      </c>
      <c r="AD7194">
        <v>-7.8604999999999994E-2</v>
      </c>
      <c r="AE7194">
        <v>-2.3000000000195E-3</v>
      </c>
      <c r="AF7194">
        <v>-2.7291163319531401E-3</v>
      </c>
      <c r="AG7194">
        <v>-7.8604999999999994E-2</v>
      </c>
      <c r="AH7194">
        <v>0.68581550168762095</v>
      </c>
      <c r="AI7194">
        <v>96.538394307945197</v>
      </c>
      <c r="AJ7194">
        <v>90.228000128119206</v>
      </c>
      <c r="AK7194">
        <v>0.69031086943202402</v>
      </c>
      <c r="AL7194">
        <v>81.534184730964895</v>
      </c>
      <c r="AM7194">
        <v>89.775978092279203</v>
      </c>
      <c r="AN7194">
        <v>0.99999998451480598</v>
      </c>
    </row>
    <row r="7195" spans="1:40" x14ac:dyDescent="0.25">
      <c r="A7195" t="str">
        <f>"20190312164206581"</f>
        <v>20190312164206581</v>
      </c>
      <c r="B7195" t="str">
        <f>"1552380126573074"</f>
        <v>1552380126573074</v>
      </c>
      <c r="C7195" t="s">
        <v>40</v>
      </c>
      <c r="D7195">
        <v>5.5372250000000003</v>
      </c>
      <c r="E7195">
        <v>0.50267720000000005</v>
      </c>
      <c r="F7195" t="s">
        <v>42</v>
      </c>
      <c r="G7195">
        <v>-113.1985</v>
      </c>
      <c r="H7195">
        <v>1.031172</v>
      </c>
      <c r="I7195">
        <v>139.61259999999999</v>
      </c>
      <c r="J7195">
        <v>-113.8661</v>
      </c>
      <c r="K7195">
        <v>1.109256</v>
      </c>
      <c r="L7195">
        <v>139.61410000000001</v>
      </c>
      <c r="M7195">
        <v>0.99986940000000002</v>
      </c>
      <c r="N7195">
        <v>0</v>
      </c>
      <c r="O7195">
        <v>-8.4257259999999997E-3</v>
      </c>
      <c r="P7195">
        <v>0.99101510000000004</v>
      </c>
      <c r="Q7195">
        <v>0.13325999999999999</v>
      </c>
      <c r="R7195">
        <v>-1.1454560000000001E-2</v>
      </c>
      <c r="S7195">
        <v>3.059647</v>
      </c>
      <c r="T7195">
        <v>-0.24116099999999999</v>
      </c>
      <c r="U7195">
        <v>-1.5457149999999999E-2</v>
      </c>
      <c r="V7195">
        <v>3.4881930000000001E-3</v>
      </c>
      <c r="W7195">
        <v>0.14691370000000001</v>
      </c>
      <c r="X7195">
        <v>0.98914310000000005</v>
      </c>
      <c r="Y7195">
        <v>-3.338237E-3</v>
      </c>
      <c r="Z7195">
        <v>7.9449119999999999E-4</v>
      </c>
      <c r="AA7195">
        <v>0.9999941</v>
      </c>
      <c r="AB7195">
        <v>33</v>
      </c>
      <c r="AC7195">
        <v>0.66760000000000697</v>
      </c>
      <c r="AD7195">
        <v>-7.8084000000000001E-2</v>
      </c>
      <c r="AE7195">
        <v>-1.5000000000213701E-3</v>
      </c>
      <c r="AF7195">
        <v>-4.0699259288381803E-3</v>
      </c>
      <c r="AG7195">
        <v>-7.8084000000000001E-2</v>
      </c>
      <c r="AH7195">
        <v>0.658579504280012</v>
      </c>
      <c r="AI7195">
        <v>96.761538409322895</v>
      </c>
      <c r="AJ7195">
        <v>90.354075109618705</v>
      </c>
      <c r="AK7195">
        <v>0.66320482417634197</v>
      </c>
      <c r="AL7195">
        <v>81.551886403100596</v>
      </c>
      <c r="AM7195">
        <v>89.7979484378465</v>
      </c>
      <c r="AN7195">
        <v>0.99999993750784999</v>
      </c>
    </row>
    <row r="7196" spans="1:40" x14ac:dyDescent="0.25">
      <c r="A7196" t="str">
        <f>"20190312164206604"</f>
        <v>20190312164206604</v>
      </c>
      <c r="B7196" t="str">
        <f>"1552380126593571"</f>
        <v>1552380126593571</v>
      </c>
      <c r="C7196" t="s">
        <v>40</v>
      </c>
      <c r="D7196">
        <v>5.6575300000000004</v>
      </c>
      <c r="E7196">
        <v>0.50261559999999905</v>
      </c>
      <c r="F7196" t="s">
        <v>42</v>
      </c>
      <c r="G7196">
        <v>-112.9014</v>
      </c>
      <c r="H7196">
        <v>1.03322</v>
      </c>
      <c r="I7196">
        <v>139.60900000000001</v>
      </c>
      <c r="J7196">
        <v>-113.53919999999999</v>
      </c>
      <c r="K7196">
        <v>1.109275</v>
      </c>
      <c r="L7196">
        <v>139.61009999999999</v>
      </c>
      <c r="M7196">
        <v>0.99985900000000005</v>
      </c>
      <c r="N7196">
        <v>0</v>
      </c>
      <c r="O7196">
        <v>-9.5954089999999992E-3</v>
      </c>
      <c r="P7196">
        <v>0.99088620000000005</v>
      </c>
      <c r="Q7196">
        <v>0.13422249999999999</v>
      </c>
      <c r="R7196">
        <v>-1.13831E-2</v>
      </c>
      <c r="S7196">
        <v>3.0594480000000002</v>
      </c>
      <c r="T7196">
        <v>-0.2411963</v>
      </c>
      <c r="U7196">
        <v>-1.5914919999999999E-2</v>
      </c>
      <c r="V7196">
        <v>2.2624640000000001E-3</v>
      </c>
      <c r="W7196">
        <v>0.14787539999999999</v>
      </c>
      <c r="X7196">
        <v>0.98900339999999998</v>
      </c>
      <c r="Y7196">
        <v>-4.3513359999999999E-3</v>
      </c>
      <c r="Z7196">
        <v>9.266055E-4</v>
      </c>
      <c r="AA7196">
        <v>0.99999009999999999</v>
      </c>
      <c r="AB7196">
        <v>33</v>
      </c>
      <c r="AC7196">
        <v>0.63779999999999804</v>
      </c>
      <c r="AD7196">
        <v>-7.60549999999999E-2</v>
      </c>
      <c r="AE7196">
        <v>-1.09999999997967E-3</v>
      </c>
      <c r="AF7196">
        <v>-4.9501942755555001E-3</v>
      </c>
      <c r="AG7196">
        <v>-7.60549999999999E-2</v>
      </c>
      <c r="AH7196">
        <v>0.62883938789267602</v>
      </c>
      <c r="AI7196">
        <v>96.895933544812706</v>
      </c>
      <c r="AJ7196">
        <v>90.451020382800294</v>
      </c>
      <c r="AK7196">
        <v>0.63344127053232102</v>
      </c>
      <c r="AL7196">
        <v>81.496177011441304</v>
      </c>
      <c r="AM7196">
        <v>89.868929255071507</v>
      </c>
      <c r="AN7196">
        <v>0.99999998894003495</v>
      </c>
    </row>
    <row r="7197" spans="1:40" x14ac:dyDescent="0.25">
      <c r="A7197" t="str">
        <f>"20190312164206626"</f>
        <v>20190312164206626</v>
      </c>
      <c r="B7197" t="str">
        <f>"1552380126613089"</f>
        <v>1552380126613089</v>
      </c>
      <c r="C7197" t="s">
        <v>40</v>
      </c>
      <c r="D7197">
        <v>5.6809570000000003</v>
      </c>
      <c r="E7197">
        <v>0.50237509999999996</v>
      </c>
      <c r="F7197" t="s">
        <v>42</v>
      </c>
      <c r="G7197">
        <v>-112.6039</v>
      </c>
      <c r="H7197">
        <v>1.0359830000000001</v>
      </c>
      <c r="I7197">
        <v>139.6053</v>
      </c>
      <c r="J7197">
        <v>-113.21169999999999</v>
      </c>
      <c r="K7197">
        <v>1.1093040000000001</v>
      </c>
      <c r="L7197">
        <v>139.60579999999999</v>
      </c>
      <c r="M7197">
        <v>0.99984680000000004</v>
      </c>
      <c r="N7197">
        <v>0</v>
      </c>
      <c r="O7197">
        <v>-1.078465E-2</v>
      </c>
      <c r="P7197">
        <v>0.99045439999999996</v>
      </c>
      <c r="Q7197">
        <v>0.13739899999999999</v>
      </c>
      <c r="R7197">
        <v>-1.103517E-2</v>
      </c>
      <c r="S7197">
        <v>3.0599059999999998</v>
      </c>
      <c r="T7197">
        <v>-0.23983660000000001</v>
      </c>
      <c r="U7197">
        <v>-1.5396119999999999E-2</v>
      </c>
      <c r="V7197">
        <v>7.5039970000000003E-4</v>
      </c>
      <c r="W7197">
        <v>0.1510466</v>
      </c>
      <c r="X7197">
        <v>0.98852629999999997</v>
      </c>
      <c r="Y7197">
        <v>-5.7037559999999999E-3</v>
      </c>
      <c r="Z7197">
        <v>1.067255E-3</v>
      </c>
      <c r="AA7197">
        <v>0.99998319999999996</v>
      </c>
      <c r="AB7197">
        <v>33</v>
      </c>
      <c r="AC7197">
        <v>0.60779999999999701</v>
      </c>
      <c r="AD7197">
        <v>-7.33209999999999E-2</v>
      </c>
      <c r="AE7197">
        <v>-4.9999999998817603E-4</v>
      </c>
      <c r="AF7197">
        <v>-5.9687033328441799E-3</v>
      </c>
      <c r="AG7197">
        <v>-7.33209999999999E-2</v>
      </c>
      <c r="AH7197">
        <v>0.59905237999495797</v>
      </c>
      <c r="AI7197">
        <v>96.977665836294804</v>
      </c>
      <c r="AJ7197">
        <v>90.570851908348999</v>
      </c>
      <c r="AK7197">
        <v>0.60355227481809604</v>
      </c>
      <c r="AL7197">
        <v>81.3124160725813</v>
      </c>
      <c r="AM7197">
        <v>89.956506238125002</v>
      </c>
      <c r="AN7197">
        <v>0.99999994213147803</v>
      </c>
    </row>
    <row r="7198" spans="1:40" x14ac:dyDescent="0.25">
      <c r="A7198" t="str">
        <f>"20190312164206650"</f>
        <v>20190312164206650</v>
      </c>
      <c r="B7198" t="str">
        <f>"1552380126643347"</f>
        <v>1552380126643347</v>
      </c>
      <c r="C7198" t="s">
        <v>40</v>
      </c>
      <c r="D7198">
        <v>5.7008479999999997</v>
      </c>
      <c r="E7198">
        <v>0.50212990000000002</v>
      </c>
      <c r="F7198" t="s">
        <v>41</v>
      </c>
      <c r="G7198">
        <v>-98.404949999999999</v>
      </c>
      <c r="H7198" s="1">
        <v>-6.8004859999999996E-7</v>
      </c>
      <c r="I7198">
        <v>139.54050000000001</v>
      </c>
      <c r="J7198">
        <v>-112.8694</v>
      </c>
      <c r="K7198">
        <v>1.109343</v>
      </c>
      <c r="L7198">
        <v>139.60079999999999</v>
      </c>
      <c r="M7198">
        <v>0.99983250000000001</v>
      </c>
      <c r="N7198">
        <v>0</v>
      </c>
      <c r="O7198">
        <v>-1.204038E-2</v>
      </c>
      <c r="P7198">
        <v>0.98994890000000002</v>
      </c>
      <c r="Q7198">
        <v>0.1409194</v>
      </c>
      <c r="R7198">
        <v>-1.1961070000000001E-2</v>
      </c>
      <c r="S7198">
        <v>3.060562</v>
      </c>
      <c r="T7198">
        <v>-0.22929369999999999</v>
      </c>
      <c r="U7198">
        <v>-1.3488770000000001E-2</v>
      </c>
      <c r="V7198">
        <v>4.4870100000000003E-4</v>
      </c>
      <c r="W7198">
        <v>0.15455820000000001</v>
      </c>
      <c r="X7198">
        <v>0.98798359999999996</v>
      </c>
      <c r="Y7198">
        <v>-7.5795000000000003E-3</v>
      </c>
      <c r="Z7198">
        <v>1.1843730000000001E-3</v>
      </c>
      <c r="AA7198">
        <v>0.99997060000000004</v>
      </c>
      <c r="AB7198">
        <v>33</v>
      </c>
      <c r="AC7198">
        <v>14.464449999999999</v>
      </c>
      <c r="AD7198">
        <v>-1.1093436800486001</v>
      </c>
      <c r="AE7198">
        <v>-6.0299999999983797E-2</v>
      </c>
      <c r="AF7198">
        <v>-0.11321248436173401</v>
      </c>
      <c r="AG7198">
        <v>-1.1093436800486001</v>
      </c>
      <c r="AH7198">
        <v>14.3795477218426</v>
      </c>
      <c r="AI7198">
        <v>94.411341997429403</v>
      </c>
      <c r="AJ7198">
        <v>90.451089536686794</v>
      </c>
      <c r="AK7198">
        <v>14.422720033053</v>
      </c>
      <c r="AL7198">
        <v>81.108825936393401</v>
      </c>
      <c r="AM7198">
        <v>89.973978645196397</v>
      </c>
      <c r="AN7198">
        <v>1.0000000161943901</v>
      </c>
    </row>
    <row r="7199" spans="1:40" x14ac:dyDescent="0.25">
      <c r="A7199" t="str">
        <f>"20190312164206671"</f>
        <v>20190312164206671</v>
      </c>
      <c r="B7199" t="str">
        <f>"1552380126662866"</f>
        <v>1552380126662866</v>
      </c>
      <c r="C7199" t="s">
        <v>40</v>
      </c>
      <c r="D7199">
        <v>5.3564540000000003</v>
      </c>
      <c r="E7199">
        <v>0.51020049999999995</v>
      </c>
      <c r="F7199" t="s">
        <v>41</v>
      </c>
      <c r="G7199">
        <v>-97.263289999999998</v>
      </c>
      <c r="H7199" s="1">
        <v>-1.1725100000000001E-6</v>
      </c>
      <c r="I7199">
        <v>139.52529999999999</v>
      </c>
      <c r="J7199">
        <v>-112.5459</v>
      </c>
      <c r="K7199">
        <v>1.109391</v>
      </c>
      <c r="L7199">
        <v>139.59559999999999</v>
      </c>
      <c r="M7199">
        <v>0.99981739999999997</v>
      </c>
      <c r="N7199">
        <v>0</v>
      </c>
      <c r="O7199">
        <v>-1.323386E-2</v>
      </c>
      <c r="P7199">
        <v>0.98936400000000002</v>
      </c>
      <c r="Q7199">
        <v>0.14479919999999999</v>
      </c>
      <c r="R7199">
        <v>-1.385258E-2</v>
      </c>
      <c r="S7199">
        <v>3.0612490000000001</v>
      </c>
      <c r="T7199">
        <v>-0.21760560000000001</v>
      </c>
      <c r="U7199">
        <v>-1.480103E-2</v>
      </c>
      <c r="V7199">
        <v>1.177249E-3</v>
      </c>
      <c r="W7199">
        <v>0.15842579999999901</v>
      </c>
      <c r="X7199">
        <v>0.98737019999999998</v>
      </c>
      <c r="Y7199">
        <v>-8.3460329999999992E-3</v>
      </c>
      <c r="Z7199">
        <v>1.235845E-3</v>
      </c>
      <c r="AA7199">
        <v>0.99996439999999998</v>
      </c>
      <c r="AB7199">
        <v>33</v>
      </c>
      <c r="AC7199">
        <v>15.28261</v>
      </c>
      <c r="AD7199">
        <v>-1.10939217251</v>
      </c>
      <c r="AE7199">
        <v>-7.0300000000003096E-2</v>
      </c>
      <c r="AF7199">
        <v>-0.13128151567121499</v>
      </c>
      <c r="AG7199">
        <v>-1.10939217251</v>
      </c>
      <c r="AH7199">
        <v>15.2020950546138</v>
      </c>
      <c r="AI7199">
        <v>94.173678315015906</v>
      </c>
      <c r="AJ7199">
        <v>90.494779816403295</v>
      </c>
      <c r="AK7199">
        <v>15.243086297672701</v>
      </c>
      <c r="AL7199">
        <v>80.884464319904595</v>
      </c>
      <c r="AM7199">
        <v>89.931685838631594</v>
      </c>
      <c r="AN7199">
        <v>1.00000001593444</v>
      </c>
    </row>
    <row r="7200" spans="1:40" x14ac:dyDescent="0.25">
      <c r="A7200" t="str">
        <f>"20190312164206760"</f>
        <v>20190312164206760</v>
      </c>
      <c r="B7200" t="str">
        <f>"1552380126753634"</f>
        <v>1552380126753634</v>
      </c>
      <c r="C7200" t="s">
        <v>40</v>
      </c>
      <c r="D7200">
        <v>5.7051259999999999</v>
      </c>
      <c r="E7200">
        <v>0.5096927</v>
      </c>
      <c r="F7200" t="s">
        <v>42</v>
      </c>
      <c r="G7200">
        <v>-110.66970000000001</v>
      </c>
      <c r="H7200">
        <v>0.7665246</v>
      </c>
      <c r="I7200">
        <v>139.5641</v>
      </c>
      <c r="J7200">
        <v>-111.2368</v>
      </c>
      <c r="K7200">
        <v>1.1095170000000001</v>
      </c>
      <c r="L7200">
        <v>139.57089999999999</v>
      </c>
      <c r="M7200">
        <v>0.99974180000000001</v>
      </c>
      <c r="N7200">
        <v>0</v>
      </c>
      <c r="O7200">
        <v>-1.807489E-2</v>
      </c>
      <c r="P7200">
        <v>0.98674709999999999</v>
      </c>
      <c r="Q7200">
        <v>0.16057149999999901</v>
      </c>
      <c r="R7200">
        <v>-2.33908E-2</v>
      </c>
      <c r="S7200">
        <v>3.23671</v>
      </c>
      <c r="T7200">
        <v>-1.2522040000000001</v>
      </c>
      <c r="U7200">
        <v>-4.8904419999999997E-2</v>
      </c>
      <c r="V7200">
        <v>6.0116190000000002E-3</v>
      </c>
      <c r="W7200">
        <v>0.17414060000000001</v>
      </c>
      <c r="X7200">
        <v>0.98470250000000004</v>
      </c>
      <c r="Y7200">
        <v>-1.5522069999999999E-3</v>
      </c>
      <c r="Z7200">
        <v>7.0385630000000003E-3</v>
      </c>
      <c r="AA7200">
        <v>0.99997400000000003</v>
      </c>
      <c r="AB7200">
        <v>33</v>
      </c>
      <c r="AC7200">
        <v>0.56709999999999605</v>
      </c>
      <c r="AD7200">
        <v>-0.34299239999999998</v>
      </c>
      <c r="AE7200">
        <v>-6.7999999999983603E-3</v>
      </c>
      <c r="AF7200">
        <v>-2.5278030403770701E-3</v>
      </c>
      <c r="AG7200">
        <v>-0.34299239999999998</v>
      </c>
      <c r="AH7200">
        <v>0.41525113388692803</v>
      </c>
      <c r="AI7200">
        <v>129.555772157993</v>
      </c>
      <c r="AJ7200">
        <v>90.348778473743906</v>
      </c>
      <c r="AK7200">
        <v>0.538594170447797</v>
      </c>
      <c r="AL7200">
        <v>79.971350287110894</v>
      </c>
      <c r="AM7200">
        <v>89.650213016006106</v>
      </c>
      <c r="AN7200">
        <v>1.0000000508188001</v>
      </c>
    </row>
    <row r="7201" spans="1:40" x14ac:dyDescent="0.25">
      <c r="A7201" t="str">
        <f>"20190312164206782"</f>
        <v>20190312164206782</v>
      </c>
      <c r="B7201" t="str">
        <f>"1552380126773009"</f>
        <v>1552380126773009</v>
      </c>
      <c r="C7201" t="s">
        <v>40</v>
      </c>
      <c r="D7201">
        <v>5.6983779999999999</v>
      </c>
      <c r="E7201">
        <v>0.51385049999999999</v>
      </c>
      <c r="F7201" t="s">
        <v>42</v>
      </c>
      <c r="G7201">
        <v>-110.372</v>
      </c>
      <c r="H7201">
        <v>0.77835739999999998</v>
      </c>
      <c r="I7201">
        <v>139.55600000000001</v>
      </c>
      <c r="J7201">
        <v>-110.9126</v>
      </c>
      <c r="K7201">
        <v>1.1095159999999999</v>
      </c>
      <c r="L7201">
        <v>139.56379999999999</v>
      </c>
      <c r="M7201">
        <v>0.99971949999999998</v>
      </c>
      <c r="N7201">
        <v>0</v>
      </c>
      <c r="O7201">
        <v>-1.9272020000000001E-2</v>
      </c>
      <c r="P7201">
        <v>0.98641619999999997</v>
      </c>
      <c r="Q7201">
        <v>0.16232079999999999</v>
      </c>
      <c r="R7201">
        <v>-2.5200500000000001E-2</v>
      </c>
      <c r="S7201">
        <v>3.2409059999999998</v>
      </c>
      <c r="T7201">
        <v>-1.2409570000000001</v>
      </c>
      <c r="U7201">
        <v>-5.5786130000000003E-2</v>
      </c>
      <c r="V7201">
        <v>6.6496719999999997E-3</v>
      </c>
      <c r="W7201">
        <v>0.17588229999999999</v>
      </c>
      <c r="X7201">
        <v>0.98438879999999995</v>
      </c>
      <c r="Y7201">
        <v>-6.5338620000000001E-4</v>
      </c>
      <c r="Z7201">
        <v>7.2474139999999998E-3</v>
      </c>
      <c r="AA7201">
        <v>0.99997349999999996</v>
      </c>
      <c r="AB7201">
        <v>33</v>
      </c>
      <c r="AC7201">
        <v>0.54059999999998298</v>
      </c>
      <c r="AD7201">
        <v>-0.33115859999999903</v>
      </c>
      <c r="AE7201">
        <v>-7.79999999997471E-3</v>
      </c>
      <c r="AF7201">
        <v>-1.9058645962519601E-3</v>
      </c>
      <c r="AG7201">
        <v>-0.33115859999999903</v>
      </c>
      <c r="AH7201">
        <v>0.39315096307189301</v>
      </c>
      <c r="AI7201">
        <v>130.10774651364699</v>
      </c>
      <c r="AJ7201">
        <v>90.277748632403203</v>
      </c>
      <c r="AK7201">
        <v>0.51404020313412802</v>
      </c>
      <c r="AL7201">
        <v>79.869993973906006</v>
      </c>
      <c r="AM7201">
        <v>89.612965582602001</v>
      </c>
      <c r="AN7201">
        <v>1.00000005557821</v>
      </c>
    </row>
    <row r="7202" spans="1:40" x14ac:dyDescent="0.25">
      <c r="A7202" t="str">
        <f>"20190312164206805"</f>
        <v>20190312164206805</v>
      </c>
      <c r="B7202" t="str">
        <f>"1552380126793506"</f>
        <v>1552380126793506</v>
      </c>
      <c r="C7202" t="s">
        <v>40</v>
      </c>
      <c r="D7202">
        <v>5.5298980000000002</v>
      </c>
      <c r="E7202">
        <v>0.51398529999999998</v>
      </c>
      <c r="F7202" t="s">
        <v>42</v>
      </c>
      <c r="G7202">
        <v>-109.9914</v>
      </c>
      <c r="H7202">
        <v>0.98126849999999999</v>
      </c>
      <c r="I7202">
        <v>139.52340000000001</v>
      </c>
      <c r="J7202">
        <v>-110.58710000000001</v>
      </c>
      <c r="K7202">
        <v>1.10951</v>
      </c>
      <c r="L7202">
        <v>139.55629999999999</v>
      </c>
      <c r="M7202">
        <v>0.99969549999999996</v>
      </c>
      <c r="N7202">
        <v>0</v>
      </c>
      <c r="O7202">
        <v>-2.0473660000000001E-2</v>
      </c>
      <c r="P7202">
        <v>0.9861683</v>
      </c>
      <c r="Q7202">
        <v>0.16352039999999901</v>
      </c>
      <c r="R7202">
        <v>-2.7083779999999998E-2</v>
      </c>
      <c r="S7202">
        <v>3.1090550000000001</v>
      </c>
      <c r="T7202">
        <v>-0.4328301</v>
      </c>
      <c r="U7202">
        <v>-0.13638310000000001</v>
      </c>
      <c r="V7202">
        <v>7.35389099999999E-3</v>
      </c>
      <c r="W7202">
        <v>0.17707490000000001</v>
      </c>
      <c r="X7202">
        <v>0.98416990000000004</v>
      </c>
      <c r="Y7202">
        <v>2.3331640000000001E-2</v>
      </c>
      <c r="Z7202">
        <v>1.2195330000000001E-3</v>
      </c>
      <c r="AA7202">
        <v>0.99972700000000003</v>
      </c>
      <c r="AB7202">
        <v>33</v>
      </c>
      <c r="AC7202">
        <v>0.595700000000007</v>
      </c>
      <c r="AD7202">
        <v>-0.12824150000000001</v>
      </c>
      <c r="AE7202">
        <v>-3.2899999999983699E-2</v>
      </c>
      <c r="AF7202">
        <v>1.9781788988504901E-2</v>
      </c>
      <c r="AG7202">
        <v>-0.12824150000000001</v>
      </c>
      <c r="AH7202">
        <v>0.56991636256263201</v>
      </c>
      <c r="AI7202">
        <v>102.673985209359</v>
      </c>
      <c r="AJ7202">
        <v>88.0120623811938</v>
      </c>
      <c r="AK7202">
        <v>0.58450137879602704</v>
      </c>
      <c r="AL7202">
        <v>79.800572820718202</v>
      </c>
      <c r="AM7202">
        <v>89.571883801957696</v>
      </c>
      <c r="AN7202">
        <v>0.99999999599442901</v>
      </c>
    </row>
    <row r="7203" spans="1:40" x14ac:dyDescent="0.25">
      <c r="A7203" t="str">
        <f>"20190312164206828"</f>
        <v>20190312164206828</v>
      </c>
      <c r="B7203" t="str">
        <f>"1552380126823761"</f>
        <v>1552380126823761</v>
      </c>
      <c r="C7203" t="s">
        <v>40</v>
      </c>
      <c r="D7203">
        <v>5.4751609999999999</v>
      </c>
      <c r="E7203">
        <v>0.51391129999999996</v>
      </c>
      <c r="F7203" t="s">
        <v>42</v>
      </c>
      <c r="G7203">
        <v>-109.673</v>
      </c>
      <c r="H7203">
        <v>1.0343100000000001</v>
      </c>
      <c r="I7203">
        <v>139.51089999999999</v>
      </c>
      <c r="J7203">
        <v>-110.2531</v>
      </c>
      <c r="K7203">
        <v>1.1094869999999999</v>
      </c>
      <c r="L7203">
        <v>139.54820000000001</v>
      </c>
      <c r="M7203">
        <v>0.99966960000000005</v>
      </c>
      <c r="N7203">
        <v>0</v>
      </c>
      <c r="O7203">
        <v>-2.1705820000000001E-2</v>
      </c>
      <c r="P7203">
        <v>0.98616389999999998</v>
      </c>
      <c r="Q7203">
        <v>0.1632062</v>
      </c>
      <c r="R7203">
        <v>-2.905843E-2</v>
      </c>
      <c r="S7203">
        <v>3.0799099999999999</v>
      </c>
      <c r="T7203">
        <v>-0.25345620000000002</v>
      </c>
      <c r="U7203">
        <v>-0.15248110000000001</v>
      </c>
      <c r="V7203">
        <v>8.110819E-3</v>
      </c>
      <c r="W7203">
        <v>0.1767572</v>
      </c>
      <c r="X7203">
        <v>0.98422100000000001</v>
      </c>
      <c r="Y7203">
        <v>2.7734419999999999E-2</v>
      </c>
      <c r="Z7203">
        <v>6.4341029999999996E-4</v>
      </c>
      <c r="AA7203">
        <v>0.99961509999999998</v>
      </c>
      <c r="AB7203">
        <v>33</v>
      </c>
      <c r="AC7203">
        <v>0.58010000000001505</v>
      </c>
      <c r="AD7203">
        <v>-7.5176999999999994E-2</v>
      </c>
      <c r="AE7203">
        <v>-3.7300000000016098E-2</v>
      </c>
      <c r="AF7203">
        <v>2.42921782275628E-2</v>
      </c>
      <c r="AG7203">
        <v>-7.5176999999999994E-2</v>
      </c>
      <c r="AH7203">
        <v>0.57121922715114604</v>
      </c>
      <c r="AI7203">
        <v>97.490798282069207</v>
      </c>
      <c r="AJ7203">
        <v>87.564855896381601</v>
      </c>
      <c r="AK7203">
        <v>0.57665682751459002</v>
      </c>
      <c r="AL7203">
        <v>79.819066797217104</v>
      </c>
      <c r="AM7203">
        <v>89.527844683606503</v>
      </c>
      <c r="AN7203">
        <v>0.99999993498884299</v>
      </c>
    </row>
    <row r="7204" spans="1:40" x14ac:dyDescent="0.25">
      <c r="A7204" t="str">
        <f>"20190312164206850"</f>
        <v>20190312164206850</v>
      </c>
      <c r="B7204" t="str">
        <f>"1552380126843281"</f>
        <v>1552380126843281</v>
      </c>
      <c r="C7204" t="s">
        <v>40</v>
      </c>
      <c r="D7204">
        <v>5.7495129999999897</v>
      </c>
      <c r="E7204">
        <v>0.51289370000000001</v>
      </c>
      <c r="F7204" t="s">
        <v>41</v>
      </c>
      <c r="G7204">
        <v>-92.026790000000005</v>
      </c>
      <c r="H7204" s="1">
        <v>-3.5854839999999998E-6</v>
      </c>
      <c r="I7204">
        <v>138.5864</v>
      </c>
      <c r="J7204">
        <v>-109.92749999999999</v>
      </c>
      <c r="K7204">
        <v>1.109461</v>
      </c>
      <c r="L7204">
        <v>139.53980000000001</v>
      </c>
      <c r="M7204">
        <v>0.9996429</v>
      </c>
      <c r="N7204">
        <v>0</v>
      </c>
      <c r="O7204">
        <v>-2.2906389999999999E-2</v>
      </c>
      <c r="P7204">
        <v>0.98625739999999995</v>
      </c>
      <c r="Q7204">
        <v>0.16243460000000001</v>
      </c>
      <c r="R7204">
        <v>-3.0192790000000001E-2</v>
      </c>
      <c r="S7204">
        <v>3.068222</v>
      </c>
      <c r="T7204">
        <v>-0.18677179999999999</v>
      </c>
      <c r="U7204">
        <v>-0.16189579999999901</v>
      </c>
      <c r="V7204">
        <v>8.0550759999999996E-3</v>
      </c>
      <c r="W7204">
        <v>0.17598559999999999</v>
      </c>
      <c r="X7204">
        <v>0.98435980000000001</v>
      </c>
      <c r="Y7204">
        <v>2.9788780000000001E-2</v>
      </c>
      <c r="Z7204">
        <v>4.8675569999999998E-4</v>
      </c>
      <c r="AA7204">
        <v>0.99955609999999995</v>
      </c>
      <c r="AB7204">
        <v>33</v>
      </c>
      <c r="AC7204">
        <v>17.900709999999901</v>
      </c>
      <c r="AD7204">
        <v>-1.109464585484</v>
      </c>
      <c r="AE7204">
        <v>-0.95340000000001601</v>
      </c>
      <c r="AF7204">
        <v>0.54099802304906697</v>
      </c>
      <c r="AG7204">
        <v>-1.109464585484</v>
      </c>
      <c r="AH7204">
        <v>17.849480693151801</v>
      </c>
      <c r="AI7204">
        <v>93.555111762611304</v>
      </c>
      <c r="AJ7204">
        <v>88.263959738985093</v>
      </c>
      <c r="AK7204">
        <v>17.892108638798899</v>
      </c>
      <c r="AL7204">
        <v>79.863981130186005</v>
      </c>
      <c r="AM7204">
        <v>89.531155622851301</v>
      </c>
      <c r="AN7204">
        <v>1.00000001575638</v>
      </c>
    </row>
    <row r="7205" spans="1:40" x14ac:dyDescent="0.25">
      <c r="A7205" t="str">
        <f>"20190312164206872"</f>
        <v>20190312164206872</v>
      </c>
      <c r="B7205" t="str">
        <f>"1552380126862801"</f>
        <v>1552380126862801</v>
      </c>
      <c r="C7205" t="s">
        <v>40</v>
      </c>
      <c r="D7205">
        <v>5.7344160000000004</v>
      </c>
      <c r="E7205">
        <v>0.51253320000000002</v>
      </c>
      <c r="F7205" t="s">
        <v>41</v>
      </c>
      <c r="G7205">
        <v>-90.859719999999996</v>
      </c>
      <c r="H7205" s="1">
        <v>-4.0921479999999998E-6</v>
      </c>
      <c r="I7205">
        <v>138.55260000000001</v>
      </c>
      <c r="J7205">
        <v>-109.60720000000001</v>
      </c>
      <c r="K7205">
        <v>1.1094379999999999</v>
      </c>
      <c r="L7205">
        <v>139.53129999999999</v>
      </c>
      <c r="M7205">
        <v>0.99961520000000004</v>
      </c>
      <c r="N7205">
        <v>0</v>
      </c>
      <c r="O7205">
        <v>-2.4085349999999998E-2</v>
      </c>
      <c r="P7205">
        <v>0.98615649999999999</v>
      </c>
      <c r="Q7205">
        <v>0.1627642</v>
      </c>
      <c r="R7205">
        <v>-3.1678980000000002E-2</v>
      </c>
      <c r="S7205">
        <v>3.0663299999999998</v>
      </c>
      <c r="T7205">
        <v>-0.17841479999999901</v>
      </c>
      <c r="U7205">
        <v>-0.15875239999999999</v>
      </c>
      <c r="V7205">
        <v>8.3790589999999995E-3</v>
      </c>
      <c r="W7205">
        <v>0.17631179999999999</v>
      </c>
      <c r="X7205">
        <v>0.98429869999999997</v>
      </c>
      <c r="Y7205">
        <v>2.762715E-2</v>
      </c>
      <c r="Z7205">
        <v>5.9657440000000003E-4</v>
      </c>
      <c r="AA7205">
        <v>0.99961809999999995</v>
      </c>
      <c r="AB7205">
        <v>33</v>
      </c>
      <c r="AC7205">
        <v>18.747479999999999</v>
      </c>
      <c r="AD7205">
        <v>-1.1094420921479999</v>
      </c>
      <c r="AE7205">
        <v>-0.97869999999997404</v>
      </c>
      <c r="AF7205">
        <v>0.52500007432208995</v>
      </c>
      <c r="AG7205">
        <v>-1.1094420921479999</v>
      </c>
      <c r="AH7205">
        <v>18.700303424321699</v>
      </c>
      <c r="AI7205">
        <v>93.393901042977305</v>
      </c>
      <c r="AJ7205">
        <v>88.391876926585297</v>
      </c>
      <c r="AK7205">
        <v>18.740539880045201</v>
      </c>
      <c r="AL7205">
        <v>79.844994150193301</v>
      </c>
      <c r="AM7205">
        <v>89.512268866325499</v>
      </c>
      <c r="AN7205">
        <v>0.999999995135327</v>
      </c>
    </row>
    <row r="7206" spans="1:40" x14ac:dyDescent="0.25">
      <c r="A7206" t="str">
        <f>"20190312164206895"</f>
        <v>20190312164206895</v>
      </c>
      <c r="B7206" t="str">
        <f>"1552380126882967"</f>
        <v>1552380126882967</v>
      </c>
      <c r="C7206" t="s">
        <v>40</v>
      </c>
      <c r="D7206">
        <v>5.7823799999999999</v>
      </c>
      <c r="E7206">
        <v>0.51195249999999903</v>
      </c>
      <c r="F7206" t="s">
        <v>41</v>
      </c>
      <c r="G7206">
        <v>-91.067899999999995</v>
      </c>
      <c r="H7206" s="1">
        <v>-4.000797E-6</v>
      </c>
      <c r="I7206">
        <v>138.5641</v>
      </c>
      <c r="J7206">
        <v>-109.2761</v>
      </c>
      <c r="K7206">
        <v>1.109423</v>
      </c>
      <c r="L7206">
        <v>139.52199999999999</v>
      </c>
      <c r="M7206">
        <v>0.99958519999999895</v>
      </c>
      <c r="N7206">
        <v>0</v>
      </c>
      <c r="O7206">
        <v>-2.5298250000000001E-2</v>
      </c>
      <c r="P7206">
        <v>0.9859502</v>
      </c>
      <c r="Q7206">
        <v>0.16368369999999999</v>
      </c>
      <c r="R7206">
        <v>-3.3315440000000002E-2</v>
      </c>
      <c r="S7206">
        <v>3.0672609999999998</v>
      </c>
      <c r="T7206">
        <v>-0.18355299999999999</v>
      </c>
      <c r="U7206">
        <v>-0.1600037</v>
      </c>
      <c r="V7206">
        <v>8.8234149999999994E-3</v>
      </c>
      <c r="W7206">
        <v>0.17722560000000001</v>
      </c>
      <c r="X7206">
        <v>0.98413070000000002</v>
      </c>
      <c r="Y7206">
        <v>2.6808499999999999E-2</v>
      </c>
      <c r="Z7206">
        <v>7.1042380000000001E-4</v>
      </c>
      <c r="AA7206">
        <v>0.99964030000000004</v>
      </c>
      <c r="AB7206">
        <v>33</v>
      </c>
      <c r="AC7206">
        <v>18.208200000000001</v>
      </c>
      <c r="AD7206">
        <v>-1.109427000797</v>
      </c>
      <c r="AE7206">
        <v>-0.95790000000002296</v>
      </c>
      <c r="AF7206">
        <v>0.49508123054099901</v>
      </c>
      <c r="AG7206">
        <v>-1.109427000797</v>
      </c>
      <c r="AH7206">
        <v>18.159376667007201</v>
      </c>
      <c r="AI7206">
        <v>93.494781503960397</v>
      </c>
      <c r="AJ7206">
        <v>88.438325239622202</v>
      </c>
      <c r="AK7206">
        <v>18.1999696326444</v>
      </c>
      <c r="AL7206">
        <v>79.791799632234103</v>
      </c>
      <c r="AM7206">
        <v>89.486317320244297</v>
      </c>
      <c r="AN7206">
        <v>1.00000000031505</v>
      </c>
    </row>
    <row r="7207" spans="1:40" x14ac:dyDescent="0.25">
      <c r="A7207" t="str">
        <f>"20190312164206918"</f>
        <v>20190312164206918</v>
      </c>
      <c r="B7207" t="str">
        <f>"1552380126913224"</f>
        <v>1552380126913224</v>
      </c>
      <c r="C7207" t="s">
        <v>40</v>
      </c>
      <c r="D7207">
        <v>5.607939</v>
      </c>
      <c r="E7207">
        <v>0.51156199999999996</v>
      </c>
      <c r="F7207" t="s">
        <v>41</v>
      </c>
      <c r="G7207">
        <v>-91.007480000000001</v>
      </c>
      <c r="H7207" s="1">
        <v>-4.0259389999999999E-6</v>
      </c>
      <c r="I7207">
        <v>138.5685</v>
      </c>
      <c r="J7207">
        <v>-108.9492</v>
      </c>
      <c r="K7207">
        <v>1.109423</v>
      </c>
      <c r="L7207">
        <v>139.51249999999999</v>
      </c>
      <c r="M7207">
        <v>0.99955450000000001</v>
      </c>
      <c r="N7207">
        <v>0</v>
      </c>
      <c r="O7207">
        <v>-2.648677E-2</v>
      </c>
      <c r="P7207">
        <v>0.98562740000000004</v>
      </c>
      <c r="Q7207">
        <v>0.16536380000000001</v>
      </c>
      <c r="R7207">
        <v>-3.455362E-2</v>
      </c>
      <c r="S7207">
        <v>3.0682680000000002</v>
      </c>
      <c r="T7207">
        <v>-0.18633089999999999</v>
      </c>
      <c r="U7207">
        <v>-0.16014100000000001</v>
      </c>
      <c r="V7207">
        <v>8.8974190000000002E-3</v>
      </c>
      <c r="W7207">
        <v>0.178899799999999</v>
      </c>
      <c r="X7207">
        <v>0.98382709999999995</v>
      </c>
      <c r="Y7207">
        <v>2.565166E-2</v>
      </c>
      <c r="Z7207">
        <v>8.2801509999999904E-4</v>
      </c>
      <c r="AA7207">
        <v>0.99967059999999996</v>
      </c>
      <c r="AB7207">
        <v>33</v>
      </c>
      <c r="AC7207">
        <v>17.94172</v>
      </c>
      <c r="AD7207">
        <v>-1.109427025939</v>
      </c>
      <c r="AE7207">
        <v>-0.94399999999998796</v>
      </c>
      <c r="AF7207">
        <v>0.46662630852910603</v>
      </c>
      <c r="AG7207">
        <v>-1.109427025939</v>
      </c>
      <c r="AH7207">
        <v>17.8922067968569</v>
      </c>
      <c r="AI7207">
        <v>93.546945665015897</v>
      </c>
      <c r="AJ7207">
        <v>88.506072540468693</v>
      </c>
      <c r="AK7207">
        <v>17.932641537129602</v>
      </c>
      <c r="AL7207">
        <v>79.694317508649306</v>
      </c>
      <c r="AM7207">
        <v>89.481849341388198</v>
      </c>
      <c r="AN7207">
        <v>1.0000000325996501</v>
      </c>
    </row>
    <row r="7208" spans="1:40" x14ac:dyDescent="0.25">
      <c r="A7208" t="str">
        <f>"20190312164206941"</f>
        <v>20190312164206941</v>
      </c>
      <c r="B7208" t="str">
        <f>"1552380126933719"</f>
        <v>1552380126933719</v>
      </c>
      <c r="C7208" t="s">
        <v>40</v>
      </c>
      <c r="D7208">
        <v>5.5900089999999896</v>
      </c>
      <c r="E7208">
        <v>0.51100119999999905</v>
      </c>
      <c r="F7208" t="s">
        <v>41</v>
      </c>
      <c r="G7208">
        <v>-90.857879999999994</v>
      </c>
      <c r="H7208" s="1">
        <v>-4.0898439999999997E-6</v>
      </c>
      <c r="I7208">
        <v>138.5701</v>
      </c>
      <c r="J7208">
        <v>-108.61660000000001</v>
      </c>
      <c r="K7208">
        <v>1.10944</v>
      </c>
      <c r="L7208">
        <v>139.50239999999999</v>
      </c>
      <c r="M7208">
        <v>0.99952220000000003</v>
      </c>
      <c r="N7208">
        <v>0</v>
      </c>
      <c r="O7208">
        <v>-2.767973E-2</v>
      </c>
      <c r="P7208">
        <v>0.98506539999999998</v>
      </c>
      <c r="Q7208">
        <v>0.16819439999999999</v>
      </c>
      <c r="R7208">
        <v>-3.6838849999999999E-2</v>
      </c>
      <c r="S7208">
        <v>3.0697169999999998</v>
      </c>
      <c r="T7208">
        <v>-0.188246</v>
      </c>
      <c r="U7208">
        <v>-0.1599121</v>
      </c>
      <c r="V7208">
        <v>1.002196E-2</v>
      </c>
      <c r="W7208">
        <v>0.18171809999999999</v>
      </c>
      <c r="X7208">
        <v>0.98329960000000005</v>
      </c>
      <c r="Y7208">
        <v>2.436429E-2</v>
      </c>
      <c r="Z7208">
        <v>9.4852650000000005E-4</v>
      </c>
      <c r="AA7208">
        <v>0.99970270000000006</v>
      </c>
      <c r="AB7208">
        <v>33</v>
      </c>
      <c r="AC7208">
        <v>17.758719999999901</v>
      </c>
      <c r="AD7208">
        <v>-1.1094440898439999</v>
      </c>
      <c r="AE7208">
        <v>-0.93229999999999802</v>
      </c>
      <c r="AF7208">
        <v>0.43863239780906599</v>
      </c>
      <c r="AG7208">
        <v>-1.1094440898439999</v>
      </c>
      <c r="AH7208">
        <v>17.708796869975799</v>
      </c>
      <c r="AI7208">
        <v>93.583760131496803</v>
      </c>
      <c r="AJ7208">
        <v>88.581120576720593</v>
      </c>
      <c r="AK7208">
        <v>17.748936620286901</v>
      </c>
      <c r="AL7208">
        <v>79.530149770163803</v>
      </c>
      <c r="AM7208">
        <v>89.416051701408605</v>
      </c>
      <c r="AN7208">
        <v>1.000000005455</v>
      </c>
    </row>
    <row r="7209" spans="1:40" x14ac:dyDescent="0.25">
      <c r="A7209" t="str">
        <f>"20190312164206962"</f>
        <v>20190312164206962</v>
      </c>
      <c r="B7209" t="str">
        <f>"1552380126953239"</f>
        <v>1552380126953239</v>
      </c>
      <c r="C7209" t="s">
        <v>40</v>
      </c>
      <c r="D7209">
        <v>6.0420160000000003</v>
      </c>
      <c r="E7209">
        <v>0.51085720000000001</v>
      </c>
      <c r="F7209" t="s">
        <v>41</v>
      </c>
      <c r="G7209">
        <v>-89.131</v>
      </c>
      <c r="H7209" s="1">
        <v>-5.8523369999999903E-7</v>
      </c>
      <c r="I7209">
        <v>138.4759</v>
      </c>
      <c r="J7209">
        <v>-108.3073</v>
      </c>
      <c r="K7209">
        <v>1.109472</v>
      </c>
      <c r="L7209">
        <v>139.49270000000001</v>
      </c>
      <c r="M7209">
        <v>0.99949140000000003</v>
      </c>
      <c r="N7209">
        <v>0</v>
      </c>
      <c r="O7209">
        <v>-2.8768559999999999E-2</v>
      </c>
      <c r="P7209">
        <v>0.98444679999999996</v>
      </c>
      <c r="Q7209">
        <v>0.17119119999999999</v>
      </c>
      <c r="R7209">
        <v>-3.9472670000000001E-2</v>
      </c>
      <c r="S7209">
        <v>3.0692750000000002</v>
      </c>
      <c r="T7209">
        <v>-0.17475350000000001</v>
      </c>
      <c r="U7209">
        <v>-0.1616821</v>
      </c>
      <c r="V7209">
        <v>1.1599170000000001E-2</v>
      </c>
      <c r="W7209">
        <v>0.18470230000000001</v>
      </c>
      <c r="X7209">
        <v>0.98272610000000005</v>
      </c>
      <c r="Y7209">
        <v>2.3859390000000001E-2</v>
      </c>
      <c r="Z7209">
        <v>9.5698300000000001E-4</v>
      </c>
      <c r="AA7209">
        <v>0.99971489999999996</v>
      </c>
      <c r="AB7209">
        <v>33</v>
      </c>
      <c r="AC7209">
        <v>19.176300000000001</v>
      </c>
      <c r="AD7209">
        <v>-1.1094725852337</v>
      </c>
      <c r="AE7209">
        <v>-1.0168000000000099</v>
      </c>
      <c r="AF7209">
        <v>0.46310646064152799</v>
      </c>
      <c r="AG7209">
        <v>-1.1094725852337</v>
      </c>
      <c r="AH7209">
        <v>19.133747916584799</v>
      </c>
      <c r="AI7209">
        <v>93.317616952995195</v>
      </c>
      <c r="AJ7209">
        <v>88.613503938920005</v>
      </c>
      <c r="AK7209">
        <v>19.171481589764699</v>
      </c>
      <c r="AL7209">
        <v>79.3562240271132</v>
      </c>
      <c r="AM7209">
        <v>89.323766176631906</v>
      </c>
      <c r="AN7209">
        <v>1.0000000339955899</v>
      </c>
    </row>
    <row r="7210" spans="1:40" x14ac:dyDescent="0.25">
      <c r="A7210" t="str">
        <f>"20190312164206985"</f>
        <v>20190312164206985</v>
      </c>
      <c r="B7210" t="str">
        <f>"1552380126973735"</f>
        <v>1552380126973735</v>
      </c>
      <c r="C7210" t="s">
        <v>40</v>
      </c>
      <c r="D7210">
        <v>5.544886</v>
      </c>
      <c r="E7210">
        <v>0.51051420000000003</v>
      </c>
      <c r="F7210" t="s">
        <v>41</v>
      </c>
      <c r="G7210">
        <v>-87.764899999999997</v>
      </c>
      <c r="H7210" s="1">
        <v>-1.1625680000000001E-6</v>
      </c>
      <c r="I7210">
        <v>138.3682</v>
      </c>
      <c r="J7210">
        <v>-107.9731</v>
      </c>
      <c r="K7210">
        <v>1.1095120000000001</v>
      </c>
      <c r="L7210">
        <v>139.48179999999999</v>
      </c>
      <c r="M7210">
        <v>0.99945759999999995</v>
      </c>
      <c r="N7210">
        <v>0</v>
      </c>
      <c r="O7210">
        <v>-2.9923950000000001E-2</v>
      </c>
      <c r="P7210">
        <v>0.98383180000000003</v>
      </c>
      <c r="Q7210">
        <v>0.17386360000000001</v>
      </c>
      <c r="R7210">
        <v>-4.2972440000000001E-2</v>
      </c>
      <c r="S7210">
        <v>3.0694889999999999</v>
      </c>
      <c r="T7210">
        <v>-0.16577979999999901</v>
      </c>
      <c r="U7210">
        <v>-0.16801450000000001</v>
      </c>
      <c r="V7210">
        <v>1.397466E-2</v>
      </c>
      <c r="W7210">
        <v>0.18735969999999999</v>
      </c>
      <c r="X7210">
        <v>0.98219199999999995</v>
      </c>
      <c r="Y7210">
        <v>2.4756130000000001E-2</v>
      </c>
      <c r="Z7210">
        <v>9.458801E-4</v>
      </c>
      <c r="AA7210">
        <v>0.9996931</v>
      </c>
      <c r="AB7210">
        <v>32</v>
      </c>
      <c r="AC7210">
        <v>20.208200000000001</v>
      </c>
      <c r="AD7210">
        <v>-1.1095131625679999</v>
      </c>
      <c r="AE7210">
        <v>-1.1135999999999899</v>
      </c>
      <c r="AF7210">
        <v>0.50681173407893398</v>
      </c>
      <c r="AG7210">
        <v>-1.1095131625679999</v>
      </c>
      <c r="AH7210">
        <v>20.171851915934901</v>
      </c>
      <c r="AI7210">
        <v>93.147278503926998</v>
      </c>
      <c r="AJ7210">
        <v>88.560763499381906</v>
      </c>
      <c r="AK7210">
        <v>20.208698308157199</v>
      </c>
      <c r="AL7210">
        <v>79.201261153165106</v>
      </c>
      <c r="AM7210">
        <v>89.184848771911902</v>
      </c>
      <c r="AN7210">
        <v>1.0000000365851001</v>
      </c>
    </row>
    <row r="7211" spans="1:40" x14ac:dyDescent="0.25">
      <c r="A7211" t="str">
        <f>"20190312164207006"</f>
        <v>20190312164207006</v>
      </c>
      <c r="B7211" t="str">
        <f>"1552380127003016"</f>
        <v>1552380127003016</v>
      </c>
      <c r="C7211" t="s">
        <v>40</v>
      </c>
      <c r="D7211">
        <v>5.6392249999999997</v>
      </c>
      <c r="E7211">
        <v>0.51039420000000002</v>
      </c>
      <c r="F7211" t="s">
        <v>41</v>
      </c>
      <c r="G7211">
        <v>-86.717839999999995</v>
      </c>
      <c r="H7211" s="1">
        <v>-1.630558E-6</v>
      </c>
      <c r="I7211">
        <v>138.26220000000001</v>
      </c>
      <c r="J7211">
        <v>-107.6541</v>
      </c>
      <c r="K7211">
        <v>1.109556</v>
      </c>
      <c r="L7211">
        <v>139.47110000000001</v>
      </c>
      <c r="M7211">
        <v>0.9994248</v>
      </c>
      <c r="N7211">
        <v>0</v>
      </c>
      <c r="O7211">
        <v>-3.1001239999999999E-2</v>
      </c>
      <c r="P7211">
        <v>0.98301919999999998</v>
      </c>
      <c r="Q7211">
        <v>0.17734249999999999</v>
      </c>
      <c r="R7211">
        <v>-4.7149320000000002E-2</v>
      </c>
      <c r="S7211">
        <v>3.069931</v>
      </c>
      <c r="T7211">
        <v>-0.16024849999999999</v>
      </c>
      <c r="U7211">
        <v>-0.17614749999999901</v>
      </c>
      <c r="V7211">
        <v>1.7112209999999999E-2</v>
      </c>
      <c r="W7211">
        <v>0.19081989999999999</v>
      </c>
      <c r="X7211">
        <v>0.98147589999999996</v>
      </c>
      <c r="Y7211">
        <v>2.630965E-2</v>
      </c>
      <c r="Z7211">
        <v>9.2977480000000002E-4</v>
      </c>
      <c r="AA7211">
        <v>0.99965340000000003</v>
      </c>
      <c r="AB7211">
        <v>32</v>
      </c>
      <c r="AC7211">
        <v>20.936260000000001</v>
      </c>
      <c r="AD7211">
        <v>-1.1095576305579999</v>
      </c>
      <c r="AE7211">
        <v>-1.2089000000000001</v>
      </c>
      <c r="AF7211">
        <v>0.55764642222872995</v>
      </c>
      <c r="AG7211">
        <v>-1.1095576305579999</v>
      </c>
      <c r="AH7211">
        <v>20.9051552661237</v>
      </c>
      <c r="AI7211">
        <v>93.037089701981103</v>
      </c>
      <c r="AJ7211">
        <v>88.471993582956202</v>
      </c>
      <c r="AK7211">
        <v>20.9420057389089</v>
      </c>
      <c r="AL7211">
        <v>78.999363540084602</v>
      </c>
      <c r="AM7211">
        <v>89.001138916435096</v>
      </c>
      <c r="AN7211">
        <v>1.0000000021239499</v>
      </c>
    </row>
    <row r="7212" spans="1:40" x14ac:dyDescent="0.25">
      <c r="A7212" t="str">
        <f>"20190312164207029"</f>
        <v>20190312164207029</v>
      </c>
      <c r="B7212" t="str">
        <f>"1552380127023511"</f>
        <v>1552380127023511</v>
      </c>
      <c r="C7212" t="s">
        <v>40</v>
      </c>
      <c r="D7212">
        <v>5.7826129999999996</v>
      </c>
      <c r="E7212">
        <v>0.51021249999999996</v>
      </c>
      <c r="F7212" t="s">
        <v>41</v>
      </c>
      <c r="G7212">
        <v>-85.702929999999995</v>
      </c>
      <c r="H7212" s="1">
        <v>-2.0896939999999999E-6</v>
      </c>
      <c r="I7212">
        <v>138.1284</v>
      </c>
      <c r="J7212">
        <v>-107.3231</v>
      </c>
      <c r="K7212">
        <v>1.109594</v>
      </c>
      <c r="L7212">
        <v>139.4597</v>
      </c>
      <c r="M7212">
        <v>0.99939060000000002</v>
      </c>
      <c r="N7212">
        <v>0</v>
      </c>
      <c r="O7212">
        <v>-3.2083199999999999E-2</v>
      </c>
      <c r="P7212">
        <v>0.98192420000000002</v>
      </c>
      <c r="Q7212">
        <v>0.18214710000000001</v>
      </c>
      <c r="R7212">
        <v>-5.1452440000000002E-2</v>
      </c>
      <c r="S7212">
        <v>3.0708160000000002</v>
      </c>
      <c r="T7212">
        <v>-0.1552193</v>
      </c>
      <c r="U7212">
        <v>-0.18783569999999999</v>
      </c>
      <c r="V7212">
        <v>2.0382359999999999E-2</v>
      </c>
      <c r="W7212">
        <v>0.19560230000000001</v>
      </c>
      <c r="X7212">
        <v>0.98047150000000005</v>
      </c>
      <c r="Y7212">
        <v>2.9000000000000001E-2</v>
      </c>
      <c r="Z7212">
        <v>8.869247E-4</v>
      </c>
      <c r="AA7212">
        <v>0.999579</v>
      </c>
      <c r="AB7212">
        <v>32</v>
      </c>
      <c r="AC7212">
        <v>21.620169999999899</v>
      </c>
      <c r="AD7212">
        <v>-1.109596089694</v>
      </c>
      <c r="AE7212">
        <v>-1.3312999999999899</v>
      </c>
      <c r="AF7212">
        <v>0.63523780872117797</v>
      </c>
      <c r="AG7212">
        <v>-1.109596089694</v>
      </c>
      <c r="AH7212">
        <v>21.595088210267299</v>
      </c>
      <c r="AI7212">
        <v>92.940108286538702</v>
      </c>
      <c r="AJ7212">
        <v>88.315081991431498</v>
      </c>
      <c r="AK7212">
        <v>21.632904690889699</v>
      </c>
      <c r="AL7212">
        <v>78.720089935640402</v>
      </c>
      <c r="AM7212">
        <v>88.809088258599402</v>
      </c>
      <c r="AN7212">
        <v>1.0000000313383499</v>
      </c>
    </row>
    <row r="7213" spans="1:40" x14ac:dyDescent="0.25">
      <c r="A7213" t="str">
        <f>"20190312164207050"</f>
        <v>20190312164207050</v>
      </c>
      <c r="B7213" t="str">
        <f>"1552380127043031"</f>
        <v>1552380127043031</v>
      </c>
      <c r="C7213" t="s">
        <v>40</v>
      </c>
      <c r="D7213">
        <v>5.6698899999999997</v>
      </c>
      <c r="E7213">
        <v>0.50976429999999995</v>
      </c>
      <c r="F7213" t="s">
        <v>41</v>
      </c>
      <c r="G7213">
        <v>-83.356059999999999</v>
      </c>
      <c r="H7213" s="1">
        <v>-3.1374959999999999E-6</v>
      </c>
      <c r="I7213">
        <v>137.8972</v>
      </c>
      <c r="J7213">
        <v>-107.0115</v>
      </c>
      <c r="K7213">
        <v>1.1096379999999999</v>
      </c>
      <c r="L7213">
        <v>139.4486</v>
      </c>
      <c r="M7213">
        <v>0.99935879999999999</v>
      </c>
      <c r="N7213">
        <v>0</v>
      </c>
      <c r="O7213">
        <v>-3.3063519999999999E-2</v>
      </c>
      <c r="P7213">
        <v>0.980738</v>
      </c>
      <c r="Q7213">
        <v>0.18719169999999999</v>
      </c>
      <c r="R7213">
        <v>-5.578963E-2</v>
      </c>
      <c r="S7213">
        <v>3.0711059999999999</v>
      </c>
      <c r="T7213">
        <v>-0.142182</v>
      </c>
      <c r="U7213">
        <v>-0.20021059999999999</v>
      </c>
      <c r="V7213">
        <v>2.378926E-2</v>
      </c>
      <c r="W7213">
        <v>0.20062389999999999</v>
      </c>
      <c r="X7213">
        <v>0.97937949999999996</v>
      </c>
      <c r="Y7213">
        <v>3.2022519999999999E-2</v>
      </c>
      <c r="Z7213">
        <v>7.8772949999999999E-4</v>
      </c>
      <c r="AA7213">
        <v>0.99948689999999996</v>
      </c>
      <c r="AB7213">
        <v>32</v>
      </c>
      <c r="AC7213">
        <v>23.655439999999999</v>
      </c>
      <c r="AD7213">
        <v>-1.10964113749599</v>
      </c>
      <c r="AE7213">
        <v>-1.5513999999999999</v>
      </c>
      <c r="AF7213">
        <v>0.76666590892253395</v>
      </c>
      <c r="AG7213">
        <v>-1.10964113749599</v>
      </c>
      <c r="AH7213">
        <v>23.642004351306799</v>
      </c>
      <c r="AI7213">
        <v>92.6858044841007</v>
      </c>
      <c r="AJ7213">
        <v>88.142656079560496</v>
      </c>
      <c r="AK7213">
        <v>23.6804444598732</v>
      </c>
      <c r="AL7213">
        <v>78.426555118654605</v>
      </c>
      <c r="AM7213">
        <v>88.608551410015195</v>
      </c>
      <c r="AN7213">
        <v>1.0000000415814001</v>
      </c>
    </row>
    <row r="7214" spans="1:40" x14ac:dyDescent="0.25">
      <c r="A7214" t="str">
        <f>"20190312164207075"</f>
        <v>20190312164207075</v>
      </c>
      <c r="B7214" t="str">
        <f>"1552380127063527"</f>
        <v>1552380127063527</v>
      </c>
      <c r="C7214" t="s">
        <v>40</v>
      </c>
      <c r="D7214">
        <v>5.7240510000000002</v>
      </c>
      <c r="E7214">
        <v>0.50941599999999998</v>
      </c>
      <c r="F7214" t="s">
        <v>41</v>
      </c>
      <c r="G7214">
        <v>-79.784679999999994</v>
      </c>
      <c r="H7214" s="1">
        <v>-6.0222419999999899E-7</v>
      </c>
      <c r="I7214">
        <v>137.57599999999999</v>
      </c>
      <c r="J7214">
        <v>-106.66370000000001</v>
      </c>
      <c r="K7214">
        <v>1.109691</v>
      </c>
      <c r="L7214">
        <v>139.43600000000001</v>
      </c>
      <c r="M7214">
        <v>0.99932350000000003</v>
      </c>
      <c r="N7214">
        <v>0</v>
      </c>
      <c r="O7214">
        <v>-3.4108260000000001E-2</v>
      </c>
      <c r="P7214">
        <v>0.97952329999999999</v>
      </c>
      <c r="Q7214">
        <v>0.19220950000000001</v>
      </c>
      <c r="R7214">
        <v>-5.991233E-2</v>
      </c>
      <c r="S7214">
        <v>3.0708009999999999</v>
      </c>
      <c r="T7214">
        <v>-0.1251516</v>
      </c>
      <c r="U7214">
        <v>-0.21119689999999999</v>
      </c>
      <c r="V7214">
        <v>2.6915830000000002E-2</v>
      </c>
      <c r="W7214">
        <v>0.20561969999999999</v>
      </c>
      <c r="X7214">
        <v>0.97826179999999996</v>
      </c>
      <c r="Y7214">
        <v>3.4542370000000003E-2</v>
      </c>
      <c r="Z7214">
        <v>6.8463159999999999E-4</v>
      </c>
      <c r="AA7214">
        <v>0.99940300000000004</v>
      </c>
      <c r="AB7214">
        <v>32</v>
      </c>
      <c r="AC7214">
        <v>26.879020000000001</v>
      </c>
      <c r="AD7214">
        <v>-1.1096916022241901</v>
      </c>
      <c r="AE7214">
        <v>-1.8600000000000101</v>
      </c>
      <c r="AF7214">
        <v>0.94043894518538995</v>
      </c>
      <c r="AG7214">
        <v>-1.1096916022241901</v>
      </c>
      <c r="AH7214">
        <v>26.881226018535099</v>
      </c>
      <c r="AI7214">
        <v>92.362457627533203</v>
      </c>
      <c r="AJ7214">
        <v>87.996325943911401</v>
      </c>
      <c r="AK7214">
        <v>26.9205526154505</v>
      </c>
      <c r="AL7214">
        <v>78.1342223394511</v>
      </c>
      <c r="AM7214">
        <v>88.423965353643894</v>
      </c>
      <c r="AN7214">
        <v>1.00000003613595</v>
      </c>
    </row>
    <row r="7215" spans="1:40" x14ac:dyDescent="0.25">
      <c r="A7215" t="str">
        <f>"20190312164207096"</f>
        <v>20190312164207096</v>
      </c>
      <c r="B7215" t="str">
        <f>"1552380127083047"</f>
        <v>1552380127083047</v>
      </c>
      <c r="C7215" t="s">
        <v>40</v>
      </c>
      <c r="D7215">
        <v>5.7632979999999998</v>
      </c>
      <c r="E7215">
        <v>0.50834550000000001</v>
      </c>
      <c r="F7215" t="s">
        <v>41</v>
      </c>
      <c r="G7215">
        <v>-75.642930000000007</v>
      </c>
      <c r="H7215" s="1">
        <v>-2.2824040000000001E-6</v>
      </c>
      <c r="I7215">
        <v>137.18709999999999</v>
      </c>
      <c r="J7215">
        <v>-106.3544</v>
      </c>
      <c r="K7215">
        <v>1.1097330000000001</v>
      </c>
      <c r="L7215">
        <v>139.42449999999999</v>
      </c>
      <c r="M7215">
        <v>0.99929330000000005</v>
      </c>
      <c r="N7215">
        <v>0</v>
      </c>
      <c r="O7215">
        <v>-3.4987539999999998E-2</v>
      </c>
      <c r="P7215">
        <v>0.97842660000000004</v>
      </c>
      <c r="Q7215">
        <v>0.19675580000000001</v>
      </c>
      <c r="R7215">
        <v>-6.2997549999999999E-2</v>
      </c>
      <c r="S7215">
        <v>3.0706479999999998</v>
      </c>
      <c r="T7215">
        <v>-0.109845</v>
      </c>
      <c r="U7215">
        <v>-0.22261049999999999</v>
      </c>
      <c r="V7215">
        <v>2.9163720000000001E-2</v>
      </c>
      <c r="W7215">
        <v>0.21014820000000001</v>
      </c>
      <c r="X7215">
        <v>0.97723450000000001</v>
      </c>
      <c r="Y7215">
        <v>3.7361440000000003E-2</v>
      </c>
      <c r="Z7215">
        <v>5.8191839999999998E-4</v>
      </c>
      <c r="AA7215">
        <v>0.99930169999999996</v>
      </c>
      <c r="AB7215">
        <v>32</v>
      </c>
      <c r="AC7215">
        <v>30.711469999999899</v>
      </c>
      <c r="AD7215">
        <v>-1.1097352824040001</v>
      </c>
      <c r="AE7215">
        <v>-2.2374000000000001</v>
      </c>
      <c r="AF7215">
        <v>1.15990320090202</v>
      </c>
      <c r="AG7215">
        <v>-1.1097352824040001</v>
      </c>
      <c r="AH7215">
        <v>30.7310386778653</v>
      </c>
      <c r="AI7215">
        <v>92.066651562546895</v>
      </c>
      <c r="AJ7215">
        <v>87.838471146229693</v>
      </c>
      <c r="AK7215">
        <v>30.772936584813099</v>
      </c>
      <c r="AL7215">
        <v>77.868963066157207</v>
      </c>
      <c r="AM7215">
        <v>88.290622897883907</v>
      </c>
      <c r="AN7215">
        <v>1.0000000282588599</v>
      </c>
    </row>
    <row r="7216" spans="1:40" x14ac:dyDescent="0.25">
      <c r="A7216" t="str">
        <f>"20190312164207120"</f>
        <v>20190312164207120</v>
      </c>
      <c r="B7216" t="str">
        <f>"1552380127113304"</f>
        <v>1552380127113304</v>
      </c>
      <c r="C7216" t="s">
        <v>40</v>
      </c>
      <c r="D7216">
        <v>5.6630330000000004</v>
      </c>
      <c r="E7216">
        <v>0.48493130000000001</v>
      </c>
      <c r="F7216" t="s">
        <v>41</v>
      </c>
      <c r="G7216">
        <v>-71.027230000000003</v>
      </c>
      <c r="H7216" s="1">
        <v>-4.3249919999999999E-6</v>
      </c>
      <c r="I7216">
        <v>136.8349</v>
      </c>
      <c r="J7216">
        <v>-106.0235</v>
      </c>
      <c r="K7216">
        <v>1.1097919999999999</v>
      </c>
      <c r="L7216">
        <v>139.4119</v>
      </c>
      <c r="M7216">
        <v>0.99926210000000004</v>
      </c>
      <c r="N7216">
        <v>0</v>
      </c>
      <c r="O7216">
        <v>-3.5869070000000003E-2</v>
      </c>
      <c r="P7216">
        <v>0.97709259999999998</v>
      </c>
      <c r="Q7216">
        <v>0.20272100000000001</v>
      </c>
      <c r="R7216">
        <v>-6.4765340000000005E-2</v>
      </c>
      <c r="S7216">
        <v>3.0710600000000001</v>
      </c>
      <c r="T7216">
        <v>-9.6471429999999997E-2</v>
      </c>
      <c r="U7216">
        <v>-0.2251129</v>
      </c>
      <c r="V7216">
        <v>3.0100809999999999E-2</v>
      </c>
      <c r="W7216">
        <v>0.2160947</v>
      </c>
      <c r="X7216">
        <v>0.97590829999999995</v>
      </c>
      <c r="Y7216">
        <v>3.728103E-2</v>
      </c>
      <c r="Z7216">
        <v>5.3990020000000002E-4</v>
      </c>
      <c r="AA7216">
        <v>0.99930469999999905</v>
      </c>
      <c r="AB7216">
        <v>32</v>
      </c>
      <c r="AC7216">
        <v>34.996270000000003</v>
      </c>
      <c r="AD7216">
        <v>-1.109796324992</v>
      </c>
      <c r="AE7216">
        <v>-2.5769999999999902</v>
      </c>
      <c r="AF7216">
        <v>1.3186203851743299</v>
      </c>
      <c r="AG7216">
        <v>-1.109796324992</v>
      </c>
      <c r="AH7216">
        <v>35.031150113179699</v>
      </c>
      <c r="AI7216">
        <v>91.8132556670041</v>
      </c>
      <c r="AJ7216">
        <v>87.844326244389507</v>
      </c>
      <c r="AK7216">
        <v>35.073521149940099</v>
      </c>
      <c r="AL7216">
        <v>77.520241060040107</v>
      </c>
      <c r="AM7216">
        <v>88.233335271019499</v>
      </c>
      <c r="AN7216">
        <v>0.99999999406981799</v>
      </c>
    </row>
    <row r="7217" spans="1:40" x14ac:dyDescent="0.25">
      <c r="A7217" t="str">
        <f>"20190312164207142"</f>
        <v>20190312164207142</v>
      </c>
      <c r="B7217" t="str">
        <f>"1552380127132823"</f>
        <v>1552380127132823</v>
      </c>
      <c r="C7217" t="s">
        <v>40</v>
      </c>
      <c r="D7217">
        <v>5.8608349999999998</v>
      </c>
      <c r="E7217">
        <v>0.4848905</v>
      </c>
      <c r="F7217" t="s">
        <v>64</v>
      </c>
      <c r="G7217">
        <v>-41.433810000000001</v>
      </c>
      <c r="H7217">
        <v>-0.1</v>
      </c>
      <c r="I7217">
        <v>138.43180000000001</v>
      </c>
      <c r="J7217">
        <v>-105.6935</v>
      </c>
      <c r="K7217">
        <v>1.109866</v>
      </c>
      <c r="L7217">
        <v>139.3991</v>
      </c>
      <c r="M7217">
        <v>0.99923260000000003</v>
      </c>
      <c r="N7217">
        <v>0</v>
      </c>
      <c r="O7217">
        <v>-3.6678269999999999E-2</v>
      </c>
      <c r="P7217">
        <v>0.97543420000000003</v>
      </c>
      <c r="Q7217">
        <v>0.20991879999999999</v>
      </c>
      <c r="R7217">
        <v>-6.6802050000000002E-2</v>
      </c>
      <c r="S7217">
        <v>3.0792079999999999</v>
      </c>
      <c r="T7217">
        <v>-5.7674879999999998E-2</v>
      </c>
      <c r="U7217">
        <v>-4.6722409999999999E-2</v>
      </c>
      <c r="V7217">
        <v>3.1390179999999997E-2</v>
      </c>
      <c r="W7217">
        <v>0.2232693</v>
      </c>
      <c r="X7217">
        <v>0.97425130000000004</v>
      </c>
      <c r="Y7217">
        <v>-2.1505759999999999E-2</v>
      </c>
      <c r="Z7217">
        <v>8.8817819999999995E-4</v>
      </c>
      <c r="AA7217">
        <v>0.99976830000000005</v>
      </c>
      <c r="AB7217">
        <v>32</v>
      </c>
      <c r="AC7217">
        <v>64.259690000000006</v>
      </c>
      <c r="AD7217">
        <v>-1.2098659999999899</v>
      </c>
      <c r="AE7217">
        <v>-0.96729999999999405</v>
      </c>
      <c r="AF7217">
        <v>-1.3900152891867801</v>
      </c>
      <c r="AG7217">
        <v>-1.2098659999999899</v>
      </c>
      <c r="AH7217">
        <v>64.229162300125495</v>
      </c>
      <c r="AI7217">
        <v>91.078883708107895</v>
      </c>
      <c r="AJ7217">
        <v>91.239772972391407</v>
      </c>
      <c r="AK7217">
        <v>64.255592815084896</v>
      </c>
      <c r="AL7217">
        <v>77.098873158694005</v>
      </c>
      <c r="AM7217">
        <v>88.154579972584798</v>
      </c>
      <c r="AN7217">
        <v>1.0000000596373</v>
      </c>
    </row>
    <row r="7218" spans="1:40" x14ac:dyDescent="0.25">
      <c r="A7218" t="str">
        <f>"20190312164207163"</f>
        <v>20190312164207163</v>
      </c>
      <c r="B7218" t="str">
        <f>"1552380127153320"</f>
        <v>1552380127153320</v>
      </c>
      <c r="C7218" t="s">
        <v>40</v>
      </c>
      <c r="D7218">
        <v>5.5949299999999997</v>
      </c>
      <c r="E7218">
        <v>0.48483979999999999</v>
      </c>
      <c r="F7218" t="s">
        <v>64</v>
      </c>
      <c r="G7218">
        <v>8.5074769999999997</v>
      </c>
      <c r="H7218">
        <v>-0.1</v>
      </c>
      <c r="I7218">
        <v>137.429</v>
      </c>
      <c r="J7218">
        <v>-105.3907</v>
      </c>
      <c r="K7218">
        <v>1.1099399999999999</v>
      </c>
      <c r="L7218">
        <v>139.38720000000001</v>
      </c>
      <c r="M7218">
        <v>0.99920710000000001</v>
      </c>
      <c r="N7218">
        <v>0</v>
      </c>
      <c r="O7218">
        <v>-3.7370059999999997E-2</v>
      </c>
      <c r="P7218">
        <v>0.973387</v>
      </c>
      <c r="Q7218">
        <v>0.2183814</v>
      </c>
      <c r="R7218">
        <v>-6.9482130000000003E-2</v>
      </c>
      <c r="S7218">
        <v>3.0789179999999998</v>
      </c>
      <c r="T7218">
        <v>-3.2618639999999997E-2</v>
      </c>
      <c r="U7218">
        <v>-5.3115839999999998E-2</v>
      </c>
      <c r="V7218">
        <v>3.3457290000000001E-2</v>
      </c>
      <c r="W7218">
        <v>0.23170289999999999</v>
      </c>
      <c r="X7218">
        <v>0.97221109999999999</v>
      </c>
      <c r="Y7218">
        <v>-2.012796E-2</v>
      </c>
      <c r="Z7218">
        <v>5.0240989999999998E-4</v>
      </c>
      <c r="AA7218">
        <v>0.9997973</v>
      </c>
      <c r="AB7218">
        <v>32</v>
      </c>
      <c r="AC7218">
        <v>113.898177</v>
      </c>
      <c r="AD7218">
        <v>-1.20994</v>
      </c>
      <c r="AE7218">
        <v>-1.9581999999999999</v>
      </c>
      <c r="AF7218">
        <v>-2.29969187911873</v>
      </c>
      <c r="AG7218">
        <v>-1.20994</v>
      </c>
      <c r="AH7218">
        <v>113.878941311419</v>
      </c>
      <c r="AI7218">
        <v>90.608608727310695</v>
      </c>
      <c r="AJ7218">
        <v>91.156884060980204</v>
      </c>
      <c r="AK7218">
        <v>113.90858532943</v>
      </c>
      <c r="AL7218">
        <v>76.602650979193001</v>
      </c>
      <c r="AM7218">
        <v>88.029023431144097</v>
      </c>
      <c r="AN7218">
        <v>1.0000000235428801</v>
      </c>
    </row>
    <row r="7219" spans="1:40" x14ac:dyDescent="0.25">
      <c r="A7219" t="str">
        <f>"20190312164207184"</f>
        <v>20190312164207184</v>
      </c>
      <c r="B7219" t="str">
        <f>"1552380127173277"</f>
        <v>1552380127173277</v>
      </c>
      <c r="C7219" t="s">
        <v>40</v>
      </c>
      <c r="D7219">
        <v>5.6556220000000001</v>
      </c>
      <c r="E7219">
        <v>0.48476380000000002</v>
      </c>
      <c r="F7219" t="s">
        <v>64</v>
      </c>
      <c r="G7219">
        <v>152.6953</v>
      </c>
      <c r="H7219">
        <v>-0.1</v>
      </c>
      <c r="I7219">
        <v>134.3998</v>
      </c>
      <c r="J7219">
        <v>-105.0771</v>
      </c>
      <c r="K7219">
        <v>1.110028</v>
      </c>
      <c r="L7219">
        <v>139.37469999999999</v>
      </c>
      <c r="M7219">
        <v>0.99918260000000003</v>
      </c>
      <c r="N7219">
        <v>0</v>
      </c>
      <c r="O7219">
        <v>-3.8020129999999999E-2</v>
      </c>
      <c r="P7219">
        <v>0.9708869</v>
      </c>
      <c r="Q7219">
        <v>0.22792399999999999</v>
      </c>
      <c r="R7219">
        <v>-7.3684319999999998E-2</v>
      </c>
      <c r="S7219">
        <v>3.0810240000000002</v>
      </c>
      <c r="T7219">
        <v>-1.4444230000000001E-2</v>
      </c>
      <c r="U7219">
        <v>-5.9539790000000002E-2</v>
      </c>
      <c r="V7219">
        <v>3.710248E-2</v>
      </c>
      <c r="W7219">
        <v>0.2412087</v>
      </c>
      <c r="X7219">
        <v>0.96976379999999995</v>
      </c>
      <c r="Y7219">
        <v>-1.8708900000000001E-2</v>
      </c>
      <c r="Z7219">
        <v>2.2204430000000001E-4</v>
      </c>
      <c r="AA7219">
        <v>0.99982490000000002</v>
      </c>
      <c r="AB7219">
        <v>32</v>
      </c>
      <c r="AC7219">
        <v>257.7724</v>
      </c>
      <c r="AD7219">
        <v>-1.2100280000000001</v>
      </c>
      <c r="AE7219">
        <v>-4.9748999999999901</v>
      </c>
      <c r="AF7219">
        <v>-4.8300557593731401</v>
      </c>
      <c r="AG7219">
        <v>-1.2100280000000001</v>
      </c>
      <c r="AH7219">
        <v>257.76947483043898</v>
      </c>
      <c r="AI7219">
        <v>90.268910120903499</v>
      </c>
      <c r="AJ7219">
        <v>91.073476322322307</v>
      </c>
      <c r="AK7219">
        <v>257.81756294085199</v>
      </c>
      <c r="AL7219">
        <v>76.042110629526107</v>
      </c>
      <c r="AM7219">
        <v>87.808972467453998</v>
      </c>
      <c r="AN7219">
        <v>1.00000002938413</v>
      </c>
    </row>
    <row r="7220" spans="1:40" x14ac:dyDescent="0.25">
      <c r="A7220" t="str">
        <f>"20190312164207207"</f>
        <v>20190312164207207</v>
      </c>
      <c r="B7220" t="str">
        <f>"1552380127203533"</f>
        <v>1552380127203533</v>
      </c>
      <c r="C7220" t="s">
        <v>40</v>
      </c>
      <c r="D7220">
        <v>5.6528689999999999</v>
      </c>
      <c r="E7220">
        <v>0.48400209999999999</v>
      </c>
      <c r="F7220" t="s">
        <v>65</v>
      </c>
      <c r="G7220">
        <v>0</v>
      </c>
      <c r="H7220">
        <v>0</v>
      </c>
      <c r="I7220">
        <v>0</v>
      </c>
      <c r="J7220">
        <v>-104.75190000000001</v>
      </c>
      <c r="K7220">
        <v>1.1101270000000001</v>
      </c>
      <c r="L7220">
        <v>139.36170000000001</v>
      </c>
      <c r="M7220">
        <v>0.99916039999999995</v>
      </c>
      <c r="N7220">
        <v>0</v>
      </c>
      <c r="O7220">
        <v>-3.8601389999999999E-2</v>
      </c>
      <c r="P7220">
        <v>0.9687675</v>
      </c>
      <c r="Q7220">
        <v>0.23591770000000001</v>
      </c>
      <c r="R7220">
        <v>-7.6371560000000005E-2</v>
      </c>
      <c r="S7220">
        <v>3.082382</v>
      </c>
      <c r="T7220">
        <v>9.7309349999999996E-3</v>
      </c>
      <c r="U7220">
        <v>-6.97937E-2</v>
      </c>
      <c r="V7220">
        <v>3.9274990000000003E-2</v>
      </c>
      <c r="W7220">
        <v>0.2491748</v>
      </c>
      <c r="X7220">
        <v>0.96766180000000002</v>
      </c>
      <c r="Y7220">
        <v>-1.5974769999999999E-2</v>
      </c>
      <c r="Z7220">
        <v>-1.4703479999999999E-4</v>
      </c>
      <c r="AA7220">
        <v>0.99987239999999999</v>
      </c>
      <c r="AB7220">
        <v>32</v>
      </c>
      <c r="AC7220">
        <v>3.082382</v>
      </c>
      <c r="AD7220">
        <v>9.7309349999999996E-3</v>
      </c>
      <c r="AE7220">
        <v>-6.97937E-2</v>
      </c>
      <c r="AF7220">
        <v>-4.9253278484882902E-2</v>
      </c>
      <c r="AG7220">
        <v>9.7309349999999996E-3</v>
      </c>
      <c r="AH7220">
        <v>3.0827479121199501</v>
      </c>
      <c r="AI7220">
        <v>89.8191650683859</v>
      </c>
      <c r="AJ7220">
        <v>90.915340786928297</v>
      </c>
      <c r="AK7220">
        <v>3.08315670477797</v>
      </c>
      <c r="AL7220">
        <v>75.571313257204096</v>
      </c>
      <c r="AM7220">
        <v>87.675782264498693</v>
      </c>
      <c r="AN7220">
        <v>0.99999998248688904</v>
      </c>
    </row>
    <row r="7221" spans="1:40" x14ac:dyDescent="0.25">
      <c r="A7221" t="str">
        <f>"20190312164207230"</f>
        <v>20190312164207230</v>
      </c>
      <c r="B7221" t="str">
        <f>"1552380127223053"</f>
        <v>1552380127223053</v>
      </c>
      <c r="C7221" t="s">
        <v>40</v>
      </c>
      <c r="D7221">
        <v>5.5654320000000004</v>
      </c>
      <c r="E7221">
        <v>0.48371809999999998</v>
      </c>
      <c r="F7221" t="s">
        <v>65</v>
      </c>
      <c r="G7221">
        <v>0</v>
      </c>
      <c r="H7221">
        <v>0</v>
      </c>
      <c r="I7221">
        <v>0</v>
      </c>
      <c r="J7221">
        <v>-104.42140000000001</v>
      </c>
      <c r="K7221">
        <v>1.110247</v>
      </c>
      <c r="L7221">
        <v>139.34829999999999</v>
      </c>
      <c r="M7221">
        <v>0.99914199999999997</v>
      </c>
      <c r="N7221">
        <v>0</v>
      </c>
      <c r="O7221">
        <v>-3.9074640000000001E-2</v>
      </c>
      <c r="P7221">
        <v>0.96665020000000001</v>
      </c>
      <c r="Q7221">
        <v>0.24384220000000001</v>
      </c>
      <c r="R7221">
        <v>-7.8284320000000004E-2</v>
      </c>
      <c r="S7221">
        <v>3.0852360000000001</v>
      </c>
      <c r="T7221">
        <v>2.399623E-2</v>
      </c>
      <c r="U7221">
        <v>-7.1487430000000005E-2</v>
      </c>
      <c r="V7221">
        <v>4.0764979999999999E-2</v>
      </c>
      <c r="W7221">
        <v>0.25707469999999999</v>
      </c>
      <c r="X7221">
        <v>0.96553140000000004</v>
      </c>
      <c r="Y7221">
        <v>-1.5919280000000001E-2</v>
      </c>
      <c r="Z7221">
        <v>-3.6570329999999999E-4</v>
      </c>
      <c r="AA7221">
        <v>0.99987320000000002</v>
      </c>
      <c r="AB7221">
        <v>32</v>
      </c>
      <c r="AC7221">
        <v>3.0852360000000001</v>
      </c>
      <c r="AD7221">
        <v>2.399623E-2</v>
      </c>
      <c r="AE7221">
        <v>-7.1487430000000005E-2</v>
      </c>
      <c r="AF7221">
        <v>-4.9130051213945099E-2</v>
      </c>
      <c r="AG7221">
        <v>2.399623E-2</v>
      </c>
      <c r="AH7221">
        <v>3.0854864013213299</v>
      </c>
      <c r="AI7221">
        <v>89.554468710732806</v>
      </c>
      <c r="AJ7221">
        <v>90.912240843479296</v>
      </c>
      <c r="AK7221">
        <v>3.0859708219173601</v>
      </c>
      <c r="AL7221">
        <v>75.103444804609097</v>
      </c>
      <c r="AM7221">
        <v>87.582393511473398</v>
      </c>
      <c r="AN7221">
        <v>1.00000003468022</v>
      </c>
    </row>
    <row r="7222" spans="1:40" x14ac:dyDescent="0.25">
      <c r="A7222" t="str">
        <f>"20190312164207254"</f>
        <v>20190312164207254</v>
      </c>
      <c r="B7222" t="str">
        <f>"1552380127243550"</f>
        <v>1552380127243550</v>
      </c>
      <c r="C7222" t="s">
        <v>40</v>
      </c>
      <c r="D7222">
        <v>5.6556100000000002</v>
      </c>
      <c r="E7222">
        <v>0.48350070000000001</v>
      </c>
      <c r="F7222" t="s">
        <v>65</v>
      </c>
      <c r="G7222">
        <v>0</v>
      </c>
      <c r="H7222">
        <v>0</v>
      </c>
      <c r="I7222">
        <v>0</v>
      </c>
      <c r="J7222">
        <v>-104.0853</v>
      </c>
      <c r="K7222">
        <v>1.1103829999999999</v>
      </c>
      <c r="L7222">
        <v>139.3347</v>
      </c>
      <c r="M7222">
        <v>0.99912849999999997</v>
      </c>
      <c r="N7222">
        <v>0</v>
      </c>
      <c r="O7222">
        <v>-3.9420620000000003E-2</v>
      </c>
      <c r="P7222">
        <v>0.96415569999999895</v>
      </c>
      <c r="Q7222">
        <v>0.25270389999999998</v>
      </c>
      <c r="R7222">
        <v>-8.0899250000000006E-2</v>
      </c>
      <c r="S7222">
        <v>3.087189</v>
      </c>
      <c r="T7222">
        <v>4.0663959999999999E-2</v>
      </c>
      <c r="U7222">
        <v>-7.4630740000000001E-2</v>
      </c>
      <c r="V7222">
        <v>4.3080970000000003E-2</v>
      </c>
      <c r="W7222">
        <v>0.26590900000000001</v>
      </c>
      <c r="X7222">
        <v>0.96303499999999997</v>
      </c>
      <c r="Y7222">
        <v>-1.525959E-2</v>
      </c>
      <c r="Z7222">
        <v>-6.1950929999999996E-4</v>
      </c>
      <c r="AA7222">
        <v>0.99988339999999998</v>
      </c>
      <c r="AB7222">
        <v>32</v>
      </c>
      <c r="AC7222">
        <v>3.087189</v>
      </c>
      <c r="AD7222">
        <v>4.0663959999999999E-2</v>
      </c>
      <c r="AE7222">
        <v>-7.4630740000000001E-2</v>
      </c>
      <c r="AF7222">
        <v>-4.7129470225700201E-2</v>
      </c>
      <c r="AG7222">
        <v>4.0663959999999999E-2</v>
      </c>
      <c r="AH7222">
        <v>3.0871958517053302</v>
      </c>
      <c r="AI7222">
        <v>89.245442378205496</v>
      </c>
      <c r="AJ7222">
        <v>90.874615709568999</v>
      </c>
      <c r="AK7222">
        <v>3.0878233387603702</v>
      </c>
      <c r="AL7222">
        <v>74.579027106746196</v>
      </c>
      <c r="AM7222">
        <v>87.438604840592902</v>
      </c>
      <c r="AN7222">
        <v>0.99999998874106999</v>
      </c>
    </row>
    <row r="7223" spans="1:40" x14ac:dyDescent="0.25">
      <c r="A7223" t="str">
        <f>"20190312164207276"</f>
        <v>20190312164207276</v>
      </c>
      <c r="B7223" t="str">
        <f>"1552380127263070"</f>
        <v>1552380127263070</v>
      </c>
      <c r="C7223" t="s">
        <v>40</v>
      </c>
      <c r="D7223">
        <v>5.2698229999999997</v>
      </c>
      <c r="E7223">
        <v>0.48170479999999999</v>
      </c>
      <c r="F7223" t="s">
        <v>65</v>
      </c>
      <c r="G7223">
        <v>0</v>
      </c>
      <c r="H7223">
        <v>0</v>
      </c>
      <c r="I7223">
        <v>0</v>
      </c>
      <c r="J7223">
        <v>-103.7774</v>
      </c>
      <c r="K7223">
        <v>1.110519</v>
      </c>
      <c r="L7223">
        <v>139.32220000000001</v>
      </c>
      <c r="M7223">
        <v>0.99912069999999997</v>
      </c>
      <c r="N7223">
        <v>0</v>
      </c>
      <c r="O7223">
        <v>-3.9618790000000001E-2</v>
      </c>
      <c r="P7223">
        <v>0.96170960000000005</v>
      </c>
      <c r="Q7223">
        <v>0.26109510000000002</v>
      </c>
      <c r="R7223">
        <v>-8.3331470000000005E-2</v>
      </c>
      <c r="S7223">
        <v>3.087402</v>
      </c>
      <c r="T7223">
        <v>6.5959219999999999E-2</v>
      </c>
      <c r="U7223">
        <v>-8.1298830000000002E-2</v>
      </c>
      <c r="V7223">
        <v>4.535542E-2</v>
      </c>
      <c r="W7223">
        <v>0.27427449999999998</v>
      </c>
      <c r="X7223">
        <v>0.96058129999999997</v>
      </c>
      <c r="Y7223">
        <v>-1.329409E-2</v>
      </c>
      <c r="Z7223">
        <v>-9.8794190000000008E-4</v>
      </c>
      <c r="AA7223">
        <v>0.99991110000000005</v>
      </c>
      <c r="AB7223">
        <v>32</v>
      </c>
      <c r="AC7223">
        <v>3.087402</v>
      </c>
      <c r="AD7223">
        <v>6.5959219999999999E-2</v>
      </c>
      <c r="AE7223">
        <v>-8.1298830000000002E-2</v>
      </c>
      <c r="AF7223">
        <v>-4.1076919046045997E-2</v>
      </c>
      <c r="AG7223">
        <v>6.5959219999999999E-2</v>
      </c>
      <c r="AH7223">
        <v>3.0867908915346201</v>
      </c>
      <c r="AI7223">
        <v>88.775985934129906</v>
      </c>
      <c r="AJ7223">
        <v>90.762408361676705</v>
      </c>
      <c r="AK7223">
        <v>3.08776876401754</v>
      </c>
      <c r="AL7223">
        <v>74.081216628739597</v>
      </c>
      <c r="AM7223">
        <v>87.296693624688501</v>
      </c>
      <c r="AN7223">
        <v>1.0000000246916501</v>
      </c>
    </row>
    <row r="7224" spans="1:40" x14ac:dyDescent="0.25">
      <c r="A7224" t="str">
        <f>"20190312164207300"</f>
        <v>20190312164207300</v>
      </c>
      <c r="B7224" t="str">
        <f>"1552380127292859"</f>
        <v>1552380127292859</v>
      </c>
      <c r="C7224" t="s">
        <v>40</v>
      </c>
      <c r="D7224">
        <v>5.4813390000000002</v>
      </c>
      <c r="E7224">
        <v>0.48067399999999999</v>
      </c>
      <c r="F7224" t="s">
        <v>65</v>
      </c>
      <c r="G7224">
        <v>0</v>
      </c>
      <c r="H7224">
        <v>0</v>
      </c>
      <c r="I7224">
        <v>0</v>
      </c>
      <c r="J7224">
        <v>-103.42789999999999</v>
      </c>
      <c r="K7224">
        <v>1.1106469999999999</v>
      </c>
      <c r="L7224">
        <v>139.3082</v>
      </c>
      <c r="M7224">
        <v>0.99911620000000001</v>
      </c>
      <c r="N7224">
        <v>0</v>
      </c>
      <c r="O7224">
        <v>-3.9728569999999998E-2</v>
      </c>
      <c r="P7224">
        <v>0.95904829999999996</v>
      </c>
      <c r="Q7224">
        <v>0.27001170000000002</v>
      </c>
      <c r="R7224">
        <v>-8.5556339999999995E-2</v>
      </c>
      <c r="S7224">
        <v>3.1071170000000001</v>
      </c>
      <c r="T7224">
        <v>2.242601E-2</v>
      </c>
      <c r="U7224">
        <v>-7.1990970000000001E-2</v>
      </c>
      <c r="V7224">
        <v>4.7514479999999998E-2</v>
      </c>
      <c r="W7224">
        <v>0.2831631</v>
      </c>
      <c r="X7224">
        <v>0.95789409999999997</v>
      </c>
      <c r="Y7224">
        <v>-1.6574999999999999E-2</v>
      </c>
      <c r="Z7224">
        <v>-3.4644850000000002E-4</v>
      </c>
      <c r="AA7224">
        <v>0.99986260000000005</v>
      </c>
      <c r="AB7224">
        <v>32</v>
      </c>
      <c r="AC7224">
        <v>3.1071170000000001</v>
      </c>
      <c r="AD7224">
        <v>2.242601E-2</v>
      </c>
      <c r="AE7224">
        <v>-7.1990970000000001E-2</v>
      </c>
      <c r="AF7224">
        <v>-5.15161434410965E-2</v>
      </c>
      <c r="AG7224">
        <v>2.242601E-2</v>
      </c>
      <c r="AH7224">
        <v>3.1073620749950099</v>
      </c>
      <c r="AI7224">
        <v>89.586557070452599</v>
      </c>
      <c r="AJ7224">
        <v>90.949804735912295</v>
      </c>
      <c r="AK7224">
        <v>3.10786999471935</v>
      </c>
      <c r="AL7224">
        <v>73.550921149737206</v>
      </c>
      <c r="AM7224">
        <v>87.160281404335606</v>
      </c>
      <c r="AN7224">
        <v>1.00000003691304</v>
      </c>
    </row>
    <row r="7225" spans="1:40" x14ac:dyDescent="0.25">
      <c r="A7225" t="str">
        <f>"20190312164207323"</f>
        <v>20190312164207323</v>
      </c>
      <c r="B7225" t="str">
        <f>"1552380127313354"</f>
        <v>1552380127313354</v>
      </c>
      <c r="C7225" t="s">
        <v>40</v>
      </c>
      <c r="D7225">
        <v>5.3732119999999997</v>
      </c>
      <c r="E7225">
        <v>0.48035919999999999</v>
      </c>
      <c r="F7225" t="s">
        <v>65</v>
      </c>
      <c r="G7225">
        <v>0</v>
      </c>
      <c r="H7225">
        <v>0</v>
      </c>
      <c r="I7225">
        <v>0</v>
      </c>
      <c r="J7225">
        <v>-103.10550000000001</v>
      </c>
      <c r="K7225">
        <v>1.1107499999999999</v>
      </c>
      <c r="L7225">
        <v>139.29519999999999</v>
      </c>
      <c r="M7225">
        <v>0.99911589999999995</v>
      </c>
      <c r="N7225">
        <v>0</v>
      </c>
      <c r="O7225">
        <v>-3.9739709999999998E-2</v>
      </c>
      <c r="P7225">
        <v>0.95648230000000001</v>
      </c>
      <c r="Q7225">
        <v>0.27822780000000003</v>
      </c>
      <c r="R7225">
        <v>-8.7927560000000002E-2</v>
      </c>
      <c r="S7225">
        <v>3.111389</v>
      </c>
      <c r="T7225">
        <v>3.6121250000000001E-2</v>
      </c>
      <c r="U7225">
        <v>-7.318115E-2</v>
      </c>
      <c r="V7225">
        <v>4.9927439999999997E-2</v>
      </c>
      <c r="W7225">
        <v>0.29134969999999999</v>
      </c>
      <c r="X7225">
        <v>0.95531279999999996</v>
      </c>
      <c r="Y7225">
        <v>-1.6233359999999999E-2</v>
      </c>
      <c r="Z7225">
        <v>-5.5538509999999996E-4</v>
      </c>
      <c r="AA7225">
        <v>0.99986810000000004</v>
      </c>
      <c r="AB7225">
        <v>32</v>
      </c>
      <c r="AC7225">
        <v>3.111389</v>
      </c>
      <c r="AD7225">
        <v>3.6121250000000001E-2</v>
      </c>
      <c r="AE7225">
        <v>-7.318115E-2</v>
      </c>
      <c r="AF7225">
        <v>-5.0527194667246401E-2</v>
      </c>
      <c r="AG7225">
        <v>3.6121250000000001E-2</v>
      </c>
      <c r="AH7225">
        <v>3.11142009866813</v>
      </c>
      <c r="AI7225">
        <v>89.334956598113905</v>
      </c>
      <c r="AJ7225">
        <v>90.930359922488705</v>
      </c>
      <c r="AK7225">
        <v>3.1120399696177499</v>
      </c>
      <c r="AL7225">
        <v>73.061221621704703</v>
      </c>
      <c r="AM7225">
        <v>87.008276941643103</v>
      </c>
      <c r="AN7225">
        <v>0.99999997139944097</v>
      </c>
    </row>
    <row r="7226" spans="1:40" x14ac:dyDescent="0.25">
      <c r="A7226" t="str">
        <f>"20190312164207344"</f>
        <v>20190312164207344</v>
      </c>
      <c r="B7226" t="str">
        <f>"1552380127332874"</f>
        <v>1552380127332874</v>
      </c>
      <c r="C7226" t="s">
        <v>40</v>
      </c>
      <c r="D7226">
        <v>5.3996060000000003</v>
      </c>
      <c r="E7226">
        <v>0.48029850000000002</v>
      </c>
      <c r="F7226" t="s">
        <v>65</v>
      </c>
      <c r="G7226">
        <v>0</v>
      </c>
      <c r="H7226">
        <v>0</v>
      </c>
      <c r="I7226">
        <v>0</v>
      </c>
      <c r="J7226">
        <v>-102.7991</v>
      </c>
      <c r="K7226">
        <v>1.110825</v>
      </c>
      <c r="L7226">
        <v>139.28299999999999</v>
      </c>
      <c r="M7226">
        <v>0.99911740000000004</v>
      </c>
      <c r="N7226">
        <v>0</v>
      </c>
      <c r="O7226">
        <v>-3.9699980000000003E-2</v>
      </c>
      <c r="P7226">
        <v>0.95380469999999895</v>
      </c>
      <c r="Q7226">
        <v>0.28635389999999999</v>
      </c>
      <c r="R7226">
        <v>-9.0874750000000004E-2</v>
      </c>
      <c r="S7226">
        <v>3.111389</v>
      </c>
      <c r="T7226">
        <v>6.0693379999999998E-2</v>
      </c>
      <c r="U7226">
        <v>-8.1085210000000005E-2</v>
      </c>
      <c r="V7226">
        <v>5.2982639999999998E-2</v>
      </c>
      <c r="W7226">
        <v>0.29944310000000002</v>
      </c>
      <c r="X7226">
        <v>0.95264199999999999</v>
      </c>
      <c r="Y7226">
        <v>-1.364873E-2</v>
      </c>
      <c r="Z7226">
        <v>-9.0712309999999995E-4</v>
      </c>
      <c r="AA7226">
        <v>0.99990639999999997</v>
      </c>
      <c r="AB7226">
        <v>32</v>
      </c>
      <c r="AC7226">
        <v>3.111389</v>
      </c>
      <c r="AD7226">
        <v>6.0693379999999998E-2</v>
      </c>
      <c r="AE7226">
        <v>-8.1085210000000005E-2</v>
      </c>
      <c r="AF7226">
        <v>-4.2496280725637998E-2</v>
      </c>
      <c r="AG7226">
        <v>6.0693379999999998E-2</v>
      </c>
      <c r="AH7226">
        <v>3.1109720690013298</v>
      </c>
      <c r="AI7226">
        <v>88.882436400467299</v>
      </c>
      <c r="AJ7226">
        <v>90.782619080499501</v>
      </c>
      <c r="AK7226">
        <v>3.1118542437520702</v>
      </c>
      <c r="AL7226">
        <v>72.575843494378304</v>
      </c>
      <c r="AM7226">
        <v>86.816687205286001</v>
      </c>
      <c r="AN7226">
        <v>1.0000000552214801</v>
      </c>
    </row>
    <row r="7227" spans="1:40" x14ac:dyDescent="0.25">
      <c r="A7227" t="str">
        <f>"20190312164207366"</f>
        <v>20190312164207366</v>
      </c>
      <c r="B7227" t="str">
        <f>"1552380127353371"</f>
        <v>1552380127353371</v>
      </c>
      <c r="C7227" t="s">
        <v>40</v>
      </c>
      <c r="D7227">
        <v>5.4336010000000003</v>
      </c>
      <c r="E7227">
        <v>0.47636830000000002</v>
      </c>
      <c r="F7227" t="s">
        <v>65</v>
      </c>
      <c r="G7227">
        <v>0</v>
      </c>
      <c r="H7227">
        <v>0</v>
      </c>
      <c r="I7227">
        <v>0</v>
      </c>
      <c r="J7227">
        <v>-102.4765</v>
      </c>
      <c r="K7227">
        <v>1.1109</v>
      </c>
      <c r="L7227">
        <v>139.27019999999999</v>
      </c>
      <c r="M7227">
        <v>0.99912040000000002</v>
      </c>
      <c r="N7227">
        <v>0</v>
      </c>
      <c r="O7227">
        <v>-3.9628759999999999E-2</v>
      </c>
      <c r="P7227">
        <v>0.95105660000000003</v>
      </c>
      <c r="Q7227">
        <v>0.29453859999999998</v>
      </c>
      <c r="R7227">
        <v>-9.3480149999999998E-2</v>
      </c>
      <c r="S7227">
        <v>3.1120000000000001</v>
      </c>
      <c r="T7227">
        <v>8.1539749999999994E-2</v>
      </c>
      <c r="U7227">
        <v>-9.2361449999999998E-2</v>
      </c>
      <c r="V7227">
        <v>5.5735930000000003E-2</v>
      </c>
      <c r="W7227">
        <v>0.30759399999999998</v>
      </c>
      <c r="X7227">
        <v>0.9498839</v>
      </c>
      <c r="Y7227">
        <v>-9.9552830000000005E-3</v>
      </c>
      <c r="Z7227">
        <v>-1.1680480000000001E-3</v>
      </c>
      <c r="AA7227">
        <v>0.9999498</v>
      </c>
      <c r="AB7227">
        <v>32</v>
      </c>
      <c r="AC7227">
        <v>3.1120000000000001</v>
      </c>
      <c r="AD7227">
        <v>8.1539749999999994E-2</v>
      </c>
      <c r="AE7227">
        <v>-9.2361449999999998E-2</v>
      </c>
      <c r="AF7227">
        <v>-3.10261290288933E-2</v>
      </c>
      <c r="AG7227">
        <v>8.1539749999999994E-2</v>
      </c>
      <c r="AH7227">
        <v>3.1110815200202002</v>
      </c>
      <c r="AI7227">
        <v>88.498727198275901</v>
      </c>
      <c r="AJ7227">
        <v>90.571379215451998</v>
      </c>
      <c r="AK7227">
        <v>3.1123045441800499</v>
      </c>
      <c r="AL7227">
        <v>72.085706444039602</v>
      </c>
      <c r="AM7227">
        <v>86.641930476757395</v>
      </c>
      <c r="AN7227">
        <v>0.99999999310408705</v>
      </c>
    </row>
    <row r="7228" spans="1:40" x14ac:dyDescent="0.25">
      <c r="A7228" t="str">
        <f>"20190312164207386"</f>
        <v>20190312164207386</v>
      </c>
      <c r="B7228" t="str">
        <f>"1552380127373399"</f>
        <v>1552380127373399</v>
      </c>
      <c r="C7228" t="s">
        <v>40</v>
      </c>
      <c r="D7228">
        <v>5.3333139999999997</v>
      </c>
      <c r="E7228">
        <v>0.47648750000000001</v>
      </c>
      <c r="F7228" t="s">
        <v>65</v>
      </c>
      <c r="G7228">
        <v>0</v>
      </c>
      <c r="H7228">
        <v>0</v>
      </c>
      <c r="I7228">
        <v>0</v>
      </c>
      <c r="J7228">
        <v>-102.1968</v>
      </c>
      <c r="K7228">
        <v>1.110949</v>
      </c>
      <c r="L7228">
        <v>139.25909999999999</v>
      </c>
      <c r="M7228">
        <v>0.99912319999999999</v>
      </c>
      <c r="N7228">
        <v>0</v>
      </c>
      <c r="O7228">
        <v>-3.9558759999999998E-2</v>
      </c>
      <c r="P7228">
        <v>0.94850469999999998</v>
      </c>
      <c r="Q7228">
        <v>0.302141099999999</v>
      </c>
      <c r="R7228">
        <v>-9.5131809999999997E-2</v>
      </c>
      <c r="S7228">
        <v>3.1415410000000001</v>
      </c>
      <c r="T7228">
        <v>1.913488E-2</v>
      </c>
      <c r="U7228">
        <v>-7.0404049999999996E-2</v>
      </c>
      <c r="V7228">
        <v>5.753577E-2</v>
      </c>
      <c r="W7228">
        <v>0.31516850000000002</v>
      </c>
      <c r="X7228">
        <v>0.94729010000000002</v>
      </c>
      <c r="Y7228">
        <v>-1.7163979999999999E-2</v>
      </c>
      <c r="Z7228">
        <v>-2.9313089999999999E-4</v>
      </c>
      <c r="AA7228">
        <v>0.99985270000000004</v>
      </c>
      <c r="AB7228">
        <v>32</v>
      </c>
      <c r="AC7228">
        <v>3.1415410000000001</v>
      </c>
      <c r="AD7228">
        <v>1.913488E-2</v>
      </c>
      <c r="AE7228">
        <v>-7.0404049999999996E-2</v>
      </c>
      <c r="AF7228">
        <v>-5.3936215424500097E-2</v>
      </c>
      <c r="AG7228">
        <v>1.913488E-2</v>
      </c>
      <c r="AH7228">
        <v>3.1417503438475798</v>
      </c>
      <c r="AI7228">
        <v>89.651094876866097</v>
      </c>
      <c r="AJ7228">
        <v>90.983532624762006</v>
      </c>
      <c r="AK7228">
        <v>3.1422715481055001</v>
      </c>
      <c r="AL7228">
        <v>71.629014496404807</v>
      </c>
      <c r="AM7228">
        <v>86.524283254276497</v>
      </c>
      <c r="AN7228">
        <v>1.0000000408898699</v>
      </c>
    </row>
    <row r="7229" spans="1:40" x14ac:dyDescent="0.25">
      <c r="A7229" t="str">
        <f>"20190312164207409"</f>
        <v>20190312164207409</v>
      </c>
      <c r="B7229" t="str">
        <f>"1552380127403654"</f>
        <v>1552380127403654</v>
      </c>
      <c r="C7229" t="s">
        <v>40</v>
      </c>
      <c r="D7229">
        <v>5.31813</v>
      </c>
      <c r="E7229">
        <v>0.47632380000000002</v>
      </c>
      <c r="F7229" t="s">
        <v>65</v>
      </c>
      <c r="G7229">
        <v>0</v>
      </c>
      <c r="H7229">
        <v>0</v>
      </c>
      <c r="I7229">
        <v>0</v>
      </c>
      <c r="J7229">
        <v>-101.87050000000001</v>
      </c>
      <c r="K7229">
        <v>1.1110040000000001</v>
      </c>
      <c r="L7229">
        <v>139.24619999999999</v>
      </c>
      <c r="M7229">
        <v>0.99912570000000001</v>
      </c>
      <c r="N7229">
        <v>0</v>
      </c>
      <c r="O7229">
        <v>-3.9480220000000003E-2</v>
      </c>
      <c r="P7229">
        <v>0.94616900000000004</v>
      </c>
      <c r="Q7229">
        <v>0.30906319999999998</v>
      </c>
      <c r="R7229">
        <v>-9.6146960000000004E-2</v>
      </c>
      <c r="S7229">
        <v>3.137375</v>
      </c>
      <c r="T7229">
        <v>5.4957869999999999E-2</v>
      </c>
      <c r="U7229">
        <v>-7.9681399999999999E-2</v>
      </c>
      <c r="V7229">
        <v>5.870069E-2</v>
      </c>
      <c r="W7229">
        <v>0.32209690000000002</v>
      </c>
      <c r="X7229">
        <v>0.94488510000000003</v>
      </c>
      <c r="Y7229">
        <v>-1.409353E-2</v>
      </c>
      <c r="Z7229">
        <v>-8.1467020000000005E-4</v>
      </c>
      <c r="AA7229">
        <v>0.99990029999999996</v>
      </c>
      <c r="AB7229">
        <v>32</v>
      </c>
      <c r="AC7229">
        <v>3.137375</v>
      </c>
      <c r="AD7229">
        <v>5.4957869999999999E-2</v>
      </c>
      <c r="AE7229">
        <v>-7.9681399999999999E-2</v>
      </c>
      <c r="AF7229">
        <v>-4.4243139117674003E-2</v>
      </c>
      <c r="AG7229">
        <v>5.4957869999999999E-2</v>
      </c>
      <c r="AH7229">
        <v>3.13711262202977</v>
      </c>
      <c r="AI7229">
        <v>88.996459705983497</v>
      </c>
      <c r="AJ7229">
        <v>90.807996844122698</v>
      </c>
      <c r="AK7229">
        <v>3.1379058982277299</v>
      </c>
      <c r="AL7229">
        <v>71.210216344377002</v>
      </c>
      <c r="AM7229">
        <v>86.445086368588804</v>
      </c>
      <c r="AN7229">
        <v>1.00000001809904</v>
      </c>
    </row>
    <row r="7230" spans="1:40" x14ac:dyDescent="0.25">
      <c r="A7230" t="str">
        <f>"20190312164207430"</f>
        <v>20190312164207430</v>
      </c>
      <c r="B7230" t="str">
        <f>"1552380127423174"</f>
        <v>1552380127423174</v>
      </c>
      <c r="C7230" t="s">
        <v>40</v>
      </c>
      <c r="D7230">
        <v>5.3135329999999996</v>
      </c>
      <c r="E7230">
        <v>0.47628029999999999</v>
      </c>
      <c r="F7230" t="s">
        <v>65</v>
      </c>
      <c r="G7230">
        <v>0</v>
      </c>
      <c r="H7230">
        <v>0</v>
      </c>
      <c r="I7230">
        <v>0</v>
      </c>
      <c r="J7230">
        <v>-101.5558</v>
      </c>
      <c r="K7230">
        <v>1.111057</v>
      </c>
      <c r="L7230">
        <v>139.23390000000001</v>
      </c>
      <c r="M7230">
        <v>0.99912679999999998</v>
      </c>
      <c r="N7230">
        <v>0</v>
      </c>
      <c r="O7230">
        <v>-3.9410430000000003E-2</v>
      </c>
      <c r="P7230">
        <v>0.94426540000000003</v>
      </c>
      <c r="Q7230">
        <v>0.31464579999999998</v>
      </c>
      <c r="R7230">
        <v>-9.675156E-2</v>
      </c>
      <c r="S7230">
        <v>3.138779</v>
      </c>
      <c r="T7230">
        <v>7.1667910000000001E-2</v>
      </c>
      <c r="U7230">
        <v>-8.3618159999999997E-2</v>
      </c>
      <c r="V7230">
        <v>5.943553E-2</v>
      </c>
      <c r="W7230">
        <v>0.32776240000000001</v>
      </c>
      <c r="X7230">
        <v>0.94288879999999997</v>
      </c>
      <c r="Y7230">
        <v>-1.277645E-2</v>
      </c>
      <c r="Z7230">
        <v>-1.0451950000000001E-3</v>
      </c>
      <c r="AA7230">
        <v>0.99991779999999997</v>
      </c>
      <c r="AB7230">
        <v>32</v>
      </c>
      <c r="AC7230">
        <v>3.138779</v>
      </c>
      <c r="AD7230">
        <v>7.1667910000000001E-2</v>
      </c>
      <c r="AE7230">
        <v>-8.3618159999999997E-2</v>
      </c>
      <c r="AF7230">
        <v>-4.01384388048018E-2</v>
      </c>
      <c r="AG7230">
        <v>7.1667910000000001E-2</v>
      </c>
      <c r="AH7230">
        <v>3.13800094912723</v>
      </c>
      <c r="AI7230">
        <v>88.691772435427595</v>
      </c>
      <c r="AJ7230">
        <v>90.732835256107705</v>
      </c>
      <c r="AK7230">
        <v>3.13907587361581</v>
      </c>
      <c r="AL7230">
        <v>70.866982193102203</v>
      </c>
      <c r="AM7230">
        <v>86.393100325631295</v>
      </c>
      <c r="AN7230">
        <v>1.0000000311227899</v>
      </c>
    </row>
    <row r="7231" spans="1:40" x14ac:dyDescent="0.25">
      <c r="A7231" t="str">
        <f>"20190312164207453"</f>
        <v>20190312164207453</v>
      </c>
      <c r="B7231" t="str">
        <f>"1552380127443671"</f>
        <v>1552380127443671</v>
      </c>
      <c r="C7231" t="s">
        <v>40</v>
      </c>
      <c r="D7231">
        <v>5.2206619999999999</v>
      </c>
      <c r="E7231">
        <v>0.4775935</v>
      </c>
      <c r="F7231" t="s">
        <v>65</v>
      </c>
      <c r="G7231">
        <v>0</v>
      </c>
      <c r="H7231">
        <v>0</v>
      </c>
      <c r="I7231">
        <v>0</v>
      </c>
      <c r="J7231">
        <v>-101.23820000000001</v>
      </c>
      <c r="K7231">
        <v>1.1111329999999999</v>
      </c>
      <c r="L7231">
        <v>139.22139999999999</v>
      </c>
      <c r="M7231">
        <v>0.99912619999999996</v>
      </c>
      <c r="N7231">
        <v>0</v>
      </c>
      <c r="O7231">
        <v>-3.9340880000000002E-2</v>
      </c>
      <c r="P7231">
        <v>0.942492</v>
      </c>
      <c r="Q7231">
        <v>0.31978250000000003</v>
      </c>
      <c r="R7231">
        <v>-9.7200560000000005E-2</v>
      </c>
      <c r="S7231">
        <v>3.1395110000000002</v>
      </c>
      <c r="T7231">
        <v>8.6417079999999993E-2</v>
      </c>
      <c r="U7231">
        <v>-8.5540770000000002E-2</v>
      </c>
      <c r="V7231">
        <v>6.0015249999999999E-2</v>
      </c>
      <c r="W7231">
        <v>0.33309820000000001</v>
      </c>
      <c r="X7231">
        <v>0.94098020000000004</v>
      </c>
      <c r="Y7231">
        <v>-1.2095420000000001E-2</v>
      </c>
      <c r="Z7231">
        <v>-1.248636E-3</v>
      </c>
      <c r="AA7231">
        <v>0.99992610000000004</v>
      </c>
      <c r="AB7231">
        <v>32</v>
      </c>
      <c r="AC7231">
        <v>3.1395110000000002</v>
      </c>
      <c r="AD7231">
        <v>8.6417079999999993E-2</v>
      </c>
      <c r="AE7231">
        <v>-8.5540770000000002E-2</v>
      </c>
      <c r="AF7231">
        <v>-3.8020104595777003E-2</v>
      </c>
      <c r="AG7231">
        <v>8.6417079999999993E-2</v>
      </c>
      <c r="AH7231">
        <v>3.1380698104750802</v>
      </c>
      <c r="AI7231">
        <v>88.422686520381902</v>
      </c>
      <c r="AJ7231">
        <v>90.694148021241901</v>
      </c>
      <c r="AK7231">
        <v>3.1394896998532</v>
      </c>
      <c r="AL7231">
        <v>70.543067882153196</v>
      </c>
      <c r="AM7231">
        <v>86.350646581688807</v>
      </c>
      <c r="AN7231">
        <v>0.99999998893392095</v>
      </c>
    </row>
    <row r="7232" spans="1:40" x14ac:dyDescent="0.25">
      <c r="A7232" t="str">
        <f>"20190312164207476"</f>
        <v>20190312164207476</v>
      </c>
      <c r="B7232" t="str">
        <f>"1552380127463190"</f>
        <v>1552380127463190</v>
      </c>
      <c r="C7232" t="s">
        <v>40</v>
      </c>
      <c r="D7232">
        <v>5.2675400000000003</v>
      </c>
      <c r="E7232">
        <v>0.51408429999999905</v>
      </c>
      <c r="F7232" t="s">
        <v>65</v>
      </c>
      <c r="G7232">
        <v>0</v>
      </c>
      <c r="H7232">
        <v>0</v>
      </c>
      <c r="I7232">
        <v>0</v>
      </c>
      <c r="J7232">
        <v>-100.9286</v>
      </c>
      <c r="K7232">
        <v>1.1112489999999999</v>
      </c>
      <c r="L7232">
        <v>139.20930000000001</v>
      </c>
      <c r="M7232">
        <v>0.99912330000000005</v>
      </c>
      <c r="N7232">
        <v>0</v>
      </c>
      <c r="O7232">
        <v>-3.926996E-2</v>
      </c>
      <c r="P7232">
        <v>0.9412914</v>
      </c>
      <c r="Q7232">
        <v>0.32325379999999998</v>
      </c>
      <c r="R7232">
        <v>-9.7356719999999994E-2</v>
      </c>
      <c r="S7232">
        <v>3.1389770000000001</v>
      </c>
      <c r="T7232">
        <v>9.9844340000000004E-2</v>
      </c>
      <c r="U7232">
        <v>-9.8785399999999995E-2</v>
      </c>
      <c r="V7232">
        <v>6.0282870000000002E-2</v>
      </c>
      <c r="W7232">
        <v>0.33693650000000003</v>
      </c>
      <c r="X7232">
        <v>0.93959550000000003</v>
      </c>
      <c r="Y7232">
        <v>-7.8001640000000001E-3</v>
      </c>
      <c r="Z7232">
        <v>-1.372161E-3</v>
      </c>
      <c r="AA7232">
        <v>0.99996859999999999</v>
      </c>
      <c r="AB7232">
        <v>32</v>
      </c>
      <c r="AC7232">
        <v>3.1389770000000001</v>
      </c>
      <c r="AD7232">
        <v>9.9844340000000004E-2</v>
      </c>
      <c r="AE7232">
        <v>-9.8785399999999995E-2</v>
      </c>
      <c r="AF7232">
        <v>-2.45464824916506E-2</v>
      </c>
      <c r="AG7232">
        <v>9.9844340000000004E-2</v>
      </c>
      <c r="AH7232">
        <v>3.1372639408880798</v>
      </c>
      <c r="AI7232">
        <v>88.177216114056804</v>
      </c>
      <c r="AJ7232">
        <v>90.448282700211607</v>
      </c>
      <c r="AK7232">
        <v>3.1389483042620099</v>
      </c>
      <c r="AL7232">
        <v>70.309660702703198</v>
      </c>
      <c r="AM7232">
        <v>86.329030376101997</v>
      </c>
      <c r="AN7232">
        <v>0.99999996653396706</v>
      </c>
    </row>
    <row r="7233" spans="1:40" x14ac:dyDescent="0.25">
      <c r="A7233" t="str">
        <f>"20190312164207498"</f>
        <v>20190312164207498</v>
      </c>
      <c r="B7233" t="str">
        <f>"1552380127492977"</f>
        <v>1552380127492977</v>
      </c>
      <c r="C7233" t="s">
        <v>40</v>
      </c>
      <c r="D7233">
        <v>5.1908849999999997</v>
      </c>
      <c r="E7233">
        <v>0.52010610000000002</v>
      </c>
      <c r="F7233" t="s">
        <v>65</v>
      </c>
      <c r="G7233">
        <v>0</v>
      </c>
      <c r="H7233">
        <v>0</v>
      </c>
      <c r="I7233">
        <v>0</v>
      </c>
      <c r="J7233">
        <v>-100.6067</v>
      </c>
      <c r="K7233">
        <v>1.1113770000000001</v>
      </c>
      <c r="L7233">
        <v>139.19659999999999</v>
      </c>
      <c r="M7233">
        <v>0.99911810000000001</v>
      </c>
      <c r="N7233">
        <v>0</v>
      </c>
      <c r="O7233">
        <v>-3.9184959999999998E-2</v>
      </c>
      <c r="P7233">
        <v>0.94062480000000004</v>
      </c>
      <c r="Q7233">
        <v>0.3250498</v>
      </c>
      <c r="R7233">
        <v>-9.7815040000000006E-2</v>
      </c>
      <c r="S7233">
        <v>3.0635219999999999</v>
      </c>
      <c r="T7233">
        <v>0.2413265</v>
      </c>
      <c r="U7233">
        <v>-0.3938141</v>
      </c>
      <c r="V7233">
        <v>6.0841680000000002E-2</v>
      </c>
      <c r="W7233">
        <v>0.33926099999999998</v>
      </c>
      <c r="X7233">
        <v>0.93872270000000002</v>
      </c>
      <c r="Y7233">
        <v>8.8383009999999998E-2</v>
      </c>
      <c r="Z7233">
        <v>3.94332E-4</v>
      </c>
      <c r="AA7233">
        <v>0.99608649999999999</v>
      </c>
      <c r="AB7233">
        <v>32</v>
      </c>
      <c r="AC7233">
        <v>3.0635219999999999</v>
      </c>
      <c r="AD7233">
        <v>0.2413265</v>
      </c>
      <c r="AE7233">
        <v>-0.3938141</v>
      </c>
      <c r="AF7233">
        <v>0.271794753238779</v>
      </c>
      <c r="AG7233">
        <v>0.2413265</v>
      </c>
      <c r="AH7233">
        <v>3.0579347896243698</v>
      </c>
      <c r="AI7233">
        <v>85.505322280538707</v>
      </c>
      <c r="AJ7233">
        <v>84.920795029375697</v>
      </c>
      <c r="AK7233">
        <v>3.0794603496530701</v>
      </c>
      <c r="AL7233">
        <v>70.168143849350599</v>
      </c>
      <c r="AM7233">
        <v>86.291660458680298</v>
      </c>
      <c r="AN7233">
        <v>1.0000000218207501</v>
      </c>
    </row>
    <row r="7234" spans="1:40" x14ac:dyDescent="0.25">
      <c r="A7234" t="str">
        <f>"20190312164207522"</f>
        <v>20190312164207522</v>
      </c>
      <c r="B7234" t="str">
        <f>"1552380127513474"</f>
        <v>1552380127513474</v>
      </c>
      <c r="C7234" t="s">
        <v>40</v>
      </c>
      <c r="D7234">
        <v>5.1806539999999996</v>
      </c>
      <c r="E7234">
        <v>0.52106430000000004</v>
      </c>
      <c r="F7234" t="s">
        <v>65</v>
      </c>
      <c r="G7234">
        <v>0</v>
      </c>
      <c r="H7234">
        <v>0</v>
      </c>
      <c r="I7234">
        <v>0</v>
      </c>
      <c r="J7234">
        <v>-100.2762</v>
      </c>
      <c r="K7234">
        <v>1.1115109999999999</v>
      </c>
      <c r="L7234">
        <v>139.18379999999999</v>
      </c>
      <c r="M7234">
        <v>0.99911269999999996</v>
      </c>
      <c r="N7234">
        <v>0</v>
      </c>
      <c r="O7234">
        <v>-3.906652E-2</v>
      </c>
      <c r="P7234">
        <v>0.94016650000000002</v>
      </c>
      <c r="Q7234">
        <v>0.32591379999999998</v>
      </c>
      <c r="R7234">
        <v>-9.9333969999999994E-2</v>
      </c>
      <c r="S7234">
        <v>3.0461119999999999</v>
      </c>
      <c r="T7234">
        <v>0.28130749999999999</v>
      </c>
      <c r="U7234">
        <v>-0.44277949999999999</v>
      </c>
      <c r="V7234">
        <v>6.2471800000000001E-2</v>
      </c>
      <c r="W7234">
        <v>0.34072459999999999</v>
      </c>
      <c r="X7234">
        <v>0.93808530000000001</v>
      </c>
      <c r="Y7234">
        <v>0.10479869999999999</v>
      </c>
      <c r="Z7234">
        <v>1.225049E-3</v>
      </c>
      <c r="AA7234">
        <v>0.99449270000000001</v>
      </c>
      <c r="AB7234">
        <v>31</v>
      </c>
      <c r="AC7234">
        <v>3.0461119999999999</v>
      </c>
      <c r="AD7234">
        <v>0.28130749999999999</v>
      </c>
      <c r="AE7234">
        <v>-0.44277949999999999</v>
      </c>
      <c r="AF7234">
        <v>0.320746796738832</v>
      </c>
      <c r="AG7234">
        <v>0.28130749999999999</v>
      </c>
      <c r="AH7234">
        <v>3.0357316418516</v>
      </c>
      <c r="AI7234">
        <v>84.734919297382703</v>
      </c>
      <c r="AJ7234">
        <v>83.968667453702096</v>
      </c>
      <c r="AK7234">
        <v>3.0655634096383402</v>
      </c>
      <c r="AL7234">
        <v>70.078973335280494</v>
      </c>
      <c r="AM7234">
        <v>86.190012639244301</v>
      </c>
      <c r="AN7234">
        <v>1.00000000445824</v>
      </c>
    </row>
    <row r="7235" spans="1:40" x14ac:dyDescent="0.25">
      <c r="A7235" t="str">
        <f>"20190312164207544"</f>
        <v>20190312164207544</v>
      </c>
      <c r="B7235" t="str">
        <f>"1552380127532994"</f>
        <v>1552380127532994</v>
      </c>
      <c r="C7235" t="s">
        <v>40</v>
      </c>
      <c r="D7235">
        <v>5.1270540000000002</v>
      </c>
      <c r="E7235">
        <v>0.52152529999999997</v>
      </c>
      <c r="F7235" t="s">
        <v>65</v>
      </c>
      <c r="G7235">
        <v>0</v>
      </c>
      <c r="H7235">
        <v>0</v>
      </c>
      <c r="I7235">
        <v>0</v>
      </c>
      <c r="J7235">
        <v>-99.973460000000003</v>
      </c>
      <c r="K7235">
        <v>1.1116349999999999</v>
      </c>
      <c r="L7235">
        <v>139.1721</v>
      </c>
      <c r="M7235">
        <v>0.99910880000000002</v>
      </c>
      <c r="N7235">
        <v>0</v>
      </c>
      <c r="O7235">
        <v>-3.8928600000000001E-2</v>
      </c>
      <c r="P7235">
        <v>0.93940219999999997</v>
      </c>
      <c r="Q7235">
        <v>0.3278739</v>
      </c>
      <c r="R7235">
        <v>-0.1001124</v>
      </c>
      <c r="S7235">
        <v>3.0435029999999998</v>
      </c>
      <c r="T7235">
        <v>0.28730919999999999</v>
      </c>
      <c r="U7235">
        <v>-0.45252989999999998</v>
      </c>
      <c r="V7235">
        <v>6.3386429999999994E-2</v>
      </c>
      <c r="W7235">
        <v>0.34322540000000001</v>
      </c>
      <c r="X7235">
        <v>0.93711180000000005</v>
      </c>
      <c r="Y7235">
        <v>0.1081477</v>
      </c>
      <c r="Z7235">
        <v>1.421631E-3</v>
      </c>
      <c r="AA7235">
        <v>0.99413379999999996</v>
      </c>
      <c r="AB7235">
        <v>31</v>
      </c>
      <c r="AC7235">
        <v>3.0435029999999998</v>
      </c>
      <c r="AD7235">
        <v>0.28730919999999999</v>
      </c>
      <c r="AE7235">
        <v>-0.45252989999999998</v>
      </c>
      <c r="AF7235">
        <v>0.33080747486524098</v>
      </c>
      <c r="AG7235">
        <v>0.28730919999999999</v>
      </c>
      <c r="AH7235">
        <v>3.0323755318592802</v>
      </c>
      <c r="AI7235">
        <v>84.619274992228398</v>
      </c>
      <c r="AJ7235">
        <v>83.774117319650898</v>
      </c>
      <c r="AK7235">
        <v>3.0638670872037199</v>
      </c>
      <c r="AL7235">
        <v>69.926495252979507</v>
      </c>
      <c r="AM7235">
        <v>86.130396205268795</v>
      </c>
      <c r="AN7235">
        <v>1.00000002020627</v>
      </c>
    </row>
    <row r="7236" spans="1:40" x14ac:dyDescent="0.25">
      <c r="A7236" t="str">
        <f>"20190312164207567"</f>
        <v>20190312164207567</v>
      </c>
      <c r="B7236" t="str">
        <f>"1552380127563250"</f>
        <v>1552380127563250</v>
      </c>
      <c r="C7236" t="s">
        <v>40</v>
      </c>
      <c r="D7236">
        <v>4.981687</v>
      </c>
      <c r="E7236">
        <v>0.52221300000000004</v>
      </c>
      <c r="F7236" t="s">
        <v>65</v>
      </c>
      <c r="G7236">
        <v>0</v>
      </c>
      <c r="H7236">
        <v>0</v>
      </c>
      <c r="I7236">
        <v>0</v>
      </c>
      <c r="J7236">
        <v>-99.651309999999995</v>
      </c>
      <c r="K7236">
        <v>1.111772</v>
      </c>
      <c r="L7236">
        <v>139.15969999999999</v>
      </c>
      <c r="M7236">
        <v>0.99910679999999996</v>
      </c>
      <c r="N7236">
        <v>0</v>
      </c>
      <c r="O7236">
        <v>-3.8721270000000002E-2</v>
      </c>
      <c r="P7236">
        <v>0.93786729999999996</v>
      </c>
      <c r="Q7236">
        <v>0.33207789999999998</v>
      </c>
      <c r="R7236">
        <v>-0.10064480000000001</v>
      </c>
      <c r="S7236">
        <v>3.0430760000000001</v>
      </c>
      <c r="T7236">
        <v>0.29153309999999999</v>
      </c>
      <c r="U7236">
        <v>-0.456955</v>
      </c>
      <c r="V7236">
        <v>6.4136869999999999E-2</v>
      </c>
      <c r="W7236">
        <v>0.34797339999999999</v>
      </c>
      <c r="X7236">
        <v>0.93530800000000003</v>
      </c>
      <c r="Y7236">
        <v>0.1097708</v>
      </c>
      <c r="Z7236">
        <v>1.5392800000000001E-3</v>
      </c>
      <c r="AA7236">
        <v>0.9939557</v>
      </c>
      <c r="AB7236">
        <v>31</v>
      </c>
      <c r="AC7236">
        <v>3.0430760000000001</v>
      </c>
      <c r="AD7236">
        <v>0.29153309999999999</v>
      </c>
      <c r="AE7236">
        <v>-0.456955</v>
      </c>
      <c r="AF7236">
        <v>0.33574999588272297</v>
      </c>
      <c r="AG7236">
        <v>0.29153309999999999</v>
      </c>
      <c r="AH7236">
        <v>3.0312818637058898</v>
      </c>
      <c r="AI7236">
        <v>84.539670968856797</v>
      </c>
      <c r="AJ7236">
        <v>83.679583464712394</v>
      </c>
      <c r="AK7236">
        <v>3.0637214862586801</v>
      </c>
      <c r="AL7236">
        <v>69.636591647887698</v>
      </c>
      <c r="AM7236">
        <v>86.077197829017393</v>
      </c>
      <c r="AN7236">
        <v>1.00000004003247</v>
      </c>
    </row>
    <row r="7237" spans="1:40" x14ac:dyDescent="0.25">
      <c r="A7237" t="str">
        <f>"20190312164207588"</f>
        <v>20190312164207588</v>
      </c>
      <c r="B7237" t="str">
        <f>"1552380127583282"</f>
        <v>1552380127583282</v>
      </c>
      <c r="C7237" t="s">
        <v>40</v>
      </c>
      <c r="D7237">
        <v>5.0671059999999999</v>
      </c>
      <c r="E7237">
        <v>0.52227639999999997</v>
      </c>
      <c r="F7237" t="s">
        <v>65</v>
      </c>
      <c r="G7237">
        <v>0</v>
      </c>
      <c r="H7237">
        <v>0</v>
      </c>
      <c r="I7237">
        <v>0</v>
      </c>
      <c r="J7237">
        <v>-99.374619999999993</v>
      </c>
      <c r="K7237">
        <v>1.1118980000000001</v>
      </c>
      <c r="L7237">
        <v>139.14920000000001</v>
      </c>
      <c r="M7237">
        <v>0.99910840000000001</v>
      </c>
      <c r="N7237">
        <v>0</v>
      </c>
      <c r="O7237">
        <v>-3.8464749999999999E-2</v>
      </c>
      <c r="P7237">
        <v>0.93645100000000003</v>
      </c>
      <c r="Q7237">
        <v>0.33568690000000001</v>
      </c>
      <c r="R7237">
        <v>-0.101852</v>
      </c>
      <c r="S7237">
        <v>3.0421749999999999</v>
      </c>
      <c r="T7237">
        <v>0.3014714</v>
      </c>
      <c r="U7237">
        <v>-0.46434019999999998</v>
      </c>
      <c r="V7237">
        <v>6.5593070000000003E-2</v>
      </c>
      <c r="W7237">
        <v>0.35202109999999998</v>
      </c>
      <c r="X7237">
        <v>0.93369089999999999</v>
      </c>
      <c r="Y7237">
        <v>0.11239150000000001</v>
      </c>
      <c r="Z7237">
        <v>1.7456629999999999E-3</v>
      </c>
      <c r="AA7237">
        <v>0.9936625</v>
      </c>
      <c r="AB7237">
        <v>31</v>
      </c>
      <c r="AC7237">
        <v>3.0421749999999999</v>
      </c>
      <c r="AD7237">
        <v>0.3014714</v>
      </c>
      <c r="AE7237">
        <v>-0.46434019999999998</v>
      </c>
      <c r="AF7237">
        <v>0.34366419610188897</v>
      </c>
      <c r="AG7237">
        <v>0.3014714</v>
      </c>
      <c r="AH7237">
        <v>3.0287206816832501</v>
      </c>
      <c r="AI7237">
        <v>84.351651409517402</v>
      </c>
      <c r="AJ7237">
        <v>83.526425420575904</v>
      </c>
      <c r="AK7237">
        <v>3.0630277589920998</v>
      </c>
      <c r="AL7237">
        <v>69.389015479490595</v>
      </c>
      <c r="AM7237">
        <v>85.981494785736103</v>
      </c>
      <c r="AN7237">
        <v>1.0000000012100201</v>
      </c>
    </row>
    <row r="7238" spans="1:40" x14ac:dyDescent="0.25">
      <c r="A7238" t="str">
        <f>"20190312164207610"</f>
        <v>20190312164207610</v>
      </c>
      <c r="B7238" t="str">
        <f>"1552380127602799"</f>
        <v>1552380127602799</v>
      </c>
      <c r="C7238" t="s">
        <v>40</v>
      </c>
      <c r="D7238">
        <v>4.9890879999999997</v>
      </c>
      <c r="E7238">
        <v>0.52288029999999996</v>
      </c>
      <c r="F7238" t="s">
        <v>65</v>
      </c>
      <c r="G7238">
        <v>0</v>
      </c>
      <c r="H7238">
        <v>0</v>
      </c>
      <c r="I7238">
        <v>0</v>
      </c>
      <c r="J7238">
        <v>-99.063950000000006</v>
      </c>
      <c r="K7238">
        <v>1.112045</v>
      </c>
      <c r="L7238">
        <v>139.1377</v>
      </c>
      <c r="M7238">
        <v>0.99911519999999998</v>
      </c>
      <c r="N7238">
        <v>0</v>
      </c>
      <c r="O7238">
        <v>-3.8057359999999998E-2</v>
      </c>
      <c r="P7238">
        <v>0.93493079999999995</v>
      </c>
      <c r="Q7238">
        <v>0.3393909</v>
      </c>
      <c r="R7238">
        <v>-0.1035312</v>
      </c>
      <c r="S7238">
        <v>3.0392299999999999</v>
      </c>
      <c r="T7238">
        <v>0.31629819999999997</v>
      </c>
      <c r="U7238">
        <v>-0.46853640000000002</v>
      </c>
      <c r="V7238">
        <v>6.7637610000000001E-2</v>
      </c>
      <c r="W7238">
        <v>0.35618450000000001</v>
      </c>
      <c r="X7238">
        <v>0.93196449999999997</v>
      </c>
      <c r="Y7238">
        <v>0.1142321</v>
      </c>
      <c r="Z7238">
        <v>1.9695440000000002E-3</v>
      </c>
      <c r="AA7238">
        <v>0.99345209999999995</v>
      </c>
      <c r="AB7238">
        <v>31</v>
      </c>
      <c r="AC7238">
        <v>3.0392299999999999</v>
      </c>
      <c r="AD7238">
        <v>0.31629819999999997</v>
      </c>
      <c r="AE7238">
        <v>-0.46853640000000002</v>
      </c>
      <c r="AF7238">
        <v>0.34882288061036298</v>
      </c>
      <c r="AG7238">
        <v>0.31629819999999997</v>
      </c>
      <c r="AH7238">
        <v>3.0228810607865801</v>
      </c>
      <c r="AI7238">
        <v>84.065706263287694</v>
      </c>
      <c r="AJ7238">
        <v>83.417514545383895</v>
      </c>
      <c r="AK7238">
        <v>3.05933519919324</v>
      </c>
      <c r="AL7238">
        <v>69.133943683336398</v>
      </c>
      <c r="AM7238">
        <v>85.849018966716898</v>
      </c>
      <c r="AN7238">
        <v>1.0000000367935</v>
      </c>
    </row>
    <row r="7239" spans="1:40" x14ac:dyDescent="0.25">
      <c r="A7239" t="str">
        <f>"20190312164207632"</f>
        <v>20190312164207632</v>
      </c>
      <c r="B7239" t="str">
        <f>"1552380127623295"</f>
        <v>1552380127623295</v>
      </c>
      <c r="C7239" t="s">
        <v>40</v>
      </c>
      <c r="D7239">
        <v>4.9053639999999996</v>
      </c>
      <c r="E7239">
        <v>0.52330120000000002</v>
      </c>
      <c r="F7239" t="s">
        <v>65</v>
      </c>
      <c r="G7239">
        <v>0</v>
      </c>
      <c r="H7239">
        <v>0</v>
      </c>
      <c r="I7239">
        <v>0</v>
      </c>
      <c r="J7239">
        <v>-98.770480000000006</v>
      </c>
      <c r="K7239">
        <v>1.112204</v>
      </c>
      <c r="L7239">
        <v>139.12700000000001</v>
      </c>
      <c r="M7239">
        <v>0.99912719999999999</v>
      </c>
      <c r="N7239">
        <v>0</v>
      </c>
      <c r="O7239">
        <v>-3.7530029999999999E-2</v>
      </c>
      <c r="P7239">
        <v>0.93314580000000003</v>
      </c>
      <c r="Q7239">
        <v>0.34369870000000002</v>
      </c>
      <c r="R7239">
        <v>-0.1054061</v>
      </c>
      <c r="S7239">
        <v>3.034592</v>
      </c>
      <c r="T7239">
        <v>0.33415070000000002</v>
      </c>
      <c r="U7239">
        <v>-0.47766110000000001</v>
      </c>
      <c r="V7239">
        <v>6.9979059999999996E-2</v>
      </c>
      <c r="W7239">
        <v>0.36088379999999998</v>
      </c>
      <c r="X7239">
        <v>0.92998159999999996</v>
      </c>
      <c r="Y7239">
        <v>0.11782860000000001</v>
      </c>
      <c r="Z7239">
        <v>2.3364000000000002E-3</v>
      </c>
      <c r="AA7239">
        <v>0.9930312</v>
      </c>
      <c r="AB7239">
        <v>31</v>
      </c>
      <c r="AC7239">
        <v>3.034592</v>
      </c>
      <c r="AD7239">
        <v>0.33415070000000002</v>
      </c>
      <c r="AE7239">
        <v>-0.47766110000000001</v>
      </c>
      <c r="AF7239">
        <v>0.35916735154297502</v>
      </c>
      <c r="AG7239">
        <v>0.33415070000000002</v>
      </c>
      <c r="AH7239">
        <v>3.01471323503822</v>
      </c>
      <c r="AI7239">
        <v>83.719213606195098</v>
      </c>
      <c r="AJ7239">
        <v>83.205911037207898</v>
      </c>
      <c r="AK7239">
        <v>3.05436634447139</v>
      </c>
      <c r="AL7239">
        <v>68.845516456586395</v>
      </c>
      <c r="AM7239">
        <v>85.696729033009206</v>
      </c>
      <c r="AN7239">
        <v>0.99999998113974098</v>
      </c>
    </row>
    <row r="7240" spans="1:40" x14ac:dyDescent="0.25">
      <c r="A7240" t="str">
        <f>"20190312164207654"</f>
        <v>20190312164207654</v>
      </c>
      <c r="B7240" t="str">
        <f>"1552380127642816"</f>
        <v>1552380127642816</v>
      </c>
      <c r="C7240" t="s">
        <v>40</v>
      </c>
      <c r="D7240">
        <v>5.2105600000000001</v>
      </c>
      <c r="E7240">
        <v>0.52349880000000004</v>
      </c>
      <c r="F7240" t="s">
        <v>65</v>
      </c>
      <c r="G7240">
        <v>0</v>
      </c>
      <c r="H7240">
        <v>0</v>
      </c>
      <c r="I7240">
        <v>0</v>
      </c>
      <c r="J7240">
        <v>-98.470699999999994</v>
      </c>
      <c r="K7240">
        <v>1.1123799999999999</v>
      </c>
      <c r="L7240">
        <v>139.1164</v>
      </c>
      <c r="M7240">
        <v>0.99914570000000003</v>
      </c>
      <c r="N7240">
        <v>0</v>
      </c>
      <c r="O7240">
        <v>-3.6827520000000002E-2</v>
      </c>
      <c r="P7240">
        <v>0.93102560000000001</v>
      </c>
      <c r="Q7240">
        <v>0.34880470000000002</v>
      </c>
      <c r="R7240">
        <v>-0.1073629</v>
      </c>
      <c r="S7240">
        <v>3.0325929999999999</v>
      </c>
      <c r="T7240">
        <v>0.3455607</v>
      </c>
      <c r="U7240">
        <v>-0.48747249999999998</v>
      </c>
      <c r="V7240">
        <v>7.2553400000000004E-2</v>
      </c>
      <c r="W7240">
        <v>0.36635580000000001</v>
      </c>
      <c r="X7240">
        <v>0.92764190000000002</v>
      </c>
      <c r="Y7240">
        <v>0.1216976</v>
      </c>
      <c r="Z7240">
        <v>2.7141560000000001E-3</v>
      </c>
      <c r="AA7240">
        <v>0.99256350000000004</v>
      </c>
      <c r="AB7240">
        <v>30</v>
      </c>
      <c r="AC7240">
        <v>3.0325929999999999</v>
      </c>
      <c r="AD7240">
        <v>0.3455607</v>
      </c>
      <c r="AE7240">
        <v>-0.48747249999999998</v>
      </c>
      <c r="AF7240">
        <v>0.37074652891710203</v>
      </c>
      <c r="AG7240">
        <v>0.3455607</v>
      </c>
      <c r="AH7240">
        <v>3.0103872406634302</v>
      </c>
      <c r="AI7240">
        <v>83.500390450481603</v>
      </c>
      <c r="AJ7240">
        <v>82.979048669909602</v>
      </c>
      <c r="AK7240">
        <v>3.0527522868450601</v>
      </c>
      <c r="AL7240">
        <v>68.508955913101701</v>
      </c>
      <c r="AM7240">
        <v>85.527845242754594</v>
      </c>
      <c r="AN7240">
        <v>1.0000000313404001</v>
      </c>
    </row>
    <row r="7241" spans="1:40" x14ac:dyDescent="0.25">
      <c r="A7241" t="str">
        <f>"20190312164207676"</f>
        <v>20190312164207676</v>
      </c>
      <c r="B7241" t="str">
        <f>"1552380127673071"</f>
        <v>1552380127673071</v>
      </c>
      <c r="C7241" t="s">
        <v>40</v>
      </c>
      <c r="D7241">
        <v>6.1542849999999998</v>
      </c>
      <c r="E7241">
        <v>0.54106969999999899</v>
      </c>
      <c r="F7241" t="s">
        <v>65</v>
      </c>
      <c r="G7241">
        <v>0</v>
      </c>
      <c r="H7241">
        <v>0</v>
      </c>
      <c r="I7241">
        <v>0</v>
      </c>
      <c r="J7241">
        <v>-98.162570000000002</v>
      </c>
      <c r="K7241">
        <v>1.1125689999999999</v>
      </c>
      <c r="L7241">
        <v>139.10599999999999</v>
      </c>
      <c r="M7241">
        <v>0.9991717</v>
      </c>
      <c r="N7241">
        <v>0</v>
      </c>
      <c r="O7241">
        <v>-3.5910230000000001E-2</v>
      </c>
      <c r="P7241">
        <v>0.9286816</v>
      </c>
      <c r="Q7241">
        <v>0.3544773</v>
      </c>
      <c r="R7241">
        <v>-0.1090703</v>
      </c>
      <c r="S7241">
        <v>3.027466</v>
      </c>
      <c r="T7241">
        <v>0.36705320000000002</v>
      </c>
      <c r="U7241">
        <v>-0.49661250000000001</v>
      </c>
      <c r="V7241">
        <v>7.5063030000000003E-2</v>
      </c>
      <c r="W7241">
        <v>0.37237019999999998</v>
      </c>
      <c r="X7241">
        <v>0.92504379999999997</v>
      </c>
      <c r="Y7241">
        <v>0.12568550000000001</v>
      </c>
      <c r="Z7241">
        <v>3.2350949999999999E-3</v>
      </c>
      <c r="AA7241">
        <v>0.99206490000000003</v>
      </c>
      <c r="AB7241">
        <v>30</v>
      </c>
      <c r="AC7241">
        <v>3.027466</v>
      </c>
      <c r="AD7241">
        <v>0.36705320000000002</v>
      </c>
      <c r="AE7241">
        <v>-0.49661250000000001</v>
      </c>
      <c r="AF7241">
        <v>0.38208588990318199</v>
      </c>
      <c r="AG7241">
        <v>0.36705320000000002</v>
      </c>
      <c r="AH7241">
        <v>3.0004009286222701</v>
      </c>
      <c r="AI7241">
        <v>83.080722911946694</v>
      </c>
      <c r="AJ7241">
        <v>82.742733634788607</v>
      </c>
      <c r="AK7241">
        <v>3.0468218542229799</v>
      </c>
      <c r="AL7241">
        <v>68.138132530964</v>
      </c>
      <c r="AM7241">
        <v>85.360876637787797</v>
      </c>
      <c r="AN7241">
        <v>1.00000002811963</v>
      </c>
    </row>
    <row r="7242" spans="1:40" x14ac:dyDescent="0.25">
      <c r="A7242" t="str">
        <f>"20190312164207724"</f>
        <v>20190312164207724</v>
      </c>
      <c r="B7242" t="str">
        <f>"1552380127713087"</f>
        <v>1552380127713087</v>
      </c>
      <c r="C7242" t="s">
        <v>40</v>
      </c>
      <c r="D7242">
        <v>4.9104130000000001</v>
      </c>
      <c r="E7242">
        <v>0.54125529999999999</v>
      </c>
      <c r="F7242" t="s">
        <v>65</v>
      </c>
      <c r="G7242">
        <v>0</v>
      </c>
      <c r="H7242">
        <v>0</v>
      </c>
      <c r="I7242">
        <v>0</v>
      </c>
      <c r="J7242">
        <v>-97.532499999999999</v>
      </c>
      <c r="K7242">
        <v>1.11294</v>
      </c>
      <c r="L7242">
        <v>139.0864</v>
      </c>
      <c r="M7242">
        <v>0.99924849999999998</v>
      </c>
      <c r="N7242">
        <v>0</v>
      </c>
      <c r="O7242">
        <v>-3.331332E-2</v>
      </c>
      <c r="P7242">
        <v>0.92620550000000001</v>
      </c>
      <c r="Q7242">
        <v>0.35993439999999999</v>
      </c>
      <c r="R7242">
        <v>-0.1122078</v>
      </c>
      <c r="S7242">
        <v>2.937408</v>
      </c>
      <c r="T7242">
        <v>0.56910869999999902</v>
      </c>
      <c r="U7242">
        <v>-0.6450806</v>
      </c>
      <c r="V7242">
        <v>8.0397259999999998E-2</v>
      </c>
      <c r="W7242">
        <v>0.3784728</v>
      </c>
      <c r="X7242">
        <v>0.92211430000000005</v>
      </c>
      <c r="Y7242">
        <v>0.17924860000000001</v>
      </c>
      <c r="Z7242">
        <v>1.069087E-2</v>
      </c>
      <c r="AA7242">
        <v>0.9837458</v>
      </c>
      <c r="AB7242">
        <v>30</v>
      </c>
      <c r="AC7242">
        <v>2.937408</v>
      </c>
      <c r="AD7242">
        <v>0.56910869999999902</v>
      </c>
      <c r="AE7242">
        <v>-0.6450806</v>
      </c>
      <c r="AF7242">
        <v>0.52794267562506003</v>
      </c>
      <c r="AG7242">
        <v>0.56910869999999902</v>
      </c>
      <c r="AH7242">
        <v>2.85503185077796</v>
      </c>
      <c r="AI7242">
        <v>78.909928111174395</v>
      </c>
      <c r="AJ7242">
        <v>79.523404340265301</v>
      </c>
      <c r="AK7242">
        <v>2.9586846824422599</v>
      </c>
      <c r="AL7242">
        <v>67.760885485210906</v>
      </c>
      <c r="AM7242">
        <v>85.017098904959099</v>
      </c>
      <c r="AN7242">
        <v>1.0000000810099099</v>
      </c>
    </row>
    <row r="7243" spans="1:40" x14ac:dyDescent="0.25">
      <c r="A7243" t="str">
        <f>"20190312164207747"</f>
        <v>20190312164207747</v>
      </c>
      <c r="B7243" t="str">
        <f>"1552380127743343"</f>
        <v>1552380127743343</v>
      </c>
      <c r="C7243" t="s">
        <v>40</v>
      </c>
      <c r="D7243">
        <v>4.6617439999999997</v>
      </c>
      <c r="E7243">
        <v>0.53129510000000002</v>
      </c>
      <c r="F7243" t="s">
        <v>65</v>
      </c>
      <c r="G7243">
        <v>0</v>
      </c>
      <c r="H7243">
        <v>0</v>
      </c>
      <c r="I7243">
        <v>0</v>
      </c>
      <c r="J7243">
        <v>-97.241389999999996</v>
      </c>
      <c r="K7243">
        <v>1.113086</v>
      </c>
      <c r="L7243">
        <v>139.07830000000001</v>
      </c>
      <c r="M7243">
        <v>0.99929100000000004</v>
      </c>
      <c r="N7243">
        <v>0</v>
      </c>
      <c r="O7243">
        <v>-3.1838739999999997E-2</v>
      </c>
      <c r="P7243">
        <v>0.92609810000000004</v>
      </c>
      <c r="Q7243">
        <v>0.3599446</v>
      </c>
      <c r="R7243">
        <v>-0.1130611</v>
      </c>
      <c r="S7243">
        <v>2.936035</v>
      </c>
      <c r="T7243">
        <v>0.57539149999999994</v>
      </c>
      <c r="U7243">
        <v>-0.65525819999999901</v>
      </c>
      <c r="V7243">
        <v>8.2499530000000001E-2</v>
      </c>
      <c r="W7243">
        <v>0.37877329999999998</v>
      </c>
      <c r="X7243">
        <v>0.92180510000000004</v>
      </c>
      <c r="Y7243">
        <v>0.18387700000000001</v>
      </c>
      <c r="Z7243">
        <v>1.153406E-2</v>
      </c>
      <c r="AA7243">
        <v>0.98288160000000002</v>
      </c>
      <c r="AB7243">
        <v>30</v>
      </c>
      <c r="AC7243">
        <v>2.936035</v>
      </c>
      <c r="AD7243">
        <v>0.57539149999999994</v>
      </c>
      <c r="AE7243">
        <v>-0.65525819999999901</v>
      </c>
      <c r="AF7243">
        <v>0.54161281889800095</v>
      </c>
      <c r="AG7243">
        <v>0.57539149999999994</v>
      </c>
      <c r="AH7243">
        <v>2.85110702466952</v>
      </c>
      <c r="AI7243">
        <v>78.785539303049205</v>
      </c>
      <c r="AJ7243">
        <v>79.243924319090198</v>
      </c>
      <c r="AK7243">
        <v>2.9585859950298499</v>
      </c>
      <c r="AL7243">
        <v>67.742281605698906</v>
      </c>
      <c r="AM7243">
        <v>84.885779369962293</v>
      </c>
      <c r="AN7243">
        <v>1.0000000138145599</v>
      </c>
    </row>
    <row r="7244" spans="1:40" x14ac:dyDescent="0.25">
      <c r="A7244" t="str">
        <f>"20190312164207768"</f>
        <v>20190312164207768</v>
      </c>
      <c r="B7244" t="str">
        <f>"1552380127762864"</f>
        <v>1552380127762864</v>
      </c>
      <c r="C7244" t="s">
        <v>40</v>
      </c>
      <c r="D7244">
        <v>4.9025530000000002</v>
      </c>
      <c r="E7244">
        <v>0.53283749999999996</v>
      </c>
      <c r="F7244" t="s">
        <v>65</v>
      </c>
      <c r="G7244">
        <v>0</v>
      </c>
      <c r="H7244">
        <v>0</v>
      </c>
      <c r="I7244">
        <v>0</v>
      </c>
      <c r="J7244">
        <v>-96.963790000000003</v>
      </c>
      <c r="K7244">
        <v>1.1132150000000001</v>
      </c>
      <c r="L7244">
        <v>139.0711</v>
      </c>
      <c r="M7244">
        <v>0.99933419999999895</v>
      </c>
      <c r="N7244">
        <v>0</v>
      </c>
      <c r="O7244">
        <v>-3.0283029999999999E-2</v>
      </c>
      <c r="P7244">
        <v>0.92665439999999999</v>
      </c>
      <c r="Q7244">
        <v>0.3585547</v>
      </c>
      <c r="R7244">
        <v>-0.1129175</v>
      </c>
      <c r="S7244">
        <v>2.9859619999999998</v>
      </c>
      <c r="T7244">
        <v>0.47082380000000001</v>
      </c>
      <c r="U7244">
        <v>-0.57699579999999995</v>
      </c>
      <c r="V7244">
        <v>8.3682800000000002E-2</v>
      </c>
      <c r="W7244">
        <v>0.37765169999999998</v>
      </c>
      <c r="X7244">
        <v>0.92215849999999999</v>
      </c>
      <c r="Y7244">
        <v>0.1583765</v>
      </c>
      <c r="Z7244">
        <v>7.5979580000000001E-3</v>
      </c>
      <c r="AA7244">
        <v>0.98734960000000005</v>
      </c>
      <c r="AB7244">
        <v>29</v>
      </c>
      <c r="AC7244">
        <v>2.9859619999999998</v>
      </c>
      <c r="AD7244">
        <v>0.47082380000000001</v>
      </c>
      <c r="AE7244">
        <v>-0.57699579999999995</v>
      </c>
      <c r="AF7244">
        <v>0.47490593348777199</v>
      </c>
      <c r="AG7244">
        <v>0.47082380000000001</v>
      </c>
      <c r="AH7244">
        <v>2.9318001444133701</v>
      </c>
      <c r="AI7244">
        <v>80.992102214027298</v>
      </c>
      <c r="AJ7244">
        <v>80.798896911637797</v>
      </c>
      <c r="AK7244">
        <v>3.0071020573120899</v>
      </c>
      <c r="AL7244">
        <v>67.811699824807405</v>
      </c>
      <c r="AM7244">
        <v>84.814801787487795</v>
      </c>
      <c r="AN7244">
        <v>0.99999995832548905</v>
      </c>
    </row>
    <row r="7245" spans="1:40" x14ac:dyDescent="0.25">
      <c r="A7245" t="str">
        <f>"20190312164207789"</f>
        <v>20190312164207789</v>
      </c>
      <c r="B7245" t="str">
        <f>"1552380127783359"</f>
        <v>1552380127783359</v>
      </c>
      <c r="C7245" t="s">
        <v>40</v>
      </c>
      <c r="D7245">
        <v>4.8378670000000001</v>
      </c>
      <c r="E7245">
        <v>0.53280760000000005</v>
      </c>
      <c r="F7245" t="s">
        <v>65</v>
      </c>
      <c r="G7245">
        <v>0</v>
      </c>
      <c r="H7245">
        <v>0</v>
      </c>
      <c r="I7245">
        <v>0</v>
      </c>
      <c r="J7245">
        <v>-96.695880000000002</v>
      </c>
      <c r="K7245">
        <v>1.1133309999999901</v>
      </c>
      <c r="L7245">
        <v>139.06479999999999</v>
      </c>
      <c r="M7245">
        <v>0.99937750000000003</v>
      </c>
      <c r="N7245">
        <v>0</v>
      </c>
      <c r="O7245">
        <v>-2.8652750000000001E-2</v>
      </c>
      <c r="P7245">
        <v>0.92696979999999995</v>
      </c>
      <c r="Q7245">
        <v>0.3576819</v>
      </c>
      <c r="R7245">
        <v>-0.1130975</v>
      </c>
      <c r="S7245">
        <v>2.9825590000000002</v>
      </c>
      <c r="T7245">
        <v>0.47333740000000002</v>
      </c>
      <c r="U7245">
        <v>-0.58874510000000002</v>
      </c>
      <c r="V7245">
        <v>8.5279899999999895E-2</v>
      </c>
      <c r="W7245">
        <v>0.3770251</v>
      </c>
      <c r="X7245">
        <v>0.92226859999999999</v>
      </c>
      <c r="Y7245">
        <v>0.1638368</v>
      </c>
      <c r="Z7245">
        <v>8.3245860000000001E-3</v>
      </c>
      <c r="AA7245">
        <v>0.98645229999999995</v>
      </c>
      <c r="AB7245">
        <v>29</v>
      </c>
      <c r="AC7245">
        <v>2.9825590000000002</v>
      </c>
      <c r="AD7245">
        <v>0.47333740000000002</v>
      </c>
      <c r="AE7245">
        <v>-0.58874510000000002</v>
      </c>
      <c r="AF7245">
        <v>0.491121053843531</v>
      </c>
      <c r="AG7245">
        <v>0.47333740000000002</v>
      </c>
      <c r="AH7245">
        <v>2.9272453382933001</v>
      </c>
      <c r="AI7245">
        <v>80.939237233302904</v>
      </c>
      <c r="AJ7245">
        <v>80.475855419704899</v>
      </c>
      <c r="AK7245">
        <v>3.0056635630634001</v>
      </c>
      <c r="AL7245">
        <v>67.850467707109402</v>
      </c>
      <c r="AM7245">
        <v>84.717023489407595</v>
      </c>
      <c r="AN7245">
        <v>0.99999997895998904</v>
      </c>
    </row>
    <row r="7246" spans="1:40" x14ac:dyDescent="0.25">
      <c r="A7246" t="str">
        <f>"20190312164207811"</f>
        <v>20190312164207811</v>
      </c>
      <c r="B7246" t="str">
        <f>"1552380127802879"</f>
        <v>1552380127802879</v>
      </c>
      <c r="C7246" t="s">
        <v>40</v>
      </c>
      <c r="D7246">
        <v>4.8306680000000002</v>
      </c>
      <c r="E7246">
        <v>0.53187469999999903</v>
      </c>
      <c r="F7246" t="s">
        <v>65</v>
      </c>
      <c r="G7246">
        <v>0</v>
      </c>
      <c r="H7246">
        <v>0</v>
      </c>
      <c r="I7246">
        <v>0</v>
      </c>
      <c r="J7246">
        <v>-96.411559999999994</v>
      </c>
      <c r="K7246">
        <v>1.113443</v>
      </c>
      <c r="L7246">
        <v>139.05869999999999</v>
      </c>
      <c r="M7246">
        <v>0.99942370000000003</v>
      </c>
      <c r="N7246">
        <v>0</v>
      </c>
      <c r="O7246">
        <v>-2.6804140000000001E-2</v>
      </c>
      <c r="P7246">
        <v>0.92793579999999998</v>
      </c>
      <c r="Q7246">
        <v>0.35529300000000003</v>
      </c>
      <c r="R7246">
        <v>-0.1127039</v>
      </c>
      <c r="S7246">
        <v>2.9832000000000001</v>
      </c>
      <c r="T7246">
        <v>0.46987630000000002</v>
      </c>
      <c r="U7246">
        <v>-0.58880619999999995</v>
      </c>
      <c r="V7246">
        <v>8.6500939999999998E-2</v>
      </c>
      <c r="W7246">
        <v>0.37489709999999898</v>
      </c>
      <c r="X7246">
        <v>0.92302209999999996</v>
      </c>
      <c r="Y7246">
        <v>0.16562079999999901</v>
      </c>
      <c r="Z7246">
        <v>8.6872689999999992E-3</v>
      </c>
      <c r="AA7246">
        <v>0.98615120000000001</v>
      </c>
      <c r="AB7246">
        <v>29</v>
      </c>
      <c r="AC7246">
        <v>2.9832000000000001</v>
      </c>
      <c r="AD7246">
        <v>0.46987630000000002</v>
      </c>
      <c r="AE7246">
        <v>-0.58880619999999995</v>
      </c>
      <c r="AF7246">
        <v>0.49675342255229499</v>
      </c>
      <c r="AG7246">
        <v>0.46987630000000002</v>
      </c>
      <c r="AH7246">
        <v>2.9279976927995</v>
      </c>
      <c r="AI7246">
        <v>81.009405602734304</v>
      </c>
      <c r="AJ7246">
        <v>80.371092012468296</v>
      </c>
      <c r="AK7246">
        <v>3.00677870638301</v>
      </c>
      <c r="AL7246">
        <v>67.982047391693897</v>
      </c>
      <c r="AM7246">
        <v>84.646167527091905</v>
      </c>
      <c r="AN7246">
        <v>1.0000000226488499</v>
      </c>
    </row>
    <row r="7247" spans="1:40" x14ac:dyDescent="0.25">
      <c r="A7247" t="str">
        <f>"20190312164207833"</f>
        <v>20190312164207833</v>
      </c>
      <c r="B7247" t="str">
        <f>"1552380127823375"</f>
        <v>1552380127823375</v>
      </c>
      <c r="C7247" t="s">
        <v>40</v>
      </c>
      <c r="D7247">
        <v>5.2294470000000004</v>
      </c>
      <c r="E7247">
        <v>0.53167399999999998</v>
      </c>
      <c r="F7247" t="s">
        <v>65</v>
      </c>
      <c r="G7247">
        <v>0</v>
      </c>
      <c r="H7247">
        <v>0</v>
      </c>
      <c r="I7247">
        <v>0</v>
      </c>
      <c r="J7247">
        <v>-96.131739999999994</v>
      </c>
      <c r="K7247">
        <v>1.113529</v>
      </c>
      <c r="L7247">
        <v>139.05330000000001</v>
      </c>
      <c r="M7247">
        <v>0.99946860000000004</v>
      </c>
      <c r="N7247">
        <v>0</v>
      </c>
      <c r="O7247">
        <v>-2.4890929999999999E-2</v>
      </c>
      <c r="P7247">
        <v>0.92956570000000005</v>
      </c>
      <c r="Q7247">
        <v>0.3515353</v>
      </c>
      <c r="R7247">
        <v>-0.1110424</v>
      </c>
      <c r="S7247">
        <v>2.9876860000000001</v>
      </c>
      <c r="T7247">
        <v>0.45630130000000002</v>
      </c>
      <c r="U7247">
        <v>-0.58113099999999995</v>
      </c>
      <c r="V7247">
        <v>8.6523059999999999E-2</v>
      </c>
      <c r="W7247">
        <v>0.37139250000000001</v>
      </c>
      <c r="X7247">
        <v>0.92443569999999997</v>
      </c>
      <c r="Y7247">
        <v>0.1648704</v>
      </c>
      <c r="Z7247">
        <v>8.6598639999999998E-3</v>
      </c>
      <c r="AA7247">
        <v>0.98627719999999997</v>
      </c>
      <c r="AB7247">
        <v>29</v>
      </c>
      <c r="AC7247">
        <v>2.9876860000000001</v>
      </c>
      <c r="AD7247">
        <v>0.45630130000000002</v>
      </c>
      <c r="AE7247">
        <v>-0.58113099999999995</v>
      </c>
      <c r="AF7247">
        <v>0.49543309656309098</v>
      </c>
      <c r="AG7247">
        <v>0.45630130000000002</v>
      </c>
      <c r="AH7247">
        <v>2.9352571928928799</v>
      </c>
      <c r="AI7247">
        <v>81.285129112397698</v>
      </c>
      <c r="AJ7247">
        <v>80.419518868930496</v>
      </c>
      <c r="AK7247">
        <v>3.0115443908369</v>
      </c>
      <c r="AL7247">
        <v>68.198477890369901</v>
      </c>
      <c r="AM7247">
        <v>84.652947794508904</v>
      </c>
      <c r="AN7247">
        <v>0.99999999620125102</v>
      </c>
    </row>
    <row r="7248" spans="1:40" x14ac:dyDescent="0.25">
      <c r="A7248" t="str">
        <f>"20190312164207855"</f>
        <v>20190312164207855</v>
      </c>
      <c r="B7248" t="str">
        <f>"1552380127842895"</f>
        <v>1552380127842895</v>
      </c>
      <c r="C7248" t="s">
        <v>40</v>
      </c>
      <c r="D7248">
        <v>4.5689390000000003</v>
      </c>
      <c r="E7248">
        <v>0.53179409999999905</v>
      </c>
      <c r="F7248" t="s">
        <v>65</v>
      </c>
      <c r="G7248">
        <v>0</v>
      </c>
      <c r="H7248">
        <v>0</v>
      </c>
      <c r="I7248">
        <v>0</v>
      </c>
      <c r="J7248">
        <v>-95.849109999999996</v>
      </c>
      <c r="K7248">
        <v>1.1136060000000001</v>
      </c>
      <c r="L7248">
        <v>139.04849999999999</v>
      </c>
      <c r="M7248">
        <v>0.9995117</v>
      </c>
      <c r="N7248">
        <v>0</v>
      </c>
      <c r="O7248">
        <v>-2.2890210000000001E-2</v>
      </c>
      <c r="P7248">
        <v>0.93057449999999997</v>
      </c>
      <c r="Q7248">
        <v>0.349298</v>
      </c>
      <c r="R7248">
        <v>-0.1096456</v>
      </c>
      <c r="S7248">
        <v>2.991638</v>
      </c>
      <c r="T7248">
        <v>0.44134459999999998</v>
      </c>
      <c r="U7248">
        <v>-0.57569890000000001</v>
      </c>
      <c r="V7248">
        <v>8.6926240000000002E-2</v>
      </c>
      <c r="W7248">
        <v>0.36939139999999998</v>
      </c>
      <c r="X7248">
        <v>0.92519940000000001</v>
      </c>
      <c r="Y7248">
        <v>0.16495509999999999</v>
      </c>
      <c r="Z7248">
        <v>8.6664140000000008E-3</v>
      </c>
      <c r="AA7248">
        <v>0.986263</v>
      </c>
      <c r="AB7248">
        <v>29</v>
      </c>
      <c r="AC7248">
        <v>2.991638</v>
      </c>
      <c r="AD7248">
        <v>0.44134459999999998</v>
      </c>
      <c r="AE7248">
        <v>-0.57569890000000001</v>
      </c>
      <c r="AF7248">
        <v>0.49663060152720201</v>
      </c>
      <c r="AG7248">
        <v>0.44134459999999998</v>
      </c>
      <c r="AH7248">
        <v>2.9422855775005998</v>
      </c>
      <c r="AI7248">
        <v>81.586472012109994</v>
      </c>
      <c r="AJ7248">
        <v>80.419306708224198</v>
      </c>
      <c r="AK7248">
        <v>3.0163672571307498</v>
      </c>
      <c r="AL7248">
        <v>68.321912975415799</v>
      </c>
      <c r="AM7248">
        <v>84.632585261075405</v>
      </c>
      <c r="AN7248">
        <v>1.0000000536774201</v>
      </c>
    </row>
    <row r="7249" spans="1:40" x14ac:dyDescent="0.25">
      <c r="A7249" t="str">
        <f>"20190312164207879"</f>
        <v>20190312164207879</v>
      </c>
      <c r="B7249" t="str">
        <f>"1552380127873151"</f>
        <v>1552380127873151</v>
      </c>
      <c r="C7249" t="s">
        <v>40</v>
      </c>
      <c r="D7249">
        <v>4.7036569999999998</v>
      </c>
      <c r="E7249">
        <v>0.53077750000000001</v>
      </c>
      <c r="F7249" t="s">
        <v>65</v>
      </c>
      <c r="G7249">
        <v>0</v>
      </c>
      <c r="H7249">
        <v>0</v>
      </c>
      <c r="I7249">
        <v>0</v>
      </c>
      <c r="J7249">
        <v>-95.560940000000002</v>
      </c>
      <c r="K7249">
        <v>1.113677</v>
      </c>
      <c r="L7249">
        <v>139.04429999999999</v>
      </c>
      <c r="M7249">
        <v>0.99955240000000001</v>
      </c>
      <c r="N7249">
        <v>0</v>
      </c>
      <c r="O7249">
        <v>-2.0801279999999998E-2</v>
      </c>
      <c r="P7249">
        <v>0.93099869999999996</v>
      </c>
      <c r="Q7249">
        <v>0.34876970000000002</v>
      </c>
      <c r="R7249">
        <v>-0.1077081</v>
      </c>
      <c r="S7249">
        <v>2.9935459999999998</v>
      </c>
      <c r="T7249">
        <v>0.4329749</v>
      </c>
      <c r="U7249">
        <v>-0.57490540000000001</v>
      </c>
      <c r="V7249">
        <v>8.690349E-2</v>
      </c>
      <c r="W7249">
        <v>0.36908419999999997</v>
      </c>
      <c r="X7249">
        <v>0.92532409999999998</v>
      </c>
      <c r="Y7249">
        <v>0.1666656</v>
      </c>
      <c r="Z7249">
        <v>8.9182059999999997E-3</v>
      </c>
      <c r="AA7249">
        <v>0.98597310000000005</v>
      </c>
      <c r="AB7249">
        <v>29</v>
      </c>
      <c r="AC7249">
        <v>2.9935459999999998</v>
      </c>
      <c r="AD7249">
        <v>0.4329749</v>
      </c>
      <c r="AE7249">
        <v>-0.57490540000000001</v>
      </c>
      <c r="AF7249">
        <v>0.50236157392187897</v>
      </c>
      <c r="AG7249">
        <v>0.4329749</v>
      </c>
      <c r="AH7249">
        <v>2.94543395866924</v>
      </c>
      <c r="AI7249">
        <v>81.754878048882603</v>
      </c>
      <c r="AJ7249">
        <v>80.320993229491293</v>
      </c>
      <c r="AK7249">
        <v>3.0191746587213601</v>
      </c>
      <c r="AL7249">
        <v>68.340851993099093</v>
      </c>
      <c r="AM7249">
        <v>84.634700722901798</v>
      </c>
      <c r="AN7249">
        <v>1.0000000266523099</v>
      </c>
    </row>
    <row r="7250" spans="1:40" x14ac:dyDescent="0.25">
      <c r="A7250" t="str">
        <f>"20190312164207900"</f>
        <v>20190312164207900</v>
      </c>
      <c r="B7250" t="str">
        <f>"1552380127893648"</f>
        <v>1552380127893648</v>
      </c>
      <c r="C7250" t="s">
        <v>40</v>
      </c>
      <c r="D7250">
        <v>4.7159690000000003</v>
      </c>
      <c r="E7250">
        <v>0.53017879999999995</v>
      </c>
      <c r="F7250" t="s">
        <v>65</v>
      </c>
      <c r="G7250">
        <v>0</v>
      </c>
      <c r="H7250">
        <v>0</v>
      </c>
      <c r="I7250">
        <v>0</v>
      </c>
      <c r="J7250">
        <v>-95.28313</v>
      </c>
      <c r="K7250">
        <v>1.113712</v>
      </c>
      <c r="L7250">
        <v>139.041</v>
      </c>
      <c r="M7250">
        <v>0.99958780000000003</v>
      </c>
      <c r="N7250">
        <v>0</v>
      </c>
      <c r="O7250">
        <v>-1.87609E-2</v>
      </c>
      <c r="P7250">
        <v>0.93110979999999999</v>
      </c>
      <c r="Q7250">
        <v>0.34911959999999997</v>
      </c>
      <c r="R7250">
        <v>-0.1055953</v>
      </c>
      <c r="S7250">
        <v>2.9967959999999998</v>
      </c>
      <c r="T7250">
        <v>0.42830620000000003</v>
      </c>
      <c r="U7250">
        <v>-0.56260679999999996</v>
      </c>
      <c r="V7250">
        <v>8.6686550000000001E-2</v>
      </c>
      <c r="W7250">
        <v>0.36964740000000001</v>
      </c>
      <c r="X7250">
        <v>0.92511960000000004</v>
      </c>
      <c r="Y7250">
        <v>0.16460649999999999</v>
      </c>
      <c r="Z7250">
        <v>8.9592100000000004E-3</v>
      </c>
      <c r="AA7250">
        <v>0.98631860000000005</v>
      </c>
      <c r="AB7250">
        <v>28</v>
      </c>
      <c r="AC7250">
        <v>2.9967959999999998</v>
      </c>
      <c r="AD7250">
        <v>0.42830620000000003</v>
      </c>
      <c r="AE7250">
        <v>-0.56260679999999996</v>
      </c>
      <c r="AF7250">
        <v>0.49647584882678503</v>
      </c>
      <c r="AG7250">
        <v>0.42830620000000003</v>
      </c>
      <c r="AH7250">
        <v>2.9486457909908799</v>
      </c>
      <c r="AI7250">
        <v>81.848457070996204</v>
      </c>
      <c r="AJ7250">
        <v>80.442514467280304</v>
      </c>
      <c r="AK7250">
        <v>3.0206698710972901</v>
      </c>
      <c r="AL7250">
        <v>68.306127194904207</v>
      </c>
      <c r="AM7250">
        <v>84.646840226312193</v>
      </c>
      <c r="AN7250">
        <v>1.00000001629091</v>
      </c>
    </row>
    <row r="7251" spans="1:40" x14ac:dyDescent="0.25">
      <c r="A7251" t="str">
        <f>"20190312164207922"</f>
        <v>20190312164207922</v>
      </c>
      <c r="B7251" t="str">
        <f>"1552380127913168"</f>
        <v>1552380127913168</v>
      </c>
      <c r="C7251" t="s">
        <v>40</v>
      </c>
      <c r="D7251">
        <v>4.3207459999999998</v>
      </c>
      <c r="E7251">
        <v>0.5285531</v>
      </c>
      <c r="F7251" t="s">
        <v>65</v>
      </c>
      <c r="G7251">
        <v>0</v>
      </c>
      <c r="H7251">
        <v>0</v>
      </c>
      <c r="I7251">
        <v>0</v>
      </c>
      <c r="J7251">
        <v>-95.003910000000005</v>
      </c>
      <c r="K7251">
        <v>1.113747</v>
      </c>
      <c r="L7251">
        <v>139.03809999999999</v>
      </c>
      <c r="M7251">
        <v>0.99961909999999998</v>
      </c>
      <c r="N7251">
        <v>0</v>
      </c>
      <c r="O7251">
        <v>-1.6703889999999999E-2</v>
      </c>
      <c r="P7251">
        <v>0.93172849999999996</v>
      </c>
      <c r="Q7251">
        <v>0.34833239999999999</v>
      </c>
      <c r="R7251">
        <v>-0.1026971</v>
      </c>
      <c r="S7251">
        <v>2.997986</v>
      </c>
      <c r="T7251">
        <v>0.4306027</v>
      </c>
      <c r="U7251">
        <v>-0.55120849999999999</v>
      </c>
      <c r="V7251">
        <v>8.5708800000000002E-2</v>
      </c>
      <c r="W7251">
        <v>0.36908649999999998</v>
      </c>
      <c r="X7251">
        <v>0.9254346</v>
      </c>
      <c r="Y7251">
        <v>0.16292029999999999</v>
      </c>
      <c r="Z7251">
        <v>9.1781529999999997E-3</v>
      </c>
      <c r="AA7251">
        <v>0.98659649999999999</v>
      </c>
      <c r="AB7251">
        <v>28</v>
      </c>
      <c r="AC7251">
        <v>2.997986</v>
      </c>
      <c r="AD7251">
        <v>0.4306027</v>
      </c>
      <c r="AE7251">
        <v>-0.55120849999999999</v>
      </c>
      <c r="AF7251">
        <v>0.49123867815939598</v>
      </c>
      <c r="AG7251">
        <v>0.4306027</v>
      </c>
      <c r="AH7251">
        <v>2.94795015339706</v>
      </c>
      <c r="AI7251">
        <v>81.801146281772802</v>
      </c>
      <c r="AJ7251">
        <v>80.539310673348595</v>
      </c>
      <c r="AK7251">
        <v>3.0194609172964699</v>
      </c>
      <c r="AL7251">
        <v>68.340710070323297</v>
      </c>
      <c r="AM7251">
        <v>84.708665840527004</v>
      </c>
      <c r="AN7251">
        <v>1.0000000208784201</v>
      </c>
    </row>
    <row r="7252" spans="1:40" x14ac:dyDescent="0.25">
      <c r="A7252" t="str">
        <f>"20190312164207946"</f>
        <v>20190312164207946</v>
      </c>
      <c r="B7252" t="str">
        <f>"1552380127943423"</f>
        <v>1552380127943423</v>
      </c>
      <c r="C7252" t="s">
        <v>40</v>
      </c>
      <c r="D7252">
        <v>4.5743819999999999</v>
      </c>
      <c r="E7252">
        <v>0.52684739999999997</v>
      </c>
      <c r="F7252" t="s">
        <v>65</v>
      </c>
      <c r="G7252">
        <v>0</v>
      </c>
      <c r="H7252">
        <v>0</v>
      </c>
      <c r="I7252">
        <v>0</v>
      </c>
      <c r="J7252">
        <v>-94.722170000000006</v>
      </c>
      <c r="K7252">
        <v>1.1137699999999999</v>
      </c>
      <c r="L7252">
        <v>139.0359</v>
      </c>
      <c r="M7252">
        <v>0.99964620000000004</v>
      </c>
      <c r="N7252">
        <v>0</v>
      </c>
      <c r="O7252">
        <v>-1.4634650000000001E-2</v>
      </c>
      <c r="P7252">
        <v>0.93178609999999995</v>
      </c>
      <c r="Q7252">
        <v>0.34902139999999998</v>
      </c>
      <c r="R7252">
        <v>-9.9793789999999993E-2</v>
      </c>
      <c r="S7252">
        <v>2.9226839999999998</v>
      </c>
      <c r="T7252">
        <v>0.63798529999999998</v>
      </c>
      <c r="U7252">
        <v>-0.53184509999999996</v>
      </c>
      <c r="V7252">
        <v>8.4748799999999999E-2</v>
      </c>
      <c r="W7252">
        <v>0.36998150000000002</v>
      </c>
      <c r="X7252">
        <v>0.92516560000000003</v>
      </c>
      <c r="Y7252">
        <v>0.16126940000000001</v>
      </c>
      <c r="Z7252">
        <v>1.412762E-2</v>
      </c>
      <c r="AA7252">
        <v>0.9868093</v>
      </c>
      <c r="AB7252">
        <v>28</v>
      </c>
      <c r="AC7252">
        <v>2.9226839999999998</v>
      </c>
      <c r="AD7252">
        <v>0.63798529999999998</v>
      </c>
      <c r="AE7252">
        <v>-0.53184509999999996</v>
      </c>
      <c r="AF7252">
        <v>0.46744551263271999</v>
      </c>
      <c r="AG7252">
        <v>0.63798529999999998</v>
      </c>
      <c r="AH7252">
        <v>2.8009694076421301</v>
      </c>
      <c r="AI7252">
        <v>77.337837796298501</v>
      </c>
      <c r="AJ7252">
        <v>80.525392645647599</v>
      </c>
      <c r="AK7252">
        <v>2.9104913971430402</v>
      </c>
      <c r="AL7252">
        <v>68.285524303611496</v>
      </c>
      <c r="AM7252">
        <v>84.766088845769602</v>
      </c>
      <c r="AN7252">
        <v>1.00000002843352</v>
      </c>
    </row>
    <row r="7253" spans="1:40" x14ac:dyDescent="0.25">
      <c r="A7253" t="str">
        <f>"20190312164207969"</f>
        <v>20190312164207969</v>
      </c>
      <c r="B7253" t="str">
        <f>"1552380127962944"</f>
        <v>1552380127962944</v>
      </c>
      <c r="C7253" t="s">
        <v>40</v>
      </c>
      <c r="D7253">
        <v>4.48752</v>
      </c>
      <c r="E7253">
        <v>0.527696099999999</v>
      </c>
      <c r="F7253" t="s">
        <v>65</v>
      </c>
      <c r="G7253">
        <v>0</v>
      </c>
      <c r="H7253">
        <v>0</v>
      </c>
      <c r="I7253">
        <v>0</v>
      </c>
      <c r="J7253">
        <v>-94.437380000000005</v>
      </c>
      <c r="K7253">
        <v>1.1137729999999999</v>
      </c>
      <c r="L7253">
        <v>139.0343</v>
      </c>
      <c r="M7253">
        <v>0.99966929999999998</v>
      </c>
      <c r="N7253">
        <v>0</v>
      </c>
      <c r="O7253">
        <v>-1.2556919999999999E-2</v>
      </c>
      <c r="P7253">
        <v>0.93219920000000001</v>
      </c>
      <c r="Q7253">
        <v>0.34870390000000001</v>
      </c>
      <c r="R7253">
        <v>-9.7009410000000004E-2</v>
      </c>
      <c r="S7253">
        <v>2.8350520000000001</v>
      </c>
      <c r="T7253">
        <v>0.88062830000000003</v>
      </c>
      <c r="U7253">
        <v>-0.51092529999999903</v>
      </c>
      <c r="V7253">
        <v>8.3920090000000003E-2</v>
      </c>
      <c r="W7253">
        <v>0.36987959999999998</v>
      </c>
      <c r="X7253">
        <v>0.92528189999999999</v>
      </c>
      <c r="Y7253">
        <v>0.1583299</v>
      </c>
      <c r="Z7253">
        <v>2.0062819999999999E-2</v>
      </c>
      <c r="AA7253">
        <v>0.98718240000000002</v>
      </c>
      <c r="AB7253">
        <v>28</v>
      </c>
      <c r="AC7253">
        <v>2.8350520000000001</v>
      </c>
      <c r="AD7253">
        <v>0.88062830000000003</v>
      </c>
      <c r="AE7253">
        <v>-0.51092529999999903</v>
      </c>
      <c r="AF7253">
        <v>0.43465748662839698</v>
      </c>
      <c r="AG7253">
        <v>0.88062830000000003</v>
      </c>
      <c r="AH7253">
        <v>2.5984214710491398</v>
      </c>
      <c r="AI7253">
        <v>71.517044685628704</v>
      </c>
      <c r="AJ7253">
        <v>80.503628056561297</v>
      </c>
      <c r="AK7253">
        <v>2.7778098341413102</v>
      </c>
      <c r="AL7253">
        <v>68.291808980473107</v>
      </c>
      <c r="AM7253">
        <v>84.817636066717895</v>
      </c>
      <c r="AN7253">
        <v>1.0000000472346799</v>
      </c>
    </row>
    <row r="7254" spans="1:40" x14ac:dyDescent="0.25">
      <c r="A7254" t="str">
        <f>"20190312164207990"</f>
        <v>20190312164207990</v>
      </c>
      <c r="B7254" t="str">
        <f>"1552380127983440"</f>
        <v>1552380127983440</v>
      </c>
      <c r="C7254" t="s">
        <v>40</v>
      </c>
      <c r="D7254">
        <v>5.034573</v>
      </c>
      <c r="E7254">
        <v>0.5281013</v>
      </c>
      <c r="F7254" t="s">
        <v>65</v>
      </c>
      <c r="G7254">
        <v>0</v>
      </c>
      <c r="H7254">
        <v>0</v>
      </c>
      <c r="I7254">
        <v>0</v>
      </c>
      <c r="J7254">
        <v>-94.186170000000004</v>
      </c>
      <c r="K7254">
        <v>1.113766</v>
      </c>
      <c r="L7254">
        <v>139.0334</v>
      </c>
      <c r="M7254">
        <v>0.99968570000000001</v>
      </c>
      <c r="N7254">
        <v>0</v>
      </c>
      <c r="O7254">
        <v>-1.073176E-2</v>
      </c>
      <c r="P7254">
        <v>0.93298769999999998</v>
      </c>
      <c r="Q7254">
        <v>0.34757070000000001</v>
      </c>
      <c r="R7254">
        <v>-9.3426919999999997E-2</v>
      </c>
      <c r="S7254">
        <v>2.801361</v>
      </c>
      <c r="T7254">
        <v>0.97245110000000001</v>
      </c>
      <c r="U7254">
        <v>-0.51005549999999999</v>
      </c>
      <c r="V7254">
        <v>8.2059750000000001E-2</v>
      </c>
      <c r="W7254">
        <v>0.36894549999999998</v>
      </c>
      <c r="X7254">
        <v>0.92582149999999996</v>
      </c>
      <c r="Y7254">
        <v>0.16009219999999999</v>
      </c>
      <c r="Z7254">
        <v>2.3201989999999999E-2</v>
      </c>
      <c r="AA7254">
        <v>0.98682930000000002</v>
      </c>
      <c r="AB7254">
        <v>27</v>
      </c>
      <c r="AC7254">
        <v>2.801361</v>
      </c>
      <c r="AD7254">
        <v>0.97245110000000001</v>
      </c>
      <c r="AE7254">
        <v>-0.51005549999999999</v>
      </c>
      <c r="AF7254">
        <v>0.42982202573807199</v>
      </c>
      <c r="AG7254">
        <v>0.97245110000000001</v>
      </c>
      <c r="AH7254">
        <v>2.5135085568866602</v>
      </c>
      <c r="AI7254">
        <v>69.125440490909398</v>
      </c>
      <c r="AJ7254">
        <v>80.296010304811503</v>
      </c>
      <c r="AK7254">
        <v>2.7291268532706998</v>
      </c>
      <c r="AL7254">
        <v>68.349402158457593</v>
      </c>
      <c r="AM7254">
        <v>84.934852123328298</v>
      </c>
      <c r="AN7254">
        <v>1.00000001720128</v>
      </c>
    </row>
    <row r="7255" spans="1:40" x14ac:dyDescent="0.25">
      <c r="A7255" t="str">
        <f>"20190312164208011"</f>
        <v>20190312164208011</v>
      </c>
      <c r="B7255" t="str">
        <f>"1552380128002959"</f>
        <v>1552380128002959</v>
      </c>
      <c r="C7255" t="s">
        <v>40</v>
      </c>
      <c r="D7255">
        <v>4.4196600000000004</v>
      </c>
      <c r="E7255">
        <v>0.52834219999999998</v>
      </c>
      <c r="F7255" t="s">
        <v>65</v>
      </c>
      <c r="G7255">
        <v>0</v>
      </c>
      <c r="H7255">
        <v>0</v>
      </c>
      <c r="I7255">
        <v>0</v>
      </c>
      <c r="J7255">
        <v>-93.923360000000002</v>
      </c>
      <c r="K7255">
        <v>1.1137649999999999</v>
      </c>
      <c r="L7255">
        <v>139.03290000000001</v>
      </c>
      <c r="M7255">
        <v>0.99969889999999995</v>
      </c>
      <c r="N7255">
        <v>0</v>
      </c>
      <c r="O7255">
        <v>-8.8267910000000005E-3</v>
      </c>
      <c r="P7255">
        <v>0.93436929999999996</v>
      </c>
      <c r="Q7255">
        <v>0.34499610000000003</v>
      </c>
      <c r="R7255">
        <v>-8.9064299999999999E-2</v>
      </c>
      <c r="S7255">
        <v>2.7858429999999998</v>
      </c>
      <c r="T7255">
        <v>1.0180290000000001</v>
      </c>
      <c r="U7255">
        <v>-0.50318909999999994</v>
      </c>
      <c r="V7255">
        <v>7.9499169999999994E-2</v>
      </c>
      <c r="W7255">
        <v>0.36660700000000002</v>
      </c>
      <c r="X7255">
        <v>0.92697320000000005</v>
      </c>
      <c r="Y7255">
        <v>0.1596031</v>
      </c>
      <c r="Z7255">
        <v>2.4939840000000001E-2</v>
      </c>
      <c r="AA7255">
        <v>0.98686620000000003</v>
      </c>
      <c r="AB7255">
        <v>27</v>
      </c>
      <c r="AC7255">
        <v>2.7858429999999998</v>
      </c>
      <c r="AD7255">
        <v>1.0180290000000001</v>
      </c>
      <c r="AE7255">
        <v>-0.50318909999999994</v>
      </c>
      <c r="AF7255">
        <v>0.42377107029533301</v>
      </c>
      <c r="AG7255">
        <v>1.0180290000000001</v>
      </c>
      <c r="AH7255">
        <v>2.4706708949268399</v>
      </c>
      <c r="AI7255">
        <v>67.897188415886106</v>
      </c>
      <c r="AJ7255">
        <v>80.267296598637103</v>
      </c>
      <c r="AK7255">
        <v>2.7055830491594302</v>
      </c>
      <c r="AL7255">
        <v>68.493487659888103</v>
      </c>
      <c r="AM7255">
        <v>85.098187875267996</v>
      </c>
      <c r="AN7255">
        <v>1.00000006199896</v>
      </c>
    </row>
    <row r="7256" spans="1:40" x14ac:dyDescent="0.25">
      <c r="A7256" t="str">
        <f>"20190312164208034"</f>
        <v>20190312164208034</v>
      </c>
      <c r="B7256" t="str">
        <f>"1552380128023456"</f>
        <v>1552380128023456</v>
      </c>
      <c r="C7256" t="s">
        <v>40</v>
      </c>
      <c r="D7256">
        <v>4.3937650000000001</v>
      </c>
      <c r="E7256">
        <v>0.52890950000000003</v>
      </c>
      <c r="F7256" t="s">
        <v>65</v>
      </c>
      <c r="G7256">
        <v>0</v>
      </c>
      <c r="H7256">
        <v>0</v>
      </c>
      <c r="I7256">
        <v>0</v>
      </c>
      <c r="J7256">
        <v>-93.66104</v>
      </c>
      <c r="K7256">
        <v>1.113766</v>
      </c>
      <c r="L7256">
        <v>139.03290000000001</v>
      </c>
      <c r="M7256">
        <v>0.99970780000000004</v>
      </c>
      <c r="N7256">
        <v>0</v>
      </c>
      <c r="O7256">
        <v>-6.9245909999999999E-3</v>
      </c>
      <c r="P7256">
        <v>0.9359383</v>
      </c>
      <c r="Q7256">
        <v>0.34203040000000001</v>
      </c>
      <c r="R7256">
        <v>-8.3875539999999998E-2</v>
      </c>
      <c r="S7256">
        <v>2.7804570000000002</v>
      </c>
      <c r="T7256">
        <v>1.0381609999999999</v>
      </c>
      <c r="U7256">
        <v>-0.49256899999999998</v>
      </c>
      <c r="V7256">
        <v>7.6114390000000004E-2</v>
      </c>
      <c r="W7256">
        <v>0.3639001</v>
      </c>
      <c r="X7256">
        <v>0.92832289999999995</v>
      </c>
      <c r="Y7256">
        <v>0.15774649999999901</v>
      </c>
      <c r="Z7256">
        <v>2.5805290000000002E-2</v>
      </c>
      <c r="AA7256">
        <v>0.98714239999999998</v>
      </c>
      <c r="AB7256">
        <v>27</v>
      </c>
      <c r="AC7256">
        <v>2.7804570000000002</v>
      </c>
      <c r="AD7256">
        <v>1.0381609999999999</v>
      </c>
      <c r="AE7256">
        <v>-0.49256899999999998</v>
      </c>
      <c r="AF7256">
        <v>0.41694102122986398</v>
      </c>
      <c r="AG7256">
        <v>1.0381609999999999</v>
      </c>
      <c r="AH7256">
        <v>2.4523240489018101</v>
      </c>
      <c r="AI7256">
        <v>67.346852759791801</v>
      </c>
      <c r="AJ7256">
        <v>80.350911659938802</v>
      </c>
      <c r="AK7256">
        <v>2.69546124400396</v>
      </c>
      <c r="AL7256">
        <v>68.660092357267501</v>
      </c>
      <c r="AM7256">
        <v>85.312729994996502</v>
      </c>
      <c r="AN7256">
        <v>1.0000000449047399</v>
      </c>
    </row>
    <row r="7257" spans="1:40" x14ac:dyDescent="0.25">
      <c r="A7257" t="str">
        <f>"20190312164208056"</f>
        <v>20190312164208056</v>
      </c>
      <c r="B7257" t="str">
        <f>"1552380128053711"</f>
        <v>1552380128053711</v>
      </c>
      <c r="C7257" t="s">
        <v>40</v>
      </c>
      <c r="D7257">
        <v>4.3698670000000002</v>
      </c>
      <c r="E7257">
        <v>0.52909329999999999</v>
      </c>
      <c r="F7257" t="s">
        <v>65</v>
      </c>
      <c r="G7257">
        <v>0</v>
      </c>
      <c r="H7257">
        <v>0</v>
      </c>
      <c r="I7257">
        <v>0</v>
      </c>
      <c r="J7257">
        <v>-93.397279999999995</v>
      </c>
      <c r="K7257">
        <v>1.1137809999999999</v>
      </c>
      <c r="L7257">
        <v>139.0334</v>
      </c>
      <c r="M7257">
        <v>0.99971259999999995</v>
      </c>
      <c r="N7257">
        <v>0</v>
      </c>
      <c r="O7257">
        <v>-5.0088370000000004E-3</v>
      </c>
      <c r="P7257">
        <v>0.93786619999999998</v>
      </c>
      <c r="Q7257">
        <v>0.33796120000000002</v>
      </c>
      <c r="R7257">
        <v>-7.8672110000000003E-2</v>
      </c>
      <c r="S7257">
        <v>2.7775270000000001</v>
      </c>
      <c r="T7257">
        <v>1.0525009999999999</v>
      </c>
      <c r="U7257">
        <v>-0.48200989999999999</v>
      </c>
      <c r="V7257">
        <v>7.2731019999999993E-2</v>
      </c>
      <c r="W7257">
        <v>0.36011919999999997</v>
      </c>
      <c r="X7257">
        <v>0.93006690000000003</v>
      </c>
      <c r="Y7257">
        <v>0.1558755</v>
      </c>
      <c r="Z7257">
        <v>2.6529009999999999E-2</v>
      </c>
      <c r="AA7257">
        <v>0.98742039999999998</v>
      </c>
      <c r="AB7257">
        <v>27</v>
      </c>
      <c r="AC7257">
        <v>2.7775270000000001</v>
      </c>
      <c r="AD7257">
        <v>1.0525009999999999</v>
      </c>
      <c r="AE7257">
        <v>-0.48200989999999999</v>
      </c>
      <c r="AF7257">
        <v>0.41082195414030098</v>
      </c>
      <c r="AG7257">
        <v>1.0525009999999999</v>
      </c>
      <c r="AH7257">
        <v>2.4398131317097702</v>
      </c>
      <c r="AI7257">
        <v>66.955221168857193</v>
      </c>
      <c r="AJ7257">
        <v>80.442048778359293</v>
      </c>
      <c r="AK7257">
        <v>2.6887210994575299</v>
      </c>
      <c r="AL7257">
        <v>68.892484179376694</v>
      </c>
      <c r="AM7257">
        <v>85.528582803782101</v>
      </c>
      <c r="AN7257">
        <v>1.0000000389772401</v>
      </c>
    </row>
    <row r="7258" spans="1:40" x14ac:dyDescent="0.25">
      <c r="A7258" t="str">
        <f>"20190312164208080"</f>
        <v>20190312164208080</v>
      </c>
      <c r="B7258" t="str">
        <f>"1552380128073231"</f>
        <v>1552380128073231</v>
      </c>
      <c r="C7258" t="s">
        <v>40</v>
      </c>
      <c r="D7258">
        <v>4.4980229999999999</v>
      </c>
      <c r="E7258">
        <v>0.52979339999999997</v>
      </c>
      <c r="F7258" t="s">
        <v>65</v>
      </c>
      <c r="G7258">
        <v>0</v>
      </c>
      <c r="H7258">
        <v>0</v>
      </c>
      <c r="I7258">
        <v>0</v>
      </c>
      <c r="J7258">
        <v>-93.13</v>
      </c>
      <c r="K7258">
        <v>1.113801</v>
      </c>
      <c r="L7258">
        <v>139.03450000000001</v>
      </c>
      <c r="M7258">
        <v>0.99971339999999997</v>
      </c>
      <c r="N7258">
        <v>0</v>
      </c>
      <c r="O7258">
        <v>-3.0592269999999999E-3</v>
      </c>
      <c r="P7258">
        <v>0.93920899999999996</v>
      </c>
      <c r="Q7258">
        <v>0.33538279999999998</v>
      </c>
      <c r="R7258">
        <v>-7.3520000000000002E-2</v>
      </c>
      <c r="S7258">
        <v>2.7760470000000002</v>
      </c>
      <c r="T7258">
        <v>1.0639700000000001</v>
      </c>
      <c r="U7258">
        <v>-0.46849059999999998</v>
      </c>
      <c r="V7258">
        <v>6.9428909999999996E-2</v>
      </c>
      <c r="W7258">
        <v>0.35783389999999998</v>
      </c>
      <c r="X7258">
        <v>0.93120060000000004</v>
      </c>
      <c r="Y7258">
        <v>0.1530388</v>
      </c>
      <c r="Z7258">
        <v>2.7017940000000001E-2</v>
      </c>
      <c r="AA7258">
        <v>0.98785080000000003</v>
      </c>
      <c r="AB7258">
        <v>27</v>
      </c>
      <c r="AC7258">
        <v>2.7760470000000002</v>
      </c>
      <c r="AD7258">
        <v>1.0639700000000001</v>
      </c>
      <c r="AE7258">
        <v>-0.46849059999999998</v>
      </c>
      <c r="AF7258">
        <v>0.40250503334634302</v>
      </c>
      <c r="AG7258">
        <v>1.0639700000000001</v>
      </c>
      <c r="AH7258">
        <v>2.4303491503007701</v>
      </c>
      <c r="AI7258">
        <v>66.640404394513396</v>
      </c>
      <c r="AJ7258">
        <v>80.596251987639207</v>
      </c>
      <c r="AK7258">
        <v>2.68340072578376</v>
      </c>
      <c r="AL7258">
        <v>69.032772479397906</v>
      </c>
      <c r="AM7258">
        <v>85.736002697855596</v>
      </c>
      <c r="AN7258">
        <v>1.0000000154866699</v>
      </c>
    </row>
    <row r="7259" spans="1:40" x14ac:dyDescent="0.25">
      <c r="A7259" t="str">
        <f>"20190312164208101"</f>
        <v>20190312164208101</v>
      </c>
      <c r="B7259" t="str">
        <f>"1552380128093728"</f>
        <v>1552380128093728</v>
      </c>
      <c r="C7259" t="s">
        <v>40</v>
      </c>
      <c r="D7259">
        <v>4.2893629999999998</v>
      </c>
      <c r="E7259">
        <v>0.53038790000000002</v>
      </c>
      <c r="F7259" t="s">
        <v>65</v>
      </c>
      <c r="G7259">
        <v>0</v>
      </c>
      <c r="H7259">
        <v>0</v>
      </c>
      <c r="I7259">
        <v>0</v>
      </c>
      <c r="J7259">
        <v>-92.880449999999996</v>
      </c>
      <c r="K7259">
        <v>1.113831</v>
      </c>
      <c r="L7259">
        <v>139.0361</v>
      </c>
      <c r="M7259">
        <v>0.99971030000000005</v>
      </c>
      <c r="N7259">
        <v>0</v>
      </c>
      <c r="O7259">
        <v>-1.2252750000000001E-3</v>
      </c>
      <c r="P7259">
        <v>0.94019050000000004</v>
      </c>
      <c r="Q7259">
        <v>0.33353280000000002</v>
      </c>
      <c r="R7259">
        <v>-6.9267200000000001E-2</v>
      </c>
      <c r="S7259">
        <v>2.7768250000000001</v>
      </c>
      <c r="T7259">
        <v>1.0681499999999999</v>
      </c>
      <c r="U7259">
        <v>-0.45899960000000001</v>
      </c>
      <c r="V7259">
        <v>6.6916580000000003E-2</v>
      </c>
      <c r="W7259">
        <v>0.35626920000000001</v>
      </c>
      <c r="X7259">
        <v>0.93198419999999904</v>
      </c>
      <c r="Y7259">
        <v>0.151422</v>
      </c>
      <c r="Z7259">
        <v>2.7495700000000001E-2</v>
      </c>
      <c r="AA7259">
        <v>0.98808669999999998</v>
      </c>
      <c r="AB7259">
        <v>26</v>
      </c>
      <c r="AC7259">
        <v>2.7768250000000001</v>
      </c>
      <c r="AD7259">
        <v>1.0681499999999999</v>
      </c>
      <c r="AE7259">
        <v>-0.45899960000000001</v>
      </c>
      <c r="AF7259">
        <v>0.39823685110933299</v>
      </c>
      <c r="AG7259">
        <v>1.0681499999999999</v>
      </c>
      <c r="AH7259">
        <v>2.4277155539747302</v>
      </c>
      <c r="AI7259">
        <v>66.530537071487799</v>
      </c>
      <c r="AJ7259">
        <v>80.684298193356796</v>
      </c>
      <c r="AK7259">
        <v>2.68204023517402</v>
      </c>
      <c r="AL7259">
        <v>69.128750537903599</v>
      </c>
      <c r="AM7259">
        <v>85.893203517811898</v>
      </c>
      <c r="AN7259">
        <v>1.0000000602985799</v>
      </c>
    </row>
    <row r="7260" spans="1:40" x14ac:dyDescent="0.25">
      <c r="A7260" t="str">
        <f>"20190312164208123"</f>
        <v>20190312164208123</v>
      </c>
      <c r="B7260" t="str">
        <f>"1552380128113248"</f>
        <v>1552380128113248</v>
      </c>
      <c r="C7260" t="s">
        <v>40</v>
      </c>
      <c r="D7260">
        <v>4.2634679999999996</v>
      </c>
      <c r="E7260">
        <v>0.53106719999999996</v>
      </c>
      <c r="F7260" t="s">
        <v>65</v>
      </c>
      <c r="G7260">
        <v>0</v>
      </c>
      <c r="H7260">
        <v>0</v>
      </c>
      <c r="I7260">
        <v>0</v>
      </c>
      <c r="J7260">
        <v>-92.625919999999994</v>
      </c>
      <c r="K7260">
        <v>1.11385499999999</v>
      </c>
      <c r="L7260">
        <v>139.03809999999999</v>
      </c>
      <c r="M7260">
        <v>0.99970360000000003</v>
      </c>
      <c r="N7260">
        <v>0</v>
      </c>
      <c r="O7260">
        <v>6.669534E-4</v>
      </c>
      <c r="P7260">
        <v>0.94130829999999999</v>
      </c>
      <c r="Q7260">
        <v>0.33111239999999997</v>
      </c>
      <c r="R7260">
        <v>-6.5600660000000005E-2</v>
      </c>
      <c r="S7260">
        <v>2.7762910000000001</v>
      </c>
      <c r="T7260">
        <v>1.0748519999999999</v>
      </c>
      <c r="U7260">
        <v>-0.45129390000000003</v>
      </c>
      <c r="V7260">
        <v>6.5050189999999994E-2</v>
      </c>
      <c r="W7260">
        <v>0.354141599999999</v>
      </c>
      <c r="X7260">
        <v>0.9329267</v>
      </c>
      <c r="Y7260">
        <v>0.15044730000000001</v>
      </c>
      <c r="Z7260">
        <v>2.818932E-2</v>
      </c>
      <c r="AA7260">
        <v>0.98821599999999998</v>
      </c>
      <c r="AB7260">
        <v>26</v>
      </c>
      <c r="AC7260">
        <v>2.7762910000000001</v>
      </c>
      <c r="AD7260">
        <v>1.0748519999999999</v>
      </c>
      <c r="AE7260">
        <v>-0.45129390000000003</v>
      </c>
      <c r="AF7260">
        <v>0.39540515829991602</v>
      </c>
      <c r="AG7260">
        <v>1.0748519999999999</v>
      </c>
      <c r="AH7260">
        <v>2.42226672461915</v>
      </c>
      <c r="AI7260">
        <v>66.349387216176495</v>
      </c>
      <c r="AJ7260">
        <v>80.728940964766807</v>
      </c>
      <c r="AK7260">
        <v>2.6793708489702102</v>
      </c>
      <c r="AL7260">
        <v>69.259156096106807</v>
      </c>
      <c r="AM7260">
        <v>86.011392221375701</v>
      </c>
      <c r="AN7260">
        <v>1.0000000138212399</v>
      </c>
    </row>
    <row r="7261" spans="1:40" x14ac:dyDescent="0.25">
      <c r="A7261" t="str">
        <f>"20190312164208146"</f>
        <v>20190312164208146</v>
      </c>
      <c r="B7261" t="str">
        <f>"1552380128143504"</f>
        <v>1552380128143504</v>
      </c>
      <c r="C7261" t="s">
        <v>40</v>
      </c>
      <c r="D7261">
        <v>4.3062360000000002</v>
      </c>
      <c r="E7261">
        <v>0.53110979999999997</v>
      </c>
      <c r="F7261" t="s">
        <v>65</v>
      </c>
      <c r="G7261">
        <v>0</v>
      </c>
      <c r="H7261">
        <v>0</v>
      </c>
      <c r="I7261">
        <v>0</v>
      </c>
      <c r="J7261">
        <v>-92.372410000000002</v>
      </c>
      <c r="K7261">
        <v>1.1138760000000001</v>
      </c>
      <c r="L7261">
        <v>139.04069999999999</v>
      </c>
      <c r="M7261">
        <v>0.99969379999999997</v>
      </c>
      <c r="N7261">
        <v>0</v>
      </c>
      <c r="O7261">
        <v>2.5773860000000001E-3</v>
      </c>
      <c r="P7261">
        <v>0.94216160000000004</v>
      </c>
      <c r="Q7261">
        <v>0.32938919999999999</v>
      </c>
      <c r="R7261">
        <v>-6.1925790000000001E-2</v>
      </c>
      <c r="S7261">
        <v>2.776764</v>
      </c>
      <c r="T7261">
        <v>1.0780369999999999</v>
      </c>
      <c r="U7261">
        <v>-0.44589230000000002</v>
      </c>
      <c r="V7261">
        <v>6.3192230000000002E-2</v>
      </c>
      <c r="W7261">
        <v>0.35268470000000002</v>
      </c>
      <c r="X7261">
        <v>0.93360600000000005</v>
      </c>
      <c r="Y7261">
        <v>0.1502492</v>
      </c>
      <c r="Z7261">
        <v>2.8941729999999999E-2</v>
      </c>
      <c r="AA7261">
        <v>0.9882244</v>
      </c>
      <c r="AB7261">
        <v>26</v>
      </c>
      <c r="AC7261">
        <v>2.776764</v>
      </c>
      <c r="AD7261">
        <v>1.0780369999999999</v>
      </c>
      <c r="AE7261">
        <v>-0.44589230000000002</v>
      </c>
      <c r="AF7261">
        <v>0.39500825038338599</v>
      </c>
      <c r="AG7261">
        <v>1.0780369999999999</v>
      </c>
      <c r="AH7261">
        <v>2.4200143103551999</v>
      </c>
      <c r="AI7261">
        <v>66.267356355951406</v>
      </c>
      <c r="AJ7261">
        <v>80.7296150265216</v>
      </c>
      <c r="AK7261">
        <v>2.6785564309089902</v>
      </c>
      <c r="AL7261">
        <v>69.348387572945299</v>
      </c>
      <c r="AM7261">
        <v>86.127773396736302</v>
      </c>
      <c r="AN7261">
        <v>0.99999995939122999</v>
      </c>
    </row>
    <row r="7262" spans="1:40" x14ac:dyDescent="0.25">
      <c r="A7262" t="str">
        <f>"20190312164208170"</f>
        <v>20190312164208170</v>
      </c>
      <c r="B7262" t="str">
        <f>"1552380128163024"</f>
        <v>1552380128163024</v>
      </c>
      <c r="C7262" t="s">
        <v>40</v>
      </c>
      <c r="D7262">
        <v>4.187449</v>
      </c>
      <c r="E7262">
        <v>0.48356070000000001</v>
      </c>
      <c r="F7262" t="s">
        <v>65</v>
      </c>
      <c r="G7262">
        <v>0</v>
      </c>
      <c r="H7262">
        <v>0</v>
      </c>
      <c r="I7262">
        <v>0</v>
      </c>
      <c r="J7262">
        <v>-92.101439999999997</v>
      </c>
      <c r="K7262">
        <v>1.11389</v>
      </c>
      <c r="L7262">
        <v>139.04399999999899</v>
      </c>
      <c r="M7262">
        <v>0.99967950000000005</v>
      </c>
      <c r="N7262">
        <v>0</v>
      </c>
      <c r="O7262">
        <v>4.6488679999999996E-3</v>
      </c>
      <c r="P7262">
        <v>0.94350210000000001</v>
      </c>
      <c r="Q7262">
        <v>0.3262274</v>
      </c>
      <c r="R7262">
        <v>-5.8135399999999997E-2</v>
      </c>
      <c r="S7262">
        <v>2.7767940000000002</v>
      </c>
      <c r="T7262">
        <v>1.083348</v>
      </c>
      <c r="U7262">
        <v>-0.43566890000000003</v>
      </c>
      <c r="V7262">
        <v>6.1381449999999997E-2</v>
      </c>
      <c r="W7262">
        <v>0.3498038</v>
      </c>
      <c r="X7262">
        <v>0.93481000000000003</v>
      </c>
      <c r="Y7262">
        <v>0.14860139999999999</v>
      </c>
      <c r="Z7262">
        <v>2.9549220000000001E-2</v>
      </c>
      <c r="AA7262">
        <v>0.98845559999999999</v>
      </c>
      <c r="AB7262">
        <v>25</v>
      </c>
      <c r="AC7262">
        <v>2.7767940000000002</v>
      </c>
      <c r="AD7262">
        <v>1.083348</v>
      </c>
      <c r="AE7262">
        <v>-0.43566890000000003</v>
      </c>
      <c r="AF7262">
        <v>0.39055781533453399</v>
      </c>
      <c r="AG7262">
        <v>1.083348</v>
      </c>
      <c r="AH7262">
        <v>2.41585117567038</v>
      </c>
      <c r="AI7262">
        <v>66.121714595723802</v>
      </c>
      <c r="AJ7262">
        <v>80.816748739486101</v>
      </c>
      <c r="AK7262">
        <v>2.67628757782321</v>
      </c>
      <c r="AL7262">
        <v>69.524686132323296</v>
      </c>
      <c r="AM7262">
        <v>86.243240122497596</v>
      </c>
      <c r="AN7262">
        <v>1.0000000584992601</v>
      </c>
    </row>
    <row r="7263" spans="1:40" x14ac:dyDescent="0.25">
      <c r="A7263" t="str">
        <f>"20190312164208190"</f>
        <v>20190312164208190</v>
      </c>
      <c r="B7263" t="str">
        <f>"1552380128183519"</f>
        <v>1552380128183519</v>
      </c>
      <c r="C7263" t="s">
        <v>40</v>
      </c>
      <c r="D7263">
        <v>4.0940969999999997</v>
      </c>
      <c r="E7263">
        <v>0.47387560000000001</v>
      </c>
      <c r="F7263" t="s">
        <v>65</v>
      </c>
      <c r="G7263">
        <v>0</v>
      </c>
      <c r="H7263">
        <v>0</v>
      </c>
      <c r="I7263">
        <v>0</v>
      </c>
      <c r="J7263">
        <v>-91.878709999999998</v>
      </c>
      <c r="K7263">
        <v>1.1138950000000001</v>
      </c>
      <c r="L7263">
        <v>139.0472</v>
      </c>
      <c r="M7263">
        <v>0.9996642</v>
      </c>
      <c r="N7263">
        <v>0</v>
      </c>
      <c r="O7263">
        <v>6.3734059999999999E-3</v>
      </c>
      <c r="P7263">
        <v>0.94490850000000004</v>
      </c>
      <c r="Q7263">
        <v>0.3227738</v>
      </c>
      <c r="R7263">
        <v>-5.4452220000000003E-2</v>
      </c>
      <c r="S7263">
        <v>2.6706850000000002</v>
      </c>
      <c r="T7263">
        <v>1.462215</v>
      </c>
      <c r="U7263">
        <v>-5.49469E-2</v>
      </c>
      <c r="V7263">
        <v>5.9356770000000003E-2</v>
      </c>
      <c r="W7263">
        <v>0.34659119999999999</v>
      </c>
      <c r="X7263">
        <v>0.93613639999999998</v>
      </c>
      <c r="Y7263">
        <v>2.2851079999999999E-2</v>
      </c>
      <c r="Z7263">
        <v>9.107469E-3</v>
      </c>
      <c r="AA7263">
        <v>0.99969739999999996</v>
      </c>
      <c r="AB7263">
        <v>25</v>
      </c>
      <c r="AC7263">
        <v>2.6706850000000002</v>
      </c>
      <c r="AD7263">
        <v>1.462215</v>
      </c>
      <c r="AE7263">
        <v>-5.49469E-2</v>
      </c>
      <c r="AF7263">
        <v>5.5378998129486198E-2</v>
      </c>
      <c r="AG7263">
        <v>1.462215</v>
      </c>
      <c r="AH7263">
        <v>2.0546378647655898</v>
      </c>
      <c r="AI7263">
        <v>54.571679401272597</v>
      </c>
      <c r="AJ7263">
        <v>88.456071070597602</v>
      </c>
      <c r="AK7263">
        <v>2.52243459677101</v>
      </c>
      <c r="AL7263">
        <v>69.721041652259601</v>
      </c>
      <c r="AM7263">
        <v>86.371954137108403</v>
      </c>
      <c r="AN7263">
        <v>1.0000000227336101</v>
      </c>
    </row>
    <row r="7264" spans="1:40" x14ac:dyDescent="0.25">
      <c r="A7264" t="str">
        <f>"20190312164208212"</f>
        <v>20190312164208212</v>
      </c>
      <c r="B7264" t="str">
        <f>"1552380128203040"</f>
        <v>1552380128203040</v>
      </c>
      <c r="C7264" t="s">
        <v>40</v>
      </c>
      <c r="D7264">
        <v>4.1018860000000004</v>
      </c>
      <c r="E7264">
        <v>0.47086240000000001</v>
      </c>
      <c r="F7264" t="s">
        <v>65</v>
      </c>
      <c r="G7264">
        <v>0</v>
      </c>
      <c r="H7264">
        <v>0</v>
      </c>
      <c r="I7264">
        <v>0</v>
      </c>
      <c r="J7264">
        <v>-91.635760000000005</v>
      </c>
      <c r="K7264">
        <v>1.1138980000000001</v>
      </c>
      <c r="L7264">
        <v>139.05109999999999</v>
      </c>
      <c r="M7264">
        <v>0.99964359999999997</v>
      </c>
      <c r="N7264">
        <v>0</v>
      </c>
      <c r="O7264">
        <v>8.2729069999999995E-3</v>
      </c>
      <c r="P7264">
        <v>0.94694820000000002</v>
      </c>
      <c r="Q7264">
        <v>0.31742579999999998</v>
      </c>
      <c r="R7264">
        <v>-5.0299770000000001E-2</v>
      </c>
      <c r="S7264">
        <v>2.6487729999999998</v>
      </c>
      <c r="T7264">
        <v>1.5452399999999999</v>
      </c>
      <c r="U7264">
        <v>2.9479979999999999E-2</v>
      </c>
      <c r="V7264">
        <v>5.704799E-2</v>
      </c>
      <c r="W7264">
        <v>0.34153729999999999</v>
      </c>
      <c r="X7264">
        <v>0.93813530000000001</v>
      </c>
      <c r="Y7264">
        <v>-3.5921220000000001E-3</v>
      </c>
      <c r="Z7264">
        <v>3.503524E-3</v>
      </c>
      <c r="AA7264">
        <v>0.99998739999999997</v>
      </c>
      <c r="AB7264">
        <v>25</v>
      </c>
      <c r="AC7264">
        <v>2.6487729999999998</v>
      </c>
      <c r="AD7264">
        <v>1.5452399999999999</v>
      </c>
      <c r="AE7264">
        <v>2.9479979999999999E-2</v>
      </c>
      <c r="AF7264">
        <v>-5.63971857944054E-3</v>
      </c>
      <c r="AG7264">
        <v>1.5452399999999999</v>
      </c>
      <c r="AH7264">
        <v>1.97638358549671</v>
      </c>
      <c r="AI7264">
        <v>51.979958309296698</v>
      </c>
      <c r="AJ7264">
        <v>90.163496194541906</v>
      </c>
      <c r="AK7264">
        <v>2.5087627510481099</v>
      </c>
      <c r="AL7264">
        <v>70.029438036914698</v>
      </c>
      <c r="AM7264">
        <v>86.5201298511288</v>
      </c>
      <c r="AN7264">
        <v>1.0000000207802</v>
      </c>
    </row>
    <row r="7265" spans="1:40" x14ac:dyDescent="0.25">
      <c r="A7265" t="str">
        <f>"20190312164208236"</f>
        <v>20190312164208236</v>
      </c>
      <c r="B7265" t="str">
        <f>"1552380128233296"</f>
        <v>1552380128233296</v>
      </c>
      <c r="C7265" t="s">
        <v>40</v>
      </c>
      <c r="D7265">
        <v>4.5217400000000003</v>
      </c>
      <c r="E7265">
        <v>0.46992640000000002</v>
      </c>
      <c r="F7265" t="s">
        <v>65</v>
      </c>
      <c r="G7265">
        <v>0</v>
      </c>
      <c r="H7265">
        <v>0</v>
      </c>
      <c r="I7265">
        <v>0</v>
      </c>
      <c r="J7265">
        <v>-91.392039999999994</v>
      </c>
      <c r="K7265">
        <v>1.113901</v>
      </c>
      <c r="L7265">
        <v>139.05549999999999</v>
      </c>
      <c r="M7265">
        <v>0.99961840000000002</v>
      </c>
      <c r="N7265">
        <v>0</v>
      </c>
      <c r="O7265">
        <v>1.0191199999999999E-2</v>
      </c>
      <c r="P7265">
        <v>0.94875900000000002</v>
      </c>
      <c r="Q7265">
        <v>0.3125539</v>
      </c>
      <c r="R7265">
        <v>-4.654349E-2</v>
      </c>
      <c r="S7265">
        <v>2.6471710000000002</v>
      </c>
      <c r="T7265">
        <v>1.564111</v>
      </c>
      <c r="U7265">
        <v>6.3919069999999995E-2</v>
      </c>
      <c r="V7265">
        <v>5.515859E-2</v>
      </c>
      <c r="W7265">
        <v>0.33697640000000001</v>
      </c>
      <c r="X7265">
        <v>0.93989599999999995</v>
      </c>
      <c r="Y7265">
        <v>-1.342483E-2</v>
      </c>
      <c r="Z7265">
        <v>1.903269E-3</v>
      </c>
      <c r="AA7265">
        <v>0.99990809999999997</v>
      </c>
      <c r="AB7265">
        <v>25</v>
      </c>
      <c r="AC7265">
        <v>2.6471710000000002</v>
      </c>
      <c r="AD7265">
        <v>1.564111</v>
      </c>
      <c r="AE7265">
        <v>6.3919069999999995E-2</v>
      </c>
      <c r="AF7265">
        <v>-2.7376846509453399E-2</v>
      </c>
      <c r="AG7265">
        <v>1.564111</v>
      </c>
      <c r="AH7265">
        <v>1.96282763044677</v>
      </c>
      <c r="AI7265">
        <v>51.452558917348803</v>
      </c>
      <c r="AJ7265">
        <v>90.799090064440094</v>
      </c>
      <c r="AK7265">
        <v>2.50995717471256</v>
      </c>
      <c r="AL7265">
        <v>70.307233856972601</v>
      </c>
      <c r="AM7265">
        <v>86.641400992191706</v>
      </c>
      <c r="AN7265">
        <v>1.0000000275118699</v>
      </c>
    </row>
    <row r="7266" spans="1:40" x14ac:dyDescent="0.25">
      <c r="A7266" t="str">
        <f>"20190312164208258"</f>
        <v>20190312164208258</v>
      </c>
      <c r="B7266" t="str">
        <f>"1552380128253792"</f>
        <v>1552380128253792</v>
      </c>
      <c r="C7266" t="s">
        <v>40</v>
      </c>
      <c r="D7266">
        <v>4.2193129999999996</v>
      </c>
      <c r="E7266">
        <v>0.46976839999999997</v>
      </c>
      <c r="F7266" t="s">
        <v>65</v>
      </c>
      <c r="G7266">
        <v>0</v>
      </c>
      <c r="H7266">
        <v>0</v>
      </c>
      <c r="I7266">
        <v>0</v>
      </c>
      <c r="J7266">
        <v>-91.149169999999998</v>
      </c>
      <c r="K7266">
        <v>1.113915</v>
      </c>
      <c r="L7266">
        <v>139.06049999999999</v>
      </c>
      <c r="M7266">
        <v>0.99958849999999999</v>
      </c>
      <c r="N7266">
        <v>0</v>
      </c>
      <c r="O7266">
        <v>1.210604E-2</v>
      </c>
      <c r="P7266">
        <v>0.95065869999999997</v>
      </c>
      <c r="Q7266">
        <v>0.30730730000000001</v>
      </c>
      <c r="R7266">
        <v>-4.2544949999999998E-2</v>
      </c>
      <c r="S7266">
        <v>2.6472470000000001</v>
      </c>
      <c r="T7266">
        <v>1.57472099999999</v>
      </c>
      <c r="U7266">
        <v>8.1344600000000003E-2</v>
      </c>
      <c r="V7266">
        <v>5.3034600000000001E-2</v>
      </c>
      <c r="W7266">
        <v>0.3320747</v>
      </c>
      <c r="X7266">
        <v>0.94176099999999996</v>
      </c>
      <c r="Y7266">
        <v>-1.7694339999999999E-2</v>
      </c>
      <c r="Z7266">
        <v>1.7935010000000001E-3</v>
      </c>
      <c r="AA7266">
        <v>0.9998418</v>
      </c>
      <c r="AB7266">
        <v>24</v>
      </c>
      <c r="AC7266">
        <v>2.6472470000000001</v>
      </c>
      <c r="AD7266">
        <v>1.57472099999999</v>
      </c>
      <c r="AE7266">
        <v>8.1344600000000003E-2</v>
      </c>
      <c r="AF7266">
        <v>-3.6408977640931497E-2</v>
      </c>
      <c r="AG7266">
        <v>1.57472099999999</v>
      </c>
      <c r="AH7266">
        <v>1.95641498574662</v>
      </c>
      <c r="AI7266">
        <v>51.174211382514898</v>
      </c>
      <c r="AJ7266">
        <v>91.066154161366299</v>
      </c>
      <c r="AK7266">
        <v>2.5116989146686701</v>
      </c>
      <c r="AL7266">
        <v>70.6052507621378</v>
      </c>
      <c r="AM7266">
        <v>86.776833314148703</v>
      </c>
      <c r="AN7266">
        <v>1.0000000281491199</v>
      </c>
    </row>
    <row r="7267" spans="1:40" x14ac:dyDescent="0.25">
      <c r="A7267" t="str">
        <f>"20190312164208281"</f>
        <v>20190312164208281</v>
      </c>
      <c r="B7267" t="str">
        <f>"1552380128273312"</f>
        <v>1552380128273312</v>
      </c>
      <c r="C7267" t="s">
        <v>40</v>
      </c>
      <c r="D7267">
        <v>3.9749490000000001</v>
      </c>
      <c r="E7267">
        <v>0.46999410000000003</v>
      </c>
      <c r="F7267" t="s">
        <v>65</v>
      </c>
      <c r="G7267">
        <v>0</v>
      </c>
      <c r="H7267">
        <v>0</v>
      </c>
      <c r="I7267">
        <v>0</v>
      </c>
      <c r="J7267">
        <v>-90.917950000000005</v>
      </c>
      <c r="K7267">
        <v>1.113928</v>
      </c>
      <c r="L7267">
        <v>139.06559999999999</v>
      </c>
      <c r="M7267">
        <v>0.99955539999999998</v>
      </c>
      <c r="N7267">
        <v>0</v>
      </c>
      <c r="O7267">
        <v>1.392767E-2</v>
      </c>
      <c r="P7267">
        <v>0.95239169999999995</v>
      </c>
      <c r="Q7267">
        <v>0.30233649999999901</v>
      </c>
      <c r="R7267">
        <v>-3.9281749999999997E-2</v>
      </c>
      <c r="S7267">
        <v>2.6512760000000002</v>
      </c>
      <c r="T7267">
        <v>1.5733429999999999</v>
      </c>
      <c r="U7267">
        <v>9.3109129999999998E-2</v>
      </c>
      <c r="V7267">
        <v>5.1563699999999997E-2</v>
      </c>
      <c r="W7267">
        <v>0.32747999999999999</v>
      </c>
      <c r="X7267">
        <v>0.94345009999999996</v>
      </c>
      <c r="Y7267">
        <v>-2.0157290000000001E-2</v>
      </c>
      <c r="Z7267">
        <v>2.1136750000000002E-3</v>
      </c>
      <c r="AA7267">
        <v>0.99979459999999998</v>
      </c>
      <c r="AB7267">
        <v>24</v>
      </c>
      <c r="AC7267">
        <v>2.6512760000000002</v>
      </c>
      <c r="AD7267">
        <v>1.5733429999999999</v>
      </c>
      <c r="AE7267">
        <v>9.3109129999999998E-2</v>
      </c>
      <c r="AF7267">
        <v>-4.1547807366164202E-2</v>
      </c>
      <c r="AG7267">
        <v>1.5733429999999999</v>
      </c>
      <c r="AH7267">
        <v>1.9621730960361401</v>
      </c>
      <c r="AI7267">
        <v>51.282337920739103</v>
      </c>
      <c r="AJ7267">
        <v>91.213021592822699</v>
      </c>
      <c r="AK7267">
        <v>2.51540407782805</v>
      </c>
      <c r="AL7267">
        <v>70.884107636796699</v>
      </c>
      <c r="AM7267">
        <v>86.8716459247876</v>
      </c>
      <c r="AN7267">
        <v>1.0000000283738399</v>
      </c>
    </row>
    <row r="7268" spans="1:40" x14ac:dyDescent="0.25">
      <c r="A7268" t="str">
        <f>"20190312164208303"</f>
        <v>20190312164208303</v>
      </c>
      <c r="B7268" t="str">
        <f>"1552380128293809"</f>
        <v>1552380128293809</v>
      </c>
      <c r="C7268" t="s">
        <v>40</v>
      </c>
      <c r="D7268">
        <v>3.950399</v>
      </c>
      <c r="E7268">
        <v>0.4702346</v>
      </c>
      <c r="F7268" t="s">
        <v>65</v>
      </c>
      <c r="G7268">
        <v>0</v>
      </c>
      <c r="H7268">
        <v>0</v>
      </c>
      <c r="I7268">
        <v>0</v>
      </c>
      <c r="J7268">
        <v>-90.681370000000001</v>
      </c>
      <c r="K7268">
        <v>1.113939</v>
      </c>
      <c r="L7268">
        <v>139.07140000000001</v>
      </c>
      <c r="M7268">
        <v>0.99951699999999999</v>
      </c>
      <c r="N7268">
        <v>0</v>
      </c>
      <c r="O7268">
        <v>1.579183E-2</v>
      </c>
      <c r="P7268">
        <v>0.95420450000000001</v>
      </c>
      <c r="Q7268">
        <v>0.2969599</v>
      </c>
      <c r="R7268">
        <v>-3.6176E-2</v>
      </c>
      <c r="S7268">
        <v>2.6560670000000002</v>
      </c>
      <c r="T7268">
        <v>1.5688799999999901</v>
      </c>
      <c r="U7268">
        <v>0.10021969999999999</v>
      </c>
      <c r="V7268">
        <v>5.0302840000000001E-2</v>
      </c>
      <c r="W7268">
        <v>0.32252979999999998</v>
      </c>
      <c r="X7268">
        <v>0.94522169999999905</v>
      </c>
      <c r="Y7268">
        <v>-2.106533E-2</v>
      </c>
      <c r="Z7268">
        <v>2.8758640000000001E-3</v>
      </c>
      <c r="AA7268">
        <v>0.99977400000000005</v>
      </c>
      <c r="AB7268">
        <v>23</v>
      </c>
      <c r="AC7268">
        <v>2.6560670000000002</v>
      </c>
      <c r="AD7268">
        <v>1.5688799999999901</v>
      </c>
      <c r="AE7268">
        <v>0.10021969999999999</v>
      </c>
      <c r="AF7268">
        <v>-4.3197728259162203E-2</v>
      </c>
      <c r="AG7268">
        <v>1.5688799999999901</v>
      </c>
      <c r="AH7268">
        <v>1.9707136420803799</v>
      </c>
      <c r="AI7268">
        <v>51.483500076629497</v>
      </c>
      <c r="AJ7268">
        <v>91.255713246251602</v>
      </c>
      <c r="AK7268">
        <v>2.51931791507314</v>
      </c>
      <c r="AL7268">
        <v>71.184013465076404</v>
      </c>
      <c r="AM7268">
        <v>86.953704987521803</v>
      </c>
      <c r="AN7268">
        <v>0.99999995487549598</v>
      </c>
    </row>
    <row r="7269" spans="1:40" x14ac:dyDescent="0.25">
      <c r="A7269" t="str">
        <f>"20190312164208325"</f>
        <v>20190312164208325</v>
      </c>
      <c r="B7269" t="str">
        <f>"1552380128313328"</f>
        <v>1552380128313328</v>
      </c>
      <c r="C7269" t="s">
        <v>40</v>
      </c>
      <c r="D7269">
        <v>4.0322269999999998</v>
      </c>
      <c r="E7269">
        <v>0.47047020000000001</v>
      </c>
      <c r="F7269" t="s">
        <v>65</v>
      </c>
      <c r="G7269">
        <v>0</v>
      </c>
      <c r="H7269">
        <v>0</v>
      </c>
      <c r="I7269">
        <v>0</v>
      </c>
      <c r="J7269">
        <v>-90.470020000000005</v>
      </c>
      <c r="K7269">
        <v>1.113942</v>
      </c>
      <c r="L7269">
        <v>139.07679999999999</v>
      </c>
      <c r="M7269">
        <v>0.99947940000000002</v>
      </c>
      <c r="N7269">
        <v>0</v>
      </c>
      <c r="O7269">
        <v>1.7462979999999999E-2</v>
      </c>
      <c r="P7269">
        <v>0.95586360000000004</v>
      </c>
      <c r="Q7269">
        <v>0.2919042</v>
      </c>
      <c r="R7269">
        <v>-3.3421640000000002E-2</v>
      </c>
      <c r="S7269">
        <v>2.6620180000000002</v>
      </c>
      <c r="T7269">
        <v>1.561723</v>
      </c>
      <c r="U7269">
        <v>0.10691829999999999</v>
      </c>
      <c r="V7269">
        <v>4.9210110000000001E-2</v>
      </c>
      <c r="W7269">
        <v>0.31785839999999999</v>
      </c>
      <c r="X7269">
        <v>0.94686029999999999</v>
      </c>
      <c r="Y7269">
        <v>-2.1956389999999999E-2</v>
      </c>
      <c r="Z7269">
        <v>3.5248129999999999E-3</v>
      </c>
      <c r="AA7269">
        <v>0.99975270000000005</v>
      </c>
      <c r="AB7269">
        <v>23</v>
      </c>
      <c r="AC7269">
        <v>2.6620180000000002</v>
      </c>
      <c r="AD7269">
        <v>1.561723</v>
      </c>
      <c r="AE7269">
        <v>0.10691829999999999</v>
      </c>
      <c r="AF7269">
        <v>-4.49515723483341E-2</v>
      </c>
      <c r="AG7269">
        <v>1.561723</v>
      </c>
      <c r="AH7269">
        <v>1.9823072678959699</v>
      </c>
      <c r="AI7269">
        <v>51.775025313501601</v>
      </c>
      <c r="AJ7269">
        <v>91.299038798432704</v>
      </c>
      <c r="AK7269">
        <v>2.5239931610324899</v>
      </c>
      <c r="AL7269">
        <v>71.466540912497805</v>
      </c>
      <c r="AM7269">
        <v>87.024907339992893</v>
      </c>
      <c r="AN7269">
        <v>1.0000000125464299</v>
      </c>
    </row>
    <row r="7270" spans="1:40" x14ac:dyDescent="0.25">
      <c r="A7270" t="str">
        <f>"20190312164208347"</f>
        <v>20190312164208347</v>
      </c>
      <c r="B7270" t="str">
        <f>"1552380128343585"</f>
        <v>1552380128343585</v>
      </c>
      <c r="C7270" t="s">
        <v>40</v>
      </c>
      <c r="D7270">
        <v>3.9787240000000001</v>
      </c>
      <c r="E7270">
        <v>0.4710627</v>
      </c>
      <c r="F7270" t="s">
        <v>65</v>
      </c>
      <c r="G7270">
        <v>0</v>
      </c>
      <c r="H7270">
        <v>0</v>
      </c>
      <c r="I7270">
        <v>0</v>
      </c>
      <c r="J7270">
        <v>-90.241349999999997</v>
      </c>
      <c r="K7270">
        <v>1.1139319999999999</v>
      </c>
      <c r="L7270">
        <v>139.08320000000001</v>
      </c>
      <c r="M7270">
        <v>0.99943550000000003</v>
      </c>
      <c r="N7270">
        <v>0</v>
      </c>
      <c r="O7270">
        <v>1.92826E-2</v>
      </c>
      <c r="P7270">
        <v>0.95804089999999997</v>
      </c>
      <c r="Q7270">
        <v>0.28500710000000001</v>
      </c>
      <c r="R7270">
        <v>-3.0470069999999998E-2</v>
      </c>
      <c r="S7270">
        <v>2.667862</v>
      </c>
      <c r="T7270">
        <v>1.554127</v>
      </c>
      <c r="U7270">
        <v>0.1132507</v>
      </c>
      <c r="V7270">
        <v>4.8087749999999999E-2</v>
      </c>
      <c r="W7270">
        <v>0.311370599999999</v>
      </c>
      <c r="X7270">
        <v>0.94907109999999995</v>
      </c>
      <c r="Y7270">
        <v>-2.2609819999999999E-2</v>
      </c>
      <c r="Z7270">
        <v>4.3093150000000002E-3</v>
      </c>
      <c r="AA7270">
        <v>0.99973509999999999</v>
      </c>
      <c r="AB7270">
        <v>23</v>
      </c>
      <c r="AC7270">
        <v>2.667862</v>
      </c>
      <c r="AD7270">
        <v>1.554127</v>
      </c>
      <c r="AE7270">
        <v>0.1132507</v>
      </c>
      <c r="AF7270">
        <v>-4.6138091261149101E-2</v>
      </c>
      <c r="AG7270">
        <v>1.554127</v>
      </c>
      <c r="AH7270">
        <v>1.99407909084042</v>
      </c>
      <c r="AI7270">
        <v>52.075623964121696</v>
      </c>
      <c r="AJ7270">
        <v>91.3254470875778</v>
      </c>
      <c r="AK7270">
        <v>2.52859464448558</v>
      </c>
      <c r="AL7270">
        <v>71.858151696442306</v>
      </c>
      <c r="AM7270">
        <v>87.099404939273896</v>
      </c>
      <c r="AN7270">
        <v>1.00000001754981</v>
      </c>
    </row>
    <row r="7271" spans="1:40" x14ac:dyDescent="0.25">
      <c r="A7271" t="str">
        <f>"20190312164208436"</f>
        <v>20190312164208436</v>
      </c>
      <c r="B7271" t="str">
        <f>"1552380128433375"</f>
        <v>1552380128433375</v>
      </c>
      <c r="C7271" t="s">
        <v>40</v>
      </c>
      <c r="D7271">
        <v>3.9769109999999999</v>
      </c>
      <c r="E7271">
        <v>0.48022310000000001</v>
      </c>
      <c r="F7271" t="s">
        <v>65</v>
      </c>
      <c r="G7271">
        <v>0</v>
      </c>
      <c r="H7271">
        <v>0</v>
      </c>
      <c r="I7271">
        <v>0</v>
      </c>
      <c r="J7271">
        <v>-89.388090000000005</v>
      </c>
      <c r="K7271">
        <v>1.113799</v>
      </c>
      <c r="L7271">
        <v>139.1105</v>
      </c>
      <c r="M7271">
        <v>0.99924650000000004</v>
      </c>
      <c r="N7271">
        <v>0</v>
      </c>
      <c r="O7271">
        <v>2.5969619999999999E-2</v>
      </c>
      <c r="P7271">
        <v>0.96700699999999995</v>
      </c>
      <c r="Q7271">
        <v>0.25381419999999999</v>
      </c>
      <c r="R7271">
        <v>-2.182193E-2</v>
      </c>
      <c r="S7271">
        <v>2.677505</v>
      </c>
      <c r="T7271">
        <v>1.5383599999999999</v>
      </c>
      <c r="U7271">
        <v>0.117981</v>
      </c>
      <c r="V7271">
        <v>4.6288719999999998E-2</v>
      </c>
      <c r="W7271">
        <v>0.28168559999999998</v>
      </c>
      <c r="X7271">
        <v>0.95838959999999995</v>
      </c>
      <c r="Y7271">
        <v>-1.910241E-2</v>
      </c>
      <c r="Z7271">
        <v>8.7608559999999992E-3</v>
      </c>
      <c r="AA7271">
        <v>0.99977919999999998</v>
      </c>
      <c r="AB7271">
        <v>22</v>
      </c>
      <c r="AC7271">
        <v>2.677505</v>
      </c>
      <c r="AD7271">
        <v>1.5383599999999999</v>
      </c>
      <c r="AE7271">
        <v>0.117981</v>
      </c>
      <c r="AF7271">
        <v>-3.6389331295448801E-2</v>
      </c>
      <c r="AG7271">
        <v>1.5383599999999999</v>
      </c>
      <c r="AH7271">
        <v>2.0155933319206798</v>
      </c>
      <c r="AI7271">
        <v>52.6525661679904</v>
      </c>
      <c r="AJ7271">
        <v>91.034300217188303</v>
      </c>
      <c r="AK7271">
        <v>2.5358415078066798</v>
      </c>
      <c r="AL7271">
        <v>73.639168032865001</v>
      </c>
      <c r="AM7271">
        <v>87.234852172791904</v>
      </c>
      <c r="AN7271">
        <v>1.0000000241173701</v>
      </c>
    </row>
    <row r="7272" spans="1:40" x14ac:dyDescent="0.25">
      <c r="A7272" t="str">
        <f>"20190312164208459"</f>
        <v>20190312164208459</v>
      </c>
      <c r="B7272" t="str">
        <f>"1552380128453872"</f>
        <v>1552380128453872</v>
      </c>
      <c r="C7272" t="s">
        <v>40</v>
      </c>
      <c r="D7272">
        <v>4.1915310000000003</v>
      </c>
      <c r="E7272">
        <v>0.48401070000000002</v>
      </c>
      <c r="F7272" t="s">
        <v>65</v>
      </c>
      <c r="G7272">
        <v>0</v>
      </c>
      <c r="H7272">
        <v>0</v>
      </c>
      <c r="I7272">
        <v>0</v>
      </c>
      <c r="J7272">
        <v>-89.179090000000002</v>
      </c>
      <c r="K7272">
        <v>1.113794</v>
      </c>
      <c r="L7272">
        <v>139.11799999999999</v>
      </c>
      <c r="M7272">
        <v>0.99918910000000005</v>
      </c>
      <c r="N7272">
        <v>0</v>
      </c>
      <c r="O7272">
        <v>2.7514549999999999E-2</v>
      </c>
      <c r="P7272">
        <v>0.96913680000000002</v>
      </c>
      <c r="Q7272">
        <v>0.24569479999999999</v>
      </c>
      <c r="R7272">
        <v>-2.0201239999999999E-2</v>
      </c>
      <c r="S7272">
        <v>3.0653380000000001</v>
      </c>
      <c r="T7272">
        <v>0.15070439999999999</v>
      </c>
      <c r="U7272">
        <v>0.1122894</v>
      </c>
      <c r="V7272">
        <v>4.6285659999999999E-2</v>
      </c>
      <c r="W7272">
        <v>0.27414840000000001</v>
      </c>
      <c r="X7272">
        <v>0.96057289999999995</v>
      </c>
      <c r="Y7272">
        <v>-9.1077659999999998E-3</v>
      </c>
      <c r="Z7272">
        <v>1.128067E-3</v>
      </c>
      <c r="AA7272">
        <v>0.99995789999999996</v>
      </c>
      <c r="AB7272">
        <v>21</v>
      </c>
      <c r="AC7272">
        <v>3.0653380000000001</v>
      </c>
      <c r="AD7272">
        <v>0.15070439999999999</v>
      </c>
      <c r="AE7272">
        <v>0.1122894</v>
      </c>
      <c r="AF7272">
        <v>-2.7801882193038301E-2</v>
      </c>
      <c r="AG7272">
        <v>0.15070439999999999</v>
      </c>
      <c r="AH7272">
        <v>3.0598812605257502</v>
      </c>
      <c r="AI7272">
        <v>87.180479205125394</v>
      </c>
      <c r="AJ7272">
        <v>90.520571402729004</v>
      </c>
      <c r="AK7272">
        <v>3.0637163852663498</v>
      </c>
      <c r="AL7272">
        <v>74.088729230379897</v>
      </c>
      <c r="AM7272">
        <v>87.241309494513203</v>
      </c>
      <c r="AN7272">
        <v>1.0000000018793</v>
      </c>
    </row>
    <row r="7273" spans="1:40" x14ac:dyDescent="0.25">
      <c r="A7273" t="str">
        <f>"20190312164208481"</f>
        <v>20190312164208481</v>
      </c>
      <c r="B7273" t="str">
        <f>"1552380128473392"</f>
        <v>1552380128473392</v>
      </c>
      <c r="C7273" t="s">
        <v>40</v>
      </c>
      <c r="D7273">
        <v>4.1857490000000004</v>
      </c>
      <c r="E7273">
        <v>0.48655159999999997</v>
      </c>
      <c r="F7273" t="s">
        <v>65</v>
      </c>
      <c r="G7273">
        <v>0</v>
      </c>
      <c r="H7273">
        <v>0</v>
      </c>
      <c r="I7273">
        <v>0</v>
      </c>
      <c r="J7273">
        <v>-88.982419999999905</v>
      </c>
      <c r="K7273">
        <v>1.113775</v>
      </c>
      <c r="L7273">
        <v>139.12530000000001</v>
      </c>
      <c r="M7273">
        <v>0.99913390000000002</v>
      </c>
      <c r="N7273">
        <v>0</v>
      </c>
      <c r="O7273">
        <v>2.8941720000000001E-2</v>
      </c>
      <c r="P7273">
        <v>0.9711959</v>
      </c>
      <c r="Q7273">
        <v>0.2374937</v>
      </c>
      <c r="R7273">
        <v>-1.9367539999999999E-2</v>
      </c>
      <c r="S7273">
        <v>3.0957490000000001</v>
      </c>
      <c r="T7273">
        <v>6.7998169999999997E-3</v>
      </c>
      <c r="U7273">
        <v>9.2025759999999998E-2</v>
      </c>
      <c r="V7273">
        <v>4.6956070000000003E-2</v>
      </c>
      <c r="W7273">
        <v>0.26648490000000002</v>
      </c>
      <c r="X7273">
        <v>0.96269459999999996</v>
      </c>
      <c r="Y7273">
        <v>-7.5910140000000001E-4</v>
      </c>
      <c r="Z7273" s="1">
        <v>6.2737829999999996E-5</v>
      </c>
      <c r="AA7273">
        <v>0.99999970000000005</v>
      </c>
      <c r="AB7273">
        <v>20</v>
      </c>
      <c r="AC7273">
        <v>3.0957490000000001</v>
      </c>
      <c r="AD7273">
        <v>6.7998169999999997E-3</v>
      </c>
      <c r="AE7273">
        <v>9.2025759999999998E-2</v>
      </c>
      <c r="AF7273">
        <v>-2.3507952510393101E-3</v>
      </c>
      <c r="AG7273">
        <v>6.7998169999999997E-3</v>
      </c>
      <c r="AH7273">
        <v>3.0971006782008899</v>
      </c>
      <c r="AI7273">
        <v>89.874204903939798</v>
      </c>
      <c r="AJ7273">
        <v>90.043489261251807</v>
      </c>
      <c r="AK7273">
        <v>3.0971090349973101</v>
      </c>
      <c r="AL7273">
        <v>74.544795257663196</v>
      </c>
      <c r="AM7273">
        <v>87.207573263596501</v>
      </c>
      <c r="AN7273">
        <v>0.99999998365350695</v>
      </c>
    </row>
    <row r="7274" spans="1:40" x14ac:dyDescent="0.25">
      <c r="A7274" t="str">
        <f>"20190312164208503"</f>
        <v>20190312164208503</v>
      </c>
      <c r="B7274" t="str">
        <f>"1552380128493889"</f>
        <v>1552380128493889</v>
      </c>
      <c r="C7274" t="s">
        <v>40</v>
      </c>
      <c r="D7274">
        <v>4.1473779999999998</v>
      </c>
      <c r="E7274">
        <v>0.48772359999999998</v>
      </c>
      <c r="F7274" t="s">
        <v>41</v>
      </c>
      <c r="G7274">
        <v>-53.611849999999997</v>
      </c>
      <c r="H7274" s="1">
        <v>-2.8274459999999998E-6</v>
      </c>
      <c r="I7274">
        <v>140.00980000000001</v>
      </c>
      <c r="J7274">
        <v>-88.786590000000004</v>
      </c>
      <c r="K7274">
        <v>1.1136900000000001</v>
      </c>
      <c r="L7274">
        <v>139.1328</v>
      </c>
      <c r="M7274">
        <v>0.99908699999999995</v>
      </c>
      <c r="N7274">
        <v>0</v>
      </c>
      <c r="O7274">
        <v>3.0356859999999999E-2</v>
      </c>
      <c r="P7274">
        <v>0.97288940000000002</v>
      </c>
      <c r="Q7274">
        <v>0.23045679999999999</v>
      </c>
      <c r="R7274">
        <v>-1.9390290000000001E-2</v>
      </c>
      <c r="S7274">
        <v>3.1145170000000002</v>
      </c>
      <c r="T7274">
        <v>-9.8072409999999999E-2</v>
      </c>
      <c r="U7274">
        <v>7.7880859999999996E-2</v>
      </c>
      <c r="V7274">
        <v>4.8449220000000001E-2</v>
      </c>
      <c r="W7274">
        <v>0.2596561</v>
      </c>
      <c r="X7274">
        <v>0.96448500000000004</v>
      </c>
      <c r="Y7274">
        <v>5.3569940000000003E-3</v>
      </c>
      <c r="Z7274">
        <v>-1.040055E-3</v>
      </c>
      <c r="AA7274">
        <v>0.99998509999999996</v>
      </c>
      <c r="AB7274">
        <v>20</v>
      </c>
      <c r="AC7274">
        <v>35.17474</v>
      </c>
      <c r="AD7274">
        <v>-1.1136928274460001</v>
      </c>
      <c r="AE7274">
        <v>0.87700000000000899</v>
      </c>
      <c r="AF7274">
        <v>0.191490140010112</v>
      </c>
      <c r="AG7274">
        <v>-1.1136928274460001</v>
      </c>
      <c r="AH7274">
        <v>35.149934480468801</v>
      </c>
      <c r="AI7274">
        <v>91.814729218223505</v>
      </c>
      <c r="AJ7274">
        <v>89.687866607303704</v>
      </c>
      <c r="AK7274">
        <v>35.168094548452203</v>
      </c>
      <c r="AL7274">
        <v>74.950342158938398</v>
      </c>
      <c r="AM7274">
        <v>87.1242637863797</v>
      </c>
      <c r="AN7274">
        <v>0.99999996620540799</v>
      </c>
    </row>
    <row r="7275" spans="1:40" x14ac:dyDescent="0.25">
      <c r="A7275" t="str">
        <f>"20190312164208526"</f>
        <v>20190312164208526</v>
      </c>
      <c r="B7275" t="str">
        <f>"1552380128513409"</f>
        <v>1552380128513409</v>
      </c>
      <c r="C7275" t="s">
        <v>40</v>
      </c>
      <c r="D7275">
        <v>4.1570260000000001</v>
      </c>
      <c r="E7275">
        <v>0.48800850000000001</v>
      </c>
      <c r="F7275" t="s">
        <v>41</v>
      </c>
      <c r="G7275">
        <v>-67.741529999999997</v>
      </c>
      <c r="H7275" s="1">
        <v>-9.517985E-7</v>
      </c>
      <c r="I7275">
        <v>139.613</v>
      </c>
      <c r="J7275">
        <v>-88.592529999999996</v>
      </c>
      <c r="K7275">
        <v>1.113564</v>
      </c>
      <c r="L7275">
        <v>139.1405</v>
      </c>
      <c r="M7275">
        <v>0.99904780000000004</v>
      </c>
      <c r="N7275">
        <v>0</v>
      </c>
      <c r="O7275">
        <v>3.1715769999999997E-2</v>
      </c>
      <c r="P7275">
        <v>0.97391499999999998</v>
      </c>
      <c r="Q7275">
        <v>0.22603329999999999</v>
      </c>
      <c r="R7275">
        <v>-1.996442E-2</v>
      </c>
      <c r="S7275">
        <v>3.1241759999999998</v>
      </c>
      <c r="T7275">
        <v>-0.16532910000000001</v>
      </c>
      <c r="U7275">
        <v>7.1289060000000001E-2</v>
      </c>
      <c r="V7275">
        <v>5.0406989999999999E-2</v>
      </c>
      <c r="W7275">
        <v>0.25516870000000003</v>
      </c>
      <c r="X7275">
        <v>0.96558169999999999</v>
      </c>
      <c r="Y7275">
        <v>8.8639180000000001E-3</v>
      </c>
      <c r="Z7275">
        <v>-1.9117159999999999E-3</v>
      </c>
      <c r="AA7275">
        <v>0.99995889999999998</v>
      </c>
      <c r="AB7275">
        <v>20</v>
      </c>
      <c r="AC7275">
        <v>20.850999999999999</v>
      </c>
      <c r="AD7275">
        <v>-1.1135649517985</v>
      </c>
      <c r="AE7275">
        <v>0.47249999999999598</v>
      </c>
      <c r="AF7275">
        <v>0.188802208144455</v>
      </c>
      <c r="AG7275">
        <v>-1.1135649517985</v>
      </c>
      <c r="AH7275">
        <v>20.796209315897698</v>
      </c>
      <c r="AI7275">
        <v>93.064937222746195</v>
      </c>
      <c r="AJ7275">
        <v>89.479844026567505</v>
      </c>
      <c r="AK7275">
        <v>20.8268575422771</v>
      </c>
      <c r="AL7275">
        <v>75.216417973119505</v>
      </c>
      <c r="AM7275">
        <v>87.011657865248097</v>
      </c>
      <c r="AN7275">
        <v>0.99999997473771896</v>
      </c>
    </row>
    <row r="7276" spans="1:40" x14ac:dyDescent="0.25">
      <c r="A7276" t="str">
        <f>"20190312164208549"</f>
        <v>20190312164208549</v>
      </c>
      <c r="B7276" t="str">
        <f>"1552380128543664"</f>
        <v>1552380128543664</v>
      </c>
      <c r="C7276" t="s">
        <v>40</v>
      </c>
      <c r="D7276">
        <v>4.2657699999999998</v>
      </c>
      <c r="E7276">
        <v>0.48814970000000002</v>
      </c>
      <c r="F7276" t="s">
        <v>41</v>
      </c>
      <c r="G7276">
        <v>-71.74821</v>
      </c>
      <c r="H7276" s="1">
        <v>-3.542063E-6</v>
      </c>
      <c r="I7276">
        <v>139.505</v>
      </c>
      <c r="J7276">
        <v>-88.388750000000002</v>
      </c>
      <c r="K7276">
        <v>1.1134649999999999</v>
      </c>
      <c r="L7276">
        <v>139.14879999999999</v>
      </c>
      <c r="M7276">
        <v>0.99900580000000005</v>
      </c>
      <c r="N7276">
        <v>0</v>
      </c>
      <c r="O7276">
        <v>3.3087560000000002E-2</v>
      </c>
      <c r="P7276">
        <v>0.97479139999999997</v>
      </c>
      <c r="Q7276">
        <v>0.22212960000000001</v>
      </c>
      <c r="R7276">
        <v>-2.0985029999999998E-2</v>
      </c>
      <c r="S7276">
        <v>3.1297609999999998</v>
      </c>
      <c r="T7276">
        <v>-0.20690629999999999</v>
      </c>
      <c r="U7276">
        <v>6.7733760000000004E-2</v>
      </c>
      <c r="V7276">
        <v>5.282676E-2</v>
      </c>
      <c r="W7276">
        <v>0.25120710000000002</v>
      </c>
      <c r="X7276">
        <v>0.96649070000000004</v>
      </c>
      <c r="Y7276">
        <v>1.137268E-2</v>
      </c>
      <c r="Z7276">
        <v>-2.560704E-3</v>
      </c>
      <c r="AA7276">
        <v>0.99993209999999999</v>
      </c>
      <c r="AB7276">
        <v>20</v>
      </c>
      <c r="AC7276">
        <v>16.640539999999898</v>
      </c>
      <c r="AD7276">
        <v>-1.1134685420629999</v>
      </c>
      <c r="AE7276">
        <v>0.35620000000000102</v>
      </c>
      <c r="AF7276">
        <v>0.19396791231999999</v>
      </c>
      <c r="AG7276">
        <v>-1.1134685420629999</v>
      </c>
      <c r="AH7276">
        <v>16.569059985799999</v>
      </c>
      <c r="AI7276">
        <v>93.844329061632905</v>
      </c>
      <c r="AJ7276">
        <v>89.329289947527499</v>
      </c>
      <c r="AK7276">
        <v>16.6075640765951</v>
      </c>
      <c r="AL7276">
        <v>75.451045967040798</v>
      </c>
      <c r="AM7276">
        <v>86.871421925310301</v>
      </c>
      <c r="AN7276">
        <v>0.99999997342449798</v>
      </c>
    </row>
    <row r="7277" spans="1:40" x14ac:dyDescent="0.25">
      <c r="A7277" t="str">
        <f>"20190312164208570"</f>
        <v>20190312164208570</v>
      </c>
      <c r="B7277" t="str">
        <f>"1552380128563184"</f>
        <v>1552380128563184</v>
      </c>
      <c r="C7277" t="s">
        <v>40</v>
      </c>
      <c r="D7277">
        <v>4.4724349999999999</v>
      </c>
      <c r="E7277">
        <v>0.48885119999999999</v>
      </c>
      <c r="F7277" t="s">
        <v>41</v>
      </c>
      <c r="G7277">
        <v>-74.018680000000003</v>
      </c>
      <c r="H7277" s="1">
        <v>-2.578155E-6</v>
      </c>
      <c r="I7277">
        <v>139.44799999999901</v>
      </c>
      <c r="J7277">
        <v>-88.206950000000006</v>
      </c>
      <c r="K7277">
        <v>1.113405</v>
      </c>
      <c r="L7277">
        <v>139.15639999999999</v>
      </c>
      <c r="M7277">
        <v>0.99896399999999996</v>
      </c>
      <c r="N7277">
        <v>0</v>
      </c>
      <c r="O7277">
        <v>3.4296260000000002E-2</v>
      </c>
      <c r="P7277">
        <v>0.97565109999999999</v>
      </c>
      <c r="Q7277">
        <v>0.2182577</v>
      </c>
      <c r="R7277">
        <v>-2.1651670000000001E-2</v>
      </c>
      <c r="S7277">
        <v>3.1343230000000002</v>
      </c>
      <c r="T7277">
        <v>-0.2428633</v>
      </c>
      <c r="U7277">
        <v>6.5261840000000002E-2</v>
      </c>
      <c r="V7277">
        <v>5.4741669999999999E-2</v>
      </c>
      <c r="W7277">
        <v>0.2473918</v>
      </c>
      <c r="X7277">
        <v>0.96736789999999995</v>
      </c>
      <c r="Y7277">
        <v>1.335651E-2</v>
      </c>
      <c r="Z7277">
        <v>-3.17038E-3</v>
      </c>
      <c r="AA7277">
        <v>0.99990579999999996</v>
      </c>
      <c r="AB7277">
        <v>19</v>
      </c>
      <c r="AC7277">
        <v>14.188269999999999</v>
      </c>
      <c r="AD7277">
        <v>-1.1134075781549999</v>
      </c>
      <c r="AE7277">
        <v>0.29159999999998798</v>
      </c>
      <c r="AF7277">
        <v>0.19419872519936099</v>
      </c>
      <c r="AG7277">
        <v>-1.1134075781549999</v>
      </c>
      <c r="AH7277">
        <v>14.103108746388401</v>
      </c>
      <c r="AI7277">
        <v>94.513579518688402</v>
      </c>
      <c r="AJ7277">
        <v>89.211091372185095</v>
      </c>
      <c r="AK7277">
        <v>14.148323783841599</v>
      </c>
      <c r="AL7277">
        <v>75.676774199220105</v>
      </c>
      <c r="AM7277">
        <v>86.761185506865601</v>
      </c>
      <c r="AN7277">
        <v>1.0000000035460099</v>
      </c>
    </row>
    <row r="7278" spans="1:40" x14ac:dyDescent="0.25">
      <c r="A7278" t="str">
        <f>"20190312164208592"</f>
        <v>20190312164208592</v>
      </c>
      <c r="B7278" t="str">
        <f>"1552380128583680"</f>
        <v>1552380128583680</v>
      </c>
      <c r="C7278" t="s">
        <v>40</v>
      </c>
      <c r="D7278">
        <v>4.1980700000000004</v>
      </c>
      <c r="E7278">
        <v>0.48954219999999998</v>
      </c>
      <c r="F7278" t="s">
        <v>41</v>
      </c>
      <c r="G7278">
        <v>-74.600849999999994</v>
      </c>
      <c r="H7278" s="1">
        <v>-2.3343050000000002E-6</v>
      </c>
      <c r="I7278">
        <v>139.41470000000001</v>
      </c>
      <c r="J7278">
        <v>-88.028459999999995</v>
      </c>
      <c r="K7278">
        <v>1.1133569999999999</v>
      </c>
      <c r="L7278">
        <v>139.16399999999999</v>
      </c>
      <c r="M7278">
        <v>0.99892029999999998</v>
      </c>
      <c r="N7278">
        <v>0</v>
      </c>
      <c r="O7278">
        <v>3.5471999999999997E-2</v>
      </c>
      <c r="P7278">
        <v>0.97684300000000002</v>
      </c>
      <c r="Q7278">
        <v>0.21282590000000001</v>
      </c>
      <c r="R7278">
        <v>-2.1970369999999999E-2</v>
      </c>
      <c r="S7278">
        <v>3.1335600000000001</v>
      </c>
      <c r="T7278">
        <v>-0.25642310000000001</v>
      </c>
      <c r="U7278">
        <v>5.9509279999999998E-2</v>
      </c>
      <c r="V7278">
        <v>5.6290819999999998E-2</v>
      </c>
      <c r="W7278">
        <v>0.24207219999999999</v>
      </c>
      <c r="X7278">
        <v>0.96862400000000004</v>
      </c>
      <c r="Y7278">
        <v>1.6332929999999999E-2</v>
      </c>
      <c r="Z7278">
        <v>-3.5653149999999999E-3</v>
      </c>
      <c r="AA7278">
        <v>0.99986019999999998</v>
      </c>
      <c r="AB7278">
        <v>19</v>
      </c>
      <c r="AC7278">
        <v>13.42761</v>
      </c>
      <c r="AD7278">
        <v>-1.1133593343049999</v>
      </c>
      <c r="AE7278">
        <v>0.25070000000002302</v>
      </c>
      <c r="AF7278">
        <v>0.22443412289346601</v>
      </c>
      <c r="AG7278">
        <v>-1.1133593343049999</v>
      </c>
      <c r="AH7278">
        <v>13.336392958722801</v>
      </c>
      <c r="AI7278">
        <v>94.771473457361694</v>
      </c>
      <c r="AJ7278">
        <v>89.035877666234697</v>
      </c>
      <c r="AK7278">
        <v>13.3846672290451</v>
      </c>
      <c r="AL7278">
        <v>75.991124809542995</v>
      </c>
      <c r="AM7278">
        <v>86.674041795507804</v>
      </c>
      <c r="AN7278">
        <v>1.00000002990255</v>
      </c>
    </row>
    <row r="7279" spans="1:40" x14ac:dyDescent="0.25">
      <c r="A7279" t="str">
        <f>"20190312164208614"</f>
        <v>20190312164208614</v>
      </c>
      <c r="B7279" t="str">
        <f>"1552380128603200"</f>
        <v>1552380128603200</v>
      </c>
      <c r="C7279" t="s">
        <v>40</v>
      </c>
      <c r="D7279">
        <v>4.2023830000000002</v>
      </c>
      <c r="E7279">
        <v>0.48987740000000002</v>
      </c>
      <c r="F7279" t="s">
        <v>41</v>
      </c>
      <c r="G7279">
        <v>-75.115169999999907</v>
      </c>
      <c r="H7279" s="1">
        <v>-2.1197120000000001E-6</v>
      </c>
      <c r="I7279">
        <v>139.38059999999999</v>
      </c>
      <c r="J7279">
        <v>-87.847030000000004</v>
      </c>
      <c r="K7279">
        <v>1.113316</v>
      </c>
      <c r="L7279">
        <v>139.17189999999999</v>
      </c>
      <c r="M7279">
        <v>0.99887689999999996</v>
      </c>
      <c r="N7279">
        <v>0</v>
      </c>
      <c r="O7279">
        <v>3.6626440000000003E-2</v>
      </c>
      <c r="P7279">
        <v>0.97798810000000003</v>
      </c>
      <c r="Q7279">
        <v>0.2074887</v>
      </c>
      <c r="R7279">
        <v>-2.209467E-2</v>
      </c>
      <c r="S7279">
        <v>3.131119</v>
      </c>
      <c r="T7279">
        <v>-0.26995859999999999</v>
      </c>
      <c r="U7279">
        <v>5.2536010000000001E-2</v>
      </c>
      <c r="V7279">
        <v>5.7614800000000001E-2</v>
      </c>
      <c r="W7279">
        <v>0.23682539999999999</v>
      </c>
      <c r="X7279">
        <v>0.96984239999999999</v>
      </c>
      <c r="Y7279">
        <v>1.9664040000000001E-2</v>
      </c>
      <c r="Z7279">
        <v>-3.9985089999999999E-3</v>
      </c>
      <c r="AA7279">
        <v>0.99979870000000004</v>
      </c>
      <c r="AB7279">
        <v>19</v>
      </c>
      <c r="AC7279">
        <v>12.731859999999999</v>
      </c>
      <c r="AD7279">
        <v>-1.1133181197119999</v>
      </c>
      <c r="AE7279">
        <v>0.208699999999993</v>
      </c>
      <c r="AF7279">
        <v>0.25601658626794499</v>
      </c>
      <c r="AG7279">
        <v>-1.1133181197119999</v>
      </c>
      <c r="AH7279">
        <v>12.6343758709352</v>
      </c>
      <c r="AI7279">
        <v>95.034764060621498</v>
      </c>
      <c r="AJ7279">
        <v>88.839146244647395</v>
      </c>
      <c r="AK7279">
        <v>12.6859164184616</v>
      </c>
      <c r="AL7279">
        <v>76.300751793014598</v>
      </c>
      <c r="AM7279">
        <v>86.600262293014197</v>
      </c>
      <c r="AN7279">
        <v>1.0000000080509699</v>
      </c>
    </row>
    <row r="7280" spans="1:40" x14ac:dyDescent="0.25">
      <c r="A7280" t="str">
        <f>"20190312164208637"</f>
        <v>20190312164208637</v>
      </c>
      <c r="B7280" t="str">
        <f>"1552380128633456"</f>
        <v>1552380128633456</v>
      </c>
      <c r="C7280" t="s">
        <v>40</v>
      </c>
      <c r="D7280">
        <v>4.2581199999999999</v>
      </c>
      <c r="E7280">
        <v>0.4899443</v>
      </c>
      <c r="F7280" t="s">
        <v>41</v>
      </c>
      <c r="G7280">
        <v>-75.645359999999997</v>
      </c>
      <c r="H7280" s="1">
        <v>-1.8940979999999999E-6</v>
      </c>
      <c r="I7280">
        <v>139.37029999999999</v>
      </c>
      <c r="J7280">
        <v>-87.669280000000001</v>
      </c>
      <c r="K7280">
        <v>1.113281</v>
      </c>
      <c r="L7280">
        <v>139.1798</v>
      </c>
      <c r="M7280">
        <v>0.99883599999999995</v>
      </c>
      <c r="N7280">
        <v>0</v>
      </c>
      <c r="O7280">
        <v>3.7700459999999998E-2</v>
      </c>
      <c r="P7280">
        <v>0.97875179999999995</v>
      </c>
      <c r="Q7280">
        <v>0.20379749999999999</v>
      </c>
      <c r="R7280">
        <v>-2.261645E-2</v>
      </c>
      <c r="S7280">
        <v>3.129257</v>
      </c>
      <c r="T7280">
        <v>-0.2855222</v>
      </c>
      <c r="U7280">
        <v>5.0888059999999999E-2</v>
      </c>
      <c r="V7280">
        <v>5.923556E-2</v>
      </c>
      <c r="W7280">
        <v>0.2331791</v>
      </c>
      <c r="X7280">
        <v>0.97062800000000005</v>
      </c>
      <c r="Y7280">
        <v>2.1219579999999998E-2</v>
      </c>
      <c r="Z7280">
        <v>-4.3992179999999999E-3</v>
      </c>
      <c r="AA7280">
        <v>0.99976520000000002</v>
      </c>
      <c r="AB7280">
        <v>18</v>
      </c>
      <c r="AC7280">
        <v>12.02392</v>
      </c>
      <c r="AD7280">
        <v>-1.113282894098</v>
      </c>
      <c r="AE7280">
        <v>0.19049999999998499</v>
      </c>
      <c r="AF7280">
        <v>0.26091203475902702</v>
      </c>
      <c r="AG7280">
        <v>-1.113282894098</v>
      </c>
      <c r="AH7280">
        <v>11.920384914195999</v>
      </c>
      <c r="AI7280">
        <v>95.334289107486001</v>
      </c>
      <c r="AJ7280">
        <v>88.746116679070099</v>
      </c>
      <c r="AK7280">
        <v>11.9751012686643</v>
      </c>
      <c r="AL7280">
        <v>76.515689178823493</v>
      </c>
      <c r="AM7280">
        <v>86.507680106616803</v>
      </c>
      <c r="AN7280">
        <v>1.00000002931466</v>
      </c>
    </row>
    <row r="7281" spans="1:40" x14ac:dyDescent="0.25">
      <c r="A7281" t="str">
        <f>"20190312164208660"</f>
        <v>20190312164208660</v>
      </c>
      <c r="B7281" t="str">
        <f>"1552380128652976"</f>
        <v>1552380128652976</v>
      </c>
      <c r="C7281" t="s">
        <v>40</v>
      </c>
      <c r="D7281">
        <v>4.5554290000000002</v>
      </c>
      <c r="E7281">
        <v>0.49008879999999999</v>
      </c>
      <c r="F7281" t="s">
        <v>41</v>
      </c>
      <c r="G7281">
        <v>-75.938059999999993</v>
      </c>
      <c r="H7281" s="1">
        <v>-1.768741E-6</v>
      </c>
      <c r="I7281">
        <v>139.3691</v>
      </c>
      <c r="J7281">
        <v>-87.492769999999993</v>
      </c>
      <c r="K7281">
        <v>1.113251</v>
      </c>
      <c r="L7281">
        <v>139.18790000000001</v>
      </c>
      <c r="M7281">
        <v>0.9987954</v>
      </c>
      <c r="N7281">
        <v>0</v>
      </c>
      <c r="O7281">
        <v>3.8725450000000002E-2</v>
      </c>
      <c r="P7281">
        <v>0.97939399999999999</v>
      </c>
      <c r="Q7281">
        <v>0.2006174</v>
      </c>
      <c r="R7281">
        <v>-2.3241390000000001E-2</v>
      </c>
      <c r="S7281">
        <v>3.1281129999999999</v>
      </c>
      <c r="T7281">
        <v>-0.29685470000000003</v>
      </c>
      <c r="U7281">
        <v>5.0476069999999998E-2</v>
      </c>
      <c r="V7281">
        <v>6.0910369999999998E-2</v>
      </c>
      <c r="W7281">
        <v>0.23006009999999999</v>
      </c>
      <c r="X7281">
        <v>0.97126840000000003</v>
      </c>
      <c r="Y7281">
        <v>2.2341679999999999E-2</v>
      </c>
      <c r="Z7281">
        <v>-4.7248790000000004E-3</v>
      </c>
      <c r="AA7281">
        <v>0.99973920000000005</v>
      </c>
      <c r="AB7281">
        <v>18</v>
      </c>
      <c r="AC7281">
        <v>11.55471</v>
      </c>
      <c r="AD7281">
        <v>-1.1132527687410001</v>
      </c>
      <c r="AE7281">
        <v>0.18119999999998901</v>
      </c>
      <c r="AF7281">
        <v>0.26414930535197201</v>
      </c>
      <c r="AG7281">
        <v>-1.1132527687410001</v>
      </c>
      <c r="AH7281">
        <v>11.446824906055101</v>
      </c>
      <c r="AI7281">
        <v>95.553321711327797</v>
      </c>
      <c r="AJ7281">
        <v>88.678065325164198</v>
      </c>
      <c r="AK7281">
        <v>11.503864872837701</v>
      </c>
      <c r="AL7281">
        <v>76.699390077111403</v>
      </c>
      <c r="AM7281">
        <v>86.411555407950004</v>
      </c>
      <c r="AN7281">
        <v>1.0000000138120499</v>
      </c>
    </row>
    <row r="7282" spans="1:40" x14ac:dyDescent="0.25">
      <c r="A7282" t="str">
        <f>"20190312164208682"</f>
        <v>20190312164208682</v>
      </c>
      <c r="B7282" t="str">
        <f>"1552380128673473"</f>
        <v>1552380128673473</v>
      </c>
      <c r="C7282" t="s">
        <v>40</v>
      </c>
      <c r="D7282">
        <v>4.2876190000000003</v>
      </c>
      <c r="E7282">
        <v>0.49022290000000002</v>
      </c>
      <c r="F7282" t="s">
        <v>42</v>
      </c>
      <c r="G7282">
        <v>-86.627470000000002</v>
      </c>
      <c r="H7282">
        <v>1.02922</v>
      </c>
      <c r="I7282">
        <v>139.2013</v>
      </c>
      <c r="J7282">
        <v>-87.327939999999998</v>
      </c>
      <c r="K7282">
        <v>1.1132249999999999</v>
      </c>
      <c r="L7282">
        <v>139.19550000000001</v>
      </c>
      <c r="M7282">
        <v>0.99875530000000001</v>
      </c>
      <c r="N7282">
        <v>0</v>
      </c>
      <c r="O7282">
        <v>3.9677770000000001E-2</v>
      </c>
      <c r="P7282">
        <v>0.97996289999999997</v>
      </c>
      <c r="Q7282">
        <v>0.19777239999999999</v>
      </c>
      <c r="R7282">
        <v>-2.3641240000000001E-2</v>
      </c>
      <c r="S7282">
        <v>3.1264799999999999</v>
      </c>
      <c r="T7282">
        <v>-0.30365589999999998</v>
      </c>
      <c r="U7282">
        <v>4.8583979999999999E-2</v>
      </c>
      <c r="V7282">
        <v>6.2290570000000003E-2</v>
      </c>
      <c r="W7282">
        <v>0.22731670000000001</v>
      </c>
      <c r="X7282">
        <v>0.97182659999999998</v>
      </c>
      <c r="Y7282">
        <v>2.386682E-2</v>
      </c>
      <c r="Z7282">
        <v>-5.0013130000000003E-3</v>
      </c>
      <c r="AA7282">
        <v>0.9997026</v>
      </c>
      <c r="AB7282">
        <v>17</v>
      </c>
      <c r="AC7282">
        <v>0.70046999999999504</v>
      </c>
      <c r="AD7282">
        <v>-8.4004999999999802E-2</v>
      </c>
      <c r="AE7282">
        <v>5.7999999999935803E-3</v>
      </c>
      <c r="AF7282">
        <v>2.1698310358689001E-2</v>
      </c>
      <c r="AG7282">
        <v>-8.4004999999999802E-2</v>
      </c>
      <c r="AH7282">
        <v>0.69022176952036296</v>
      </c>
      <c r="AI7282">
        <v>96.935791055230297</v>
      </c>
      <c r="AJ7282">
        <v>88.199401469949095</v>
      </c>
      <c r="AK7282">
        <v>0.69565346819896101</v>
      </c>
      <c r="AL7282">
        <v>76.860853628110405</v>
      </c>
      <c r="AM7282">
        <v>86.332564644235305</v>
      </c>
      <c r="AN7282">
        <v>0.99999996883868603</v>
      </c>
    </row>
    <row r="7283" spans="1:40" x14ac:dyDescent="0.25">
      <c r="A7283" t="str">
        <f>"20190312164208704"</f>
        <v>20190312164208704</v>
      </c>
      <c r="B7283" t="str">
        <f>"1552380128692992"</f>
        <v>1552380128692992</v>
      </c>
      <c r="C7283" t="s">
        <v>40</v>
      </c>
      <c r="D7283">
        <v>4.3079369999999999</v>
      </c>
      <c r="E7283">
        <v>0.49020419999999998</v>
      </c>
      <c r="F7283" t="s">
        <v>42</v>
      </c>
      <c r="G7283">
        <v>-86.478290000000001</v>
      </c>
      <c r="H7283">
        <v>1.028913</v>
      </c>
      <c r="I7283">
        <v>139.20820000000001</v>
      </c>
      <c r="J7283">
        <v>-87.15907</v>
      </c>
      <c r="K7283">
        <v>1.11321</v>
      </c>
      <c r="L7283">
        <v>139.20339999999999</v>
      </c>
      <c r="M7283">
        <v>0.99871180000000004</v>
      </c>
      <c r="N7283">
        <v>0</v>
      </c>
      <c r="O7283">
        <v>4.0655139999999999E-2</v>
      </c>
      <c r="P7283">
        <v>0.98059719999999995</v>
      </c>
      <c r="Q7283">
        <v>0.19467280000000001</v>
      </c>
      <c r="R7283">
        <v>-2.306006E-2</v>
      </c>
      <c r="S7283">
        <v>3.125092</v>
      </c>
      <c r="T7283">
        <v>-0.31023919999999999</v>
      </c>
      <c r="U7283">
        <v>4.705811E-2</v>
      </c>
      <c r="V7283">
        <v>6.2718159999999995E-2</v>
      </c>
      <c r="W7283">
        <v>0.22436139999999999</v>
      </c>
      <c r="X7283">
        <v>0.97248570000000001</v>
      </c>
      <c r="Y7283">
        <v>2.5301199999999999E-2</v>
      </c>
      <c r="Z7283">
        <v>-5.279298E-3</v>
      </c>
      <c r="AA7283">
        <v>0.9996659</v>
      </c>
      <c r="AB7283">
        <v>17</v>
      </c>
      <c r="AC7283">
        <v>0.68077999999999805</v>
      </c>
      <c r="AD7283">
        <v>-8.4296999999999997E-2</v>
      </c>
      <c r="AE7283">
        <v>4.8000000000172297E-3</v>
      </c>
      <c r="AF7283">
        <v>2.25482430578554E-2</v>
      </c>
      <c r="AG7283">
        <v>-8.4296999999999997E-2</v>
      </c>
      <c r="AH7283">
        <v>0.67013755352611903</v>
      </c>
      <c r="AI7283">
        <v>97.165599862017999</v>
      </c>
      <c r="AJ7283">
        <v>88.0728852677112</v>
      </c>
      <c r="AK7283">
        <v>0.67579490092776495</v>
      </c>
      <c r="AL7283">
        <v>77.034671239822799</v>
      </c>
      <c r="AM7283">
        <v>86.309954855282598</v>
      </c>
      <c r="AN7283">
        <v>1.00000002105411</v>
      </c>
    </row>
    <row r="7284" spans="1:40" x14ac:dyDescent="0.25">
      <c r="A7284" t="str">
        <f>"20190312164208727"</f>
        <v>20190312164208727</v>
      </c>
      <c r="B7284" t="str">
        <f>"1552380128713489"</f>
        <v>1552380128713489</v>
      </c>
      <c r="C7284" t="s">
        <v>40</v>
      </c>
      <c r="D7284">
        <v>4.579135</v>
      </c>
      <c r="E7284">
        <v>0.49036819999999998</v>
      </c>
      <c r="F7284" t="s">
        <v>42</v>
      </c>
      <c r="G7284">
        <v>-86.331940000000003</v>
      </c>
      <c r="H7284">
        <v>1.028729</v>
      </c>
      <c r="I7284">
        <v>139.21639999999999</v>
      </c>
      <c r="J7284">
        <v>-86.999799999999993</v>
      </c>
      <c r="K7284">
        <v>1.1132040000000001</v>
      </c>
      <c r="L7284">
        <v>139.21109999999999</v>
      </c>
      <c r="M7284">
        <v>0.99867030000000001</v>
      </c>
      <c r="N7284">
        <v>0</v>
      </c>
      <c r="O7284">
        <v>4.1562580000000002E-2</v>
      </c>
      <c r="P7284">
        <v>0.98102040000000001</v>
      </c>
      <c r="Q7284">
        <v>0.19251119999999999</v>
      </c>
      <c r="R7284">
        <v>-2.321001E-2</v>
      </c>
      <c r="S7284">
        <v>3.123856</v>
      </c>
      <c r="T7284">
        <v>-0.31904569999999999</v>
      </c>
      <c r="U7284">
        <v>4.8980709999999997E-2</v>
      </c>
      <c r="V7284">
        <v>6.3790810000000003E-2</v>
      </c>
      <c r="W7284">
        <v>0.22234329999999999</v>
      </c>
      <c r="X7284">
        <v>0.97287939999999995</v>
      </c>
      <c r="Y7284">
        <v>2.5563679999999998E-2</v>
      </c>
      <c r="Z7284">
        <v>-5.5362759999999997E-3</v>
      </c>
      <c r="AA7284">
        <v>0.99965789999999999</v>
      </c>
      <c r="AB7284">
        <v>17</v>
      </c>
      <c r="AC7284">
        <v>0.66785999999999002</v>
      </c>
      <c r="AD7284">
        <v>-8.4474999999999995E-2</v>
      </c>
      <c r="AE7284">
        <v>5.3000000000054098E-3</v>
      </c>
      <c r="AF7284">
        <v>2.2121592568285501E-2</v>
      </c>
      <c r="AG7284">
        <v>-8.4474999999999995E-2</v>
      </c>
      <c r="AH7284">
        <v>0.65699236837666397</v>
      </c>
      <c r="AI7284">
        <v>97.322692488859801</v>
      </c>
      <c r="AJ7284">
        <v>88.071522162175199</v>
      </c>
      <c r="AK7284">
        <v>0.66277021854330198</v>
      </c>
      <c r="AL7284">
        <v>77.1532972376732</v>
      </c>
      <c r="AM7284">
        <v>86.248538360634797</v>
      </c>
      <c r="AN7284">
        <v>1.00000006871985</v>
      </c>
    </row>
    <row r="7285" spans="1:40" x14ac:dyDescent="0.25">
      <c r="A7285" t="str">
        <f>"20190312164208749"</f>
        <v>20190312164208749</v>
      </c>
      <c r="B7285" t="str">
        <f>"1552380128743744"</f>
        <v>1552380128743744</v>
      </c>
      <c r="C7285" t="s">
        <v>40</v>
      </c>
      <c r="D7285">
        <v>4.3014449999999904</v>
      </c>
      <c r="E7285">
        <v>0.49060389999999998</v>
      </c>
      <c r="F7285" t="s">
        <v>42</v>
      </c>
      <c r="G7285">
        <v>-86.187619999999995</v>
      </c>
      <c r="H7285">
        <v>1.029658</v>
      </c>
      <c r="I7285">
        <v>139.2234</v>
      </c>
      <c r="J7285">
        <v>-86.837269999999904</v>
      </c>
      <c r="K7285">
        <v>1.1132869999999999</v>
      </c>
      <c r="L7285">
        <v>139.21899999999999</v>
      </c>
      <c r="M7285">
        <v>0.9986199</v>
      </c>
      <c r="N7285">
        <v>0</v>
      </c>
      <c r="O7285">
        <v>4.2443700000000001E-2</v>
      </c>
      <c r="P7285">
        <v>0.98141199999999995</v>
      </c>
      <c r="Q7285">
        <v>0.1905</v>
      </c>
      <c r="R7285">
        <v>-2.3256760000000001E-2</v>
      </c>
      <c r="S7285">
        <v>3.1222080000000001</v>
      </c>
      <c r="T7285">
        <v>-0.32128050000000002</v>
      </c>
      <c r="U7285">
        <v>4.7637939999999997E-2</v>
      </c>
      <c r="V7285">
        <v>6.4734070000000005E-2</v>
      </c>
      <c r="W7285">
        <v>0.2207665</v>
      </c>
      <c r="X7285">
        <v>0.97317609999999999</v>
      </c>
      <c r="Y7285">
        <v>2.6851070000000001E-2</v>
      </c>
      <c r="Z7285">
        <v>-5.7343169999999897E-3</v>
      </c>
      <c r="AA7285">
        <v>0.99962300000000004</v>
      </c>
      <c r="AB7285">
        <v>16</v>
      </c>
      <c r="AC7285">
        <v>0.64964999999999395</v>
      </c>
      <c r="AD7285">
        <v>-8.3629000000000106E-2</v>
      </c>
      <c r="AE7285">
        <v>4.4000000000039502E-3</v>
      </c>
      <c r="AF7285">
        <v>2.2812702212373599E-2</v>
      </c>
      <c r="AG7285">
        <v>-8.3629000000000106E-2</v>
      </c>
      <c r="AH7285">
        <v>0.63866782497310903</v>
      </c>
      <c r="AI7285">
        <v>97.455329622302301</v>
      </c>
      <c r="AJ7285">
        <v>87.954310441913805</v>
      </c>
      <c r="AK7285">
        <v>0.64452371537369502</v>
      </c>
      <c r="AL7285">
        <v>77.245943242379397</v>
      </c>
      <c r="AM7285">
        <v>86.194385474609803</v>
      </c>
      <c r="AN7285">
        <v>1.00000003447611</v>
      </c>
    </row>
    <row r="7286" spans="1:40" x14ac:dyDescent="0.25">
      <c r="A7286" t="str">
        <f>"20190312164208772"</f>
        <v>20190312164208772</v>
      </c>
      <c r="B7286" t="str">
        <f>"1552380128763264"</f>
        <v>1552380128763264</v>
      </c>
      <c r="C7286" t="s">
        <v>40</v>
      </c>
      <c r="D7286">
        <v>4.6475689999999998</v>
      </c>
      <c r="E7286">
        <v>0.49072900000000003</v>
      </c>
      <c r="F7286" t="s">
        <v>42</v>
      </c>
      <c r="G7286">
        <v>-86.047740000000005</v>
      </c>
      <c r="H7286">
        <v>1.0307809999999999</v>
      </c>
      <c r="I7286">
        <v>139.23060000000001</v>
      </c>
      <c r="J7286">
        <v>-86.685990000000004</v>
      </c>
      <c r="K7286">
        <v>1.1134679999999999</v>
      </c>
      <c r="L7286">
        <v>139.22640000000001</v>
      </c>
      <c r="M7286">
        <v>0.99855799999999995</v>
      </c>
      <c r="N7286">
        <v>0</v>
      </c>
      <c r="O7286">
        <v>4.3216930000000001E-2</v>
      </c>
      <c r="P7286">
        <v>0.98182610000000003</v>
      </c>
      <c r="Q7286">
        <v>0.18836919999999999</v>
      </c>
      <c r="R7286">
        <v>-2.3126770000000001E-2</v>
      </c>
      <c r="S7286">
        <v>3.1212460000000002</v>
      </c>
      <c r="T7286">
        <v>-0.32628259999999998</v>
      </c>
      <c r="U7286">
        <v>4.6234129999999998E-2</v>
      </c>
      <c r="V7286">
        <v>6.5404139999999999E-2</v>
      </c>
      <c r="W7286">
        <v>0.21952830000000001</v>
      </c>
      <c r="X7286">
        <v>0.97341129999999998</v>
      </c>
      <c r="Y7286">
        <v>2.8048690000000001E-2</v>
      </c>
      <c r="Z7286">
        <v>-5.9680599999999999E-3</v>
      </c>
      <c r="AA7286">
        <v>0.9995887</v>
      </c>
      <c r="AB7286">
        <v>16</v>
      </c>
      <c r="AC7286">
        <v>0.63824999999999898</v>
      </c>
      <c r="AD7286">
        <v>-8.2687000000000094E-2</v>
      </c>
      <c r="AE7286">
        <v>4.1999999999973101E-3</v>
      </c>
      <c r="AF7286">
        <v>2.30148694151967E-2</v>
      </c>
      <c r="AG7286">
        <v>-8.2687000000000094E-2</v>
      </c>
      <c r="AH7286">
        <v>0.62730649608515299</v>
      </c>
      <c r="AI7286">
        <v>97.504034608823403</v>
      </c>
      <c r="AJ7286">
        <v>87.898852130894895</v>
      </c>
      <c r="AK7286">
        <v>0.63315105955358797</v>
      </c>
      <c r="AL7286">
        <v>77.318670277320905</v>
      </c>
      <c r="AM7286">
        <v>86.156036895899803</v>
      </c>
      <c r="AN7286">
        <v>0.999999967498859</v>
      </c>
    </row>
    <row r="7287" spans="1:40" x14ac:dyDescent="0.25">
      <c r="A7287" t="str">
        <f>"20190312164208793"</f>
        <v>20190312164208793</v>
      </c>
      <c r="B7287" t="str">
        <f>"1552380128783760"</f>
        <v>1552380128783760</v>
      </c>
      <c r="C7287" t="s">
        <v>40</v>
      </c>
      <c r="D7287">
        <v>4.2544649999999997</v>
      </c>
      <c r="E7287">
        <v>0.49094290000000002</v>
      </c>
      <c r="F7287" t="s">
        <v>42</v>
      </c>
      <c r="G7287">
        <v>-85.912750000000003</v>
      </c>
      <c r="H7287">
        <v>1.0317259999999999</v>
      </c>
      <c r="I7287">
        <v>139.23769999999999</v>
      </c>
      <c r="J7287">
        <v>-86.545199999999994</v>
      </c>
      <c r="K7287">
        <v>1.1136200000000001</v>
      </c>
      <c r="L7287">
        <v>139.23349999999999</v>
      </c>
      <c r="M7287">
        <v>0.99849549999999998</v>
      </c>
      <c r="N7287">
        <v>0</v>
      </c>
      <c r="O7287">
        <v>4.3929490000000002E-2</v>
      </c>
      <c r="P7287">
        <v>0.98237129999999995</v>
      </c>
      <c r="Q7287">
        <v>0.1855841</v>
      </c>
      <c r="R7287">
        <v>-2.2483400000000001E-2</v>
      </c>
      <c r="S7287">
        <v>3.119904</v>
      </c>
      <c r="T7287">
        <v>-0.32990999999999998</v>
      </c>
      <c r="U7287">
        <v>4.5852660000000003E-2</v>
      </c>
      <c r="V7287">
        <v>6.5509590000000006E-2</v>
      </c>
      <c r="W7287">
        <v>0.21770110000000001</v>
      </c>
      <c r="X7287">
        <v>0.97381450000000003</v>
      </c>
      <c r="Y7287">
        <v>2.8861700000000001E-2</v>
      </c>
      <c r="Z7287">
        <v>-6.1547520000000003E-3</v>
      </c>
      <c r="AA7287">
        <v>0.99956449999999997</v>
      </c>
      <c r="AB7287">
        <v>16</v>
      </c>
      <c r="AC7287">
        <v>0.63244999999999096</v>
      </c>
      <c r="AD7287">
        <v>-8.1894000000000106E-2</v>
      </c>
      <c r="AE7287">
        <v>4.1999999999973101E-3</v>
      </c>
      <c r="AF7287">
        <v>2.3213044590423899E-2</v>
      </c>
      <c r="AG7287">
        <v>-8.1894000000000106E-2</v>
      </c>
      <c r="AH7287">
        <v>0.62160155155486396</v>
      </c>
      <c r="AI7287">
        <v>97.500141294290003</v>
      </c>
      <c r="AJ7287">
        <v>87.861344240857605</v>
      </c>
      <c r="AK7287">
        <v>0.62740255145366697</v>
      </c>
      <c r="AL7287">
        <v>77.425956392171599</v>
      </c>
      <c r="AM7287">
        <v>86.151447292122796</v>
      </c>
      <c r="AN7287">
        <v>0.99999997786671302</v>
      </c>
    </row>
    <row r="7288" spans="1:40" x14ac:dyDescent="0.25">
      <c r="A7288" t="str">
        <f>"20190312164208816"</f>
        <v>20190312164208816</v>
      </c>
      <c r="B7288" t="str">
        <f>"1552380128803281"</f>
        <v>1552380128803281</v>
      </c>
      <c r="C7288" t="s">
        <v>40</v>
      </c>
      <c r="D7288">
        <v>4.2954939999999997</v>
      </c>
      <c r="E7288">
        <v>0.49070439999999999</v>
      </c>
      <c r="F7288" t="s">
        <v>42</v>
      </c>
      <c r="G7288">
        <v>-85.783010000000004</v>
      </c>
      <c r="H7288">
        <v>1.0316399999999999</v>
      </c>
      <c r="I7288">
        <v>139.24449999999999</v>
      </c>
      <c r="J7288">
        <v>-86.400499999999994</v>
      </c>
      <c r="K7288">
        <v>1.113669</v>
      </c>
      <c r="L7288">
        <v>139.2407</v>
      </c>
      <c r="M7288">
        <v>0.99844010000000005</v>
      </c>
      <c r="N7288">
        <v>0</v>
      </c>
      <c r="O7288">
        <v>4.4687360000000002E-2</v>
      </c>
      <c r="P7288">
        <v>0.98279430000000001</v>
      </c>
      <c r="Q7288">
        <v>0.1834375</v>
      </c>
      <c r="R7288">
        <v>-2.1594370000000002E-2</v>
      </c>
      <c r="S7288">
        <v>3.1182400000000001</v>
      </c>
      <c r="T7288">
        <v>-0.33548860000000003</v>
      </c>
      <c r="U7288">
        <v>4.5288090000000003E-2</v>
      </c>
      <c r="V7288">
        <v>6.5401479999999998E-2</v>
      </c>
      <c r="W7288">
        <v>0.2162027</v>
      </c>
      <c r="X7288">
        <v>0.97415549999999995</v>
      </c>
      <c r="Y7288">
        <v>2.9770600000000001E-2</v>
      </c>
      <c r="Z7288">
        <v>-6.3916889999999999E-3</v>
      </c>
      <c r="AA7288">
        <v>0.99953630000000004</v>
      </c>
      <c r="AB7288">
        <v>15</v>
      </c>
      <c r="AC7288">
        <v>0.61748999999998899</v>
      </c>
      <c r="AD7288">
        <v>-8.2029000000000102E-2</v>
      </c>
      <c r="AE7288">
        <v>3.7999999999840301E-3</v>
      </c>
      <c r="AF7288">
        <v>2.3400335583111501E-2</v>
      </c>
      <c r="AG7288">
        <v>-8.2029000000000102E-2</v>
      </c>
      <c r="AH7288">
        <v>0.60634253308205399</v>
      </c>
      <c r="AI7288">
        <v>97.698817262772593</v>
      </c>
      <c r="AJ7288">
        <v>87.789903625085898</v>
      </c>
      <c r="AK7288">
        <v>0.61231331846593295</v>
      </c>
      <c r="AL7288">
        <v>77.513902730033806</v>
      </c>
      <c r="AM7288">
        <v>86.159120421801902</v>
      </c>
      <c r="AN7288">
        <v>0.99999994962686301</v>
      </c>
    </row>
    <row r="7289" spans="1:40" x14ac:dyDescent="0.25">
      <c r="A7289" t="str">
        <f>"20190312164208839"</f>
        <v>20190312164208839</v>
      </c>
      <c r="B7289" t="str">
        <f>"1552380128833540"</f>
        <v>1552380128833540</v>
      </c>
      <c r="C7289" t="s">
        <v>40</v>
      </c>
      <c r="D7289">
        <v>4.3002140000000004</v>
      </c>
      <c r="E7289">
        <v>0.49000199999999999</v>
      </c>
      <c r="F7289" t="s">
        <v>42</v>
      </c>
      <c r="G7289">
        <v>-85.655199999999994</v>
      </c>
      <c r="H7289">
        <v>1.0329219999999999</v>
      </c>
      <c r="I7289">
        <v>139.25280000000001</v>
      </c>
      <c r="J7289">
        <v>-86.259950000000003</v>
      </c>
      <c r="K7289">
        <v>1.1135809999999999</v>
      </c>
      <c r="L7289">
        <v>139.24799999999999</v>
      </c>
      <c r="M7289">
        <v>0.99840519999999999</v>
      </c>
      <c r="N7289">
        <v>0</v>
      </c>
      <c r="O7289">
        <v>4.5432550000000002E-2</v>
      </c>
      <c r="P7289">
        <v>0.98310779999999998</v>
      </c>
      <c r="Q7289">
        <v>0.1818486</v>
      </c>
      <c r="R7289">
        <v>-2.0744490000000001E-2</v>
      </c>
      <c r="S7289">
        <v>3.116714</v>
      </c>
      <c r="T7289">
        <v>-0.3378949</v>
      </c>
      <c r="U7289">
        <v>5.1071169999999999E-2</v>
      </c>
      <c r="V7289">
        <v>6.5301499999999998E-2</v>
      </c>
      <c r="W7289">
        <v>0.2146586</v>
      </c>
      <c r="X7289">
        <v>0.97450369999999997</v>
      </c>
      <c r="Y7289">
        <v>2.865098E-2</v>
      </c>
      <c r="Z7289">
        <v>-6.4602720000000004E-3</v>
      </c>
      <c r="AA7289">
        <v>0.99956860000000003</v>
      </c>
      <c r="AB7289">
        <v>14</v>
      </c>
      <c r="AC7289">
        <v>0.604750000000009</v>
      </c>
      <c r="AD7289">
        <v>-8.0658999999999995E-2</v>
      </c>
      <c r="AE7289">
        <v>4.8000000000172297E-3</v>
      </c>
      <c r="AF7289">
        <v>2.2299080677961301E-2</v>
      </c>
      <c r="AG7289">
        <v>-8.0658999999999995E-2</v>
      </c>
      <c r="AH7289">
        <v>0.59378087630735199</v>
      </c>
      <c r="AI7289">
        <v>97.730307832037198</v>
      </c>
      <c r="AJ7289">
        <v>87.849302436862303</v>
      </c>
      <c r="AK7289">
        <v>0.59964894092161003</v>
      </c>
      <c r="AL7289">
        <v>77.604501494341093</v>
      </c>
      <c r="AM7289">
        <v>86.166340690629497</v>
      </c>
      <c r="AN7289">
        <v>1.0000000308849399</v>
      </c>
    </row>
    <row r="7290" spans="1:40" x14ac:dyDescent="0.25">
      <c r="A7290" t="str">
        <f>"20190312164208860"</f>
        <v>20190312164208860</v>
      </c>
      <c r="B7290" t="str">
        <f>"1552380128853056"</f>
        <v>1552380128853056</v>
      </c>
      <c r="C7290" t="s">
        <v>40</v>
      </c>
      <c r="D7290">
        <v>4.2015599999999997</v>
      </c>
      <c r="E7290">
        <v>0.48947770000000002</v>
      </c>
      <c r="F7290" t="s">
        <v>42</v>
      </c>
      <c r="G7290">
        <v>-85.417719999999903</v>
      </c>
      <c r="H7290">
        <v>1.022815</v>
      </c>
      <c r="I7290">
        <v>139.26410000000001</v>
      </c>
      <c r="J7290">
        <v>-86.125780000000006</v>
      </c>
      <c r="K7290">
        <v>1.1134919999999999</v>
      </c>
      <c r="L7290">
        <v>139.25489999999999</v>
      </c>
      <c r="M7290">
        <v>0.99837759999999998</v>
      </c>
      <c r="N7290">
        <v>0</v>
      </c>
      <c r="O7290">
        <v>4.6107990000000001E-2</v>
      </c>
      <c r="P7290">
        <v>0.98347510000000005</v>
      </c>
      <c r="Q7290">
        <v>0.179916299999999</v>
      </c>
      <c r="R7290">
        <v>-2.0181419999999999E-2</v>
      </c>
      <c r="S7290">
        <v>3.1149140000000002</v>
      </c>
      <c r="T7290">
        <v>-0.33579120000000001</v>
      </c>
      <c r="U7290">
        <v>5.9829710000000001E-2</v>
      </c>
      <c r="V7290">
        <v>6.5420309999999995E-2</v>
      </c>
      <c r="W7290">
        <v>0.21264669999999999</v>
      </c>
      <c r="X7290">
        <v>0.97493669999999999</v>
      </c>
      <c r="Y7290">
        <v>2.652117E-2</v>
      </c>
      <c r="Z7290">
        <v>-6.3818260000000002E-3</v>
      </c>
      <c r="AA7290">
        <v>0.99962790000000001</v>
      </c>
      <c r="AB7290">
        <v>14</v>
      </c>
      <c r="AC7290">
        <v>0.70806000000001701</v>
      </c>
      <c r="AD7290">
        <v>-9.0676999999999897E-2</v>
      </c>
      <c r="AE7290">
        <v>9.2000000000211895E-3</v>
      </c>
      <c r="AF7290">
        <v>2.3096526824941298E-2</v>
      </c>
      <c r="AG7290">
        <v>-9.0676999999999897E-2</v>
      </c>
      <c r="AH7290">
        <v>0.69631266770460398</v>
      </c>
      <c r="AI7290">
        <v>97.415530548964398</v>
      </c>
      <c r="AJ7290">
        <v>88.100209051488207</v>
      </c>
      <c r="AK7290">
        <v>0.70257177504243495</v>
      </c>
      <c r="AL7290">
        <v>77.722499149142195</v>
      </c>
      <c r="AM7290">
        <v>86.1610871956415</v>
      </c>
      <c r="AN7290">
        <v>1.00000000249413</v>
      </c>
    </row>
    <row r="7291" spans="1:40" x14ac:dyDescent="0.25">
      <c r="A7291" t="str">
        <f>"20190312164208883"</f>
        <v>20190312164208883</v>
      </c>
      <c r="B7291" t="str">
        <f>"1552380128873553"</f>
        <v>1552380128873553</v>
      </c>
      <c r="C7291" t="s">
        <v>40</v>
      </c>
      <c r="D7291">
        <v>4.5220310000000001</v>
      </c>
      <c r="E7291">
        <v>0.48918980000000001</v>
      </c>
      <c r="F7291" t="s">
        <v>42</v>
      </c>
      <c r="G7291">
        <v>-85.299880000000002</v>
      </c>
      <c r="H7291">
        <v>1.023582</v>
      </c>
      <c r="I7291">
        <v>139.27250000000001</v>
      </c>
      <c r="J7291">
        <v>-85.998440000000002</v>
      </c>
      <c r="K7291">
        <v>1.1134550000000001</v>
      </c>
      <c r="L7291">
        <v>139.26159999999999</v>
      </c>
      <c r="M7291">
        <v>0.99834509999999999</v>
      </c>
      <c r="N7291">
        <v>0</v>
      </c>
      <c r="O7291">
        <v>4.6722380000000001E-2</v>
      </c>
      <c r="P7291">
        <v>0.98395960000000005</v>
      </c>
      <c r="Q7291">
        <v>0.17727039999999999</v>
      </c>
      <c r="R7291">
        <v>-1.9975980000000001E-2</v>
      </c>
      <c r="S7291">
        <v>3.1138150000000002</v>
      </c>
      <c r="T7291">
        <v>-0.33910109999999999</v>
      </c>
      <c r="U7291">
        <v>6.6482540000000007E-2</v>
      </c>
      <c r="V7291">
        <v>6.5850950000000005E-2</v>
      </c>
      <c r="W7291">
        <v>0.21012629999999999</v>
      </c>
      <c r="X7291">
        <v>0.97545400000000004</v>
      </c>
      <c r="Y7291">
        <v>2.4991679999999999E-2</v>
      </c>
      <c r="Z7291">
        <v>-6.4300859999999998E-3</v>
      </c>
      <c r="AA7291">
        <v>0.99966699999999997</v>
      </c>
      <c r="AB7291">
        <v>14</v>
      </c>
      <c r="AC7291">
        <v>0.69855999999999996</v>
      </c>
      <c r="AD7291">
        <v>-8.98729999999998E-2</v>
      </c>
      <c r="AE7291">
        <v>1.09000000000207E-2</v>
      </c>
      <c r="AF7291">
        <v>2.1414298823560399E-2</v>
      </c>
      <c r="AG7291">
        <v>-8.98729999999998E-2</v>
      </c>
      <c r="AH7291">
        <v>0.68693836221855498</v>
      </c>
      <c r="AI7291">
        <v>97.450163928665106</v>
      </c>
      <c r="AJ7291">
        <v>88.214466104213002</v>
      </c>
      <c r="AK7291">
        <v>0.69312339580381799</v>
      </c>
      <c r="AL7291">
        <v>77.870245633208299</v>
      </c>
      <c r="AM7291">
        <v>86.137936223304493</v>
      </c>
      <c r="AN7291">
        <v>0.99999995784179496</v>
      </c>
    </row>
    <row r="7292" spans="1:40" x14ac:dyDescent="0.25">
      <c r="A7292" t="str">
        <f>"20190312164208905"</f>
        <v>20190312164208905</v>
      </c>
      <c r="B7292" t="str">
        <f>"1552380128893114"</f>
        <v>1552380128893114</v>
      </c>
      <c r="C7292" t="s">
        <v>40</v>
      </c>
      <c r="D7292">
        <v>4.2038650000000004</v>
      </c>
      <c r="E7292">
        <v>0.48896499999999998</v>
      </c>
      <c r="F7292" t="s">
        <v>42</v>
      </c>
      <c r="G7292">
        <v>-85.186359999999993</v>
      </c>
      <c r="H7292">
        <v>1.023558</v>
      </c>
      <c r="I7292">
        <v>139.27979999999999</v>
      </c>
      <c r="J7292">
        <v>-85.873599999999996</v>
      </c>
      <c r="K7292">
        <v>1.113497</v>
      </c>
      <c r="L7292">
        <v>139.26820000000001</v>
      </c>
      <c r="M7292">
        <v>0.99830350000000001</v>
      </c>
      <c r="N7292">
        <v>0</v>
      </c>
      <c r="O7292">
        <v>4.7316850000000001E-2</v>
      </c>
      <c r="P7292">
        <v>0.98437269999999999</v>
      </c>
      <c r="Q7292">
        <v>0.1749328</v>
      </c>
      <c r="R7292">
        <v>-2.022361E-2</v>
      </c>
      <c r="S7292">
        <v>3.1124269999999998</v>
      </c>
      <c r="T7292">
        <v>-0.344676599999999</v>
      </c>
      <c r="U7292">
        <v>7.0251460000000002E-2</v>
      </c>
      <c r="V7292">
        <v>6.6721569999999994E-2</v>
      </c>
      <c r="W7292">
        <v>0.2081916</v>
      </c>
      <c r="X7292">
        <v>0.97580960000000005</v>
      </c>
      <c r="Y7292">
        <v>2.4354020000000001E-2</v>
      </c>
      <c r="Z7292">
        <v>-6.5684100000000002E-3</v>
      </c>
      <c r="AA7292">
        <v>0.99968179999999995</v>
      </c>
      <c r="AB7292">
        <v>13</v>
      </c>
      <c r="AC7292">
        <v>0.68724000000000196</v>
      </c>
      <c r="AD7292">
        <v>-8.9938999999999894E-2</v>
      </c>
      <c r="AE7292">
        <v>1.15999999999871E-2</v>
      </c>
      <c r="AF7292">
        <v>2.0597109396228701E-2</v>
      </c>
      <c r="AG7292">
        <v>-8.9938999999999894E-2</v>
      </c>
      <c r="AH7292">
        <v>0.67545340646778596</v>
      </c>
      <c r="AI7292">
        <v>97.581037799080804</v>
      </c>
      <c r="AJ7292">
        <v>88.253377889196898</v>
      </c>
      <c r="AK7292">
        <v>0.68172616859367796</v>
      </c>
      <c r="AL7292">
        <v>77.983602899261896</v>
      </c>
      <c r="AM7292">
        <v>86.088454716556797</v>
      </c>
      <c r="AN7292">
        <v>0.99999994283298999</v>
      </c>
    </row>
    <row r="7293" spans="1:40" x14ac:dyDescent="0.25">
      <c r="A7293" t="str">
        <f>"20190312164208928"</f>
        <v>20190312164208928</v>
      </c>
      <c r="B7293" t="str">
        <f>"1552380128923370"</f>
        <v>1552380128923370</v>
      </c>
      <c r="C7293" t="s">
        <v>40</v>
      </c>
      <c r="D7293">
        <v>4.5787930000000001</v>
      </c>
      <c r="E7293">
        <v>0.48857230000000001</v>
      </c>
      <c r="F7293" t="s">
        <v>42</v>
      </c>
      <c r="G7293">
        <v>-85.077449999999999</v>
      </c>
      <c r="H7293">
        <v>1.0243660000000001</v>
      </c>
      <c r="I7293">
        <v>139.28659999999999</v>
      </c>
      <c r="J7293">
        <v>-85.754199999999997</v>
      </c>
      <c r="K7293">
        <v>1.113618</v>
      </c>
      <c r="L7293">
        <v>139.27459999999999</v>
      </c>
      <c r="M7293">
        <v>0.99824959999999996</v>
      </c>
      <c r="N7293">
        <v>0</v>
      </c>
      <c r="O7293">
        <v>4.7874390000000003E-2</v>
      </c>
      <c r="P7293">
        <v>0.98480060000000003</v>
      </c>
      <c r="Q7293">
        <v>0.17244479999999901</v>
      </c>
      <c r="R7293">
        <v>-2.0756070000000001E-2</v>
      </c>
      <c r="S7293">
        <v>3.111008</v>
      </c>
      <c r="T7293">
        <v>-0.34837289999999999</v>
      </c>
      <c r="U7293">
        <v>7.209778E-2</v>
      </c>
      <c r="V7293">
        <v>6.7847119999999997E-2</v>
      </c>
      <c r="W7293">
        <v>0.20648849999999999</v>
      </c>
      <c r="X7293">
        <v>0.97609389999999996</v>
      </c>
      <c r="Y7293">
        <v>2.429744E-2</v>
      </c>
      <c r="Z7293">
        <v>-6.7005459999999999E-3</v>
      </c>
      <c r="AA7293">
        <v>0.99968230000000002</v>
      </c>
      <c r="AB7293">
        <v>13</v>
      </c>
      <c r="AC7293">
        <v>0.67674999999999796</v>
      </c>
      <c r="AD7293">
        <v>-8.9252000000000095E-2</v>
      </c>
      <c r="AE7293">
        <v>1.2000000000000399E-2</v>
      </c>
      <c r="AF7293">
        <v>2.0083120526104E-2</v>
      </c>
      <c r="AG7293">
        <v>-8.9252000000000095E-2</v>
      </c>
      <c r="AH7293">
        <v>0.66498533153564299</v>
      </c>
      <c r="AI7293">
        <v>97.640912513193996</v>
      </c>
      <c r="AJ7293">
        <v>88.270144706547001</v>
      </c>
      <c r="AK7293">
        <v>0.67124864423820996</v>
      </c>
      <c r="AL7293">
        <v>78.083351890208604</v>
      </c>
      <c r="AM7293">
        <v>86.023834218061396</v>
      </c>
      <c r="AN7293">
        <v>1.00000001697087</v>
      </c>
    </row>
    <row r="7294" spans="1:40" x14ac:dyDescent="0.25">
      <c r="A7294" t="str">
        <f>"20190312164208950"</f>
        <v>20190312164208950</v>
      </c>
      <c r="B7294" t="str">
        <f>"1552380128943866"</f>
        <v>1552380128943866</v>
      </c>
      <c r="C7294" t="s">
        <v>40</v>
      </c>
      <c r="D7294">
        <v>4.2125360000000001</v>
      </c>
      <c r="E7294">
        <v>0.48836669999999999</v>
      </c>
      <c r="F7294" t="s">
        <v>42</v>
      </c>
      <c r="G7294">
        <v>-84.973169999999996</v>
      </c>
      <c r="H7294">
        <v>1.025461</v>
      </c>
      <c r="I7294">
        <v>139.29320000000001</v>
      </c>
      <c r="J7294">
        <v>-85.637950000000004</v>
      </c>
      <c r="K7294">
        <v>1.113721</v>
      </c>
      <c r="L7294">
        <v>139.2808</v>
      </c>
      <c r="M7294">
        <v>0.99819639999999998</v>
      </c>
      <c r="N7294">
        <v>0</v>
      </c>
      <c r="O7294">
        <v>4.8402109999999998E-2</v>
      </c>
      <c r="P7294">
        <v>0.98520220000000003</v>
      </c>
      <c r="Q7294">
        <v>0.17006559999999901</v>
      </c>
      <c r="R7294">
        <v>-2.1327530000000001E-2</v>
      </c>
      <c r="S7294">
        <v>3.1093600000000001</v>
      </c>
      <c r="T7294">
        <v>-0.35107769999999999</v>
      </c>
      <c r="U7294">
        <v>7.4691770000000005E-2</v>
      </c>
      <c r="V7294">
        <v>6.8975469999999997E-2</v>
      </c>
      <c r="W7294">
        <v>0.20488190000000001</v>
      </c>
      <c r="X7294">
        <v>0.97635329999999998</v>
      </c>
      <c r="Y7294">
        <v>2.3972710000000001E-2</v>
      </c>
      <c r="Z7294">
        <v>-6.7969359999999999E-3</v>
      </c>
      <c r="AA7294">
        <v>0.99968950000000001</v>
      </c>
      <c r="AB7294">
        <v>12</v>
      </c>
      <c r="AC7294">
        <v>0.66478000000000703</v>
      </c>
      <c r="AD7294">
        <v>-8.8260000000000005E-2</v>
      </c>
      <c r="AE7294">
        <v>1.24000000000137E-2</v>
      </c>
      <c r="AF7294">
        <v>1.9468568299499601E-2</v>
      </c>
      <c r="AG7294">
        <v>-8.8260000000000005E-2</v>
      </c>
      <c r="AH7294">
        <v>0.65309252536257101</v>
      </c>
      <c r="AI7294">
        <v>97.693041769356697</v>
      </c>
      <c r="AJ7294">
        <v>88.292528977359495</v>
      </c>
      <c r="AK7294">
        <v>0.65931684297922599</v>
      </c>
      <c r="AL7294">
        <v>78.177414172850703</v>
      </c>
      <c r="AM7294">
        <v>85.958995265536799</v>
      </c>
      <c r="AN7294">
        <v>0.99999998741510998</v>
      </c>
    </row>
    <row r="7295" spans="1:40" x14ac:dyDescent="0.25">
      <c r="A7295" t="str">
        <f>"20190312164208973"</f>
        <v>20190312164208973</v>
      </c>
      <c r="B7295" t="str">
        <f>"1552380128963386"</f>
        <v>1552380128963386</v>
      </c>
      <c r="C7295" t="s">
        <v>40</v>
      </c>
      <c r="D7295">
        <v>4.3677510000000002</v>
      </c>
      <c r="E7295">
        <v>0.48820669999999999</v>
      </c>
      <c r="F7295" t="s">
        <v>42</v>
      </c>
      <c r="G7295">
        <v>-84.872640000000004</v>
      </c>
      <c r="H7295">
        <v>1.02624</v>
      </c>
      <c r="I7295">
        <v>139.29949999999999</v>
      </c>
      <c r="J7295">
        <v>-85.529799999999994</v>
      </c>
      <c r="K7295">
        <v>1.113685</v>
      </c>
      <c r="L7295">
        <v>139.28659999999999</v>
      </c>
      <c r="M7295">
        <v>0.99816550000000004</v>
      </c>
      <c r="N7295">
        <v>0</v>
      </c>
      <c r="O7295">
        <v>4.8869950000000002E-2</v>
      </c>
      <c r="P7295">
        <v>0.98544620000000005</v>
      </c>
      <c r="Q7295">
        <v>0.16851289999999999</v>
      </c>
      <c r="R7295">
        <v>-2.2342799999999999E-2</v>
      </c>
      <c r="S7295">
        <v>3.1080320000000001</v>
      </c>
      <c r="T7295">
        <v>-0.35524139999999998</v>
      </c>
      <c r="U7295">
        <v>7.5698849999999998E-2</v>
      </c>
      <c r="V7295">
        <v>7.0468230000000007E-2</v>
      </c>
      <c r="W7295">
        <v>0.2035595</v>
      </c>
      <c r="X7295">
        <v>0.97652329999999998</v>
      </c>
      <c r="Y7295">
        <v>2.4092530000000001E-2</v>
      </c>
      <c r="Z7295">
        <v>-6.9400420000000004E-3</v>
      </c>
      <c r="AA7295">
        <v>0.99968559999999995</v>
      </c>
      <c r="AB7295">
        <v>12</v>
      </c>
      <c r="AC7295">
        <v>0.65715999999998997</v>
      </c>
      <c r="AD7295">
        <v>-8.7444999999999995E-2</v>
      </c>
      <c r="AE7295">
        <v>1.29000000000019E-2</v>
      </c>
      <c r="AF7295">
        <v>1.8916528158403001E-2</v>
      </c>
      <c r="AG7295">
        <v>-8.7444999999999995E-2</v>
      </c>
      <c r="AH7295">
        <v>0.64557821690155504</v>
      </c>
      <c r="AI7295">
        <v>97.710622966386694</v>
      </c>
      <c r="AJ7295">
        <v>88.321617477564601</v>
      </c>
      <c r="AK7295">
        <v>0.65174818542160795</v>
      </c>
      <c r="AL7295">
        <v>78.254813447596803</v>
      </c>
      <c r="AM7295">
        <v>85.872555598659403</v>
      </c>
      <c r="AN7295">
        <v>0.99999999846123599</v>
      </c>
    </row>
    <row r="7296" spans="1:40" x14ac:dyDescent="0.25">
      <c r="A7296" t="str">
        <f>"20190312164208999"</f>
        <v>20190312164208999</v>
      </c>
      <c r="B7296" t="str">
        <f>"1552380128993286"</f>
        <v>1552380128993286</v>
      </c>
      <c r="C7296" t="s">
        <v>40</v>
      </c>
      <c r="D7296">
        <v>4.2772240000000004</v>
      </c>
      <c r="E7296">
        <v>0.48807650000000002</v>
      </c>
      <c r="F7296" t="s">
        <v>42</v>
      </c>
      <c r="G7296">
        <v>-84.774789999999996</v>
      </c>
      <c r="H7296">
        <v>1.027045</v>
      </c>
      <c r="I7296">
        <v>139.3047</v>
      </c>
      <c r="J7296">
        <v>-85.409099999999995</v>
      </c>
      <c r="K7296">
        <v>1.11349599999999</v>
      </c>
      <c r="L7296">
        <v>139.29320000000001</v>
      </c>
      <c r="M7296">
        <v>0.99815430000000005</v>
      </c>
      <c r="N7296">
        <v>0</v>
      </c>
      <c r="O7296">
        <v>4.9368929999999998E-2</v>
      </c>
      <c r="P7296">
        <v>0.98562989999999995</v>
      </c>
      <c r="Q7296">
        <v>0.16723589999999999</v>
      </c>
      <c r="R7296">
        <v>-2.3794860000000001E-2</v>
      </c>
      <c r="S7296">
        <v>3.106995</v>
      </c>
      <c r="T7296">
        <v>-0.35667860000000001</v>
      </c>
      <c r="U7296">
        <v>7.4874880000000005E-2</v>
      </c>
      <c r="V7296">
        <v>7.2418120000000002E-2</v>
      </c>
      <c r="W7296">
        <v>0.20191819999999999</v>
      </c>
      <c r="X7296">
        <v>0.97672139999999996</v>
      </c>
      <c r="Y7296">
        <v>2.4836150000000001E-2</v>
      </c>
      <c r="Z7296">
        <v>-7.0697939999999999E-3</v>
      </c>
      <c r="AA7296">
        <v>0.99966650000000001</v>
      </c>
      <c r="AB7296">
        <v>11</v>
      </c>
      <c r="AC7296">
        <v>0.63430999999999904</v>
      </c>
      <c r="AD7296">
        <v>-8.6450999999999806E-2</v>
      </c>
      <c r="AE7296">
        <v>1.1499999999983799E-2</v>
      </c>
      <c r="AF7296">
        <v>1.9486989280995699E-2</v>
      </c>
      <c r="AG7296">
        <v>-8.6450999999999806E-2</v>
      </c>
      <c r="AH7296">
        <v>0.62254349673110598</v>
      </c>
      <c r="AI7296">
        <v>97.902133578127007</v>
      </c>
      <c r="AJ7296">
        <v>88.207100717420701</v>
      </c>
      <c r="AK7296">
        <v>0.62881946811022904</v>
      </c>
      <c r="AL7296">
        <v>78.350847610437597</v>
      </c>
      <c r="AM7296">
        <v>85.759615460180299</v>
      </c>
      <c r="AN7296">
        <v>1.0000000184067599</v>
      </c>
    </row>
    <row r="7297" spans="1:40" x14ac:dyDescent="0.25">
      <c r="A7297" t="str">
        <f>"20190312164209018"</f>
        <v>20190312164209018</v>
      </c>
      <c r="B7297" t="str">
        <f>"1552380129013784"</f>
        <v>1552380129013784</v>
      </c>
      <c r="C7297" t="s">
        <v>40</v>
      </c>
      <c r="D7297">
        <v>4.3016350000000001</v>
      </c>
      <c r="E7297">
        <v>0.48798989999999998</v>
      </c>
      <c r="F7297" t="s">
        <v>42</v>
      </c>
      <c r="G7297">
        <v>-84.592860000000002</v>
      </c>
      <c r="H7297">
        <v>1.0200469999999999</v>
      </c>
      <c r="I7297">
        <v>139.3117</v>
      </c>
      <c r="J7297">
        <v>-85.317319999999995</v>
      </c>
      <c r="K7297">
        <v>1.113375</v>
      </c>
      <c r="L7297">
        <v>139.29820000000001</v>
      </c>
      <c r="M7297">
        <v>0.99814749999999997</v>
      </c>
      <c r="N7297">
        <v>0</v>
      </c>
      <c r="O7297">
        <v>4.9742509999999997E-2</v>
      </c>
      <c r="P7297">
        <v>0.98568650000000002</v>
      </c>
      <c r="Q7297">
        <v>0.1667052</v>
      </c>
      <c r="R7297">
        <v>-2.514098E-2</v>
      </c>
      <c r="S7297">
        <v>3.1057890000000001</v>
      </c>
      <c r="T7297">
        <v>-0.35562670000000002</v>
      </c>
      <c r="U7297">
        <v>7.064819E-2</v>
      </c>
      <c r="V7297">
        <v>7.4136640000000004E-2</v>
      </c>
      <c r="W7297">
        <v>0.20106250000000001</v>
      </c>
      <c r="X7297">
        <v>0.976769</v>
      </c>
      <c r="Y7297">
        <v>2.6548889999999999E-2</v>
      </c>
      <c r="Z7297">
        <v>-7.1922210000000004E-3</v>
      </c>
      <c r="AA7297">
        <v>0.9996216</v>
      </c>
      <c r="AB7297">
        <v>11</v>
      </c>
      <c r="AC7297">
        <v>0.724459999999993</v>
      </c>
      <c r="AD7297">
        <v>-9.3327999999999994E-2</v>
      </c>
      <c r="AE7297">
        <v>1.3499999999993399E-2</v>
      </c>
      <c r="AF7297">
        <v>2.2206913652043199E-2</v>
      </c>
      <c r="AG7297">
        <v>-9.3327999999999994E-2</v>
      </c>
      <c r="AH7297">
        <v>0.71241509654589896</v>
      </c>
      <c r="AI7297">
        <v>97.459794317368605</v>
      </c>
      <c r="AJ7297">
        <v>88.214593462112504</v>
      </c>
      <c r="AK7297">
        <v>0.71884527708294199</v>
      </c>
      <c r="AL7297">
        <v>78.400902280024198</v>
      </c>
      <c r="AM7297">
        <v>85.659579775176198</v>
      </c>
      <c r="AN7297">
        <v>1.0000000248288601</v>
      </c>
    </row>
    <row r="7298" spans="1:40" x14ac:dyDescent="0.25">
      <c r="A7298" t="str">
        <f>"20190312164209040"</f>
        <v>20190312164209040</v>
      </c>
      <c r="B7298" t="str">
        <f>"1552380129033303"</f>
        <v>1552380129033303</v>
      </c>
      <c r="C7298" t="s">
        <v>40</v>
      </c>
      <c r="D7298">
        <v>4.2795930000000002</v>
      </c>
      <c r="E7298">
        <v>0.48777369999999998</v>
      </c>
      <c r="F7298" t="s">
        <v>42</v>
      </c>
      <c r="G7298">
        <v>-84.50461</v>
      </c>
      <c r="H7298">
        <v>1.020743</v>
      </c>
      <c r="I7298">
        <v>139.31559999999999</v>
      </c>
      <c r="J7298">
        <v>-85.221739999999997</v>
      </c>
      <c r="K7298">
        <v>1.113332</v>
      </c>
      <c r="L7298">
        <v>139.30350000000001</v>
      </c>
      <c r="M7298">
        <v>0.99813149999999995</v>
      </c>
      <c r="N7298">
        <v>0</v>
      </c>
      <c r="O7298">
        <v>5.01418E-2</v>
      </c>
      <c r="P7298">
        <v>0.98575429999999997</v>
      </c>
      <c r="Q7298">
        <v>0.16618579999999999</v>
      </c>
      <c r="R7298">
        <v>-2.5905919999999999E-2</v>
      </c>
      <c r="S7298">
        <v>3.1051329999999999</v>
      </c>
      <c r="T7298">
        <v>-0.35392439999999997</v>
      </c>
      <c r="U7298">
        <v>6.6650390000000004E-2</v>
      </c>
      <c r="V7298">
        <v>7.5306250000000005E-2</v>
      </c>
      <c r="W7298">
        <v>0.20042860000000001</v>
      </c>
      <c r="X7298">
        <v>0.97680979999999995</v>
      </c>
      <c r="Y7298">
        <v>2.8221220000000002E-2</v>
      </c>
      <c r="Z7298">
        <v>-7.2999619999999897E-3</v>
      </c>
      <c r="AA7298">
        <v>0.99957499999999999</v>
      </c>
      <c r="AB7298">
        <v>10</v>
      </c>
      <c r="AC7298">
        <v>0.71712999999999705</v>
      </c>
      <c r="AD7298">
        <v>-9.2589000000000005E-2</v>
      </c>
      <c r="AE7298">
        <v>1.2099999999975301E-2</v>
      </c>
      <c r="AF7298">
        <v>2.3503686657383002E-2</v>
      </c>
      <c r="AG7298">
        <v>-9.2589000000000005E-2</v>
      </c>
      <c r="AH7298">
        <v>0.70508385075671898</v>
      </c>
      <c r="AI7298">
        <v>97.476958457284297</v>
      </c>
      <c r="AJ7298">
        <v>88.090775192551504</v>
      </c>
      <c r="AK7298">
        <v>0.71152539153948102</v>
      </c>
      <c r="AL7298">
        <v>78.437976730194194</v>
      </c>
      <c r="AM7298">
        <v>85.591554818838404</v>
      </c>
      <c r="AN7298">
        <v>1.00000002018153</v>
      </c>
    </row>
    <row r="7299" spans="1:40" x14ac:dyDescent="0.25">
      <c r="A7299" t="str">
        <f>"20190312164209061"</f>
        <v>20190312164209061</v>
      </c>
      <c r="B7299" t="str">
        <f>"1552380129053799"</f>
        <v>1552380129053799</v>
      </c>
      <c r="C7299" t="s">
        <v>40</v>
      </c>
      <c r="D7299">
        <v>4.2864990000000001</v>
      </c>
      <c r="E7299">
        <v>0.4875775</v>
      </c>
      <c r="F7299" t="s">
        <v>42</v>
      </c>
      <c r="G7299">
        <v>-84.419820000000001</v>
      </c>
      <c r="H7299">
        <v>1.022073</v>
      </c>
      <c r="I7299">
        <v>139.32040000000001</v>
      </c>
      <c r="J7299">
        <v>-85.131529999999998</v>
      </c>
      <c r="K7299">
        <v>1.113324</v>
      </c>
      <c r="L7299">
        <v>139.30850000000001</v>
      </c>
      <c r="M7299">
        <v>0.99811170000000005</v>
      </c>
      <c r="N7299">
        <v>0</v>
      </c>
      <c r="O7299">
        <v>5.0525630000000002E-2</v>
      </c>
      <c r="P7299">
        <v>0.98595180000000004</v>
      </c>
      <c r="Q7299">
        <v>0.16502410000000001</v>
      </c>
      <c r="R7299">
        <v>-2.581992E-2</v>
      </c>
      <c r="S7299">
        <v>3.10466</v>
      </c>
      <c r="T7299">
        <v>-0.35342000000000001</v>
      </c>
      <c r="U7299">
        <v>6.5780640000000001E-2</v>
      </c>
      <c r="V7299">
        <v>7.5616569999999994E-2</v>
      </c>
      <c r="W7299">
        <v>0.1992826</v>
      </c>
      <c r="X7299">
        <v>0.97702029999999995</v>
      </c>
      <c r="Y7299">
        <v>2.8876840000000001E-2</v>
      </c>
      <c r="Z7299">
        <v>-7.37147699999999E-3</v>
      </c>
      <c r="AA7299">
        <v>0.99955579999999999</v>
      </c>
      <c r="AB7299">
        <v>10</v>
      </c>
      <c r="AC7299">
        <v>0.71170999999999596</v>
      </c>
      <c r="AD7299">
        <v>-9.1250999999999902E-2</v>
      </c>
      <c r="AE7299">
        <v>1.18999999999971E-2</v>
      </c>
      <c r="AF7299">
        <v>2.37071652220248E-2</v>
      </c>
      <c r="AG7299">
        <v>-9.1250999999999902E-2</v>
      </c>
      <c r="AH7299">
        <v>0.69989922803826898</v>
      </c>
      <c r="AI7299">
        <v>97.423961706700595</v>
      </c>
      <c r="AJ7299">
        <v>88.060004449369501</v>
      </c>
      <c r="AK7299">
        <v>0.70622071910446604</v>
      </c>
      <c r="AL7299">
        <v>78.504989929247103</v>
      </c>
      <c r="AM7299">
        <v>85.574410580751405</v>
      </c>
      <c r="AN7299">
        <v>1.0000000434667</v>
      </c>
    </row>
    <row r="7300" spans="1:40" x14ac:dyDescent="0.25">
      <c r="A7300" t="str">
        <f>"20190312164209084"</f>
        <v>20190312164209084</v>
      </c>
      <c r="B7300" t="str">
        <f>"1552380129073319"</f>
        <v>1552380129073319</v>
      </c>
      <c r="C7300" t="s">
        <v>40</v>
      </c>
      <c r="D7300">
        <v>4.3034670000000004</v>
      </c>
      <c r="E7300">
        <v>0.4873922</v>
      </c>
      <c r="F7300" t="s">
        <v>42</v>
      </c>
      <c r="G7300">
        <v>-84.338859999999997</v>
      </c>
      <c r="H7300">
        <v>1.0227310000000001</v>
      </c>
      <c r="I7300">
        <v>139.32570000000001</v>
      </c>
      <c r="J7300">
        <v>-85.041499999999999</v>
      </c>
      <c r="K7300">
        <v>1.1133200000000001</v>
      </c>
      <c r="L7300">
        <v>139.3135</v>
      </c>
      <c r="M7300">
        <v>0.99809369999999997</v>
      </c>
      <c r="N7300">
        <v>0</v>
      </c>
      <c r="O7300">
        <v>5.0904060000000001E-2</v>
      </c>
      <c r="P7300">
        <v>0.98615489999999995</v>
      </c>
      <c r="Q7300">
        <v>0.16379479999999999</v>
      </c>
      <c r="R7300">
        <v>-2.587919E-2</v>
      </c>
      <c r="S7300">
        <v>3.1038969999999999</v>
      </c>
      <c r="T7300">
        <v>-0.35479250000000001</v>
      </c>
      <c r="U7300">
        <v>6.744385E-2</v>
      </c>
      <c r="V7300">
        <v>7.6062640000000001E-2</v>
      </c>
      <c r="W7300">
        <v>0.19802449999999999</v>
      </c>
      <c r="X7300">
        <v>0.97724140000000004</v>
      </c>
      <c r="Y7300">
        <v>2.870961E-2</v>
      </c>
      <c r="Z7300">
        <v>-7.4352130000000004E-3</v>
      </c>
      <c r="AA7300">
        <v>0.99956009999999995</v>
      </c>
      <c r="AB7300">
        <v>9</v>
      </c>
      <c r="AC7300">
        <v>0.70264000000000204</v>
      </c>
      <c r="AD7300">
        <v>-9.0589000000000003E-2</v>
      </c>
      <c r="AE7300">
        <v>1.2200000000007E-2</v>
      </c>
      <c r="AF7300">
        <v>2.3219030179971401E-2</v>
      </c>
      <c r="AG7300">
        <v>-9.0589000000000003E-2</v>
      </c>
      <c r="AH7300">
        <v>0.69086914112239395</v>
      </c>
      <c r="AI7300">
        <v>97.466022603798095</v>
      </c>
      <c r="AJ7300">
        <v>88.075103077952406</v>
      </c>
      <c r="AK7300">
        <v>0.697169750088666</v>
      </c>
      <c r="AL7300">
        <v>78.5785390042073</v>
      </c>
      <c r="AM7300">
        <v>85.5494113217528</v>
      </c>
      <c r="AN7300">
        <v>0.99999999083898905</v>
      </c>
    </row>
    <row r="7301" spans="1:40" x14ac:dyDescent="0.25">
      <c r="A7301" t="str">
        <f>"20190312164209107"</f>
        <v>20190312164209107</v>
      </c>
      <c r="B7301" t="str">
        <f>"1552380129103575"</f>
        <v>1552380129103575</v>
      </c>
      <c r="C7301" t="s">
        <v>40</v>
      </c>
      <c r="D7301">
        <v>4.4911339999999997</v>
      </c>
      <c r="E7301">
        <v>0.48729030000000001</v>
      </c>
      <c r="F7301" t="s">
        <v>42</v>
      </c>
      <c r="G7301">
        <v>-84.260890000000003</v>
      </c>
      <c r="H7301">
        <v>1.0236829999999999</v>
      </c>
      <c r="I7301">
        <v>139.33080000000001</v>
      </c>
      <c r="J7301">
        <v>-84.955510000000004</v>
      </c>
      <c r="K7301">
        <v>1.113308</v>
      </c>
      <c r="L7301">
        <v>139.31829999999999</v>
      </c>
      <c r="M7301">
        <v>0.99808039999999998</v>
      </c>
      <c r="N7301">
        <v>0</v>
      </c>
      <c r="O7301">
        <v>5.1254689999999999E-2</v>
      </c>
      <c r="P7301">
        <v>0.98610509999999996</v>
      </c>
      <c r="Q7301">
        <v>0.16414779999999901</v>
      </c>
      <c r="R7301">
        <v>-2.5541230000000002E-2</v>
      </c>
      <c r="S7301">
        <v>3.1031490000000002</v>
      </c>
      <c r="T7301">
        <v>-0.35651310000000003</v>
      </c>
      <c r="U7301">
        <v>6.9244379999999994E-2</v>
      </c>
      <c r="V7301">
        <v>7.6067099999999999E-2</v>
      </c>
      <c r="W7301">
        <v>0.19824459999999999</v>
      </c>
      <c r="X7301">
        <v>0.97719650000000002</v>
      </c>
      <c r="Y7301">
        <v>2.8469609999999999E-2</v>
      </c>
      <c r="Z7301">
        <v>-7.4991090000000003E-3</v>
      </c>
      <c r="AA7301">
        <v>0.99956659999999997</v>
      </c>
      <c r="AB7301">
        <v>9</v>
      </c>
      <c r="AC7301">
        <v>0.69462000000000002</v>
      </c>
      <c r="AD7301">
        <v>-8.9624999999999996E-2</v>
      </c>
      <c r="AE7301">
        <v>1.2500000000016999E-2</v>
      </c>
      <c r="AF7301">
        <v>2.27616987528023E-2</v>
      </c>
      <c r="AG7301">
        <v>-8.9624999999999996E-2</v>
      </c>
      <c r="AH7301">
        <v>0.68298034682731001</v>
      </c>
      <c r="AI7301">
        <v>97.471895299979295</v>
      </c>
      <c r="AJ7301">
        <v>88.0912089705173</v>
      </c>
      <c r="AK7301">
        <v>0.68921178871771105</v>
      </c>
      <c r="AL7301">
        <v>78.565673963924397</v>
      </c>
      <c r="AM7301">
        <v>85.548947721343893</v>
      </c>
      <c r="AN7301">
        <v>1.0000000623719001</v>
      </c>
    </row>
    <row r="7302" spans="1:40" x14ac:dyDescent="0.25">
      <c r="A7302" t="str">
        <f>"20190312164209129"</f>
        <v>20190312164209129</v>
      </c>
      <c r="B7302" t="str">
        <f>"1552380129123098"</f>
        <v>1552380129123098</v>
      </c>
      <c r="C7302" t="s">
        <v>40</v>
      </c>
      <c r="D7302">
        <v>4.3293150000000002</v>
      </c>
      <c r="E7302">
        <v>0.48717169999999999</v>
      </c>
      <c r="F7302" t="s">
        <v>42</v>
      </c>
      <c r="G7302">
        <v>-84.185280000000006</v>
      </c>
      <c r="H7302">
        <v>1.0260530000000001</v>
      </c>
      <c r="I7302">
        <v>139.33590000000001</v>
      </c>
      <c r="J7302">
        <v>-84.873199999999997</v>
      </c>
      <c r="K7302">
        <v>1.1132919999999999</v>
      </c>
      <c r="L7302">
        <v>139.32299999999901</v>
      </c>
      <c r="M7302">
        <v>0.99806859999999997</v>
      </c>
      <c r="N7302">
        <v>0</v>
      </c>
      <c r="O7302">
        <v>5.158886E-2</v>
      </c>
      <c r="P7302">
        <v>0.9859502</v>
      </c>
      <c r="Q7302">
        <v>0.16513839999999999</v>
      </c>
      <c r="R7302">
        <v>-2.5133030000000001E-2</v>
      </c>
      <c r="S7302">
        <v>3.1026150000000001</v>
      </c>
      <c r="T7302">
        <v>-0.35147850000000003</v>
      </c>
      <c r="U7302">
        <v>7.1014399999999894E-2</v>
      </c>
      <c r="V7302">
        <v>7.5980779999999998E-2</v>
      </c>
      <c r="W7302">
        <v>0.199076</v>
      </c>
      <c r="X7302">
        <v>0.97703410000000002</v>
      </c>
      <c r="Y7302">
        <v>2.824401E-2</v>
      </c>
      <c r="Z7302">
        <v>-7.4200189999999999E-3</v>
      </c>
      <c r="AA7302">
        <v>0.9995735</v>
      </c>
      <c r="AB7302">
        <v>9</v>
      </c>
      <c r="AC7302">
        <v>0.68791999999999098</v>
      </c>
      <c r="AD7302">
        <v>-8.7238999999999803E-2</v>
      </c>
      <c r="AE7302">
        <v>1.29000000000303E-2</v>
      </c>
      <c r="AF7302">
        <v>2.2269461630643798E-2</v>
      </c>
      <c r="AG7302">
        <v>-8.7238999999999803E-2</v>
      </c>
      <c r="AH7302">
        <v>0.67678834720498704</v>
      </c>
      <c r="AI7302">
        <v>97.341077591092002</v>
      </c>
      <c r="AJ7302">
        <v>88.115384266304702</v>
      </c>
      <c r="AK7302">
        <v>0.68275108125493</v>
      </c>
      <c r="AL7302">
        <v>78.517068561716499</v>
      </c>
      <c r="AM7302">
        <v>85.553242414969901</v>
      </c>
      <c r="AN7302">
        <v>0.99999998263410805</v>
      </c>
    </row>
    <row r="7303" spans="1:40" x14ac:dyDescent="0.25">
      <c r="A7303" t="str">
        <f>"20190312164209151"</f>
        <v>20190312164209151</v>
      </c>
      <c r="B7303" t="str">
        <f>"1552380129143591"</f>
        <v>1552380129143591</v>
      </c>
      <c r="C7303" t="s">
        <v>40</v>
      </c>
      <c r="D7303">
        <v>4.3270960000000001</v>
      </c>
      <c r="E7303">
        <v>0.48583759999999998</v>
      </c>
      <c r="F7303" t="s">
        <v>42</v>
      </c>
      <c r="G7303">
        <v>-84.112110000000001</v>
      </c>
      <c r="H7303">
        <v>1.028386</v>
      </c>
      <c r="I7303">
        <v>139.3408</v>
      </c>
      <c r="J7303">
        <v>-84.797229999999999</v>
      </c>
      <c r="K7303">
        <v>1.1132899999999999</v>
      </c>
      <c r="L7303">
        <v>139.32730000000001</v>
      </c>
      <c r="M7303">
        <v>0.9980559</v>
      </c>
      <c r="N7303">
        <v>0</v>
      </c>
      <c r="O7303">
        <v>5.190612E-2</v>
      </c>
      <c r="P7303">
        <v>0.9857245</v>
      </c>
      <c r="Q7303">
        <v>0.1665806</v>
      </c>
      <c r="R7303">
        <v>-2.4458239999999999E-2</v>
      </c>
      <c r="S7303">
        <v>3.1026310000000001</v>
      </c>
      <c r="T7303">
        <v>-0.34626259999999998</v>
      </c>
      <c r="U7303">
        <v>7.3226929999999996E-2</v>
      </c>
      <c r="V7303">
        <v>7.5611040000000004E-2</v>
      </c>
      <c r="W7303">
        <v>0.20039969999999999</v>
      </c>
      <c r="X7303">
        <v>0.9767922</v>
      </c>
      <c r="Y7303">
        <v>2.786464E-2</v>
      </c>
      <c r="Z7303">
        <v>-7.3246140000000001E-3</v>
      </c>
      <c r="AA7303">
        <v>0.9995849</v>
      </c>
      <c r="AB7303">
        <v>8</v>
      </c>
      <c r="AC7303">
        <v>0.68511999999999695</v>
      </c>
      <c r="AD7303">
        <v>-8.4903999999999799E-2</v>
      </c>
      <c r="AE7303">
        <v>1.3499999999993399E-2</v>
      </c>
      <c r="AF7303">
        <v>2.17671610770287E-2</v>
      </c>
      <c r="AG7303">
        <v>-8.4903999999999799E-2</v>
      </c>
      <c r="AH7303">
        <v>0.67454118071775604</v>
      </c>
      <c r="AI7303">
        <v>97.170356363532093</v>
      </c>
      <c r="AJ7303">
        <v>88.151730590529695</v>
      </c>
      <c r="AK7303">
        <v>0.68021195446820604</v>
      </c>
      <c r="AL7303">
        <v>78.439667049138706</v>
      </c>
      <c r="AM7303">
        <v>85.573703667995503</v>
      </c>
      <c r="AN7303">
        <v>1.0000000355554</v>
      </c>
    </row>
    <row r="7304" spans="1:40" x14ac:dyDescent="0.25">
      <c r="A7304" t="str">
        <f>"20190312164209174"</f>
        <v>20190312164209174</v>
      </c>
      <c r="B7304" t="str">
        <f>"1552380129163111"</f>
        <v>1552380129163111</v>
      </c>
      <c r="C7304" t="s">
        <v>40</v>
      </c>
      <c r="D7304">
        <v>4.3523239999999896</v>
      </c>
      <c r="E7304">
        <v>0.4859813</v>
      </c>
      <c r="F7304" t="s">
        <v>41</v>
      </c>
      <c r="G7304">
        <v>-70.767880000000005</v>
      </c>
      <c r="H7304" s="1">
        <v>-3.9625989999999997E-6</v>
      </c>
      <c r="I7304">
        <v>139.69059999999999</v>
      </c>
      <c r="J7304">
        <v>-84.723050000000001</v>
      </c>
      <c r="K7304">
        <v>1.113297</v>
      </c>
      <c r="L7304">
        <v>139.33150000000001</v>
      </c>
      <c r="M7304">
        <v>0.99804199999999998</v>
      </c>
      <c r="N7304">
        <v>0</v>
      </c>
      <c r="O7304">
        <v>5.2225779999999999E-2</v>
      </c>
      <c r="P7304">
        <v>0.98543670000000005</v>
      </c>
      <c r="Q7304">
        <v>0.168266</v>
      </c>
      <c r="R7304">
        <v>-2.4515100000000001E-2</v>
      </c>
      <c r="S7304">
        <v>3.0868380000000002</v>
      </c>
      <c r="T7304">
        <v>-0.24495449999999999</v>
      </c>
      <c r="U7304">
        <v>7.9956050000000001E-2</v>
      </c>
      <c r="V7304">
        <v>7.5971839999999999E-2</v>
      </c>
      <c r="W7304">
        <v>0.2019985</v>
      </c>
      <c r="X7304">
        <v>0.97643480000000005</v>
      </c>
      <c r="Y7304">
        <v>2.6134950000000001E-2</v>
      </c>
      <c r="Z7304">
        <v>-5.1726560000000003E-3</v>
      </c>
      <c r="AA7304">
        <v>0.99964509999999995</v>
      </c>
      <c r="AB7304">
        <v>8</v>
      </c>
      <c r="AC7304">
        <v>13.955169999999899</v>
      </c>
      <c r="AD7304">
        <v>-1.113300962599</v>
      </c>
      <c r="AE7304">
        <v>0.35909999999998299</v>
      </c>
      <c r="AF7304">
        <v>0.36829991583490701</v>
      </c>
      <c r="AG7304">
        <v>-1.113300962599</v>
      </c>
      <c r="AH7304">
        <v>13.8666740690129</v>
      </c>
      <c r="AI7304">
        <v>94.588596786200497</v>
      </c>
      <c r="AJ7304">
        <v>88.4785774360153</v>
      </c>
      <c r="AK7304">
        <v>13.916168064433601</v>
      </c>
      <c r="AL7304">
        <v>78.346149938383405</v>
      </c>
      <c r="AM7304">
        <v>85.551045543410794</v>
      </c>
      <c r="AN7304">
        <v>1.00000001656313</v>
      </c>
    </row>
    <row r="7305" spans="1:40" x14ac:dyDescent="0.25">
      <c r="A7305" t="str">
        <f>"20190312164209197"</f>
        <v>20190312164209197</v>
      </c>
      <c r="B7305" t="str">
        <f>"1552380129193367"</f>
        <v>1552380129193367</v>
      </c>
      <c r="C7305" t="s">
        <v>40</v>
      </c>
      <c r="D7305">
        <v>4.4060699999999997</v>
      </c>
      <c r="E7305">
        <v>0.48649680000000001</v>
      </c>
      <c r="F7305" t="s">
        <v>41</v>
      </c>
      <c r="G7305">
        <v>-70.488979999999998</v>
      </c>
      <c r="H7305" s="1">
        <v>-4.084675E-6</v>
      </c>
      <c r="I7305">
        <v>139.69980000000001</v>
      </c>
      <c r="J7305">
        <v>-84.652969999999996</v>
      </c>
      <c r="K7305">
        <v>1.113307</v>
      </c>
      <c r="L7305">
        <v>139.3356</v>
      </c>
      <c r="M7305">
        <v>0.99802829999999998</v>
      </c>
      <c r="N7305">
        <v>0</v>
      </c>
      <c r="O7305">
        <v>5.2529489999999998E-2</v>
      </c>
      <c r="P7305">
        <v>0.98540340000000004</v>
      </c>
      <c r="Q7305">
        <v>0.16848869999999999</v>
      </c>
      <c r="R7305">
        <v>-2.432979E-2</v>
      </c>
      <c r="S7305">
        <v>3.087555</v>
      </c>
      <c r="T7305">
        <v>-0.24148890000000001</v>
      </c>
      <c r="U7305">
        <v>7.9879759999999994E-2</v>
      </c>
      <c r="V7305">
        <v>7.6086890000000004E-2</v>
      </c>
      <c r="W7305">
        <v>0.20215259999999999</v>
      </c>
      <c r="X7305">
        <v>0.97639390000000004</v>
      </c>
      <c r="Y7305">
        <v>2.6474790000000002E-2</v>
      </c>
      <c r="Z7305">
        <v>-5.1354759999999999E-3</v>
      </c>
      <c r="AA7305">
        <v>0.99963630000000003</v>
      </c>
      <c r="AB7305">
        <v>8</v>
      </c>
      <c r="AC7305">
        <v>14.163989999999901</v>
      </c>
      <c r="AD7305">
        <v>-1.1133110846750001</v>
      </c>
      <c r="AE7305">
        <v>0.36420000000001002</v>
      </c>
      <c r="AF7305">
        <v>0.37843352372545502</v>
      </c>
      <c r="AG7305">
        <v>-1.1133110846750001</v>
      </c>
      <c r="AH7305">
        <v>14.076643402500601</v>
      </c>
      <c r="AI7305">
        <v>94.520440409185895</v>
      </c>
      <c r="AJ7305">
        <v>88.460043225132296</v>
      </c>
      <c r="AK7305">
        <v>14.1256703552187</v>
      </c>
      <c r="AL7305">
        <v>78.3371341018739</v>
      </c>
      <c r="AM7305">
        <v>85.544149368512393</v>
      </c>
      <c r="AN7305">
        <v>0.99999996823691994</v>
      </c>
    </row>
    <row r="7306" spans="1:40" x14ac:dyDescent="0.25">
      <c r="A7306" t="str">
        <f>"20190312164209218"</f>
        <v>20190312164209218</v>
      </c>
      <c r="B7306" t="str">
        <f>"1552380129213863"</f>
        <v>1552380129213863</v>
      </c>
      <c r="C7306" t="s">
        <v>40</v>
      </c>
      <c r="D7306">
        <v>4.6780049999999997</v>
      </c>
      <c r="E7306">
        <v>0.48647190000000001</v>
      </c>
      <c r="F7306" t="s">
        <v>41</v>
      </c>
      <c r="G7306">
        <v>-70.726330000000004</v>
      </c>
      <c r="H7306" s="1">
        <v>-3.9791419999999996E-6</v>
      </c>
      <c r="I7306">
        <v>139.6858</v>
      </c>
      <c r="J7306">
        <v>-84.590230000000005</v>
      </c>
      <c r="K7306">
        <v>1.113308</v>
      </c>
      <c r="L7306">
        <v>139.33920000000001</v>
      </c>
      <c r="M7306">
        <v>0.99801660000000003</v>
      </c>
      <c r="N7306">
        <v>0</v>
      </c>
      <c r="O7306">
        <v>5.2797810000000001E-2</v>
      </c>
      <c r="P7306">
        <v>0.98553959999999996</v>
      </c>
      <c r="Q7306">
        <v>0.16775860000000001</v>
      </c>
      <c r="R7306">
        <v>-2.385263E-2</v>
      </c>
      <c r="S7306">
        <v>3.0885769999999999</v>
      </c>
      <c r="T7306">
        <v>-0.24690380000000001</v>
      </c>
      <c r="U7306">
        <v>7.7682500000000002E-2</v>
      </c>
      <c r="V7306">
        <v>7.5883530000000005E-2</v>
      </c>
      <c r="W7306">
        <v>0.2013577</v>
      </c>
      <c r="X7306">
        <v>0.97657400000000005</v>
      </c>
      <c r="Y7306">
        <v>2.7447949999999999E-2</v>
      </c>
      <c r="Z7306">
        <v>-5.3088140000000002E-3</v>
      </c>
      <c r="AA7306">
        <v>0.99960910000000003</v>
      </c>
      <c r="AB7306">
        <v>7</v>
      </c>
      <c r="AC7306">
        <v>13.863899999999999</v>
      </c>
      <c r="AD7306">
        <v>-1.1133119791420001</v>
      </c>
      <c r="AE7306">
        <v>0.34659999999999502</v>
      </c>
      <c r="AF7306">
        <v>0.38382450069276702</v>
      </c>
      <c r="AG7306">
        <v>-1.1133119791420001</v>
      </c>
      <c r="AH7306">
        <v>13.7740831067446</v>
      </c>
      <c r="AI7306">
        <v>94.619191035499696</v>
      </c>
      <c r="AJ7306">
        <v>88.403825915428698</v>
      </c>
      <c r="AK7306">
        <v>13.824331818997299</v>
      </c>
      <c r="AL7306">
        <v>78.383635198500698</v>
      </c>
      <c r="AM7306">
        <v>85.556827180817507</v>
      </c>
      <c r="AN7306">
        <v>1.00000000547527</v>
      </c>
    </row>
    <row r="7307" spans="1:40" x14ac:dyDescent="0.25">
      <c r="A7307" t="str">
        <f>"20190312164209241"</f>
        <v>20190312164209241</v>
      </c>
      <c r="B7307" t="str">
        <f>"1552380129233383"</f>
        <v>1552380129233383</v>
      </c>
      <c r="C7307" t="s">
        <v>40</v>
      </c>
      <c r="D7307">
        <v>4.7259479999999998</v>
      </c>
      <c r="E7307">
        <v>0.48641640000000003</v>
      </c>
      <c r="F7307" t="s">
        <v>41</v>
      </c>
      <c r="G7307">
        <v>-70.830399999999997</v>
      </c>
      <c r="H7307" s="1">
        <v>-3.9352010000000003E-6</v>
      </c>
      <c r="I7307">
        <v>139.6884</v>
      </c>
      <c r="J7307">
        <v>-84.530360000000002</v>
      </c>
      <c r="K7307">
        <v>1.1132979999999999</v>
      </c>
      <c r="L7307">
        <v>139.34270000000001</v>
      </c>
      <c r="M7307">
        <v>0.99800560000000005</v>
      </c>
      <c r="N7307">
        <v>0</v>
      </c>
      <c r="O7307">
        <v>5.3052229999999999E-2</v>
      </c>
      <c r="P7307">
        <v>0.98561460000000001</v>
      </c>
      <c r="Q7307">
        <v>0.16725000000000001</v>
      </c>
      <c r="R7307">
        <v>-2.4322280000000002E-2</v>
      </c>
      <c r="S7307">
        <v>3.0884550000000002</v>
      </c>
      <c r="T7307">
        <v>-0.2498872</v>
      </c>
      <c r="U7307">
        <v>7.8399659999999996E-2</v>
      </c>
      <c r="V7307">
        <v>7.6609099999999999E-2</v>
      </c>
      <c r="W7307">
        <v>0.20078219999999999</v>
      </c>
      <c r="X7307">
        <v>0.97663580000000005</v>
      </c>
      <c r="Y7307">
        <v>2.746258E-2</v>
      </c>
      <c r="Z7307">
        <v>-5.3940560000000004E-3</v>
      </c>
      <c r="AA7307">
        <v>0.99960830000000001</v>
      </c>
      <c r="AB7307">
        <v>6</v>
      </c>
      <c r="AC7307">
        <v>13.699960000000001</v>
      </c>
      <c r="AD7307">
        <v>-1.1133019352009901</v>
      </c>
      <c r="AE7307">
        <v>0.34569999999999301</v>
      </c>
      <c r="AF7307">
        <v>0.37952184447291298</v>
      </c>
      <c r="AG7307">
        <v>-1.1133019352009901</v>
      </c>
      <c r="AH7307">
        <v>13.6091813924091</v>
      </c>
      <c r="AI7307">
        <v>94.674870143414793</v>
      </c>
      <c r="AJ7307">
        <v>88.402595650127296</v>
      </c>
      <c r="AK7307">
        <v>13.659915673270101</v>
      </c>
      <c r="AL7307">
        <v>78.417295921977896</v>
      </c>
      <c r="AM7307">
        <v>85.514798451123596</v>
      </c>
      <c r="AN7307">
        <v>0.999999965940644</v>
      </c>
    </row>
    <row r="7308" spans="1:40" x14ac:dyDescent="0.25">
      <c r="A7308" t="str">
        <f>"20190312164209263"</f>
        <v>20190312164209263</v>
      </c>
      <c r="B7308" t="str">
        <f>"1552380129253879"</f>
        <v>1552380129253879</v>
      </c>
      <c r="C7308" t="s">
        <v>40</v>
      </c>
      <c r="D7308">
        <v>4.7106659999999998</v>
      </c>
      <c r="E7308">
        <v>0.4861704</v>
      </c>
      <c r="F7308" t="s">
        <v>41</v>
      </c>
      <c r="G7308">
        <v>-70.949359999999999</v>
      </c>
      <c r="H7308" s="1">
        <v>-3.8827360000000003E-6</v>
      </c>
      <c r="I7308">
        <v>139.6831</v>
      </c>
      <c r="J7308">
        <v>-84.474009999999893</v>
      </c>
      <c r="K7308">
        <v>1.1132959999999901</v>
      </c>
      <c r="L7308">
        <v>139.3459</v>
      </c>
      <c r="M7308">
        <v>0.99799450000000001</v>
      </c>
      <c r="N7308">
        <v>0</v>
      </c>
      <c r="O7308">
        <v>5.3295130000000003E-2</v>
      </c>
      <c r="P7308">
        <v>0.98562629999999996</v>
      </c>
      <c r="Q7308">
        <v>0.16721169999999999</v>
      </c>
      <c r="R7308">
        <v>-2.4111230000000001E-2</v>
      </c>
      <c r="S7308">
        <v>3.088654</v>
      </c>
      <c r="T7308">
        <v>-0.25319180000000002</v>
      </c>
      <c r="U7308">
        <v>7.7423099999999995E-2</v>
      </c>
      <c r="V7308">
        <v>7.6641870000000001E-2</v>
      </c>
      <c r="W7308">
        <v>0.20068839999999999</v>
      </c>
      <c r="X7308">
        <v>0.97665259999999998</v>
      </c>
      <c r="Y7308">
        <v>2.8013639999999999E-2</v>
      </c>
      <c r="Z7308">
        <v>-5.5072300000000001E-3</v>
      </c>
      <c r="AA7308">
        <v>0.99959240000000005</v>
      </c>
      <c r="AB7308">
        <v>6</v>
      </c>
      <c r="AC7308">
        <v>13.5246499999999</v>
      </c>
      <c r="AD7308">
        <v>-1.1132998827359999</v>
      </c>
      <c r="AE7308">
        <v>0.337199999999995</v>
      </c>
      <c r="AF7308">
        <v>0.38191235570367299</v>
      </c>
      <c r="AG7308">
        <v>-1.1132998827359999</v>
      </c>
      <c r="AH7308">
        <v>13.4324266336665</v>
      </c>
      <c r="AI7308">
        <v>94.736026866822399</v>
      </c>
      <c r="AJ7308">
        <v>88.3713983164334</v>
      </c>
      <c r="AK7308">
        <v>13.4838933155514</v>
      </c>
      <c r="AL7308">
        <v>78.422782983644396</v>
      </c>
      <c r="AM7308">
        <v>85.512964583145603</v>
      </c>
      <c r="AN7308">
        <v>1.0000000556091999</v>
      </c>
    </row>
    <row r="7309" spans="1:40" x14ac:dyDescent="0.25">
      <c r="A7309" t="str">
        <f>"20190312164209286"</f>
        <v>20190312164209286</v>
      </c>
      <c r="B7309" t="str">
        <f>"1552380129273399"</f>
        <v>1552380129273399</v>
      </c>
      <c r="C7309" t="s">
        <v>40</v>
      </c>
      <c r="D7309">
        <v>4.4524419999999996</v>
      </c>
      <c r="E7309">
        <v>0.48631020000000003</v>
      </c>
      <c r="F7309" t="s">
        <v>41</v>
      </c>
      <c r="G7309">
        <v>-70.887829999999994</v>
      </c>
      <c r="H7309" s="1">
        <v>-3.9137560000000002E-6</v>
      </c>
      <c r="I7309">
        <v>139.70050000000001</v>
      </c>
      <c r="J7309">
        <v>-84.422419999999903</v>
      </c>
      <c r="K7309">
        <v>1.1132959999999901</v>
      </c>
      <c r="L7309">
        <v>139.34899999999999</v>
      </c>
      <c r="M7309">
        <v>0.99798370000000003</v>
      </c>
      <c r="N7309">
        <v>0</v>
      </c>
      <c r="O7309">
        <v>5.3519850000000001E-2</v>
      </c>
      <c r="P7309">
        <v>0.98561790000000005</v>
      </c>
      <c r="Q7309">
        <v>0.16715869999999999</v>
      </c>
      <c r="R7309">
        <v>-2.4812859999999999E-2</v>
      </c>
      <c r="S7309">
        <v>3.088654</v>
      </c>
      <c r="T7309">
        <v>-0.2530946</v>
      </c>
      <c r="U7309">
        <v>8.0596920000000002E-2</v>
      </c>
      <c r="V7309">
        <v>7.756739E-2</v>
      </c>
      <c r="W7309">
        <v>0.20059540000000001</v>
      </c>
      <c r="X7309">
        <v>0.97659859999999998</v>
      </c>
      <c r="Y7309">
        <v>2.7214309999999999E-2</v>
      </c>
      <c r="Z7309">
        <v>-5.4906900000000003E-3</v>
      </c>
      <c r="AA7309">
        <v>0.99961449999999996</v>
      </c>
      <c r="AB7309">
        <v>6</v>
      </c>
      <c r="AC7309">
        <v>13.5345899999999</v>
      </c>
      <c r="AD7309">
        <v>-1.11329991375599</v>
      </c>
      <c r="AE7309">
        <v>0.35150000000001502</v>
      </c>
      <c r="AF7309">
        <v>0.37128516375728698</v>
      </c>
      <c r="AG7309">
        <v>-1.11329991375599</v>
      </c>
      <c r="AH7309">
        <v>13.4430974536126</v>
      </c>
      <c r="AI7309">
        <v>94.732391994369806</v>
      </c>
      <c r="AJ7309">
        <v>88.417948964433094</v>
      </c>
      <c r="AK7309">
        <v>13.4942268588504</v>
      </c>
      <c r="AL7309">
        <v>78.428221679432099</v>
      </c>
      <c r="AM7309">
        <v>85.458754804330994</v>
      </c>
      <c r="AN7309">
        <v>1.0000000200072601</v>
      </c>
    </row>
    <row r="7310" spans="1:40" x14ac:dyDescent="0.25">
      <c r="A7310" t="str">
        <f>"20190312164209308"</f>
        <v>20190312164209308</v>
      </c>
      <c r="B7310" t="str">
        <f>"1552380129303655"</f>
        <v>1552380129303655</v>
      </c>
      <c r="C7310" t="s">
        <v>40</v>
      </c>
      <c r="D7310">
        <v>4.4762019999999998</v>
      </c>
      <c r="E7310">
        <v>0.48605159999999997</v>
      </c>
      <c r="F7310" t="s">
        <v>41</v>
      </c>
      <c r="G7310">
        <v>-70.885189999999994</v>
      </c>
      <c r="H7310" s="1">
        <v>-3.911349E-6</v>
      </c>
      <c r="I7310">
        <v>139.68709999999999</v>
      </c>
      <c r="J7310">
        <v>-84.374300000000005</v>
      </c>
      <c r="K7310">
        <v>1.113299</v>
      </c>
      <c r="L7310">
        <v>139.3518</v>
      </c>
      <c r="M7310">
        <v>0.997973</v>
      </c>
      <c r="N7310">
        <v>0</v>
      </c>
      <c r="O7310">
        <v>5.3728819999999997E-2</v>
      </c>
      <c r="P7310">
        <v>0.98565349999999996</v>
      </c>
      <c r="Q7310">
        <v>0.16685759999999999</v>
      </c>
      <c r="R7310">
        <v>-2.5416439999999998E-2</v>
      </c>
      <c r="S7310">
        <v>3.0888059999999999</v>
      </c>
      <c r="T7310">
        <v>-0.25402219999999998</v>
      </c>
      <c r="U7310">
        <v>7.7163699999999905E-2</v>
      </c>
      <c r="V7310">
        <v>7.8381549999999994E-2</v>
      </c>
      <c r="W7310">
        <v>0.20027909999999999</v>
      </c>
      <c r="X7310">
        <v>0.97659850000000004</v>
      </c>
      <c r="Y7310">
        <v>2.8528100000000001E-2</v>
      </c>
      <c r="Z7310">
        <v>-5.5816470000000003E-3</v>
      </c>
      <c r="AA7310">
        <v>0.99957739999999995</v>
      </c>
      <c r="AB7310">
        <v>5</v>
      </c>
      <c r="AC7310">
        <v>13.489109999999901</v>
      </c>
      <c r="AD7310">
        <v>-1.1133029113490001</v>
      </c>
      <c r="AE7310">
        <v>0.335299999999989</v>
      </c>
      <c r="AF7310">
        <v>0.38772125963106202</v>
      </c>
      <c r="AG7310">
        <v>-1.1133029113490001</v>
      </c>
      <c r="AH7310">
        <v>13.396431805522401</v>
      </c>
      <c r="AI7310">
        <v>94.7486377221569</v>
      </c>
      <c r="AJ7310">
        <v>88.342200928905001</v>
      </c>
      <c r="AK7310">
        <v>13.4482027151438</v>
      </c>
      <c r="AL7310">
        <v>78.446719579796394</v>
      </c>
      <c r="AM7310">
        <v>85.411291194951701</v>
      </c>
      <c r="AN7310">
        <v>1.00000000773973</v>
      </c>
    </row>
    <row r="7311" spans="1:40" x14ac:dyDescent="0.25">
      <c r="A7311" t="str">
        <f>"20190312164209330"</f>
        <v>20190312164209330</v>
      </c>
      <c r="B7311" t="str">
        <f>"1552380129323175"</f>
        <v>1552380129323175</v>
      </c>
      <c r="C7311" t="s">
        <v>40</v>
      </c>
      <c r="D7311">
        <v>4.865831</v>
      </c>
      <c r="E7311">
        <v>0.48310760000000003</v>
      </c>
      <c r="F7311" t="s">
        <v>41</v>
      </c>
      <c r="G7311">
        <v>-71.186880000000002</v>
      </c>
      <c r="H7311" s="1">
        <v>-3.7806989999999998E-6</v>
      </c>
      <c r="I7311">
        <v>139.68260000000001</v>
      </c>
      <c r="J7311">
        <v>-84.330439999999996</v>
      </c>
      <c r="K7311">
        <v>1.113302</v>
      </c>
      <c r="L7311">
        <v>139.3544</v>
      </c>
      <c r="M7311">
        <v>0.99796269999999998</v>
      </c>
      <c r="N7311">
        <v>0</v>
      </c>
      <c r="O7311">
        <v>5.3916480000000003E-2</v>
      </c>
      <c r="P7311">
        <v>0.98563800000000001</v>
      </c>
      <c r="Q7311">
        <v>0.16678180000000001</v>
      </c>
      <c r="R7311">
        <v>-2.6484649999999998E-2</v>
      </c>
      <c r="S7311">
        <v>3.0898129999999999</v>
      </c>
      <c r="T7311">
        <v>-0.26084639999999998</v>
      </c>
      <c r="U7311">
        <v>7.7499390000000001E-2</v>
      </c>
      <c r="V7311">
        <v>7.9635510000000007E-2</v>
      </c>
      <c r="W7311">
        <v>0.20020199999999999</v>
      </c>
      <c r="X7311">
        <v>0.97651279999999996</v>
      </c>
      <c r="Y7311">
        <v>2.8599880000000001E-2</v>
      </c>
      <c r="Z7311">
        <v>-5.7480219999999898E-3</v>
      </c>
      <c r="AA7311">
        <v>0.99957439999999997</v>
      </c>
      <c r="AB7311">
        <v>5</v>
      </c>
      <c r="AC7311">
        <v>13.1435599999999</v>
      </c>
      <c r="AD7311">
        <v>-1.1133057806990001</v>
      </c>
      <c r="AE7311">
        <v>0.32820000000000898</v>
      </c>
      <c r="AF7311">
        <v>0.378630176746165</v>
      </c>
      <c r="AG7311">
        <v>-1.1133057806990001</v>
      </c>
      <c r="AH7311">
        <v>13.0485644083882</v>
      </c>
      <c r="AI7311">
        <v>94.874633571380201</v>
      </c>
      <c r="AJ7311">
        <v>88.337914818739705</v>
      </c>
      <c r="AK7311">
        <v>13.1014443361003</v>
      </c>
      <c r="AL7311">
        <v>78.451227748977502</v>
      </c>
      <c r="AM7311">
        <v>85.337794040206205</v>
      </c>
      <c r="AN7311">
        <v>0.99999995191039803</v>
      </c>
    </row>
    <row r="7312" spans="1:40" x14ac:dyDescent="0.25">
      <c r="A7312" t="str">
        <f>"20190312164209352"</f>
        <v>20190312164209352</v>
      </c>
      <c r="B7312" t="str">
        <f>"1552380129343671"</f>
        <v>1552380129343671</v>
      </c>
      <c r="C7312" t="s">
        <v>40</v>
      </c>
      <c r="D7312">
        <v>4.5304960000000003</v>
      </c>
      <c r="E7312">
        <v>0.48666409999999999</v>
      </c>
      <c r="F7312" t="s">
        <v>41</v>
      </c>
      <c r="G7312">
        <v>-73.254769999999994</v>
      </c>
      <c r="H7312" s="1">
        <v>-2.902195E-6</v>
      </c>
      <c r="I7312">
        <v>139.7149</v>
      </c>
      <c r="J7312">
        <v>-84.292649999999995</v>
      </c>
      <c r="K7312">
        <v>1.1133090000000001</v>
      </c>
      <c r="L7312">
        <v>139.35659999999999</v>
      </c>
      <c r="M7312">
        <v>0.9979538</v>
      </c>
      <c r="N7312">
        <v>0</v>
      </c>
      <c r="O7312">
        <v>5.407621E-2</v>
      </c>
      <c r="P7312">
        <v>0.98562850000000002</v>
      </c>
      <c r="Q7312">
        <v>0.16680629999999999</v>
      </c>
      <c r="R7312">
        <v>-2.669206E-2</v>
      </c>
      <c r="S7312">
        <v>3.0991360000000001</v>
      </c>
      <c r="T7312">
        <v>-0.31151820000000002</v>
      </c>
      <c r="U7312">
        <v>0.1008759</v>
      </c>
      <c r="V7312">
        <v>8.0002169999999997E-2</v>
      </c>
      <c r="W7312">
        <v>0.2002324</v>
      </c>
      <c r="X7312">
        <v>0.97647660000000003</v>
      </c>
      <c r="Y7312">
        <v>2.1215479999999998E-2</v>
      </c>
      <c r="Z7312">
        <v>-6.4838140000000001E-3</v>
      </c>
      <c r="AA7312">
        <v>0.99975389999999997</v>
      </c>
      <c r="AB7312">
        <v>5</v>
      </c>
      <c r="AC7312">
        <v>11.037879999999999</v>
      </c>
      <c r="AD7312">
        <v>-1.113311902195</v>
      </c>
      <c r="AE7312">
        <v>0.358300000000014</v>
      </c>
      <c r="AF7312">
        <v>0.23705022588084501</v>
      </c>
      <c r="AG7312">
        <v>-1.113311902195</v>
      </c>
      <c r="AH7312">
        <v>10.930019995570101</v>
      </c>
      <c r="AI7312">
        <v>95.814627187683101</v>
      </c>
      <c r="AJ7312">
        <v>88.757564161138504</v>
      </c>
      <c r="AK7312">
        <v>10.989130689218401</v>
      </c>
      <c r="AL7312">
        <v>78.449450005014498</v>
      </c>
      <c r="AM7312">
        <v>85.316250605268905</v>
      </c>
      <c r="AN7312">
        <v>0.99999995578101297</v>
      </c>
    </row>
    <row r="7313" spans="1:40" x14ac:dyDescent="0.25">
      <c r="A7313" t="str">
        <f>"20190312164209374"</f>
        <v>20190312164209374</v>
      </c>
      <c r="B7313" t="str">
        <f>"1552380129363191"</f>
        <v>1552380129363191</v>
      </c>
      <c r="C7313" t="s">
        <v>40</v>
      </c>
      <c r="D7313">
        <v>4.7917930000000002</v>
      </c>
      <c r="E7313">
        <v>0.48765269999999999</v>
      </c>
      <c r="F7313" t="s">
        <v>41</v>
      </c>
      <c r="G7313">
        <v>-71.613460000000003</v>
      </c>
      <c r="H7313" s="1">
        <v>-3.5870370000000001E-6</v>
      </c>
      <c r="I7313">
        <v>139.64250000000001</v>
      </c>
      <c r="J7313">
        <v>-84.25658</v>
      </c>
      <c r="K7313">
        <v>1.1133109999999999</v>
      </c>
      <c r="L7313">
        <v>139.3588</v>
      </c>
      <c r="M7313">
        <v>0.99794519999999998</v>
      </c>
      <c r="N7313">
        <v>0</v>
      </c>
      <c r="O7313">
        <v>5.4229220000000002E-2</v>
      </c>
      <c r="P7313">
        <v>0.98575860000000004</v>
      </c>
      <c r="Q7313">
        <v>0.16597619999999999</v>
      </c>
      <c r="R7313">
        <v>-2.7058949999999998E-2</v>
      </c>
      <c r="S7313">
        <v>3.0915680000000001</v>
      </c>
      <c r="T7313">
        <v>-0.27145859999999999</v>
      </c>
      <c r="U7313">
        <v>6.9702150000000004E-2</v>
      </c>
      <c r="V7313">
        <v>8.0529169999999997E-2</v>
      </c>
      <c r="W7313">
        <v>0.19941339999999999</v>
      </c>
      <c r="X7313">
        <v>0.97660089999999999</v>
      </c>
      <c r="Y7313">
        <v>3.1410880000000002E-2</v>
      </c>
      <c r="Z7313">
        <v>-6.1284149999999999E-3</v>
      </c>
      <c r="AA7313">
        <v>0.99948780000000004</v>
      </c>
      <c r="AB7313">
        <v>4</v>
      </c>
      <c r="AC7313">
        <v>12.6431199999999</v>
      </c>
      <c r="AD7313">
        <v>-1.113314587037</v>
      </c>
      <c r="AE7313">
        <v>0.28370000000001</v>
      </c>
      <c r="AF7313">
        <v>0.39964675082092799</v>
      </c>
      <c r="AG7313">
        <v>-1.113314587037</v>
      </c>
      <c r="AH7313">
        <v>12.542680572763899</v>
      </c>
      <c r="AI7313">
        <v>95.069840397051493</v>
      </c>
      <c r="AJ7313">
        <v>88.175005124817901</v>
      </c>
      <c r="AK7313">
        <v>12.598334129778401</v>
      </c>
      <c r="AL7313">
        <v>78.497341454665502</v>
      </c>
      <c r="AM7313">
        <v>85.286133208391803</v>
      </c>
      <c r="AN7313">
        <v>0.999999984600629</v>
      </c>
    </row>
    <row r="7314" spans="1:40" x14ac:dyDescent="0.25">
      <c r="A7314" t="str">
        <f>"20190312164209397"</f>
        <v>20190312164209397</v>
      </c>
      <c r="B7314" t="str">
        <f>"1552380129393447"</f>
        <v>1552380129393447</v>
      </c>
      <c r="C7314" t="s">
        <v>40</v>
      </c>
      <c r="D7314">
        <v>4.6233399999999998</v>
      </c>
      <c r="E7314">
        <v>0.48918709999999999</v>
      </c>
      <c r="F7314" t="s">
        <v>41</v>
      </c>
      <c r="G7314">
        <v>-71.902600000000007</v>
      </c>
      <c r="H7314" s="1">
        <v>-3.4581840000000002E-6</v>
      </c>
      <c r="I7314">
        <v>139.6045</v>
      </c>
      <c r="J7314">
        <v>-84.225809999999996</v>
      </c>
      <c r="K7314">
        <v>1.11331</v>
      </c>
      <c r="L7314">
        <v>139.36060000000001</v>
      </c>
      <c r="M7314">
        <v>0.99793770000000004</v>
      </c>
      <c r="N7314">
        <v>0</v>
      </c>
      <c r="O7314">
        <v>5.4361039999999999E-2</v>
      </c>
      <c r="P7314">
        <v>0.98579720000000004</v>
      </c>
      <c r="Q7314">
        <v>0.1655874</v>
      </c>
      <c r="R7314">
        <v>-2.8019769999999999E-2</v>
      </c>
      <c r="S7314">
        <v>3.0919490000000001</v>
      </c>
      <c r="T7314">
        <v>-0.27863909999999997</v>
      </c>
      <c r="U7314">
        <v>6.1508180000000003E-2</v>
      </c>
      <c r="V7314">
        <v>8.1623230000000005E-2</v>
      </c>
      <c r="W7314">
        <v>0.1990316</v>
      </c>
      <c r="X7314">
        <v>0.97658800000000001</v>
      </c>
      <c r="Y7314">
        <v>3.4163899999999997E-2</v>
      </c>
      <c r="Z7314">
        <v>-6.4249969999999896E-3</v>
      </c>
      <c r="AA7314">
        <v>0.99939560000000005</v>
      </c>
      <c r="AB7314">
        <v>4</v>
      </c>
      <c r="AC7314">
        <v>12.3232099999999</v>
      </c>
      <c r="AD7314">
        <v>-1.1133134581839901</v>
      </c>
      <c r="AE7314">
        <v>0.24389999999999601</v>
      </c>
      <c r="AF7314">
        <v>0.42330065875568401</v>
      </c>
      <c r="AG7314">
        <v>-1.1133134581839901</v>
      </c>
      <c r="AH7314">
        <v>12.218546768021399</v>
      </c>
      <c r="AI7314">
        <v>95.203121025273703</v>
      </c>
      <c r="AJ7314">
        <v>88.015832358380095</v>
      </c>
      <c r="AK7314">
        <v>12.2764626593414</v>
      </c>
      <c r="AL7314">
        <v>78.519664941737204</v>
      </c>
      <c r="AM7314">
        <v>85.222322816820807</v>
      </c>
      <c r="AN7314">
        <v>1.00000002560909</v>
      </c>
    </row>
    <row r="7315" spans="1:40" x14ac:dyDescent="0.25">
      <c r="A7315" t="str">
        <f>"20190312164209420"</f>
        <v>20190312164209420</v>
      </c>
      <c r="B7315" t="str">
        <f>"1552380129412967"</f>
        <v>1552380129412967</v>
      </c>
      <c r="C7315" t="s">
        <v>40</v>
      </c>
      <c r="D7315">
        <v>4.568791</v>
      </c>
      <c r="E7315">
        <v>0.51244769999999995</v>
      </c>
      <c r="F7315" t="s">
        <v>41</v>
      </c>
      <c r="G7315">
        <v>-71.992230000000006</v>
      </c>
      <c r="H7315" s="1">
        <v>-3.4305680000000002E-6</v>
      </c>
      <c r="I7315">
        <v>139.54339999999999</v>
      </c>
      <c r="J7315">
        <v>-84.198719999999994</v>
      </c>
      <c r="K7315">
        <v>1.1133090000000001</v>
      </c>
      <c r="L7315">
        <v>139.3622</v>
      </c>
      <c r="M7315">
        <v>0.99793089999999995</v>
      </c>
      <c r="N7315">
        <v>0</v>
      </c>
      <c r="O7315">
        <v>5.4476820000000002E-2</v>
      </c>
      <c r="P7315">
        <v>0.98588180000000003</v>
      </c>
      <c r="Q7315">
        <v>0.1649513</v>
      </c>
      <c r="R7315">
        <v>-2.8777759999999999E-2</v>
      </c>
      <c r="S7315">
        <v>3.0917819999999998</v>
      </c>
      <c r="T7315">
        <v>-0.281366</v>
      </c>
      <c r="U7315">
        <v>4.6203609999999999E-2</v>
      </c>
      <c r="V7315">
        <v>8.250122E-2</v>
      </c>
      <c r="W7315">
        <v>0.19840679999999999</v>
      </c>
      <c r="X7315">
        <v>0.97664139999999999</v>
      </c>
      <c r="Y7315">
        <v>3.9195519999999998E-2</v>
      </c>
      <c r="Z7315">
        <v>-6.7273849999999998E-3</v>
      </c>
      <c r="AA7315">
        <v>0.99920889999999996</v>
      </c>
      <c r="AB7315">
        <v>3</v>
      </c>
      <c r="AC7315">
        <v>12.206489999999899</v>
      </c>
      <c r="AD7315">
        <v>-1.113312430568</v>
      </c>
      <c r="AE7315">
        <v>0.18119999999998901</v>
      </c>
      <c r="AF7315">
        <v>0.48043256397622103</v>
      </c>
      <c r="AG7315">
        <v>-1.113312430568</v>
      </c>
      <c r="AH7315">
        <v>12.0976060752016</v>
      </c>
      <c r="AI7315">
        <v>95.253859128466303</v>
      </c>
      <c r="AJ7315">
        <v>87.725806186657195</v>
      </c>
      <c r="AK7315">
        <v>12.158221612034399</v>
      </c>
      <c r="AL7315">
        <v>78.556192298279996</v>
      </c>
      <c r="AM7315">
        <v>85.171435666797905</v>
      </c>
      <c r="AN7315">
        <v>1.00000006689084</v>
      </c>
    </row>
    <row r="7316" spans="1:40" x14ac:dyDescent="0.25">
      <c r="A7316" t="str">
        <f>"20190312164209441"</f>
        <v>20190312164209441</v>
      </c>
      <c r="B7316" t="str">
        <f>"1552380129433463"</f>
        <v>1552380129433463</v>
      </c>
      <c r="C7316" t="s">
        <v>40</v>
      </c>
      <c r="D7316">
        <v>4.5921180000000001</v>
      </c>
      <c r="E7316">
        <v>0.51750450000000003</v>
      </c>
      <c r="F7316" t="s">
        <v>41</v>
      </c>
      <c r="G7316">
        <v>-71.822369999999907</v>
      </c>
      <c r="H7316" s="1">
        <v>-3.6371319999999999E-6</v>
      </c>
      <c r="I7316">
        <v>138.78970000000001</v>
      </c>
      <c r="J7316">
        <v>-84.177149999999997</v>
      </c>
      <c r="K7316">
        <v>1.113313</v>
      </c>
      <c r="L7316">
        <v>139.36349999999999</v>
      </c>
      <c r="M7316">
        <v>0.99792570000000003</v>
      </c>
      <c r="N7316">
        <v>0</v>
      </c>
      <c r="O7316">
        <v>5.4568119999999998E-2</v>
      </c>
      <c r="P7316">
        <v>0.98584649999999996</v>
      </c>
      <c r="Q7316">
        <v>0.164942899999999</v>
      </c>
      <c r="R7316">
        <v>-3.000831E-2</v>
      </c>
      <c r="S7316">
        <v>3.0852200000000001</v>
      </c>
      <c r="T7316">
        <v>-0.2775301</v>
      </c>
      <c r="U7316">
        <v>-0.1427155</v>
      </c>
      <c r="V7316">
        <v>8.3819840000000007E-2</v>
      </c>
      <c r="W7316">
        <v>0.19840070000000001</v>
      </c>
      <c r="X7316">
        <v>0.97653029999999996</v>
      </c>
      <c r="Y7316">
        <v>0.1000577</v>
      </c>
      <c r="Z7316">
        <v>-9.3876169999999991E-3</v>
      </c>
      <c r="AA7316">
        <v>0.99493739999999997</v>
      </c>
      <c r="AB7316">
        <v>3</v>
      </c>
      <c r="AC7316">
        <v>12.35478</v>
      </c>
      <c r="AD7316">
        <v>-1.113316637132</v>
      </c>
      <c r="AE7316">
        <v>-0.573799999999977</v>
      </c>
      <c r="AF7316">
        <v>1.2374877485039399</v>
      </c>
      <c r="AG7316">
        <v>-1.113316637132</v>
      </c>
      <c r="AH7316">
        <v>12.206118082075299</v>
      </c>
      <c r="AI7316">
        <v>95.185079030293906</v>
      </c>
      <c r="AJ7316">
        <v>84.210985938598498</v>
      </c>
      <c r="AK7316">
        <v>12.319097714352999</v>
      </c>
      <c r="AL7316">
        <v>78.556548290520396</v>
      </c>
      <c r="AM7316">
        <v>85.094078818550102</v>
      </c>
      <c r="AN7316">
        <v>1.0000000150781001</v>
      </c>
    </row>
    <row r="7317" spans="1:40" x14ac:dyDescent="0.25">
      <c r="A7317" t="str">
        <f>"20190312164209463"</f>
        <v>20190312164209463</v>
      </c>
      <c r="B7317" t="str">
        <f>"1552380129452983"</f>
        <v>1552380129452983</v>
      </c>
      <c r="C7317" t="s">
        <v>40</v>
      </c>
      <c r="D7317">
        <v>4.6144160000000003</v>
      </c>
      <c r="E7317">
        <v>0.51899680000000004</v>
      </c>
      <c r="F7317" t="s">
        <v>41</v>
      </c>
      <c r="G7317">
        <v>-71.476010000000002</v>
      </c>
      <c r="H7317" s="1">
        <v>-3.820227E-6</v>
      </c>
      <c r="I7317">
        <v>138.59520000000001</v>
      </c>
      <c r="J7317">
        <v>-84.15889</v>
      </c>
      <c r="K7317">
        <v>1.1133040000000001</v>
      </c>
      <c r="L7317">
        <v>139.3646</v>
      </c>
      <c r="M7317">
        <v>0.99792340000000002</v>
      </c>
      <c r="N7317">
        <v>0</v>
      </c>
      <c r="O7317">
        <v>5.4644959999999999E-2</v>
      </c>
      <c r="P7317">
        <v>0.985788</v>
      </c>
      <c r="Q7317">
        <v>0.16497790000000001</v>
      </c>
      <c r="R7317">
        <v>-3.1694979999999998E-2</v>
      </c>
      <c r="S7317">
        <v>3.082611</v>
      </c>
      <c r="T7317">
        <v>-0.27020529999999998</v>
      </c>
      <c r="U7317">
        <v>-0.1864777</v>
      </c>
      <c r="V7317">
        <v>8.5577799999999996E-2</v>
      </c>
      <c r="W7317">
        <v>0.19837920000000001</v>
      </c>
      <c r="X7317">
        <v>0.97638210000000003</v>
      </c>
      <c r="Y7317">
        <v>0.11422400000000001</v>
      </c>
      <c r="Z7317">
        <v>-9.7713580000000008E-3</v>
      </c>
      <c r="AA7317">
        <v>0.99340700000000004</v>
      </c>
      <c r="AB7317">
        <v>2</v>
      </c>
      <c r="AC7317">
        <v>12.6828799999999</v>
      </c>
      <c r="AD7317">
        <v>-1.1133078202269999</v>
      </c>
      <c r="AE7317">
        <v>-0.76939999999998998</v>
      </c>
      <c r="AF7317">
        <v>1.4505715903365299</v>
      </c>
      <c r="AG7317">
        <v>-1.1133078202269999</v>
      </c>
      <c r="AH7317">
        <v>12.5256781002868</v>
      </c>
      <c r="AI7317">
        <v>95.045672123258399</v>
      </c>
      <c r="AJ7317">
        <v>83.394126724278095</v>
      </c>
      <c r="AK7317">
        <v>12.658444774666201</v>
      </c>
      <c r="AL7317">
        <v>78.557804214996295</v>
      </c>
      <c r="AM7317">
        <v>84.990948219129095</v>
      </c>
      <c r="AN7317">
        <v>0.99999993602294301</v>
      </c>
    </row>
    <row r="7318" spans="1:40" x14ac:dyDescent="0.25">
      <c r="A7318" t="str">
        <f>"20190312164209487"</f>
        <v>20190312164209487</v>
      </c>
      <c r="B7318" t="str">
        <f>"1552380129483239"</f>
        <v>1552380129483239</v>
      </c>
      <c r="C7318" t="s">
        <v>40</v>
      </c>
      <c r="D7318">
        <v>4.5557600000000003</v>
      </c>
      <c r="E7318">
        <v>0.52026039999999996</v>
      </c>
      <c r="F7318" t="s">
        <v>41</v>
      </c>
      <c r="G7318">
        <v>-71.187550000000002</v>
      </c>
      <c r="H7318" s="1">
        <v>-3.9599190000000003E-6</v>
      </c>
      <c r="I7318">
        <v>138.50530000000001</v>
      </c>
      <c r="J7318">
        <v>-84.143829999999994</v>
      </c>
      <c r="K7318">
        <v>1.113254</v>
      </c>
      <c r="L7318">
        <v>139.3655</v>
      </c>
      <c r="M7318">
        <v>0.99792670000000006</v>
      </c>
      <c r="N7318">
        <v>0</v>
      </c>
      <c r="O7318">
        <v>5.4709679999999997E-2</v>
      </c>
      <c r="P7318">
        <v>0.98584260000000001</v>
      </c>
      <c r="Q7318">
        <v>0.16450039999999999</v>
      </c>
      <c r="R7318">
        <v>-3.2470699999999998E-2</v>
      </c>
      <c r="S7318">
        <v>3.0809479999999998</v>
      </c>
      <c r="T7318">
        <v>-0.264432</v>
      </c>
      <c r="U7318">
        <v>-0.20410159999999999</v>
      </c>
      <c r="V7318">
        <v>8.6419019999999999E-2</v>
      </c>
      <c r="W7318">
        <v>0.1977015</v>
      </c>
      <c r="X7318">
        <v>0.97644560000000002</v>
      </c>
      <c r="Y7318">
        <v>0.1199838</v>
      </c>
      <c r="Z7318">
        <v>-9.8189100000000001E-3</v>
      </c>
      <c r="AA7318">
        <v>0.99272729999999998</v>
      </c>
      <c r="AB7318">
        <v>2</v>
      </c>
      <c r="AC7318">
        <v>12.95628</v>
      </c>
      <c r="AD7318">
        <v>-1.113257959919</v>
      </c>
      <c r="AE7318">
        <v>-0.86019999999999097</v>
      </c>
      <c r="AF7318">
        <v>1.5567090680125799</v>
      </c>
      <c r="AG7318">
        <v>-1.113257959919</v>
      </c>
      <c r="AH7318">
        <v>12.7957090464004</v>
      </c>
      <c r="AI7318">
        <v>94.936138616961003</v>
      </c>
      <c r="AJ7318">
        <v>83.063558787543002</v>
      </c>
      <c r="AK7318">
        <v>12.9380391253037</v>
      </c>
      <c r="AL7318">
        <v>78.597419714858106</v>
      </c>
      <c r="AM7318">
        <v>84.942291225915497</v>
      </c>
      <c r="AN7318">
        <v>1.00000006993968</v>
      </c>
    </row>
    <row r="7319" spans="1:40" x14ac:dyDescent="0.25">
      <c r="A7319" t="str">
        <f>"20190312164209509"</f>
        <v>20190312164209509</v>
      </c>
      <c r="B7319" t="str">
        <f>"1552380129503739"</f>
        <v>1552380129503739</v>
      </c>
      <c r="C7319" t="s">
        <v>40</v>
      </c>
      <c r="D7319">
        <v>4.5959430000000001</v>
      </c>
      <c r="E7319">
        <v>0.52071520000000004</v>
      </c>
      <c r="F7319" t="s">
        <v>41</v>
      </c>
      <c r="G7319">
        <v>-71.216319999999996</v>
      </c>
      <c r="H7319" s="1">
        <v>-3.9561509999999996E-6</v>
      </c>
      <c r="I7319">
        <v>138.45689999999999</v>
      </c>
      <c r="J7319">
        <v>-84.131810000000002</v>
      </c>
      <c r="K7319">
        <v>1.1131450000000001</v>
      </c>
      <c r="L7319">
        <v>139.36619999999999</v>
      </c>
      <c r="M7319">
        <v>0.99793869999999896</v>
      </c>
      <c r="N7319">
        <v>0</v>
      </c>
      <c r="O7319">
        <v>5.4764670000000001E-2</v>
      </c>
      <c r="P7319">
        <v>0.98601110000000003</v>
      </c>
      <c r="Q7319">
        <v>0.16324340000000001</v>
      </c>
      <c r="R7319">
        <v>-3.367643E-2</v>
      </c>
      <c r="S7319">
        <v>3.0802309999999999</v>
      </c>
      <c r="T7319">
        <v>-0.26525470000000001</v>
      </c>
      <c r="U7319">
        <v>-0.21647640000000001</v>
      </c>
      <c r="V7319">
        <v>8.7684890000000001E-2</v>
      </c>
      <c r="W7319">
        <v>0.1960133</v>
      </c>
      <c r="X7319">
        <v>0.97667300000000001</v>
      </c>
      <c r="Y7319">
        <v>0.1240026</v>
      </c>
      <c r="Z7319">
        <v>-1.0027579999999999E-2</v>
      </c>
      <c r="AA7319">
        <v>0.99223119999999998</v>
      </c>
      <c r="AB7319">
        <v>2</v>
      </c>
      <c r="AC7319">
        <v>12.91549</v>
      </c>
      <c r="AD7319">
        <v>-1.113148956151</v>
      </c>
      <c r="AE7319">
        <v>-0.909300000000001</v>
      </c>
      <c r="AF7319">
        <v>1.6037880278719201</v>
      </c>
      <c r="AG7319">
        <v>-1.113148956151</v>
      </c>
      <c r="AH7319">
        <v>12.7520029651364</v>
      </c>
      <c r="AI7319">
        <v>94.950023566909096</v>
      </c>
      <c r="AJ7319">
        <v>82.831687579863498</v>
      </c>
      <c r="AK7319">
        <v>12.900574260852601</v>
      </c>
      <c r="AL7319">
        <v>78.696076182479501</v>
      </c>
      <c r="AM7319">
        <v>84.869786729278005</v>
      </c>
      <c r="AN7319">
        <v>1.0000000013201</v>
      </c>
    </row>
    <row r="7320" spans="1:40" x14ac:dyDescent="0.25">
      <c r="A7320" t="str">
        <f>"20190312164209532"</f>
        <v>20190312164209532</v>
      </c>
      <c r="B7320" t="str">
        <f>"1552380129523255"</f>
        <v>1552380129523255</v>
      </c>
      <c r="C7320" t="s">
        <v>40</v>
      </c>
      <c r="D7320">
        <v>4.5570500000000003</v>
      </c>
      <c r="E7320">
        <v>0.52095369999999996</v>
      </c>
      <c r="F7320" t="s">
        <v>41</v>
      </c>
      <c r="G7320">
        <v>-71.454750000000004</v>
      </c>
      <c r="H7320" s="1">
        <v>-3.8553789999999996E-6</v>
      </c>
      <c r="I7320">
        <v>138.44839999999999</v>
      </c>
      <c r="J7320">
        <v>-84.122419999999906</v>
      </c>
      <c r="K7320">
        <v>1.112986</v>
      </c>
      <c r="L7320">
        <v>139.36680000000001</v>
      </c>
      <c r="M7320">
        <v>0.99795940000000005</v>
      </c>
      <c r="N7320">
        <v>0</v>
      </c>
      <c r="O7320">
        <v>5.4810490000000003E-2</v>
      </c>
      <c r="P7320">
        <v>0.98619429999999997</v>
      </c>
      <c r="Q7320">
        <v>0.16183629999999999</v>
      </c>
      <c r="R7320">
        <v>-3.5071949999999998E-2</v>
      </c>
      <c r="S7320">
        <v>3.0797119999999998</v>
      </c>
      <c r="T7320">
        <v>-0.27042329999999998</v>
      </c>
      <c r="U7320">
        <v>-0.2229614</v>
      </c>
      <c r="V7320">
        <v>8.9130680000000004E-2</v>
      </c>
      <c r="W7320">
        <v>0.1939274</v>
      </c>
      <c r="X7320">
        <v>0.97695849999999995</v>
      </c>
      <c r="Y7320">
        <v>0.12610279999999999</v>
      </c>
      <c r="Z7320">
        <v>-1.031906E-2</v>
      </c>
      <c r="AA7320">
        <v>0.9919635</v>
      </c>
      <c r="AB7320">
        <v>1</v>
      </c>
      <c r="AC7320">
        <v>12.6676699999999</v>
      </c>
      <c r="AD7320">
        <v>-1.1129898553790001</v>
      </c>
      <c r="AE7320">
        <v>-0.91840000000001898</v>
      </c>
      <c r="AF7320">
        <v>1.5994296714443399</v>
      </c>
      <c r="AG7320">
        <v>-1.1129898553790001</v>
      </c>
      <c r="AH7320">
        <v>12.502235870495401</v>
      </c>
      <c r="AI7320">
        <v>95.046333808435506</v>
      </c>
      <c r="AJ7320">
        <v>82.709665745696896</v>
      </c>
      <c r="AK7320">
        <v>12.653174441758701</v>
      </c>
      <c r="AL7320">
        <v>78.817928042299698</v>
      </c>
      <c r="AM7320">
        <v>84.787175295118601</v>
      </c>
      <c r="AN7320">
        <v>1.0000000126551301</v>
      </c>
    </row>
    <row r="7321" spans="1:40" x14ac:dyDescent="0.25">
      <c r="A7321" t="str">
        <f>"20190312164209553"</f>
        <v>20190312164209553</v>
      </c>
      <c r="B7321" t="str">
        <f>"1552380129543752"</f>
        <v>1552380129543752</v>
      </c>
      <c r="C7321" t="s">
        <v>40</v>
      </c>
      <c r="D7321">
        <v>4.5796549999999998</v>
      </c>
      <c r="E7321">
        <v>0.52108169999999998</v>
      </c>
      <c r="F7321" t="s">
        <v>41</v>
      </c>
      <c r="G7321">
        <v>-71.647239999999996</v>
      </c>
      <c r="H7321" s="1">
        <v>-3.7743259999999999E-6</v>
      </c>
      <c r="I7321">
        <v>138.43979999999999</v>
      </c>
      <c r="J7321">
        <v>-84.114819999999995</v>
      </c>
      <c r="K7321">
        <v>1.1127940000000001</v>
      </c>
      <c r="L7321">
        <v>139.3672</v>
      </c>
      <c r="M7321">
        <v>0.99798730000000002</v>
      </c>
      <c r="N7321">
        <v>0</v>
      </c>
      <c r="O7321">
        <v>5.4850530000000002E-2</v>
      </c>
      <c r="P7321">
        <v>0.98633099999999996</v>
      </c>
      <c r="Q7321">
        <v>0.16077439999999901</v>
      </c>
      <c r="R7321">
        <v>-3.609325E-2</v>
      </c>
      <c r="S7321">
        <v>3.0789339999999998</v>
      </c>
      <c r="T7321">
        <v>-0.27469060000000001</v>
      </c>
      <c r="U7321">
        <v>-0.22877500000000001</v>
      </c>
      <c r="V7321">
        <v>9.0193499999999996E-2</v>
      </c>
      <c r="W7321">
        <v>0.19195860000000001</v>
      </c>
      <c r="X7321">
        <v>0.9772497</v>
      </c>
      <c r="Y7321">
        <v>0.12799189999999999</v>
      </c>
      <c r="Z7321">
        <v>-1.0570639999999999E-2</v>
      </c>
      <c r="AA7321">
        <v>0.99171889999999996</v>
      </c>
      <c r="AB7321">
        <v>1</v>
      </c>
      <c r="AC7321">
        <v>12.4675799999999</v>
      </c>
      <c r="AD7321">
        <v>-1.112797774326</v>
      </c>
      <c r="AE7321">
        <v>-0.927400000000005</v>
      </c>
      <c r="AF7321">
        <v>1.5975455477155001</v>
      </c>
      <c r="AG7321">
        <v>-1.112797774326</v>
      </c>
      <c r="AH7321">
        <v>12.3004453901563</v>
      </c>
      <c r="AI7321">
        <v>95.126543147696196</v>
      </c>
      <c r="AJ7321">
        <v>82.600015483341295</v>
      </c>
      <c r="AK7321">
        <v>12.453570871833801</v>
      </c>
      <c r="AL7321">
        <v>78.9328917376275</v>
      </c>
      <c r="AM7321">
        <v>84.726927493396104</v>
      </c>
      <c r="AN7321">
        <v>0.99999997385314898</v>
      </c>
    </row>
    <row r="7322" spans="1:40" x14ac:dyDescent="0.25">
      <c r="A7322" t="str">
        <f>"20190312164209575"</f>
        <v>20190312164209575</v>
      </c>
      <c r="B7322" t="str">
        <f>"1552380129563272"</f>
        <v>1552380129563272</v>
      </c>
      <c r="C7322" t="s">
        <v>40</v>
      </c>
      <c r="D7322">
        <v>4.579726</v>
      </c>
      <c r="E7322">
        <v>0.52105080000000004</v>
      </c>
      <c r="F7322" t="s">
        <v>41</v>
      </c>
      <c r="G7322">
        <v>-71.88306</v>
      </c>
      <c r="H7322" s="1">
        <v>-3.6727060000000002E-6</v>
      </c>
      <c r="I7322">
        <v>138.44239999999999</v>
      </c>
      <c r="J7322">
        <v>-84.108319999999907</v>
      </c>
      <c r="K7322">
        <v>1.1125849999999999</v>
      </c>
      <c r="L7322">
        <v>139.36760000000001</v>
      </c>
      <c r="M7322">
        <v>0.99802159999999995</v>
      </c>
      <c r="N7322">
        <v>0</v>
      </c>
      <c r="O7322">
        <v>5.4886320000000002E-2</v>
      </c>
      <c r="P7322">
        <v>0.98630910000000005</v>
      </c>
      <c r="Q7322">
        <v>0.16063329999999901</v>
      </c>
      <c r="R7322">
        <v>-3.7305810000000002E-2</v>
      </c>
      <c r="S7322">
        <v>3.0787200000000001</v>
      </c>
      <c r="T7322">
        <v>-0.28008909999999998</v>
      </c>
      <c r="U7322">
        <v>-0.2327728</v>
      </c>
      <c r="V7322">
        <v>9.1434020000000005E-2</v>
      </c>
      <c r="W7322">
        <v>0.19068650000000001</v>
      </c>
      <c r="X7322">
        <v>0.97738349999999996</v>
      </c>
      <c r="Y7322">
        <v>0.129277</v>
      </c>
      <c r="Z7322">
        <v>-1.0839130000000001E-2</v>
      </c>
      <c r="AA7322">
        <v>0.99154929999999997</v>
      </c>
      <c r="AB7322">
        <v>1</v>
      </c>
      <c r="AC7322">
        <v>12.225259999999899</v>
      </c>
      <c r="AD7322">
        <v>-1.1125886727059999</v>
      </c>
      <c r="AE7322">
        <v>-0.92520000000001701</v>
      </c>
      <c r="AF7322">
        <v>1.5820905095814599</v>
      </c>
      <c r="AG7322">
        <v>-1.1125886727059999</v>
      </c>
      <c r="AH7322">
        <v>12.056720493742899</v>
      </c>
      <c r="AI7322">
        <v>95.227732619030903</v>
      </c>
      <c r="AJ7322">
        <v>82.524323742438796</v>
      </c>
      <c r="AK7322">
        <v>12.210871099122301</v>
      </c>
      <c r="AL7322">
        <v>79.007149896217101</v>
      </c>
      <c r="AM7322">
        <v>84.655546482255801</v>
      </c>
      <c r="AN7322">
        <v>1.00000001368393</v>
      </c>
    </row>
    <row r="7323" spans="1:40" x14ac:dyDescent="0.25">
      <c r="A7323" t="str">
        <f>"20190312164209599"</f>
        <v>20190312164209599</v>
      </c>
      <c r="B7323" t="str">
        <f>"1552380129593527"</f>
        <v>1552380129593527</v>
      </c>
      <c r="C7323" t="s">
        <v>40</v>
      </c>
      <c r="D7323">
        <v>4.5489449999999998</v>
      </c>
      <c r="E7323">
        <v>0.52068729999999996</v>
      </c>
      <c r="F7323" t="s">
        <v>41</v>
      </c>
      <c r="G7323">
        <v>-71.931430000000006</v>
      </c>
      <c r="H7323" s="1">
        <v>-3.6534809999999999E-6</v>
      </c>
      <c r="I7323">
        <v>138.43379999999999</v>
      </c>
      <c r="J7323">
        <v>-84.102999999999994</v>
      </c>
      <c r="K7323">
        <v>1.112371</v>
      </c>
      <c r="L7323">
        <v>139.36789999999999</v>
      </c>
      <c r="M7323">
        <v>0.99805829999999995</v>
      </c>
      <c r="N7323">
        <v>0</v>
      </c>
      <c r="O7323">
        <v>5.4916590000000001E-2</v>
      </c>
      <c r="P7323">
        <v>0.98631310000000005</v>
      </c>
      <c r="Q7323">
        <v>0.16043560000000001</v>
      </c>
      <c r="R7323">
        <v>-3.8041110000000003E-2</v>
      </c>
      <c r="S7323">
        <v>3.078522</v>
      </c>
      <c r="T7323">
        <v>-0.28128039999999999</v>
      </c>
      <c r="U7323">
        <v>-0.23608399999999999</v>
      </c>
      <c r="V7323">
        <v>9.2194150000000002E-2</v>
      </c>
      <c r="W7323">
        <v>0.1892413</v>
      </c>
      <c r="X7323">
        <v>0.97759289999999999</v>
      </c>
      <c r="Y7323">
        <v>0.130359</v>
      </c>
      <c r="Z7323">
        <v>-1.093715E-2</v>
      </c>
      <c r="AA7323">
        <v>0.99140660000000003</v>
      </c>
      <c r="AB7323">
        <v>1</v>
      </c>
      <c r="AC7323">
        <v>12.1715699999999</v>
      </c>
      <c r="AD7323">
        <v>-1.112374653481</v>
      </c>
      <c r="AE7323">
        <v>-0.93410000000000004</v>
      </c>
      <c r="AF7323">
        <v>1.58821153352833</v>
      </c>
      <c r="AG7323">
        <v>-1.112374653481</v>
      </c>
      <c r="AH7323">
        <v>12.0022070560966</v>
      </c>
      <c r="AI7323">
        <v>95.249591893906199</v>
      </c>
      <c r="AJ7323">
        <v>82.462036801428795</v>
      </c>
      <c r="AK7323">
        <v>12.1578274153878</v>
      </c>
      <c r="AL7323">
        <v>79.091488844058802</v>
      </c>
      <c r="AM7323">
        <v>84.612523679422793</v>
      </c>
      <c r="AN7323">
        <v>0.99999995452516</v>
      </c>
    </row>
    <row r="7324" spans="1:40" x14ac:dyDescent="0.25">
      <c r="A7324" t="str">
        <f>"20190312164209620"</f>
        <v>20190312164209620</v>
      </c>
      <c r="B7324" t="str">
        <f>"1552380129613047"</f>
        <v>1552380129613047</v>
      </c>
      <c r="C7324" t="s">
        <v>40</v>
      </c>
      <c r="D7324">
        <v>4.5496270000000001</v>
      </c>
      <c r="E7324">
        <v>0.52059739999999999</v>
      </c>
      <c r="F7324" t="s">
        <v>41</v>
      </c>
      <c r="G7324">
        <v>-71.941959999999995</v>
      </c>
      <c r="H7324" s="1">
        <v>-3.6481580000000002E-6</v>
      </c>
      <c r="I7324">
        <v>138.4383</v>
      </c>
      <c r="J7324">
        <v>-84.098919999999893</v>
      </c>
      <c r="K7324">
        <v>1.1121829999999999</v>
      </c>
      <c r="L7324">
        <v>139.3682</v>
      </c>
      <c r="M7324">
        <v>0.99809340000000002</v>
      </c>
      <c r="N7324">
        <v>0</v>
      </c>
      <c r="O7324">
        <v>5.494044E-2</v>
      </c>
      <c r="P7324">
        <v>0.98645559999999999</v>
      </c>
      <c r="Q7324">
        <v>0.1593975</v>
      </c>
      <c r="R7324">
        <v>-3.87061E-2</v>
      </c>
      <c r="S7324">
        <v>3.0783689999999999</v>
      </c>
      <c r="T7324">
        <v>-0.28157890000000002</v>
      </c>
      <c r="U7324">
        <v>-0.23530580000000001</v>
      </c>
      <c r="V7324">
        <v>9.2885549999999997E-2</v>
      </c>
      <c r="W7324">
        <v>0.18697</v>
      </c>
      <c r="X7324">
        <v>0.97796450000000001</v>
      </c>
      <c r="Y7324">
        <v>0.13013440000000001</v>
      </c>
      <c r="Z7324">
        <v>-1.09411E-2</v>
      </c>
      <c r="AA7324">
        <v>0.99143599999999998</v>
      </c>
      <c r="AB7324">
        <v>1</v>
      </c>
      <c r="AC7324">
        <v>12.1569599999999</v>
      </c>
      <c r="AD7324">
        <v>-1.1121866481579901</v>
      </c>
      <c r="AE7324">
        <v>-0.92990000000000295</v>
      </c>
      <c r="AF7324">
        <v>1.5834913634047401</v>
      </c>
      <c r="AG7324">
        <v>-1.1121866481579901</v>
      </c>
      <c r="AH7324">
        <v>11.987725646162801</v>
      </c>
      <c r="AI7324">
        <v>95.2551734904917</v>
      </c>
      <c r="AJ7324">
        <v>82.475207894218002</v>
      </c>
      <c r="AK7324">
        <v>12.1428979327831</v>
      </c>
      <c r="AL7324">
        <v>79.223990967908605</v>
      </c>
      <c r="AM7324">
        <v>84.574411321563602</v>
      </c>
      <c r="AN7324">
        <v>1.0000000347795199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2020-05-20T14:51:12Z</dcterms:created>
  <dcterms:modified xsi:type="dcterms:W3CDTF">2020-05-20T14:51:13Z</dcterms:modified>
</cp:coreProperties>
</file>